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a576e0340bb84423" /></Relationships>
</file>

<file path=xl/workbook.xml><?xml version="1.0" encoding="utf-8"?>
<x:workbook xmlns:x="http://schemas.openxmlformats.org/spreadsheetml/2006/main">
  <x:sheets>
    <x:sheet xmlns:r="http://schemas.openxmlformats.org/officeDocument/2006/relationships" name="Deal Calculator" sheetId="1" r:id="R31e657032c794060"/>
  </x:sheets>
  <x:definedNames>
    <x:definedName name="_xlnm.Print_Area" localSheetId="0">'Deal Calculator'!$A$1:$L$163</x:definedName>
  </x:definedNames>
  <x:calcPr calcMode="auto" fullCalcOnLoad="1" forceFullCalc="1"/>
</x:workbook>
</file>

<file path=xl/sharedStrings.xml><?xml version="1.0" encoding="utf-8"?>
<x:sst xmlns:x="http://schemas.openxmlformats.org/spreadsheetml/2006/main"/>
</file>

<file path=xl/styles.xml><?xml version="1.0" encoding="utf-8"?>
<x:styleSheet xmlns:x="http://schemas.openxmlformats.org/spreadsheetml/2006/main">
  <x:numFmts count="13">
    <x:numFmt numFmtId="200" formatCode="@"/>
    <x:numFmt numFmtId="201" formatCode="0"/>
    <x:numFmt numFmtId="202" formatCode="#,##0.00"/>
    <x:numFmt numFmtId="203" formatCode="&quot;$&quot;#,##0.00;[Red](&quot;$&quot;#,##0.00);;@"/>
    <x:numFmt numFmtId="204" formatCode="0.00%;[Red](0.00%);&quot;—&quot;"/>
    <x:numFmt numFmtId="205" formatCode="0.00"/>
    <x:numFmt numFmtId="206" formatCode="&quot;$&quot;#,##0.00;[Red](&quot;$&quot;#,##0.00);&quot;—&quot;"/>
    <x:numFmt numFmtId="207" formatCode="0.00&quot;x&quot;"/>
    <x:numFmt numFmtId="208" formatCode=";;;"/>
    <x:numFmt numFmtId="209" formatCode="0.00%&quot;   &quot;;[Red](0.00%)&quot;   &quot;;&quot;—&quot;&quot;   &quot;"/>
    <x:numFmt numFmtId="210" formatCode="&quot;$&quot;#,##0.00&quot;   &quot;;[Red](&quot;$&quot;#,##0.00)&quot;   &quot;;&quot;—&quot;&quot;   &quot;"/>
    <x:numFmt numFmtId="211" formatCode="0.00&quot;   &quot;"/>
    <x:numFmt numFmtId="212" formatCode="&quot;Year &quot;0"/>
  </x:numFmts>
  <x:fonts count="12">
    <x:font>
      <x:sz val="11"/>
      <x:name val="Carlito"/>
    </x:font>
    <x:font>
      <x:sz val="10"/>
      <x:color rgb="FF253F39"/>
      <x:name val="Arial"/>
    </x:font>
    <x:font>
      <x:b/>
      <x:sz val="16"/>
      <x:color rgb="FFE6EEE8"/>
      <x:name val="Arial"/>
    </x:font>
    <x:font>
      <x:sz val="11"/>
      <x:color rgb="FFAFC4B8"/>
      <x:name val="Arial"/>
    </x:font>
    <x:font>
      <x:i/>
      <x:sz val="10"/>
      <x:color rgb="FF687C71"/>
      <x:name val="Arial"/>
    </x:font>
    <x:font>
      <x:b/>
      <x:sz val="12"/>
      <x:color rgb="FFFFFFFF"/>
      <x:name val="Arial"/>
    </x:font>
    <x:font>
      <x:sz val="10"/>
      <x:color rgb="FF174D9A"/>
      <x:name val="Arial"/>
    </x:font>
    <x:font>
      <x:sz val="10"/>
      <x:color rgb="FF111111"/>
      <x:name val="Arial"/>
    </x:font>
    <x:font>
      <x:b/>
      <x:sz val="10"/>
      <x:color rgb="FF253F39"/>
      <x:name val="Arial"/>
    </x:font>
    <x:font>
      <x:b/>
      <x:sz val="10"/>
      <x:color rgb="FF111111"/>
      <x:name val="Arial"/>
    </x:font>
    <x:font>
      <x:sz val="10"/>
      <x:color rgb="FF687C71"/>
      <x:name val="Arial"/>
    </x:font>
    <x:font>
      <x:b/>
      <x:sz val="10"/>
      <x:color rgb="FFFFFFFF"/>
      <x:name val="Arial"/>
    </x:font>
  </x:fonts>
  <x:fills count="13">
    <x:fill>
      <x:patternFill patternType="none"/>
    </x:fill>
    <x:fill>
      <x:patternFill patternType="gray125"/>
    </x:fill>
    <x:fill>
      <x:patternFill patternType="solid">
        <x:fgColor rgb="FFFFFFFF"/>
      </x:patternFill>
    </x:fill>
    <x:fill>
      <x:patternFill patternType="solid">
        <x:fgColor rgb="FF112B2B"/>
      </x:patternFill>
    </x:fill>
    <x:fill>
      <x:patternFill patternType="solid">
        <x:fgColor rgb="FF254B40"/>
      </x:patternFill>
    </x:fill>
    <x:fill>
      <x:patternFill patternType="solid">
        <x:fgColor rgb="FFFFF2BD"/>
      </x:patternFill>
    </x:fill>
    <x:fill>
      <x:patternFill patternType="solid">
        <x:fgColor rgb="FFEAF1E4"/>
      </x:patternFill>
    </x:fill>
    <x:fill>
      <x:patternFill patternType="solid">
        <x:fgColor rgb="FFEBF3F8"/>
      </x:patternFill>
    </x:fill>
    <x:fill>
      <x:patternFill patternType="solid">
        <x:fgColor rgb="FFF8EFE5"/>
      </x:patternFill>
    </x:fill>
    <x:fill>
      <x:patternFill patternType="solid">
        <x:fgColor rgb="FF507C94"/>
      </x:patternFill>
    </x:fill>
    <x:fill>
      <x:patternFill patternType="solid">
        <x:fgColor rgb="FF96764E"/>
      </x:patternFill>
    </x:fill>
    <x:fill>
      <x:patternFill patternType="solid">
        <x:fgColor rgb="FFF1EDF8"/>
      </x:patternFill>
    </x:fill>
    <x:fill>
      <x:patternFill patternType="solid">
        <x:fgColor rgb="FFFFF2BD"/>
      </x:patternFill>
    </x:fill>
  </x:fills>
  <x:borders count="41">
    <x:border>
      <x:left/>
      <x:right/>
      <x:top/>
      <x:bottom/>
      <x:diagonal/>
    </x:border>
    <x:border>
      <x:left/>
      <x:right/>
      <x:top/>
      <x:bottom style="thin">
        <x:color rgb="FFCBD7CF"/>
      </x:bottom>
      <x:diagonal/>
    </x:border>
    <x:border>
      <x:left style="medium">
        <x:color rgb="FF254B40"/>
      </x:left>
      <x:right/>
      <x:top style="medium">
        <x:color rgb="FF254B40"/>
      </x:top>
      <x:bottom style="medium">
        <x:color rgb="FF254B40"/>
      </x:bottom>
      <x:diagonal/>
    </x:border>
    <x:border>
      <x:left/>
      <x:right/>
      <x:top style="medium">
        <x:color rgb="FF254B40"/>
      </x:top>
      <x:bottom style="medium">
        <x:color rgb="FF254B40"/>
      </x:bottom>
      <x:diagonal/>
    </x:border>
    <x:border>
      <x:left/>
      <x:right style="medium">
        <x:color rgb="FF254B40"/>
      </x:right>
      <x:top style="medium">
        <x:color rgb="FF254B40"/>
      </x:top>
      <x:bottom style="medium">
        <x:color rgb="FF254B40"/>
      </x:bottom>
      <x:diagonal/>
    </x:border>
    <x:border>
      <x:left style="medium">
        <x:color rgb="FFCBD7CF"/>
      </x:left>
      <x:right/>
      <x:top style="medium">
        <x:color rgb="FFCBD7CF"/>
      </x:top>
      <x:bottom style="medium">
        <x:color rgb="FF254B40"/>
      </x:bottom>
      <x:diagonal/>
    </x:border>
    <x:border>
      <x:left/>
      <x:right/>
      <x:top style="medium">
        <x:color rgb="FFCBD7CF"/>
      </x:top>
      <x:bottom style="medium">
        <x:color rgb="FF254B40"/>
      </x:bottom>
      <x:diagonal/>
    </x:border>
    <x:border>
      <x:left/>
      <x:right style="medium">
        <x:color rgb="FFCBD7CF"/>
      </x:right>
      <x:top style="medium">
        <x:color rgb="FFCBD7CF"/>
      </x:top>
      <x:bottom style="medium">
        <x:color rgb="FF254B40"/>
      </x:bottom>
      <x:diagonal/>
    </x:border>
    <x:border>
      <x:left style="medium">
        <x:color rgb="FFCBD7CF"/>
      </x:left>
      <x:right/>
      <x:top/>
      <x:bottom/>
      <x:diagonal/>
    </x:border>
    <x:border>
      <x:left/>
      <x:right style="medium">
        <x:color rgb="FFCBD7CF"/>
      </x:right>
      <x:top/>
      <x:bottom/>
      <x:diagonal/>
    </x:border>
    <x:border>
      <x:left style="medium">
        <x:color rgb="FFCBD7CF"/>
      </x:left>
      <x:right/>
      <x:top/>
      <x:bottom style="medium">
        <x:color rgb="FFCBD7CF"/>
      </x:bottom>
      <x:diagonal/>
    </x:border>
    <x:border>
      <x:left/>
      <x:right/>
      <x:top/>
      <x:bottom style="medium">
        <x:color rgb="FFCBD7CF"/>
      </x:bottom>
      <x:diagonal/>
    </x:border>
    <x:border>
      <x:left/>
      <x:right style="medium">
        <x:color rgb="FFCBD7CF"/>
      </x:right>
      <x:top/>
      <x:bottom style="medium">
        <x:color rgb="FFCBD7CF"/>
      </x:bottom>
      <x:diagonal/>
    </x:border>
    <x:border>
      <x:left style="medium">
        <x:color rgb="FFCBD7CF"/>
      </x:left>
      <x:right/>
      <x:top/>
      <x:bottom style="thin">
        <x:color rgb="FFD7B95E"/>
      </x:bottom>
      <x:diagonal/>
    </x:border>
    <x:border>
      <x:left/>
      <x:right/>
      <x:top/>
      <x:bottom style="thin">
        <x:color rgb="FFD7B95E"/>
      </x:bottom>
      <x:diagonal/>
    </x:border>
    <x:border>
      <x:left style="medium">
        <x:color rgb="FF507C94"/>
      </x:left>
      <x:right/>
      <x:top style="medium">
        <x:color rgb="FF507C94"/>
      </x:top>
      <x:bottom style="medium">
        <x:color rgb="FF507C94"/>
      </x:bottom>
      <x:diagonal/>
    </x:border>
    <x:border>
      <x:left/>
      <x:right/>
      <x:top style="medium">
        <x:color rgb="FF507C94"/>
      </x:top>
      <x:bottom style="medium">
        <x:color rgb="FF507C94"/>
      </x:bottom>
      <x:diagonal/>
    </x:border>
    <x:border>
      <x:left/>
      <x:right style="medium">
        <x:color rgb="FF507C94"/>
      </x:right>
      <x:top style="medium">
        <x:color rgb="FF507C94"/>
      </x:top>
      <x:bottom style="medium">
        <x:color rgb="FF507C94"/>
      </x:bottom>
      <x:diagonal/>
    </x:border>
    <x:border>
      <x:left style="medium">
        <x:color rgb="FFAAC5D5"/>
      </x:left>
      <x:right/>
      <x:top style="medium">
        <x:color rgb="FFAAC5D5"/>
      </x:top>
      <x:bottom style="medium">
        <x:color rgb="FF507C94"/>
      </x:bottom>
      <x:diagonal/>
    </x:border>
    <x:border>
      <x:left/>
      <x:right/>
      <x:top style="medium">
        <x:color rgb="FFAAC5D5"/>
      </x:top>
      <x:bottom style="medium">
        <x:color rgb="FF507C94"/>
      </x:bottom>
      <x:diagonal/>
    </x:border>
    <x:border>
      <x:left/>
      <x:right style="medium">
        <x:color rgb="FFAAC5D5"/>
      </x:right>
      <x:top style="medium">
        <x:color rgb="FFAAC5D5"/>
      </x:top>
      <x:bottom style="medium">
        <x:color rgb="FF507C94"/>
      </x:bottom>
      <x:diagonal/>
    </x:border>
    <x:border>
      <x:left style="medium">
        <x:color rgb="FFAAC5D5"/>
      </x:left>
      <x:right/>
      <x:top/>
      <x:bottom/>
      <x:diagonal/>
    </x:border>
    <x:border>
      <x:left/>
      <x:right style="medium">
        <x:color rgb="FFAAC5D5"/>
      </x:right>
      <x:top/>
      <x:bottom/>
      <x:diagonal/>
    </x:border>
    <x:border>
      <x:left style="medium">
        <x:color rgb="FFAAC5D5"/>
      </x:left>
      <x:right/>
      <x:top/>
      <x:bottom style="medium">
        <x:color rgb="FFAAC5D5"/>
      </x:bottom>
      <x:diagonal/>
    </x:border>
    <x:border>
      <x:left/>
      <x:right/>
      <x:top/>
      <x:bottom style="medium">
        <x:color rgb="FFAAC5D5"/>
      </x:bottom>
      <x:diagonal/>
    </x:border>
    <x:border>
      <x:left/>
      <x:right style="medium">
        <x:color rgb="FFAAC5D5"/>
      </x:right>
      <x:top/>
      <x:bottom style="medium">
        <x:color rgb="FFAAC5D5"/>
      </x:bottom>
      <x:diagonal/>
    </x:border>
    <x:border>
      <x:left style="medium">
        <x:color rgb="FFAAC5D5"/>
      </x:left>
      <x:right/>
      <x:top/>
      <x:bottom style="thin">
        <x:color rgb="FFD7B95E"/>
      </x:bottom>
      <x:diagonal/>
    </x:border>
    <x:border>
      <x:left style="medium">
        <x:color rgb="FF96764E"/>
      </x:left>
      <x:right/>
      <x:top style="medium">
        <x:color rgb="FF96764E"/>
      </x:top>
      <x:bottom style="medium">
        <x:color rgb="FF96764E"/>
      </x:bottom>
      <x:diagonal/>
    </x:border>
    <x:border>
      <x:left/>
      <x:right/>
      <x:top style="medium">
        <x:color rgb="FF96764E"/>
      </x:top>
      <x:bottom style="medium">
        <x:color rgb="FF96764E"/>
      </x:bottom>
      <x:diagonal/>
    </x:border>
    <x:border>
      <x:left/>
      <x:right style="medium">
        <x:color rgb="FF96764E"/>
      </x:right>
      <x:top style="medium">
        <x:color rgb="FF96764E"/>
      </x:top>
      <x:bottom style="medium">
        <x:color rgb="FF96764E"/>
      </x:bottom>
      <x:diagonal/>
    </x:border>
    <x:border>
      <x:left style="medium">
        <x:color rgb="FFD9C7AF"/>
      </x:left>
      <x:right/>
      <x:top style="medium">
        <x:color rgb="FFD9C7AF"/>
      </x:top>
      <x:bottom style="medium">
        <x:color rgb="FF96764E"/>
      </x:bottom>
      <x:diagonal/>
    </x:border>
    <x:border>
      <x:left/>
      <x:right/>
      <x:top style="medium">
        <x:color rgb="FFD9C7AF"/>
      </x:top>
      <x:bottom style="medium">
        <x:color rgb="FF96764E"/>
      </x:bottom>
      <x:diagonal/>
    </x:border>
    <x:border>
      <x:left/>
      <x:right style="medium">
        <x:color rgb="FFD9C7AF"/>
      </x:right>
      <x:top style="medium">
        <x:color rgb="FFD9C7AF"/>
      </x:top>
      <x:bottom style="medium">
        <x:color rgb="FF96764E"/>
      </x:bottom>
      <x:diagonal/>
    </x:border>
    <x:border>
      <x:left style="medium">
        <x:color rgb="FFD9C7AF"/>
      </x:left>
      <x:right/>
      <x:top/>
      <x:bottom/>
      <x:diagonal/>
    </x:border>
    <x:border>
      <x:left/>
      <x:right style="medium">
        <x:color rgb="FFD9C7AF"/>
      </x:right>
      <x:top/>
      <x:bottom/>
      <x:diagonal/>
    </x:border>
    <x:border>
      <x:left style="medium">
        <x:color rgb="FFD9C7AF"/>
      </x:left>
      <x:right/>
      <x:top/>
      <x:bottom style="medium">
        <x:color rgb="FFD9C7AF"/>
      </x:bottom>
      <x:diagonal/>
    </x:border>
    <x:border>
      <x:left/>
      <x:right/>
      <x:top/>
      <x:bottom style="medium">
        <x:color rgb="FFD9C7AF"/>
      </x:bottom>
      <x:diagonal/>
    </x:border>
    <x:border>
      <x:left/>
      <x:right style="medium">
        <x:color rgb="FFD9C7AF"/>
      </x:right>
      <x:top/>
      <x:bottom style="medium">
        <x:color rgb="FFD9C7AF"/>
      </x:bottom>
      <x:diagonal/>
    </x:border>
    <x:border>
      <x:left/>
      <x:right/>
      <x:top style="double">
        <x:color rgb="FF254B40"/>
      </x:top>
      <x:bottom/>
      <x:diagonal/>
    </x:border>
    <x:border>
      <x:left style="medium">
        <x:color rgb="FFCBD7CF"/>
      </x:left>
      <x:right/>
      <x:top style="double">
        <x:color rgb="FF254B40"/>
      </x:top>
      <x:bottom/>
      <x:diagonal/>
    </x:border>
    <x:border>
      <x:left/>
      <x:right style="medium">
        <x:color rgb="FFCBD7CF"/>
      </x:right>
      <x:top style="double">
        <x:color rgb="FF254B40"/>
      </x:top>
      <x:bottom/>
      <x:diagonal/>
    </x:border>
  </x:borders>
  <x:cellStyleXfs count="1">
    <x:xf numFmtId="0" fontId="0" fillId="0" borderId="0"/>
  </x:cellStyleXfs>
  <x:cellXfs count="47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2" borderId="0" xfId="0" applyNumberFormat="1" applyFont="1" applyFill="1" applyBorder="1" applyAlignment="1">
      <x:alignment horizontal="right" vertical="center"/>
    </x:xf>
    <x:xf numFmtId="0" fontId="1" fillId="2" borderId="0" xfId="0" applyNumberFormat="1" applyFont="1" applyFill="1" applyBorder="1" applyAlignment="1">
      <x:alignment horizontal="left" vertical="center"/>
    </x:xf>
    <x:xf numFmtId="0" fontId="1" fillId="2" borderId="0" xfId="0" applyNumberFormat="1" applyFont="1" applyFill="1" applyBorder="1" applyAlignment="1">
      <x:alignment vertical="center" wrapText="1"/>
    </x:xf>
    <x:xf numFmtId="0" fontId="1" fillId="2" borderId="0" xfId="0" applyNumberFormat="1" applyFont="1" applyFill="1" applyBorder="1" applyAlignment="1">
      <x:alignment horizontal="left" vertical="center" wrapText="1"/>
    </x:xf>
    <x:xf numFmtId="0" fontId="1" fillId="3" borderId="0" xfId="0" applyNumberFormat="1" applyFont="1" applyFill="1" applyBorder="1" applyAlignment="1">
      <x:alignment vertical="center" wrapText="1"/>
    </x:xf>
    <x:xf numFmtId="0" fontId="1" fillId="3" borderId="0" xfId="0" applyNumberFormat="1" applyFont="1" applyFill="1" applyBorder="1" applyAlignment="1">
      <x:alignment horizontal="right" vertical="center"/>
    </x:xf>
    <x:xf numFmtId="0" fontId="1" fillId="3" borderId="0" xfId="0" applyNumberFormat="1" applyFont="1" applyFill="1" applyBorder="1" applyAlignment="1">
      <x:alignment horizontal="left" vertical="center" wrapText="1"/>
    </x:xf>
    <x:xf numFmtId="200" fontId="1" fillId="3" borderId="0" xfId="0" applyNumberFormat="1" applyFont="1" applyFill="1" applyBorder="1" applyAlignment="1">
      <x:alignment horizontal="right" vertical="center"/>
    </x:xf>
    <x:xf numFmtId="200" fontId="1" fillId="3" borderId="0" xfId="0" applyNumberFormat="1" applyFont="1" applyFill="1" applyBorder="1" applyAlignment="1">
      <x:alignment horizontal="left" vertical="center"/>
    </x:xf>
    <x:xf numFmtId="200" fontId="2" fillId="3" borderId="0" xfId="0" applyNumberFormat="1" applyFont="1" applyFill="1" applyBorder="1" applyAlignment="1">
      <x:alignment horizontal="left" vertical="center"/>
    </x:xf>
    <x:xf numFmtId="0" fontId="2" fillId="3" borderId="0" xfId="0" applyNumberFormat="1" applyFont="1" applyFill="1" applyBorder="1" applyAlignment="1">
      <x:alignment horizontal="right" vertical="center"/>
    </x:xf>
    <x:xf numFmtId="0" fontId="2" fillId="3" borderId="0" xfId="0" applyNumberFormat="1" applyFont="1" applyFill="1" applyBorder="1" applyAlignment="1">
      <x:alignment horizontal="left" vertical="center" wrapText="1"/>
    </x:xf>
    <x:xf numFmtId="200" fontId="3" fillId="3" borderId="0" xfId="0" applyNumberFormat="1" applyFont="1" applyFill="1" applyBorder="1" applyAlignment="1">
      <x:alignment horizontal="left" vertical="center"/>
    </x:xf>
    <x:xf numFmtId="0" fontId="3" fillId="3" borderId="0" xfId="0" applyNumberFormat="1" applyFont="1" applyFill="1" applyBorder="1" applyAlignment="1">
      <x:alignment horizontal="right" vertical="center"/>
    </x:xf>
    <x:xf numFmtId="0" fontId="3" fillId="3" borderId="0" xfId="0" applyNumberFormat="1" applyFont="1" applyFill="1" applyBorder="1" applyAlignment="1">
      <x:alignment horizontal="left" vertical="center" wrapText="1"/>
    </x:xf>
    <x:xf numFmtId="200" fontId="1" fillId="2" borderId="0" xfId="0" applyNumberFormat="1" applyFont="1" applyFill="1" applyBorder="1" applyAlignment="1">
      <x:alignment vertical="center" wrapText="1"/>
    </x:xf>
    <x:xf numFmtId="200" fontId="1" fillId="2" borderId="0" xfId="0" applyNumberFormat="1" applyFont="1" applyFill="1" applyBorder="1" applyAlignment="1">
      <x:alignment horizontal="left" vertical="center" wrapText="1"/>
    </x:xf>
    <x:xf numFmtId="200" fontId="4" fillId="2" borderId="0" xfId="0" applyNumberFormat="1" applyFont="1" applyFill="1" applyBorder="1" applyAlignment="1">
      <x:alignment horizontal="left" vertical="center" wrapText="1"/>
    </x:xf>
    <x:xf numFmtId="0" fontId="4" fillId="2" borderId="0" xfId="0" applyNumberFormat="1" applyFont="1" applyFill="1" applyBorder="1" applyAlignment="1">
      <x:alignment horizontal="right" vertical="center"/>
    </x:xf>
    <x:xf numFmtId="0" fontId="4" fillId="2" borderId="0" xfId="0" applyNumberFormat="1" applyFont="1" applyFill="1" applyBorder="1" applyAlignment="1">
      <x:alignment horizontal="left" vertical="center" wrapText="1"/>
    </x:xf>
    <x:xf numFmtId="0" fontId="4" fillId="2" borderId="0" xfId="0" applyNumberFormat="1" applyFont="1" applyFill="1" applyBorder="1" applyAlignment="1">
      <x:alignment horizontal="right" vertical="center" wrapText="1"/>
    </x:xf>
    <x:xf numFmtId="200" fontId="4" fillId="2" borderId="1" xfId="0" applyNumberFormat="1" applyFont="1" applyFill="1" applyBorder="1" applyAlignment="1">
      <x:alignment horizontal="left" vertical="center" wrapText="1"/>
    </x:xf>
    <x:xf numFmtId="0" fontId="4" fillId="2" borderId="1" xfId="0" applyNumberFormat="1" applyFont="1" applyFill="1" applyBorder="1" applyAlignment="1">
      <x:alignment horizontal="left" vertical="center"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horizontal="right" vertical="center"/>
    </x:xf>
    <x:xf numFmtId="0" fontId="1" fillId="4" borderId="0" xfId="0" applyNumberFormat="1" applyFont="1" applyFill="1" applyBorder="1" applyAlignment="1">
      <x:alignment horizontal="left" vertical="center" wrapText="1"/>
    </x:xf>
    <x:xf numFmtId="0" fontId="5" fillId="4" borderId="0" xfId="0" applyNumberFormat="1" applyFont="1" applyFill="1" applyBorder="1" applyAlignment="1">
      <x:alignment vertical="center" wrapText="1"/>
    </x:xf>
    <x:xf numFmtId="0" fontId="5" fillId="4" borderId="0" xfId="0" applyNumberFormat="1" applyFont="1" applyFill="1" applyBorder="1" applyAlignment="1">
      <x:alignment horizontal="right" vertical="center"/>
    </x:xf>
    <x:xf numFmtId="0" fontId="5" fillId="4" borderId="0" xfId="0" applyNumberFormat="1" applyFont="1" applyFill="1" applyBorder="1" applyAlignment="1">
      <x:alignment horizontal="left" vertical="center" wrapText="1"/>
    </x:xf>
    <x:xf numFmtId="0" fontId="5" fillId="4" borderId="2" xfId="0" applyNumberFormat="1" applyFont="1" applyFill="1" applyBorder="1" applyAlignment="1">
      <x:alignment vertical="center" wrapText="1"/>
    </x:xf>
    <x:xf numFmtId="0" fontId="5" fillId="4" borderId="3" xfId="0" applyNumberFormat="1" applyFont="1" applyFill="1" applyBorder="1" applyAlignment="1">
      <x:alignment horizontal="right" vertical="center"/>
    </x:xf>
    <x:xf numFmtId="0" fontId="5" fillId="4" borderId="3" xfId="0" applyNumberFormat="1" applyFont="1" applyFill="1" applyBorder="1" applyAlignment="1">
      <x:alignment horizontal="left" vertical="center" wrapText="1"/>
    </x:xf>
    <x:xf numFmtId="0" fontId="5" fillId="4" borderId="4" xfId="0" applyNumberFormat="1" applyFont="1" applyFill="1" applyBorder="1" applyAlignment="1">
      <x:alignment horizontal="right" vertical="center"/>
    </x:xf>
    <x:xf numFmtId="0" fontId="5" fillId="4" borderId="2" xfId="0" applyNumberFormat="1" applyFont="1" applyFill="1" applyBorder="1" applyAlignment="1">
      <x:alignment vertical="center" wrapText="0"/>
    </x:xf>
    <x:xf numFmtId="0" fontId="5" fillId="4" borderId="3" xfId="0" applyNumberFormat="1" applyFont="1" applyFill="1" applyBorder="1" applyAlignment="1">
      <x:alignment horizontal="right" vertical="center" wrapText="0"/>
    </x:xf>
    <x:xf numFmtId="0" fontId="5" fillId="4" borderId="3" xfId="0" applyNumberFormat="1" applyFont="1" applyFill="1" applyBorder="1" applyAlignment="1">
      <x:alignment horizontal="left" vertical="center" wrapText="0"/>
    </x:xf>
    <x:xf numFmtId="0" fontId="5" fillId="4" borderId="4" xfId="0" applyNumberFormat="1" applyFont="1" applyFill="1" applyBorder="1" applyAlignment="1">
      <x:alignment horizontal="right" vertical="center" wrapText="0"/>
    </x:xf>
    <x:xf numFmtId="0" fontId="5" fillId="4" borderId="2" xfId="0" applyNumberFormat="1" applyFont="1" applyFill="1" applyBorder="1" applyAlignment="1">
      <x:alignment horizontal="left" vertical="center" wrapText="0"/>
    </x:xf>
    <x:xf numFmtId="0" fontId="5" fillId="4" borderId="4" xfId="0" applyNumberFormat="1" applyFont="1" applyFill="1" applyBorder="1" applyAlignment="1">
      <x:alignment horizontal="left" vertical="center" wrapText="0"/>
    </x:xf>
    <x:xf numFmtId="0" fontId="5" fillId="4" borderId="5" xfId="0" applyNumberFormat="1" applyFont="1" applyFill="1" applyBorder="1" applyAlignment="1">
      <x:alignment horizontal="left" vertical="center" wrapText="0"/>
    </x:xf>
    <x:xf numFmtId="0" fontId="5" fillId="4" borderId="6" xfId="0" applyNumberFormat="1" applyFont="1" applyFill="1" applyBorder="1" applyAlignment="1">
      <x:alignment horizontal="left" vertical="center" wrapText="0"/>
    </x:xf>
    <x:xf numFmtId="0" fontId="5" fillId="4" borderId="7" xfId="0" applyNumberFormat="1" applyFont="1" applyFill="1" applyBorder="1" applyAlignment="1">
      <x:alignment horizontal="left" vertical="center" wrapText="0"/>
    </x:xf>
    <x:xf numFmtId="0" fontId="1" fillId="2" borderId="8" xfId="0" applyNumberFormat="1" applyFont="1" applyFill="1" applyBorder="1" applyAlignment="1">
      <x:alignment vertical="center" wrapText="1"/>
    </x:xf>
    <x:xf numFmtId="0" fontId="1" fillId="2" borderId="9" xfId="0" applyNumberFormat="1" applyFont="1" applyFill="1" applyBorder="1" applyAlignment="1">
      <x:alignment horizontal="right" vertical="center"/>
    </x:xf>
    <x:xf numFmtId="0" fontId="1" fillId="2" borderId="10" xfId="0" applyNumberFormat="1" applyFont="1" applyFill="1" applyBorder="1" applyAlignment="1">
      <x:alignment vertical="center" wrapText="1"/>
    </x:xf>
    <x:xf numFmtId="0" fontId="1" fillId="2" borderId="11" xfId="0" applyNumberFormat="1" applyFont="1" applyFill="1" applyBorder="1" applyAlignment="1">
      <x:alignment horizontal="right" vertical="center"/>
    </x:xf>
    <x:xf numFmtId="0" fontId="1" fillId="2" borderId="11" xfId="0" applyNumberFormat="1" applyFont="1" applyFill="1" applyBorder="1" applyAlignment="1">
      <x:alignment horizontal="left" vertical="center" wrapText="1"/>
    </x:xf>
    <x:xf numFmtId="0" fontId="1" fillId="2" borderId="12" xfId="0" applyNumberFormat="1" applyFont="1" applyFill="1" applyBorder="1" applyAlignment="1">
      <x:alignment horizontal="right" vertical="center"/>
    </x:xf>
    <x:xf numFmtId="200" fontId="1" fillId="2" borderId="8" xfId="0" applyNumberFormat="1" applyFont="1" applyFill="1" applyBorder="1" applyAlignment="1">
      <x:alignment vertical="center" wrapText="1"/>
    </x:xf>
    <x:xf numFmtId="200" fontId="1" fillId="2" borderId="8" xfId="0" applyNumberFormat="1" applyFont="1" applyFill="1" applyBorder="1" applyAlignment="1">
      <x:alignment horizontal="left" vertical="center" wrapText="1"/>
    </x:xf>
    <x:xf numFmtId="200" fontId="1" fillId="5" borderId="8" xfId="0" applyNumberFormat="1" applyFont="1" applyFill="1" applyBorder="1" applyAlignment="1">
      <x:alignment vertical="center" wrapText="1"/>
    </x:xf>
    <x:xf numFmtId="200" fontId="6" fillId="5" borderId="8" xfId="0" applyNumberFormat="1" applyFont="1" applyFill="1" applyBorder="1" applyAlignment="1">
      <x:alignment vertical="center" wrapText="1"/>
    </x:xf>
    <x:xf numFmtId="200" fontId="6" fillId="5" borderId="13" xfId="0" applyNumberFormat="1" applyFont="1" applyFill="1" applyBorder="1" applyAlignment="1">
      <x:alignment vertical="center" wrapText="1"/>
    </x:xf>
    <x:xf numFmtId="200" fontId="1" fillId="5" borderId="0" xfId="0" applyNumberFormat="1" applyFont="1" applyFill="1" applyBorder="1" applyAlignment="1">
      <x:alignment horizontal="left" vertical="center" wrapText="1"/>
    </x:xf>
    <x:xf numFmtId="200" fontId="6" fillId="5" borderId="0" xfId="0" applyNumberFormat="1" applyFont="1" applyFill="1" applyBorder="1" applyAlignment="1">
      <x:alignment horizontal="left" vertical="center" wrapText="1"/>
    </x:xf>
    <x:xf numFmtId="200" fontId="6" fillId="5" borderId="14" xfId="0" applyNumberFormat="1" applyFont="1" applyFill="1" applyBorder="1" applyAlignment="1">
      <x:alignment horizontal="left" vertical="center" wrapText="1"/>
    </x:xf>
    <x:xf numFmtId="200" fontId="1" fillId="2" borderId="10" xfId="0" applyNumberFormat="1" applyFont="1" applyFill="1" applyBorder="1" applyAlignment="1">
      <x:alignment vertical="center" wrapText="1"/>
    </x:xf>
    <x:xf numFmtId="200" fontId="1" fillId="2" borderId="10" xfId="0" applyNumberFormat="1" applyFont="1" applyFill="1" applyBorder="1" applyAlignment="1">
      <x:alignment horizontal="left" vertical="center" wrapText="1"/>
    </x:xf>
    <x:xf numFmtId="200" fontId="1" fillId="2" borderId="11" xfId="0" applyNumberFormat="1" applyFont="1" applyFill="1" applyBorder="1" applyAlignment="1">
      <x:alignment horizontal="right" vertical="center"/>
    </x:xf>
    <x:xf numFmtId="200" fontId="1" fillId="5" borderId="11" xfId="0" applyNumberFormat="1" applyFont="1" applyFill="1" applyBorder="1" applyAlignment="1">
      <x:alignment horizontal="right" vertical="center"/>
    </x:xf>
    <x:xf numFmtId="200" fontId="6" fillId="5" borderId="11" xfId="0" applyNumberFormat="1" applyFont="1" applyFill="1" applyBorder="1" applyAlignment="1">
      <x:alignment horizontal="right" vertical="center"/>
    </x:xf>
    <x:xf numFmtId="200" fontId="6" fillId="5" borderId="14" xfId="0" applyNumberFormat="1" applyFont="1" applyFill="1" applyBorder="1" applyAlignment="1">
      <x:alignment horizontal="right" vertical="center"/>
    </x:xf>
    <x:xf numFmtId="200" fontId="1" fillId="2" borderId="11" xfId="0" applyNumberFormat="1" applyFont="1" applyFill="1" applyBorder="1" applyAlignment="1">
      <x:alignment horizontal="left" vertical="center"/>
    </x:xf>
    <x:xf numFmtId="201" fontId="1" fillId="2" borderId="11" xfId="0" applyNumberFormat="1" applyFont="1" applyFill="1" applyBorder="1" applyAlignment="1">
      <x:alignment horizontal="right" vertical="center"/>
    </x:xf>
    <x:xf numFmtId="201" fontId="1" fillId="5" borderId="11" xfId="0" applyNumberFormat="1" applyFont="1" applyFill="1" applyBorder="1" applyAlignment="1">
      <x:alignment horizontal="right" vertical="center"/>
    </x:xf>
    <x:xf numFmtId="201" fontId="6" fillId="5" borderId="11" xfId="0" applyNumberFormat="1" applyFont="1" applyFill="1" applyBorder="1" applyAlignment="1">
      <x:alignment horizontal="right" vertical="center"/>
    </x:xf>
    <x:xf numFmtId="201" fontId="6" fillId="5" borderId="14" xfId="0" applyNumberFormat="1" applyFont="1" applyFill="1" applyBorder="1" applyAlignment="1">
      <x:alignment horizontal="right" vertical="center"/>
    </x:xf>
    <x:xf numFmtId="200" fontId="1" fillId="2" borderId="11" xfId="0" applyNumberFormat="1" applyFont="1" applyFill="1" applyBorder="1" applyAlignment="1">
      <x:alignment horizontal="left" vertical="center" wrapText="1"/>
    </x:xf>
    <x:xf numFmtId="202" fontId="1" fillId="2" borderId="11" xfId="0" applyNumberFormat="1" applyFont="1" applyFill="1" applyBorder="1" applyAlignment="1">
      <x:alignment horizontal="right" vertical="center"/>
    </x:xf>
    <x:xf numFmtId="202" fontId="1" fillId="5" borderId="11" xfId="0" applyNumberFormat="1" applyFont="1" applyFill="1" applyBorder="1" applyAlignment="1">
      <x:alignment horizontal="right" vertical="center"/>
    </x:xf>
    <x:xf numFmtId="202" fontId="6" fillId="5" borderId="11" xfId="0" applyNumberFormat="1" applyFont="1" applyFill="1" applyBorder="1" applyAlignment="1">
      <x:alignment horizontal="right" vertical="center"/>
    </x:xf>
    <x:xf numFmtId="202" fontId="6" fillId="5" borderId="14" xfId="0" applyNumberFormat="1" applyFont="1" applyFill="1" applyBorder="1" applyAlignment="1">
      <x:alignment horizontal="right" vertical="center"/>
    </x:xf>
    <x:xf numFmtId="200" fontId="1" fillId="2" borderId="0" xfId="0" applyNumberFormat="1" applyFont="1" applyFill="1" applyBorder="1" applyAlignment="1">
      <x:alignment horizontal="right" vertical="center"/>
    </x:xf>
    <x:xf numFmtId="200" fontId="1" fillId="2" borderId="0" xfId="0" applyNumberFormat="1" applyFont="1" applyFill="1" applyBorder="1" applyAlignment="1">
      <x:alignment horizontal="left" vertical="center"/>
    </x:xf>
    <x:xf numFmtId="200" fontId="4" fillId="2" borderId="0" xfId="0" applyNumberFormat="1" applyFont="1" applyFill="1" applyBorder="1" applyAlignment="1">
      <x:alignment horizontal="left" vertical="center"/>
    </x:xf>
    <x:xf numFmtId="203" fontId="1" fillId="2" borderId="0" xfId="0" applyNumberFormat="1" applyFont="1" applyFill="1" applyBorder="1" applyAlignment="1">
      <x:alignment horizontal="right" vertical="center"/>
    </x:xf>
    <x:xf numFmtId="203" fontId="1" fillId="5" borderId="0" xfId="0" applyNumberFormat="1" applyFont="1" applyFill="1" applyBorder="1" applyAlignment="1">
      <x:alignment horizontal="right" vertical="center"/>
    </x:xf>
    <x:xf numFmtId="203" fontId="6" fillId="5" borderId="0" xfId="0" applyNumberFormat="1" applyFont="1" applyFill="1" applyBorder="1" applyAlignment="1">
      <x:alignment horizontal="right" vertical="center"/>
    </x:xf>
    <x:xf numFmtId="203" fontId="6" fillId="5" borderId="14" xfId="0" applyNumberFormat="1" applyFont="1" applyFill="1" applyBorder="1" applyAlignment="1">
      <x:alignment horizontal="right" vertical="center"/>
    </x:xf>
    <x:xf numFmtId="200" fontId="1" fillId="5" borderId="0" xfId="0" applyNumberFormat="1" applyFont="1" applyFill="1" applyBorder="1" applyAlignment="1">
      <x:alignment horizontal="right" vertical="center"/>
    </x:xf>
    <x:xf numFmtId="200" fontId="6" fillId="5" borderId="0" xfId="0" applyNumberFormat="1" applyFont="1" applyFill="1" applyBorder="1" applyAlignment="1">
      <x:alignment horizontal="right" vertical="center"/>
    </x:xf>
    <x:xf numFmtId="204" fontId="1" fillId="2" borderId="0" xfId="0" applyNumberFormat="1" applyFont="1" applyFill="1" applyBorder="1" applyAlignment="1">
      <x:alignment horizontal="right" vertical="center"/>
    </x:xf>
    <x:xf numFmtId="204" fontId="1" fillId="5" borderId="0" xfId="0" applyNumberFormat="1" applyFont="1" applyFill="1" applyBorder="1" applyAlignment="1">
      <x:alignment horizontal="right" vertical="center"/>
    </x:xf>
    <x:xf numFmtId="204" fontId="6" fillId="5" borderId="0" xfId="0" applyNumberFormat="1" applyFont="1" applyFill="1" applyBorder="1" applyAlignment="1">
      <x:alignment horizontal="right" vertical="center"/>
    </x:xf>
    <x:xf numFmtId="204" fontId="6" fillId="5" borderId="14" xfId="0" applyNumberFormat="1" applyFont="1" applyFill="1" applyBorder="1" applyAlignment="1">
      <x:alignment horizontal="right" vertical="center"/>
    </x:xf>
    <x:xf numFmtId="205" fontId="1" fillId="2" borderId="0" xfId="0" applyNumberFormat="1" applyFont="1" applyFill="1" applyBorder="1" applyAlignment="1">
      <x:alignment horizontal="right" vertical="center"/>
    </x:xf>
    <x:xf numFmtId="205" fontId="1" fillId="5" borderId="0" xfId="0" applyNumberFormat="1" applyFont="1" applyFill="1" applyBorder="1" applyAlignment="1">
      <x:alignment horizontal="right" vertical="center"/>
    </x:xf>
    <x:xf numFmtId="205" fontId="6" fillId="5" borderId="0" xfId="0" applyNumberFormat="1" applyFont="1" applyFill="1" applyBorder="1" applyAlignment="1">
      <x:alignment horizontal="right" vertical="center"/>
    </x:xf>
    <x:xf numFmtId="205" fontId="6" fillId="5" borderId="14" xfId="0" applyNumberFormat="1" applyFont="1" applyFill="1" applyBorder="1" applyAlignment="1">
      <x:alignment horizontal="right" vertical="center"/>
    </x:xf>
    <x:xf numFmtId="0" fontId="1" fillId="5" borderId="0" xfId="0" applyNumberFormat="1" applyFont="1" applyFill="1" applyBorder="1" applyAlignment="1">
      <x:alignment horizontal="right" vertical="center"/>
    </x:xf>
    <x:xf numFmtId="0" fontId="6" fillId="5" borderId="0" xfId="0" applyNumberFormat="1" applyFont="1" applyFill="1" applyBorder="1" applyAlignment="1">
      <x:alignment horizontal="right" vertical="center"/>
    </x:xf>
    <x:xf numFmtId="200" fontId="1" fillId="2" borderId="0" xfId="0" applyNumberFormat="1" applyFont="1" applyFill="1" applyBorder="1" applyAlignment="1">
      <x:alignment horizontal="center" vertical="center"/>
    </x:xf>
    <x:xf numFmtId="200" fontId="7" fillId="2" borderId="8" xfId="0" applyNumberFormat="1" applyFont="1" applyFill="1" applyBorder="1" applyAlignment="1">
      <x:alignment horizontal="left" vertical="center" wrapText="1"/>
    </x:xf>
    <x:xf numFmtId="203" fontId="7" fillId="5" borderId="14" xfId="0" applyNumberFormat="1" applyFont="1" applyFill="1" applyBorder="1" applyAlignment="1">
      <x:alignment horizontal="right" vertical="center"/>
    </x:xf>
    <x:xf numFmtId="203" fontId="7" fillId="6" borderId="14" xfId="0" applyNumberFormat="1" applyFont="1" applyFill="1" applyBorder="1" applyAlignment="1">
      <x:alignment horizontal="right" vertical="center"/>
    </x:xf>
    <x:xf numFmtId="206" fontId="7" fillId="6" borderId="14" xfId="0" applyNumberFormat="1" applyFont="1" applyFill="1" applyBorder="1" applyAlignment="1">
      <x:alignment horizontal="right" vertical="center"/>
    </x:xf>
    <x:xf numFmtId="0" fontId="7" fillId="2" borderId="0" xfId="0" applyNumberFormat="1" applyFont="1" applyFill="1" applyBorder="1" applyAlignment="1">
      <x:alignment horizontal="right" vertical="center"/>
    </x:xf>
    <x:xf numFmtId="0" fontId="7" fillId="2" borderId="9" xfId="0" applyNumberFormat="1" applyFont="1" applyFill="1" applyBorder="1" applyAlignment="1">
      <x:alignment horizontal="right" vertical="center"/>
    </x:xf>
    <x:xf numFmtId="204" fontId="7" fillId="2" borderId="9" xfId="0" applyNumberFormat="1" applyFont="1" applyFill="1" applyBorder="1" applyAlignment="1">
      <x:alignment horizontal="right" vertical="center"/>
    </x:xf>
    <x:xf numFmtId="0" fontId="1" fillId="2" borderId="0" xfId="0" applyNumberFormat="1" applyFont="1" applyFill="1" applyBorder="1" applyAlignment="1">
      <x:alignment horizontal="right" vertical="center" wrapText="1"/>
    </x:xf>
    <x:xf numFmtId="0" fontId="1" fillId="6" borderId="0" xfId="0" applyNumberFormat="1" applyFont="1" applyFill="1" applyBorder="1" applyAlignment="1">
      <x:alignment horizontal="right" vertical="center" wrapText="1"/>
    </x:xf>
    <x:xf numFmtId="0" fontId="7" fillId="6" borderId="9" xfId="0" applyNumberFormat="1" applyFont="1" applyFill="1" applyBorder="1" applyAlignment="1">
      <x:alignment horizontal="right" vertical="center"/>
    </x:xf>
    <x:xf numFmtId="200" fontId="1" fillId="6" borderId="0" xfId="0" applyNumberFormat="1" applyFont="1" applyFill="1" applyBorder="1" applyAlignment="1">
      <x:alignment horizontal="left" vertical="center" wrapText="1"/>
    </x:xf>
    <x:xf numFmtId="204" fontId="7" fillId="6" borderId="9" xfId="0" applyNumberFormat="1" applyFont="1" applyFill="1" applyBorder="1" applyAlignment="1">
      <x:alignment horizontal="right" vertical="center"/>
    </x:xf>
    <x:xf numFmtId="206" fontId="7" fillId="6" borderId="9" xfId="0" applyNumberFormat="1" applyFont="1" applyFill="1" applyBorder="1" applyAlignment="1">
      <x:alignment horizontal="right" vertical="center"/>
    </x:xf>
    <x:xf numFmtId="200" fontId="4" fillId="2" borderId="10" xfId="0" applyNumberFormat="1" applyFont="1" applyFill="1" applyBorder="1" applyAlignment="1">
      <x:alignment horizontal="left" vertical="center" wrapText="1"/>
    </x:xf>
    <x:xf numFmtId="0" fontId="4" fillId="2" borderId="11" xfId="0" applyNumberFormat="1" applyFont="1" applyFill="1" applyBorder="1" applyAlignment="1">
      <x:alignment horizontal="right" vertical="center"/>
    </x:xf>
    <x:xf numFmtId="0" fontId="4" fillId="2" borderId="12" xfId="0" applyNumberFormat="1" applyFont="1" applyFill="1" applyBorder="1" applyAlignment="1">
      <x:alignment horizontal="right" vertical="center"/>
    </x:xf>
    <x:xf numFmtId="0" fontId="4" fillId="2" borderId="11" xfId="0" applyNumberFormat="1" applyFont="1" applyFill="1" applyBorder="1" applyAlignment="1">
      <x:alignment horizontal="right" vertical="center" wrapText="1"/>
    </x:xf>
    <x:xf numFmtId="0" fontId="4" fillId="2" borderId="12" xfId="0" applyNumberFormat="1" applyFont="1" applyFill="1" applyBorder="1" applyAlignment="1">
      <x:alignment horizontal="right" vertical="center" wrapText="1"/>
    </x:xf>
    <x:xf numFmtId="0" fontId="4" fillId="2" borderId="11" xfId="0" applyNumberFormat="1" applyFont="1" applyFill="1" applyBorder="1" applyAlignment="1">
      <x:alignment horizontal="left" vertical="center" wrapText="1"/>
    </x:xf>
    <x:xf numFmtId="0" fontId="4" fillId="2" borderId="12" xfId="0" applyNumberFormat="1" applyFont="1" applyFill="1" applyBorder="1" applyAlignment="1">
      <x:alignment horizontal="left" vertical="center" wrapText="1"/>
    </x:xf>
    <x:xf numFmtId="0" fontId="5" fillId="4" borderId="2" xfId="0" applyNumberFormat="1" applyFont="1" applyFill="1" applyBorder="1" applyAlignment="1">
      <x:alignment horizontal="left" vertical="center" wrapText="1"/>
    </x:xf>
    <x:xf numFmtId="0" fontId="1" fillId="2" borderId="8" xfId="0" applyNumberFormat="1" applyFont="1" applyFill="1" applyBorder="1" applyAlignment="1">
      <x:alignment horizontal="left" vertical="center" wrapText="1"/>
    </x:xf>
    <x:xf numFmtId="0" fontId="1" fillId="2" borderId="10" xfId="0" applyNumberFormat="1" applyFont="1" applyFill="1" applyBorder="1" applyAlignment="1">
      <x:alignment horizontal="left" vertical="center" wrapText="1"/>
    </x:xf>
    <x:xf numFmtId="200" fontId="8" fillId="2" borderId="8" xfId="0" applyNumberFormat="1" applyFont="1" applyFill="1" applyBorder="1" applyAlignment="1">
      <x:alignment horizontal="left" vertical="center" wrapText="1"/>
    </x:xf>
    <x:xf numFmtId="200" fontId="8" fillId="2" borderId="0" xfId="0" applyNumberFormat="1" applyFont="1" applyFill="1" applyBorder="1" applyAlignment="1">
      <x:alignment horizontal="left" vertical="center"/>
    </x:xf>
    <x:xf numFmtId="0" fontId="8" fillId="2" borderId="0" xfId="0" applyNumberFormat="1" applyFont="1" applyFill="1" applyBorder="1" applyAlignment="1">
      <x:alignment horizontal="right" vertical="center"/>
    </x:xf>
    <x:xf numFmtId="0" fontId="8" fillId="2" borderId="9" xfId="0" applyNumberFormat="1" applyFont="1" applyFill="1" applyBorder="1" applyAlignment="1">
      <x:alignment horizontal="right" vertical="center"/>
    </x:xf>
    <x:xf numFmtId="200" fontId="1" fillId="7" borderId="8" xfId="0" applyNumberFormat="1" applyFont="1" applyFill="1" applyBorder="1" applyAlignment="1">
      <x:alignment horizontal="left" vertical="center" wrapText="1"/>
    </x:xf>
    <x:xf numFmtId="0" fontId="7" fillId="7" borderId="0" xfId="0" applyNumberFormat="1" applyFont="1" applyFill="1" applyBorder="1" applyAlignment="1">
      <x:alignment horizontal="right" vertical="center"/>
    </x:xf>
    <x:xf numFmtId="0" fontId="1" fillId="7" borderId="0" xfId="0" applyNumberFormat="1" applyFont="1" applyFill="1" applyBorder="1" applyAlignment="1">
      <x:alignment horizontal="right" vertical="center"/>
    </x:xf>
    <x:xf numFmtId="0" fontId="1" fillId="7" borderId="9" xfId="0" applyNumberFormat="1" applyFont="1" applyFill="1" applyBorder="1" applyAlignment="1">
      <x:alignment horizontal="right" vertical="center"/>
    </x:xf>
    <x:xf numFmtId="206" fontId="7" fillId="7" borderId="0" xfId="0" applyNumberFormat="1" applyFont="1" applyFill="1" applyBorder="1" applyAlignment="1">
      <x:alignment horizontal="right" vertical="center"/>
    </x:xf>
    <x:xf numFmtId="206" fontId="1" fillId="7" borderId="0" xfId="0" applyNumberFormat="1" applyFont="1" applyFill="1" applyBorder="1" applyAlignment="1">
      <x:alignment horizontal="right" vertical="center"/>
    </x:xf>
    <x:xf numFmtId="206" fontId="1" fillId="7" borderId="9" xfId="0" applyNumberFormat="1" applyFont="1" applyFill="1" applyBorder="1" applyAlignment="1">
      <x:alignment horizontal="right" vertical="center"/>
    </x:xf>
    <x:xf numFmtId="200" fontId="1" fillId="8" borderId="8" xfId="0" applyNumberFormat="1" applyFont="1" applyFill="1" applyBorder="1" applyAlignment="1">
      <x:alignment horizontal="left" vertical="center" wrapText="1"/>
    </x:xf>
    <x:xf numFmtId="0" fontId="7" fillId="8" borderId="0" xfId="0" applyNumberFormat="1" applyFont="1" applyFill="1" applyBorder="1" applyAlignment="1">
      <x:alignment horizontal="right" vertical="center"/>
    </x:xf>
    <x:xf numFmtId="0" fontId="1" fillId="8" borderId="0" xfId="0" applyNumberFormat="1" applyFont="1" applyFill="1" applyBorder="1" applyAlignment="1">
      <x:alignment horizontal="right" vertical="center"/>
    </x:xf>
    <x:xf numFmtId="0" fontId="1" fillId="8" borderId="9" xfId="0" applyNumberFormat="1" applyFont="1" applyFill="1" applyBorder="1" applyAlignment="1">
      <x:alignment horizontal="right" vertical="center"/>
    </x:xf>
    <x:xf numFmtId="206" fontId="7" fillId="8" borderId="0" xfId="0" applyNumberFormat="1" applyFont="1" applyFill="1" applyBorder="1" applyAlignment="1">
      <x:alignment horizontal="right" vertical="center"/>
    </x:xf>
    <x:xf numFmtId="206" fontId="1" fillId="8" borderId="0" xfId="0" applyNumberFormat="1" applyFont="1" applyFill="1" applyBorder="1" applyAlignment="1">
      <x:alignment horizontal="right" vertical="center"/>
    </x:xf>
    <x:xf numFmtId="206" fontId="1" fillId="8" borderId="9" xfId="0" applyNumberFormat="1" applyFont="1" applyFill="1" applyBorder="1" applyAlignment="1">
      <x:alignment horizontal="right" vertical="center"/>
    </x:xf>
    <x:xf numFmtId="200" fontId="1" fillId="6" borderId="8" xfId="0" applyNumberFormat="1" applyFont="1" applyFill="1" applyBorder="1" applyAlignment="1">
      <x:alignment horizontal="left" vertical="center" wrapText="1"/>
    </x:xf>
    <x:xf numFmtId="0" fontId="7" fillId="6" borderId="0" xfId="0" applyNumberFormat="1" applyFont="1" applyFill="1" applyBorder="1" applyAlignment="1">
      <x:alignment horizontal="right" vertical="center"/>
    </x:xf>
    <x:xf numFmtId="0" fontId="1" fillId="6" borderId="0" xfId="0" applyNumberFormat="1" applyFont="1" applyFill="1" applyBorder="1" applyAlignment="1">
      <x:alignment horizontal="right" vertical="center"/>
    </x:xf>
    <x:xf numFmtId="0" fontId="1" fillId="6" borderId="9" xfId="0" applyNumberFormat="1" applyFont="1" applyFill="1" applyBorder="1" applyAlignment="1">
      <x:alignment horizontal="right" vertical="center"/>
    </x:xf>
    <x:xf numFmtId="206" fontId="7" fillId="6" borderId="0" xfId="0" applyNumberFormat="1" applyFont="1" applyFill="1" applyBorder="1" applyAlignment="1">
      <x:alignment horizontal="right" vertical="center"/>
    </x:xf>
    <x:xf numFmtId="206" fontId="1" fillId="6" borderId="0" xfId="0" applyNumberFormat="1" applyFont="1" applyFill="1" applyBorder="1" applyAlignment="1">
      <x:alignment horizontal="right" vertical="center"/>
    </x:xf>
    <x:xf numFmtId="206" fontId="1" fillId="6" borderId="9" xfId="0" applyNumberFormat="1" applyFont="1" applyFill="1" applyBorder="1" applyAlignment="1">
      <x:alignment horizontal="right" vertical="center"/>
    </x:xf>
    <x:xf numFmtId="200" fontId="8" fillId="6" borderId="8" xfId="0" applyNumberFormat="1" applyFont="1" applyFill="1" applyBorder="1" applyAlignment="1">
      <x:alignment horizontal="left" vertical="center" wrapText="1"/>
    </x:xf>
    <x:xf numFmtId="206" fontId="9" fillId="6" borderId="0" xfId="0" applyNumberFormat="1" applyFont="1" applyFill="1" applyBorder="1" applyAlignment="1">
      <x:alignment horizontal="right" vertical="center"/>
    </x:xf>
    <x:xf numFmtId="206" fontId="8" fillId="6" borderId="0" xfId="0" applyNumberFormat="1" applyFont="1" applyFill="1" applyBorder="1" applyAlignment="1">
      <x:alignment horizontal="right" vertical="center"/>
    </x:xf>
    <x:xf numFmtId="206" fontId="8" fillId="6" borderId="9" xfId="0" applyNumberFormat="1" applyFont="1" applyFill="1" applyBorder="1" applyAlignment="1">
      <x:alignment horizontal="right" vertical="center"/>
    </x:xf>
    <x:xf numFmtId="200" fontId="8" fillId="8" borderId="8" xfId="0" applyNumberFormat="1" applyFont="1" applyFill="1" applyBorder="1" applyAlignment="1">
      <x:alignment horizontal="left" vertical="center" wrapText="1"/>
    </x:xf>
    <x:xf numFmtId="206" fontId="9" fillId="8" borderId="0" xfId="0" applyNumberFormat="1" applyFont="1" applyFill="1" applyBorder="1" applyAlignment="1">
      <x:alignment horizontal="right" vertical="center"/>
    </x:xf>
    <x:xf numFmtId="206" fontId="8" fillId="8" borderId="0" xfId="0" applyNumberFormat="1" applyFont="1" applyFill="1" applyBorder="1" applyAlignment="1">
      <x:alignment horizontal="right" vertical="center"/>
    </x:xf>
    <x:xf numFmtId="206" fontId="8" fillId="8" borderId="9" xfId="0" applyNumberFormat="1" applyFont="1" applyFill="1" applyBorder="1" applyAlignment="1">
      <x:alignment horizontal="right" vertical="center"/>
    </x:xf>
    <x:xf numFmtId="204" fontId="7" fillId="2" borderId="0" xfId="0" applyNumberFormat="1" applyFont="1" applyFill="1" applyBorder="1" applyAlignment="1">
      <x:alignment horizontal="right" vertical="center"/>
    </x:xf>
    <x:xf numFmtId="207" fontId="7" fillId="2" borderId="0" xfId="0" applyNumberFormat="1" applyFont="1" applyFill="1" applyBorder="1" applyAlignment="1">
      <x:alignment horizontal="right" vertical="center"/>
    </x:xf>
    <x:xf numFmtId="206" fontId="7" fillId="2" borderId="9" xfId="0" applyNumberFormat="1" applyFont="1" applyFill="1" applyBorder="1" applyAlignment="1">
      <x:alignment horizontal="right" vertical="center"/>
    </x:xf>
    <x:xf numFmtId="0" fontId="1" fillId="9" borderId="0" xfId="0" applyNumberFormat="1" applyFont="1" applyFill="1" applyBorder="1" applyAlignment="1">
      <x:alignment vertical="center" wrapText="1"/>
    </x:xf>
    <x:xf numFmtId="0" fontId="1" fillId="9" borderId="0" xfId="0" applyNumberFormat="1" applyFont="1" applyFill="1" applyBorder="1" applyAlignment="1">
      <x:alignment horizontal="right" vertical="center"/>
    </x:xf>
    <x:xf numFmtId="0" fontId="5" fillId="9" borderId="0" xfId="0" applyNumberFormat="1" applyFont="1" applyFill="1" applyBorder="1" applyAlignment="1">
      <x:alignment vertical="center" wrapText="1"/>
    </x:xf>
    <x:xf numFmtId="0" fontId="5" fillId="9" borderId="0" xfId="0" applyNumberFormat="1" applyFont="1" applyFill="1" applyBorder="1" applyAlignment="1">
      <x:alignment horizontal="right" vertical="center"/>
    </x:xf>
    <x:xf numFmtId="0" fontId="5" fillId="9" borderId="15" xfId="0" applyNumberFormat="1" applyFont="1" applyFill="1" applyBorder="1" applyAlignment="1">
      <x:alignment vertical="center" wrapText="1"/>
    </x:xf>
    <x:xf numFmtId="0" fontId="5" fillId="9" borderId="16" xfId="0" applyNumberFormat="1" applyFont="1" applyFill="1" applyBorder="1" applyAlignment="1">
      <x:alignment horizontal="right" vertical="center"/>
    </x:xf>
    <x:xf numFmtId="0" fontId="5" fillId="9" borderId="17" xfId="0" applyNumberFormat="1" applyFont="1" applyFill="1" applyBorder="1" applyAlignment="1">
      <x:alignment horizontal="right" vertical="center"/>
    </x:xf>
    <x:xf numFmtId="0" fontId="5" fillId="9" borderId="15" xfId="0" applyNumberFormat="1" applyFont="1" applyFill="1" applyBorder="1" applyAlignment="1">
      <x:alignment vertical="center" wrapText="0"/>
    </x:xf>
    <x:xf numFmtId="0" fontId="5" fillId="9" borderId="16" xfId="0" applyNumberFormat="1" applyFont="1" applyFill="1" applyBorder="1" applyAlignment="1">
      <x:alignment horizontal="right" vertical="center" wrapText="0"/>
    </x:xf>
    <x:xf numFmtId="0" fontId="5" fillId="9" borderId="17" xfId="0" applyNumberFormat="1" applyFont="1" applyFill="1" applyBorder="1" applyAlignment="1">
      <x:alignment horizontal="right" vertical="center" wrapText="0"/>
    </x:xf>
    <x:xf numFmtId="0" fontId="5" fillId="9" borderId="15" xfId="0" applyNumberFormat="1" applyFont="1" applyFill="1" applyBorder="1" applyAlignment="1">
      <x:alignment horizontal="left" vertical="center" wrapText="0"/>
    </x:xf>
    <x:xf numFmtId="0" fontId="5" fillId="9" borderId="16" xfId="0" applyNumberFormat="1" applyFont="1" applyFill="1" applyBorder="1" applyAlignment="1">
      <x:alignment horizontal="left" vertical="center" wrapText="0"/>
    </x:xf>
    <x:xf numFmtId="0" fontId="5" fillId="9" borderId="17" xfId="0" applyNumberFormat="1" applyFont="1" applyFill="1" applyBorder="1" applyAlignment="1">
      <x:alignment horizontal="left" vertical="center" wrapText="0"/>
    </x:xf>
    <x:xf numFmtId="0" fontId="5" fillId="9" borderId="18" xfId="0" applyNumberFormat="1" applyFont="1" applyFill="1" applyBorder="1" applyAlignment="1">
      <x:alignment horizontal="left" vertical="center" wrapText="0"/>
    </x:xf>
    <x:xf numFmtId="0" fontId="5" fillId="9" borderId="19" xfId="0" applyNumberFormat="1" applyFont="1" applyFill="1" applyBorder="1" applyAlignment="1">
      <x:alignment horizontal="left" vertical="center" wrapText="0"/>
    </x:xf>
    <x:xf numFmtId="0" fontId="5" fillId="9" borderId="20" xfId="0" applyNumberFormat="1" applyFont="1" applyFill="1" applyBorder="1" applyAlignment="1">
      <x:alignment horizontal="left" vertical="center" wrapText="0"/>
    </x:xf>
    <x:xf numFmtId="0" fontId="1" fillId="2" borderId="21" xfId="0" applyNumberFormat="1" applyFont="1" applyFill="1" applyBorder="1" applyAlignment="1">
      <x:alignment vertical="center" wrapText="1"/>
    </x:xf>
    <x:xf numFmtId="0" fontId="1" fillId="2" borderId="22" xfId="0" applyNumberFormat="1" applyFont="1" applyFill="1" applyBorder="1" applyAlignment="1">
      <x:alignment horizontal="right" vertical="center"/>
    </x:xf>
    <x:xf numFmtId="0" fontId="1" fillId="2" borderId="23" xfId="0" applyNumberFormat="1" applyFont="1" applyFill="1" applyBorder="1" applyAlignment="1">
      <x:alignment vertical="center" wrapText="1"/>
    </x:xf>
    <x:xf numFmtId="0" fontId="1" fillId="2" borderId="24" xfId="0" applyNumberFormat="1" applyFont="1" applyFill="1" applyBorder="1" applyAlignment="1">
      <x:alignment horizontal="right" vertical="center"/>
    </x:xf>
    <x:xf numFmtId="0" fontId="1" fillId="2" borderId="25" xfId="0" applyNumberFormat="1" applyFont="1" applyFill="1" applyBorder="1" applyAlignment="1">
      <x:alignment horizontal="right" vertical="center"/>
    </x:xf>
    <x:xf numFmtId="200" fontId="1" fillId="2" borderId="21" xfId="0" applyNumberFormat="1" applyFont="1" applyFill="1" applyBorder="1" applyAlignment="1">
      <x:alignment vertical="center" wrapText="1"/>
    </x:xf>
    <x:xf numFmtId="200" fontId="1" fillId="2" borderId="21" xfId="0" applyNumberFormat="1" applyFont="1" applyFill="1" applyBorder="1" applyAlignment="1">
      <x:alignment horizontal="left" vertical="center" wrapText="1"/>
    </x:xf>
    <x:xf numFmtId="200" fontId="1" fillId="7" borderId="21" xfId="0" applyNumberFormat="1" applyFont="1" applyFill="1" applyBorder="1" applyAlignment="1">
      <x:alignment horizontal="left" vertical="center" wrapText="1"/>
    </x:xf>
    <x:xf numFmtId="200" fontId="1" fillId="7" borderId="0" xfId="0" applyNumberFormat="1" applyFont="1" applyFill="1" applyBorder="1" applyAlignment="1">
      <x:alignment horizontal="left" vertical="center"/>
    </x:xf>
    <x:xf numFmtId="0" fontId="1" fillId="7" borderId="22" xfId="0" applyNumberFormat="1" applyFont="1" applyFill="1" applyBorder="1" applyAlignment="1">
      <x:alignment horizontal="right" vertical="center"/>
    </x:xf>
    <x:xf numFmtId="200" fontId="8" fillId="7" borderId="21" xfId="0" applyNumberFormat="1" applyFont="1" applyFill="1" applyBorder="1" applyAlignment="1">
      <x:alignment horizontal="left" vertical="center" wrapText="1"/>
    </x:xf>
    <x:xf numFmtId="200" fontId="8" fillId="7" borderId="0" xfId="0" applyNumberFormat="1" applyFont="1" applyFill="1" applyBorder="1" applyAlignment="1">
      <x:alignment horizontal="left" vertical="center"/>
    </x:xf>
    <x:xf numFmtId="0" fontId="8" fillId="7" borderId="0" xfId="0" applyNumberFormat="1" applyFont="1" applyFill="1" applyBorder="1" applyAlignment="1">
      <x:alignment horizontal="right" vertical="center"/>
    </x:xf>
    <x:xf numFmtId="0" fontId="8" fillId="7" borderId="22" xfId="0" applyNumberFormat="1" applyFont="1" applyFill="1" applyBorder="1" applyAlignment="1">
      <x:alignment horizontal="right" vertical="center"/>
    </x:xf>
    <x:xf numFmtId="200" fontId="1" fillId="5" borderId="21" xfId="0" applyNumberFormat="1" applyFont="1" applyFill="1" applyBorder="1" applyAlignment="1">
      <x:alignment vertical="center" wrapText="1"/>
    </x:xf>
    <x:xf numFmtId="200" fontId="6" fillId="5" borderId="21" xfId="0" applyNumberFormat="1" applyFont="1" applyFill="1" applyBorder="1" applyAlignment="1">
      <x:alignment vertical="center" wrapText="1"/>
    </x:xf>
    <x:xf numFmtId="200" fontId="6" fillId="5" borderId="26" xfId="0" applyNumberFormat="1" applyFont="1" applyFill="1" applyBorder="1" applyAlignment="1">
      <x:alignment vertical="center" wrapText="1"/>
    </x:xf>
    <x:xf numFmtId="206" fontId="7" fillId="2" borderId="0" xfId="0" applyNumberFormat="1" applyFont="1" applyFill="1" applyBorder="1" applyAlignment="1">
      <x:alignment horizontal="right" vertical="center"/>
    </x:xf>
    <x:xf numFmtId="0" fontId="9" fillId="7" borderId="0" xfId="0" applyNumberFormat="1" applyFont="1" applyFill="1" applyBorder="1" applyAlignment="1">
      <x:alignment horizontal="right" vertical="center"/>
    </x:xf>
    <x:xf numFmtId="206" fontId="9" fillId="7" borderId="0" xfId="0" applyNumberFormat="1" applyFont="1" applyFill="1" applyBorder="1" applyAlignment="1">
      <x:alignment horizontal="right" vertical="center"/>
    </x:xf>
    <x:xf numFmtId="206" fontId="8" fillId="7" borderId="0" xfId="0" applyNumberFormat="1" applyFont="1" applyFill="1" applyBorder="1" applyAlignment="1">
      <x:alignment horizontal="right" vertical="center"/>
    </x:xf>
    <x:xf numFmtId="206" fontId="8" fillId="7" borderId="22" xfId="0" applyNumberFormat="1" applyFont="1" applyFill="1" applyBorder="1" applyAlignment="1">
      <x:alignment horizontal="right" vertical="center"/>
    </x:xf>
    <x:xf numFmtId="200" fontId="4" fillId="2" borderId="21" xfId="0" applyNumberFormat="1" applyFont="1" applyFill="1" applyBorder="1" applyAlignment="1">
      <x:alignment horizontal="left" vertical="center" wrapText="1"/>
    </x:xf>
    <x:xf numFmtId="0" fontId="4" fillId="2" borderId="22" xfId="0" applyNumberFormat="1" applyFont="1" applyFill="1" applyBorder="1" applyAlignment="1">
      <x:alignment horizontal="right" vertical="center"/>
    </x:xf>
    <x:xf numFmtId="0" fontId="4" fillId="2" borderId="23" xfId="0" applyNumberFormat="1" applyFont="1" applyFill="1" applyBorder="1" applyAlignment="1">
      <x:alignment vertical="center" wrapText="1"/>
    </x:xf>
    <x:xf numFmtId="0" fontId="4" fillId="2" borderId="24" xfId="0" applyNumberFormat="1" applyFont="1" applyFill="1" applyBorder="1" applyAlignment="1">
      <x:alignment horizontal="right" vertical="center"/>
    </x:xf>
    <x:xf numFmtId="0" fontId="4" fillId="2" borderId="25" xfId="0" applyNumberFormat="1" applyFont="1" applyFill="1" applyBorder="1" applyAlignment="1">
      <x:alignment horizontal="right" vertical="center"/>
    </x:xf>
    <x:xf numFmtId="0" fontId="4" fillId="2" borderId="22" xfId="0" applyNumberFormat="1" applyFont="1" applyFill="1" applyBorder="1" applyAlignment="1">
      <x:alignment horizontal="right" vertical="center" wrapText="1"/>
    </x:xf>
    <x:xf numFmtId="0" fontId="4" fillId="2" borderId="24" xfId="0" applyNumberFormat="1" applyFont="1" applyFill="1" applyBorder="1" applyAlignment="1">
      <x:alignment horizontal="right" vertical="center" wrapText="1"/>
    </x:xf>
    <x:xf numFmtId="0" fontId="4" fillId="2" borderId="25" xfId="0" applyNumberFormat="1" applyFont="1" applyFill="1" applyBorder="1" applyAlignment="1">
      <x:alignment horizontal="right" vertical="center" wrapText="1"/>
    </x:xf>
    <x:xf numFmtId="0" fontId="4" fillId="2" borderId="22" xfId="0" applyNumberFormat="1" applyFont="1" applyFill="1" applyBorder="1" applyAlignment="1">
      <x:alignment horizontal="left" vertical="center" wrapText="1"/>
    </x:xf>
    <x:xf numFmtId="0" fontId="4" fillId="2" borderId="23" xfId="0" applyNumberFormat="1" applyFont="1" applyFill="1" applyBorder="1" applyAlignment="1">
      <x:alignment horizontal="left" vertical="center" wrapText="1"/>
    </x:xf>
    <x:xf numFmtId="0" fontId="4" fillId="2" borderId="24" xfId="0" applyNumberFormat="1" applyFont="1" applyFill="1" applyBorder="1" applyAlignment="1">
      <x:alignment horizontal="left" vertical="center" wrapText="1"/>
    </x:xf>
    <x:xf numFmtId="0" fontId="4" fillId="2" borderId="25" xfId="0" applyNumberFormat="1" applyFont="1" applyFill="1" applyBorder="1" applyAlignment="1">
      <x:alignment horizontal="left" vertical="center" wrapText="1"/>
    </x:xf>
    <x:xf numFmtId="0" fontId="1" fillId="10" borderId="0" xfId="0" applyNumberFormat="1" applyFont="1" applyFill="1" applyBorder="1" applyAlignment="1">
      <x:alignment horizontal="left" vertical="center" wrapText="1"/>
    </x:xf>
    <x:xf numFmtId="0" fontId="1" fillId="10" borderId="0" xfId="0" applyNumberFormat="1" applyFont="1" applyFill="1" applyBorder="1" applyAlignment="1">
      <x:alignment horizontal="right" vertical="center"/>
    </x:xf>
    <x:xf numFmtId="0" fontId="5" fillId="10" borderId="0" xfId="0" applyNumberFormat="1" applyFont="1" applyFill="1" applyBorder="1" applyAlignment="1">
      <x:alignment horizontal="left" vertical="center" wrapText="1"/>
    </x:xf>
    <x:xf numFmtId="0" fontId="5" fillId="10" borderId="0" xfId="0" applyNumberFormat="1" applyFont="1" applyFill="1" applyBorder="1" applyAlignment="1">
      <x:alignment horizontal="right" vertical="center"/>
    </x:xf>
    <x:xf numFmtId="0" fontId="5" fillId="10" borderId="27" xfId="0" applyNumberFormat="1" applyFont="1" applyFill="1" applyBorder="1" applyAlignment="1">
      <x:alignment horizontal="left" vertical="center" wrapText="1"/>
    </x:xf>
    <x:xf numFmtId="0" fontId="5" fillId="10" borderId="28" xfId="0" applyNumberFormat="1" applyFont="1" applyFill="1" applyBorder="1" applyAlignment="1">
      <x:alignment horizontal="right" vertical="center"/>
    </x:xf>
    <x:xf numFmtId="0" fontId="5" fillId="10" borderId="29" xfId="0" applyNumberFormat="1" applyFont="1" applyFill="1" applyBorder="1" applyAlignment="1">
      <x:alignment horizontal="right" vertical="center"/>
    </x:xf>
    <x:xf numFmtId="0" fontId="5" fillId="10" borderId="27" xfId="0" applyNumberFormat="1" applyFont="1" applyFill="1" applyBorder="1" applyAlignment="1">
      <x:alignment horizontal="left" vertical="center" wrapText="0"/>
    </x:xf>
    <x:xf numFmtId="0" fontId="5" fillId="10" borderId="28" xfId="0" applyNumberFormat="1" applyFont="1" applyFill="1" applyBorder="1" applyAlignment="1">
      <x:alignment horizontal="right" vertical="center" wrapText="0"/>
    </x:xf>
    <x:xf numFmtId="0" fontId="5" fillId="10" borderId="29" xfId="0" applyNumberFormat="1" applyFont="1" applyFill="1" applyBorder="1" applyAlignment="1">
      <x:alignment horizontal="right" vertical="center" wrapText="0"/>
    </x:xf>
    <x:xf numFmtId="0" fontId="5" fillId="10" borderId="28" xfId="0" applyNumberFormat="1" applyFont="1" applyFill="1" applyBorder="1" applyAlignment="1">
      <x:alignment horizontal="left" vertical="center" wrapText="0"/>
    </x:xf>
    <x:xf numFmtId="0" fontId="5" fillId="10" borderId="29" xfId="0" applyNumberFormat="1" applyFont="1" applyFill="1" applyBorder="1" applyAlignment="1">
      <x:alignment horizontal="left" vertical="center" wrapText="0"/>
    </x:xf>
    <x:xf numFmtId="0" fontId="5" fillId="10" borderId="30" xfId="0" applyNumberFormat="1" applyFont="1" applyFill="1" applyBorder="1" applyAlignment="1">
      <x:alignment horizontal="left" vertical="center" wrapText="0"/>
    </x:xf>
    <x:xf numFmtId="0" fontId="5" fillId="10" borderId="31" xfId="0" applyNumberFormat="1" applyFont="1" applyFill="1" applyBorder="1" applyAlignment="1">
      <x:alignment horizontal="left" vertical="center" wrapText="0"/>
    </x:xf>
    <x:xf numFmtId="0" fontId="5" fillId="10" borderId="32" xfId="0" applyNumberFormat="1" applyFont="1" applyFill="1" applyBorder="1" applyAlignment="1">
      <x:alignment horizontal="left" vertical="center" wrapText="0"/>
    </x:xf>
    <x:xf numFmtId="0" fontId="1" fillId="2" borderId="33" xfId="0" applyNumberFormat="1" applyFont="1" applyFill="1" applyBorder="1" applyAlignment="1">
      <x:alignment horizontal="left" vertical="center" wrapText="1"/>
    </x:xf>
    <x:xf numFmtId="0" fontId="1" fillId="2" borderId="34" xfId="0" applyNumberFormat="1" applyFont="1" applyFill="1" applyBorder="1" applyAlignment="1">
      <x:alignment horizontal="right" vertical="center"/>
    </x:xf>
    <x:xf numFmtId="0" fontId="1" fillId="2" borderId="35" xfId="0" applyNumberFormat="1" applyFont="1" applyFill="1" applyBorder="1" applyAlignment="1">
      <x:alignment horizontal="left" vertical="center" wrapText="1"/>
    </x:xf>
    <x:xf numFmtId="0" fontId="1" fillId="2" borderId="36" xfId="0" applyNumberFormat="1" applyFont="1" applyFill="1" applyBorder="1" applyAlignment="1">
      <x:alignment horizontal="right" vertical="center"/>
    </x:xf>
    <x:xf numFmtId="0" fontId="1" fillId="2" borderId="37" xfId="0" applyNumberFormat="1" applyFont="1" applyFill="1" applyBorder="1" applyAlignment="1">
      <x:alignment horizontal="right" vertical="center"/>
    </x:xf>
    <x:xf numFmtId="0" fontId="1" fillId="8" borderId="33" xfId="0" applyNumberFormat="1" applyFont="1" applyFill="1" applyBorder="1" applyAlignment="1">
      <x:alignment horizontal="left" vertical="center" wrapText="1"/>
    </x:xf>
    <x:xf numFmtId="0" fontId="1" fillId="8" borderId="34" xfId="0" applyNumberFormat="1" applyFont="1" applyFill="1" applyBorder="1" applyAlignment="1">
      <x:alignment horizontal="right" vertical="center"/>
    </x:xf>
    <x:xf numFmtId="0" fontId="8" fillId="8" borderId="33" xfId="0" applyNumberFormat="1" applyFont="1" applyFill="1" applyBorder="1" applyAlignment="1">
      <x:alignment horizontal="left" vertical="center" wrapText="1"/>
    </x:xf>
    <x:xf numFmtId="0" fontId="8" fillId="8" borderId="0" xfId="0" applyNumberFormat="1" applyFont="1" applyFill="1" applyBorder="1" applyAlignment="1">
      <x:alignment horizontal="right" vertical="center"/>
    </x:xf>
    <x:xf numFmtId="0" fontId="8" fillId="8" borderId="34" xfId="0" applyNumberFormat="1" applyFont="1" applyFill="1" applyBorder="1" applyAlignment="1">
      <x:alignment horizontal="right" vertical="center"/>
    </x:xf>
    <x:xf numFmtId="0" fontId="8" fillId="8" borderId="0" xfId="0" applyNumberFormat="1" applyFont="1" applyFill="1" applyBorder="1" applyAlignment="1">
      <x:alignment horizontal="center" vertical="center"/>
    </x:xf>
    <x:xf numFmtId="0" fontId="8" fillId="8" borderId="34" xfId="0" applyNumberFormat="1" applyFont="1" applyFill="1" applyBorder="1" applyAlignment="1">
      <x:alignment horizontal="center" vertical="center"/>
    </x:xf>
    <x:xf numFmtId="0" fontId="8" fillId="8" borderId="0" xfId="0" applyNumberFormat="1" applyFont="1" applyFill="1" applyBorder="1" applyAlignment="1">
      <x:alignment horizontal="left" vertical="center"/>
    </x:xf>
    <x:xf numFmtId="0" fontId="8" fillId="8" borderId="34" xfId="0" applyNumberFormat="1" applyFont="1" applyFill="1" applyBorder="1" applyAlignment="1">
      <x:alignment horizontal="left" vertical="center"/>
    </x:xf>
    <x:xf numFmtId="200" fontId="1" fillId="2" borderId="33" xfId="0" applyNumberFormat="1" applyFont="1" applyFill="1" applyBorder="1" applyAlignment="1">
      <x:alignment horizontal="left" vertical="center" wrapText="1"/>
    </x:xf>
    <x:xf numFmtId="0" fontId="7" fillId="2" borderId="34" xfId="0" applyNumberFormat="1" applyFont="1" applyFill="1" applyBorder="1" applyAlignment="1">
      <x:alignment horizontal="right" vertical="center"/>
    </x:xf>
    <x:xf numFmtId="206" fontId="7" fillId="2" borderId="34" xfId="0" applyNumberFormat="1" applyFont="1" applyFill="1" applyBorder="1" applyAlignment="1">
      <x:alignment horizontal="right" vertical="center"/>
    </x:xf>
    <x:xf numFmtId="200" fontId="1" fillId="8" borderId="33" xfId="0" applyNumberFormat="1" applyFont="1" applyFill="1" applyBorder="1" applyAlignment="1">
      <x:alignment horizontal="left" vertical="center" wrapText="1"/>
    </x:xf>
    <x:xf numFmtId="0" fontId="7" fillId="8" borderId="34" xfId="0" applyNumberFormat="1" applyFont="1" applyFill="1" applyBorder="1" applyAlignment="1">
      <x:alignment horizontal="right" vertical="center"/>
    </x:xf>
    <x:xf numFmtId="200" fontId="8" fillId="8" borderId="33" xfId="0" applyNumberFormat="1" applyFont="1" applyFill="1" applyBorder="1" applyAlignment="1">
      <x:alignment horizontal="left" vertical="center" wrapText="1"/>
    </x:xf>
    <x:xf numFmtId="0" fontId="9" fillId="8" borderId="0" xfId="0" applyNumberFormat="1" applyFont="1" applyFill="1" applyBorder="1" applyAlignment="1">
      <x:alignment horizontal="right" vertical="center"/>
    </x:xf>
    <x:xf numFmtId="0" fontId="9" fillId="8" borderId="34" xfId="0" applyNumberFormat="1" applyFont="1" applyFill="1" applyBorder="1" applyAlignment="1">
      <x:alignment horizontal="right" vertical="center"/>
    </x:xf>
    <x:xf numFmtId="206" fontId="9" fillId="8" borderId="34" xfId="0" applyNumberFormat="1" applyFont="1" applyFill="1" applyBorder="1" applyAlignment="1">
      <x:alignment horizontal="right" vertical="center"/>
    </x:xf>
    <x:xf numFmtId="200" fontId="4" fillId="2" borderId="33" xfId="0" applyNumberFormat="1" applyFont="1" applyFill="1" applyBorder="1" applyAlignment="1">
      <x:alignment horizontal="left" vertical="center" wrapText="1"/>
    </x:xf>
    <x:xf numFmtId="0" fontId="4" fillId="2" borderId="34" xfId="0" applyNumberFormat="1" applyFont="1" applyFill="1" applyBorder="1" applyAlignment="1">
      <x:alignment horizontal="right" vertical="center"/>
    </x:xf>
    <x:xf numFmtId="0" fontId="4" fillId="2" borderId="35" xfId="0" applyNumberFormat="1" applyFont="1" applyFill="1" applyBorder="1" applyAlignment="1">
      <x:alignment horizontal="left" vertical="center" wrapText="1"/>
    </x:xf>
    <x:xf numFmtId="0" fontId="4" fillId="2" borderId="36" xfId="0" applyNumberFormat="1" applyFont="1" applyFill="1" applyBorder="1" applyAlignment="1">
      <x:alignment horizontal="right" vertical="center"/>
    </x:xf>
    <x:xf numFmtId="0" fontId="4" fillId="2" borderId="37" xfId="0" applyNumberFormat="1" applyFont="1" applyFill="1" applyBorder="1" applyAlignment="1">
      <x:alignment horizontal="right" vertical="center"/>
    </x:xf>
    <x:xf numFmtId="0" fontId="4" fillId="2" borderId="34" xfId="0" applyNumberFormat="1" applyFont="1" applyFill="1" applyBorder="1" applyAlignment="1">
      <x:alignment horizontal="right" vertical="center" wrapText="1"/>
    </x:xf>
    <x:xf numFmtId="0" fontId="4" fillId="2" borderId="36" xfId="0" applyNumberFormat="1" applyFont="1" applyFill="1" applyBorder="1" applyAlignment="1">
      <x:alignment horizontal="right" vertical="center" wrapText="1"/>
    </x:xf>
    <x:xf numFmtId="0" fontId="4" fillId="2" borderId="37" xfId="0" applyNumberFormat="1" applyFont="1" applyFill="1" applyBorder="1" applyAlignment="1">
      <x:alignment horizontal="right" vertical="center" wrapText="1"/>
    </x:xf>
    <x:xf numFmtId="0" fontId="4" fillId="2" borderId="34" xfId="0" applyNumberFormat="1" applyFont="1" applyFill="1" applyBorder="1" applyAlignment="1">
      <x:alignment horizontal="left" vertical="center" wrapText="1"/>
    </x:xf>
    <x:xf numFmtId="0" fontId="4" fillId="2" borderId="36" xfId="0" applyNumberFormat="1" applyFont="1" applyFill="1" applyBorder="1" applyAlignment="1">
      <x:alignment horizontal="left" vertical="center" wrapText="1"/>
    </x:xf>
    <x:xf numFmtId="0" fontId="4" fillId="2" borderId="37" xfId="0" applyNumberFormat="1" applyFont="1" applyFill="1" applyBorder="1" applyAlignment="1">
      <x:alignment horizontal="left" vertical="center" wrapText="1"/>
    </x:xf>
    <x:xf numFmtId="0" fontId="1" fillId="0" borderId="0" xfId="0" applyNumberFormat="1" applyFont="1" applyFill="1" applyBorder="1"/>
    <x:xf numFmtId="0" fontId="1" fillId="0" borderId="0" xfId="0" applyNumberFormat="1" applyFont="1" applyFill="1" applyBorder="1" applyAlignment="1">
      <x:alignment vertical="center"/>
    </x:xf>
    <x:xf numFmtId="0" fontId="10" fillId="0" borderId="0" xfId="0" applyNumberFormat="1" applyFont="1" applyFill="1" applyBorder="1"/>
    <x:xf numFmtId="0" fontId="1" fillId="10" borderId="0" xfId="0" applyNumberFormat="1" applyFont="1" applyFill="1" applyBorder="1" applyAlignment="1">
      <x:alignment vertical="center" wrapText="1"/>
    </x:xf>
    <x:xf numFmtId="0" fontId="5" fillId="10" borderId="0" xfId="0" applyNumberFormat="1" applyFont="1" applyFill="1" applyBorder="1" applyAlignment="1">
      <x:alignment vertical="center" wrapText="1"/>
    </x:xf>
    <x:xf numFmtId="0" fontId="5" fillId="10" borderId="27" xfId="0" applyNumberFormat="1" applyFont="1" applyFill="1" applyBorder="1" applyAlignment="1">
      <x:alignment vertical="center" wrapText="1"/>
    </x:xf>
    <x:xf numFmtId="0" fontId="5" fillId="10" borderId="27" xfId="0" applyNumberFormat="1" applyFont="1" applyFill="1" applyBorder="1" applyAlignment="1">
      <x:alignment vertical="center" wrapText="0"/>
    </x:xf>
    <x:xf numFmtId="0" fontId="1" fillId="2" borderId="33" xfId="0" applyNumberFormat="1" applyFont="1" applyFill="1" applyBorder="1" applyAlignment="1">
      <x:alignment vertical="center" wrapText="1"/>
    </x:xf>
    <x:xf numFmtId="0" fontId="1" fillId="2" borderId="35" xfId="0" applyNumberFormat="1" applyFont="1" applyFill="1" applyBorder="1" applyAlignment="1">
      <x:alignment vertical="center" wrapText="1"/>
    </x:xf>
    <x:xf numFmtId="0" fontId="1" fillId="8" borderId="33" xfId="0" applyNumberFormat="1" applyFont="1" applyFill="1" applyBorder="1" applyAlignment="1">
      <x:alignment vertical="center" wrapText="1"/>
    </x:xf>
    <x:xf numFmtId="0" fontId="8" fillId="8" borderId="33" xfId="0" applyNumberFormat="1" applyFont="1" applyFill="1" applyBorder="1" applyAlignment="1">
      <x:alignment vertical="center" wrapText="1"/>
    </x:xf>
    <x:xf numFmtId="200" fontId="1" fillId="2" borderId="33" xfId="0" applyNumberFormat="1" applyFont="1" applyFill="1" applyBorder="1" applyAlignment="1">
      <x:alignment vertical="center" wrapText="1"/>
    </x:xf>
    <x:xf numFmtId="0" fontId="7" fillId="2" borderId="33" xfId="0" applyNumberFormat="1" applyFont="1" applyFill="1" applyBorder="1" applyAlignment="1">
      <x:alignment vertical="center" wrapText="1"/>
    </x:xf>
    <x:xf numFmtId="205" fontId="7" fillId="2" borderId="0" xfId="0" applyNumberFormat="1" applyFont="1" applyFill="1" applyBorder="1" applyAlignment="1">
      <x:alignment horizontal="right" vertical="center"/>
    </x:xf>
    <x:xf numFmtId="200" fontId="7" fillId="2" borderId="0" xfId="0" applyNumberFormat="1" applyFont="1" applyFill="1" applyBorder="1" applyAlignment="1">
      <x:alignment horizontal="left" vertical="center"/>
    </x:xf>
    <x:xf numFmtId="209" fontId="7" fillId="2" borderId="0" xfId="0" applyNumberFormat="1" applyFont="1" applyFill="1" applyBorder="1" applyAlignment="1">
      <x:alignment horizontal="right" vertical="center"/>
    </x:xf>
    <x:xf numFmtId="210" fontId="7" fillId="2" borderId="0" xfId="0" applyNumberFormat="1" applyFont="1" applyFill="1" applyBorder="1" applyAlignment="1">
      <x:alignment horizontal="right" vertical="center"/>
    </x:xf>
    <x:xf numFmtId="211" fontId="7" fillId="2" borderId="0" xfId="0" applyNumberFormat="1" applyFont="1" applyFill="1" applyBorder="1" applyAlignment="1">
      <x:alignment horizontal="right" vertical="center"/>
    </x:xf>
    <x:xf numFmtId="200" fontId="1" fillId="2" borderId="33" xfId="0" applyNumberFormat="1" applyFont="1" applyFill="1" applyBorder="1" applyAlignment="1">
      <x:alignment horizontal="left" vertical="center" wrapText="0"/>
    </x:xf>
    <x:xf numFmtId="200" fontId="4" fillId="2" borderId="33" xfId="0" applyNumberFormat="1" applyFont="1" applyFill="1" applyBorder="1" applyAlignment="1">
      <x:alignment horizontal="left" vertical="center" wrapText="0"/>
    </x:xf>
    <x:xf numFmtId="0" fontId="7" fillId="2" borderId="33" xfId="0" applyNumberFormat="1" applyFont="1" applyFill="1" applyBorder="1" applyAlignment="1">
      <x:alignment vertical="center" wrapText="0"/>
    </x:xf>
    <x:xf numFmtId="200" fontId="7" fillId="2" borderId="0" xfId="0" applyNumberFormat="1" applyFont="1" applyFill="1" applyBorder="1" applyAlignment="1">
      <x:alignment horizontal="left" vertical="center" wrapText="1"/>
    </x:xf>
    <x:xf numFmtId="200" fontId="1" fillId="8" borderId="0" xfId="0" applyNumberFormat="1" applyFont="1" applyFill="1" applyBorder="1" applyAlignment="1">
      <x:alignment horizontal="left" vertical="center" wrapText="1"/>
    </x:xf>
    <x:xf numFmtId="200" fontId="7" fillId="8" borderId="0" xfId="0" applyNumberFormat="1" applyFont="1" applyFill="1" applyBorder="1" applyAlignment="1">
      <x:alignment horizontal="left" vertical="center" wrapText="1"/>
    </x:xf>
    <x:xf numFmtId="200" fontId="8" fillId="8" borderId="0" xfId="0" applyNumberFormat="1" applyFont="1" applyFill="1" applyBorder="1" applyAlignment="1">
      <x:alignment horizontal="left" vertical="center" wrapText="1"/>
    </x:xf>
    <x:xf numFmtId="200" fontId="9" fillId="8" borderId="0" xfId="0" applyNumberFormat="1" applyFont="1" applyFill="1" applyBorder="1" applyAlignment="1">
      <x:alignment horizontal="left" vertical="center" wrapText="1"/>
    </x:xf>
    <x:xf numFmtId="0" fontId="4" fillId="2" borderId="35" xfId="0" applyNumberFormat="1" applyFont="1" applyFill="1" applyBorder="1" applyAlignment="1">
      <x:alignment vertical="center" wrapText="1"/>
    </x:xf>
    <x:xf numFmtId="200" fontId="1" fillId="2" borderId="8" xfId="0" applyNumberFormat="1" applyFont="1" applyFill="1" applyBorder="1" applyAlignment="1">
      <x:alignment horizontal="left" vertical="center" wrapText="0"/>
    </x:xf>
    <x:xf numFmtId="0" fontId="1" fillId="8" borderId="8" xfId="0" applyNumberFormat="1" applyFont="1" applyFill="1" applyBorder="1" applyAlignment="1">
      <x:alignment vertical="center" wrapText="1"/>
    </x:xf>
    <x:xf numFmtId="0" fontId="8" fillId="8" borderId="8" xfId="0" applyNumberFormat="1" applyFont="1" applyFill="1" applyBorder="1" applyAlignment="1">
      <x:alignment vertical="center" wrapText="1"/>
    </x:xf>
    <x:xf numFmtId="0" fontId="8" fillId="8" borderId="9" xfId="0" applyNumberFormat="1" applyFont="1" applyFill="1" applyBorder="1" applyAlignment="1">
      <x:alignment horizontal="right" vertical="center"/>
    </x:xf>
    <x:xf numFmtId="0" fontId="8" fillId="8" borderId="8" xfId="0" applyNumberFormat="1" applyFont="1" applyFill="1" applyBorder="1" applyAlignment="1">
      <x:alignment horizontal="left" vertical="center" wrapText="1"/>
    </x:xf>
    <x:xf numFmtId="0" fontId="8" fillId="8" borderId="9" xfId="0" applyNumberFormat="1" applyFont="1" applyFill="1" applyBorder="1" applyAlignment="1">
      <x:alignment horizontal="left" vertical="center"/>
    </x:xf>
    <x:xf numFmtId="200" fontId="4" fillId="2" borderId="8" xfId="0" applyNumberFormat="1" applyFont="1" applyFill="1" applyBorder="1" applyAlignment="1">
      <x:alignment horizontal="left" vertical="center" wrapText="1"/>
    </x:xf>
    <x:xf numFmtId="0" fontId="4" fillId="2" borderId="9" xfId="0" applyNumberFormat="1" applyFont="1" applyFill="1" applyBorder="1" applyAlignment="1">
      <x:alignment horizontal="right" vertical="center"/>
    </x:xf>
    <x:xf numFmtId="0" fontId="4" fillId="2" borderId="8" xfId="0" applyNumberFormat="1" applyFont="1" applyFill="1" applyBorder="1" applyAlignment="1">
      <x:alignment vertical="center" wrapText="1"/>
    </x:xf>
    <x:xf numFmtId="0" fontId="4" fillId="2" borderId="9" xfId="0" applyNumberFormat="1" applyFont="1" applyFill="1" applyBorder="1" applyAlignment="1">
      <x:alignment horizontal="right" vertical="center" wrapText="1"/>
    </x:xf>
    <x:xf numFmtId="0" fontId="4" fillId="2" borderId="9" xfId="0" applyNumberFormat="1" applyFont="1" applyFill="1" applyBorder="1" applyAlignment="1">
      <x:alignment horizontal="left" vertical="center" wrapText="1"/>
    </x:xf>
    <x:xf numFmtId="0" fontId="4" fillId="2" borderId="8" xfId="0" applyNumberFormat="1" applyFont="1" applyFill="1" applyBorder="1" applyAlignment="1">
      <x:alignment horizontal="left" vertical="center" wrapText="1"/>
    </x:xf>
    <x:xf numFmtId="0" fontId="1" fillId="4" borderId="0" xfId="0" applyNumberFormat="1" applyFont="1" applyFill="1" applyBorder="1" applyAlignment="1">
      <x:alignment horizontal="right" vertical="center" wrapText="1"/>
    </x:xf>
    <x:xf numFmtId="0" fontId="5" fillId="4" borderId="0" xfId="0" applyNumberFormat="1" applyFont="1" applyFill="1" applyBorder="1" applyAlignment="1">
      <x:alignment horizontal="right" vertical="center" wrapText="1"/>
    </x:xf>
    <x:xf numFmtId="0" fontId="5" fillId="4" borderId="2" xfId="0" applyNumberFormat="1" applyFont="1" applyFill="1" applyBorder="1" applyAlignment="1">
      <x:alignment horizontal="right" vertical="center" wrapText="1"/>
    </x:xf>
    <x:xf numFmtId="0" fontId="5" fillId="4" borderId="2" xfId="0" applyNumberFormat="1" applyFont="1" applyFill="1" applyBorder="1" applyAlignment="1">
      <x:alignment horizontal="right" vertical="center" wrapText="0"/>
    </x:xf>
    <x:xf numFmtId="0" fontId="1" fillId="2" borderId="8" xfId="0" applyNumberFormat="1" applyFont="1" applyFill="1" applyBorder="1" applyAlignment="1">
      <x:alignment horizontal="right" vertical="center" wrapText="1"/>
    </x:xf>
    <x:xf numFmtId="0" fontId="1" fillId="2" borderId="10" xfId="0" applyNumberFormat="1" applyFont="1" applyFill="1" applyBorder="1" applyAlignment="1">
      <x:alignment horizontal="right" vertical="center" wrapText="1"/>
    </x:xf>
    <x:xf numFmtId="200" fontId="1" fillId="2" borderId="8" xfId="0" applyNumberFormat="1" applyFont="1" applyFill="1" applyBorder="1" applyAlignment="1">
      <x:alignment horizontal="right" vertical="center" wrapText="1"/>
    </x:xf>
    <x:xf numFmtId="201" fontId="1" fillId="2" borderId="0" xfId="0" applyNumberFormat="1" applyFont="1" applyFill="1" applyBorder="1" applyAlignment="1">
      <x:alignment horizontal="right" vertical="center"/>
    </x:xf>
    <x:xf numFmtId="201" fontId="1" fillId="5" borderId="0" xfId="0" applyNumberFormat="1" applyFont="1" applyFill="1" applyBorder="1" applyAlignment="1">
      <x:alignment horizontal="right" vertical="center"/>
    </x:xf>
    <x:xf numFmtId="201" fontId="6" fillId="5" borderId="0" xfId="0" applyNumberFormat="1" applyFont="1" applyFill="1" applyBorder="1" applyAlignment="1">
      <x:alignment horizontal="right" vertical="center"/>
    </x:xf>
    <x:xf numFmtId="0" fontId="4" fillId="2" borderId="8" xfId="0" applyNumberFormat="1" applyFont="1" applyFill="1" applyBorder="1" applyAlignment="1">
      <x:alignment horizontal="right" vertical="center" wrapText="1"/>
    </x:xf>
    <x:xf numFmtId="0" fontId="1" fillId="2" borderId="9" xfId="0" applyNumberFormat="1" applyFont="1" applyFill="1" applyBorder="1" applyAlignment="1">
      <x:alignment horizontal="right" vertical="center" wrapText="1"/>
    </x:xf>
    <x:xf numFmtId="0" fontId="4" fillId="2" borderId="10" xfId="0" applyNumberFormat="1" applyFont="1" applyFill="1" applyBorder="1" applyAlignment="1">
      <x:alignment horizontal="right" vertical="center" wrapText="1"/>
    </x:xf>
    <x:xf numFmtId="0" fontId="4" fillId="2" borderId="10" xfId="0" applyNumberFormat="1" applyFont="1" applyFill="1" applyBorder="1" applyAlignment="1">
      <x:alignment horizontal="left" vertical="center" wrapText="1"/>
    </x:xf>
    <x:xf numFmtId="0" fontId="5" fillId="4" borderId="3" xfId="0" applyNumberFormat="1" applyFont="1" applyFill="1" applyBorder="1" applyAlignment="1">
      <x:alignment horizontal="right" vertical="center" wrapText="1"/>
    </x:xf>
    <x:xf numFmtId="212" fontId="1" fillId="2" borderId="0" xfId="0" applyNumberFormat="1" applyFont="1" applyFill="1" applyBorder="1" applyAlignment="1">
      <x:alignment horizontal="right" vertical="center"/>
    </x:xf>
    <x:xf numFmtId="212" fontId="1" fillId="2" borderId="0" xfId="0" applyNumberFormat="1" applyFont="1" applyFill="1" applyBorder="1" applyAlignment="1">
      <x:alignment horizontal="right" vertical="center" wrapText="1"/>
    </x:xf>
    <x:xf numFmtId="200" fontId="1" fillId="4" borderId="0" xfId="0" applyNumberFormat="1" applyFont="1" applyFill="1" applyBorder="1" applyAlignment="1">
      <x:alignment horizontal="left" vertical="center" wrapText="1"/>
    </x:xf>
    <x:xf numFmtId="212" fontId="1" fillId="4" borderId="0" xfId="0" applyNumberFormat="1" applyFont="1" applyFill="1" applyBorder="1" applyAlignment="1">
      <x:alignment horizontal="right" vertical="center"/>
    </x:xf>
    <x:xf numFmtId="212" fontId="1" fillId="4" borderId="0" xfId="0" applyNumberFormat="1" applyFont="1" applyFill="1" applyBorder="1" applyAlignment="1">
      <x:alignment horizontal="right" vertical="center" wrapText="1"/>
    </x:xf>
    <x:xf numFmtId="200" fontId="11" fillId="4" borderId="0" xfId="0" applyNumberFormat="1" applyFont="1" applyFill="1" applyBorder="1" applyAlignment="1">
      <x:alignment horizontal="left" vertical="center" wrapText="1"/>
    </x:xf>
    <x:xf numFmtId="212" fontId="11" fillId="4" borderId="0" xfId="0" applyNumberFormat="1" applyFont="1" applyFill="1" applyBorder="1" applyAlignment="1">
      <x:alignment horizontal="right" vertical="center"/>
    </x:xf>
    <x:xf numFmtId="212" fontId="11" fillId="4" borderId="0" xfId="0" applyNumberFormat="1" applyFont="1" applyFill="1" applyBorder="1" applyAlignment="1">
      <x:alignment horizontal="right" vertical="center" wrapText="1"/>
    </x:xf>
    <x:xf numFmtId="0" fontId="7" fillId="2" borderId="0" xfId="0" applyNumberFormat="1" applyFont="1" applyFill="1" applyBorder="1" applyAlignment="1">
      <x:alignment horizontal="right" vertical="center" wrapText="1"/>
    </x:xf>
    <x:xf numFmtId="206" fontId="7" fillId="2" borderId="0" xfId="0" applyNumberFormat="1" applyFont="1" applyFill="1" applyBorder="1" applyAlignment="1">
      <x:alignment horizontal="right" vertical="center" wrapText="1"/>
    </x:xf>
    <x:xf numFmtId="200" fontId="1" fillId="2" borderId="0" xfId="0" applyNumberFormat="1" applyFont="1" applyFill="1" applyBorder="1" applyAlignment="1">
      <x:alignment horizontal="left" vertical="center" wrapText="0"/>
    </x:xf>
    <x:xf numFmtId="200" fontId="1" fillId="7" borderId="0" xfId="0" applyNumberFormat="1" applyFont="1" applyFill="1" applyBorder="1" applyAlignment="1">
      <x:alignment horizontal="left" vertical="center" wrapText="0"/>
    </x:xf>
    <x:xf numFmtId="206" fontId="7" fillId="7" borderId="0" xfId="0" applyNumberFormat="1" applyFont="1" applyFill="1" applyBorder="1" applyAlignment="1">
      <x:alignment horizontal="right" vertical="center" wrapText="1"/>
    </x:xf>
    <x:xf numFmtId="200" fontId="1" fillId="8" borderId="0" xfId="0" applyNumberFormat="1" applyFont="1" applyFill="1" applyBorder="1" applyAlignment="1">
      <x:alignment horizontal="left" vertical="center" wrapText="0"/>
    </x:xf>
    <x:xf numFmtId="206" fontId="7" fillId="8" borderId="0" xfId="0" applyNumberFormat="1" applyFont="1" applyFill="1" applyBorder="1" applyAlignment="1">
      <x:alignment horizontal="right" vertical="center" wrapText="1"/>
    </x:xf>
    <x:xf numFmtId="200" fontId="1" fillId="6" borderId="0" xfId="0" applyNumberFormat="1" applyFont="1" applyFill="1" applyBorder="1" applyAlignment="1">
      <x:alignment horizontal="left" vertical="center" wrapText="0"/>
    </x:xf>
    <x:xf numFmtId="206" fontId="7" fillId="6" borderId="0" xfId="0" applyNumberFormat="1" applyFont="1" applyFill="1" applyBorder="1" applyAlignment="1">
      <x:alignment horizontal="right" vertical="center" wrapText="1"/>
    </x:xf>
    <x:xf numFmtId="200" fontId="8" fillId="6" borderId="0" xfId="0" applyNumberFormat="1" applyFont="1" applyFill="1" applyBorder="1" applyAlignment="1">
      <x:alignment horizontal="left" vertical="center" wrapText="0"/>
    </x:xf>
    <x:xf numFmtId="206" fontId="9" fillId="6" borderId="0" xfId="0" applyNumberFormat="1" applyFont="1" applyFill="1" applyBorder="1" applyAlignment="1">
      <x:alignment horizontal="right" vertical="center" wrapText="1"/>
    </x:xf>
    <x:xf numFmtId="204" fontId="7" fillId="2" borderId="0" xfId="0" applyNumberFormat="1" applyFont="1" applyFill="1" applyBorder="1" applyAlignment="1">
      <x:alignment horizontal="right" vertical="center" wrapText="1"/>
    </x:xf>
    <x:xf numFmtId="204" fontId="7" fillId="6" borderId="0" xfId="0" applyNumberFormat="1" applyFont="1" applyFill="1" applyBorder="1" applyAlignment="1">
      <x:alignment horizontal="right" vertical="center"/>
    </x:xf>
    <x:xf numFmtId="204" fontId="7" fillId="6" borderId="0" xfId="0" applyNumberFormat="1" applyFont="1" applyFill="1" applyBorder="1" applyAlignment="1">
      <x:alignment horizontal="right" vertical="center" wrapText="1"/>
    </x:xf>
    <x:xf numFmtId="204" fontId="9" fillId="6" borderId="0" xfId="0" applyNumberFormat="1" applyFont="1" applyFill="1" applyBorder="1" applyAlignment="1">
      <x:alignment horizontal="right" vertical="center"/>
    </x:xf>
    <x:xf numFmtId="204" fontId="9" fillId="6" borderId="0" xfId="0" applyNumberFormat="1" applyFont="1" applyFill="1" applyBorder="1" applyAlignment="1">
      <x:alignment horizontal="right" vertical="center" wrapText="1"/>
    </x:xf>
    <x:xf numFmtId="207" fontId="7" fillId="2" borderId="0" xfId="0" applyNumberFormat="1" applyFont="1" applyFill="1" applyBorder="1" applyAlignment="1">
      <x:alignment horizontal="right" vertical="center" wrapText="1"/>
    </x:xf>
    <x:xf numFmtId="207" fontId="7" fillId="6" borderId="0" xfId="0" applyNumberFormat="1" applyFont="1" applyFill="1" applyBorder="1" applyAlignment="1">
      <x:alignment horizontal="right" vertical="center"/>
    </x:xf>
    <x:xf numFmtId="207" fontId="7" fillId="6" borderId="0" xfId="0" applyNumberFormat="1" applyFont="1" applyFill="1" applyBorder="1" applyAlignment="1">
      <x:alignment horizontal="right" vertical="center" wrapText="1"/>
    </x:xf>
    <x:xf numFmtId="207" fontId="9" fillId="6" borderId="0" xfId="0" applyNumberFormat="1" applyFont="1" applyFill="1" applyBorder="1" applyAlignment="1">
      <x:alignment horizontal="right" vertical="center"/>
    </x:xf>
    <x:xf numFmtId="207" fontId="9" fillId="6" borderId="0" xfId="0" applyNumberFormat="1" applyFont="1" applyFill="1" applyBorder="1" applyAlignment="1">
      <x:alignment horizontal="right" vertical="center" wrapText="1"/>
    </x:xf>
    <x:xf numFmtId="200" fontId="8" fillId="6" borderId="38" xfId="0" applyNumberFormat="1" applyFont="1" applyFill="1" applyBorder="1" applyAlignment="1">
      <x:alignment horizontal="left" vertical="center" wrapText="0"/>
    </x:xf>
    <x:xf numFmtId="206" fontId="9" fillId="6" borderId="38" xfId="0" applyNumberFormat="1" applyFont="1" applyFill="1" applyBorder="1" applyAlignment="1">
      <x:alignment horizontal="right" vertical="center"/>
    </x:xf>
    <x:xf numFmtId="206" fontId="9" fillId="6" borderId="38" xfId="0" applyNumberFormat="1" applyFont="1" applyFill="1" applyBorder="1" applyAlignment="1">
      <x:alignment horizontal="right" vertical="center" wrapText="1"/>
    </x:xf>
    <x:xf numFmtId="200" fontId="11" fillId="4" borderId="8" xfId="0" applyNumberFormat="1" applyFont="1" applyFill="1" applyBorder="1" applyAlignment="1">
      <x:alignment horizontal="left" vertical="center" wrapText="1"/>
    </x:xf>
    <x:xf numFmtId="212" fontId="11" fillId="4" borderId="9" xfId="0" applyNumberFormat="1" applyFont="1" applyFill="1" applyBorder="1" applyAlignment="1">
      <x:alignment horizontal="right" vertical="center"/>
    </x:xf>
    <x:xf numFmtId="200" fontId="1" fillId="7" borderId="8" xfId="0" applyNumberFormat="1" applyFont="1" applyFill="1" applyBorder="1" applyAlignment="1">
      <x:alignment horizontal="left" vertical="center" wrapText="0"/>
    </x:xf>
    <x:xf numFmtId="206" fontId="7" fillId="7" borderId="9" xfId="0" applyNumberFormat="1" applyFont="1" applyFill="1" applyBorder="1" applyAlignment="1">
      <x:alignment horizontal="right" vertical="center"/>
    </x:xf>
    <x:xf numFmtId="200" fontId="1" fillId="8" borderId="8" xfId="0" applyNumberFormat="1" applyFont="1" applyFill="1" applyBorder="1" applyAlignment="1">
      <x:alignment horizontal="left" vertical="center" wrapText="0"/>
    </x:xf>
    <x:xf numFmtId="206" fontId="7" fillId="8" borderId="9" xfId="0" applyNumberFormat="1" applyFont="1" applyFill="1" applyBorder="1" applyAlignment="1">
      <x:alignment horizontal="right" vertical="center"/>
    </x:xf>
    <x:xf numFmtId="200" fontId="8" fillId="6" borderId="8" xfId="0" applyNumberFormat="1" applyFont="1" applyFill="1" applyBorder="1" applyAlignment="1">
      <x:alignment horizontal="left" vertical="center" wrapText="0"/>
    </x:xf>
    <x:xf numFmtId="206" fontId="9" fillId="6" borderId="9" xfId="0" applyNumberFormat="1" applyFont="1" applyFill="1" applyBorder="1" applyAlignment="1">
      <x:alignment horizontal="right" vertical="center"/>
    </x:xf>
    <x:xf numFmtId="200" fontId="8" fillId="6" borderId="39" xfId="0" applyNumberFormat="1" applyFont="1" applyFill="1" applyBorder="1" applyAlignment="1">
      <x:alignment horizontal="left" vertical="center" wrapText="0"/>
    </x:xf>
    <x:xf numFmtId="206" fontId="9" fillId="6" borderId="40" xfId="0" applyNumberFormat="1" applyFont="1" applyFill="1" applyBorder="1" applyAlignment="1">
      <x:alignment horizontal="right" vertical="center"/>
    </x:xf>
    <x:xf numFmtId="204" fontId="9" fillId="6" borderId="9" xfId="0" applyNumberFormat="1" applyFont="1" applyFill="1" applyBorder="1" applyAlignment="1">
      <x:alignment horizontal="right" vertical="center"/>
    </x:xf>
    <x:xf numFmtId="200" fontId="8" fillId="6" borderId="10" xfId="0" applyNumberFormat="1" applyFont="1" applyFill="1" applyBorder="1" applyAlignment="1">
      <x:alignment horizontal="left" vertical="center" wrapText="0"/>
    </x:xf>
    <x:xf numFmtId="207" fontId="9" fillId="6" borderId="11" xfId="0" applyNumberFormat="1" applyFont="1" applyFill="1" applyBorder="1" applyAlignment="1">
      <x:alignment horizontal="right" vertical="center"/>
    </x:xf>
    <x:xf numFmtId="207" fontId="9" fillId="6" borderId="11" xfId="0" applyNumberFormat="1" applyFont="1" applyFill="1" applyBorder="1" applyAlignment="1">
      <x:alignment horizontal="right" vertical="center" wrapText="1"/>
    </x:xf>
    <x:xf numFmtId="207" fontId="9" fillId="6" borderId="12" xfId="0" applyNumberFormat="1" applyFont="1" applyFill="1" applyBorder="1" applyAlignment="1">
      <x:alignment horizontal="right" vertical="center"/>
    </x:xf>
    <x:xf numFmtId="0" fontId="7" fillId="2" borderId="11" xfId="0" applyNumberFormat="1" applyFont="1" applyFill="1" applyBorder="1" applyAlignment="1">
      <x:alignment horizontal="right" vertical="center"/>
    </x:xf>
    <x:xf numFmtId="206" fontId="7" fillId="2" borderId="11" xfId="0" applyNumberFormat="1" applyFont="1" applyFill="1" applyBorder="1" applyAlignment="1">
      <x:alignment horizontal="right" vertical="center"/>
    </x:xf>
    <x:xf numFmtId="200" fontId="1" fillId="6" borderId="10" xfId="0" applyNumberFormat="1" applyFont="1" applyFill="1" applyBorder="1" applyAlignment="1">
      <x:alignment horizontal="left" vertical="center" wrapText="1"/>
    </x:xf>
    <x:xf numFmtId="206" fontId="7" fillId="6" borderId="11" xfId="0" applyNumberFormat="1" applyFont="1" applyFill="1" applyBorder="1" applyAlignment="1">
      <x:alignment horizontal="right" vertical="center"/>
    </x:xf>
    <x:xf numFmtId="0" fontId="1" fillId="6" borderId="11" xfId="0" applyNumberFormat="1" applyFont="1" applyFill="1" applyBorder="1" applyAlignment="1">
      <x:alignment horizontal="right" vertical="center"/>
    </x:xf>
    <x:xf numFmtId="0" fontId="1" fillId="6" borderId="12" xfId="0" applyNumberFormat="1" applyFont="1" applyFill="1" applyBorder="1" applyAlignment="1">
      <x:alignment horizontal="right" vertical="center"/>
    </x:xf>
    <x:xf numFmtId="200" fontId="1" fillId="2" borderId="0" xfId="0" applyNumberFormat="1" applyFont="1" applyFill="1" applyBorder="1" applyAlignment="1">
      <x:alignment horizontal="right" vertical="center" wrapText="1"/>
    </x:xf>
    <x:xf numFmtId="0" fontId="1" fillId="2" borderId="8" xfId="0" applyNumberFormat="1" applyFont="1" applyFill="1" applyBorder="1" applyAlignment="1">
      <x:alignment vertical="center"/>
    </x:xf>
    <x:xf numFmtId="0" fontId="1" fillId="2" borderId="10" xfId="0" applyNumberFormat="1" applyFont="1" applyFill="1" applyBorder="1" applyAlignment="1">
      <x:alignment vertical="center"/>
    </x:xf>
    <x:xf numFmtId="204" fontId="1" fillId="2" borderId="0" xfId="0" applyNumberFormat="1" applyFont="1" applyFill="1" applyBorder="1" applyAlignment="1">
      <x:alignment horizontal="right" vertical="center" wrapText="1"/>
    </x:xf>
    <x:xf numFmtId="204" fontId="1" fillId="5" borderId="0" xfId="0" applyNumberFormat="1" applyFont="1" applyFill="1" applyBorder="1" applyAlignment="1">
      <x:alignment horizontal="right" vertical="center" wrapText="1"/>
    </x:xf>
    <x:xf numFmtId="204" fontId="6" fillId="5" borderId="0" xfId="0" applyNumberFormat="1" applyFont="1" applyFill="1" applyBorder="1" applyAlignment="1">
      <x:alignment horizontal="right" vertical="center" wrapText="1"/>
    </x:xf>
    <x:xf numFmtId="204" fontId="6" fillId="5" borderId="14" xfId="0" applyNumberFormat="1" applyFont="1" applyFill="1" applyBorder="1" applyAlignment="1">
      <x:alignment horizontal="right" vertical="center" wrapText="1"/>
    </x:xf>
    <x:xf numFmtId="200" fontId="1" fillId="6" borderId="0" xfId="0" applyNumberFormat="1" applyFont="1" applyFill="1" applyBorder="1" applyAlignment="1">
      <x:alignment horizontal="left" vertical="center"/>
    </x:xf>
    <x:xf numFmtId="200" fontId="1" fillId="11" borderId="0" xfId="0" applyNumberFormat="1" applyFont="1" applyFill="1" applyBorder="1" applyAlignment="1">
      <x:alignment horizontal="left" vertical="center"/>
    </x:xf>
    <x:xf numFmtId="0" fontId="1" fillId="11" borderId="0" xfId="0" applyNumberFormat="1" applyFont="1" applyFill="1" applyBorder="1" applyAlignment="1">
      <x:alignment horizontal="right" vertical="center"/>
    </x:xf>
    <x:xf numFmtId="200" fontId="1" fillId="2" borderId="8" xfId="0" applyNumberFormat="1" applyFont="1" applyFill="1" applyBorder="1" applyAlignment="1">
      <x:alignment vertical="center"/>
    </x:xf>
    <x:xf numFmtId="200" fontId="1" fillId="2" borderId="8" xfId="0" applyNumberFormat="1" applyFont="1" applyFill="1" applyBorder="1" applyAlignment="1">
      <x:alignment horizontal="left" vertical="center"/>
    </x:xf>
    <x:xf numFmtId="0" fontId="7" fillId="11" borderId="0" xfId="0" applyNumberFormat="1" applyFont="1" applyFill="1" applyBorder="1" applyAlignment="1">
      <x:alignment horizontal="right" vertical="center"/>
    </x:xf>
    <x:xf numFmtId="204" fontId="7" fillId="7" borderId="0" xfId="0" applyNumberFormat="1" applyFont="1" applyFill="1" applyBorder="1" applyAlignment="1">
      <x:alignment horizontal="right" vertical="center"/>
    </x:xf>
    <x:xf numFmtId="207" fontId="7" fillId="7" borderId="0" xfId="0" applyNumberFormat="1" applyFont="1" applyFill="1" applyBorder="1" applyAlignment="1">
      <x:alignment horizontal="right" vertical="center"/>
    </x:xf>
    <x:xf numFmtId="206" fontId="9" fillId="7" borderId="38" xfId="0" applyNumberFormat="1" applyFont="1" applyFill="1" applyBorder="1" applyAlignment="1">
      <x:alignment horizontal="right" vertical="center"/>
    </x:xf>
    <x:xf numFmtId="204" fontId="7" fillId="8" borderId="0" xfId="0" applyNumberFormat="1" applyFont="1" applyFill="1" applyBorder="1" applyAlignment="1">
      <x:alignment horizontal="right" vertical="center"/>
    </x:xf>
    <x:xf numFmtId="207" fontId="7" fillId="8" borderId="0" xfId="0" applyNumberFormat="1" applyFont="1" applyFill="1" applyBorder="1" applyAlignment="1">
      <x:alignment horizontal="right" vertical="center"/>
    </x:xf>
    <x:xf numFmtId="206" fontId="9" fillId="8" borderId="38" xfId="0" applyNumberFormat="1" applyFont="1" applyFill="1" applyBorder="1" applyAlignment="1">
      <x:alignment horizontal="right" vertical="center"/>
    </x:xf>
    <x:xf numFmtId="206" fontId="7" fillId="11" borderId="0" xfId="0" applyNumberFormat="1" applyFont="1" applyFill="1" applyBorder="1" applyAlignment="1">
      <x:alignment horizontal="right" vertical="center"/>
    </x:xf>
    <x:xf numFmtId="204" fontId="7" fillId="11" borderId="0" xfId="0" applyNumberFormat="1" applyFont="1" applyFill="1" applyBorder="1" applyAlignment="1">
      <x:alignment horizontal="right" vertical="center"/>
    </x:xf>
    <x:xf numFmtId="207" fontId="7" fillId="11" borderId="0" xfId="0" applyNumberFormat="1" applyFont="1" applyFill="1" applyBorder="1" applyAlignment="1">
      <x:alignment horizontal="right" vertical="center"/>
    </x:xf>
    <x:xf numFmtId="206" fontId="9" fillId="11" borderId="0" xfId="0" applyNumberFormat="1" applyFont="1" applyFill="1" applyBorder="1" applyAlignment="1">
      <x:alignment horizontal="right" vertical="center"/>
    </x:xf>
    <x:xf numFmtId="206" fontId="9" fillId="11" borderId="38" xfId="0" applyNumberFormat="1" applyFont="1" applyFill="1" applyBorder="1" applyAlignment="1">
      <x:alignment horizontal="right" vertical="center"/>
    </x:xf>
    <x:xf numFmtId="0" fontId="1" fillId="2" borderId="8" xfId="0" applyNumberFormat="1" applyFont="1" applyFill="1" applyBorder="1" applyAlignment="1">
      <x:alignment vertical="center" wrapText="0"/>
    </x:xf>
    <x:xf numFmtId="200" fontId="4" fillId="2" borderId="8" xfId="0" applyNumberFormat="1" applyFont="1" applyFill="1" applyBorder="1" applyAlignment="1">
      <x:alignment horizontal="left" vertical="center"/>
    </x:xf>
    <x:xf numFmtId="0" fontId="4" fillId="2" borderId="10" xfId="0" applyNumberFormat="1" applyFont="1" applyFill="1" applyBorder="1" applyAlignment="1">
      <x:alignment vertical="center"/>
    </x:xf>
    <x:xf numFmtId="0" fontId="4" fillId="2" borderId="1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5" fillId="4" borderId="2" xfId="0" applyNumberFormat="1" applyFont="1" applyFill="1" applyBorder="1" applyAlignment="1">
      <x:alignment vertical="center"/>
    </x:xf>
    <x:xf numFmtId="20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201" fontId="7" fillId="2" borderId="0" xfId="0" applyNumberFormat="1" applyFont="1" applyFill="1" applyBorder="1" applyAlignment="1">
      <x:alignment horizontal="right" vertical="center"/>
    </x:xf>
    <x:xf numFmtId="0" fontId="5" fillId="4" borderId="3" xfId="0" applyNumberFormat="1" applyFont="1" applyFill="1" applyBorder="1" applyAlignment="1">
      <x:alignment vertical="center"/>
    </x:xf>
    <x:xf numFmtId="0" fontId="5" fillId="4" borderId="4" xfId="0" applyNumberFormat="1" applyFont="1" applyFill="1" applyBorder="1" applyAlignment="1">
      <x:alignment vertical="center"/>
    </x:xf>
    <x:xf numFmtId="0" fontId="5" fillId="4" borderId="3" xfId="0" applyNumberFormat="1" applyFont="1" applyFill="1" applyBorder="1" applyAlignment="1">
      <x:alignment vertical="center" wrapText="0"/>
    </x:xf>
    <x:xf numFmtId="0" fontId="5" fillId="4" borderId="4" xfId="0" applyNumberFormat="1" applyFont="1" applyFill="1" applyBorder="1" applyAlignment="1">
      <x:alignment vertical="center" wrapText="0"/>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horizontal="left" vertical="center"/>
    </x:xf>
    <x:xf numFmtId="200" fontId="4" fillId="0" borderId="0" xfId="0" applyNumberFormat="1" applyFont="1" applyFill="1" applyBorder="1" applyAlignment="1">
      <x:alignment horizontal="left" vertical="center"/>
    </x:xf>
    <x:xf numFmtId="0" fontId="4" fillId="0" borderId="0" xfId="0" applyNumberFormat="1" applyFont="1" applyFill="1" applyBorder="1" applyAlignment="1">
      <x:alignment vertical="center"/>
    </x:xf>
    <x:xf numFmtId="200" fontId="4" fillId="0" borderId="0" xfId="0" applyNumberFormat="1" applyFont="1" applyFill="1" applyBorder="1" applyAlignment="1">
      <x:alignment horizontal="left" vertical="center" wrapText="1"/>
    </x:xf>
    <x:xf numFmtId="0" fontId="4" fillId="0" borderId="0" xfId="0" applyNumberFormat="1" applyFont="1" applyFill="1" applyBorder="1" applyAlignment="1">
      <x:alignment vertical="center" wrapText="1"/>
    </x:xf>
    <x:xf numFmtId="0" fontId="4" fillId="0" borderId="0" xfId="0" applyNumberFormat="1" applyFont="1" applyFill="1" applyBorder="1" applyAlignment="1">
      <x:alignment horizontal="left" vertical="center" wrapText="1"/>
    </x:xf>
    <x:xf numFmtId="0" fontId="11" fillId="4" borderId="0" xfId="0" applyNumberFormat="1" applyFont="1" applyFill="1" applyBorder="1" applyAlignment="1">
      <x:alignment vertical="center"/>
    </x:xf>
    <x:xf numFmtId="0" fontId="11" fillId="4"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206" fontId="1" fillId="0" borderId="0" xfId="0" applyNumberFormat="1" applyFont="1" applyFill="1" applyBorder="1" applyAlignment="1">
      <x:alignment vertical="center"/>
    </x:xf>
    <x:xf numFmtId="206" fontId="7" fillId="0" borderId="0" xfId="0" applyNumberFormat="1" applyFont="1" applyFill="1" applyBorder="1" applyAlignment="1">
      <x:alignment vertical="center"/>
    </x:xf>
    <x:xf numFmtId="206" fontId="6" fillId="5" borderId="0" xfId="0" applyNumberFormat="1" applyFont="1" applyFill="1" applyBorder="1" applyAlignment="1">
      <x:alignment vertical="center"/>
    </x:xf>
    <x:xf numFmtId="204" fontId="7"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7" fontId="7"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4" borderId="0" xfId="0" applyNumberFormat="1" applyFont="1" applyFill="1" applyBorder="1"/>
    <x:xf numFmtId="0" fontId="5" fillId="4" borderId="0" xfId="0" applyNumberFormat="1" applyFont="1" applyFill="1" applyBorder="1"/>
    <x:xf numFmtId="0" fontId="5" fillId="4" borderId="2" xfId="0" applyNumberFormat="1" applyFont="1" applyFill="1" applyBorder="1"/>
    <x:xf numFmtId="0" fontId="5" fillId="4" borderId="3" xfId="0" applyNumberFormat="1" applyFont="1" applyFill="1" applyBorder="1"/>
    <x:xf numFmtId="0" fontId="5" fillId="4" borderId="4" xfId="0" applyNumberFormat="1" applyFont="1" applyFill="1" applyBorder="1"/>
    <x:xf numFmtId="0" fontId="5" fillId="4" borderId="2" xfId="0" applyNumberFormat="1" applyFont="1" applyFill="1" applyBorder="1" applyAlignment="1">
      <x:alignment wrapText="0"/>
    </x:xf>
    <x:xf numFmtId="0" fontId="5" fillId="4" borderId="3" xfId="0" applyNumberFormat="1" applyFont="1" applyFill="1" applyBorder="1" applyAlignment="1">
      <x:alignment wrapText="0"/>
    </x:xf>
    <x:xf numFmtId="0" fontId="5" fillId="4" borderId="4" xfId="0" applyNumberFormat="1" applyFont="1" applyFill="1" applyBorder="1" applyAlignment="1">
      <x:alignment wrapText="0"/>
    </x:xf>
    <x:xf numFmtId="0" fontId="5" fillId="4" borderId="2" xfId="0" applyNumberFormat="1" applyFont="1" applyFill="1" applyBorder="1" applyAlignment="1">
      <x:alignment horizontal="left" wrapText="0"/>
    </x:xf>
    <x:xf numFmtId="0" fontId="5" fillId="4" borderId="3" xfId="0" applyNumberFormat="1" applyFont="1" applyFill="1" applyBorder="1" applyAlignment="1">
      <x:alignment horizontal="left" wrapText="0"/>
    </x:xf>
    <x:xf numFmtId="0" fontId="5" fillId="4" borderId="4" xfId="0" applyNumberFormat="1" applyFont="1" applyFill="1" applyBorder="1" applyAlignment="1">
      <x:alignment horizontal="left" wrapText="0"/>
    </x:xf>
    <x:xf numFmtId="200" fontId="1" fillId="0" borderId="0" xfId="0" applyNumberFormat="1" applyFont="1" applyFill="1" applyBorder="1"/>
    <x:xf numFmtId="200" fontId="1" fillId="0" borderId="0" xfId="0" applyNumberFormat="1" applyFont="1" applyFill="1" applyBorder="1" applyAlignment="1">
      <x:alignment horizontal="left"/>
    </x:xf>
    <x:xf numFmtId="200" fontId="4" fillId="0" borderId="0" xfId="0" applyNumberFormat="1" applyFont="1" applyFill="1" applyBorder="1" applyAlignment="1">
      <x:alignment horizontal="left"/>
    </x:xf>
    <x:xf numFmtId="0" fontId="4" fillId="0" borderId="0" xfId="0" applyNumberFormat="1" applyFont="1" applyFill="1" applyBorder="1"/>
    <x:xf numFmtId="200" fontId="4" fillId="0" borderId="0" xfId="0" applyNumberFormat="1" applyFont="1" applyFill="1" applyBorder="1" applyAlignment="1">
      <x:alignment horizontal="left" wrapText="1"/>
    </x:xf>
    <x:xf numFmtId="0" fontId="4" fillId="0" borderId="0" xfId="0" applyNumberFormat="1" applyFont="1" applyFill="1" applyBorder="1" applyAlignment="1">
      <x:alignment wrapText="1"/>
    </x:xf>
    <x:xf numFmtId="0" fontId="4" fillId="0" borderId="0" xfId="0" applyNumberFormat="1" applyFont="1" applyFill="1" applyBorder="1" applyAlignment="1">
      <x:alignment horizontal="left" wrapText="1"/>
    </x:xf>
    <x:xf numFmtId="0" fontId="11" fillId="4" borderId="0" xfId="0" applyNumberFormat="1" applyFont="1" applyFill="1" applyBorder="1"/>
    <x:xf numFmtId="0" fontId="11" fillId="4" borderId="0" xfId="0" applyNumberFormat="1" applyFont="1" applyFill="1" applyBorder="1" applyAlignment="1">
      <x:alignment wrapText="1"/>
    </x:xf>
    <x:xf numFmtId="206" fontId="1" fillId="0" borderId="0" xfId="0" applyNumberFormat="1" applyFont="1" applyFill="1" applyBorder="1"/>
    <x:xf numFmtId="206" fontId="0" fillId="0" borderId="0" xfId="0" applyNumberFormat="1" applyFont="1" applyFill="1" applyBorder="1"/>
    <x:xf numFmtId="204" fontId="1" fillId="0" borderId="0" xfId="0" applyNumberFormat="1" applyFont="1" applyFill="1" applyBorder="1"/>
    <x:xf numFmtId="204" fontId="0" fillId="0" borderId="0" xfId="0" applyNumberFormat="1" applyFont="1" applyFill="1" applyBorder="1"/>
    <x:xf numFmtId="201" fontId="1" fillId="0" borderId="0" xfId="0" applyNumberFormat="1" applyFont="1" applyFill="1" applyBorder="1"/>
    <x:xf numFmtId="201" fontId="0" fillId="0" borderId="0" xfId="0" applyNumberFormat="1" applyFont="1" applyFill="1" applyBorder="1"/>
    <x:xf numFmtId="0" fontId="0" fillId="4" borderId="0" xfId="0" applyNumberFormat="1" applyFont="1" applyFill="1" applyBorder="1"/>
    <x:xf numFmtId="0" fontId="0" fillId="0" borderId="0" xfId="0" applyNumberFormat="1" applyFont="1" applyFill="1" applyBorder="1" applyAlignment="1">
      <x:alignment wrapText="1"/>
    </x:xf>
    <x:xf numFmtId="200" fontId="8" fillId="2" borderId="8" xfId="0" applyNumberFormat="1" applyFont="1" applyFill="1" applyBorder="1" applyAlignment="1">
      <x:alignment horizontal="left" vertical="center" wrapText="0"/>
    </x:xf>
    <x:xf numFmtId="200" fontId="8" fillId="8" borderId="8" xfId="0" applyNumberFormat="1" applyFont="1" applyFill="1" applyBorder="1" applyAlignment="1">
      <x:alignment horizontal="left" vertical="center" wrapText="0"/>
    </x:xf>
    <x:xf numFmtId="200" fontId="8" fillId="7" borderId="21" xfId="0" applyNumberFormat="1" applyFont="1" applyFill="1" applyBorder="1" applyAlignment="1">
      <x:alignment horizontal="left" vertical="center" wrapText="0"/>
    </x:xf>
    <x:xf numFmtId="200" fontId="6" fillId="5" borderId="26" xfId="0" applyNumberFormat="1" applyFont="1" applyFill="1" applyBorder="1" applyAlignment="1">
      <x:alignment vertical="center" wrapText="0"/>
    </x:xf>
    <x:xf numFmtId="0" fontId="1" fillId="2" borderId="21" xfId="0" applyNumberFormat="1" applyFont="1" applyFill="1" applyBorder="1" applyAlignment="1">
      <x:alignment vertical="center" wrapText="0"/>
    </x:xf>
    <x:xf numFmtId="200" fontId="1" fillId="2" borderId="21" xfId="0" applyNumberFormat="1" applyFont="1" applyFill="1" applyBorder="1" applyAlignment="1">
      <x:alignment horizontal="left" vertical="center" wrapText="0"/>
    </x:xf>
    <x:xf numFmtId="0" fontId="8" fillId="8" borderId="33" xfId="0" applyNumberFormat="1" applyFont="1" applyFill="1" applyBorder="1" applyAlignment="1">
      <x:alignment horizontal="left" vertical="center" wrapText="0"/>
    </x:xf>
    <x:xf numFmtId="200" fontId="8" fillId="8" borderId="33" xfId="0" applyNumberFormat="1" applyFont="1" applyFill="1" applyBorder="1" applyAlignment="1">
      <x:alignment horizontal="left" vertical="center" wrapText="0"/>
    </x:xf>
    <x:xf numFmtId="0" fontId="4" fillId="2" borderId="0" xfId="0" applyNumberFormat="1" applyFont="1" applyFill="1" applyBorder="1" applyAlignment="1">
      <x:alignment horizontal="left" vertical="center"/>
    </x:xf>
    <x:xf numFmtId="0" fontId="1" fillId="2" borderId="0" xfId="0" applyNumberFormat="1" applyFont="1" applyFill="1" applyBorder="1" applyAlignment="1">
      <x:alignment horizontal="right" vertical="center" wrapText="0"/>
    </x:xf>
    <x:xf numFmtId="200" fontId="1" fillId="11" borderId="0" xfId="0" applyNumberFormat="1" applyFont="1" applyFill="1" applyBorder="1" applyAlignment="1">
      <x:alignment horizontal="left" vertical="center" wrapText="0"/>
    </x:xf>
    <x:xf numFmtId="0" fontId="1" fillId="2" borderId="9" xfId="0" applyNumberFormat="1" applyFont="1" applyFill="1" applyBorder="1" applyAlignment="1">
      <x:alignment horizontal="right" vertical="center" wrapText="0"/>
    </x:xf>
    <x:xf numFmtId="206" fontId="7" fillId="6" borderId="0" xfId="0" applyNumberFormat="1" applyFont="1" applyFill="1" applyBorder="1" applyAlignment="1">
      <x:alignment horizontal="right" vertical="center" wrapText="0"/>
    </x:xf>
    <x:xf numFmtId="206" fontId="7" fillId="7" borderId="0" xfId="0" applyNumberFormat="1" applyFont="1" applyFill="1" applyBorder="1" applyAlignment="1">
      <x:alignment horizontal="right" vertical="center" wrapText="0"/>
    </x:xf>
    <x:xf numFmtId="206" fontId="7" fillId="8" borderId="0" xfId="0" applyNumberFormat="1" applyFont="1" applyFill="1" applyBorder="1" applyAlignment="1">
      <x:alignment horizontal="right" vertical="center" wrapText="0"/>
    </x:xf>
    <x:xf numFmtId="206" fontId="7" fillId="11" borderId="0" xfId="0" applyNumberFormat="1" applyFont="1" applyFill="1" applyBorder="1" applyAlignment="1">
      <x:alignment horizontal="right" vertical="center" wrapText="0"/>
    </x:xf>
    <x:xf numFmtId="206" fontId="9" fillId="6" borderId="38" xfId="0" applyNumberFormat="1" applyFont="1" applyFill="1" applyBorder="1" applyAlignment="1">
      <x:alignment horizontal="right" vertical="center" wrapText="0"/>
    </x:xf>
    <x:xf numFmtId="206" fontId="9" fillId="7" borderId="38" xfId="0" applyNumberFormat="1" applyFont="1" applyFill="1" applyBorder="1" applyAlignment="1">
      <x:alignment horizontal="right" vertical="center" wrapText="0"/>
    </x:xf>
    <x:xf numFmtId="206" fontId="9" fillId="8" borderId="38" xfId="0" applyNumberFormat="1" applyFont="1" applyFill="1" applyBorder="1" applyAlignment="1">
      <x:alignment horizontal="right" vertical="center" wrapText="0"/>
    </x:xf>
    <x:xf numFmtId="206" fontId="9" fillId="11" borderId="38" xfId="0" applyNumberFormat="1" applyFont="1" applyFill="1" applyBorder="1" applyAlignment="1">
      <x:alignment horizontal="right" vertical="center" wrapText="0"/>
    </x:xf>
    <x:xf numFmtId="204" fontId="7" fillId="6" borderId="0" xfId="0" applyNumberFormat="1" applyFont="1" applyFill="1" applyBorder="1" applyAlignment="1">
      <x:alignment horizontal="right" vertical="center" wrapText="0"/>
    </x:xf>
    <x:xf numFmtId="204" fontId="7" fillId="7" borderId="0" xfId="0" applyNumberFormat="1" applyFont="1" applyFill="1" applyBorder="1" applyAlignment="1">
      <x:alignment horizontal="right" vertical="center" wrapText="0"/>
    </x:xf>
    <x:xf numFmtId="204" fontId="7" fillId="8" borderId="0" xfId="0" applyNumberFormat="1" applyFont="1" applyFill="1" applyBorder="1" applyAlignment="1">
      <x:alignment horizontal="right" vertical="center" wrapText="0"/>
    </x:xf>
    <x:xf numFmtId="204" fontId="7" fillId="11" borderId="0" xfId="0" applyNumberFormat="1" applyFont="1" applyFill="1" applyBorder="1" applyAlignment="1">
      <x:alignment horizontal="right" vertical="center" wrapText="0"/>
    </x:xf>
    <x:xf numFmtId="207" fontId="7" fillId="6" borderId="0" xfId="0" applyNumberFormat="1" applyFont="1" applyFill="1" applyBorder="1" applyAlignment="1">
      <x:alignment horizontal="right" vertical="center" wrapText="0"/>
    </x:xf>
    <x:xf numFmtId="207" fontId="7" fillId="7" borderId="0" xfId="0" applyNumberFormat="1" applyFont="1" applyFill="1" applyBorder="1" applyAlignment="1">
      <x:alignment horizontal="right" vertical="center" wrapText="0"/>
    </x:xf>
    <x:xf numFmtId="207" fontId="7" fillId="8" borderId="0" xfId="0" applyNumberFormat="1" applyFont="1" applyFill="1" applyBorder="1" applyAlignment="1">
      <x:alignment horizontal="right" vertical="center" wrapText="0"/>
    </x:xf>
    <x:xf numFmtId="207" fontId="7" fillId="11" borderId="0" xfId="0" applyNumberFormat="1" applyFont="1" applyFill="1" applyBorder="1" applyAlignment="1">
      <x:alignment horizontal="right" vertical="center" wrapText="0"/>
    </x:xf>
    <x:xf numFmtId="0" fontId="1" fillId="12" borderId="0" xfId="0" applyNumberFormat="1" applyFont="1" applyFill="1" applyBorder="1" applyAlignment="1">
      <x:alignment horizontal="right" vertical="center"/>
    </x:xf>
    <x:xf numFmtId="0" fontId="6" fillId="12" borderId="0" xfId="0" applyNumberFormat="1" applyFont="1" applyFill="1" applyBorder="1" applyAlignment="1">
      <x:alignment horizontal="right" vertical="center"/>
    </x:xf>
  </x:cellXfs>
  <x:cellStyles count="1">
    <x:cellStyle name="Normal" xfId="0"/>
  </x:cellStyles>
  <x:dxfs count="10">
    <x:dxf>
      <x:font>
        <x:color rgb="FF839080"/>
      </x:font>
      <x:fill>
        <x:patternFill>
          <x:bgColor rgb="FFEFF2EC"/>
        </x:patternFill>
      </x:fill>
    </x:dxf>
    <x:dxf>
      <x:font>
        <x:color rgb="FF839080"/>
      </x:font>
      <x:fill>
        <x:patternFill>
          <x:bgColor rgb="FFEFF2EC"/>
        </x:patternFill>
      </x:fill>
    </x:dxf>
    <x:dxf>
      <x:font>
        <x:color rgb="FF839080"/>
      </x:font>
      <x:fill>
        <x:patternFill>
          <x:bgColor rgb="FFEFF2EC"/>
        </x:patternFill>
      </x:fill>
    </x:dxf>
    <x:dxf>
      <x:numFmt numFmtId="208" formatCode=";;;"/>
    </x:dxf>
    <x:dxf>
      <x:font>
        <x:color rgb="FF9C3E32"/>
      </x:font>
    </x:dxf>
    <x:dxf>
      <x:font>
        <x:color rgb="FF9C3E32"/>
      </x:font>
    </x:dxf>
    <x:dxf>
      <x:font>
        <x:color rgb="FF9C3E32"/>
      </x:font>
    </x:dxf>
    <x:dxf>
      <x:font>
        <x:color rgb="FF9C3E32"/>
      </x:font>
    </x:dxf>
    <x:dxf>
      <x:font>
        <x:color rgb="FF9C3E32"/>
      </x:font>
    </x:dxf>
    <x:dxf>
      <x:font>
        <x:color rgb="FF9C3E32"/>
      </x:font>
      <x:fill>
        <x:patternFill patternType="solid">
          <x:bgColor rgb="FFFCE8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b9753ba9d3346a7" /><Relationship Type="http://schemas.openxmlformats.org/officeDocument/2006/relationships/theme" Target="/xl/theme/theme1.xml" Id="R60e723be8c7b4121" /><Relationship Type="http://schemas.openxmlformats.org/officeDocument/2006/relationships/sharedStrings" Target="/xl/sharedStrings.xml" Id="R90036c06ee1a475b" /><Relationship Type="http://schemas.openxmlformats.org/officeDocument/2006/relationships/worksheet" Target="/xl/worksheets/sheet1.xml" Id="R31e657032c794060" /></Relationships>
</file>

<file path=xl/drawings/_rels/drawing1.xml.rels>&#65279;<?xml version="1.0" encoding="utf-8"?><Relationships xmlns="http://schemas.openxmlformats.org/package/2006/relationships"><Relationship Type="http://schemas.openxmlformats.org/officeDocument/2006/relationships/image" Target="/xl/media/image.png" Id="R9352a425af13467b" /></Relationships>
</file>

<file path=xl/drawings/drawing1.xml><?xml version="1.0" encoding="utf-8"?>
<xdr:wsDr xmlns:xdr="http://schemas.openxmlformats.org/drawingml/2006/spreadsheetDrawing">
  <xdr:oneCellAnchor>
    <xdr:from>
      <xdr:col>0</xdr:col>
      <xdr:colOff>133350</xdr:colOff>
      <xdr:row>0</xdr:row>
      <xdr:rowOff>76200</xdr:rowOff>
    </xdr:from>
    <xdr:ext cx="2857500" cy="714375"/>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9352a425af13467b"/>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f705b30fd1d74848" /></Relationships>
</file>

<file path=xl/worksheets/sheet1.xml><?xml version="1.0" encoding="utf-8"?>
<x:worksheet xmlns:x="http://schemas.openxmlformats.org/spreadsheetml/2006/main">
  <x:sheetPr>
    <x:tabColor rgb="FF254B40"/>
  </x:sheetPr>
  <x:sheetViews>
    <x:sheetView showGridLines="0" workbookViewId="0">
      <x:pane ySplit="5" topLeftCell="A6" activePane="bottomLeft" state="frozen"/>
    </x:sheetView>
  </x:sheetViews>
  <x:sheetFormatPr defaultRowHeight="15"/>
  <x:cols>
    <x:col min="1" max="1" width="43" hidden="0" customWidth="1"/>
    <x:col min="2" max="2" width="20" hidden="0" customWidth="1"/>
    <x:col min="3" max="3" width="25" hidden="0" customWidth="1"/>
    <x:col min="4" max="4" width="21" hidden="0" customWidth="1"/>
    <x:col min="5" max="5" width="20" hidden="0" customWidth="1"/>
    <x:col min="6" max="6" width="20" hidden="0" customWidth="1"/>
    <x:col min="7" max="7" width="38" hidden="0" customWidth="1"/>
    <x:col min="8" max="8" width="20" hidden="0" customWidth="1"/>
    <x:col min="9" max="9" width="20" hidden="0" customWidth="1"/>
    <x:col min="10" max="10" width="23" hidden="0" customWidth="1"/>
    <x:col min="11" max="11" width="20" hidden="0" customWidth="1"/>
    <x:col min="12" max="12" width="20" hidden="0" customWidth="1"/>
    <x:col min="13" max="13" width="21" hidden="0" customWidth="1"/>
    <x:col min="14" max="14" width="21" hidden="0" customWidth="1"/>
    <x:col min="15" max="15" width="21" hidden="0" customWidth="1"/>
    <x:col min="16" max="16" width="21" hidden="0" customWidth="1"/>
    <x:col min="17" max="17" width="21" hidden="0" customWidth="1"/>
    <x:col min="18" max="18" width="21" hidden="0" customWidth="1"/>
    <x:col min="19" max="19" width="21" hidden="0" customWidth="1"/>
    <x:col min="20" max="20" width="21" hidden="0" customWidth="1"/>
    <x:col min="21" max="21" width="21" hidden="0" customWidth="1"/>
    <x:col min="22" max="22" width="21" hidden="0" customWidth="1"/>
    <x:col min="23" max="23" width="21" hidden="0" customWidth="1"/>
    <x:col min="24" max="24" width="21" hidden="0" customWidth="1"/>
    <x:col min="25" max="25" width="21" hidden="0" customWidth="1"/>
    <x:col min="26" max="26" width="21" hidden="0" customWidth="1"/>
    <x:col min="27" max="27" width="21" hidden="0" customWidth="1"/>
    <x:col min="28" max="28" width="21" hidden="0" customWidth="1"/>
    <x:col min="29" max="29" width="21" hidden="0" customWidth="1"/>
    <x:col min="30" max="30" width="21" hidden="0" customWidth="1"/>
    <x:col min="31" max="31" width="21" hidden="0" customWidth="1"/>
    <x:col min="32" max="32" width="21" hidden="0" customWidth="1"/>
    <x:col min="33" max="33" width="21" hidden="0" customWidth="1"/>
    <x:col min="34" max="34" width="21" hidden="0" customWidth="1"/>
    <x:col min="35" max="35" width="21" hidden="0" customWidth="1"/>
    <x:col min="36" max="36" width="21" hidden="0" customWidth="1"/>
    <x:col min="37" max="37" width="21" hidden="0" customWidth="1"/>
    <x:col min="38" max="38" width="21" hidden="0" customWidth="1"/>
    <x:col min="39" max="39" width="21" hidden="0" customWidth="1"/>
  </x:cols>
  <x:sheetData>
    <x:row r="1" ht="12" customHeight="1">
      <x:c r="A1" s="8"/>
      <x:c r="B1" s="9"/>
      <x:c r="C1" s="9"/>
      <x:c r="D1" s="9"/>
      <x:c r="E1" s="9"/>
      <x:c r="F1" s="9"/>
      <x:c r="G1" s="10"/>
      <x:c r="H1" s="9"/>
      <x:c r="I1" s="9"/>
      <x:c r="J1" s="9"/>
      <x:c r="K1" s="9"/>
      <x:c r="L1" s="9"/>
    </x:row>
    <x:row r="2" ht="36" customHeight="1">
      <x:c r="A2" s="8"/>
      <x:c r="B2" s="9"/>
      <x:c r="C2" s="9"/>
      <x:c r="D2" s="13" t="str">
        <x:v>Real estate investment calculator</x:v>
      </x:c>
      <x:c r="E2" s="14"/>
      <x:c r="F2" s="14"/>
      <x:c r="G2" s="15"/>
      <x:c r="H2" s="14"/>
      <x:c r="I2" s="14"/>
      <x:c r="J2" s="14"/>
      <x:c r="K2" s="14"/>
      <x:c r="L2" s="14"/>
    </x:row>
    <x:row r="3" ht="28" customHeight="1">
      <x:c r="A3" s="8"/>
      <x:c r="B3" s="9"/>
      <x:c r="C3" s="9"/>
      <x:c r="D3" s="16" t="str">
        <x:v>Deal assumptions, Year 0–10 forecast and property vs market</x:v>
      </x:c>
      <x:c r="E3" s="17"/>
      <x:c r="F3" s="17"/>
      <x:c r="G3" s="18"/>
      <x:c r="H3" s="17"/>
      <x:c r="I3" s="17"/>
      <x:c r="J3" s="17"/>
      <x:c r="K3" s="17"/>
      <x:c r="L3" s="17"/>
    </x:row>
    <x:row r="4" ht="32" customHeight="1">
      <x:c r="A4" s="21" t="str">
        <x:v>Edit yellow cells. Formulas update automatically. Currency is in USD. One worksheet includes the calculator, Year 0–10 forecast and investment comparison.</x:v>
      </x:c>
      <x:c r="B4" s="23"/>
      <x:c r="C4" s="23"/>
      <x:c r="D4" s="23"/>
      <x:c r="E4" s="23"/>
      <x:c r="F4" s="23"/>
      <x:c r="G4" s="23"/>
      <x:c r="H4" s="23"/>
      <x:c r="I4" s="23"/>
      <x:c r="J4" s="23"/>
      <x:c r="K4" s="23"/>
      <x:c r="L4" s="23"/>
    </x:row>
    <x:row r="5" ht="32" customHeight="1">
      <x:c r="A5" s="25" t="str">
        <x:v>EXAMPLE • Caldwell inputs from the original CHP calculator. Forecast defaults: 4% appreciation, 4% revenue growth and 3% expense growth. Replace the example with your deal.</x:v>
      </x:c>
      <x:c r="B5" s="26"/>
      <x:c r="C5" s="26"/>
      <x:c r="D5" s="26"/>
      <x:c r="E5" s="26"/>
      <x:c r="F5" s="26"/>
      <x:c r="G5" s="26"/>
      <x:c r="H5" s="26"/>
      <x:c r="I5" s="26"/>
      <x:c r="J5" s="26"/>
      <x:c r="K5" s="26"/>
      <x:c r="L5" s="26"/>
    </x:row>
    <x:row r="6" ht="23" customHeight="1">
      <x:c r="A6" s="6"/>
      <x:c r="B6" s="4"/>
      <x:c r="C6" s="4"/>
      <x:c r="D6" s="4"/>
      <x:c r="E6" s="4"/>
      <x:c r="F6" s="4"/>
      <x:c r="G6" s="7"/>
      <x:c r="H6" s="4"/>
      <x:c r="I6" s="4"/>
      <x:c r="J6" s="4"/>
      <x:c r="K6" s="4"/>
      <x:c r="L6" s="4"/>
    </x:row>
    <x:row r="7" ht="32" customHeight="1">
      <x:c r="A7" s="43" t="str">
        <x:v>PROPERTY DETAILS</x:v>
      </x:c>
      <x:c r="B7" s="44"/>
      <x:c r="C7" s="44"/>
      <x:c r="D7" s="44"/>
      <x:c r="E7" s="44"/>
      <x:c r="F7" s="44"/>
      <x:c r="G7" s="44"/>
      <x:c r="H7" s="44"/>
      <x:c r="I7" s="44"/>
      <x:c r="J7" s="44"/>
      <x:c r="K7" s="44"/>
      <x:c r="L7" s="45"/>
    </x:row>
    <x:row r="8" ht="23" customHeight="1">
      <x:c r="A8" s="53" t="str">
        <x:v>Property name</x:v>
      </x:c>
      <x:c r="B8" s="4"/>
      <x:c r="C8" s="4"/>
      <x:c r="D8" s="4"/>
      <x:c r="E8" s="4"/>
      <x:c r="F8" s="4"/>
      <x:c r="G8" s="20" t="str">
        <x:v>Address</x:v>
      </x:c>
      <x:c r="H8" s="4"/>
      <x:c r="I8" s="4"/>
      <x:c r="J8" s="4"/>
      <x:c r="K8" s="4"/>
      <x:c r="L8" s="47"/>
    </x:row>
    <x:row r="9" ht="48" customHeight="1">
      <x:c r="A9" s="56" t="str">
        <x:v>Caldwell SFH</x:v>
      </x:c>
      <x:c r="B9" s="4"/>
      <x:c r="C9" s="4"/>
      <x:c r="D9" s="78" t="str">
        <x:v>Yellow = editable input</x:v>
      </x:c>
      <x:c r="E9" s="456"/>
      <x:c r="F9" s="4"/>
      <x:c r="G9" s="59"/>
      <x:c r="H9" s="4"/>
      <x:c r="I9" s="4"/>
      <x:c r="J9" s="4"/>
      <x:c r="K9" s="4"/>
      <x:c r="L9" s="47"/>
    </x:row>
    <x:row r="10" ht="23" customHeight="1">
      <x:c r="A10" s="46"/>
      <x:c r="B10" s="4"/>
      <x:c r="C10" s="4"/>
      <x:c r="D10" s="4"/>
      <x:c r="E10" s="4"/>
      <x:c r="F10" s="4"/>
      <x:c r="G10" s="7"/>
      <x:c r="H10" s="4"/>
      <x:c r="I10" s="4"/>
      <x:c r="J10" s="4"/>
      <x:c r="K10" s="4"/>
      <x:c r="L10" s="47"/>
    </x:row>
    <x:row r="11" ht="23" customHeight="1">
      <x:c r="A11" s="61" t="str">
        <x:v>Property type</x:v>
      </x:c>
      <x:c r="B11" s="65" t="str">
        <x:v>Single family</x:v>
      </x:c>
      <x:c r="C11" s="49"/>
      <x:c r="D11" s="66" t="str">
        <x:v>Units</x:v>
      </x:c>
      <x:c r="E11" s="70" t="n">
        <x:v>1</x:v>
      </x:c>
      <x:c r="F11" s="49"/>
      <x:c r="G11" s="71" t="str">
        <x:v>Building area (sq ft)</x:v>
      </x:c>
      <x:c r="H11" s="75"/>
      <x:c r="I11" s="49"/>
      <x:c r="J11" s="71" t="str">
        <x:v>Lot area (sq ft)</x:v>
      </x:c>
      <x:c r="K11" s="75"/>
      <x:c r="L11" s="51"/>
    </x:row>
    <x:row r="12" ht="23" customHeight="1">
      <x:c r="A12" s="6"/>
      <x:c r="B12" s="4"/>
      <x:c r="C12" s="4"/>
      <x:c r="D12" s="4"/>
      <x:c r="E12" s="4"/>
      <x:c r="F12" s="4"/>
      <x:c r="G12" s="7"/>
      <x:c r="H12" s="4"/>
      <x:c r="I12" s="4"/>
      <x:c r="J12" s="4"/>
      <x:c r="K12" s="4"/>
      <x:c r="L12" s="4"/>
    </x:row>
    <x:row r="13" ht="32" customHeight="1">
      <x:c r="A13" s="43" t="str">
        <x:v>QUICK FILL DEAL ASSUMPTIONS</x:v>
      </x:c>
      <x:c r="B13" s="44"/>
      <x:c r="C13" s="44"/>
      <x:c r="D13" s="44"/>
      <x:c r="E13" s="45"/>
      <x:c r="F13" s="4"/>
      <x:c r="G13" s="43" t="str">
        <x:v>DEAL AT A GLANCE</x:v>
      </x:c>
      <x:c r="H13" s="44"/>
      <x:c r="I13" s="44"/>
      <x:c r="J13" s="44"/>
      <x:c r="K13" s="45"/>
      <x:c r="L13" s="4"/>
    </x:row>
    <x:row r="14" ht="28" customHeight="1">
      <x:c r="A14" s="281" t="str">
        <x:v>Acquisition &amp; financing</x:v>
      </x:c>
      <x:c r="B14" s="77" t="str">
        <x:v>Input</x:v>
      </x:c>
      <x:c r="C14" s="95" t="str">
        <x:v>Total basis</x:v>
      </x:c>
      <x:c r="D14" s="77" t="str">
        <x:v>Calculated</x:v>
      </x:c>
      <x:c r="E14" s="47"/>
      <x:c r="F14" s="4"/>
      <x:c r="G14" s="448" t="str">
        <x:v>Year 1</x:v>
      </x:c>
      <x:c r="H14" s="120" t="str">
        <x:v>Annual</x:v>
      </x:c>
      <x:c r="I14" s="121"/>
      <x:c r="J14" s="120" t="str">
        <x:v>Monthly</x:v>
      </x:c>
      <x:c r="K14" s="122"/>
      <x:c r="L14" s="4"/>
    </x:row>
    <x:row r="15" ht="28" customHeight="1">
      <x:c r="A15" s="281" t="str">
        <x:v>Purchase price</x:v>
      </x:c>
      <x:c r="B15" s="82" t="n">
        <x:v>950000</x:v>
      </x:c>
      <x:c r="C15" s="4"/>
      <x:c r="D15" s="4"/>
      <x:c r="E15" s="47"/>
      <x:c r="F15" s="4"/>
      <x:c r="G15" s="342" t="str">
        <x:v>Rental income</x:v>
      </x:c>
      <x:c r="H15" s="127" t="n">
        <x:f>$D$44</x:f>
        <x:v>78000</x:v>
      </x:c>
      <x:c r="I15" s="128"/>
      <x:c r="J15" s="127" t="n">
        <x:f>IF(ISNUMBER(H15),H15/12,"")</x:f>
        <x:v>6500</x:v>
      </x:c>
      <x:c r="K15" s="129"/>
      <x:c r="L15" s="4"/>
    </x:row>
    <x:row r="16" ht="28" customHeight="1">
      <x:c r="A16" s="281" t="str">
        <x:v>Down payment mode</x:v>
      </x:c>
      <x:c r="B16" s="65" t="str">
        <x:v>Dollars</x:v>
      </x:c>
      <x:c r="C16" s="77" t="str">
        <x:v>Manual down payment ($)</x:v>
      </x:c>
      <x:c r="D16" s="104" t="str">
        <x:f>IF(ISNUMBER(B59),"Seller payment","Down payment")</x:f>
        <x:v>Down payment</x:v>
      </x:c>
      <x:c r="E16" s="108" t="n">
        <x:f>IF(ISNUMBER(B17),B17,"")</x:f>
        <x:v>190000</x:v>
      </x:c>
      <x:c r="F16" s="4"/>
      <x:c r="G16" s="342" t="str">
        <x:v>Other income</x:v>
      </x:c>
      <x:c r="H16" s="127" t="n">
        <x:f>SUM(B47)</x:f>
        <x:v>0</x:v>
      </x:c>
      <x:c r="I16" s="128"/>
      <x:c r="J16" s="127" t="n">
        <x:f>H16/12</x:f>
        <x:v>0</x:v>
      </x:c>
      <x:c r="K16" s="129"/>
      <x:c r="L16" s="4"/>
    </x:row>
    <x:row r="17" ht="28" customHeight="1">
      <x:c r="A17" s="281" t="str">
        <x:f>IF(ISNUMBER(B59),"Payment to seller","Down payment (calculated)")</x:f>
        <x:v>Down payment (calculated)</x:v>
      </x:c>
      <x:c r="B17" s="99" t="n">
        <x:f>IF(ISNUMBER(B59),IF(AND(B59&gt;=0,ISNUMBER(B15),B15&gt;0,B59&lt;=B15),B15-B59,""),IF(B16="Percent",IF(AND(ISNUMBER(B15),B15&gt;0,ISNUMBER(B18),B18&gt;=0,B18&lt;=1),B15*B18,""),IF(AND(ISNUMBER(C17),C17&gt;=0,OR(NOT(ISNUMBER(B15)),AND(B15&gt;0,C17&lt;=B15))),C17,"")))</x:f>
        <x:v>190000</x:v>
      </x:c>
      <x:c r="C17" s="82" t="n">
        <x:v>190000</x:v>
      </x:c>
      <x:c r="D17" s="106" t="str">
        <x:v>Loan amount</x:v>
      </x:c>
      <x:c r="E17" s="108" t="n">
        <x:f>IF(ISNUMBER(B59),IF(AND(B59&gt;=0,OR(NOT(ISNUMBER(B15)),AND(B15&gt;0,B59&lt;=B15))),B59,""),IF(AND(ISNUMBER(B15),B15&gt;0,ISNUMBER(E16),E16&gt;=0,E16&lt;=B15),B15-E16,""))</x:f>
        <x:v>760000</x:v>
      </x:c>
      <x:c r="F17" s="4"/>
      <x:c r="G17" s="342" t="str">
        <x:v>Effective income</x:v>
      </x:c>
      <x:c r="H17" s="127" t="n">
        <x:f>$D$49</x:f>
        <x:v>78000</x:v>
      </x:c>
      <x:c r="I17" s="128"/>
      <x:c r="J17" s="127" t="n">
        <x:f>IF(ISNUMBER(H17),H17/12,"")</x:f>
        <x:v>6500</x:v>
      </x:c>
      <x:c r="K17" s="129"/>
      <x:c r="L17" s="4"/>
    </x:row>
    <x:row r="18" ht="28" customHeight="1">
      <x:c r="A18" s="281" t="str">
        <x:v>Down payment % (Percent mode)</x:v>
      </x:c>
      <x:c r="B18" s="88" t="n">
        <x:v>0.2</x:v>
      </x:c>
      <x:c r="C18" s="4"/>
      <x:c r="D18" s="106" t="str">
        <x:v>Cash invested</x:v>
      </x:c>
      <x:c r="E18" s="108" t="n">
        <x:f>IF(AND(ISNUMBER(E16),SUM(B86)&gt;=0,SUM(B86)&lt;=E16),E16-SUM(B86)+SUM(B21:B22,B84),"")</x:f>
        <x:v>190000</x:v>
      </x:c>
      <x:c r="F18" s="4"/>
      <x:c r="G18" s="344" t="str">
        <x:v>Operating expenses</x:v>
      </x:c>
      <x:c r="H18" s="134" t="n">
        <x:f>$J$66</x:f>
        <x:v>30000</x:v>
      </x:c>
      <x:c r="I18" s="135"/>
      <x:c r="J18" s="134" t="n">
        <x:f>IF(ISNUMBER(H18),H18/12,"")</x:f>
        <x:v>2500</x:v>
      </x:c>
      <x:c r="K18" s="136"/>
      <x:c r="L18" s="4"/>
    </x:row>
    <x:row r="19" ht="28" customHeight="1">
      <x:c r="A19" s="281" t="str">
        <x:f>IF(COUNT(B57:B59)&gt;0,"Standard loan interest rate","Annual interest rate")</x:f>
        <x:v>Annual interest rate</x:v>
      </x:c>
      <x:c r="B19" s="88" t="n">
        <x:v>0.0625</x:v>
      </x:c>
      <x:c r="C19" s="4"/>
      <x:c r="D19" s="106" t="str">
        <x:v>Loan-to-value</x:v>
      </x:c>
      <x:c r="E19" s="107" t="n">
        <x:f>IF(AND(ISNUMBER(E17),B15&gt;0),(E17+SUM(B86))/B15,"")</x:f>
        <x:v>0.8</x:v>
      </x:c>
      <x:c r="F19" s="4"/>
      <x:c r="G19" s="346" t="str">
        <x:v>Net operating income (NOI)</x:v>
      </x:c>
      <x:c r="H19" s="145" t="n">
        <x:f>IF(AND(ISNUMBER(H17),ISNUMBER(H18)),H17-H18,"")</x:f>
        <x:v>48000</x:v>
      </x:c>
      <x:c r="I19" s="146"/>
      <x:c r="J19" s="145" t="n">
        <x:f>IF(ISNUMBER(H19),H19/12,"")</x:f>
        <x:v>4000</x:v>
      </x:c>
      <x:c r="K19" s="147"/>
      <x:c r="L19" s="4"/>
    </x:row>
    <x:row r="20" ht="28" customHeight="1">
      <x:c r="A20" s="281" t="str">
        <x:f>IF(COUNT(B57:B59)&gt;0,"Standard loan term (years)","Amortization (years)")</x:f>
        <x:v>Amortization (years)</x:v>
      </x:c>
      <x:c r="B20" s="92" t="n">
        <x:v>30</x:v>
      </x:c>
      <x:c r="C20" s="4"/>
      <x:c r="D20" s="4"/>
      <x:c r="E20" s="47"/>
      <x:c r="F20" s="4"/>
      <x:c r="G20" s="449" t="str">
        <x:v>Debt service payment</x:v>
      </x:c>
      <x:c r="H20" s="149" t="n">
        <x:f>IF(ISNUMBER($D$63),$D$63,"")</x:f>
        <x:v>56153.40867888716</x:v>
      </x:c>
      <x:c r="I20" s="150"/>
      <x:c r="J20" s="149" t="n">
        <x:f>IF(ISNUMBER(H20),H20/12,"")</x:f>
        <x:v>4679.450723240597</x:v>
      </x:c>
      <x:c r="K20" s="151"/>
      <x:c r="L20" s="4"/>
    </x:row>
    <x:row r="21" ht="28" customHeight="1">
      <x:c r="A21" s="281" t="str">
        <x:v>Rehab budget</x:v>
      </x:c>
      <x:c r="B21" s="82" t="n">
        <x:v>0</x:v>
      </x:c>
      <x:c r="C21" s="4"/>
      <x:c r="D21" s="4"/>
      <x:c r="E21" s="47"/>
      <x:c r="F21" s="4"/>
      <x:c r="G21" s="346" t="str">
        <x:v>Net cash flow</x:v>
      </x:c>
      <x:c r="H21" s="145" t="n">
        <x:f>IF(ISNUMBER(L201),L201,"")</x:f>
        <x:v>-8153.408678887157</x:v>
      </x:c>
      <x:c r="I21" s="146"/>
      <x:c r="J21" s="145" t="n">
        <x:f>IF(ISNUMBER(H21),H21/12,"")</x:f>
        <x:v>-679.4507232405964</x:v>
      </x:c>
      <x:c r="K21" s="147"/>
      <x:c r="L21" s="4"/>
    </x:row>
    <x:row r="22" ht="28" customHeight="1">
      <x:c r="A22" s="281" t="str">
        <x:v>Closing costs</x:v>
      </x:c>
      <x:c r="B22" s="82" t="n">
        <x:v>0</x:v>
      </x:c>
      <x:c r="C22" s="4"/>
      <x:c r="D22" s="4"/>
      <x:c r="E22" s="47"/>
      <x:c r="F22" s="4"/>
      <x:c r="G22" s="344" t="str">
        <x:v>Replacement reserves</x:v>
      </x:c>
      <x:c r="H22" s="134" t="n">
        <x:f>IF(ISNUMBER(J58),J58,"")</x:f>
        <x:v>0</x:v>
      </x:c>
      <x:c r="I22" s="135"/>
      <x:c r="J22" s="134" t="n">
        <x:f>IF(ISNUMBER(H22),H22/12,"")</x:f>
        <x:v>0</x:v>
      </x:c>
      <x:c r="K22" s="136"/>
      <x:c r="L22" s="4"/>
    </x:row>
    <x:row r="23" ht="28" customHeight="1">
      <x:c r="A23" s="281" t="str">
        <x:v>Rental income quick total</x:v>
      </x:c>
      <x:c r="B23" s="82"/>
      <x:c r="C23" s="94" t="str">
        <x:v>Annual</x:v>
      </x:c>
      <x:c r="D23" s="4"/>
      <x:c r="E23" s="47"/>
      <x:c r="F23" s="4"/>
      <x:c r="G23" s="281" t="str">
        <x:v>Cash-on-cash return</x:v>
      </x:c>
      <x:c r="H23" s="152" t="n">
        <x:f>IF(AND(ISNUMBER(H21),E18&gt;0),H21/E18,"")</x:f>
        <x:v>-0.04291267725730083</x:v>
      </x:c>
      <x:c r="I23" s="4"/>
      <x:c r="J23" s="20" t="str">
        <x:v>Cash invested</x:v>
      </x:c>
      <x:c r="K23" s="154" t="n">
        <x:f>IF(ISNUMBER(E18),E18,"")</x:f>
        <x:v>190000</x:v>
      </x:c>
      <x:c r="L23" s="4"/>
    </x:row>
    <x:row r="24" ht="28" customHeight="1">
      <x:c r="A24" s="281" t="str">
        <x:v>Operating expenses quick total</x:v>
      </x:c>
      <x:c r="B24" s="82"/>
      <x:c r="C24" s="94" t="str">
        <x:v>Annual</x:v>
      </x:c>
      <x:c r="D24" s="4"/>
      <x:c r="E24" s="47"/>
      <x:c r="F24" s="4"/>
      <x:c r="G24" s="281" t="str">
        <x:v>Cap rate</x:v>
      </x:c>
      <x:c r="H24" s="152" t="n">
        <x:f>IF(AND(ISNUMBER(H19),B15&gt;0),H19/B15,"")</x:f>
        <x:v>0.05052631578947368</x:v>
      </x:c>
      <x:c r="I24" s="4"/>
      <x:c r="J24" s="20" t="str">
        <x:v>Loan-to-value</x:v>
      </x:c>
      <x:c r="K24" s="102" t="n">
        <x:f>IF(ISNUMBER(E19),E19,"")</x:f>
        <x:v>0.8</x:v>
      </x:c>
      <x:c r="L24" s="4"/>
    </x:row>
    <x:row r="25" ht="48" customHeight="1">
      <x:c r="A25" s="109" t="str">
        <x:f>IF(AND(B15&lt;&gt;"",OR(NOT(ISNUMBER(B15)),B15&lt;=0)),"Check purchase price: enter an amount above zero.",IF(AND(NOT(ISNUMBER(B59)),B16="Percent",B18&lt;&gt;"",OR(NOT(ISNUMBER(B18)),B18&lt;0,B18&gt;1)),"Check down payment: enter a percentage from 0% to 100%, such as 25%.",IF(AND(NOT(ISNUMBER(B59)),B16="Dollars",C17&lt;&gt;"",OR(NOT(ISNUMBER(C17)),C17&lt;0,AND(ISNUMBER(B15),C17&gt;B15))),"Check down payment: use the yellow dollar input. It cannot exceed purchase price.","Use the yellow dollar or percent input for the selected mode. Quick totals override details. Clear a quick total to use detailed entries.")))</x:f>
        <x:v>Use the yellow dollar or percent input for the selected mode. Quick totals override details. Clear a quick total to use detailed entries.</x:v>
      </x:c>
      <x:c r="B25" s="114"/>
      <x:c r="C25" s="114"/>
      <x:c r="D25" s="114"/>
      <x:c r="E25" s="115"/>
      <x:c r="F25" s="4"/>
      <x:c r="G25" s="281" t="str">
        <x:v>DSCR after reserves</x:v>
      </x:c>
      <x:c r="H25" s="153" t="n">
        <x:f>IF(AND(H20&gt;0,ISNUMBER(H19),ISNUMBER(H22)),(H19-H22)/H20,"")</x:f>
        <x:v>0.8548011800047195</x:v>
      </x:c>
      <x:c r="I25" s="4"/>
      <x:c r="J25" s="20" t="str">
        <x:v>Break-even occupancy</x:v>
      </x:c>
      <x:c r="K25" s="102" t="n">
        <x:f>IF(AND(H15&gt;0,ISNUMBER(H18),ISNUMBER(H22),ISNUMBER(H20)),(H18+H22+H20-SUM(B47))/H15,"")</x:f>
        <x:v>1.1045308804985532</x:v>
      </x:c>
      <x:c r="L25" s="4"/>
    </x:row>
    <x:row r="26" ht="42" customHeight="1">
      <x:c r="A26" s="6"/>
      <x:c r="B26" s="4"/>
      <x:c r="C26" s="4"/>
      <x:c r="D26" s="4"/>
      <x:c r="E26" s="4"/>
      <x:c r="F26" s="4"/>
      <x:c r="G26" s="109" t="str">
        <x:f>IF(NOT(ISNUMBER(J73)),"Enter revenue growth to calculate income after Year 1. Enter 0% for no growth.",IF(NOT(ISNUMBER(J74)),"Enter expense growth to calculate expenses after Year 1. Enter 0% for no growth.",IF(AND(J77="",NOT(ISNUMBER(J72))),"Enter appreciation or an exit cap rate to calculate sale value.","Income and NOI work without a purchase price. Cash flow needs loan terms; investment returns need purchase, loan and sale assumptions.")))</x:f>
        <x:v>Income and NOI work without a purchase price. Cash flow needs loan terms; investment returns need purchase, loan and sale assumptions.</x:v>
      </x:c>
      <x:c r="H26" s="114"/>
      <x:c r="I26" s="114"/>
      <x:c r="J26" s="114"/>
      <x:c r="K26" s="115"/>
      <x:c r="L26" s="4"/>
    </x:row>
    <x:row r="27" ht="23" customHeight="1">
      <x:c r="A27" s="6"/>
      <x:c r="B27" s="4"/>
      <x:c r="C27" s="4"/>
      <x:c r="D27" s="4"/>
      <x:c r="E27" s="4"/>
      <x:c r="F27" s="4"/>
      <x:c r="G27" s="7"/>
      <x:c r="H27" s="4"/>
      <x:c r="I27" s="4"/>
      <x:c r="J27" s="4"/>
      <x:c r="K27" s="4"/>
      <x:c r="L27" s="4"/>
    </x:row>
    <x:row r="28" ht="32" customHeight="1">
      <x:c r="A28" s="168" t="str">
        <x:v>RENTAL INCOME</x:v>
      </x:c>
      <x:c r="B28" s="169"/>
      <x:c r="C28" s="169"/>
      <x:c r="D28" s="169"/>
      <x:c r="E28" s="170"/>
      <x:c r="F28" s="4"/>
      <x:c r="G28" s="217" t="str">
        <x:v>OPERATING EXPENSES</x:v>
      </x:c>
      <x:c r="H28" s="218"/>
      <x:c r="I28" s="218"/>
      <x:c r="J28" s="218"/>
      <x:c r="K28" s="219"/>
      <x:c r="L28" s="4"/>
    </x:row>
    <x:row r="29" ht="28" customHeight="1">
      <x:c r="A29" s="450" t="str">
        <x:v>Unit / space</x:v>
      </x:c>
      <x:c r="B29" s="182" t="str">
        <x:v>Rent amount</x:v>
      </x:c>
      <x:c r="C29" s="182" t="str">
        <x:v>Basis</x:v>
      </x:c>
      <x:c r="D29" s="182" t="str">
        <x:v>Annual rent</x:v>
      </x:c>
      <x:c r="E29" s="184"/>
      <x:c r="F29" s="4"/>
      <x:c r="G29" s="454" t="str">
        <x:v>Category</x:v>
      </x:c>
      <x:c r="H29" s="230" t="str">
        <x:v>Amount</x:v>
      </x:c>
      <x:c r="I29" s="230" t="str">
        <x:v>Basis</x:v>
      </x:c>
      <x:c r="J29" s="230" t="str">
        <x:v>Annual</x:v>
      </x:c>
      <x:c r="K29" s="231" t="str">
        <x:v>Monthly</x:v>
      </x:c>
      <x:c r="L29" s="4"/>
    </x:row>
    <x:row r="30" ht="28" customHeight="1">
      <x:c r="A30" s="451" t="str">
        <x:v>Unit 1</x:v>
      </x:c>
      <x:c r="B30" s="82" t="n">
        <x:v>6500</x:v>
      </x:c>
      <x:c r="C30" s="477" t="str">
        <x:v>Monthly</x:v>
      </x:c>
      <x:c r="D30" s="188" t="n">
        <x:f>IF(B30="",0,IF(AND(ISNUMBER(B30),B30&gt;=0,OR(C30="Monthly",C30="Annual")),B30*IF(C30="Annual",1,12),""))</x:f>
        <x:v>78000</x:v>
      </x:c>
      <x:c r="E30" s="172"/>
      <x:c r="F30" s="4"/>
      <x:c r="G30" s="454" t="str">
        <x:v>Taxes &amp; insurance</x:v>
      </x:c>
      <x:c r="H30" s="232"/>
      <x:c r="I30" s="232"/>
      <x:c r="J30" s="232"/>
      <x:c r="K30" s="233"/>
      <x:c r="L30" s="4"/>
    </x:row>
    <x:row r="31" ht="28" customHeight="1">
      <x:c r="A31" s="451" t="str">
        <x:v>Unit 2</x:v>
      </x:c>
      <x:c r="B31" s="82" t="n">
        <x:v>0</x:v>
      </x:c>
      <x:c r="C31" s="477" t="str">
        <x:v>Monthly</x:v>
      </x:c>
      <x:c r="D31" s="188" t="n">
        <x:f>IF(B31="",0,IF(AND(ISNUMBER(B31),B31&gt;=0,OR(C31="Monthly",C31="Annual")),B31*IF(C31="Annual",1,12),""))</x:f>
        <x:v>0</x:v>
      </x:c>
      <x:c r="E31" s="172"/>
      <x:c r="F31" s="4"/>
      <x:c r="G31" s="272" t="str">
        <x:v>Real estate taxes</x:v>
      </x:c>
      <x:c r="H31" s="82" t="n">
        <x:v>30000</x:v>
      </x:c>
      <x:c r="I31" s="65" t="str">
        <x:v>Annual</x:v>
      </x:c>
      <x:c r="J31" s="188" t="n">
        <x:f>IF(H31="",0,IF(AND(ISNUMBER(H31),H31&gt;=0,OR(I31="Annual",I31="Monthly")),H31*IF(I31="Monthly",12,1),""))</x:f>
        <x:v>30000</x:v>
      </x:c>
      <x:c r="K31" s="236" t="n">
        <x:f>IF(ISNUMBER(J31),J31/12,"")</x:f>
        <x:v>2500</x:v>
      </x:c>
      <x:c r="L31" s="4"/>
    </x:row>
    <x:row r="32" ht="28" customHeight="1">
      <x:c r="A32" s="451" t="str">
        <x:v>Unit 3</x:v>
      </x:c>
      <x:c r="B32" s="82" t="n">
        <x:v>0</x:v>
      </x:c>
      <x:c r="C32" s="477" t="str">
        <x:v>Monthly</x:v>
      </x:c>
      <x:c r="D32" s="188" t="n">
        <x:f>IF(B32="",0,IF(AND(ISNUMBER(B32),B32&gt;=0,OR(C32="Monthly",C32="Annual")),B32*IF(C32="Annual",1,12),""))</x:f>
        <x:v>0</x:v>
      </x:c>
      <x:c r="E32" s="172"/>
      <x:c r="F32" s="4"/>
      <x:c r="G32" s="272" t="str">
        <x:v>PILOT</x:v>
      </x:c>
      <x:c r="H32" s="82" t="n">
        <x:v>0</x:v>
      </x:c>
      <x:c r="I32" s="65" t="str">
        <x:v>Annual</x:v>
      </x:c>
      <x:c r="J32" s="188" t="n">
        <x:f>IF(H32="",0,IF(AND(ISNUMBER(H32),H32&gt;=0,OR(I32="Annual",I32="Monthly")),H32*IF(I32="Monthly",12,1),""))</x:f>
        <x:v>0</x:v>
      </x:c>
      <x:c r="K32" s="236" t="n">
        <x:f>IF(ISNUMBER(J32),J32/12,"")</x:f>
        <x:v>0</x:v>
      </x:c>
      <x:c r="L32" s="4"/>
    </x:row>
    <x:row r="33" ht="28" customHeight="1">
      <x:c r="A33" s="451" t="str">
        <x:v>Unit 4</x:v>
      </x:c>
      <x:c r="B33" s="82" t="n">
        <x:v>0</x:v>
      </x:c>
      <x:c r="C33" s="477" t="str">
        <x:v>Monthly</x:v>
      </x:c>
      <x:c r="D33" s="188" t="n">
        <x:f>IF(B33="",0,IF(AND(ISNUMBER(B33),B33&gt;=0,OR(C33="Monthly",C33="Annual")),B33*IF(C33="Annual",1,12),""))</x:f>
        <x:v>0</x:v>
      </x:c>
      <x:c r="E33" s="172"/>
      <x:c r="F33" s="4"/>
      <x:c r="G33" s="272" t="str">
        <x:v>Insurance</x:v>
      </x:c>
      <x:c r="H33" s="82" t="n">
        <x:v>0</x:v>
      </x:c>
      <x:c r="I33" s="65" t="str">
        <x:v>Annual</x:v>
      </x:c>
      <x:c r="J33" s="188" t="n">
        <x:f>IF(H33="",0,IF(AND(ISNUMBER(H33),H33&gt;=0,OR(I33="Annual",I33="Monthly")),H33*IF(I33="Monthly",12,1),""))</x:f>
        <x:v>0</x:v>
      </x:c>
      <x:c r="K33" s="236" t="n">
        <x:f>IF(ISNUMBER(J33),J33/12,"")</x:f>
        <x:v>0</x:v>
      </x:c>
      <x:c r="L33" s="4"/>
    </x:row>
    <x:row r="34" ht="28" customHeight="1">
      <x:c r="A34" s="451" t="str">
        <x:v>Unit 5</x:v>
      </x:c>
      <x:c r="B34" s="82" t="n">
        <x:v>0</x:v>
      </x:c>
      <x:c r="C34" s="477" t="str">
        <x:v>Monthly</x:v>
      </x:c>
      <x:c r="D34" s="188" t="n">
        <x:f>IF(B34="",0,IF(AND(ISNUMBER(B34),B34&gt;=0,OR(C34="Monthly",C34="Annual")),B34*IF(C34="Annual",1,12),""))</x:f>
        <x:v>0</x:v>
      </x:c>
      <x:c r="E34" s="172"/>
      <x:c r="F34" s="4"/>
      <x:c r="G34" s="454" t="str">
        <x:v>Utilities &amp; services</x:v>
      </x:c>
      <x:c r="H34" s="232"/>
      <x:c r="I34" s="232"/>
      <x:c r="J34" s="232"/>
      <x:c r="K34" s="233"/>
      <x:c r="L34" s="4"/>
    </x:row>
    <x:row r="35" ht="28" customHeight="1">
      <x:c r="A35" s="451" t="str">
        <x:v>Unit 6</x:v>
      </x:c>
      <x:c r="B35" s="82" t="n">
        <x:v>0</x:v>
      </x:c>
      <x:c r="C35" s="477" t="str">
        <x:v>Monthly</x:v>
      </x:c>
      <x:c r="D35" s="188" t="n">
        <x:f>IF(B35="",0,IF(AND(ISNUMBER(B35),B35&gt;=0,OR(C35="Monthly",C35="Annual")),B35*IF(C35="Annual",1,12),""))</x:f>
        <x:v>0</x:v>
      </x:c>
      <x:c r="E35" s="172"/>
      <x:c r="F35" s="4"/>
      <x:c r="G35" s="272" t="str">
        <x:v>Sewer</x:v>
      </x:c>
      <x:c r="H35" s="82" t="n">
        <x:v>0</x:v>
      </x:c>
      <x:c r="I35" s="65" t="str">
        <x:v>Annual</x:v>
      </x:c>
      <x:c r="J35" s="188" t="n">
        <x:f>IF(H35="",0,IF(AND(ISNUMBER(H35),H35&gt;=0,OR(I35="Annual",I35="Monthly")),H35*IF(I35="Monthly",12,1),""))</x:f>
        <x:v>0</x:v>
      </x:c>
      <x:c r="K35" s="236" t="n">
        <x:f>IF(ISNUMBER(J35),J35/12,"")</x:f>
        <x:v>0</x:v>
      </x:c>
      <x:c r="L35" s="4"/>
    </x:row>
    <x:row r="36" ht="28" customHeight="1">
      <x:c r="A36" s="451" t="str">
        <x:v>Unit 7</x:v>
      </x:c>
      <x:c r="B36" s="82" t="n">
        <x:v>0</x:v>
      </x:c>
      <x:c r="C36" s="477" t="str">
        <x:v>Monthly</x:v>
      </x:c>
      <x:c r="D36" s="188" t="n">
        <x:f>IF(B36="",0,IF(AND(ISNUMBER(B36),B36&gt;=0,OR(C36="Monthly",C36="Annual")),B36*IF(C36="Annual",1,12),""))</x:f>
        <x:v>0</x:v>
      </x:c>
      <x:c r="E36" s="172"/>
      <x:c r="F36" s="4"/>
      <x:c r="G36" s="272" t="str">
        <x:v>Water</x:v>
      </x:c>
      <x:c r="H36" s="82" t="n">
        <x:v>0</x:v>
      </x:c>
      <x:c r="I36" s="65" t="str">
        <x:v>Annual</x:v>
      </x:c>
      <x:c r="J36" s="188" t="n">
        <x:f>IF(H36="",0,IF(AND(ISNUMBER(H36),H36&gt;=0,OR(I36="Annual",I36="Monthly")),H36*IF(I36="Monthly",12,1),""))</x:f>
        <x:v>0</x:v>
      </x:c>
      <x:c r="K36" s="236" t="n">
        <x:f>IF(ISNUMBER(J36),J36/12,"")</x:f>
        <x:v>0</x:v>
      </x:c>
      <x:c r="L36" s="4"/>
    </x:row>
    <x:row r="37" ht="28" customHeight="1">
      <x:c r="A37" s="451" t="str">
        <x:v>Unit 8</x:v>
      </x:c>
      <x:c r="B37" s="82" t="n">
        <x:v>0</x:v>
      </x:c>
      <x:c r="C37" s="477" t="str">
        <x:v>Monthly</x:v>
      </x:c>
      <x:c r="D37" s="188" t="n">
        <x:f>IF(B37="",0,IF(AND(ISNUMBER(B37),B37&gt;=0,OR(C37="Monthly",C37="Annual")),B37*IF(C37="Annual",1,12),""))</x:f>
        <x:v>0</x:v>
      </x:c>
      <x:c r="E37" s="172"/>
      <x:c r="F37" s="4"/>
      <x:c r="G37" s="272" t="str">
        <x:v>Heating fuel</x:v>
      </x:c>
      <x:c r="H37" s="82" t="n">
        <x:v>0</x:v>
      </x:c>
      <x:c r="I37" s="65" t="str">
        <x:v>Annual</x:v>
      </x:c>
      <x:c r="J37" s="188" t="n">
        <x:f>IF(H37="",0,IF(AND(ISNUMBER(H37),H37&gt;=0,OR(I37="Annual",I37="Monthly")),H37*IF(I37="Monthly",12,1),""))</x:f>
        <x:v>0</x:v>
      </x:c>
      <x:c r="K37" s="236" t="n">
        <x:f>IF(ISNUMBER(J37),J37/12,"")</x:f>
        <x:v>0</x:v>
      </x:c>
      <x:c r="L37" s="4"/>
    </x:row>
    <x:row r="38" ht="28" customHeight="1">
      <x:c r="A38" s="451" t="str">
        <x:v>Unit 9</x:v>
      </x:c>
      <x:c r="B38" s="82" t="n">
        <x:v>0</x:v>
      </x:c>
      <x:c r="C38" s="477" t="str">
        <x:v>Monthly</x:v>
      </x:c>
      <x:c r="D38" s="188" t="n">
        <x:f>IF(B38="",0,IF(AND(ISNUMBER(B38),B38&gt;=0,OR(C38="Monthly",C38="Annual")),B38*IF(C38="Annual",1,12),""))</x:f>
        <x:v>0</x:v>
      </x:c>
      <x:c r="E38" s="172"/>
      <x:c r="F38" s="4"/>
      <x:c r="G38" s="272" t="str">
        <x:v>Gas</x:v>
      </x:c>
      <x:c r="H38" s="82" t="n">
        <x:v>0</x:v>
      </x:c>
      <x:c r="I38" s="65" t="str">
        <x:v>Annual</x:v>
      </x:c>
      <x:c r="J38" s="188" t="n">
        <x:f>IF(H38="",0,IF(AND(ISNUMBER(H38),H38&gt;=0,OR(I38="Annual",I38="Monthly")),H38*IF(I38="Monthly",12,1),""))</x:f>
        <x:v>0</x:v>
      </x:c>
      <x:c r="K38" s="236" t="n">
        <x:f>IF(ISNUMBER(J38),J38/12,"")</x:f>
        <x:v>0</x:v>
      </x:c>
      <x:c r="L38" s="4"/>
    </x:row>
    <x:row r="39" ht="28" customHeight="1">
      <x:c r="A39" s="451" t="str">
        <x:v>Unit 10</x:v>
      </x:c>
      <x:c r="B39" s="82" t="n">
        <x:v>0</x:v>
      </x:c>
      <x:c r="C39" s="477" t="str">
        <x:v>Monthly</x:v>
      </x:c>
      <x:c r="D39" s="188" t="n">
        <x:f>IF(B39="",0,IF(AND(ISNUMBER(B39),B39&gt;=0,OR(C39="Monthly",C39="Annual")),B39*IF(C39="Annual",1,12),""))</x:f>
        <x:v>0</x:v>
      </x:c>
      <x:c r="E39" s="172"/>
      <x:c r="F39" s="4"/>
      <x:c r="G39" s="272" t="str">
        <x:v>Electric — common areas</x:v>
      </x:c>
      <x:c r="H39" s="82" t="n">
        <x:v>0</x:v>
      </x:c>
      <x:c r="I39" s="65" t="str">
        <x:v>Annual</x:v>
      </x:c>
      <x:c r="J39" s="188" t="n">
        <x:f>IF(H39="",0,IF(AND(ISNUMBER(H39),H39&gt;=0,OR(I39="Annual",I39="Monthly")),H39*IF(I39="Monthly",12,1),""))</x:f>
        <x:v>0</x:v>
      </x:c>
      <x:c r="K39" s="236" t="n">
        <x:f>IF(ISNUMBER(J39),J39/12,"")</x:f>
        <x:v>0</x:v>
      </x:c>
      <x:c r="L39" s="4"/>
    </x:row>
    <x:row r="40" ht="28" customHeight="1">
      <x:c r="A40" s="451" t="str">
        <x:v>Unit 11</x:v>
      </x:c>
      <x:c r="B40" s="82" t="n">
        <x:v>0</x:v>
      </x:c>
      <x:c r="C40" s="477" t="str">
        <x:v>Monthly</x:v>
      </x:c>
      <x:c r="D40" s="188" t="n">
        <x:f>IF(B40="",0,IF(AND(ISNUMBER(B40),B40&gt;=0,OR(C40="Monthly",C40="Annual")),B40*IF(C40="Annual",1,12),""))</x:f>
        <x:v>0</x:v>
      </x:c>
      <x:c r="E40" s="172"/>
      <x:c r="F40" s="4"/>
      <x:c r="G40" s="272" t="str">
        <x:v>Trash</x:v>
      </x:c>
      <x:c r="H40" s="82" t="n">
        <x:v>0</x:v>
      </x:c>
      <x:c r="I40" s="65" t="str">
        <x:v>Annual</x:v>
      </x:c>
      <x:c r="J40" s="188" t="n">
        <x:f>IF(H40="",0,IF(AND(ISNUMBER(H40),H40&gt;=0,OR(I40="Annual",I40="Monthly")),H40*IF(I40="Monthly",12,1),""))</x:f>
        <x:v>0</x:v>
      </x:c>
      <x:c r="K40" s="236" t="n">
        <x:f>IF(ISNUMBER(J40),J40/12,"")</x:f>
        <x:v>0</x:v>
      </x:c>
      <x:c r="L40" s="4"/>
    </x:row>
    <x:row r="41" ht="28" customHeight="1">
      <x:c r="A41" s="451" t="str">
        <x:v>Unit 12</x:v>
      </x:c>
      <x:c r="B41" s="82" t="n">
        <x:v>0</x:v>
      </x:c>
      <x:c r="C41" s="477" t="str">
        <x:v>Monthly</x:v>
      </x:c>
      <x:c r="D41" s="188" t="n">
        <x:f>IF(B41="",0,IF(AND(ISNUMBER(B41),B41&gt;=0,OR(C41="Monthly",C41="Annual")),B41*IF(C41="Annual",1,12),""))</x:f>
        <x:v>0</x:v>
      </x:c>
      <x:c r="E41" s="172"/>
      <x:c r="F41" s="4"/>
      <x:c r="G41" s="272" t="str">
        <x:v>Internet — common areas</x:v>
      </x:c>
      <x:c r="H41" s="82" t="n">
        <x:v>0</x:v>
      </x:c>
      <x:c r="I41" s="65" t="str">
        <x:v>Annual</x:v>
      </x:c>
      <x:c r="J41" s="188" t="n">
        <x:f>IF(H41="",0,IF(AND(ISNUMBER(H41),H41&gt;=0,OR(I41="Annual",I41="Monthly")),H41*IF(I41="Monthly",12,1),""))</x:f>
        <x:v>0</x:v>
      </x:c>
      <x:c r="K41" s="236" t="n">
        <x:f>IF(ISNUMBER(J41),J41/12,"")</x:f>
        <x:v>0</x:v>
      </x:c>
      <x:c r="L41" s="4"/>
    </x:row>
    <x:row r="42" ht="28" customHeight="1">
      <x:c r="A42" s="450" t="str">
        <x:v>Detailed rental income</x:v>
      </x:c>
      <x:c r="B42" s="190" t="n">
        <x:f>IF(ISNUMBER(D42),D42/12,"")</x:f>
        <x:v>6500</x:v>
      </x:c>
      <x:c r="C42" s="191"/>
      <x:c r="D42" s="190" t="n">
        <x:f>IF(COUNT(D30:D41)=12,SUM(D30:D41),"")</x:f>
        <x:v>78000</x:v>
      </x:c>
      <x:c r="E42" s="192"/>
      <x:c r="F42" s="4"/>
      <x:c r="G42" s="454" t="str">
        <x:v>Building systems</x:v>
      </x:c>
      <x:c r="H42" s="232"/>
      <x:c r="I42" s="232"/>
      <x:c r="J42" s="232"/>
      <x:c r="K42" s="233"/>
      <x:c r="L42" s="4"/>
    </x:row>
    <x:row r="43" ht="28" customHeight="1">
      <x:c r="A43" s="452"/>
      <x:c r="B43" s="4"/>
      <x:c r="C43" s="4"/>
      <x:c r="D43" s="4"/>
      <x:c r="E43" s="172"/>
      <x:c r="F43" s="4"/>
      <x:c r="G43" s="272" t="str">
        <x:v>Security / cameras</x:v>
      </x:c>
      <x:c r="H43" s="82" t="n">
        <x:v>0</x:v>
      </x:c>
      <x:c r="I43" s="65" t="str">
        <x:v>Annual</x:v>
      </x:c>
      <x:c r="J43" s="188" t="n">
        <x:f>IF(H43="",0,IF(AND(ISNUMBER(H43),H43&gt;=0,OR(I43="Annual",I43="Monthly")),H43*IF(I43="Monthly",12,1),""))</x:f>
        <x:v>0</x:v>
      </x:c>
      <x:c r="K43" s="236" t="n">
        <x:f>IF(ISNUMBER(J43),J43/12,"")</x:f>
        <x:v>0</x:v>
      </x:c>
      <x:c r="L43" s="4"/>
    </x:row>
    <x:row r="44" ht="28" customHeight="1">
      <x:c r="A44" s="453" t="str">
        <x:f>IF(ISNUMBER(B23),"Gross rent used (Quick Fill)","Gross rent used (rent roll)")</x:f>
        <x:v>Gross rent used (rent roll)</x:v>
      </x:c>
      <x:c r="B44" s="4"/>
      <x:c r="C44" s="4"/>
      <x:c r="D44" s="188" t="n">
        <x:f>IF(ISNUMBER(B23),IF(AND(B23&gt;=0,OR(C23="Annual",C23="Monthly")),B23*IF(C23="Monthly",12,1),""),IF(B23="",D42,""))</x:f>
        <x:v>78000</x:v>
      </x:c>
      <x:c r="E44" s="172"/>
      <x:c r="F44" s="4"/>
      <x:c r="G44" s="272" t="str">
        <x:v>Access control / key fobs</x:v>
      </x:c>
      <x:c r="H44" s="82" t="n">
        <x:v>0</x:v>
      </x:c>
      <x:c r="I44" s="65" t="str">
        <x:v>Annual</x:v>
      </x:c>
      <x:c r="J44" s="188" t="n">
        <x:f>IF(H44="",0,IF(AND(ISNUMBER(H44),H44&gt;=0,OR(I44="Annual",I44="Monthly")),H44*IF(I44="Monthly",12,1),""))</x:f>
        <x:v>0</x:v>
      </x:c>
      <x:c r="K44" s="236" t="n">
        <x:f>IF(ISNUMBER(J44),J44/12,"")</x:f>
        <x:v>0</x:v>
      </x:c>
      <x:c r="L44" s="4"/>
    </x:row>
    <x:row r="45" ht="28" customHeight="1">
      <x:c r="A45" s="453" t="str">
        <x:v>Vacancy rate</x:v>
      </x:c>
      <x:c r="B45" s="88" t="n">
        <x:v>0</x:v>
      </x:c>
      <x:c r="C45" s="4"/>
      <x:c r="D45" s="4"/>
      <x:c r="E45" s="172"/>
      <x:c r="F45" s="4"/>
      <x:c r="G45" s="272" t="str">
        <x:v>Fire sprinkler testing</x:v>
      </x:c>
      <x:c r="H45" s="82" t="n">
        <x:v>0</x:v>
      </x:c>
      <x:c r="I45" s="65" t="str">
        <x:v>Annual</x:v>
      </x:c>
      <x:c r="J45" s="188" t="n">
        <x:f>IF(H45="",0,IF(AND(ISNUMBER(H45),H45&gt;=0,OR(I45="Annual",I45="Monthly")),H45*IF(I45="Monthly",12,1),""))</x:f>
        <x:v>0</x:v>
      </x:c>
      <x:c r="K45" s="236" t="n">
        <x:f>IF(ISNUMBER(J45),J45/12,"")</x:f>
        <x:v>0</x:v>
      </x:c>
      <x:c r="L45" s="4"/>
    </x:row>
    <x:row r="46" ht="28" customHeight="1">
      <x:c r="A46" s="453" t="str">
        <x:v>Annual vacancy loss override</x:v>
      </x:c>
      <x:c r="B46" s="82"/>
      <x:c r="C46" s="4"/>
      <x:c r="D46" s="4"/>
      <x:c r="E46" s="172"/>
      <x:c r="F46" s="4"/>
      <x:c r="G46" s="272" t="str">
        <x:v>Fire alarm monitoring</x:v>
      </x:c>
      <x:c r="H46" s="82" t="n">
        <x:v>0</x:v>
      </x:c>
      <x:c r="I46" s="65" t="str">
        <x:v>Annual</x:v>
      </x:c>
      <x:c r="J46" s="188" t="n">
        <x:f>IF(H46="",0,IF(AND(ISNUMBER(H46),H46&gt;=0,OR(I46="Annual",I46="Monthly")),H46*IF(I46="Monthly",12,1),""))</x:f>
        <x:v>0</x:v>
      </x:c>
      <x:c r="K46" s="236" t="n">
        <x:f>IF(ISNUMBER(J46),J46/12,"")</x:f>
        <x:v>0</x:v>
      </x:c>
      <x:c r="L46" s="4"/>
    </x:row>
    <x:row r="47" ht="28" customHeight="1">
      <x:c r="A47" s="453" t="str">
        <x:v>Other annual income</x:v>
      </x:c>
      <x:c r="B47" s="82" t="n">
        <x:v>0</x:v>
      </x:c>
      <x:c r="C47" s="4"/>
      <x:c r="D47" s="4"/>
      <x:c r="E47" s="172"/>
      <x:c r="F47" s="4"/>
      <x:c r="G47" s="272" t="str">
        <x:v>Elevator</x:v>
      </x:c>
      <x:c r="H47" s="82" t="n">
        <x:v>0</x:v>
      </x:c>
      <x:c r="I47" s="65" t="str">
        <x:v>Annual</x:v>
      </x:c>
      <x:c r="J47" s="188" t="n">
        <x:f>IF(H47="",0,IF(AND(ISNUMBER(H47),H47&gt;=0,OR(I47="Annual",I47="Monthly")),H47*IF(I47="Monthly",12,1),""))</x:f>
        <x:v>0</x:v>
      </x:c>
      <x:c r="K47" s="236" t="n">
        <x:f>IF(ISNUMBER(J47),J47/12,"")</x:f>
        <x:v>0</x:v>
      </x:c>
      <x:c r="L47" s="4"/>
    </x:row>
    <x:row r="48" ht="28" customHeight="1">
      <x:c r="A48" s="453" t="str">
        <x:v>Less: annual vacancy loss</x:v>
      </x:c>
      <x:c r="B48" s="4"/>
      <x:c r="C48" s="4"/>
      <x:c r="D48" s="188" t="n">
        <x:f>IF(ISNUMBER(B46),IF(B46&gt;=0,B46,""),IF(B46="",IF(AND(ISNUMBER(D44),ISNUMBER(B45),B45&gt;=0,B45&lt;=1),D44*B45,""),""))</x:f>
        <x:v>0</x:v>
      </x:c>
      <x:c r="E48" s="172"/>
      <x:c r="F48" s="4"/>
      <x:c r="G48" s="272" t="str">
        <x:v>Elevator inspection</x:v>
      </x:c>
      <x:c r="H48" s="82" t="n">
        <x:v>0</x:v>
      </x:c>
      <x:c r="I48" s="65" t="str">
        <x:v>Annual</x:v>
      </x:c>
      <x:c r="J48" s="188" t="n">
        <x:f>IF(H48="",0,IF(AND(ISNUMBER(H48),H48&gt;=0,OR(I48="Annual",I48="Monthly")),H48*IF(I48="Monthly",12,1),""))</x:f>
        <x:v>0</x:v>
      </x:c>
      <x:c r="K48" s="236" t="n">
        <x:f>IF(ISNUMBER(J48),J48/12,"")</x:f>
        <x:v>0</x:v>
      </x:c>
      <x:c r="L48" s="4"/>
    </x:row>
    <x:row r="49" ht="28" customHeight="1">
      <x:c r="A49" s="450" t="str">
        <x:v>Effective annual income</x:v>
      </x:c>
      <x:c r="B49" s="183"/>
      <x:c r="C49" s="183"/>
      <x:c r="D49" s="190" t="n">
        <x:f>IF(AND(ISNUMBER(D44),ISNUMBER(D48),OR(B47="",AND(ISNUMBER(B47),B47&gt;=0))),D44-D48+SUM(B47),"")</x:f>
        <x:v>78000</x:v>
      </x:c>
      <x:c r="E49" s="184"/>
      <x:c r="F49" s="4"/>
      <x:c r="G49" s="272" t="str">
        <x:v>Elevator phone</x:v>
      </x:c>
      <x:c r="H49" s="82" t="n">
        <x:v>0</x:v>
      </x:c>
      <x:c r="I49" s="65" t="str">
        <x:v>Annual</x:v>
      </x:c>
      <x:c r="J49" s="188" t="n">
        <x:f>IF(H49="",0,IF(AND(ISNUMBER(H49),H49&gt;=0,OR(I49="Annual",I49="Monthly")),H49*IF(I49="Monthly",12,1),""))</x:f>
        <x:v>0</x:v>
      </x:c>
      <x:c r="K49" s="236" t="n">
        <x:f>IF(ISNUMBER(J49),J49/12,"")</x:f>
        <x:v>0</x:v>
      </x:c>
      <x:c r="L49" s="4"/>
    </x:row>
    <x:row r="50" ht="28" customHeight="1">
      <x:c r="A50" s="171"/>
      <x:c r="B50" s="4"/>
      <x:c r="C50" s="4"/>
      <x:c r="D50" s="4"/>
      <x:c r="E50" s="172"/>
      <x:c r="F50" s="4"/>
      <x:c r="G50" s="272" t="str">
        <x:v>Pest control</x:v>
      </x:c>
      <x:c r="H50" s="82" t="n">
        <x:v>0</x:v>
      </x:c>
      <x:c r="I50" s="65" t="str">
        <x:v>Annual</x:v>
      </x:c>
      <x:c r="J50" s="188" t="n">
        <x:f>IF(H50="",0,IF(AND(ISNUMBER(H50),H50&gt;=0,OR(I50="Annual",I50="Monthly")),H50*IF(I50="Monthly",12,1),""))</x:f>
        <x:v>0</x:v>
      </x:c>
      <x:c r="K50" s="236" t="n">
        <x:f>IF(ISNUMBER(J50),J50/12,"")</x:f>
        <x:v>0</x:v>
      </x:c>
      <x:c r="L50" s="4"/>
    </x:row>
    <x:row r="51" ht="28" customHeight="1">
      <x:c r="A51" s="193" t="str">
        <x:v>Enter a rent amount and choose Monthly or Annual. The annual column calculates automatically. Vacancy reduces gross rent; other income is added once. A vacancy dollar override replaces the rate.</x:v>
      </x:c>
      <x:c r="B51" s="23"/>
      <x:c r="C51" s="23"/>
      <x:c r="D51" s="23"/>
      <x:c r="E51" s="201"/>
      <x:c r="F51" s="4"/>
      <x:c r="G51" s="272" t="str">
        <x:v>Bulk waste removal</x:v>
      </x:c>
      <x:c r="H51" s="82" t="n">
        <x:v>0</x:v>
      </x:c>
      <x:c r="I51" s="65" t="str">
        <x:v>Annual</x:v>
      </x:c>
      <x:c r="J51" s="188" t="n">
        <x:f>IF(H51="",0,IF(AND(ISNUMBER(H51),H51&gt;=0,OR(I51="Annual",I51="Monthly")),H51*IF(I51="Monthly",12,1),""))</x:f>
        <x:v>0</x:v>
      </x:c>
      <x:c r="K51" s="236" t="n">
        <x:f>IF(ISNUMBER(J51),J51/12,"")</x:f>
        <x:v>0</x:v>
      </x:c>
      <x:c r="L51" s="4"/>
    </x:row>
    <x:row r="52" ht="28" customHeight="1">
      <x:c r="A52" s="202"/>
      <x:c r="B52" s="203"/>
      <x:c r="C52" s="203"/>
      <x:c r="D52" s="203"/>
      <x:c r="E52" s="204"/>
      <x:c r="F52" s="4"/>
      <x:c r="G52" s="272" t="str">
        <x:v>Stormwater maintenance</x:v>
      </x:c>
      <x:c r="H52" s="82" t="n">
        <x:v>0</x:v>
      </x:c>
      <x:c r="I52" s="65" t="str">
        <x:v>Annual</x:v>
      </x:c>
      <x:c r="J52" s="188" t="n">
        <x:f>IF(H52="",0,IF(AND(ISNUMBER(H52),H52&gt;=0,OR(I52="Annual",I52="Monthly")),H52*IF(I52="Monthly",12,1),""))</x:f>
        <x:v>0</x:v>
      </x:c>
      <x:c r="K52" s="236" t="n">
        <x:f>IF(ISNUMBER(J52),J52/12,"")</x:f>
        <x:v>0</x:v>
      </x:c>
      <x:c r="L52" s="4"/>
    </x:row>
    <x:row r="53" ht="27" customHeight="1">
      <x:c r="A53" s="6"/>
      <x:c r="B53" s="4"/>
      <x:c r="C53" s="4"/>
      <x:c r="D53" s="4"/>
      <x:c r="E53" s="4"/>
      <x:c r="F53" s="4"/>
      <x:c r="G53" s="454" t="str">
        <x:v>Staffing &amp; upkeep</x:v>
      </x:c>
      <x:c r="H53" s="232"/>
      <x:c r="I53" s="232"/>
      <x:c r="J53" s="232"/>
      <x:c r="K53" s="233"/>
      <x:c r="L53" s="4"/>
    </x:row>
    <x:row r="54" ht="23" customHeight="1">
      <x:c r="A54" s="6"/>
      <x:c r="B54" s="4"/>
      <x:c r="C54" s="4"/>
      <x:c r="D54" s="4"/>
      <x:c r="E54" s="4"/>
      <x:c r="F54" s="4"/>
      <x:c r="G54" s="272" t="str">
        <x:v>Superintendent</x:v>
      </x:c>
      <x:c r="H54" s="82" t="n">
        <x:v>0</x:v>
      </x:c>
      <x:c r="I54" s="65" t="str">
        <x:v>Annual</x:v>
      </x:c>
      <x:c r="J54" s="188" t="n">
        <x:f>IF(H54="",0,IF(AND(ISNUMBER(H54),H54&gt;=0,OR(I54="Annual",I54="Monthly")),H54*IF(I54="Monthly",12,1),""))</x:f>
        <x:v>0</x:v>
      </x:c>
      <x:c r="K54" s="236" t="n">
        <x:f>IF(ISNUMBER(J54),J54/12,"")</x:f>
        <x:v>0</x:v>
      </x:c>
      <x:c r="L54" s="4"/>
    </x:row>
    <x:row r="55" ht="32" customHeight="1">
      <x:c r="A55" s="217" t="str">
        <x:v>MORTGAGE CALCULATOR</x:v>
      </x:c>
      <x:c r="B55" s="218"/>
      <x:c r="C55" s="218"/>
      <x:c r="D55" s="218"/>
      <x:c r="E55" s="219"/>
      <x:c r="F55" s="4"/>
      <x:c r="G55" s="272" t="str">
        <x:v>Landscaping</x:v>
      </x:c>
      <x:c r="H55" s="82" t="n">
        <x:v>0</x:v>
      </x:c>
      <x:c r="I55" s="65" t="str">
        <x:v>Annual</x:v>
      </x:c>
      <x:c r="J55" s="188" t="n">
        <x:f>IF(H55="",0,IF(AND(ISNUMBER(H55),H55&gt;=0,OR(I55="Annual",I55="Monthly")),H55*IF(I55="Monthly",12,1),""))</x:f>
        <x:v>0</x:v>
      </x:c>
      <x:c r="K55" s="236" t="n">
        <x:f>IF(ISNUMBER(J55),J55/12,"")</x:f>
        <x:v>0</x:v>
      </x:c>
      <x:c r="L55" s="4"/>
    </x:row>
    <x:row r="56" ht="27" customHeight="1">
      <x:c r="A56" s="227" t="str">
        <x:v>Assumable loan (optional)</x:v>
      </x:c>
      <x:c r="B56" s="232"/>
      <x:c r="C56" s="232" t="str">
        <x:v>Acquisition &amp; mortgage</x:v>
      </x:c>
      <x:c r="D56" s="232"/>
      <x:c r="E56" s="233"/>
      <x:c r="F56" s="4"/>
      <x:c r="G56" s="272" t="str">
        <x:v>Snow plowing</x:v>
      </x:c>
      <x:c r="H56" s="82" t="n">
        <x:v>0</x:v>
      </x:c>
      <x:c r="I56" s="65" t="str">
        <x:v>Annual</x:v>
      </x:c>
      <x:c r="J56" s="188" t="n">
        <x:f>IF(H56="",0,IF(AND(ISNUMBER(H56),H56&gt;=0,OR(I56="Annual",I56="Monthly")),H56*IF(I56="Monthly",12,1),""))</x:f>
        <x:v>0</x:v>
      </x:c>
      <x:c r="K56" s="236" t="n">
        <x:f>IF(ISNUMBER(J56),J56/12,"")</x:f>
        <x:v>0</x:v>
      </x:c>
      <x:c r="L56" s="4"/>
    </x:row>
    <x:row r="57" ht="34" customHeight="1">
      <x:c r="A57" s="272" t="str">
        <x:v>Assumed note rate</x:v>
      </x:c>
      <x:c r="B57" s="88"/>
      <x:c r="C57" s="20" t="str">
        <x:v>Primary loan</x:v>
      </x:c>
      <x:c r="D57" s="188" t="n">
        <x:f>IF(ISNUMBER(E17),E17,"")</x:f>
        <x:v>760000</x:v>
      </x:c>
      <x:c r="E57" s="221"/>
      <x:c r="F57" s="4"/>
      <x:c r="G57" s="272" t="str">
        <x:v>Maintenance / repairs</x:v>
      </x:c>
      <x:c r="H57" s="82" t="n">
        <x:v>0</x:v>
      </x:c>
      <x:c r="I57" s="65" t="str">
        <x:v>Annual</x:v>
      </x:c>
      <x:c r="J57" s="188" t="n">
        <x:f>IF(H57="",0,IF(AND(ISNUMBER(H57),H57&gt;=0,OR(I57="Annual",I57="Monthly")),H57*IF(I57="Monthly",12,1),""))</x:f>
        <x:v>0</x:v>
      </x:c>
      <x:c r="K57" s="236" t="n">
        <x:f>IF(ISNUMBER(J57),J57/12,"")</x:f>
        <x:v>0</x:v>
      </x:c>
      <x:c r="L57" s="4"/>
    </x:row>
    <x:row r="58" ht="34" customHeight="1">
      <x:c r="A58" s="272" t="str">
        <x:v>Maturity (years remaining)</x:v>
      </x:c>
      <x:c r="B58" s="92"/>
      <x:c r="C58" s="20" t="str">
        <x:v>Seller payment / down payment</x:v>
      </x:c>
      <x:c r="D58" s="188" t="n">
        <x:f>IF(ISNUMBER(E16),E16,"")</x:f>
        <x:v>190000</x:v>
      </x:c>
      <x:c r="E58" s="221"/>
      <x:c r="F58" s="4"/>
      <x:c r="G58" s="272" t="str">
        <x:v>Replacement reserves (below NOI)</x:v>
      </x:c>
      <x:c r="H58" s="82" t="n">
        <x:v>0</x:v>
      </x:c>
      <x:c r="I58" s="65" t="str">
        <x:v>Annual</x:v>
      </x:c>
      <x:c r="J58" s="188" t="n">
        <x:f>IF(H58="",0,IF(AND(ISNUMBER(H58),H58&gt;=0,OR(I58="Annual",I58="Monthly")),H58*IF(I58="Monthly",12,1),""))</x:f>
        <x:v>0</x:v>
      </x:c>
      <x:c r="K58" s="236" t="n">
        <x:f>IF(ISNUMBER(J58),J58/12,"")</x:f>
        <x:v>0</x:v>
      </x:c>
      <x:c r="L58" s="4"/>
    </x:row>
    <x:row r="59" ht="34" customHeight="1">
      <x:c r="A59" s="272" t="str">
        <x:v>Seller’s remaining loan balance</x:v>
      </x:c>
      <x:c r="B59" s="82"/>
      <x:c r="C59" s="20" t="str">
        <x:v>Rehab budget</x:v>
      </x:c>
      <x:c r="D59" s="188" t="n">
        <x:f>SUM(B21)</x:f>
        <x:v>0</x:v>
      </x:c>
      <x:c r="E59" s="221"/>
      <x:c r="F59" s="4"/>
      <x:c r="G59" s="272" t="str">
        <x:v>Legal / accounting</x:v>
      </x:c>
      <x:c r="H59" s="82" t="n">
        <x:v>0</x:v>
      </x:c>
      <x:c r="I59" s="65" t="str">
        <x:v>Annual</x:v>
      </x:c>
      <x:c r="J59" s="188" t="n">
        <x:f>IF(H59="",0,IF(AND(ISNUMBER(H59),H59&gt;=0,OR(I59="Annual",I59="Monthly")),H59*IF(I59="Monthly",12,1),""))</x:f>
        <x:v>0</x:v>
      </x:c>
      <x:c r="K59" s="236" t="n">
        <x:f>IF(ISNUMBER(J59),J59/12,"")</x:f>
        <x:v>0</x:v>
      </x:c>
      <x:c r="L59" s="4"/>
    </x:row>
    <x:row r="60" ht="34" customHeight="1">
      <x:c r="A60" s="273" t="str">
        <x:v>Maturity is not amortization. Enter remaining amortization or contractual P&amp;I below.</x:v>
      </x:c>
      <x:c r="B60" s="23"/>
      <x:c r="C60" s="20" t="str">
        <x:v>Closing + assumption costs</x:v>
      </x:c>
      <x:c r="D60" s="188" t="n">
        <x:f>SUM(B22,B84)</x:f>
        <x:v>0</x:v>
      </x:c>
      <x:c r="E60" s="221"/>
      <x:c r="F60" s="4"/>
      <x:c r="G60" s="272" t="str">
        <x:v>Management fees</x:v>
      </x:c>
      <x:c r="H60" s="82" t="n">
        <x:v>0</x:v>
      </x:c>
      <x:c r="I60" s="65" t="str">
        <x:v>Annual</x:v>
      </x:c>
      <x:c r="J60" s="188" t="n">
        <x:f>IF(H60="",0,IF(AND(ISNUMBER(H60),H60&gt;=0,OR(I60="Annual",I60="Monthly")),H60*IF(I60="Monthly",12,1),""))</x:f>
        <x:v>0</x:v>
      </x:c>
      <x:c r="K60" s="236" t="n">
        <x:f>IF(ISNUMBER(J60),J60/12,"")</x:f>
        <x:v>0</x:v>
      </x:c>
      <x:c r="L60" s="4"/>
    </x:row>
    <x:row r="61" ht="34" customHeight="1">
      <x:c r="A61" s="272" t="str">
        <x:v>Initial annual rate</x:v>
      </x:c>
      <x:c r="B61" s="269" t="n">
        <x:f>IF(B170=1,IF(ISNUMBER(B57),B57,""),IF(ISNUMBER(B19),B19,""))</x:f>
        <x:v>0.0625</x:v>
      </x:c>
      <x:c r="C61" s="278" t="str">
        <x:v>Total initial cash invested</x:v>
      </x:c>
      <x:c r="D61" s="149" t="n">
        <x:f>IF(ISNUMBER(E18),E18,"")</x:f>
        <x:v>190000</x:v>
      </x:c>
      <x:c r="E61" s="229"/>
      <x:c r="F61" s="4"/>
      <x:c r="G61" s="272" t="str">
        <x:v>Payroll</x:v>
      </x:c>
      <x:c r="H61" s="82" t="n">
        <x:v>0</x:v>
      </x:c>
      <x:c r="I61" s="65" t="str">
        <x:v>Annual</x:v>
      </x:c>
      <x:c r="J61" s="188" t="n">
        <x:f>IF(H61="",0,IF(AND(ISNUMBER(H61),H61&gt;=0,OR(I61="Annual",I61="Monthly")),H61*IF(I61="Monthly",12,1),""))</x:f>
        <x:v>0</x:v>
      </x:c>
      <x:c r="K61" s="236" t="n">
        <x:f>IF(ISNUMBER(J61),J61/12,"")</x:f>
        <x:v>0</x:v>
      </x:c>
      <x:c r="L61" s="4"/>
    </x:row>
    <x:row r="62" ht="34" customHeight="1">
      <x:c r="A62" s="274" t="str">
        <x:f>IF(B170=1,"Primary monthly P&amp;I — Year 1","")</x:f>
      </x:c>
      <x:c r="B62" s="270" t="n">
        <x:f>IF(ISNUMBER(D401),D401,"")</x:f>
        <x:v>4679.450723240598</x:v>
      </x:c>
      <x:c r="C62" s="279" t="str">
        <x:f>IF(B170=1,"Primary P&amp;I after maturity","Monthly P&amp;I — Year 1")</x:f>
        <x:v>Monthly P&amp;I — Year 1</x:v>
      </x:c>
      <x:c r="D62" s="149" t="n">
        <x:f>IF(B170=0,IF(ISNUMBER(M401),M401,""),IF(ISNUMBER(B64),IF(B64=0,0,IF(B78="Cash payoff",0,IF(AND(B78="Refinance",ISNUMBER(B80),B81&gt;0),IF($B$64=0,0,IF($B$80=0,$B$64/ROUND($B$81*12,0),$B$64*($B$80/12)/(1-(1+$B$80/12)^(-ROUND($B$81*12,0))))),""))),""))</x:f>
        <x:v>4679.450723240598</x:v>
      </x:c>
      <x:c r="E62" s="229"/>
      <x:c r="F62" s="4"/>
      <x:c r="G62" s="454" t="str">
        <x:v>Other expenses &amp; fees</x:v>
      </x:c>
      <x:c r="H62" s="232"/>
      <x:c r="I62" s="232"/>
      <x:c r="J62" s="232"/>
      <x:c r="K62" s="233"/>
      <x:c r="L62" s="4"/>
    </x:row>
    <x:row r="63" ht="34" customHeight="1">
      <x:c r="A63" s="272" t="str">
        <x:v>Maturity (years)</x:v>
      </x:c>
      <x:c r="B63" s="271" t="n">
        <x:f>IF(ISNUMBER(B173),B173/12,"")</x:f>
        <x:v>30</x:v>
      </x:c>
      <x:c r="C63" s="278" t="str">
        <x:v>Year 1 scheduled debt service</x:v>
      </x:c>
      <x:c r="D63" s="149" t="n">
        <x:f>IF(ISNUMBER(H201),H201,"")</x:f>
        <x:v>56153.40867888716</x:v>
      </x:c>
      <x:c r="E63" s="229"/>
      <x:c r="F63" s="4"/>
      <x:c r="G63" s="272" t="str">
        <x:v>Affordable compliance fee</x:v>
      </x:c>
      <x:c r="H63" s="82" t="n">
        <x:v>0</x:v>
      </x:c>
      <x:c r="I63" s="65" t="str">
        <x:v>Annual</x:v>
      </x:c>
      <x:c r="J63" s="188" t="n">
        <x:f>IF(H63="",0,IF(AND(ISNUMBER(H63),H63&gt;=0,OR(I63="Annual",I63="Monthly")),H63*IF(I63="Monthly",12,1),""))</x:f>
        <x:v>0</x:v>
      </x:c>
      <x:c r="K63" s="236" t="n">
        <x:f>IF(ISNUMBER(J63),J63/12,"")</x:f>
        <x:v>0</x:v>
      </x:c>
      <x:c r="L63" s="4"/>
    </x:row>
    <x:row r="64" ht="34" customHeight="1">
      <x:c r="A64" s="272" t="str">
        <x:v>Balloon due at maturity</x:v>
      </x:c>
      <x:c r="B64" s="270" t="n">
        <x:f>IF(AND(ISNUMBER(E17),E17=0),0,IF(AND(B171=1,B173&gt;0,B173&lt;=1200),INDEX(E401:E1600,B173),""))</x:f>
        <x:v>0</x:v>
      </x:c>
      <x:c r="C64" s="20" t="str">
        <x:v>Buyer cash toward purchase</x:v>
      </x:c>
      <x:c r="D64" s="188" t="n">
        <x:f>IF(ISNUMBER(E16),E16-SUM(B86),"")</x:f>
        <x:v>190000</x:v>
      </x:c>
      <x:c r="E64" s="221"/>
      <x:c r="F64" s="4"/>
      <x:c r="G64" s="272" t="str">
        <x:v>Other operating expenses</x:v>
      </x:c>
      <x:c r="H64" s="82" t="n">
        <x:v>0</x:v>
      </x:c>
      <x:c r="I64" s="65" t="str">
        <x:v>Annual</x:v>
      </x:c>
      <x:c r="J64" s="188" t="n">
        <x:f>IF(H64="",0,IF(AND(ISNUMBER(H64),H64&gt;=0,OR(I64="Annual",I64="Monthly")),H64*IF(I64="Monthly",12,1),""))</x:f>
        <x:v>0</x:v>
      </x:c>
      <x:c r="K64" s="236" t="n">
        <x:f>IF(ISNUMBER(J64),J64/12,"")</x:f>
        <x:v>0</x:v>
      </x:c>
      <x:c r="L64" s="4"/>
    </x:row>
    <x:row r="65" ht="34" customHeight="1">
      <x:c r="A65" s="272" t="str">
        <x:v>Remaining amortization (years)</x:v>
      </x:c>
      <x:c r="B65" s="92"/>
      <x:c r="C65" s="20" t="str">
        <x:v>Additional loan monthly P&amp;I</x:v>
      </x:c>
      <x:c r="D65" s="188" t="n">
        <x:f>IF(ISNUMBER(K401),K401,"")</x:f>
        <x:v>0</x:v>
      </x:c>
      <x:c r="E65" s="221"/>
      <x:c r="F65" s="4"/>
      <x:c r="G65" s="455" t="str">
        <x:v>Detailed operating expenses</x:v>
      </x:c>
      <x:c r="H65" s="228"/>
      <x:c r="I65" s="228"/>
      <x:c r="J65" s="149" t="n">
        <x:f>IF(COUNT(J31,J32,J33,J35,J36,J37,J38,J39,J40,J41,J43,J44,J45,J46,J47,J48,J49,J50,J51,J52,J54,J55,J56,J57,J59,J60,J61,J63,J64)=29,SUM(J31,J32,J33,J35,J36,J37,J38,J39,J40,J41,J43,J44,J45,J46,J47,J48,J49,J50,J51,J52,J54,J55,J56,J57,J59,J60,J61,J63,J64),"")</x:f>
        <x:v>30000</x:v>
      </x:c>
      <x:c r="K65" s="242" t="n">
        <x:f>IF(ISNUMBER(J65),J65/12,"")</x:f>
        <x:v>2500</x:v>
      </x:c>
      <x:c r="L65" s="4"/>
    </x:row>
    <x:row r="66" ht="34" customHeight="1">
      <x:c r="A66" s="272" t="str">
        <x:v>Contractual monthly P&amp;I (optional)</x:v>
      </x:c>
      <x:c r="B66" s="82"/>
      <x:c r="C66" s="20" t="str">
        <x:v>Loan-to-value</x:v>
      </x:c>
      <x:c r="D66" s="152" t="n">
        <x:f>IF(ISNUMBER(E19),E19,"")</x:f>
        <x:v>0.8</x:v>
      </x:c>
      <x:c r="E66" s="221"/>
      <x:c r="F66" s="4"/>
      <x:c r="G66" s="455" t="str">
        <x:f>IF(ISNUMBER(B24),"Operating expenses (Quick Fill)","Operating expenses (detail)")</x:f>
        <x:v>Operating expenses (detail)</x:v>
      </x:c>
      <x:c r="H66" s="228"/>
      <x:c r="I66" s="228"/>
      <x:c r="J66" s="149" t="n">
        <x:f>IF(ISNUMBER(B24),IF(AND(B24&gt;=0,OR(C24="Annual",C24="Monthly")),B24*IF(C24="Monthly",12,1),""),IF(B24="",IF(ISNUMBER(J65),J65,""),""))</x:f>
        <x:v>30000</x:v>
      </x:c>
      <x:c r="K66" s="242" t="n">
        <x:f>IF(ISNUMBER(J66),J66/12,"")</x:f>
        <x:v>2500</x:v>
      </x:c>
      <x:c r="L66" s="4"/>
    </x:row>
    <x:row r="67" ht="32" customHeight="1">
      <x:c r="A67" s="243" t="str">
        <x:v>A balloon remains due at maturity unless the scheduled payments fully amortize the debt. Choose a cash payoff or refinance plan below. Loan assumption requires lender approval and the actual note terms.</x:v>
      </x:c>
      <x:c r="B67" s="23"/>
      <x:c r="C67" s="23"/>
      <x:c r="D67" s="23"/>
      <x:c r="E67" s="251"/>
      <x:c r="F67" s="4"/>
      <x:c r="G67" s="243" t="str">
        <x:v>Operating expenses exclude replacement reserves. Reserves are deducted below NOI in cash flow and the main DSCR. Annual / monthly amounts stay synchronized.</x:v>
      </x:c>
      <x:c r="H67" s="23"/>
      <x:c r="I67" s="23"/>
      <x:c r="J67" s="23"/>
      <x:c r="K67" s="251"/>
      <x:c r="L67" s="4"/>
    </x:row>
    <x:row r="68" ht="32" customHeight="1">
      <x:c r="A68" s="245"/>
      <x:c r="B68" s="252"/>
      <x:c r="C68" s="252"/>
      <x:c r="D68" s="252"/>
      <x:c r="E68" s="253"/>
      <x:c r="F68" s="4"/>
      <x:c r="G68" s="245"/>
      <x:c r="H68" s="252"/>
      <x:c r="I68" s="252"/>
      <x:c r="J68" s="252"/>
      <x:c r="K68" s="253"/>
      <x:c r="L68" s="4"/>
    </x:row>
    <x:row r="69" ht="23" customHeight="1">
      <x:c r="A69" s="6"/>
      <x:c r="B69" s="4"/>
      <x:c r="C69" s="4"/>
      <x:c r="D69" s="4"/>
      <x:c r="E69" s="4"/>
      <x:c r="F69" s="4"/>
      <x:c r="G69" s="7"/>
      <x:c r="H69" s="4"/>
      <x:c r="I69" s="4"/>
      <x:c r="J69" s="4"/>
      <x:c r="K69" s="4"/>
      <x:c r="L69" s="4"/>
    </x:row>
    <x:row r="70" ht="23" customHeight="1">
      <x:c r="A70" s="6"/>
      <x:c r="B70" s="4"/>
      <x:c r="C70" s="4"/>
      <x:c r="D70" s="4"/>
      <x:c r="E70" s="4"/>
      <x:c r="F70" s="4"/>
      <x:c r="G70" s="7"/>
      <x:c r="H70" s="4"/>
      <x:c r="I70" s="4"/>
      <x:c r="J70" s="4"/>
      <x:c r="K70" s="4"/>
      <x:c r="L70" s="4"/>
    </x:row>
    <x:row r="71" ht="32" customHeight="1">
      <x:c r="A71" s="43" t="str">
        <x:v>LOAN STRUCTURE &amp; MATURITY</x:v>
      </x:c>
      <x:c r="B71" s="44"/>
      <x:c r="C71" s="44"/>
      <x:c r="D71" s="44"/>
      <x:c r="E71" s="45"/>
      <x:c r="F71" s="4"/>
      <x:c r="G71" s="43" t="str">
        <x:v>FORECAST ASSUMPTIONS</x:v>
      </x:c>
      <x:c r="H71" s="44"/>
      <x:c r="I71" s="44"/>
      <x:c r="J71" s="44"/>
      <x:c r="K71" s="45"/>
      <x:c r="L71" s="4"/>
    </x:row>
    <x:row r="72" ht="28" customHeight="1">
      <x:c r="A72" s="281" t="str">
        <x:v>Standard loan maturity (optional)</x:v>
      </x:c>
      <x:c r="B72" s="92"/>
      <x:c r="C72" s="4"/>
      <x:c r="D72" s="4"/>
      <x:c r="E72" s="47"/>
      <x:c r="F72" s="4"/>
      <x:c r="G72" s="53" t="str">
        <x:v>Property appreciation / year</x:v>
      </x:c>
      <x:c r="H72" s="4"/>
      <x:c r="I72" s="4"/>
      <x:c r="J72" s="88" t="n">
        <x:v>0.04</x:v>
      </x:c>
      <x:c r="K72" s="47"/>
      <x:c r="L72" s="4"/>
    </x:row>
    <x:row r="73" ht="28" customHeight="1">
      <x:c r="A73" s="281" t="str">
        <x:v>Interest-only period (years)</x:v>
      </x:c>
      <x:c r="B73" s="92" t="n">
        <x:v>0</x:v>
      </x:c>
      <x:c r="C73" s="4"/>
      <x:c r="D73" s="4"/>
      <x:c r="E73" s="47"/>
      <x:c r="F73" s="4"/>
      <x:c r="G73" s="53" t="str">
        <x:v>Revenue growth / year</x:v>
      </x:c>
      <x:c r="H73" s="4"/>
      <x:c r="I73" s="4"/>
      <x:c r="J73" s="88" t="n">
        <x:v>0.04</x:v>
      </x:c>
      <x:c r="K73" s="47"/>
      <x:c r="L73" s="4"/>
    </x:row>
    <x:row r="74" ht="28" customHeight="1">
      <x:c r="A74" s="281" t="str">
        <x:v>Contractual fixed-rate years</x:v>
      </x:c>
      <x:c r="B74" s="92"/>
      <x:c r="C74" s="4"/>
      <x:c r="D74" s="4"/>
      <x:c r="E74" s="47"/>
      <x:c r="F74" s="4"/>
      <x:c r="G74" s="53" t="str">
        <x:v>Expense growth / year</x:v>
      </x:c>
      <x:c r="H74" s="4"/>
      <x:c r="I74" s="4"/>
      <x:c r="J74" s="88" t="n">
        <x:v>0.03</x:v>
      </x:c>
      <x:c r="K74" s="47"/>
      <x:c r="L74" s="4"/>
    </x:row>
    <x:row r="75" ht="28" customHeight="1">
      <x:c r="A75" s="281" t="str">
        <x:v>Contractual reset rate</x:v>
      </x:c>
      <x:c r="B75" s="88"/>
      <x:c r="C75" s="4"/>
      <x:c r="D75" s="4"/>
      <x:c r="E75" s="47"/>
      <x:c r="F75" s="4"/>
      <x:c r="G75" s="53" t="str">
        <x:v>Selling costs</x:v>
      </x:c>
      <x:c r="H75" s="4"/>
      <x:c r="I75" s="4"/>
      <x:c r="J75" s="88" t="n">
        <x:v>0</x:v>
      </x:c>
      <x:c r="K75" s="47"/>
      <x:c r="L75" s="4"/>
    </x:row>
    <x:row r="76" ht="24" customHeight="1">
      <x:c r="A76" s="287" t="str">
        <x:v>A blank standard maturity uses its amortization. A rate reset applies only when both reset inputs are entered; it does not erase a balloon. Loan periods round to whole months.</x:v>
      </x:c>
      <x:c r="B76" s="23"/>
      <x:c r="C76" s="23"/>
      <x:c r="D76" s="23"/>
      <x:c r="E76" s="291"/>
      <x:c r="F76" s="4"/>
      <x:c r="G76" s="53" t="str">
        <x:v>Sale / hold year (1–10)</x:v>
      </x:c>
      <x:c r="H76" s="4"/>
      <x:c r="I76" s="4"/>
      <x:c r="J76" s="70" t="n">
        <x:v>10</x:v>
      </x:c>
      <x:c r="K76" s="47"/>
      <x:c r="L76" s="4"/>
    </x:row>
    <x:row r="77" ht="24" customHeight="1">
      <x:c r="A77" s="292"/>
      <x:c r="B77" s="23"/>
      <x:c r="C77" s="23"/>
      <x:c r="D77" s="23"/>
      <x:c r="E77" s="291"/>
      <x:c r="F77" s="4"/>
      <x:c r="G77" s="53" t="str">
        <x:v>Exit cap rate (optional)</x:v>
      </x:c>
      <x:c r="H77" s="4"/>
      <x:c r="I77" s="4"/>
      <x:c r="J77" s="88"/>
      <x:c r="K77" s="47"/>
      <x:c r="L77" s="4"/>
    </x:row>
    <x:row r="78" ht="28" customHeight="1">
      <x:c r="A78" s="281" t="str">
        <x:v>Balloon maturity plan</x:v>
      </x:c>
      <x:c r="B78" s="65" t="str">
        <x:v>Unresolved</x:v>
      </x:c>
      <x:c r="C78" s="4"/>
      <x:c r="D78" s="4"/>
      <x:c r="E78" s="47"/>
      <x:c r="F78" s="4"/>
      <x:c r="G78" s="297"/>
      <x:c r="H78" s="4"/>
      <x:c r="I78" s="4"/>
      <x:c r="J78" s="4"/>
      <x:c r="K78" s="47"/>
      <x:c r="L78" s="4"/>
    </x:row>
    <x:row r="79" ht="25" customHeight="1">
      <x:c r="A79" s="285" t="str">
        <x:v>Refinancing assumptions</x:v>
      </x:c>
      <x:c r="B79" s="232"/>
      <x:c r="C79" s="232"/>
      <x:c r="D79" s="232"/>
      <x:c r="E79" s="286"/>
      <x:c r="F79" s="4"/>
      <x:c r="G79" s="287" t="str">
        <x:v>Year 1 uses current income and expenses. Growth begins in Year 2. An exit cap uses next-year NOI for each sale year; otherwise value uses appreciation. The forecast and comparison use the same valuation.</x:v>
      </x:c>
      <x:c r="H79" s="23"/>
      <x:c r="I79" s="23"/>
      <x:c r="J79" s="23"/>
      <x:c r="K79" s="291"/>
      <x:c r="L79" s="4"/>
    </x:row>
    <x:row r="80" ht="25" customHeight="1">
      <x:c r="A80" s="281" t="str">
        <x:v>Refinance annual rate</x:v>
      </x:c>
      <x:c r="B80" s="88"/>
      <x:c r="C80" s="4"/>
      <x:c r="D80" s="4"/>
      <x:c r="E80" s="47"/>
      <x:c r="F80" s="4"/>
      <x:c r="G80" s="292"/>
      <x:c r="H80" s="23"/>
      <x:c r="I80" s="23"/>
      <x:c r="J80" s="23"/>
      <x:c r="K80" s="291"/>
      <x:c r="L80" s="4"/>
    </x:row>
    <x:row r="81" ht="25" customHeight="1">
      <x:c r="A81" s="281" t="str">
        <x:v>Refinance amortization (years)</x:v>
      </x:c>
      <x:c r="B81" s="92"/>
      <x:c r="C81" s="4"/>
      <x:c r="D81" s="4"/>
      <x:c r="E81" s="47"/>
      <x:c r="F81" s="4"/>
      <x:c r="G81" s="292"/>
      <x:c r="H81" s="23"/>
      <x:c r="I81" s="23"/>
      <x:c r="J81" s="23"/>
      <x:c r="K81" s="291"/>
      <x:c r="L81" s="4"/>
    </x:row>
    <x:row r="82" ht="28" customHeight="1">
      <x:c r="A82" s="281" t="str">
        <x:v>Refinance fee (%)</x:v>
      </x:c>
      <x:c r="B82" s="88" t="n">
        <x:v>0</x:v>
      </x:c>
      <x:c r="C82" s="4"/>
      <x:c r="D82" s="4"/>
      <x:c r="E82" s="47"/>
      <x:c r="F82" s="4"/>
      <x:c r="G82" s="297"/>
      <x:c r="H82" s="4"/>
      <x:c r="I82" s="4"/>
      <x:c r="J82" s="4"/>
      <x:c r="K82" s="47"/>
      <x:c r="L82" s="4"/>
    </x:row>
    <x:row r="83" ht="28" customHeight="1">
      <x:c r="A83" s="281" t="str">
        <x:v>Other refinance cash costs</x:v>
      </x:c>
      <x:c r="B83" s="82" t="n">
        <x:v>0</x:v>
      </x:c>
      <x:c r="C83" s="4"/>
      <x:c r="D83" s="4"/>
      <x:c r="E83" s="47"/>
      <x:c r="F83" s="4"/>
      <x:c r="G83" s="53" t="str">
        <x:v>Main DSCR = cash flow after reserves / scheduled P&amp;I</x:v>
      </x:c>
      <x:c r="H83" s="103"/>
      <x:c r="I83" s="103"/>
      <x:c r="J83" s="103"/>
      <x:c r="K83" s="304"/>
      <x:c r="L83" s="4"/>
    </x:row>
    <x:row r="84" ht="28" customHeight="1">
      <x:c r="A84" s="281" t="str">
        <x:v>Assumption fees &amp; costs</x:v>
      </x:c>
      <x:c r="B84" s="82" t="n">
        <x:v>0</x:v>
      </x:c>
      <x:c r="C84" s="4"/>
      <x:c r="D84" s="4"/>
      <x:c r="E84" s="47"/>
      <x:c r="F84" s="4"/>
      <x:c r="G84" s="297"/>
      <x:c r="H84" s="103"/>
      <x:c r="I84" s="103"/>
      <x:c r="J84" s="103"/>
      <x:c r="K84" s="304"/>
      <x:c r="L84" s="4"/>
    </x:row>
    <x:row r="85" ht="27" customHeight="1">
      <x:c r="A85" s="285" t="str">
        <x:v>Additional purchase financing</x:v>
      </x:c>
      <x:c r="B85" s="232"/>
      <x:c r="C85" s="232"/>
      <x:c r="D85" s="232"/>
      <x:c r="E85" s="286"/>
      <x:c r="F85" s="4"/>
      <x:c r="G85" s="297"/>
      <x:c r="H85" s="4"/>
      <x:c r="I85" s="4"/>
      <x:c r="J85" s="4"/>
      <x:c r="K85" s="47"/>
      <x:c r="L85" s="4"/>
    </x:row>
    <x:row r="86" ht="23" customHeight="1">
      <x:c r="A86" s="281" t="str">
        <x:v>Additional purchase loan</x:v>
      </x:c>
      <x:c r="B86" s="82" t="n">
        <x:v>0</x:v>
      </x:c>
      <x:c r="C86" s="4"/>
      <x:c r="D86" s="4"/>
      <x:c r="E86" s="47"/>
      <x:c r="F86" s="4"/>
      <x:c r="G86" s="287" t="str">
        <x:v>Capital-plan costs below are additional to replacement reserves. Cash balloon payments and refinancing fees reduce cash flow once. Unresolved loan maturities leave subsequent cash flow and affected returns unavailable.</x:v>
      </x:c>
      <x:c r="H86" s="23"/>
      <x:c r="I86" s="23"/>
      <x:c r="J86" s="23"/>
      <x:c r="K86" s="291"/>
      <x:c r="L86" s="4"/>
    </x:row>
    <x:row r="87" ht="23" customHeight="1">
      <x:c r="A87" s="281" t="str">
        <x:v>Additional loan annual rate</x:v>
      </x:c>
      <x:c r="B87" s="88"/>
      <x:c r="C87" s="4"/>
      <x:c r="D87" s="4"/>
      <x:c r="E87" s="47"/>
      <x:c r="F87" s="4"/>
      <x:c r="G87" s="292"/>
      <x:c r="H87" s="23"/>
      <x:c r="I87" s="23"/>
      <x:c r="J87" s="23"/>
      <x:c r="K87" s="291"/>
      <x:c r="L87" s="4"/>
    </x:row>
    <x:row r="88" ht="23" customHeight="1">
      <x:c r="A88" s="281" t="str">
        <x:v>Additional loan amortization</x:v>
      </x:c>
      <x:c r="B88" s="92"/>
      <x:c r="C88" s="4"/>
      <x:c r="D88" s="4"/>
      <x:c r="E88" s="47"/>
      <x:c r="F88" s="4"/>
      <x:c r="G88" s="292"/>
      <x:c r="H88" s="23"/>
      <x:c r="I88" s="23"/>
      <x:c r="J88" s="23"/>
      <x:c r="K88" s="291"/>
      <x:c r="L88" s="4"/>
    </x:row>
    <x:row r="89" ht="23" customHeight="1">
      <x:c r="A89" s="109" t="str">
        <x:v>Additional financing reduces buyer purchase cash and amortizes separately. Refinancing costs are paid in cash; no cash-out or lender approval is assumed.</x:v>
      </x:c>
      <x:c r="B89" s="114"/>
      <x:c r="C89" s="114"/>
      <x:c r="D89" s="114"/>
      <x:c r="E89" s="115"/>
      <x:c r="F89" s="4"/>
      <x:c r="G89" s="306"/>
      <x:c r="H89" s="114"/>
      <x:c r="I89" s="114"/>
      <x:c r="J89" s="114"/>
      <x:c r="K89" s="115"/>
      <x:c r="L89" s="4"/>
    </x:row>
    <x:row r="90" ht="28" customHeight="1">
      <x:c r="A90" s="6"/>
      <x:c r="B90" s="4"/>
      <x:c r="C90" s="4"/>
      <x:c r="D90" s="4"/>
      <x:c r="E90" s="4"/>
      <x:c r="F90" s="4"/>
      <x:c r="G90" s="103"/>
      <x:c r="H90" s="4"/>
      <x:c r="I90" s="4"/>
      <x:c r="J90" s="4"/>
      <x:c r="K90" s="4"/>
      <x:c r="L90" s="4"/>
    </x:row>
    <x:row r="91" ht="28" customHeight="1">
      <x:c r="A91" s="6"/>
      <x:c r="B91" s="4"/>
      <x:c r="C91" s="4"/>
      <x:c r="D91" s="4"/>
      <x:c r="E91" s="4"/>
      <x:c r="F91" s="4"/>
      <x:c r="G91" s="103"/>
      <x:c r="H91" s="4"/>
      <x:c r="I91" s="4"/>
      <x:c r="J91" s="4"/>
      <x:c r="K91" s="4"/>
      <x:c r="L91" s="4"/>
    </x:row>
    <x:row r="92" ht="32" customHeight="1">
      <x:c r="A92" s="43" t="str">
        <x:v>YEAR 0–10 ANNUAL FORECAST</x:v>
      </x:c>
      <x:c r="B92" s="44"/>
      <x:c r="C92" s="44"/>
      <x:c r="D92" s="44"/>
      <x:c r="E92" s="44"/>
      <x:c r="F92" s="44"/>
      <x:c r="G92" s="44"/>
      <x:c r="H92" s="44"/>
      <x:c r="I92" s="44"/>
      <x:c r="J92" s="44"/>
      <x:c r="K92" s="44"/>
      <x:c r="L92" s="45"/>
    </x:row>
    <x:row r="93" ht="38" customHeight="1">
      <x:c r="A93" s="287" t="str">
        <x:v>Year 0 includes purchase cash, rehab, closing and assumption costs. Forecast cash flow includes reserves, scheduled debt, cash balloons, refinance fees and additional capital costs.</x:v>
      </x:c>
      <x:c r="B93" s="23"/>
      <x:c r="C93" s="23"/>
      <x:c r="D93" s="23"/>
      <x:c r="E93" s="23"/>
      <x:c r="F93" s="23"/>
      <x:c r="G93" s="23"/>
      <x:c r="H93" s="23"/>
      <x:c r="I93" s="23"/>
      <x:c r="J93" s="23"/>
      <x:c r="K93" s="23"/>
      <x:c r="L93" s="291"/>
    </x:row>
    <x:row r="94" ht="28" customHeight="1">
      <x:c r="A94" s="340" t="str">
        <x:v>Annual projection</x:v>
      </x:c>
      <x:c r="B94" s="314" t="n">
        <x:v>0</x:v>
      </x:c>
      <x:c r="C94" s="314" t="n">
        <x:v>1</x:v>
      </x:c>
      <x:c r="D94" s="314" t="n">
        <x:v>2</x:v>
      </x:c>
      <x:c r="E94" s="314" t="n">
        <x:v>3</x:v>
      </x:c>
      <x:c r="F94" s="314" t="n">
        <x:v>4</x:v>
      </x:c>
      <x:c r="G94" s="315" t="n">
        <x:v>5</x:v>
      </x:c>
      <x:c r="H94" s="314" t="n">
        <x:v>6</x:v>
      </x:c>
      <x:c r="I94" s="314" t="n">
        <x:v>7</x:v>
      </x:c>
      <x:c r="J94" s="314" t="n">
        <x:v>8</x:v>
      </x:c>
      <x:c r="K94" s="314" t="n">
        <x:v>9</x:v>
      </x:c>
      <x:c r="L94" s="341" t="n">
        <x:v>10</x:v>
      </x:c>
    </x:row>
    <x:row r="95" ht="29" customHeight="1">
      <x:c r="A95" s="342" t="str">
        <x:v>Effective income</x:v>
      </x:c>
      <x:c r="B95" s="127" t="n">
        <x:f>IF(ISNUMBER(C200),C200,"")</x:f>
        <x:v>0</x:v>
      </x:c>
      <x:c r="C95" s="127" t="n">
        <x:f>IF(ISNUMBER(C201),C201,"")</x:f>
        <x:v>78000</x:v>
      </x:c>
      <x:c r="D95" s="127" t="n">
        <x:f>IF(ISNUMBER(C202),C202,"")</x:f>
        <x:v>81120</x:v>
      </x:c>
      <x:c r="E95" s="127" t="n">
        <x:f>IF(ISNUMBER(C203),C203,"")</x:f>
        <x:v>84364.8</x:v>
      </x:c>
      <x:c r="F95" s="127" t="n">
        <x:f>IF(ISNUMBER(C204),C204,"")</x:f>
        <x:v>87739.392</x:v>
      </x:c>
      <x:c r="G95" s="320" t="n">
        <x:f>IF(ISNUMBER(C205),C205,"")</x:f>
        <x:v>91248.96768000002</x:v>
      </x:c>
      <x:c r="H95" s="127" t="n">
        <x:f>IF(ISNUMBER(C206),C206,"")</x:f>
        <x:v>94898.92638720002</x:v>
      </x:c>
      <x:c r="I95" s="127" t="n">
        <x:f>IF(ISNUMBER(C207),C207,"")</x:f>
        <x:v>98694.88344268803</x:v>
      </x:c>
      <x:c r="J95" s="127" t="n">
        <x:f>IF(ISNUMBER(C208),C208,"")</x:f>
        <x:v>102642.67878039554</x:v>
      </x:c>
      <x:c r="K95" s="127" t="n">
        <x:f>IF(ISNUMBER(C209),C209,"")</x:f>
        <x:v>106748.38593161137</x:v>
      </x:c>
      <x:c r="L95" s="343" t="n">
        <x:f>IF(ISNUMBER(C210),C210,"")</x:f>
        <x:v>111018.32136887583</x:v>
      </x:c>
    </x:row>
    <x:row r="96" ht="29" customHeight="1">
      <x:c r="A96" s="344" t="str">
        <x:v>Operating expenses</x:v>
      </x:c>
      <x:c r="B96" s="134" t="n">
        <x:f>IF(ISNUMBER(D200),D200,"")</x:f>
        <x:v>0</x:v>
      </x:c>
      <x:c r="C96" s="134" t="n">
        <x:f>IF(ISNUMBER(D201),D201,"")</x:f>
        <x:v>30000</x:v>
      </x:c>
      <x:c r="D96" s="134" t="n">
        <x:f>IF(ISNUMBER(D202),D202,"")</x:f>
        <x:v>30900</x:v>
      </x:c>
      <x:c r="E96" s="134" t="n">
        <x:f>IF(ISNUMBER(D203),D203,"")</x:f>
        <x:v>31827</x:v>
      </x:c>
      <x:c r="F96" s="134" t="n">
        <x:f>IF(ISNUMBER(D204),D204,"")</x:f>
        <x:v>32781.81</x:v>
      </x:c>
      <x:c r="G96" s="322" t="n">
        <x:f>IF(ISNUMBER(D205),D205,"")</x:f>
        <x:v>33765.2643</x:v>
      </x:c>
      <x:c r="H96" s="134" t="n">
        <x:f>IF(ISNUMBER(D206),D206,"")</x:f>
        <x:v>34778.222229</x:v>
      </x:c>
      <x:c r="I96" s="134" t="n">
        <x:f>IF(ISNUMBER(D207),D207,"")</x:f>
        <x:v>35821.568895870005</x:v>
      </x:c>
      <x:c r="J96" s="134" t="n">
        <x:f>IF(ISNUMBER(D208),D208,"")</x:f>
        <x:v>36896.21596274611</x:v>
      </x:c>
      <x:c r="K96" s="134" t="n">
        <x:f>IF(ISNUMBER(D209),D209,"")</x:f>
        <x:v>38003.10244162849</x:v>
      </x:c>
      <x:c r="L96" s="345" t="n">
        <x:f>IF(ISNUMBER(D210),D210,"")</x:f>
        <x:v>39143.19551487735</x:v>
      </x:c>
    </x:row>
    <x:row r="97" ht="29" customHeight="1">
      <x:c r="A97" s="346" t="str">
        <x:v>NOI before reserves</x:v>
      </x:c>
      <x:c r="B97" s="145" t="n">
        <x:f>IF(ISNUMBER(F200),F200,"")</x:f>
        <x:v>0</x:v>
      </x:c>
      <x:c r="C97" s="145" t="n">
        <x:f>IF(ISNUMBER(F201),F201,"")</x:f>
        <x:v>48000</x:v>
      </x:c>
      <x:c r="D97" s="145" t="n">
        <x:f>IF(ISNUMBER(F202),F202,"")</x:f>
        <x:v>50220</x:v>
      </x:c>
      <x:c r="E97" s="145" t="n">
        <x:f>IF(ISNUMBER(F203),F203,"")</x:f>
        <x:v>52537.8</x:v>
      </x:c>
      <x:c r="F97" s="145" t="n">
        <x:f>IF(ISNUMBER(F204),F204,"")</x:f>
        <x:v>54957.58200000001</x:v>
      </x:c>
      <x:c r="G97" s="326" t="n">
        <x:f>IF(ISNUMBER(F205),F205,"")</x:f>
        <x:v>57483.70338000001</x:v>
      </x:c>
      <x:c r="H97" s="145" t="n">
        <x:f>IF(ISNUMBER(F206),F206,"")</x:f>
        <x:v>60120.70415820002</x:v>
      </x:c>
      <x:c r="I97" s="145" t="n">
        <x:f>IF(ISNUMBER(F207),F207,"")</x:f>
        <x:v>62873.31454681803</x:v>
      </x:c>
      <x:c r="J97" s="145" t="n">
        <x:f>IF(ISNUMBER(F208),F208,"")</x:f>
        <x:v>65746.46281764943</x:v>
      </x:c>
      <x:c r="K97" s="145" t="n">
        <x:f>IF(ISNUMBER(F209),F209,"")</x:f>
        <x:v>68745.28348998287</x:v>
      </x:c>
      <x:c r="L97" s="347" t="n">
        <x:f>IF(ISNUMBER(F210),F210,"")</x:f>
        <x:v>71875.12585399847</x:v>
      </x:c>
    </x:row>
    <x:row r="98" ht="29" customHeight="1">
      <x:c r="A98" s="344" t="str">
        <x:v>Replacement reserves</x:v>
      </x:c>
      <x:c r="B98" s="134" t="n">
        <x:f>IF(ISNUMBER(E200),E200,"")</x:f>
        <x:v>0</x:v>
      </x:c>
      <x:c r="C98" s="134" t="n">
        <x:f>IF(ISNUMBER(E201),E201,"")</x:f>
        <x:v>0</x:v>
      </x:c>
      <x:c r="D98" s="134" t="n">
        <x:f>IF(ISNUMBER(E202),E202,"")</x:f>
        <x:v>0</x:v>
      </x:c>
      <x:c r="E98" s="134" t="n">
        <x:f>IF(ISNUMBER(E203),E203,"")</x:f>
        <x:v>0</x:v>
      </x:c>
      <x:c r="F98" s="134" t="n">
        <x:f>IF(ISNUMBER(E204),E204,"")</x:f>
        <x:v>0</x:v>
      </x:c>
      <x:c r="G98" s="322" t="n">
        <x:f>IF(ISNUMBER(E205),E205,"")</x:f>
        <x:v>0</x:v>
      </x:c>
      <x:c r="H98" s="134" t="n">
        <x:f>IF(ISNUMBER(E206),E206,"")</x:f>
        <x:v>0</x:v>
      </x:c>
      <x:c r="I98" s="134" t="n">
        <x:f>IF(ISNUMBER(E207),E207,"")</x:f>
        <x:v>0</x:v>
      </x:c>
      <x:c r="J98" s="134" t="n">
        <x:f>IF(ISNUMBER(E208),E208,"")</x:f>
        <x:v>0</x:v>
      </x:c>
      <x:c r="K98" s="134" t="n">
        <x:f>IF(ISNUMBER(E209),E209,"")</x:f>
        <x:v>0</x:v>
      </x:c>
      <x:c r="L98" s="345" t="n">
        <x:f>IF(ISNUMBER(E210),E210,"")</x:f>
        <x:v>0</x:v>
      </x:c>
    </x:row>
    <x:row r="99" ht="29" customHeight="1">
      <x:c r="A99" s="346" t="str">
        <x:v>Cash flow before debt</x:v>
      </x:c>
      <x:c r="B99" s="145" t="n">
        <x:f>IF(ISNUMBER(G200),G200,"")</x:f>
        <x:v>0</x:v>
      </x:c>
      <x:c r="C99" s="145" t="n">
        <x:f>IF(ISNUMBER(G201),G201,"")</x:f>
        <x:v>48000</x:v>
      </x:c>
      <x:c r="D99" s="145" t="n">
        <x:f>IF(ISNUMBER(G202),G202,"")</x:f>
        <x:v>50220</x:v>
      </x:c>
      <x:c r="E99" s="145" t="n">
        <x:f>IF(ISNUMBER(G203),G203,"")</x:f>
        <x:v>52537.8</x:v>
      </x:c>
      <x:c r="F99" s="145" t="n">
        <x:f>IF(ISNUMBER(G204),G204,"")</x:f>
        <x:v>54957.58200000001</x:v>
      </x:c>
      <x:c r="G99" s="326" t="n">
        <x:f>IF(ISNUMBER(G205),G205,"")</x:f>
        <x:v>57483.70338000001</x:v>
      </x:c>
      <x:c r="H99" s="145" t="n">
        <x:f>IF(ISNUMBER(G206),G206,"")</x:f>
        <x:v>60120.70415820002</x:v>
      </x:c>
      <x:c r="I99" s="145" t="n">
        <x:f>IF(ISNUMBER(G207),G207,"")</x:f>
        <x:v>62873.31454681803</x:v>
      </x:c>
      <x:c r="J99" s="145" t="n">
        <x:f>IF(ISNUMBER(G208),G208,"")</x:f>
        <x:v>65746.46281764943</x:v>
      </x:c>
      <x:c r="K99" s="145" t="n">
        <x:f>IF(ISNUMBER(G209),G209,"")</x:f>
        <x:v>68745.28348998287</x:v>
      </x:c>
      <x:c r="L99" s="347" t="n">
        <x:f>IF(ISNUMBER(G210),G210,"")</x:f>
        <x:v>71875.12585399847</x:v>
      </x:c>
    </x:row>
    <x:row r="100" ht="29" customHeight="1">
      <x:c r="A100" s="344" t="str">
        <x:v>Scheduled P&amp;I</x:v>
      </x:c>
      <x:c r="B100" s="134" t="n">
        <x:f>IF(ISNUMBER(H200),H200,"")</x:f>
        <x:v>0</x:v>
      </x:c>
      <x:c r="C100" s="134" t="n">
        <x:f>IF(ISNUMBER(H201),H201,"")</x:f>
        <x:v>56153.40867888716</x:v>
      </x:c>
      <x:c r="D100" s="134" t="n">
        <x:f>IF(ISNUMBER(H202),H202,"")</x:f>
        <x:v>56153.40867888716</x:v>
      </x:c>
      <x:c r="E100" s="134" t="n">
        <x:f>IF(ISNUMBER(H203),H203,"")</x:f>
        <x:v>56153.40867888716</x:v>
      </x:c>
      <x:c r="F100" s="134" t="n">
        <x:f>IF(ISNUMBER(H204),H204,"")</x:f>
        <x:v>56153.40867888716</x:v>
      </x:c>
      <x:c r="G100" s="322" t="n">
        <x:f>IF(ISNUMBER(H205),H205,"")</x:f>
        <x:v>56153.40867888716</x:v>
      </x:c>
      <x:c r="H100" s="134" t="n">
        <x:f>IF(ISNUMBER(H206),H206,"")</x:f>
        <x:v>56153.40867888716</x:v>
      </x:c>
      <x:c r="I100" s="134" t="n">
        <x:f>IF(ISNUMBER(H207),H207,"")</x:f>
        <x:v>56153.40867888716</x:v>
      </x:c>
      <x:c r="J100" s="134" t="n">
        <x:f>IF(ISNUMBER(H208),H208,"")</x:f>
        <x:v>56153.40867888716</x:v>
      </x:c>
      <x:c r="K100" s="134" t="n">
        <x:f>IF(ISNUMBER(H209),H209,"")</x:f>
        <x:v>56153.40867888716</x:v>
      </x:c>
      <x:c r="L100" s="345" t="n">
        <x:f>IF(ISNUMBER(H210),H210,"")</x:f>
        <x:v>56153.40867888716</x:v>
      </x:c>
    </x:row>
    <x:row r="101" ht="29" customHeight="1">
      <x:c r="A101" s="344" t="str">
        <x:v>Balloon due (reference)</x:v>
      </x:c>
      <x:c r="B101" s="134" t="n">
        <x:f>IF(ISNUMBER(I200),I200,"")</x:f>
        <x:v>0</x:v>
      </x:c>
      <x:c r="C101" s="134" t="n">
        <x:f>IF(ISNUMBER(I201),I201,"")</x:f>
        <x:v>0</x:v>
      </x:c>
      <x:c r="D101" s="134" t="n">
        <x:f>IF(ISNUMBER(I202),I202,"")</x:f>
        <x:v>0</x:v>
      </x:c>
      <x:c r="E101" s="134" t="n">
        <x:f>IF(ISNUMBER(I203),I203,"")</x:f>
        <x:v>0</x:v>
      </x:c>
      <x:c r="F101" s="134" t="n">
        <x:f>IF(ISNUMBER(I204),I204,"")</x:f>
        <x:v>0</x:v>
      </x:c>
      <x:c r="G101" s="322" t="n">
        <x:f>IF(ISNUMBER(I205),I205,"")</x:f>
        <x:v>0</x:v>
      </x:c>
      <x:c r="H101" s="134" t="n">
        <x:f>IF(ISNUMBER(I206),I206,"")</x:f>
        <x:v>0</x:v>
      </x:c>
      <x:c r="I101" s="134" t="n">
        <x:f>IF(ISNUMBER(I207),I207,"")</x:f>
        <x:v>0</x:v>
      </x:c>
      <x:c r="J101" s="134" t="n">
        <x:f>IF(ISNUMBER(I208),I208,"")</x:f>
        <x:v>0</x:v>
      </x:c>
      <x:c r="K101" s="134" t="n">
        <x:f>IF(ISNUMBER(I209),I209,"")</x:f>
        <x:v>0</x:v>
      </x:c>
      <x:c r="L101" s="345" t="n">
        <x:f>IF(ISNUMBER(I210),I210,"")</x:f>
        <x:v>0</x:v>
      </x:c>
    </x:row>
    <x:row r="102" ht="29" customHeight="1">
      <x:c r="A102" s="344" t="str">
        <x:v>Cash balloon payoff</x:v>
      </x:c>
      <x:c r="B102" s="134" t="n">
        <x:f>IF(ISNUMBER(J200),J200,"")</x:f>
        <x:v>0</x:v>
      </x:c>
      <x:c r="C102" s="134" t="n">
        <x:f>IF(ISNUMBER(J201),J201,"")</x:f>
        <x:v>0</x:v>
      </x:c>
      <x:c r="D102" s="134" t="n">
        <x:f>IF(ISNUMBER(J202),J202,"")</x:f>
        <x:v>0</x:v>
      </x:c>
      <x:c r="E102" s="134" t="n">
        <x:f>IF(ISNUMBER(J203),J203,"")</x:f>
        <x:v>0</x:v>
      </x:c>
      <x:c r="F102" s="134" t="n">
        <x:f>IF(ISNUMBER(J204),J204,"")</x:f>
        <x:v>0</x:v>
      </x:c>
      <x:c r="G102" s="322" t="n">
        <x:f>IF(ISNUMBER(J205),J205,"")</x:f>
        <x:v>0</x:v>
      </x:c>
      <x:c r="H102" s="134" t="n">
        <x:f>IF(ISNUMBER(J206),J206,"")</x:f>
        <x:v>0</x:v>
      </x:c>
      <x:c r="I102" s="134" t="n">
        <x:f>IF(ISNUMBER(J207),J207,"")</x:f>
        <x:v>0</x:v>
      </x:c>
      <x:c r="J102" s="134" t="n">
        <x:f>IF(ISNUMBER(J208),J208,"")</x:f>
        <x:v>0</x:v>
      </x:c>
      <x:c r="K102" s="134" t="n">
        <x:f>IF(ISNUMBER(J209),J209,"")</x:f>
        <x:v>0</x:v>
      </x:c>
      <x:c r="L102" s="345" t="n">
        <x:f>IF(ISNUMBER(J210),J210,"")</x:f>
        <x:v>0</x:v>
      </x:c>
    </x:row>
    <x:row r="103" ht="29" customHeight="1">
      <x:c r="A103" s="344" t="str">
        <x:v>Refinancing cash costs</x:v>
      </x:c>
      <x:c r="B103" s="134" t="n">
        <x:f>IF(ISNUMBER(K200),K200,"")</x:f>
        <x:v>0</x:v>
      </x:c>
      <x:c r="C103" s="134" t="n">
        <x:f>IF(ISNUMBER(K201),K201,"")</x:f>
        <x:v>0</x:v>
      </x:c>
      <x:c r="D103" s="134" t="n">
        <x:f>IF(ISNUMBER(K202),K202,"")</x:f>
        <x:v>0</x:v>
      </x:c>
      <x:c r="E103" s="134" t="n">
        <x:f>IF(ISNUMBER(K203),K203,"")</x:f>
        <x:v>0</x:v>
      </x:c>
      <x:c r="F103" s="134" t="n">
        <x:f>IF(ISNUMBER(K204),K204,"")</x:f>
        <x:v>0</x:v>
      </x:c>
      <x:c r="G103" s="322" t="n">
        <x:f>IF(ISNUMBER(K205),K205,"")</x:f>
        <x:v>0</x:v>
      </x:c>
      <x:c r="H103" s="134" t="n">
        <x:f>IF(ISNUMBER(K206),K206,"")</x:f>
        <x:v>0</x:v>
      </x:c>
      <x:c r="I103" s="134" t="n">
        <x:f>IF(ISNUMBER(K207),K207,"")</x:f>
        <x:v>0</x:v>
      </x:c>
      <x:c r="J103" s="134" t="n">
        <x:f>IF(ISNUMBER(K208),K208,"")</x:f>
        <x:v>0</x:v>
      </x:c>
      <x:c r="K103" s="134" t="n">
        <x:f>IF(ISNUMBER(K209),K209,"")</x:f>
        <x:v>0</x:v>
      </x:c>
      <x:c r="L103" s="345" t="n">
        <x:f>IF(ISNUMBER(K210),K210,"")</x:f>
        <x:v>0</x:v>
      </x:c>
    </x:row>
    <x:row r="104" ht="29" customHeight="1">
      <x:c r="A104" s="344" t="str">
        <x:v>Additional capital costs</x:v>
      </x:c>
      <x:c r="B104" s="134" t="n">
        <x:f>IF(ISNUMBER(B200),B200,"")</x:f>
        <x:v>0</x:v>
      </x:c>
      <x:c r="C104" s="134" t="n">
        <x:f>IF(ISNUMBER(B201),B201,"")</x:f>
        <x:v>0</x:v>
      </x:c>
      <x:c r="D104" s="134" t="n">
        <x:f>IF(ISNUMBER(B202),B202,"")</x:f>
        <x:v>0</x:v>
      </x:c>
      <x:c r="E104" s="134" t="n">
        <x:f>IF(ISNUMBER(B203),B203,"")</x:f>
        <x:v>0</x:v>
      </x:c>
      <x:c r="F104" s="134" t="n">
        <x:f>IF(ISNUMBER(B204),B204,"")</x:f>
        <x:v>0</x:v>
      </x:c>
      <x:c r="G104" s="322" t="n">
        <x:f>IF(ISNUMBER(B205),B205,"")</x:f>
        <x:v>0</x:v>
      </x:c>
      <x:c r="H104" s="134" t="n">
        <x:f>IF(ISNUMBER(B206),B206,"")</x:f>
        <x:v>0</x:v>
      </x:c>
      <x:c r="I104" s="134" t="n">
        <x:f>IF(ISNUMBER(B207),B207,"")</x:f>
        <x:v>0</x:v>
      </x:c>
      <x:c r="J104" s="134" t="n">
        <x:f>IF(ISNUMBER(B208),B208,"")</x:f>
        <x:v>0</x:v>
      </x:c>
      <x:c r="K104" s="134" t="n">
        <x:f>IF(ISNUMBER(B209),B209,"")</x:f>
        <x:v>0</x:v>
      </x:c>
      <x:c r="L104" s="345" t="n">
        <x:f>IF(ISNUMBER(B210),B210,"")</x:f>
        <x:v>0</x:v>
      </x:c>
    </x:row>
    <x:row r="105" ht="29" customHeight="1">
      <x:c r="A105" s="346" t="str">
        <x:v>Net cash flow / Year 0 outlay</x:v>
      </x:c>
      <x:c r="B105" s="145" t="n">
        <x:f>IF(ISNUMBER(L200),L200,"")</x:f>
        <x:v>-190000</x:v>
      </x:c>
      <x:c r="C105" s="145" t="n">
        <x:f>IF(ISNUMBER(L201),L201,"")</x:f>
        <x:v>-8153.408678887157</x:v>
      </x:c>
      <x:c r="D105" s="145" t="n">
        <x:f>IF(ISNUMBER(L202),L202,"")</x:f>
        <x:v>-5933.408678887157</x:v>
      </x:c>
      <x:c r="E105" s="145" t="n">
        <x:f>IF(ISNUMBER(L203),L203,"")</x:f>
        <x:v>-3615.6086788871544</x:v>
      </x:c>
      <x:c r="F105" s="145" t="n">
        <x:f>IF(ISNUMBER(L204),L204,"")</x:f>
        <x:v>-1195.8266788871479</x:v>
      </x:c>
      <x:c r="G105" s="326" t="n">
        <x:f>IF(ISNUMBER(L205),L205,"")</x:f>
        <x:v>1330.2947011128563</x:v>
      </x:c>
      <x:c r="H105" s="145" t="n">
        <x:f>IF(ISNUMBER(L206),L206,"")</x:f>
        <x:v>3967.2954793128592</x:v>
      </x:c>
      <x:c r="I105" s="145" t="n">
        <x:f>IF(ISNUMBER(L207),L207,"")</x:f>
        <x:v>6719.905867930873</x:v>
      </x:c>
      <x:c r="J105" s="145" t="n">
        <x:f>IF(ISNUMBER(L208),L208,"")</x:f>
        <x:v>9593.054138762272</x:v>
      </x:c>
      <x:c r="K105" s="145" t="n">
        <x:f>IF(ISNUMBER(L209),L209,"")</x:f>
        <x:v>12591.874811095717</x:v>
      </x:c>
      <x:c r="L105" s="347" t="n">
        <x:f>IF(ISNUMBER(L210),L210,"")</x:f>
        <x:v>15721.717175111313</x:v>
      </x:c>
    </x:row>
    <x:row r="106" ht="29" customHeight="1">
      <x:c r="A106" s="281" t="str">
        <x:v>Property value</x:v>
      </x:c>
      <x:c r="B106" s="188" t="n">
        <x:f>IF(ISNUMBER(N200),N200,"")</x:f>
        <x:v>950000</x:v>
      </x:c>
      <x:c r="C106" s="188" t="n">
        <x:f>IF(ISNUMBER(N201),N201,"")</x:f>
        <x:v>988000</x:v>
      </x:c>
      <x:c r="D106" s="188" t="n">
        <x:f>IF(ISNUMBER(N202),N202,"")</x:f>
        <x:v>1027520.0000000001</x:v>
      </x:c>
      <x:c r="E106" s="188" t="n">
        <x:f>IF(ISNUMBER(N203),N203,"")</x:f>
        <x:v>1068620.8</x:v>
      </x:c>
      <x:c r="F106" s="188" t="n">
        <x:f>IF(ISNUMBER(N204),N204,"")</x:f>
        <x:v>1111365.6320000002</x:v>
      </x:c>
      <x:c r="G106" s="317" t="n">
        <x:f>IF(ISNUMBER(N205),N205,"")</x:f>
        <x:v>1155820.25728</x:v>
      </x:c>
      <x:c r="H106" s="188" t="n">
        <x:f>IF(ISNUMBER(N206),N206,"")</x:f>
        <x:v>1202053.0675712004</x:v>
      </x:c>
      <x:c r="I106" s="188" t="n">
        <x:f>IF(ISNUMBER(N207),N207,"")</x:f>
        <x:v>1250135.1902740481</x:v>
      </x:c>
      <x:c r="J106" s="188" t="n">
        <x:f>IF(ISNUMBER(N208),N208,"")</x:f>
        <x:v>1300140.5978850103</x:v>
      </x:c>
      <x:c r="K106" s="188" t="n">
        <x:f>IF(ISNUMBER(N209),N209,"")</x:f>
        <x:v>1352146.2218004107</x:v>
      </x:c>
      <x:c r="L106" s="154" t="n">
        <x:f>IF(ISNUMBER(N210),N210,"")</x:f>
        <x:v>1406232.070672427</x:v>
      </x:c>
    </x:row>
    <x:row r="107" ht="29" customHeight="1">
      <x:c r="A107" s="281" t="str">
        <x:v>Total loan balance</x:v>
      </x:c>
      <x:c r="B107" s="188" t="n">
        <x:f>IF(ISNUMBER(M200),M200,"")</x:f>
        <x:v>760000</x:v>
      </x:c>
      <x:c r="C107" s="188" t="n">
        <x:f>IF(ISNUMBER(M201),M201,"")</x:f>
        <x:v>751094.3528198972</x:v>
      </x:c>
      <x:c r="D107" s="188" t="n">
        <x:f>IF(ISNUMBER(M202),M202,"")</x:f>
        <x:v>741615.8782529265</x:v>
      </x:c>
      <x:c r="E107" s="188" t="n">
        <x:f>IF(ISNUMBER(M203),M203,"")</x:f>
        <x:v>731527.7310021081</x:v>
      </x:c>
      <x:c r="F107" s="188" t="n">
        <x:f>IF(ISNUMBER(M204),M204,"")</x:f>
        <x:v>720790.6958141008</x:v>
      </x:c>
      <x:c r="G107" s="317" t="n">
        <x:f>IF(ISNUMBER(M205),M205,"")</x:f>
        <x:v>709363.0350393091</x:v>
      </x:c>
      <x:c r="H107" s="188" t="n">
        <x:f>IF(ISNUMBER(M206),M206,"")</x:f>
        <x:v>697200.3263867765</x:v>
      </x:c>
      <x:c r="I107" s="188" t="n">
        <x:f>IF(ISNUMBER(M207),M207,"")</x:f>
        <x:v>684255.2902431849</x:v>
      </x:c>
      <x:c r="J107" s="188" t="n">
        <x:f>IF(ISNUMBER(M208),M208,"")</x:f>
        <x:v>670477.6058846929</x:v>
      </x:c>
      <x:c r="K107" s="188" t="n">
        <x:f>IF(ISNUMBER(M209),M209,"")</x:f>
        <x:v>655813.715867189</x:v>
      </x:c>
      <x:c r="L107" s="154" t="n">
        <x:f>IF(ISNUMBER(M210),M210,"")</x:f>
        <x:v>640206.6178345714</x:v>
      </x:c>
    </x:row>
    <x:row r="108" ht="29" customHeight="1">
      <x:c r="A108" s="346" t="str">
        <x:v>Total equity</x:v>
      </x:c>
      <x:c r="B108" s="145" t="n">
        <x:f>IF(AND(ISNUMBER(N200),ISNUMBER(M200)),N200-M200,"")</x:f>
        <x:v>190000</x:v>
      </x:c>
      <x:c r="C108" s="145" t="n">
        <x:f>IF(AND(ISNUMBER(N201),ISNUMBER(M201)),N201-M201,"")</x:f>
        <x:v>236905.64718010277</x:v>
      </x:c>
      <x:c r="D108" s="145" t="n">
        <x:f>IF(AND(ISNUMBER(N202),ISNUMBER(M202)),N202-M202,"")</x:f>
        <x:v>285904.1217470736</x:v>
      </x:c>
      <x:c r="E108" s="145" t="n">
        <x:f>IF(AND(ISNUMBER(N203),ISNUMBER(M203)),N203-M203,"")</x:f>
        <x:v>337093.06899789197</x:v>
      </x:c>
      <x:c r="F108" s="145" t="n">
        <x:f>IF(AND(ISNUMBER(N204),ISNUMBER(M204)),N204-M204,"")</x:f>
        <x:v>390574.9361858994</x:v>
      </x:c>
      <x:c r="G108" s="326" t="n">
        <x:f>IF(AND(ISNUMBER(N205),ISNUMBER(M205)),N205-M205,"")</x:f>
        <x:v>446457.22224069096</x:v>
      </x:c>
      <x:c r="H108" s="145" t="n">
        <x:f>IF(AND(ISNUMBER(N206),ISNUMBER(M206)),N206-M206,"")</x:f>
        <x:v>504852.7411844239</x:v>
      </x:c>
      <x:c r="I108" s="145" t="n">
        <x:f>IF(AND(ISNUMBER(N207),ISNUMBER(M207)),N207-M207,"")</x:f>
        <x:v>565879.9000308632</x:v>
      </x:c>
      <x:c r="J108" s="145" t="n">
        <x:f>IF(AND(ISNUMBER(N208),ISNUMBER(M208)),N208-M208,"")</x:f>
        <x:v>629662.9920003174</x:v>
      </x:c>
      <x:c r="K108" s="145" t="n">
        <x:f>IF(AND(ISNUMBER(N209),ISNUMBER(M209)),N209-M209,"")</x:f>
        <x:v>696332.5059332217</x:v>
      </x:c>
      <x:c r="L108" s="347" t="n">
        <x:f>IF(AND(ISNUMBER(N210),ISNUMBER(M210)),N210-M210,"")</x:f>
        <x:v>766025.4528378557</x:v>
      </x:c>
    </x:row>
    <x:row r="109" ht="29" customHeight="1">
      <x:c r="A109" s="281" t="str">
        <x:v>Cumulative net cash flow</x:v>
      </x:c>
      <x:c r="B109" s="188" t="n">
        <x:f>IF(ISNUMBER(P200),P200,"")</x:f>
        <x:v>0</x:v>
      </x:c>
      <x:c r="C109" s="188" t="n">
        <x:f>IF(ISNUMBER(P201),P201,"")</x:f>
        <x:v>-8153.408678887157</x:v>
      </x:c>
      <x:c r="D109" s="188" t="n">
        <x:f>IF(ISNUMBER(P202),P202,"")</x:f>
        <x:v>-14086.817357774315</x:v>
      </x:c>
      <x:c r="E109" s="188" t="n">
        <x:f>IF(ISNUMBER(P203),P203,"")</x:f>
        <x:v>-17702.42603666147</x:v>
      </x:c>
      <x:c r="F109" s="188" t="n">
        <x:f>IF(ISNUMBER(P204),P204,"")</x:f>
        <x:v>-18898.252715548617</x:v>
      </x:c>
      <x:c r="G109" s="317" t="n">
        <x:f>IF(ISNUMBER(P205),P205,"")</x:f>
        <x:v>-17567.95801443576</x:v>
      </x:c>
      <x:c r="H109" s="188" t="n">
        <x:f>IF(ISNUMBER(P206),P206,"")</x:f>
        <x:v>-13600.662535122901</x:v>
      </x:c>
      <x:c r="I109" s="188" t="n">
        <x:f>IF(ISNUMBER(P207),P207,"")</x:f>
        <x:v>-6880.7566671920285</x:v>
      </x:c>
      <x:c r="J109" s="188" t="n">
        <x:f>IF(ISNUMBER(P208),P208,"")</x:f>
        <x:v>2712.297471570244</x:v>
      </x:c>
      <x:c r="K109" s="188" t="n">
        <x:f>IF(ISNUMBER(P209),P209,"")</x:f>
        <x:v>15304.17228266596</x:v>
      </x:c>
      <x:c r="L109" s="154" t="n">
        <x:f>IF(ISNUMBER(P210),P210,"")</x:f>
        <x:v>31025.889457777273</x:v>
      </x:c>
    </x:row>
    <x:row r="110" ht="29" customHeight="1">
      <x:c r="A110" s="346" t="str">
        <x:v>Equity + cumulative cash flow</x:v>
      </x:c>
      <x:c r="B110" s="145" t="n">
        <x:f>IF(AND(ISNUMBER(B108),ISNUMBER(P200)),B108+P200,"")</x:f>
        <x:v>190000</x:v>
      </x:c>
      <x:c r="C110" s="145" t="n">
        <x:f>IF(AND(ISNUMBER(C108),ISNUMBER(P201)),C108+P201,"")</x:f>
        <x:v>228752.23850121562</x:v>
      </x:c>
      <x:c r="D110" s="145" t="n">
        <x:f>IF(AND(ISNUMBER(D108),ISNUMBER(P202)),D108+P202,"")</x:f>
        <x:v>271817.3043892993</x:v>
      </x:c>
      <x:c r="E110" s="145" t="n">
        <x:f>IF(AND(ISNUMBER(E108),ISNUMBER(P203)),E108+P203,"")</x:f>
        <x:v>319390.6429612305</x:v>
      </x:c>
      <x:c r="F110" s="145" t="n">
        <x:f>IF(AND(ISNUMBER(F108),ISNUMBER(P204)),F108+P204,"")</x:f>
        <x:v>371676.6834703508</x:v>
      </x:c>
      <x:c r="G110" s="326" t="n">
        <x:f>IF(AND(ISNUMBER(G108),ISNUMBER(P205)),G108+P205,"")</x:f>
        <x:v>428889.2642262552</x:v>
      </x:c>
      <x:c r="H110" s="145" t="n">
        <x:f>IF(AND(ISNUMBER(H108),ISNUMBER(P206)),H108+P206,"")</x:f>
        <x:v>491252.078649301</x:v>
      </x:c>
      <x:c r="I110" s="145" t="n">
        <x:f>IF(AND(ISNUMBER(I108),ISNUMBER(P207)),I108+P207,"")</x:f>
        <x:v>558999.1433636713</x:v>
      </x:c>
      <x:c r="J110" s="145" t="n">
        <x:f>IF(AND(ISNUMBER(J108),ISNUMBER(P208)),J108+P208,"")</x:f>
        <x:v>632375.2894718876</x:v>
      </x:c>
      <x:c r="K110" s="145" t="n">
        <x:f>IF(AND(ISNUMBER(K108),ISNUMBER(P209)),K108+P209,"")</x:f>
        <x:v>711636.6782158876</x:v>
      </x:c>
      <x:c r="L110" s="347" t="n">
        <x:f>IF(AND(ISNUMBER(L108),ISNUMBER(P210)),L108+P210,"")</x:f>
        <x:v>797051.3422956329</x:v>
      </x:c>
    </x:row>
    <x:row r="111" ht="29" customHeight="1">
      <x:c r="A111" s="344" t="str">
        <x:v>Initial cash invested</x:v>
      </x:c>
      <x:c r="B111" s="134" t="n">
        <x:f>IF(ISNUMBER($E$18),$E$18,"")</x:f>
        <x:v>190000</x:v>
      </x:c>
      <x:c r="C111" s="134" t="n">
        <x:f>IF(ISNUMBER($E$18),$E$18,"")</x:f>
        <x:v>190000</x:v>
      </x:c>
      <x:c r="D111" s="134" t="n">
        <x:f>IF(ISNUMBER($E$18),$E$18,"")</x:f>
        <x:v>190000</x:v>
      </x:c>
      <x:c r="E111" s="134" t="n">
        <x:f>IF(ISNUMBER($E$18),$E$18,"")</x:f>
        <x:v>190000</x:v>
      </x:c>
      <x:c r="F111" s="134" t="n">
        <x:f>IF(ISNUMBER($E$18),$E$18,"")</x:f>
        <x:v>190000</x:v>
      </x:c>
      <x:c r="G111" s="322" t="n">
        <x:f>IF(ISNUMBER($E$18),$E$18,"")</x:f>
        <x:v>190000</x:v>
      </x:c>
      <x:c r="H111" s="134" t="n">
        <x:f>IF(ISNUMBER($E$18),$E$18,"")</x:f>
        <x:v>190000</x:v>
      </x:c>
      <x:c r="I111" s="134" t="n">
        <x:f>IF(ISNUMBER($E$18),$E$18,"")</x:f>
        <x:v>190000</x:v>
      </x:c>
      <x:c r="J111" s="134" t="n">
        <x:f>IF(ISNUMBER($E$18),$E$18,"")</x:f>
        <x:v>190000</x:v>
      </x:c>
      <x:c r="K111" s="134" t="n">
        <x:f>IF(ISNUMBER($E$18),$E$18,"")</x:f>
        <x:v>190000</x:v>
      </x:c>
      <x:c r="L111" s="345" t="n">
        <x:f>IF(ISNUMBER($E$18),$E$18,"")</x:f>
        <x:v>190000</x:v>
      </x:c>
    </x:row>
    <x:row r="112" ht="29" customHeight="1">
      <x:c r="A112" s="348" t="str">
        <x:v>Net profit if sold</x:v>
      </x:c>
      <x:c r="B112" s="338" t="n">
        <x:f>IF(ISNUMBER(U200),U200,"")</x:f>
        <x:v>0</x:v>
      </x:c>
      <x:c r="C112" s="338" t="n">
        <x:f>IF(ISNUMBER(U201),U201,"")</x:f>
        <x:v>38752.238501215616</x:v>
      </x:c>
      <x:c r="D112" s="338" t="n">
        <x:f>IF(ISNUMBER(U202),U202,"")</x:f>
        <x:v>81817.3043892993</x:v>
      </x:c>
      <x:c r="E112" s="338" t="n">
        <x:f>IF(ISNUMBER(U203),U203,"")</x:f>
        <x:v>129390.64296123048</x:v>
      </x:c>
      <x:c r="F112" s="338" t="n">
        <x:f>IF(ISNUMBER(U204),U204,"")</x:f>
        <x:v>181676.6834703508</x:v>
      </x:c>
      <x:c r="G112" s="339" t="n">
        <x:f>IF(ISNUMBER(U205),U205,"")</x:f>
        <x:v>238889.26422625518</x:v>
      </x:c>
      <x:c r="H112" s="338" t="n">
        <x:f>IF(ISNUMBER(U206),U206,"")</x:f>
        <x:v>301252.078649301</x:v>
      </x:c>
      <x:c r="I112" s="338" t="n">
        <x:f>IF(ISNUMBER(U207),U207,"")</x:f>
        <x:v>368999.14336367126</x:v>
      </x:c>
      <x:c r="J112" s="338" t="n">
        <x:f>IF(ISNUMBER(U208),U208,"")</x:f>
        <x:v>442375.28947188763</x:v>
      </x:c>
      <x:c r="K112" s="338" t="n">
        <x:f>IF(ISNUMBER(U209),U209,"")</x:f>
        <x:v>521636.67821588763</x:v>
      </x:c>
      <x:c r="L112" s="349" t="n">
        <x:f>IF(ISNUMBER(U210),U210,"")</x:f>
        <x:v>607051.3422956329</x:v>
      </x:c>
    </x:row>
    <x:row r="113" ht="29" customHeight="1">
      <x:c r="A113" s="344" t="str">
        <x:v>Investor contributions if sold</x:v>
      </x:c>
      <x:c r="B113" s="134" t="n">
        <x:f>IF(ISNUMBER(S200),S200,"")</x:f>
        <x:v>190000</x:v>
      </x:c>
      <x:c r="C113" s="134" t="n">
        <x:f>IF(ISNUMBER(S201),S201,"")</x:f>
        <x:v>190000</x:v>
      </x:c>
      <x:c r="D113" s="134" t="n">
        <x:f>IF(ISNUMBER(S202),S202,"")</x:f>
        <x:v>198153.40867888715</x:v>
      </x:c>
      <x:c r="E113" s="134" t="n">
        <x:f>IF(ISNUMBER(S203),S203,"")</x:f>
        <x:v>204086.8173577743</x:v>
      </x:c>
      <x:c r="F113" s="134" t="n">
        <x:f>IF(ISNUMBER(S204),S204,"")</x:f>
        <x:v>207702.42603666146</x:v>
      </x:c>
      <x:c r="G113" s="322" t="n">
        <x:f>IF(ISNUMBER(S205),S205,"")</x:f>
        <x:v>208898.25271554862</x:v>
      </x:c>
      <x:c r="H113" s="134" t="n">
        <x:f>IF(ISNUMBER(S206),S206,"")</x:f>
        <x:v>208898.25271554862</x:v>
      </x:c>
      <x:c r="I113" s="134" t="n">
        <x:f>IF(ISNUMBER(S207),S207,"")</x:f>
        <x:v>208898.25271554862</x:v>
      </x:c>
      <x:c r="J113" s="134" t="n">
        <x:f>IF(ISNUMBER(S208),S208,"")</x:f>
        <x:v>208898.25271554862</x:v>
      </x:c>
      <x:c r="K113" s="134" t="n">
        <x:f>IF(ISNUMBER(S209),S209,"")</x:f>
        <x:v>208898.25271554862</x:v>
      </x:c>
      <x:c r="L113" s="345" t="n">
        <x:f>IF(ISNUMBER(S210),S210,"")</x:f>
        <x:v>208898.25271554862</x:v>
      </x:c>
    </x:row>
    <x:row r="114" ht="29" customHeight="1">
      <x:c r="A114" s="346" t="str">
        <x:v>Total return if sold</x:v>
      </x:c>
      <x:c r="B114" s="330" t="n">
        <x:f>IF(ISNUMBER(V200),V200,"")</x:f>
        <x:v>0</x:v>
      </x:c>
      <x:c r="C114" s="330" t="n">
        <x:f>IF(ISNUMBER(V201),V201,"")</x:f>
        <x:v>0.20395915000639797</x:v>
      </x:c>
      <x:c r="D114" s="330" t="n">
        <x:f>IF(ISNUMBER(V202),V202,"")</x:f>
        <x:v>0.4128987986367997</x:v>
      </x:c>
      <x:c r="E114" s="330" t="n">
        <x:f>IF(ISNUMBER(V203),V203,"")</x:f>
        <x:v>0.6339980437560662</x:v>
      </x:c>
      <x:c r="F114" s="330" t="n">
        <x:f>IF(ISNUMBER(V204),V204,"")</x:f>
        <x:v>0.8746969736322826</x:v>
      </x:c>
      <x:c r="G114" s="331" t="n">
        <x:f>IF(ISNUMBER(V205),V205,"")</x:f>
        <x:v>1.143567555596286</x:v>
      </x:c>
      <x:c r="H114" s="330" t="n">
        <x:f>IF(ISNUMBER(V206),V206,"")</x:f>
        <x:v>1.4420995615483114</x:v>
      </x:c>
      <x:c r="I114" s="330" t="n">
        <x:f>IF(ISNUMBER(V207),V207,"")</x:f>
        <x:v>1.7664060783989797</x:v>
      </x:c>
      <x:c r="J114" s="330" t="n">
        <x:f>IF(ISNUMBER(V208),V208,"")</x:f>
        <x:v>2.1176591173994104</x:v>
      </x:c>
      <x:c r="K114" s="330" t="n">
        <x:f>IF(ISNUMBER(V209),V209,"")</x:f>
        <x:v>2.4970849273985403</x:v>
      </x:c>
      <x:c r="L114" s="350" t="n">
        <x:f>IF(ISNUMBER(V210),V210,"")</x:f>
        <x:v>2.905966586145836</x:v>
      </x:c>
    </x:row>
    <x:row r="115" ht="29" customHeight="1">
      <x:c r="A115" s="351" t="str">
        <x:v>Equity multiple if sold</x:v>
      </x:c>
      <x:c r="B115" s="352" t="n">
        <x:f>IF(ISNUMBER(W200),W200,"")</x:f>
        <x:v>1</x:v>
      </x:c>
      <x:c r="C115" s="352" t="n">
        <x:f>IF(ISNUMBER(W201),W201,"")</x:f>
        <x:v>1.203959150006398</x:v>
      </x:c>
      <x:c r="D115" s="352" t="n">
        <x:f>IF(ISNUMBER(W202),W202,"")</x:f>
        <x:v>1.4128987986367996</x:v>
      </x:c>
      <x:c r="E115" s="352" t="n">
        <x:f>IF(ISNUMBER(W203),W203,"")</x:f>
        <x:v>1.6339980437560664</x:v>
      </x:c>
      <x:c r="F115" s="352" t="n">
        <x:f>IF(ISNUMBER(W204),W204,"")</x:f>
        <x:v>1.8746969736322827</x:v>
      </x:c>
      <x:c r="G115" s="353" t="n">
        <x:f>IF(ISNUMBER(W205),W205,"")</x:f>
        <x:v>2.1435675555962863</x:v>
      </x:c>
      <x:c r="H115" s="352" t="n">
        <x:f>IF(ISNUMBER(W206),W206,"")</x:f>
        <x:v>2.4420995615483116</x:v>
      </x:c>
      <x:c r="I115" s="352" t="n">
        <x:f>IF(ISNUMBER(W207),W207,"")</x:f>
        <x:v>2.7664060783989792</x:v>
      </x:c>
      <x:c r="J115" s="352" t="n">
        <x:f>IF(ISNUMBER(W208),W208,"")</x:f>
        <x:v>3.117659117399411</x:v>
      </x:c>
      <x:c r="K115" s="352" t="n">
        <x:f>IF(ISNUMBER(W209),W209,"")</x:f>
        <x:v>3.4970849273985403</x:v>
      </x:c>
      <x:c r="L115" s="354" t="n">
        <x:f>IF(ISNUMBER(W210),W210,"")</x:f>
        <x:v>3.905966586145836</x:v>
      </x:c>
    </x:row>
    <x:row r="116" ht="28" customHeight="1">
      <x:c r="A116" s="6"/>
      <x:c r="B116" s="4"/>
      <x:c r="C116" s="4"/>
      <x:c r="D116" s="4"/>
      <x:c r="E116" s="4"/>
      <x:c r="F116" s="4"/>
      <x:c r="G116" s="103"/>
      <x:c r="H116" s="4"/>
      <x:c r="I116" s="4"/>
      <x:c r="J116" s="4"/>
      <x:c r="K116" s="4"/>
      <x:c r="L116" s="4"/>
    </x:row>
    <x:row r="117" ht="28" customHeight="1">
      <x:c r="A117" s="6"/>
      <x:c r="B117" s="4"/>
      <x:c r="C117" s="4"/>
      <x:c r="D117" s="4"/>
      <x:c r="E117" s="4"/>
      <x:c r="F117" s="4"/>
      <x:c r="G117" s="103"/>
      <x:c r="H117" s="4"/>
      <x:c r="I117" s="4"/>
      <x:c r="J117" s="4"/>
      <x:c r="K117" s="4"/>
      <x:c r="L117" s="4"/>
    </x:row>
    <x:row r="118" ht="24" customHeight="1">
      <x:c r="A118" s="43" t="str">
        <x:v>RETURNS AT SELECTED SALE YEAR</x:v>
      </x:c>
      <x:c r="B118" s="44"/>
      <x:c r="C118" s="44"/>
      <x:c r="D118" s="44"/>
      <x:c r="E118" s="45"/>
      <x:c r="F118" s="4"/>
      <x:c r="G118" s="21" t="str">
        <x:v>Profit equals net sale proceeds plus cumulative net cash flow less initial cash. Equity multiple and total return count all investor cash contributions. Same-year sale proceeds first offset that year’s cash needs. IRR uses annual cash timing; ambiguous returns are unavailable.</x:v>
      </x:c>
      <x:c r="H118" s="23"/>
      <x:c r="I118" s="23"/>
      <x:c r="J118" s="23"/>
      <x:c r="K118" s="23"/>
      <x:c r="L118" s="23"/>
    </x:row>
    <x:row r="119" ht="24" customHeight="1">
      <x:c r="A119" s="53" t="str">
        <x:v>Sale value</x:v>
      </x:c>
      <x:c r="B119" s="188" t="n">
        <x:f>IF(ISNUMBER(INDEX(N201:N210,$J$76)),INDEX(N201:N210,$J$76),"")</x:f>
        <x:v>1406232.070672427</x:v>
      </x:c>
      <x:c r="C119" s="4"/>
      <x:c r="D119" s="4"/>
      <x:c r="E119" s="47"/>
      <x:c r="F119" s="4"/>
      <x:c r="G119" s="23"/>
      <x:c r="H119" s="23"/>
      <x:c r="I119" s="23"/>
      <x:c r="J119" s="23"/>
      <x:c r="K119" s="23"/>
      <x:c r="L119" s="23"/>
    </x:row>
    <x:row r="120" ht="24" customHeight="1">
      <x:c r="A120" s="53" t="str">
        <x:v>Remaining debt</x:v>
      </x:c>
      <x:c r="B120" s="188" t="n">
        <x:f>IF(ISNUMBER(INDEX(M201:M210,$J$76)),INDEX(M201:M210,$J$76),"")</x:f>
        <x:v>640206.6178345714</x:v>
      </x:c>
      <x:c r="C120" s="4"/>
      <x:c r="D120" s="4"/>
      <x:c r="E120" s="47"/>
      <x:c r="F120" s="4"/>
      <x:c r="G120" s="23"/>
      <x:c r="H120" s="23"/>
      <x:c r="I120" s="23"/>
      <x:c r="J120" s="23"/>
      <x:c r="K120" s="23"/>
      <x:c r="L120" s="23"/>
    </x:row>
    <x:row r="121" ht="24" customHeight="1">
      <x:c r="A121" s="53" t="str">
        <x:v>Net sale proceeds</x:v>
      </x:c>
      <x:c r="B121" s="188" t="n">
        <x:f>IF(ISNUMBER(INDEX(O201:O210,$J$76)),INDEX(O201:O210,$J$76),"")</x:f>
        <x:v>766025.4528378557</x:v>
      </x:c>
      <x:c r="C121" s="4"/>
      <x:c r="D121" s="4"/>
      <x:c r="E121" s="47"/>
      <x:c r="F121" s="4"/>
      <x:c r="G121" s="23"/>
      <x:c r="H121" s="23"/>
      <x:c r="I121" s="23"/>
      <x:c r="J121" s="23"/>
      <x:c r="K121" s="23"/>
      <x:c r="L121" s="23"/>
    </x:row>
    <x:row r="122" ht="24" customHeight="1">
      <x:c r="A122" s="53" t="str">
        <x:v>Cumulative net cash flow</x:v>
      </x:c>
      <x:c r="B122" s="188" t="n">
        <x:f>IF(ISNUMBER(INDEX(P201:P210,$J$76)),INDEX(P201:P210,$J$76),"")</x:f>
        <x:v>31025.889457777273</x:v>
      </x:c>
      <x:c r="C122" s="4"/>
      <x:c r="D122" s="4"/>
      <x:c r="E122" s="47"/>
      <x:c r="F122" s="4"/>
      <x:c r="G122" s="23"/>
      <x:c r="H122" s="23"/>
      <x:c r="I122" s="23"/>
      <x:c r="J122" s="23"/>
      <x:c r="K122" s="23"/>
      <x:c r="L122" s="23"/>
    </x:row>
    <x:row r="123" ht="30" customHeight="1">
      <x:c r="A123" s="137" t="str">
        <x:v>Net profit</x:v>
      </x:c>
      <x:c r="B123" s="141" t="n">
        <x:f>IF(ISNUMBER(INDEX(U201:U210,$J$76)),INDEX(U201:U210,$J$76),"")</x:f>
        <x:v>607051.3422956329</x:v>
      </x:c>
      <x:c r="C123" s="139"/>
      <x:c r="D123" s="139"/>
      <x:c r="E123" s="140"/>
      <x:c r="F123" s="4"/>
      <x:c r="G123" s="103"/>
      <x:c r="H123" s="4"/>
      <x:c r="I123" s="4"/>
      <x:c r="J123" s="4"/>
      <x:c r="K123" s="4"/>
      <x:c r="L123" s="4"/>
    </x:row>
    <x:row r="124" ht="24" customHeight="1">
      <x:c r="A124" s="137" t="str">
        <x:v>Levered IRR</x:v>
      </x:c>
      <x:c r="B124" s="328" t="n">
        <x:f>IF(AND(E18&gt;0,COUNT(B129:L129)=11,SUM(C1611:C4010)=1),IFERROR(IRR(B129:L129,INDEX(D1611:D4010,MATCH(1,C1611:C4010,0))),"n.a."),"n.a.")</x:f>
        <x:v>0.15012497870887803</x:v>
      </x:c>
      <x:c r="C124" s="139"/>
      <x:c r="D124" s="139"/>
      <x:c r="E124" s="140"/>
      <x:c r="F124" s="4"/>
      <x:c r="G124" s="21" t="str">
        <x:v>Income taxes, depreciation and monthly timing of investor cash flows are excluded. Loan interest and principal are calculated monthly without rounding payments.</x:v>
      </x:c>
      <x:c r="H124" s="23"/>
      <x:c r="I124" s="23"/>
      <x:c r="J124" s="23"/>
      <x:c r="K124" s="23"/>
      <x:c r="L124" s="23"/>
    </x:row>
    <x:row r="125" ht="24" customHeight="1">
      <x:c r="A125" s="137" t="str">
        <x:v>Equity multiple</x:v>
      </x:c>
      <x:c r="B125" s="333" t="n">
        <x:f>IF(ISNUMBER(INDEX(W201:W210,$J$76)),INDEX(W201:W210,$J$76),"")</x:f>
        <x:v>3.905966586145836</x:v>
      </x:c>
      <x:c r="C125" s="139"/>
      <x:c r="D125" s="139"/>
      <x:c r="E125" s="140"/>
      <x:c r="F125" s="4"/>
      <x:c r="G125" s="23"/>
      <x:c r="H125" s="23"/>
      <x:c r="I125" s="23"/>
      <x:c r="J125" s="23"/>
      <x:c r="K125" s="23"/>
      <x:c r="L125" s="23"/>
    </x:row>
    <x:row r="126" ht="24" customHeight="1">
      <x:c r="A126" s="357" t="str">
        <x:v>Total investor contributions</x:v>
      </x:c>
      <x:c r="B126" s="358" t="n">
        <x:f>IF(ISNUMBER(INDEX(S201:S210,$J$76)),INDEX(S201:S210,$J$76),"")</x:f>
        <x:v>208898.25271554862</x:v>
      </x:c>
      <x:c r="C126" s="359"/>
      <x:c r="D126" s="359"/>
      <x:c r="E126" s="360"/>
      <x:c r="F126" s="4"/>
      <x:c r="G126" s="23"/>
      <x:c r="H126" s="23"/>
      <x:c r="I126" s="23"/>
      <x:c r="J126" s="23"/>
      <x:c r="K126" s="23"/>
      <x:c r="L126" s="23"/>
    </x:row>
    <x:row r="127" ht="28" customHeight="1">
      <x:c r="A127" s="6"/>
      <x:c r="B127" s="4"/>
      <x:c r="C127" s="4"/>
      <x:c r="D127" s="4"/>
      <x:c r="E127" s="4"/>
      <x:c r="F127" s="4"/>
      <x:c r="G127" s="103"/>
      <x:c r="H127" s="4"/>
      <x:c r="I127" s="4"/>
      <x:c r="J127" s="4"/>
      <x:c r="K127" s="4"/>
      <x:c r="L127" s="4"/>
    </x:row>
    <x:row r="128" ht="28" customHeight="1">
      <x:c r="A128" s="20" t="str">
        <x:v>Investor cash-flow year</x:v>
      </x:c>
      <x:c r="B128" s="4" t="n">
        <x:v>0</x:v>
      </x:c>
      <x:c r="C128" s="4" t="n">
        <x:v>1</x:v>
      </x:c>
      <x:c r="D128" s="4" t="n">
        <x:v>2</x:v>
      </x:c>
      <x:c r="E128" s="4" t="n">
        <x:v>3</x:v>
      </x:c>
      <x:c r="F128" s="4" t="n">
        <x:v>4</x:v>
      </x:c>
      <x:c r="G128" s="103" t="n">
        <x:v>5</x:v>
      </x:c>
      <x:c r="H128" s="4" t="n">
        <x:v>6</x:v>
      </x:c>
      <x:c r="I128" s="4" t="n">
        <x:v>7</x:v>
      </x:c>
      <x:c r="J128" s="4" t="n">
        <x:v>8</x:v>
      </x:c>
      <x:c r="K128" s="4" t="n">
        <x:v>9</x:v>
      </x:c>
      <x:c r="L128" s="4" t="n">
        <x:v>10</x:v>
      </x:c>
    </x:row>
    <x:row r="129" ht="28" customHeight="1">
      <x:c r="A129" s="20" t="str">
        <x:v>Initial outlay / net cash + sale</x:v>
      </x:c>
      <x:c r="B129" s="188" t="n">
        <x:f>IF(ISNUMBER(E18),-E18,"")</x:f>
        <x:v>-190000</x:v>
      </x:c>
      <x:c r="C129" s="188" t="n">
        <x:f>IF(1&gt;$J$76,0,IF(AND(ISNUMBER(L201),ISNUMBER($B$121)),L201+IF(1=$J$76,$B$121,0),""))</x:f>
        <x:v>-8153.408678887157</x:v>
      </x:c>
      <x:c r="D129" s="188" t="n">
        <x:f>IF(2&gt;$J$76,0,IF(AND(ISNUMBER(L202),ISNUMBER($B$121)),L202+IF(2=$J$76,$B$121,0),""))</x:f>
        <x:v>-5933.408678887157</x:v>
      </x:c>
      <x:c r="E129" s="188" t="n">
        <x:f>IF(3&gt;$J$76,0,IF(AND(ISNUMBER(L203),ISNUMBER($B$121)),L203+IF(3=$J$76,$B$121,0),""))</x:f>
        <x:v>-3615.6086788871544</x:v>
      </x:c>
      <x:c r="F129" s="188" t="n">
        <x:f>IF(4&gt;$J$76,0,IF(AND(ISNUMBER(L204),ISNUMBER($B$121)),L204+IF(4=$J$76,$B$121,0),""))</x:f>
        <x:v>-1195.8266788871479</x:v>
      </x:c>
      <x:c r="G129" s="317" t="n">
        <x:f>IF(5&gt;$J$76,0,IF(AND(ISNUMBER(L205),ISNUMBER($B$121)),L205+IF(5=$J$76,$B$121,0),""))</x:f>
        <x:v>1330.2947011128563</x:v>
      </x:c>
      <x:c r="H129" s="188" t="n">
        <x:f>IF(6&gt;$J$76,0,IF(AND(ISNUMBER(L206),ISNUMBER($B$121)),L206+IF(6=$J$76,$B$121,0),""))</x:f>
        <x:v>3967.2954793128592</x:v>
      </x:c>
      <x:c r="I129" s="188" t="n">
        <x:f>IF(7&gt;$J$76,0,IF(AND(ISNUMBER(L207),ISNUMBER($B$121)),L207+IF(7=$J$76,$B$121,0),""))</x:f>
        <x:v>6719.905867930873</x:v>
      </x:c>
      <x:c r="J129" s="188" t="n">
        <x:f>IF(8&gt;$J$76,0,IF(AND(ISNUMBER(L208),ISNUMBER($B$121)),L208+IF(8=$J$76,$B$121,0),""))</x:f>
        <x:v>9593.054138762272</x:v>
      </x:c>
      <x:c r="K129" s="188" t="n">
        <x:f>IF(9&gt;$J$76,0,IF(AND(ISNUMBER(L209),ISNUMBER($B$121)),L209+IF(9=$J$76,$B$121,0),""))</x:f>
        <x:v>12591.874811095717</x:v>
      </x:c>
      <x:c r="L129" s="188" t="n">
        <x:f>IF(10&gt;$J$76,0,IF(AND(ISNUMBER(L210),ISNUMBER($B$121)),L210+IF(10=$J$76,$B$121,0),""))</x:f>
        <x:v>781747.170012967</x:v>
      </x:c>
    </x:row>
    <x:row r="130" ht="40" customHeight="1">
      <x:c r="A130" s="21" t="str">
        <x:v>The investor cash-flow row above feeds IRR. The detailed annual capital plan, operating build, benchmark compounding, monthly debt ledger and IRR uniqueness check follow below the main calculator.</x:v>
      </x:c>
      <x:c r="B130" s="23"/>
      <x:c r="C130" s="23"/>
      <x:c r="D130" s="23"/>
      <x:c r="E130" s="23"/>
      <x:c r="F130" s="23"/>
      <x:c r="G130" s="23"/>
      <x:c r="H130" s="23"/>
      <x:c r="I130" s="23"/>
      <x:c r="J130" s="23"/>
      <x:c r="K130" s="23"/>
      <x:c r="L130" s="23"/>
    </x:row>
    <x:row r="131" ht="28" customHeight="1">
      <x:c r="A131" s="6"/>
      <x:c r="B131" s="4"/>
      <x:c r="C131" s="4"/>
      <x:c r="D131" s="4"/>
      <x:c r="E131" s="4"/>
      <x:c r="F131" s="4"/>
      <x:c r="G131" s="103"/>
      <x:c r="H131" s="4"/>
      <x:c r="I131" s="4"/>
      <x:c r="J131" s="4"/>
      <x:c r="K131" s="4"/>
      <x:c r="L131" s="4"/>
    </x:row>
    <x:row r="132" ht="28" customHeight="1">
      <x:c r="A132" s="6"/>
      <x:c r="B132" s="4"/>
      <x:c r="C132" s="4"/>
      <x:c r="D132" s="4"/>
      <x:c r="E132" s="4"/>
      <x:c r="F132" s="4"/>
      <x:c r="G132" s="103"/>
      <x:c r="H132" s="4"/>
      <x:c r="I132" s="4"/>
      <x:c r="J132" s="4"/>
      <x:c r="K132" s="4"/>
      <x:c r="L132" s="4"/>
    </x:row>
    <x:row r="133" ht="32" customHeight="1">
      <x:c r="A133" s="43" t="str">
        <x:v>PROPERTY VS MARKET</x:v>
      </x:c>
      <x:c r="B133" s="44"/>
      <x:c r="C133" s="44"/>
      <x:c r="D133" s="44"/>
      <x:c r="E133" s="44"/>
      <x:c r="F133" s="44"/>
      <x:c r="G133" s="44"/>
      <x:c r="H133" s="44"/>
      <x:c r="I133" s="44"/>
      <x:c r="J133" s="44"/>
      <x:c r="K133" s="44"/>
      <x:c r="L133" s="45"/>
    </x:row>
    <x:row r="134" ht="28" customHeight="1">
      <x:c r="A134" s="53" t="str">
        <x:v>Comparison period (years)</x:v>
      </x:c>
      <x:c r="B134" s="70" t="n">
        <x:v>10</x:v>
      </x:c>
      <x:c r="C134" s="4"/>
      <x:c r="D134" s="4"/>
      <x:c r="E134" s="4"/>
      <x:c r="F134" s="4"/>
      <x:c r="G134" s="20" t="str">
        <x:v>Bond/Stock &amp; bond income</x:v>
      </x:c>
      <x:c r="H134" s="4"/>
      <x:c r="I134" s="4"/>
      <x:c r="J134" s="65" t="str">
        <x:v>Reinvest</x:v>
      </x:c>
      <x:c r="K134" s="4"/>
      <x:c r="L134" s="47"/>
    </x:row>
    <x:row r="135" ht="28" customHeight="1">
      <x:c r="A135" s="53" t="str">
        <x:v>Benchmark capital basis</x:v>
      </x:c>
      <x:c r="B135" s="65" t="str">
        <x:v>Total initial cash</x:v>
      </x:c>
      <x:c r="C135" s="4"/>
      <x:c r="D135" s="4"/>
      <x:c r="E135" s="4"/>
      <x:c r="F135" s="4"/>
      <x:c r="G135" s="103"/>
      <x:c r="H135" s="4"/>
      <x:c r="I135" s="4"/>
      <x:c r="J135" s="4"/>
      <x:c r="K135" s="4"/>
      <x:c r="L135" s="47"/>
    </x:row>
    <x:row r="136" ht="28" customHeight="1">
      <x:c r="A136" s="53" t="str">
        <x:v>Match later property cash calls</x:v>
      </x:c>
      <x:c r="B136" s="65" t="str">
        <x:v>Yes</x:v>
      </x:c>
      <x:c r="C136" s="4"/>
      <x:c r="D136" s="4"/>
      <x:c r="E136" s="4"/>
      <x:c r="F136" s="4"/>
      <x:c r="G136" s="103"/>
      <x:c r="H136" s="4"/>
      <x:c r="I136" s="4"/>
      <x:c r="J136" s="4"/>
      <x:c r="K136" s="4"/>
      <x:c r="L136" s="47"/>
    </x:row>
    <x:row r="137" ht="28" customHeight="1">
      <x:c r="A137" s="46"/>
      <x:c r="B137" s="4"/>
      <x:c r="C137" s="4"/>
      <x:c r="D137" s="77" t="str">
        <x:v>Stock total return</x:v>
      </x:c>
      <x:c r="E137" s="4"/>
      <x:c r="F137" s="4"/>
      <x:c r="G137" s="20" t="str">
        <x:v>Bond/Stock dividend yield</x:v>
      </x:c>
      <x:c r="H137" s="4"/>
      <x:c r="I137" s="4"/>
      <x:c r="J137" s="77" t="str">
        <x:v>Bond annual return</x:v>
      </x:c>
      <x:c r="K137" s="4"/>
      <x:c r="L137" s="47"/>
    </x:row>
    <x:row r="138" ht="28" customHeight="1">
      <x:c r="A138" s="46"/>
      <x:c r="B138" s="4"/>
      <x:c r="C138" s="4"/>
      <x:c r="D138" s="88" t="n">
        <x:v>0.08</x:v>
      </x:c>
      <x:c r="E138" s="4"/>
      <x:c r="F138" s="4"/>
      <x:c r="G138" s="367" t="n">
        <x:v>0.05</x:v>
      </x:c>
      <x:c r="H138" s="4"/>
      <x:c r="I138" s="4"/>
      <x:c r="J138" s="88" t="n">
        <x:v>0.05</x:v>
      </x:c>
      <x:c r="K138" s="4"/>
      <x:c r="L138" s="47"/>
    </x:row>
    <x:row r="139" ht="28" customHeight="1">
      <x:c r="A139" s="46"/>
      <x:c r="B139" s="4"/>
      <x:c r="C139" s="4"/>
      <x:c r="D139" s="4"/>
      <x:c r="E139" s="4"/>
      <x:c r="F139" s="4"/>
      <x:c r="G139" s="103"/>
      <x:c r="H139" s="4"/>
      <x:c r="I139" s="4"/>
      <x:c r="J139" s="4"/>
      <x:c r="K139" s="4"/>
      <x:c r="L139" s="47"/>
    </x:row>
    <x:row r="140" ht="32" customHeight="1">
      <x:c r="A140" s="385"/>
      <x:c r="B140" s="323" t="str">
        <x:v>Property</x:v>
      </x:c>
      <x:c r="C140" s="457"/>
      <x:c r="D140" s="319" t="str">
        <x:v>Stock</x:v>
      </x:c>
      <x:c r="E140" s="457"/>
      <x:c r="F140" s="457"/>
      <x:c r="G140" s="321" t="str">
        <x:v>Bond/Stock</x:v>
      </x:c>
      <x:c r="H140" s="457"/>
      <x:c r="I140" s="457"/>
      <x:c r="J140" s="458" t="str">
        <x:v>Bond</x:v>
      </x:c>
      <x:c r="K140" s="457"/>
      <x:c r="L140" s="459"/>
    </x:row>
    <x:row r="141" ht="32" customHeight="1">
      <x:c r="A141" s="281" t="str">
        <x:v>Sale equity / investment value</x:v>
      </x:c>
      <x:c r="B141" s="460" t="n">
        <x:f>IF(ISNUMBER(INDEX(O201:O300,$B$134)),INDEX(O201:O300,$B$134),"")</x:f>
        <x:v>766025.4528378557</x:v>
      </x:c>
      <x:c r="C141" s="457"/>
      <x:c r="D141" s="461" t="n">
        <x:f>IF(ISNUMBER(INDEX(Y201:Y300,$B$134)),INDEX(Y201:Y300,$B$134),"")</x:f>
        <x:v>445570.9210830033</x:v>
      </x:c>
      <x:c r="E141" s="457"/>
      <x:c r="F141" s="457"/>
      <x:c r="G141" s="462" t="n">
        <x:f>IF(ISNUMBER(INDEX(AD201:AD300,$B$134)),INDEX(AD201:AD300,$B$134),"")</x:f>
        <x:v>337594.98560006416</x:v>
      </x:c>
      <x:c r="H141" s="457"/>
      <x:c r="I141" s="457"/>
      <x:c r="J141" s="463" t="n">
        <x:f>IF(ISNUMBER(INDEX(AI201:AI300,$B$134)),INDEX(AI201:AI300,$B$134),"")</x:f>
        <x:v>337594.98560006416</x:v>
      </x:c>
      <x:c r="K141" s="457"/>
      <x:c r="L141" s="459"/>
    </x:row>
    <x:row r="142" ht="32" customHeight="1">
      <x:c r="A142" s="281" t="str">
        <x:v>Add: net cash received</x:v>
      </x:c>
      <x:c r="B142" s="461" t="n">
        <x:f>IF(ISNUMBER(INDEX(P201:P300,$B$134)),INDEX(P201:P300,$B$134),"")</x:f>
        <x:v>31025.889457777273</x:v>
      </x:c>
      <x:c r="C142" s="457"/>
      <x:c r="D142" s="461" t="n">
        <x:f>IF(ISNUMBER(INDEX(Z201:Z300,$B$134)),INDEX(Z201:Z300,$B$134),"")</x:f>
        <x:v>0</x:v>
      </x:c>
      <x:c r="E142" s="457"/>
      <x:c r="F142" s="457"/>
      <x:c r="G142" s="461" t="n">
        <x:f>IF(ISNUMBER(INDEX(AE201:AE300,$B$134)),INDEX(AE201:AE300,$B$134),"")</x:f>
        <x:v>0</x:v>
      </x:c>
      <x:c r="H142" s="457"/>
      <x:c r="I142" s="457"/>
      <x:c r="J142" s="461" t="n">
        <x:f>IF(ISNUMBER(INDEX(AJ201:AJ300,$B$134)),INDEX(AJ201:AJ300,$B$134),"")</x:f>
        <x:v>0</x:v>
      </x:c>
      <x:c r="K142" s="457"/>
      <x:c r="L142" s="459"/>
    </x:row>
    <x:row r="143" ht="32" customHeight="1">
      <x:c r="A143" s="281" t="str">
        <x:v>Less: initial investment</x:v>
      </x:c>
      <x:c r="B143" s="462" t="n">
        <x:f>IF(ISNUMBER(E18),-E18,"")</x:f>
        <x:v>-190000</x:v>
      </x:c>
      <x:c r="C143" s="457"/>
      <x:c r="D143" s="462" t="n">
        <x:f>IF(ISNUMBER(B177),-B177,"")</x:f>
        <x:v>-190000</x:v>
      </x:c>
      <x:c r="E143" s="457"/>
      <x:c r="F143" s="457"/>
      <x:c r="G143" s="462" t="n">
        <x:f>IF(ISNUMBER(B177),-B177,"")</x:f>
        <x:v>-190000</x:v>
      </x:c>
      <x:c r="H143" s="457"/>
      <x:c r="I143" s="457"/>
      <x:c r="J143" s="462" t="n">
        <x:f>IF(ISNUMBER(B177),-B177,"")</x:f>
        <x:v>-190000</x:v>
      </x:c>
      <x:c r="K143" s="457"/>
      <x:c r="L143" s="459"/>
    </x:row>
    <x:row r="144" ht="32" customHeight="1">
      <x:c r="A144" s="281" t="str">
        <x:v>Less: additional benchmark cash</x:v>
      </x:c>
      <x:c r="B144" s="462" t="n">
        <x:f>0</x:f>
        <x:v>0</x:v>
      </x:c>
      <x:c r="C144" s="457"/>
      <x:c r="D144" s="462" t="n">
        <x:f>IF(ISNUMBER(INDEX(AA201:AA300,$B$134)),-(INDEX(AA201:AA300,$B$134)-$B$177),"")</x:f>
        <x:v>-18898.252715548617</x:v>
      </x:c>
      <x:c r="E144" s="457"/>
      <x:c r="F144" s="457"/>
      <x:c r="G144" s="462" t="n">
        <x:f>IF(ISNUMBER(INDEX(AF201:AF300,$B$134)),-(INDEX(AF201:AF300,$B$134)-$B$177),"")</x:f>
        <x:v>-18898.252715548617</x:v>
      </x:c>
      <x:c r="H144" s="457"/>
      <x:c r="I144" s="457"/>
      <x:c r="J144" s="462" t="n">
        <x:f>IF(ISNUMBER(INDEX(AK201:AK300,$B$134)),-(INDEX(AK201:AK300,$B$134)-$B$177),"")</x:f>
        <x:v>-18898.252715548617</x:v>
      </x:c>
      <x:c r="K144" s="457"/>
      <x:c r="L144" s="459"/>
    </x:row>
    <x:row r="145" ht="32" customHeight="1">
      <x:c r="A145" s="281" t="str">
        <x:v>Net profit</x:v>
      </x:c>
      <x:c r="B145" s="464" t="n">
        <x:f>IF(ISNUMBER(INDEX(U201:U300,$B$134)),INDEX(U201:U300,$B$134),"")</x:f>
        <x:v>607051.3422956329</x:v>
      </x:c>
      <x:c r="C145" s="457"/>
      <x:c r="D145" s="465" t="n">
        <x:f>IF(ISNUMBER(INDEX(AB201:AB300,$B$134)),INDEX(AB201:AB300,$B$134),"")</x:f>
        <x:v>236672.66836745467</x:v>
      </x:c>
      <x:c r="E145" s="457"/>
      <x:c r="F145" s="457"/>
      <x:c r="G145" s="466" t="n">
        <x:f>IF(ISNUMBER(INDEX(AG201:AG300,$B$134)),INDEX(AG201:AG300,$B$134),"")</x:f>
        <x:v>128696.73288451554</x:v>
      </x:c>
      <x:c r="H145" s="457"/>
      <x:c r="I145" s="457"/>
      <x:c r="J145" s="467" t="n">
        <x:f>IF(ISNUMBER(INDEX(AL201:AL300,$B$134)),INDEX(AL201:AL300,$B$134),"")</x:f>
        <x:v>128696.73288451554</x:v>
      </x:c>
      <x:c r="K145" s="457"/>
      <x:c r="L145" s="459"/>
    </x:row>
    <x:row r="146" ht="32" customHeight="1">
      <x:c r="A146" s="281" t="str">
        <x:v>Total return</x:v>
      </x:c>
      <x:c r="B146" s="468" t="n">
        <x:f>IF(ISNUMBER(INDEX(V201:V300,$B$134)),INDEX(V201:V300,$B$134),"")</x:f>
        <x:v>2.905966586145836</x:v>
      </x:c>
      <x:c r="C146" s="457"/>
      <x:c r="D146" s="469" t="n">
        <x:f>IF(ISNUMBER(INDEX(AC201:AC300,$B$134)),INDEX(AC201:AC300,$B$134),"")</x:f>
        <x:v>1.1329566680949015</x:v>
      </x:c>
      <x:c r="E146" s="457"/>
      <x:c r="F146" s="457"/>
      <x:c r="G146" s="470" t="n">
        <x:f>IF(ISNUMBER(INDEX(AH201:AH300,$B$134)),INDEX(AH201:AH300,$B$134),"")</x:f>
        <x:v>0.616073764196384</x:v>
      </x:c>
      <x:c r="H146" s="457"/>
      <x:c r="I146" s="457"/>
      <x:c r="J146" s="471" t="n">
        <x:f>IF(ISNUMBER(INDEX(AM201:AM300,$B$134)),INDEX(AM201:AM300,$B$134),"")</x:f>
        <x:v>0.616073764196384</x:v>
      </x:c>
      <x:c r="K146" s="457"/>
      <x:c r="L146" s="459"/>
    </x:row>
    <x:row r="147" ht="32" customHeight="1">
      <x:c r="A147" s="281" t="str">
        <x:v>Total investor contributions</x:v>
      </x:c>
      <x:c r="B147" s="460" t="n">
        <x:f>IF(ISNUMBER(INDEX(S201:S300,$B$134)),INDEX(S201:S300,$B$134),"")</x:f>
        <x:v>208898.25271554862</x:v>
      </x:c>
      <x:c r="C147" s="457"/>
      <x:c r="D147" s="461" t="n">
        <x:f>IF(ISNUMBER(INDEX(AA201:AA300,$B$134)),INDEX(AA201:AA300,$B$134),"")</x:f>
        <x:v>208898.25271554862</x:v>
      </x:c>
      <x:c r="E147" s="457"/>
      <x:c r="F147" s="457"/>
      <x:c r="G147" s="462" t="n">
        <x:f>IF(ISNUMBER(INDEX(AF201:AF300,$B$134)),INDEX(AF201:AF300,$B$134),"")</x:f>
        <x:v>208898.25271554862</x:v>
      </x:c>
      <x:c r="H147" s="457"/>
      <x:c r="I147" s="457"/>
      <x:c r="J147" s="463" t="n">
        <x:f>IF(ISNUMBER(INDEX(AK201:AK300,$B$134)),INDEX(AK201:AK300,$B$134),"")</x:f>
        <x:v>208898.25271554862</x:v>
      </x:c>
      <x:c r="K147" s="457"/>
      <x:c r="L147" s="459"/>
    </x:row>
    <x:row r="148" ht="32" customHeight="1">
      <x:c r="A148" s="281" t="str">
        <x:v>Equity multiple</x:v>
      </x:c>
      <x:c r="B148" s="472" t="n">
        <x:f>IF(ISNUMBER(INDEX(W201:W300,$B$134)),INDEX(W201:W300,$B$134),"")</x:f>
        <x:v>3.905966586145836</x:v>
      </x:c>
      <x:c r="C148" s="457"/>
      <x:c r="D148" s="473" t="n">
        <x:f>IF(AND(D147&gt;0,ISNUMBER(D141),ISNUMBER(D142)),(D141+D142)/D147,"")</x:f>
        <x:v>2.1329566680949017</x:v>
      </x:c>
      <x:c r="E148" s="457"/>
      <x:c r="F148" s="457"/>
      <x:c r="G148" s="474" t="n">
        <x:f>IF(AND(G147&gt;0,ISNUMBER(G141),ISNUMBER(G142)),(G141+G142)/G147,"")</x:f>
        <x:v>1.616073764196384</x:v>
      </x:c>
      <x:c r="H148" s="457"/>
      <x:c r="I148" s="457"/>
      <x:c r="J148" s="475" t="n">
        <x:f>IF(AND(J147&gt;0,ISNUMBER(J141),ISNUMBER(J142)),(J141+J142)/J147,"")</x:f>
        <x:v>1.616073764196384</x:v>
      </x:c>
      <x:c r="K148" s="457"/>
      <x:c r="L148" s="459"/>
    </x:row>
    <x:row r="149" ht="28" customHeight="1">
      <x:c r="A149" s="362"/>
      <x:c r="B149" s="4"/>
      <x:c r="C149" s="4"/>
      <x:c r="D149" s="4"/>
      <x:c r="E149" s="4"/>
      <x:c r="F149" s="4"/>
      <x:c r="G149" s="4"/>
      <x:c r="H149" s="4"/>
      <x:c r="I149" s="4"/>
      <x:c r="J149" s="4"/>
      <x:c r="K149" s="4"/>
      <x:c r="L149" s="47"/>
    </x:row>
    <x:row r="150" ht="27" customHeight="1">
      <x:c r="A150" s="287" t="str">
        <x:v>Property cash flow is not reinvested. Benchmarks use the selected initial cash basis and optionally match later annual cash calls. Bond/Stock has dividends only; Stock is a total return. An unresolved property maturity leaves affected returns unavailable; benchmark projections include only known matching contributions.</x:v>
      </x:c>
      <x:c r="B150" s="23"/>
      <x:c r="C150" s="23"/>
      <x:c r="D150" s="23"/>
      <x:c r="E150" s="23"/>
      <x:c r="F150" s="23"/>
      <x:c r="G150" s="23"/>
      <x:c r="H150" s="23"/>
      <x:c r="I150" s="23"/>
      <x:c r="J150" s="23"/>
      <x:c r="K150" s="23"/>
      <x:c r="L150" s="291"/>
    </x:row>
    <x:row r="151" ht="27" customHeight="1">
      <x:c r="A151" s="306"/>
      <x:c r="B151" s="114"/>
      <x:c r="C151" s="114"/>
      <x:c r="D151" s="114"/>
      <x:c r="E151" s="114"/>
      <x:c r="F151" s="114"/>
      <x:c r="G151" s="114"/>
      <x:c r="H151" s="114"/>
      <x:c r="I151" s="114"/>
      <x:c r="J151" s="114"/>
      <x:c r="K151" s="114"/>
      <x:c r="L151" s="115"/>
    </x:row>
    <x:row r="152" ht="28" customHeight="1">
      <x:c r="A152" s="3"/>
      <x:c r="B152" s="4"/>
      <x:c r="C152" s="4"/>
      <x:c r="D152" s="4"/>
      <x:c r="E152" s="4"/>
      <x:c r="F152" s="4"/>
      <x:c r="G152" s="4"/>
      <x:c r="H152" s="4"/>
      <x:c r="I152" s="4"/>
      <x:c r="J152" s="4"/>
      <x:c r="K152" s="4"/>
      <x:c r="L152" s="4"/>
    </x:row>
    <x:row r="153" ht="28" customHeight="1">
      <x:c r="A153" s="3"/>
      <x:c r="B153" s="4"/>
      <x:c r="C153" s="4"/>
      <x:c r="D153" s="4"/>
      <x:c r="E153" s="4"/>
      <x:c r="F153" s="4"/>
      <x:c r="G153" s="4"/>
      <x:c r="H153" s="4"/>
      <x:c r="I153" s="4"/>
      <x:c r="J153" s="4"/>
      <x:c r="K153" s="4"/>
      <x:c r="L153" s="4"/>
    </x:row>
    <x:row r="154" ht="32" customHeight="1">
      <x:c r="A154" s="41" t="str">
        <x:v>MODEL NOTES &amp; SOURCES</x:v>
      </x:c>
      <x:c r="B154" s="39"/>
      <x:c r="C154" s="39"/>
      <x:c r="D154" s="39"/>
      <x:c r="E154" s="39"/>
      <x:c r="F154" s="39"/>
      <x:c r="G154" s="39"/>
      <x:c r="H154" s="39"/>
      <x:c r="I154" s="39"/>
      <x:c r="J154" s="39"/>
      <x:c r="K154" s="39"/>
      <x:c r="L154" s="42"/>
    </x:row>
    <x:row r="155" ht="25" customHeight="1">
      <x:c r="A155" s="21" t="str">
        <x:v>NOI = effective income − operating expenses before replacement reserves. Cash flow before debt deducts reserves. Scheduled P&amp;I excludes balloons and refinance fees. Cap rate uses NOI / purchase price. Main DSCR uses cash flow after reserves / scheduled P&amp;I. Additional capital costs are amounts beyond replacement reserves; a negative amount is a recovery.</x:v>
      </x:c>
      <x:c r="B155" s="23"/>
      <x:c r="C155" s="23"/>
      <x:c r="D155" s="23"/>
      <x:c r="E155" s="23"/>
      <x:c r="F155" s="23"/>
      <x:c r="G155" s="23"/>
      <x:c r="H155" s="23"/>
      <x:c r="I155" s="23"/>
      <x:c r="J155" s="23"/>
      <x:c r="K155" s="23"/>
      <x:c r="L155" s="23"/>
    </x:row>
    <x:row r="156" ht="25" customHeight="1">
      <x:c r="A156" s="23"/>
      <x:c r="B156" s="23"/>
      <x:c r="C156" s="23"/>
      <x:c r="D156" s="23"/>
      <x:c r="E156" s="23"/>
      <x:c r="F156" s="23"/>
      <x:c r="G156" s="23"/>
      <x:c r="H156" s="23"/>
      <x:c r="I156" s="23"/>
      <x:c r="J156" s="23"/>
      <x:c r="K156" s="23"/>
      <x:c r="L156" s="23"/>
    </x:row>
    <x:row r="157" ht="25" customHeight="1">
      <x:c r="A157" s="23"/>
      <x:c r="B157" s="23"/>
      <x:c r="C157" s="23"/>
      <x:c r="D157" s="23"/>
      <x:c r="E157" s="23"/>
      <x:c r="F157" s="23"/>
      <x:c r="G157" s="23"/>
      <x:c r="H157" s="23"/>
      <x:c r="I157" s="23"/>
      <x:c r="J157" s="23"/>
      <x:c r="K157" s="23"/>
      <x:c r="L157" s="23"/>
    </x:row>
    <x:row r="158" ht="25" customHeight="1">
      <x:c r="A158" s="21" t="str">
        <x:v>Assumable debt retains the approved note terms and requires lender approval. Maturity is when the unpaid balance is due. A cash plan pays that balloon from investor cash flow; a refinance plan replaces the balance using the entered terms and cash fees. An unresolved plan does not forgive debt or invent later payments. Annual sale proceeds repay remaining primary and additional loans.</x:v>
      </x:c>
      <x:c r="B158" s="23"/>
      <x:c r="C158" s="23"/>
      <x:c r="D158" s="23"/>
      <x:c r="E158" s="23"/>
      <x:c r="F158" s="23"/>
      <x:c r="G158" s="23"/>
      <x:c r="H158" s="23"/>
      <x:c r="I158" s="23"/>
      <x:c r="J158" s="23"/>
      <x:c r="K158" s="23"/>
      <x:c r="L158" s="23"/>
    </x:row>
    <x:row r="159" ht="25" customHeight="1">
      <x:c r="A159" s="23"/>
      <x:c r="B159" s="23"/>
      <x:c r="C159" s="23"/>
      <x:c r="D159" s="23"/>
      <x:c r="E159" s="23"/>
      <x:c r="F159" s="23"/>
      <x:c r="G159" s="23"/>
      <x:c r="H159" s="23"/>
      <x:c r="I159" s="23"/>
      <x:c r="J159" s="23"/>
      <x:c r="K159" s="23"/>
      <x:c r="L159" s="23"/>
    </x:row>
    <x:row r="160" ht="25" customHeight="1">
      <x:c r="A160" s="23"/>
      <x:c r="B160" s="23"/>
      <x:c r="C160" s="23"/>
      <x:c r="D160" s="23"/>
      <x:c r="E160" s="23"/>
      <x:c r="F160" s="23"/>
      <x:c r="G160" s="23"/>
      <x:c r="H160" s="23"/>
      <x:c r="I160" s="23"/>
      <x:c r="J160" s="23"/>
      <x:c r="K160" s="23"/>
      <x:c r="L160" s="23"/>
    </x:row>
    <x:row r="161" ht="25" customHeight="1">
      <x:c r="A161" s="21" t="str">
        <x:v>Sources: original CHP_Investment_Calculator_Share.xlsx example; https://multifamily.fanniemae.com/media/35991/display (NOI / reserves); OCC Commercial Real Estate Lending handbook (amortization / maturity / balloon risk). Calculator conventions match CHP Deal Studio’s commercial underwriting. Defaults: 4% appreciation, 4% revenue growth, 3% expense growth.</x:v>
      </x:c>
      <x:c r="B161" s="23"/>
      <x:c r="C161" s="23"/>
      <x:c r="D161" s="23"/>
      <x:c r="E161" s="23"/>
      <x:c r="F161" s="23"/>
      <x:c r="G161" s="23"/>
      <x:c r="H161" s="23"/>
      <x:c r="I161" s="23"/>
      <x:c r="J161" s="23"/>
      <x:c r="K161" s="23"/>
      <x:c r="L161" s="23"/>
    </x:row>
    <x:row r="162" ht="25" customHeight="1">
      <x:c r="A162" s="23"/>
      <x:c r="B162" s="23"/>
      <x:c r="C162" s="23"/>
      <x:c r="D162" s="23"/>
      <x:c r="E162" s="23"/>
      <x:c r="F162" s="23"/>
      <x:c r="G162" s="23"/>
      <x:c r="H162" s="23"/>
      <x:c r="I162" s="23"/>
      <x:c r="J162" s="23"/>
      <x:c r="K162" s="23"/>
      <x:c r="L162" s="23"/>
    </x:row>
    <x:row r="163" ht="25" customHeight="1">
      <x:c r="A163" s="23"/>
      <x:c r="B163" s="23"/>
      <x:c r="C163" s="23"/>
      <x:c r="D163" s="23"/>
      <x:c r="E163" s="23"/>
      <x:c r="F163" s="23"/>
      <x:c r="G163" s="23"/>
      <x:c r="H163" s="23"/>
      <x:c r="I163" s="23"/>
      <x:c r="J163" s="23"/>
      <x:c r="K163" s="23"/>
      <x:c r="L163" s="23"/>
    </x:row>
    <x:row r="164" ht="28" customHeight="1">
      <x:c r="A164" s="3"/>
      <x:c r="B164" s="4"/>
      <x:c r="C164" s="4"/>
      <x:c r="D164" s="4"/>
      <x:c r="E164" s="4"/>
      <x:c r="F164" s="4"/>
      <x:c r="G164" s="4"/>
      <x:c r="H164" s="4"/>
      <x:c r="I164" s="4"/>
      <x:c r="J164" s="4"/>
      <x:c r="K164" s="4"/>
      <x:c r="L164" s="4"/>
    </x:row>
    <x:row r="165" ht="28" customHeight="1">
      <x:c r="A165" s="3"/>
      <x:c r="B165" s="4"/>
      <x:c r="C165" s="4"/>
      <x:c r="D165" s="4"/>
      <x:c r="E165" s="4"/>
      <x:c r="F165" s="4"/>
      <x:c r="G165" s="4"/>
      <x:c r="H165" s="4"/>
      <x:c r="I165" s="4"/>
      <x:c r="J165" s="4"/>
      <x:c r="K165" s="4"/>
      <x:c r="L165" s="4"/>
    </x:row>
    <x:row r="166" ht="28" customHeight="1">
      <x:c r="A166" s="3"/>
      <x:c r="B166" s="4"/>
      <x:c r="C166" s="4"/>
      <x:c r="D166" s="4"/>
      <x:c r="E166" s="4"/>
      <x:c r="F166" s="4"/>
      <x:c r="G166" s="4"/>
      <x:c r="H166" s="4"/>
      <x:c r="I166" s="4"/>
      <x:c r="J166" s="4"/>
      <x:c r="K166" s="4"/>
      <x:c r="L166" s="4"/>
    </x:row>
    <x:row r="167" ht="32" customHeight="1">
      <x:c r="A167" s="41" t="str">
        <x:v>LOAN SCHEDULE DRIVERS</x:v>
      </x:c>
      <x:c r="B167" s="39"/>
      <x:c r="C167" s="39"/>
      <x:c r="D167" s="39"/>
      <x:c r="E167" s="42"/>
      <x:c r="F167" s="4"/>
      <x:c r="G167" s="4"/>
      <x:c r="H167" s="4"/>
      <x:c r="I167" s="4"/>
      <x:c r="J167" s="4"/>
      <x:c r="K167" s="4"/>
      <x:c r="L167" s="4"/>
    </x:row>
    <x:row r="168" ht="28" customHeight="1">
      <x:c r="A168" s="3"/>
      <x:c r="B168" s="4"/>
      <x:c r="C168" s="4"/>
      <x:c r="D168" s="4"/>
      <x:c r="E168" s="4"/>
      <x:c r="F168" s="4"/>
      <x:c r="G168" s="4"/>
      <x:c r="H168" s="4"/>
      <x:c r="I168" s="4"/>
      <x:c r="J168" s="4"/>
      <x:c r="K168" s="4"/>
      <x:c r="L168" s="4"/>
    </x:row>
    <x:row r="169" ht="28" customHeight="1">
      <x:c r="A169" s="3"/>
      <x:c r="B169" s="4"/>
      <x:c r="C169" s="4"/>
      <x:c r="D169" s="4"/>
      <x:c r="E169" s="4"/>
      <x:c r="F169" s="4"/>
      <x:c r="G169" s="4"/>
      <x:c r="H169" s="4"/>
      <x:c r="I169" s="4"/>
      <x:c r="J169" s="4"/>
      <x:c r="K169" s="4"/>
      <x:c r="L169" s="4"/>
    </x:row>
    <x:row r="170" ht="28" customHeight="1">
      <x:c r="A170" s="77" t="str">
        <x:v>Assumed loan active</x:v>
      </x:c>
      <x:c r="B170" s="395" t="n">
        <x:f>IF(COUNT(B57:B59,B65:B66)&gt;0,1,0)</x:f>
        <x:v>0</x:v>
      </x:c>
      <x:c r="C170" s="4"/>
      <x:c r="D170" s="4"/>
      <x:c r="E170" s="4"/>
      <x:c r="F170" s="4"/>
      <x:c r="G170" s="4"/>
      <x:c r="H170" s="4"/>
      <x:c r="I170" s="4"/>
      <x:c r="J170" s="4"/>
      <x:c r="K170" s="4"/>
      <x:c r="L170" s="4"/>
    </x:row>
    <x:row r="171" ht="28" customHeight="1">
      <x:c r="A171" s="77" t="str">
        <x:v>Primary terms complete</x:v>
      </x:c>
      <x:c r="B171" s="395" t="n">
        <x:f>IF(AND(ISNUMBER(E17),E17=0),1,IF(AND(ISNUMBER(E17),E17&gt;0,ISNUMBER(B61),B61&gt;=0,B61&lt;=1,B173&gt;=1,B173&lt;=1200,B172&lt;=1200,B174&gt;=0,B174&lt;=1200,OR(B172&gt;B174,AND(B170=1,B66&gt;0)),OR(AND(NOT(ISNUMBER(B74)),NOT(ISNUMBER(B75))),AND(B74&gt;0,B74&lt;=100,ISNUMBER(B75),B75&gt;=0,B75&lt;=1,B172&gt;B174))),1,0))</x:f>
        <x:v>1</x:v>
      </x:c>
      <x:c r="C171" s="4"/>
      <x:c r="D171" s="4"/>
      <x:c r="E171" s="4"/>
      <x:c r="F171" s="4"/>
      <x:c r="G171" s="4"/>
      <x:c r="H171" s="4"/>
      <x:c r="I171" s="4"/>
      <x:c r="J171" s="4"/>
      <x:c r="K171" s="4"/>
      <x:c r="L171" s="4"/>
    </x:row>
    <x:row r="172" ht="28" customHeight="1">
      <x:c r="A172" s="77" t="str">
        <x:v>Remaining amortization months</x:v>
      </x:c>
      <x:c r="B172" s="395" t="n">
        <x:f>IF(B170=1,IF(B65&gt;0,ROUND(B65*12,0),0),IF(B20&gt;0,ROUND(B20*12,0),0))</x:f>
        <x:v>360</x:v>
      </x:c>
      <x:c r="C172" s="4"/>
      <x:c r="D172" s="4"/>
      <x:c r="E172" s="4"/>
      <x:c r="F172" s="4"/>
      <x:c r="G172" s="4"/>
      <x:c r="H172" s="4"/>
      <x:c r="I172" s="4"/>
      <x:c r="J172" s="4"/>
      <x:c r="K172" s="4"/>
      <x:c r="L172" s="4"/>
    </x:row>
    <x:row r="173" ht="28" customHeight="1">
      <x:c r="A173" s="77" t="str">
        <x:v>Maturity month</x:v>
      </x:c>
      <x:c r="B173" s="395" t="n">
        <x:f>IF(B170=1,IF(B58&gt;0,ROUND(B58*12,0),0),IF(B72&gt;0,ROUND(B72*12,0),B172))</x:f>
        <x:v>360</x:v>
      </x:c>
      <x:c r="C173" s="4"/>
      <x:c r="D173" s="4"/>
      <x:c r="E173" s="4"/>
      <x:c r="F173" s="4"/>
      <x:c r="G173" s="4"/>
      <x:c r="H173" s="4"/>
      <x:c r="I173" s="4"/>
      <x:c r="J173" s="4"/>
      <x:c r="K173" s="4"/>
      <x:c r="L173" s="4"/>
    </x:row>
    <x:row r="174" ht="28" customHeight="1">
      <x:c r="A174" s="77" t="str">
        <x:v>Interest-only months</x:v>
      </x:c>
      <x:c r="B174" s="395" t="n">
        <x:f>ROUND(SUM(B73)*12,0)</x:f>
        <x:v>0</x:v>
      </x:c>
      <x:c r="C174" s="4"/>
      <x:c r="D174" s="4"/>
      <x:c r="E174" s="4"/>
      <x:c r="F174" s="4"/>
      <x:c r="G174" s="4"/>
      <x:c r="H174" s="4"/>
      <x:c r="I174" s="4"/>
      <x:c r="J174" s="4"/>
      <x:c r="K174" s="4"/>
      <x:c r="L174" s="4"/>
    </x:row>
    <x:row r="175" ht="28" customHeight="1">
      <x:c r="A175" s="77" t="str">
        <x:v>Reset month</x:v>
      </x:c>
      <x:c r="B175" s="395" t="n">
        <x:f>IF(B74&gt;0,ROUND(B74*12,0),0)</x:f>
        <x:v>0</x:v>
      </x:c>
      <x:c r="C175" s="4"/>
      <x:c r="D175" s="4"/>
      <x:c r="E175" s="4"/>
      <x:c r="F175" s="4"/>
      <x:c r="G175" s="4"/>
      <x:c r="H175" s="4"/>
      <x:c r="I175" s="4"/>
      <x:c r="J175" s="4"/>
      <x:c r="K175" s="4"/>
      <x:c r="L175" s="4"/>
    </x:row>
    <x:row r="176" ht="28" customHeight="1">
      <x:c r="A176" s="77" t="str">
        <x:v>Additional loan terms complete</x:v>
      </x:c>
      <x:c r="B176" s="395" t="n">
        <x:f>IF(SUM(B86)=0,1,IF(AND(B86&gt;0,ISNUMBER(E16),B86&lt;=E16,ISNUMBER(B87),B87&gt;=0,B87&lt;=1,ROUND(B88*12,0)&gt;=1,B88&lt;=100),1,0))</x:f>
        <x:v>1</x:v>
      </x:c>
      <x:c r="C176" s="4"/>
      <x:c r="D176" s="4"/>
      <x:c r="E176" s="4"/>
      <x:c r="F176" s="4"/>
      <x:c r="G176" s="4"/>
      <x:c r="H176" s="4"/>
      <x:c r="I176" s="4"/>
      <x:c r="J176" s="4"/>
      <x:c r="K176" s="4"/>
      <x:c r="L176" s="4"/>
    </x:row>
    <x:row r="177" ht="28" customHeight="1">
      <x:c r="A177" s="77" t="str">
        <x:v>Benchmark initial capital</x:v>
      </x:c>
      <x:c r="B177" s="188" t="n">
        <x:f>IF(B135="Purchase cash only",IF(ISNUMBER(D64),D64,""),IF(ISNUMBER(E18),E18,""))</x:f>
        <x:v>190000</x:v>
      </x:c>
      <x:c r="C177" s="4"/>
      <x:c r="D177" s="4"/>
      <x:c r="E177" s="4"/>
      <x:c r="F177" s="4"/>
      <x:c r="G177" s="4"/>
      <x:c r="H177" s="4"/>
      <x:c r="I177" s="4"/>
      <x:c r="J177" s="4"/>
      <x:c r="K177" s="4"/>
      <x:c r="L177" s="4"/>
    </x:row>
    <x:row r="178" ht="28" customHeight="1">
      <x:c r="A178" s="3"/>
      <x:c r="B178" s="4"/>
      <x:c r="C178" s="4"/>
      <x:c r="D178" s="4"/>
      <x:c r="E178" s="4"/>
      <x:c r="F178" s="4"/>
      <x:c r="G178" s="4"/>
      <x:c r="H178" s="4"/>
      <x:c r="I178" s="4"/>
      <x:c r="J178" s="4"/>
      <x:c r="K178" s="4"/>
      <x:c r="L178" s="4"/>
    </x:row>
    <x:row r="179" ht="28" customHeight="1">
      <x:c r="A179" s="3"/>
      <x:c r="B179" s="4"/>
      <x:c r="C179" s="4"/>
      <x:c r="D179" s="4"/>
      <x:c r="E179" s="4"/>
      <x:c r="F179" s="4"/>
      <x:c r="G179" s="4"/>
      <x:c r="H179" s="4"/>
      <x:c r="I179" s="4"/>
      <x:c r="J179" s="4"/>
      <x:c r="K179" s="4"/>
      <x:c r="L179" s="4"/>
    </x:row>
    <x:row r="180" ht="28" customHeight="1">
      <x:c r="A180" s="3"/>
      <x:c r="B180" s="4"/>
      <x:c r="C180" s="4"/>
      <x:c r="D180" s="4"/>
      <x:c r="E180" s="4"/>
      <x:c r="F180" s="4"/>
      <x:c r="G180" s="4"/>
      <x:c r="H180" s="4"/>
      <x:c r="I180" s="4"/>
      <x:c r="J180" s="4"/>
      <x:c r="K180" s="4"/>
      <x:c r="L180" s="4"/>
    </x:row>
    <x:row r="185" ht="32" customHeight="1">
      <x:c r="A185" s="41" t="str">
        <x:v>ANNUAL CAPITAL PLAN &amp; OPERATING BUILD · YEARS 1–100</x:v>
      </x:c>
      <x:c r="B185" s="39"/>
      <x:c r="C185" s="39"/>
      <x:c r="D185" s="39"/>
      <x:c r="E185" s="39"/>
      <x:c r="F185" s="39"/>
      <x:c r="G185" s="39"/>
      <x:c r="H185" s="39"/>
      <x:c r="I185" s="39"/>
      <x:c r="J185" s="39"/>
      <x:c r="K185" s="39"/>
      <x:c r="L185" s="42"/>
      <x:c r="M185" s="255"/>
      <x:c r="N185" s="255"/>
      <x:c r="O185" s="255"/>
      <x:c r="P185" s="255"/>
      <x:c r="Q185" s="255"/>
      <x:c r="R185" s="255"/>
      <x:c r="S185" s="255"/>
      <x:c r="T185" s="255"/>
      <x:c r="U185" s="255"/>
      <x:c r="V185" s="255"/>
      <x:c r="W185" s="255"/>
      <x:c r="X185" s="255"/>
      <x:c r="Y185" s="255"/>
      <x:c r="Z185" s="255"/>
      <x:c r="AA185" s="255"/>
      <x:c r="AB185" s="255"/>
      <x:c r="AC185" s="255"/>
      <x:c r="AD185" s="255"/>
      <x:c r="AE185" s="255"/>
      <x:c r="AF185" s="255"/>
      <x:c r="AG185" s="255"/>
      <x:c r="AH185" s="255"/>
      <x:c r="AI185" s="255"/>
      <x:c r="AJ185" s="255"/>
      <x:c r="AK185" s="255"/>
      <x:c r="AL185" s="255"/>
      <x:c r="AM185" s="255"/>
    </x:row>
    <x:row r="186" ht="24" customHeight="1">
      <x:c r="A186" s="404" t="str">
        <x:v>Edit only yellow Additional capital cost cells (column B). Positive amounts are extra cash costs; negative amounts are recoveries. The build also calculates loan cash events and sale-year returns. Columns to the right contain the investor return and benchmark compounding calculations.</x:v>
      </x:c>
      <x:c r="B186" s="406"/>
      <x:c r="C186" s="406"/>
      <x:c r="D186" s="406"/>
      <x:c r="E186" s="406"/>
      <x:c r="F186" s="406"/>
      <x:c r="G186" s="406"/>
      <x:c r="H186" s="406"/>
      <x:c r="I186" s="406"/>
      <x:c r="J186" s="406"/>
      <x:c r="K186" s="406"/>
      <x:c r="L186" s="406"/>
      <x:c r="M186" s="255"/>
      <x:c r="N186" s="255"/>
      <x:c r="O186" s="255"/>
      <x:c r="P186" s="255"/>
      <x:c r="Q186" s="255"/>
      <x:c r="R186" s="255"/>
      <x:c r="S186" s="255"/>
      <x:c r="T186" s="255"/>
      <x:c r="U186" s="255"/>
      <x:c r="V186" s="255"/>
      <x:c r="W186" s="255"/>
      <x:c r="X186" s="255"/>
      <x:c r="Y186" s="255"/>
      <x:c r="Z186" s="255"/>
      <x:c r="AA186" s="255"/>
      <x:c r="AB186" s="255"/>
      <x:c r="AC186" s="255"/>
      <x:c r="AD186" s="255"/>
      <x:c r="AE186" s="255"/>
      <x:c r="AF186" s="255"/>
      <x:c r="AG186" s="255"/>
      <x:c r="AH186" s="255"/>
      <x:c r="AI186" s="255"/>
      <x:c r="AJ186" s="255"/>
      <x:c r="AK186" s="255"/>
      <x:c r="AL186" s="255"/>
      <x:c r="AM186" s="255"/>
    </x:row>
    <x:row r="187" ht="24" customHeight="1">
      <x:c r="A187" s="406"/>
      <x:c r="B187" s="406"/>
      <x:c r="C187" s="406"/>
      <x:c r="D187" s="406"/>
      <x:c r="E187" s="406"/>
      <x:c r="F187" s="406"/>
      <x:c r="G187" s="406"/>
      <x:c r="H187" s="406"/>
      <x:c r="I187" s="406"/>
      <x:c r="J187" s="406"/>
      <x:c r="K187" s="406"/>
      <x:c r="L187" s="406"/>
      <x:c r="M187" s="255"/>
      <x:c r="N187" s="255"/>
      <x:c r="O187" s="255"/>
      <x:c r="P187" s="255"/>
      <x:c r="Q187" s="255"/>
      <x:c r="R187" s="255"/>
      <x:c r="S187" s="255"/>
      <x:c r="T187" s="255"/>
      <x:c r="U187" s="255"/>
      <x:c r="V187" s="255"/>
      <x:c r="W187" s="255"/>
      <x:c r="X187" s="255"/>
      <x:c r="Y187" s="255"/>
      <x:c r="Z187" s="255"/>
      <x:c r="AA187" s="255"/>
      <x:c r="AB187" s="255"/>
      <x:c r="AC187" s="255"/>
      <x:c r="AD187" s="255"/>
      <x:c r="AE187" s="255"/>
      <x:c r="AF187" s="255"/>
      <x:c r="AG187" s="255"/>
      <x:c r="AH187" s="255"/>
      <x:c r="AI187" s="255"/>
      <x:c r="AJ187" s="255"/>
      <x:c r="AK187" s="255"/>
      <x:c r="AL187" s="255"/>
      <x:c r="AM187" s="255"/>
    </x:row>
    <x:row r="188" ht="24" customHeight="1">
      <x:c r="A188" s="406"/>
      <x:c r="B188" s="406"/>
      <x:c r="C188" s="406"/>
      <x:c r="D188" s="406"/>
      <x:c r="E188" s="406"/>
      <x:c r="F188" s="406"/>
      <x:c r="G188" s="406"/>
      <x:c r="H188" s="406"/>
      <x:c r="I188" s="406"/>
      <x:c r="J188" s="406"/>
      <x:c r="K188" s="406"/>
      <x:c r="L188" s="406"/>
      <x:c r="M188" s="255"/>
      <x:c r="N188" s="255"/>
      <x:c r="O188" s="255"/>
      <x:c r="P188" s="255"/>
      <x:c r="Q188" s="255"/>
      <x:c r="R188" s="255"/>
      <x:c r="S188" s="255"/>
      <x:c r="T188" s="255"/>
      <x:c r="U188" s="255"/>
      <x:c r="V188" s="255"/>
      <x:c r="W188" s="255"/>
      <x:c r="X188" s="255"/>
      <x:c r="Y188" s="255"/>
      <x:c r="Z188" s="255"/>
      <x:c r="AA188" s="255"/>
      <x:c r="AB188" s="255"/>
      <x:c r="AC188" s="255"/>
      <x:c r="AD188" s="255"/>
      <x:c r="AE188" s="255"/>
      <x:c r="AF188" s="255"/>
      <x:c r="AG188" s="255"/>
      <x:c r="AH188" s="255"/>
      <x:c r="AI188" s="255"/>
      <x:c r="AJ188" s="255"/>
      <x:c r="AK188" s="255"/>
      <x:c r="AL188" s="255"/>
      <x:c r="AM188" s="255"/>
    </x:row>
    <x:row r="189" ht="24" customHeight="1">
      <x:c r="A189" s="255"/>
      <x:c r="B189" s="255"/>
      <x:c r="C189" s="255"/>
      <x:c r="D189" s="255"/>
      <x:c r="E189" s="255"/>
      <x:c r="F189" s="255"/>
      <x:c r="G189" s="255"/>
      <x:c r="H189" s="255"/>
      <x:c r="I189" s="255"/>
      <x:c r="J189" s="255"/>
      <x:c r="K189" s="255"/>
      <x:c r="L189" s="255"/>
      <x:c r="M189" s="255"/>
      <x:c r="N189" s="255"/>
      <x:c r="O189" s="255"/>
      <x:c r="P189" s="255"/>
      <x:c r="Q189" s="255"/>
      <x:c r="R189" s="255"/>
      <x:c r="S189" s="255"/>
      <x:c r="T189" s="255"/>
      <x:c r="U189" s="255"/>
      <x:c r="V189" s="255"/>
      <x:c r="W189" s="255"/>
      <x:c r="X189" s="255"/>
      <x:c r="Y189" s="255"/>
      <x:c r="Z189" s="255"/>
      <x:c r="AA189" s="255"/>
      <x:c r="AB189" s="255"/>
      <x:c r="AC189" s="255"/>
      <x:c r="AD189" s="255"/>
      <x:c r="AE189" s="255"/>
      <x:c r="AF189" s="255"/>
      <x:c r="AG189" s="255"/>
      <x:c r="AH189" s="255"/>
      <x:c r="AI189" s="255"/>
      <x:c r="AJ189" s="255"/>
      <x:c r="AK189" s="255"/>
      <x:c r="AL189" s="255"/>
      <x:c r="AM189" s="255"/>
    </x:row>
    <x:row r="190" ht="24" customHeight="1">
      <x:c r="A190" s="255"/>
      <x:c r="B190" s="255"/>
      <x:c r="C190" s="255"/>
      <x:c r="D190" s="255"/>
      <x:c r="E190" s="255"/>
      <x:c r="F190" s="255"/>
      <x:c r="G190" s="255"/>
      <x:c r="H190" s="255"/>
      <x:c r="I190" s="255"/>
      <x:c r="J190" s="255"/>
      <x:c r="K190" s="255"/>
      <x:c r="L190" s="255"/>
      <x:c r="M190" s="255"/>
      <x:c r="N190" s="255"/>
      <x:c r="O190" s="255"/>
      <x:c r="P190" s="255"/>
      <x:c r="Q190" s="255"/>
      <x:c r="R190" s="255"/>
      <x:c r="S190" s="255"/>
      <x:c r="T190" s="255"/>
      <x:c r="U190" s="255"/>
      <x:c r="V190" s="255"/>
      <x:c r="W190" s="255"/>
      <x:c r="X190" s="255"/>
      <x:c r="Y190" s="255"/>
      <x:c r="Z190" s="255"/>
      <x:c r="AA190" s="255"/>
      <x:c r="AB190" s="255"/>
      <x:c r="AC190" s="255"/>
      <x:c r="AD190" s="255"/>
      <x:c r="AE190" s="255"/>
      <x:c r="AF190" s="255"/>
      <x:c r="AG190" s="255"/>
      <x:c r="AH190" s="255"/>
      <x:c r="AI190" s="255"/>
      <x:c r="AJ190" s="255"/>
      <x:c r="AK190" s="255"/>
      <x:c r="AL190" s="255"/>
      <x:c r="AM190" s="255"/>
    </x:row>
    <x:row r="191" ht="24" customHeight="1">
      <x:c r="A191" s="255"/>
      <x:c r="B191" s="255"/>
      <x:c r="C191" s="255"/>
      <x:c r="D191" s="255"/>
      <x:c r="E191" s="255"/>
      <x:c r="F191" s="255"/>
      <x:c r="G191" s="255"/>
      <x:c r="H191" s="255"/>
      <x:c r="I191" s="255"/>
      <x:c r="J191" s="255"/>
      <x:c r="K191" s="255"/>
      <x:c r="L191" s="255"/>
      <x:c r="M191" s="255"/>
      <x:c r="N191" s="255"/>
      <x:c r="O191" s="255"/>
      <x:c r="P191" s="255"/>
      <x:c r="Q191" s="255"/>
      <x:c r="R191" s="255"/>
      <x:c r="S191" s="255"/>
      <x:c r="T191" s="255"/>
      <x:c r="U191" s="255"/>
      <x:c r="V191" s="255"/>
      <x:c r="W191" s="255"/>
      <x:c r="X191" s="255"/>
      <x:c r="Y191" s="255"/>
      <x:c r="Z191" s="255"/>
      <x:c r="AA191" s="255"/>
      <x:c r="AB191" s="255"/>
      <x:c r="AC191" s="255"/>
      <x:c r="AD191" s="255"/>
      <x:c r="AE191" s="255"/>
      <x:c r="AF191" s="255"/>
      <x:c r="AG191" s="255"/>
      <x:c r="AH191" s="255"/>
      <x:c r="AI191" s="255"/>
      <x:c r="AJ191" s="255"/>
      <x:c r="AK191" s="255"/>
      <x:c r="AL191" s="255"/>
      <x:c r="AM191" s="255"/>
    </x:row>
    <x:row r="192" ht="24" customHeight="1">
      <x:c r="A192" s="255"/>
      <x:c r="B192" s="255"/>
      <x:c r="C192" s="255"/>
      <x:c r="D192" s="255"/>
      <x:c r="E192" s="255"/>
      <x:c r="F192" s="255"/>
      <x:c r="G192" s="255"/>
      <x:c r="H192" s="255"/>
      <x:c r="I192" s="255"/>
      <x:c r="J192" s="255"/>
      <x:c r="K192" s="255"/>
      <x:c r="L192" s="255"/>
      <x:c r="M192" s="255"/>
      <x:c r="N192" s="255"/>
      <x:c r="O192" s="255"/>
      <x:c r="P192" s="255"/>
      <x:c r="Q192" s="255"/>
      <x:c r="R192" s="255"/>
      <x:c r="S192" s="255"/>
      <x:c r="T192" s="255"/>
      <x:c r="U192" s="255"/>
      <x:c r="V192" s="255"/>
      <x:c r="W192" s="255"/>
      <x:c r="X192" s="255"/>
      <x:c r="Y192" s="255"/>
      <x:c r="Z192" s="255"/>
      <x:c r="AA192" s="255"/>
      <x:c r="AB192" s="255"/>
      <x:c r="AC192" s="255"/>
      <x:c r="AD192" s="255"/>
      <x:c r="AE192" s="255"/>
      <x:c r="AF192" s="255"/>
      <x:c r="AG192" s="255"/>
      <x:c r="AH192" s="255"/>
      <x:c r="AI192" s="255"/>
      <x:c r="AJ192" s="255"/>
      <x:c r="AK192" s="255"/>
      <x:c r="AL192" s="255"/>
      <x:c r="AM192" s="255"/>
    </x:row>
    <x:row r="193" ht="24" customHeight="1">
      <x:c r="A193" s="255"/>
      <x:c r="B193" s="255"/>
      <x:c r="C193" s="255"/>
      <x:c r="D193" s="255"/>
      <x:c r="E193" s="255"/>
      <x:c r="F193" s="255"/>
      <x:c r="G193" s="255"/>
      <x:c r="H193" s="255"/>
      <x:c r="I193" s="255"/>
      <x:c r="J193" s="255"/>
      <x:c r="K193" s="255"/>
      <x:c r="L193" s="255"/>
      <x:c r="M193" s="255"/>
      <x:c r="N193" s="255"/>
      <x:c r="O193" s="255"/>
      <x:c r="P193" s="255"/>
      <x:c r="Q193" s="255"/>
      <x:c r="R193" s="255"/>
      <x:c r="S193" s="255"/>
      <x:c r="T193" s="255"/>
      <x:c r="U193" s="255"/>
      <x:c r="V193" s="255"/>
      <x:c r="W193" s="255"/>
      <x:c r="X193" s="255"/>
      <x:c r="Y193" s="255"/>
      <x:c r="Z193" s="255"/>
      <x:c r="AA193" s="255"/>
      <x:c r="AB193" s="255"/>
      <x:c r="AC193" s="255"/>
      <x:c r="AD193" s="255"/>
      <x:c r="AE193" s="255"/>
      <x:c r="AF193" s="255"/>
      <x:c r="AG193" s="255"/>
      <x:c r="AH193" s="255"/>
      <x:c r="AI193" s="255"/>
      <x:c r="AJ193" s="255"/>
      <x:c r="AK193" s="255"/>
      <x:c r="AL193" s="255"/>
      <x:c r="AM193" s="255"/>
    </x:row>
    <x:row r="194" ht="24" customHeight="1">
      <x:c r="A194" s="255"/>
      <x:c r="B194" s="255"/>
      <x:c r="C194" s="255"/>
      <x:c r="D194" s="255"/>
      <x:c r="E194" s="255"/>
      <x:c r="F194" s="255"/>
      <x:c r="G194" s="255"/>
      <x:c r="H194" s="255"/>
      <x:c r="I194" s="255"/>
      <x:c r="J194" s="255"/>
      <x:c r="K194" s="255"/>
      <x:c r="L194" s="255"/>
      <x:c r="M194" s="255"/>
      <x:c r="N194" s="255"/>
      <x:c r="O194" s="255"/>
      <x:c r="P194" s="255"/>
      <x:c r="Q194" s="255"/>
      <x:c r="R194" s="255"/>
      <x:c r="S194" s="255"/>
      <x:c r="T194" s="255"/>
      <x:c r="U194" s="255"/>
      <x:c r="V194" s="255"/>
      <x:c r="W194" s="255"/>
      <x:c r="X194" s="255"/>
      <x:c r="Y194" s="255"/>
      <x:c r="Z194" s="255"/>
      <x:c r="AA194" s="255"/>
      <x:c r="AB194" s="255"/>
      <x:c r="AC194" s="255"/>
      <x:c r="AD194" s="255"/>
      <x:c r="AE194" s="255"/>
      <x:c r="AF194" s="255"/>
      <x:c r="AG194" s="255"/>
      <x:c r="AH194" s="255"/>
      <x:c r="AI194" s="255"/>
      <x:c r="AJ194" s="255"/>
      <x:c r="AK194" s="255"/>
      <x:c r="AL194" s="255"/>
      <x:c r="AM194" s="255"/>
    </x:row>
    <x:row r="195" ht="24" customHeight="1">
      <x:c r="A195" s="255"/>
      <x:c r="B195" s="255"/>
      <x:c r="C195" s="255"/>
      <x:c r="D195" s="255"/>
      <x:c r="E195" s="255"/>
      <x:c r="F195" s="255"/>
      <x:c r="G195" s="255"/>
      <x:c r="H195" s="255"/>
      <x:c r="I195" s="255"/>
      <x:c r="J195" s="255"/>
      <x:c r="K195" s="255"/>
      <x:c r="L195" s="255"/>
      <x:c r="M195" s="255"/>
      <x:c r="N195" s="255"/>
      <x:c r="O195" s="255"/>
      <x:c r="P195" s="255"/>
      <x:c r="Q195" s="255"/>
      <x:c r="R195" s="255"/>
      <x:c r="S195" s="255"/>
      <x:c r="T195" s="255"/>
      <x:c r="U195" s="255"/>
      <x:c r="V195" s="255"/>
      <x:c r="W195" s="255"/>
      <x:c r="X195" s="255"/>
      <x:c r="Y195" s="255"/>
      <x:c r="Z195" s="255"/>
      <x:c r="AA195" s="255"/>
      <x:c r="AB195" s="255"/>
      <x:c r="AC195" s="255"/>
      <x:c r="AD195" s="255"/>
      <x:c r="AE195" s="255"/>
      <x:c r="AF195" s="255"/>
      <x:c r="AG195" s="255"/>
      <x:c r="AH195" s="255"/>
      <x:c r="AI195" s="255"/>
      <x:c r="AJ195" s="255"/>
      <x:c r="AK195" s="255"/>
      <x:c r="AL195" s="255"/>
      <x:c r="AM195" s="255"/>
    </x:row>
    <x:row r="196" ht="24" customHeight="1">
      <x:c r="A196" s="255"/>
      <x:c r="B196" s="255"/>
      <x:c r="C196" s="255"/>
      <x:c r="D196" s="255"/>
      <x:c r="E196" s="255"/>
      <x:c r="F196" s="255"/>
      <x:c r="G196" s="255"/>
      <x:c r="H196" s="255"/>
      <x:c r="I196" s="255"/>
      <x:c r="J196" s="255"/>
      <x:c r="K196" s="255"/>
      <x:c r="L196" s="255"/>
      <x:c r="M196" s="255"/>
      <x:c r="N196" s="255"/>
      <x:c r="O196" s="255"/>
      <x:c r="P196" s="255"/>
      <x:c r="Q196" s="255"/>
      <x:c r="R196" s="255"/>
      <x:c r="S196" s="255"/>
      <x:c r="T196" s="255"/>
      <x:c r="U196" s="255"/>
      <x:c r="V196" s="255"/>
      <x:c r="W196" s="255"/>
      <x:c r="X196" s="255"/>
      <x:c r="Y196" s="255"/>
      <x:c r="Z196" s="255"/>
      <x:c r="AA196" s="255"/>
      <x:c r="AB196" s="255"/>
      <x:c r="AC196" s="255"/>
      <x:c r="AD196" s="255"/>
      <x:c r="AE196" s="255"/>
      <x:c r="AF196" s="255"/>
      <x:c r="AG196" s="255"/>
      <x:c r="AH196" s="255"/>
      <x:c r="AI196" s="255"/>
      <x:c r="AJ196" s="255"/>
      <x:c r="AK196" s="255"/>
      <x:c r="AL196" s="255"/>
      <x:c r="AM196" s="255"/>
    </x:row>
    <x:row r="197" ht="24" customHeight="1">
      <x:c r="A197" s="255"/>
      <x:c r="B197" s="255"/>
      <x:c r="C197" s="255"/>
      <x:c r="D197" s="255"/>
      <x:c r="E197" s="255"/>
      <x:c r="F197" s="255"/>
      <x:c r="G197" s="255"/>
      <x:c r="H197" s="255"/>
      <x:c r="I197" s="255"/>
      <x:c r="J197" s="255"/>
      <x:c r="K197" s="255"/>
      <x:c r="L197" s="255"/>
      <x:c r="M197" s="255"/>
      <x:c r="N197" s="255"/>
      <x:c r="O197" s="255"/>
      <x:c r="P197" s="255"/>
      <x:c r="Q197" s="255"/>
      <x:c r="R197" s="255"/>
      <x:c r="S197" s="255"/>
      <x:c r="T197" s="255"/>
      <x:c r="U197" s="255"/>
      <x:c r="V197" s="255"/>
      <x:c r="W197" s="255"/>
      <x:c r="X197" s="255"/>
      <x:c r="Y197" s="255"/>
      <x:c r="Z197" s="255"/>
      <x:c r="AA197" s="255"/>
      <x:c r="AB197" s="255"/>
      <x:c r="AC197" s="255"/>
      <x:c r="AD197" s="255"/>
      <x:c r="AE197" s="255"/>
      <x:c r="AF197" s="255"/>
      <x:c r="AG197" s="255"/>
      <x:c r="AH197" s="255"/>
      <x:c r="AI197" s="255"/>
      <x:c r="AJ197" s="255"/>
      <x:c r="AK197" s="255"/>
      <x:c r="AL197" s="255"/>
      <x:c r="AM197" s="255"/>
    </x:row>
    <x:row r="198" ht="24" customHeight="1">
      <x:c r="A198" s="255"/>
      <x:c r="B198" s="255"/>
      <x:c r="C198" s="255"/>
      <x:c r="D198" s="255"/>
      <x:c r="E198" s="255"/>
      <x:c r="F198" s="255"/>
      <x:c r="G198" s="255"/>
      <x:c r="H198" s="255"/>
      <x:c r="I198" s="255"/>
      <x:c r="J198" s="255"/>
      <x:c r="K198" s="255"/>
      <x:c r="L198" s="255"/>
      <x:c r="M198" s="255"/>
      <x:c r="N198" s="255"/>
      <x:c r="O198" s="255"/>
      <x:c r="P198" s="255"/>
      <x:c r="Q198" s="255"/>
      <x:c r="R198" s="255"/>
      <x:c r="S198" s="255"/>
      <x:c r="T198" s="255"/>
      <x:c r="U198" s="255"/>
      <x:c r="V198" s="255"/>
      <x:c r="W198" s="255"/>
      <x:c r="X198" s="255"/>
      <x:c r="Y198" s="255"/>
      <x:c r="Z198" s="255"/>
      <x:c r="AA198" s="255"/>
      <x:c r="AB198" s="255"/>
      <x:c r="AC198" s="255"/>
      <x:c r="AD198" s="255"/>
      <x:c r="AE198" s="255"/>
      <x:c r="AF198" s="255"/>
      <x:c r="AG198" s="255"/>
      <x:c r="AH198" s="255"/>
      <x:c r="AI198" s="255"/>
      <x:c r="AJ198" s="255"/>
      <x:c r="AK198" s="255"/>
      <x:c r="AL198" s="255"/>
      <x:c r="AM198" s="255"/>
    </x:row>
    <x:row r="199" ht="45" customHeight="1">
      <x:c r="A199" s="408" t="str">
        <x:v>Year</x:v>
      </x:c>
      <x:c r="B199" s="408" t="str">
        <x:v>Additional capital cost</x:v>
      </x:c>
      <x:c r="C199" s="408" t="str">
        <x:v>Effective income</x:v>
      </x:c>
      <x:c r="D199" s="408" t="str">
        <x:v>Operating expenses</x:v>
      </x:c>
      <x:c r="E199" s="408" t="str">
        <x:v>Replacement reserves</x:v>
      </x:c>
      <x:c r="F199" s="408" t="str">
        <x:v>NOI before reserves</x:v>
      </x:c>
      <x:c r="G199" s="408" t="str">
        <x:v>Cash flow before debt</x:v>
      </x:c>
      <x:c r="H199" s="408" t="str">
        <x:v>Scheduled P&amp;I</x:v>
      </x:c>
      <x:c r="I199" s="408" t="str">
        <x:v>Balloon due (reference)</x:v>
      </x:c>
      <x:c r="J199" s="408" t="str">
        <x:v>Cash balloon payoff</x:v>
      </x:c>
      <x:c r="K199" s="408" t="str">
        <x:v>Refinance cash costs</x:v>
      </x:c>
      <x:c r="L199" s="408" t="str">
        <x:v>Net cash flow</x:v>
      </x:c>
      <x:c r="M199" s="408" t="str">
        <x:v>Loan balance</x:v>
      </x:c>
      <x:c r="N199" s="408" t="str">
        <x:v>Property value</x:v>
      </x:c>
      <x:c r="O199" s="408" t="str">
        <x:v>Net sale proceeds</x:v>
      </x:c>
      <x:c r="P199" s="408" t="str">
        <x:v>Cumulative cash flow</x:v>
      </x:c>
      <x:c r="Q199" s="408" t="str">
        <x:v>Cumulative contributions</x:v>
      </x:c>
      <x:c r="R199" s="408" t="str">
        <x:v>Cumulative distributions</x:v>
      </x:c>
      <x:c r="S199" s="408" t="str">
        <x:v>Contributions if sold</x:v>
      </x:c>
      <x:c r="T199" s="408" t="str">
        <x:v>Distributions if sold</x:v>
      </x:c>
      <x:c r="U199" s="408" t="str">
        <x:v>Profit if sold</x:v>
      </x:c>
      <x:c r="V199" s="408" t="str">
        <x:v>Total return if sold</x:v>
      </x:c>
      <x:c r="W199" s="408" t="str">
        <x:v>Equity multiple if sold</x:v>
      </x:c>
      <x:c r="X199" s="408" t="str">
        <x:v>Matched benchmark call</x:v>
      </x:c>
      <x:c r="Y199" s="408" t="str">
        <x:v>Stock balance</x:v>
      </x:c>
      <x:c r="Z199" s="408" t="str">
        <x:v>Stock cash paid</x:v>
      </x:c>
      <x:c r="AA199" s="408" t="str">
        <x:v>Stock contributions</x:v>
      </x:c>
      <x:c r="AB199" s="408" t="str">
        <x:v>Stock profit</x:v>
      </x:c>
      <x:c r="AC199" s="408" t="str">
        <x:v>Stock return</x:v>
      </x:c>
      <x:c r="AD199" s="408" t="str">
        <x:v>Bond/Stock balance</x:v>
      </x:c>
      <x:c r="AE199" s="408" t="str">
        <x:v>Bond/Stock cash paid</x:v>
      </x:c>
      <x:c r="AF199" s="408" t="str">
        <x:v>Bond/Stock contributions</x:v>
      </x:c>
      <x:c r="AG199" s="408" t="str">
        <x:v>Bond/Stock profit</x:v>
      </x:c>
      <x:c r="AH199" s="408" t="str">
        <x:v>Bond/Stock return</x:v>
      </x:c>
      <x:c r="AI199" s="408" t="str">
        <x:v>Bond balance</x:v>
      </x:c>
      <x:c r="AJ199" s="408" t="str">
        <x:v>Bond cash paid</x:v>
      </x:c>
      <x:c r="AK199" s="408" t="str">
        <x:v>Bond contributions</x:v>
      </x:c>
      <x:c r="AL199" s="408" t="str">
        <x:v>Bond profit</x:v>
      </x:c>
      <x:c r="AM199" s="408" t="str">
        <x:v>Bond return</x:v>
      </x:c>
    </x:row>
    <x:row r="200" ht="24" customHeight="1">
      <x:c r="A200" s="419" t="n">
        <x:v>0</x:v>
      </x:c>
      <x:c r="B200" s="412" t="n">
        <x:v>0</x:v>
      </x:c>
      <x:c r="C200" s="412" t="n">
        <x:v>0</x:v>
      </x:c>
      <x:c r="D200" s="412" t="n">
        <x:v>0</x:v>
      </x:c>
      <x:c r="E200" s="412" t="n">
        <x:v>0</x:v>
      </x:c>
      <x:c r="F200" s="412" t="n">
        <x:v>0</x:v>
      </x:c>
      <x:c r="G200" s="412" t="n">
        <x:v>0</x:v>
      </x:c>
      <x:c r="H200" s="412" t="n">
        <x:v>0</x:v>
      </x:c>
      <x:c r="I200" s="412" t="n">
        <x:v>0</x:v>
      </x:c>
      <x:c r="J200" s="412" t="n">
        <x:v>0</x:v>
      </x:c>
      <x:c r="K200" s="412" t="n">
        <x:v>0</x:v>
      </x:c>
      <x:c r="L200" s="413" t="n">
        <x:f>IF(ISNUMBER(E18),-E18,"")</x:f>
        <x:v>-190000</x:v>
      </x:c>
      <x:c r="M200" s="413" t="n">
        <x:f>IF(ISNUMBER(E17),E17+SUM(B86),"")</x:f>
        <x:v>760000</x:v>
      </x:c>
      <x:c r="N200" s="413" t="n">
        <x:f>IF(ISNUMBER(B15),B15,"")</x:f>
        <x:v>950000</x:v>
      </x:c>
      <x:c r="O200" s="413" t="n">
        <x:f>IF(AND(ISNUMBER(N200),ISNUMBER(M200)),N200*(1-$J$75)-M200,"")</x:f>
        <x:v>190000</x:v>
      </x:c>
      <x:c r="P200" s="412" t="n">
        <x:v>0</x:v>
      </x:c>
      <x:c r="Q200" s="413" t="n">
        <x:f>IF(ISNUMBER(E18),E18,"")</x:f>
        <x:v>190000</x:v>
      </x:c>
      <x:c r="R200" s="412" t="n">
        <x:v>0</x:v>
      </x:c>
      <x:c r="S200" s="413" t="n">
        <x:f>IF(ISNUMBER(E18),E18,"")</x:f>
        <x:v>190000</x:v>
      </x:c>
      <x:c r="T200" s="413" t="n">
        <x:f>IF(ISNUMBER(O200),MAX(0,O200),"")</x:f>
        <x:v>190000</x:v>
      </x:c>
      <x:c r="U200" s="413" t="n">
        <x:f>IF(AND(ISNUMBER(O200),ISNUMBER(E18)),O200-E18,"")</x:f>
        <x:v>0</x:v>
      </x:c>
      <x:c r="V200" s="415" t="n">
        <x:f>IF(AND(E18&gt;0,ISNUMBER(U200)),U200/E18,"")</x:f>
        <x:v>0</x:v>
      </x:c>
      <x:c r="W200" s="417" t="n">
        <x:f>IF(AND(E18&gt;0,ISNUMBER(O200)),O200/E18,"")</x:f>
        <x:v>1</x:v>
      </x:c>
      <x:c r="X200" s="412" t="n">
        <x:v>0</x:v>
      </x:c>
      <x:c r="Y200" s="413" t="n">
        <x:f>IF(ISNUMBER(B177),B177,"")</x:f>
        <x:v>190000</x:v>
      </x:c>
      <x:c r="Z200" s="412" t="n">
        <x:v>0</x:v>
      </x:c>
      <x:c r="AA200" s="413" t="n">
        <x:f>IF(ISNUMBER(B177),B177,"")</x:f>
        <x:v>190000</x:v>
      </x:c>
      <x:c r="AB200" s="412" t="n">
        <x:v>0</x:v>
      </x:c>
      <x:c r="AC200" s="415" t="n">
        <x:f>IF(B177&gt;0,0,"")</x:f>
        <x:v>0</x:v>
      </x:c>
      <x:c r="AD200" s="413" t="n">
        <x:f>IF(ISNUMBER(B177),B177,"")</x:f>
        <x:v>190000</x:v>
      </x:c>
      <x:c r="AE200" s="412" t="n">
        <x:v>0</x:v>
      </x:c>
      <x:c r="AF200" s="413" t="n">
        <x:f>IF(ISNUMBER(B177),B177,"")</x:f>
        <x:v>190000</x:v>
      </x:c>
      <x:c r="AG200" s="412" t="n">
        <x:v>0</x:v>
      </x:c>
      <x:c r="AH200" s="415" t="n">
        <x:f>IF(B177&gt;0,0,"")</x:f>
        <x:v>0</x:v>
      </x:c>
      <x:c r="AI200" s="413" t="n">
        <x:f>IF(ISNUMBER(B177),B177,"")</x:f>
        <x:v>190000</x:v>
      </x:c>
      <x:c r="AJ200" s="412" t="n">
        <x:v>0</x:v>
      </x:c>
      <x:c r="AK200" s="413" t="n">
        <x:f>IF(ISNUMBER(B177),B177,"")</x:f>
        <x:v>190000</x:v>
      </x:c>
      <x:c r="AL200" s="412" t="n">
        <x:v>0</x:v>
      </x:c>
      <x:c r="AM200" s="415" t="n">
        <x:f>IF(B177&gt;0,0,"")</x:f>
        <x:v>0</x:v>
      </x:c>
    </x:row>
    <x:row r="201" ht="24" customHeight="1">
      <x:c r="A201" s="419" t="n">
        <x:f>1</x:f>
        <x:v>1</x:v>
      </x:c>
      <x:c r="B201" s="414" t="n">
        <x:v>0</x:v>
      </x:c>
      <x:c r="C201" s="412" t="n">
        <x:f>IF(ISNUMBER($H$17),$H$17,"")</x:f>
        <x:v>78000</x:v>
      </x:c>
      <x:c r="D201" s="412" t="n">
        <x:f>IF(ISNUMBER($H$18),$H$18,"")</x:f>
        <x:v>30000</x:v>
      </x:c>
      <x:c r="E201" s="412" t="n">
        <x:f>IF(ISNUMBER($H$22),$H$22,"")</x:f>
        <x:v>0</x:v>
      </x:c>
      <x:c r="F201" s="412" t="n">
        <x:f>IF(AND(ISNUMBER(C201),ISNUMBER(D201)),C201-D201,"")</x:f>
        <x:v>48000</x:v>
      </x:c>
      <x:c r="G201" s="412" t="n">
        <x:f>IF(AND(ISNUMBER(F201),ISNUMBER(E201)),F201-E201,"")</x:f>
        <x:v>48000</x:v>
      </x:c>
      <x:c r="H201" s="412" t="n">
        <x:f>IF(COUNT(M401:M412)=12,SUM(M401:M412),"")</x:f>
        <x:v>56153.40867888716</x:v>
      </x:c>
      <x:c r="I201" s="412" t="n">
        <x:f>SUM(E401:E412)</x:f>
        <x:v>0</x:v>
      </x:c>
      <x:c r="J201" s="412" t="n">
        <x:f>SUM(F401:F412)</x:f>
        <x:v>0</x:v>
      </x:c>
      <x:c r="K201" s="412" t="n">
        <x:f>SUM(G401:G412)</x:f>
        <x:v>0</x:v>
      </x:c>
      <x:c r="L201" s="412" t="n">
        <x:f>IF(AND(ISNUMBER(G201),ISNUMBER(H201),ISNUMBER(J201),ISNUMBER(K201)),G201-H201-B201-J201-K201,"")</x:f>
        <x:v>-8153.408678887157</x:v>
      </x:c>
      <x:c r="M201" s="412" t="n">
        <x:f>IF(ISNUMBER(N412),N412,"")</x:f>
        <x:v>751094.3528198972</x:v>
      </x:c>
      <x:c r="N201" s="412" t="n">
        <x:f>IF(ISNUMBER($J$77),IF(AND($J$77&gt;0,$J$77&lt;=1,ISNUMBER($H$17),ISNUMBER($H$18),ISNUMBER($J$73),$J$73&gt;-1,$J$73&lt;=5,ISNUMBER($J$74),$J$74&gt;-1,$J$74&lt;=5),($H$17*(1+$J$73)^1-$H$18*(1+$J$74)^1)/$J$77,""),IF(AND($J$77="",ISNUMBER($B$15),$B$15&gt;0,ISNUMBER($J$72),$J$72&gt;-1,$J$72&lt;=5),$B$15*(1+$J$72)^1,""))</x:f>
        <x:v>988000</x:v>
      </x:c>
      <x:c r="O201" s="412" t="n">
        <x:f>IF(AND(ISNUMBER(N201),ISNUMBER(M201)),N201*(1-$J$75)-M201,"")</x:f>
        <x:v>236905.64718010277</x:v>
      </x:c>
      <x:c r="P201" s="412" t="n">
        <x:f>IF(AND(ISNUMBER(P200),ISNUMBER(L201)),P200+L201,"")</x:f>
        <x:v>-8153.408678887157</x:v>
      </x:c>
      <x:c r="Q201" s="412" t="n">
        <x:f>IF(AND(ISNUMBER(Q200),ISNUMBER(L201)),Q200+MAX(0,-L201),"")</x:f>
        <x:v>198153.40867888715</x:v>
      </x:c>
      <x:c r="R201" s="412" t="n">
        <x:f>IF(AND(ISNUMBER(R200),ISNUMBER(L201)),R200+MAX(0,L201),"")</x:f>
        <x:v>0</x:v>
      </x:c>
      <x:c r="S201" s="412" t="n">
        <x:f>IF(AND(ISNUMBER(Q200),ISNUMBER(L201),ISNUMBER(O201)),Q200+MAX(0,-(L201+O201)),"")</x:f>
        <x:v>190000</x:v>
      </x:c>
      <x:c r="T201" s="412" t="n">
        <x:f>IF(AND(ISNUMBER(R200),ISNUMBER(L201),ISNUMBER(O201)),R200+MAX(0,L201+O201),"")</x:f>
        <x:v>228752.23850121562</x:v>
      </x:c>
      <x:c r="U201" s="412" t="n">
        <x:f>IF(AND(ISNUMBER(O201),ISNUMBER(P201),ISNUMBER($E$18)),O201+P201-$E$18,"")</x:f>
        <x:v>38752.238501215616</x:v>
      </x:c>
      <x:c r="V201" s="416" t="n">
        <x:f>IF(AND(S201&gt;0,ISNUMBER(U201)),U201/S201,"")</x:f>
        <x:v>0.20395915000639797</x:v>
      </x:c>
      <x:c r="W201" s="418" t="n">
        <x:f>IF(AND(S201&gt;0,ISNUMBER(T201)),T201/S201,"")</x:f>
        <x:v>1.203959150006398</x:v>
      </x:c>
      <x:c r="X201" s="412" t="n">
        <x:f>IF($B$136="No",0,IF(AND(ISNUMBER(L201),OR(1&lt;&gt;$B$134,ISNUMBER(O201))),MAX(0,-(L201+IF(1=$B$134,O201,0))),0))</x:f>
        <x:v>8153.408678887157</x:v>
      </x:c>
      <x:c r="Y201" s="412" t="n">
        <x:f>IF(AND(ISNUMBER(Y200),ISNUMBER($D$138),$D$138&gt;=-1),Y200+Y200*$D$138-0+X201,"")</x:f>
        <x:v>213353.40867888715</x:v>
      </x:c>
      <x:c r="Z201" s="412" t="n">
        <x:f>IF(AND(ISNUMBER(Y200),ISNUMBER($D$138),$D$138&gt;=-1),Z200+0,"")</x:f>
        <x:v>0</x:v>
      </x:c>
      <x:c r="AA201" s="412" t="n">
        <x:f>IF(ISNUMBER(AA200),AA200+X201,"")</x:f>
        <x:v>198153.40867888715</x:v>
      </x:c>
      <x:c r="AB201" s="412" t="n">
        <x:f>IF(AND(ISNUMBER(Y201),ISNUMBER(Z201),ISNUMBER(AA201)),Y201+Z201-AA201,"")</x:f>
        <x:v>15200</x:v>
      </x:c>
      <x:c r="AC201" s="416" t="n">
        <x:f>IF(AND(AA201&gt;0,ISNUMBER(AB201)),AB201/AA201,"")</x:f>
        <x:v>0.07670824388709863</x:v>
      </x:c>
      <x:c r="AD201" s="412" t="n">
        <x:f>IF(AND(ISNUMBER(AD200),ISNUMBER($G$138),$G$138&gt;=0),AD200+AD200*$G$138-IF(AND($J$134="Cash payout",$G$138&gt;=0),AD200*$G$138,0)+X201,"")</x:f>
        <x:v>207653.40867888715</x:v>
      </x:c>
      <x:c r="AE201" s="412" t="n">
        <x:f>IF(AND(ISNUMBER(AD200),ISNUMBER($G$138),$G$138&gt;=0),AE200+IF(AND($J$134="Cash payout",$G$138&gt;=0),AD200*$G$138,0),"")</x:f>
        <x:v>0</x:v>
      </x:c>
      <x:c r="AF201" s="412" t="n">
        <x:f>IF(ISNUMBER(AF200),AF200+X201,"")</x:f>
        <x:v>198153.40867888715</x:v>
      </x:c>
      <x:c r="AG201" s="412" t="n">
        <x:f>IF(AND(ISNUMBER(AD201),ISNUMBER(AE201),ISNUMBER(AF201)),AD201+AE201-AF201,"")</x:f>
        <x:v>9500</x:v>
      </x:c>
      <x:c r="AH201" s="416" t="n">
        <x:f>IF(AND(AF201&gt;0,ISNUMBER(AG201)),AG201/AF201,"")</x:f>
        <x:v>0.04794265242943664</x:v>
      </x:c>
      <x:c r="AI201" s="412" t="n">
        <x:f>IF(AND(ISNUMBER(AI200),ISNUMBER($J$138),$J$138&gt;=-1),AI200+AI200*$J$138-IF(AND($J$134="Cash payout",$J$138&gt;=0),AI200*$J$138,0)+X201,"")</x:f>
        <x:v>207653.40867888715</x:v>
      </x:c>
      <x:c r="AJ201" s="412" t="n">
        <x:f>IF(AND(ISNUMBER(AI200),ISNUMBER($J$138),$J$138&gt;=-1),AJ200+IF(AND($J$134="Cash payout",$J$138&gt;=0),AI200*$J$138,0),"")</x:f>
        <x:v>0</x:v>
      </x:c>
      <x:c r="AK201" s="412" t="n">
        <x:f>IF(ISNUMBER(AK200),AK200+X201,"")</x:f>
        <x:v>198153.40867888715</x:v>
      </x:c>
      <x:c r="AL201" s="412" t="n">
        <x:f>IF(AND(ISNUMBER(AI201),ISNUMBER(AJ201),ISNUMBER(AK201)),AI201+AJ201-AK201,"")</x:f>
        <x:v>9500</x:v>
      </x:c>
      <x:c r="AM201" s="416" t="n">
        <x:f>IF(AND(AK201&gt;0,ISNUMBER(AL201)),AL201/AK201,"")</x:f>
        <x:v>0.04794265242943664</x:v>
      </x:c>
    </x:row>
    <x:row r="202" ht="24" customHeight="1">
      <x:c r="A202" s="419" t="n">
        <x:f>2</x:f>
        <x:v>2</x:v>
      </x:c>
      <x:c r="B202" s="414" t="n">
        <x:v>0</x:v>
      </x:c>
      <x:c r="C202" s="412" t="n">
        <x:f>IF(AND(ISNUMBER($H$17),ISNUMBER($J$73),$J$73&gt;-1,$J$73&lt;=5),$H$17*(1+$J$73)^(2-1),"")</x:f>
        <x:v>81120</x:v>
      </x:c>
      <x:c r="D202" s="412" t="n">
        <x:f>IF(AND(ISNUMBER($H$18),ISNUMBER($J$74),$J$74&gt;-1,$J$74&lt;=5),$H$18*(1+$J$74)^(2-1),"")</x:f>
        <x:v>30900</x:v>
      </x:c>
      <x:c r="E202" s="412" t="n">
        <x:f>IF(AND(ISNUMBER($H$22),ISNUMBER($J$74),$J$74&gt;-1,$J$74&lt;=5),$H$22*(1+$J$74)^(2-1),"")</x:f>
        <x:v>0</x:v>
      </x:c>
      <x:c r="F202" s="412" t="n">
        <x:f>IF(AND(ISNUMBER(C202),ISNUMBER(D202)),C202-D202,"")</x:f>
        <x:v>50220</x:v>
      </x:c>
      <x:c r="G202" s="412" t="n">
        <x:f>IF(AND(ISNUMBER(F202),ISNUMBER(E202)),F202-E202,"")</x:f>
        <x:v>50220</x:v>
      </x:c>
      <x:c r="H202" s="412" t="n">
        <x:f>IF(COUNT(M413:M424)=12,SUM(M413:M424),"")</x:f>
        <x:v>56153.40867888716</x:v>
      </x:c>
      <x:c r="I202" s="412" t="n">
        <x:f>SUM(E413:E424)</x:f>
        <x:v>0</x:v>
      </x:c>
      <x:c r="J202" s="412" t="n">
        <x:f>SUM(F413:F424)</x:f>
        <x:v>0</x:v>
      </x:c>
      <x:c r="K202" s="412" t="n">
        <x:f>SUM(G413:G424)</x:f>
        <x:v>0</x:v>
      </x:c>
      <x:c r="L202" s="412" t="n">
        <x:f>IF(AND(ISNUMBER(G202),ISNUMBER(H202),ISNUMBER(J202),ISNUMBER(K202)),G202-H202-B202-J202-K202,"")</x:f>
        <x:v>-5933.408678887157</x:v>
      </x:c>
      <x:c r="M202" s="412" t="n">
        <x:f>IF(ISNUMBER(N424),N424,"")</x:f>
        <x:v>741615.8782529265</x:v>
      </x:c>
      <x:c r="N202" s="412" t="n">
        <x:f>IF(ISNUMBER($J$77),IF(AND($J$77&gt;0,$J$77&lt;=1,ISNUMBER($H$17),ISNUMBER($H$18),ISNUMBER($J$73),$J$73&gt;-1,$J$73&lt;=5,ISNUMBER($J$74),$J$74&gt;-1,$J$74&lt;=5),($H$17*(1+$J$73)^2-$H$18*(1+$J$74)^2)/$J$77,""),IF(AND($J$77="",ISNUMBER($B$15),$B$15&gt;0,ISNUMBER($J$72),$J$72&gt;-1,$J$72&lt;=5),$B$15*(1+$J$72)^2,""))</x:f>
        <x:v>1027520.0000000001</x:v>
      </x:c>
      <x:c r="O202" s="412" t="n">
        <x:f>IF(AND(ISNUMBER(N202),ISNUMBER(M202)),N202*(1-$J$75)-M202,"")</x:f>
        <x:v>285904.1217470736</x:v>
      </x:c>
      <x:c r="P202" s="412" t="n">
        <x:f>IF(AND(ISNUMBER(P201),ISNUMBER(L202)),P201+L202,"")</x:f>
        <x:v>-14086.817357774315</x:v>
      </x:c>
      <x:c r="Q202" s="412" t="n">
        <x:f>IF(AND(ISNUMBER(Q201),ISNUMBER(L202)),Q201+MAX(0,-L202),"")</x:f>
        <x:v>204086.8173577743</x:v>
      </x:c>
      <x:c r="R202" s="412" t="n">
        <x:f>IF(AND(ISNUMBER(R201),ISNUMBER(L202)),R201+MAX(0,L202),"")</x:f>
        <x:v>0</x:v>
      </x:c>
      <x:c r="S202" s="412" t="n">
        <x:f>IF(AND(ISNUMBER(Q201),ISNUMBER(L202),ISNUMBER(O202)),Q201+MAX(0,-(L202+O202)),"")</x:f>
        <x:v>198153.40867888715</x:v>
      </x:c>
      <x:c r="T202" s="412" t="n">
        <x:f>IF(AND(ISNUMBER(R201),ISNUMBER(L202),ISNUMBER(O202)),R201+MAX(0,L202+O202),"")</x:f>
        <x:v>279970.7130681864</x:v>
      </x:c>
      <x:c r="U202" s="412" t="n">
        <x:f>IF(AND(ISNUMBER(O202),ISNUMBER(P202),ISNUMBER($E$18)),O202+P202-$E$18,"")</x:f>
        <x:v>81817.3043892993</x:v>
      </x:c>
      <x:c r="V202" s="416" t="n">
        <x:f>IF(AND(S202&gt;0,ISNUMBER(U202)),U202/S202,"")</x:f>
        <x:v>0.4128987986367997</x:v>
      </x:c>
      <x:c r="W202" s="418" t="n">
        <x:f>IF(AND(S202&gt;0,ISNUMBER(T202)),T202/S202,"")</x:f>
        <x:v>1.4128987986367996</x:v>
      </x:c>
      <x:c r="X202" s="412" t="n">
        <x:f>IF($B$136="No",0,IF(AND(ISNUMBER(L202),OR(2&lt;&gt;$B$134,ISNUMBER(O202))),MAX(0,-(L202+IF(2=$B$134,O202,0))),0))</x:f>
        <x:v>5933.408678887157</x:v>
      </x:c>
      <x:c r="Y202" s="412" t="n">
        <x:f>IF(AND(ISNUMBER(Y201),ISNUMBER($D$138),$D$138&gt;=-1),Y201+Y201*$D$138-0+X202,"")</x:f>
        <x:v>236355.09005208526</x:v>
      </x:c>
      <x:c r="Z202" s="412" t="n">
        <x:f>IF(AND(ISNUMBER(Y201),ISNUMBER($D$138),$D$138&gt;=-1),Z201+0,"")</x:f>
        <x:v>0</x:v>
      </x:c>
      <x:c r="AA202" s="412" t="n">
        <x:f>IF(ISNUMBER(AA201),AA201+X202,"")</x:f>
        <x:v>204086.8173577743</x:v>
      </x:c>
      <x:c r="AB202" s="412" t="n">
        <x:f>IF(AND(ISNUMBER(Y202),ISNUMBER(Z202),ISNUMBER(AA202)),Y202+Z202-AA202,"")</x:f>
        <x:v>32268.27269431096</x:v>
      </x:c>
      <x:c r="AC202" s="416" t="n">
        <x:f>IF(AND(AA202&gt;0,ISNUMBER(AB202)),AB202/AA202,"")</x:f>
        <x:v>0.15811051939598372</x:v>
      </x:c>
      <x:c r="AD202" s="412" t="n">
        <x:f>IF(AND(ISNUMBER(AD201),ISNUMBER($G$138),$G$138&gt;=0),AD201+AD201*$G$138-IF(AND($J$134="Cash payout",$G$138&gt;=0),AD201*$G$138,0)+X202,"")</x:f>
        <x:v>223969.48779171865</x:v>
      </x:c>
      <x:c r="AE202" s="412" t="n">
        <x:f>IF(AND(ISNUMBER(AD201),ISNUMBER($G$138),$G$138&gt;=0),AE201+IF(AND($J$134="Cash payout",$G$138&gt;=0),AD201*$G$138,0),"")</x:f>
        <x:v>0</x:v>
      </x:c>
      <x:c r="AF202" s="412" t="n">
        <x:f>IF(ISNUMBER(AF201),AF201+X202,"")</x:f>
        <x:v>204086.8173577743</x:v>
      </x:c>
      <x:c r="AG202" s="412" t="n">
        <x:f>IF(AND(ISNUMBER(AD202),ISNUMBER(AE202),ISNUMBER(AF202)),AD202+AE202-AF202,"")</x:f>
        <x:v>19882.670433944353</x:v>
      </x:c>
      <x:c r="AH202" s="416" t="n">
        <x:f>IF(AND(AF202&gt;0,ISNUMBER(AG202)),AG202/AF202,"")</x:f>
        <x:v>0.09742261009974518</x:v>
      </x:c>
      <x:c r="AI202" s="412" t="n">
        <x:f>IF(AND(ISNUMBER(AI201),ISNUMBER($J$138),$J$138&gt;=-1),AI201+AI201*$J$138-IF(AND($J$134="Cash payout",$J$138&gt;=0),AI201*$J$138,0)+X202,"")</x:f>
        <x:v>223969.48779171865</x:v>
      </x:c>
      <x:c r="AJ202" s="412" t="n">
        <x:f>IF(AND(ISNUMBER(AI201),ISNUMBER($J$138),$J$138&gt;=-1),AJ201+IF(AND($J$134="Cash payout",$J$138&gt;=0),AI201*$J$138,0),"")</x:f>
        <x:v>0</x:v>
      </x:c>
      <x:c r="AK202" s="412" t="n">
        <x:f>IF(ISNUMBER(AK201),AK201+X202,"")</x:f>
        <x:v>204086.8173577743</x:v>
      </x:c>
      <x:c r="AL202" s="412" t="n">
        <x:f>IF(AND(ISNUMBER(AI202),ISNUMBER(AJ202),ISNUMBER(AK202)),AI202+AJ202-AK202,"")</x:f>
        <x:v>19882.670433944353</x:v>
      </x:c>
      <x:c r="AM202" s="416" t="n">
        <x:f>IF(AND(AK202&gt;0,ISNUMBER(AL202)),AL202/AK202,"")</x:f>
        <x:v>0.09742261009974518</x:v>
      </x:c>
    </x:row>
    <x:row r="203" ht="24" customHeight="1">
      <x:c r="A203" s="419" t="n">
        <x:f>3</x:f>
        <x:v>3</x:v>
      </x:c>
      <x:c r="B203" s="414" t="n">
        <x:v>0</x:v>
      </x:c>
      <x:c r="C203" s="412" t="n">
        <x:f>IF(AND(ISNUMBER($H$17),ISNUMBER($J$73),$J$73&gt;-1,$J$73&lt;=5),$H$17*(1+$J$73)^(3-1),"")</x:f>
        <x:v>84364.8</x:v>
      </x:c>
      <x:c r="D203" s="412" t="n">
        <x:f>IF(AND(ISNUMBER($H$18),ISNUMBER($J$74),$J$74&gt;-1,$J$74&lt;=5),$H$18*(1+$J$74)^(3-1),"")</x:f>
        <x:v>31827</x:v>
      </x:c>
      <x:c r="E203" s="412" t="n">
        <x:f>IF(AND(ISNUMBER($H$22),ISNUMBER($J$74),$J$74&gt;-1,$J$74&lt;=5),$H$22*(1+$J$74)^(3-1),"")</x:f>
        <x:v>0</x:v>
      </x:c>
      <x:c r="F203" s="412" t="n">
        <x:f>IF(AND(ISNUMBER(C203),ISNUMBER(D203)),C203-D203,"")</x:f>
        <x:v>52537.8</x:v>
      </x:c>
      <x:c r="G203" s="412" t="n">
        <x:f>IF(AND(ISNUMBER(F203),ISNUMBER(E203)),F203-E203,"")</x:f>
        <x:v>52537.8</x:v>
      </x:c>
      <x:c r="H203" s="412" t="n">
        <x:f>IF(COUNT(M425:M436)=12,SUM(M425:M436),"")</x:f>
        <x:v>56153.40867888716</x:v>
      </x:c>
      <x:c r="I203" s="412" t="n">
        <x:f>SUM(E425:E436)</x:f>
        <x:v>0</x:v>
      </x:c>
      <x:c r="J203" s="412" t="n">
        <x:f>SUM(F425:F436)</x:f>
        <x:v>0</x:v>
      </x:c>
      <x:c r="K203" s="412" t="n">
        <x:f>SUM(G425:G436)</x:f>
        <x:v>0</x:v>
      </x:c>
      <x:c r="L203" s="412" t="n">
        <x:f>IF(AND(ISNUMBER(G203),ISNUMBER(H203),ISNUMBER(J203),ISNUMBER(K203)),G203-H203-B203-J203-K203,"")</x:f>
        <x:v>-3615.6086788871544</x:v>
      </x:c>
      <x:c r="M203" s="412" t="n">
        <x:f>IF(ISNUMBER(N436),N436,"")</x:f>
        <x:v>731527.7310021081</x:v>
      </x:c>
      <x:c r="N203" s="412" t="n">
        <x:f>IF(ISNUMBER($J$77),IF(AND($J$77&gt;0,$J$77&lt;=1,ISNUMBER($H$17),ISNUMBER($H$18),ISNUMBER($J$73),$J$73&gt;-1,$J$73&lt;=5,ISNUMBER($J$74),$J$74&gt;-1,$J$74&lt;=5),($H$17*(1+$J$73)^3-$H$18*(1+$J$74)^3)/$J$77,""),IF(AND($J$77="",ISNUMBER($B$15),$B$15&gt;0,ISNUMBER($J$72),$J$72&gt;-1,$J$72&lt;=5),$B$15*(1+$J$72)^3,""))</x:f>
        <x:v>1068620.8</x:v>
      </x:c>
      <x:c r="O203" s="412" t="n">
        <x:f>IF(AND(ISNUMBER(N203),ISNUMBER(M203)),N203*(1-$J$75)-M203,"")</x:f>
        <x:v>337093.06899789197</x:v>
      </x:c>
      <x:c r="P203" s="412" t="n">
        <x:f>IF(AND(ISNUMBER(P202),ISNUMBER(L203)),P202+L203,"")</x:f>
        <x:v>-17702.42603666147</x:v>
      </x:c>
      <x:c r="Q203" s="412" t="n">
        <x:f>IF(AND(ISNUMBER(Q202),ISNUMBER(L203)),Q202+MAX(0,-L203),"")</x:f>
        <x:v>207702.42603666146</x:v>
      </x:c>
      <x:c r="R203" s="412" t="n">
        <x:f>IF(AND(ISNUMBER(R202),ISNUMBER(L203)),R202+MAX(0,L203),"")</x:f>
        <x:v>0</x:v>
      </x:c>
      <x:c r="S203" s="412" t="n">
        <x:f>IF(AND(ISNUMBER(Q202),ISNUMBER(L203),ISNUMBER(O203)),Q202+MAX(0,-(L203+O203)),"")</x:f>
        <x:v>204086.8173577743</x:v>
      </x:c>
      <x:c r="T203" s="412" t="n">
        <x:f>IF(AND(ISNUMBER(R202),ISNUMBER(L203),ISNUMBER(O203)),R202+MAX(0,L203+O203),"")</x:f>
        <x:v>333477.46031900484</x:v>
      </x:c>
      <x:c r="U203" s="412" t="n">
        <x:f>IF(AND(ISNUMBER(O203),ISNUMBER(P203),ISNUMBER($E$18)),O203+P203-$E$18,"")</x:f>
        <x:v>129390.64296123048</x:v>
      </x:c>
      <x:c r="V203" s="416" t="n">
        <x:f>IF(AND(S203&gt;0,ISNUMBER(U203)),U203/S203,"")</x:f>
        <x:v>0.6339980437560662</x:v>
      </x:c>
      <x:c r="W203" s="418" t="n">
        <x:f>IF(AND(S203&gt;0,ISNUMBER(T203)),T203/S203,"")</x:f>
        <x:v>1.6339980437560664</x:v>
      </x:c>
      <x:c r="X203" s="412" t="n">
        <x:f>IF($B$136="No",0,IF(AND(ISNUMBER(L203),OR(3&lt;&gt;$B$134,ISNUMBER(O203))),MAX(0,-(L203+IF(3=$B$134,O203,0))),0))</x:f>
        <x:v>3615.6086788871544</x:v>
      </x:c>
      <x:c r="Y203" s="412" t="n">
        <x:f>IF(AND(ISNUMBER(Y202),ISNUMBER($D$138),$D$138&gt;=-1),Y202+Y202*$D$138-0+X203,"")</x:f>
        <x:v>258879.10593513923</x:v>
      </x:c>
      <x:c r="Z203" s="412" t="n">
        <x:f>IF(AND(ISNUMBER(Y202),ISNUMBER($D$138),$D$138&gt;=-1),Z202+0,"")</x:f>
        <x:v>0</x:v>
      </x:c>
      <x:c r="AA203" s="412" t="n">
        <x:f>IF(ISNUMBER(AA202),AA202+X203,"")</x:f>
        <x:v>207702.42603666146</x:v>
      </x:c>
      <x:c r="AB203" s="412" t="n">
        <x:f>IF(AND(ISNUMBER(Y203),ISNUMBER(Z203),ISNUMBER(AA203)),Y203+Z203-AA203,"")</x:f>
        <x:v>51176.67989847777</x:v>
      </x:c>
      <x:c r="AC203" s="416" t="n">
        <x:f>IF(AND(AA203&gt;0,ISNUMBER(AB203)),AB203/AA203,"")</x:f>
        <x:v>0.24639423272525762</x:v>
      </x:c>
      <x:c r="AD203" s="412" t="n">
        <x:f>IF(AND(ISNUMBER(AD202),ISNUMBER($G$138),$G$138&gt;=0),AD202+AD202*$G$138-IF(AND($J$134="Cash payout",$G$138&gt;=0),AD202*$G$138,0)+X203,"")</x:f>
        <x:v>238783.57086019174</x:v>
      </x:c>
      <x:c r="AE203" s="412" t="n">
        <x:f>IF(AND(ISNUMBER(AD202),ISNUMBER($G$138),$G$138&gt;=0),AE202+IF(AND($J$134="Cash payout",$G$138&gt;=0),AD202*$G$138,0),"")</x:f>
        <x:v>0</x:v>
      </x:c>
      <x:c r="AF203" s="412" t="n">
        <x:f>IF(ISNUMBER(AF202),AF202+X203,"")</x:f>
        <x:v>207702.42603666146</x:v>
      </x:c>
      <x:c r="AG203" s="412" t="n">
        <x:f>IF(AND(ISNUMBER(AD203),ISNUMBER(AE203),ISNUMBER(AF203)),AD203+AE203-AF203,"")</x:f>
        <x:v>31081.14482353028</x:v>
      </x:c>
      <x:c r="AH203" s="416" t="n">
        <x:f>IF(AND(AF203&gt;0,ISNUMBER(AG203)),AG203/AF203,"")</x:f>
        <x:v>0.14964266627316217</x:v>
      </x:c>
      <x:c r="AI203" s="412" t="n">
        <x:f>IF(AND(ISNUMBER(AI202),ISNUMBER($J$138),$J$138&gt;=-1),AI202+AI202*$J$138-IF(AND($J$134="Cash payout",$J$138&gt;=0),AI202*$J$138,0)+X203,"")</x:f>
        <x:v>238783.57086019174</x:v>
      </x:c>
      <x:c r="AJ203" s="412" t="n">
        <x:f>IF(AND(ISNUMBER(AI202),ISNUMBER($J$138),$J$138&gt;=-1),AJ202+IF(AND($J$134="Cash payout",$J$138&gt;=0),AI202*$J$138,0),"")</x:f>
        <x:v>0</x:v>
      </x:c>
      <x:c r="AK203" s="412" t="n">
        <x:f>IF(ISNUMBER(AK202),AK202+X203,"")</x:f>
        <x:v>207702.42603666146</x:v>
      </x:c>
      <x:c r="AL203" s="412" t="n">
        <x:f>IF(AND(ISNUMBER(AI203),ISNUMBER(AJ203),ISNUMBER(AK203)),AI203+AJ203-AK203,"")</x:f>
        <x:v>31081.14482353028</x:v>
      </x:c>
      <x:c r="AM203" s="416" t="n">
        <x:f>IF(AND(AK203&gt;0,ISNUMBER(AL203)),AL203/AK203,"")</x:f>
        <x:v>0.14964266627316217</x:v>
      </x:c>
    </x:row>
    <x:row r="204" ht="24" customHeight="1">
      <x:c r="A204" s="419" t="n">
        <x:f>4</x:f>
        <x:v>4</x:v>
      </x:c>
      <x:c r="B204" s="414" t="n">
        <x:v>0</x:v>
      </x:c>
      <x:c r="C204" s="412" t="n">
        <x:f>IF(AND(ISNUMBER($H$17),ISNUMBER($J$73),$J$73&gt;-1,$J$73&lt;=5),$H$17*(1+$J$73)^(4-1),"")</x:f>
        <x:v>87739.392</x:v>
      </x:c>
      <x:c r="D204" s="412" t="n">
        <x:f>IF(AND(ISNUMBER($H$18),ISNUMBER($J$74),$J$74&gt;-1,$J$74&lt;=5),$H$18*(1+$J$74)^(4-1),"")</x:f>
        <x:v>32781.81</x:v>
      </x:c>
      <x:c r="E204" s="412" t="n">
        <x:f>IF(AND(ISNUMBER($H$22),ISNUMBER($J$74),$J$74&gt;-1,$J$74&lt;=5),$H$22*(1+$J$74)^(4-1),"")</x:f>
        <x:v>0</x:v>
      </x:c>
      <x:c r="F204" s="412" t="n">
        <x:f>IF(AND(ISNUMBER(C204),ISNUMBER(D204)),C204-D204,"")</x:f>
        <x:v>54957.58200000001</x:v>
      </x:c>
      <x:c r="G204" s="412" t="n">
        <x:f>IF(AND(ISNUMBER(F204),ISNUMBER(E204)),F204-E204,"")</x:f>
        <x:v>54957.58200000001</x:v>
      </x:c>
      <x:c r="H204" s="412" t="n">
        <x:f>IF(COUNT(M437:M448)=12,SUM(M437:M448),"")</x:f>
        <x:v>56153.40867888716</x:v>
      </x:c>
      <x:c r="I204" s="412" t="n">
        <x:f>SUM(E437:E448)</x:f>
        <x:v>0</x:v>
      </x:c>
      <x:c r="J204" s="412" t="n">
        <x:f>SUM(F437:F448)</x:f>
        <x:v>0</x:v>
      </x:c>
      <x:c r="K204" s="412" t="n">
        <x:f>SUM(G437:G448)</x:f>
        <x:v>0</x:v>
      </x:c>
      <x:c r="L204" s="412" t="n">
        <x:f>IF(AND(ISNUMBER(G204),ISNUMBER(H204),ISNUMBER(J204),ISNUMBER(K204)),G204-H204-B204-J204-K204,"")</x:f>
        <x:v>-1195.8266788871479</x:v>
      </x:c>
      <x:c r="M204" s="412" t="n">
        <x:f>IF(ISNUMBER(N448),N448,"")</x:f>
        <x:v>720790.6958141008</x:v>
      </x:c>
      <x:c r="N204" s="412" t="n">
        <x:f>IF(ISNUMBER($J$77),IF(AND($J$77&gt;0,$J$77&lt;=1,ISNUMBER($H$17),ISNUMBER($H$18),ISNUMBER($J$73),$J$73&gt;-1,$J$73&lt;=5,ISNUMBER($J$74),$J$74&gt;-1,$J$74&lt;=5),($H$17*(1+$J$73)^4-$H$18*(1+$J$74)^4)/$J$77,""),IF(AND($J$77="",ISNUMBER($B$15),$B$15&gt;0,ISNUMBER($J$72),$J$72&gt;-1,$J$72&lt;=5),$B$15*(1+$J$72)^4,""))</x:f>
        <x:v>1111365.6320000002</x:v>
      </x:c>
      <x:c r="O204" s="412" t="n">
        <x:f>IF(AND(ISNUMBER(N204),ISNUMBER(M204)),N204*(1-$J$75)-M204,"")</x:f>
        <x:v>390574.9361858994</x:v>
      </x:c>
      <x:c r="P204" s="412" t="n">
        <x:f>IF(AND(ISNUMBER(P203),ISNUMBER(L204)),P203+L204,"")</x:f>
        <x:v>-18898.252715548617</x:v>
      </x:c>
      <x:c r="Q204" s="412" t="n">
        <x:f>IF(AND(ISNUMBER(Q203),ISNUMBER(L204)),Q203+MAX(0,-L204),"")</x:f>
        <x:v>208898.25271554862</x:v>
      </x:c>
      <x:c r="R204" s="412" t="n">
        <x:f>IF(AND(ISNUMBER(R203),ISNUMBER(L204)),R203+MAX(0,L204),"")</x:f>
        <x:v>0</x:v>
      </x:c>
      <x:c r="S204" s="412" t="n">
        <x:f>IF(AND(ISNUMBER(Q203),ISNUMBER(L204),ISNUMBER(O204)),Q203+MAX(0,-(L204+O204)),"")</x:f>
        <x:v>207702.42603666146</x:v>
      </x:c>
      <x:c r="T204" s="412" t="n">
        <x:f>IF(AND(ISNUMBER(R203),ISNUMBER(L204),ISNUMBER(O204)),R203+MAX(0,L204+O204),"")</x:f>
        <x:v>389379.1095070123</x:v>
      </x:c>
      <x:c r="U204" s="412" t="n">
        <x:f>IF(AND(ISNUMBER(O204),ISNUMBER(P204),ISNUMBER($E$18)),O204+P204-$E$18,"")</x:f>
        <x:v>181676.6834703508</x:v>
      </x:c>
      <x:c r="V204" s="416" t="n">
        <x:f>IF(AND(S204&gt;0,ISNUMBER(U204)),U204/S204,"")</x:f>
        <x:v>0.8746969736322826</x:v>
      </x:c>
      <x:c r="W204" s="418" t="n">
        <x:f>IF(AND(S204&gt;0,ISNUMBER(T204)),T204/S204,"")</x:f>
        <x:v>1.8746969736322827</x:v>
      </x:c>
      <x:c r="X204" s="412" t="n">
        <x:f>IF($B$136="No",0,IF(AND(ISNUMBER(L204),OR(4&lt;&gt;$B$134,ISNUMBER(O204))),MAX(0,-(L204+IF(4=$B$134,O204,0))),0))</x:f>
        <x:v>1195.8266788871479</x:v>
      </x:c>
      <x:c r="Y204" s="412" t="n">
        <x:f>IF(AND(ISNUMBER(Y203),ISNUMBER($D$138),$D$138&gt;=-1),Y203+Y203*$D$138-0+X204,"")</x:f>
        <x:v>280785.2610888375</x:v>
      </x:c>
      <x:c r="Z204" s="412" t="n">
        <x:f>IF(AND(ISNUMBER(Y203),ISNUMBER($D$138),$D$138&gt;=-1),Z203+0,"")</x:f>
        <x:v>0</x:v>
      </x:c>
      <x:c r="AA204" s="412" t="n">
        <x:f>IF(ISNUMBER(AA203),AA203+X204,"")</x:f>
        <x:v>208898.25271554862</x:v>
      </x:c>
      <x:c r="AB204" s="412" t="n">
        <x:f>IF(AND(ISNUMBER(Y204),ISNUMBER(Z204),ISNUMBER(AA204)),Y204+Z204-AA204,"")</x:f>
        <x:v>71887.0083732889</x:v>
      </x:c>
      <x:c r="AC204" s="416" t="n">
        <x:f>IF(AND(AA204&gt;0,ISNUMBER(AB204)),AB204/AA204,"")</x:f>
        <x:v>0.3441245076911945</x:v>
      </x:c>
      <x:c r="AD204" s="412" t="n">
        <x:f>IF(AND(ISNUMBER(AD203),ISNUMBER($G$138),$G$138&gt;=0),AD203+AD203*$G$138-IF(AND($J$134="Cash payout",$G$138&gt;=0),AD203*$G$138,0)+X204,"")</x:f>
        <x:v>251918.5760820885</x:v>
      </x:c>
      <x:c r="AE204" s="412" t="n">
        <x:f>IF(AND(ISNUMBER(AD203),ISNUMBER($G$138),$G$138&gt;=0),AE203+IF(AND($J$134="Cash payout",$G$138&gt;=0),AD203*$G$138,0),"")</x:f>
        <x:v>0</x:v>
      </x:c>
      <x:c r="AF204" s="412" t="n">
        <x:f>IF(ISNUMBER(AF203),AF203+X204,"")</x:f>
        <x:v>208898.25271554862</x:v>
      </x:c>
      <x:c r="AG204" s="412" t="n">
        <x:f>IF(AND(ISNUMBER(AD204),ISNUMBER(AE204),ISNUMBER(AF204)),AD204+AE204-AF204,"")</x:f>
        <x:v>43020.32336653987</x:v>
      </x:c>
      <x:c r="AH204" s="416" t="n">
        <x:f>IF(AND(AF204&gt;0,ISNUMBER(AG204)),AG204/AF204,"")</x:f>
        <x:v>0.20593912494385266</x:v>
      </x:c>
      <x:c r="AI204" s="412" t="n">
        <x:f>IF(AND(ISNUMBER(AI203),ISNUMBER($J$138),$J$138&gt;=-1),AI203+AI203*$J$138-IF(AND($J$134="Cash payout",$J$138&gt;=0),AI203*$J$138,0)+X204,"")</x:f>
        <x:v>251918.5760820885</x:v>
      </x:c>
      <x:c r="AJ204" s="412" t="n">
        <x:f>IF(AND(ISNUMBER(AI203),ISNUMBER($J$138),$J$138&gt;=-1),AJ203+IF(AND($J$134="Cash payout",$J$138&gt;=0),AI203*$J$138,0),"")</x:f>
        <x:v>0</x:v>
      </x:c>
      <x:c r="AK204" s="412" t="n">
        <x:f>IF(ISNUMBER(AK203),AK203+X204,"")</x:f>
        <x:v>208898.25271554862</x:v>
      </x:c>
      <x:c r="AL204" s="412" t="n">
        <x:f>IF(AND(ISNUMBER(AI204),ISNUMBER(AJ204),ISNUMBER(AK204)),AI204+AJ204-AK204,"")</x:f>
        <x:v>43020.32336653987</x:v>
      </x:c>
      <x:c r="AM204" s="416" t="n">
        <x:f>IF(AND(AK204&gt;0,ISNUMBER(AL204)),AL204/AK204,"")</x:f>
        <x:v>0.20593912494385266</x:v>
      </x:c>
    </x:row>
    <x:row r="205" ht="24" customHeight="1">
      <x:c r="A205" s="419" t="n">
        <x:f>5</x:f>
        <x:v>5</x:v>
      </x:c>
      <x:c r="B205" s="414" t="n">
        <x:v>0</x:v>
      </x:c>
      <x:c r="C205" s="412" t="n">
        <x:f>IF(AND(ISNUMBER($H$17),ISNUMBER($J$73),$J$73&gt;-1,$J$73&lt;=5),$H$17*(1+$J$73)^(5-1),"")</x:f>
        <x:v>91248.96768000002</x:v>
      </x:c>
      <x:c r="D205" s="412" t="n">
        <x:f>IF(AND(ISNUMBER($H$18),ISNUMBER($J$74),$J$74&gt;-1,$J$74&lt;=5),$H$18*(1+$J$74)^(5-1),"")</x:f>
        <x:v>33765.2643</x:v>
      </x:c>
      <x:c r="E205" s="412" t="n">
        <x:f>IF(AND(ISNUMBER($H$22),ISNUMBER($J$74),$J$74&gt;-1,$J$74&lt;=5),$H$22*(1+$J$74)^(5-1),"")</x:f>
        <x:v>0</x:v>
      </x:c>
      <x:c r="F205" s="412" t="n">
        <x:f>IF(AND(ISNUMBER(C205),ISNUMBER(D205)),C205-D205,"")</x:f>
        <x:v>57483.70338000001</x:v>
      </x:c>
      <x:c r="G205" s="412" t="n">
        <x:f>IF(AND(ISNUMBER(F205),ISNUMBER(E205)),F205-E205,"")</x:f>
        <x:v>57483.70338000001</x:v>
      </x:c>
      <x:c r="H205" s="412" t="n">
        <x:f>IF(COUNT(M449:M460)=12,SUM(M449:M460),"")</x:f>
        <x:v>56153.40867888716</x:v>
      </x:c>
      <x:c r="I205" s="412" t="n">
        <x:f>SUM(E449:E460)</x:f>
        <x:v>0</x:v>
      </x:c>
      <x:c r="J205" s="412" t="n">
        <x:f>SUM(F449:F460)</x:f>
        <x:v>0</x:v>
      </x:c>
      <x:c r="K205" s="412" t="n">
        <x:f>SUM(G449:G460)</x:f>
        <x:v>0</x:v>
      </x:c>
      <x:c r="L205" s="412" t="n">
        <x:f>IF(AND(ISNUMBER(G205),ISNUMBER(H205),ISNUMBER(J205),ISNUMBER(K205)),G205-H205-B205-J205-K205,"")</x:f>
        <x:v>1330.2947011128563</x:v>
      </x:c>
      <x:c r="M205" s="412" t="n">
        <x:f>IF(ISNUMBER(N460),N460,"")</x:f>
        <x:v>709363.0350393091</x:v>
      </x:c>
      <x:c r="N205" s="412" t="n">
        <x:f>IF(ISNUMBER($J$77),IF(AND($J$77&gt;0,$J$77&lt;=1,ISNUMBER($H$17),ISNUMBER($H$18),ISNUMBER($J$73),$J$73&gt;-1,$J$73&lt;=5,ISNUMBER($J$74),$J$74&gt;-1,$J$74&lt;=5),($H$17*(1+$J$73)^5-$H$18*(1+$J$74)^5)/$J$77,""),IF(AND($J$77="",ISNUMBER($B$15),$B$15&gt;0,ISNUMBER($J$72),$J$72&gt;-1,$J$72&lt;=5),$B$15*(1+$J$72)^5,""))</x:f>
        <x:v>1155820.25728</x:v>
      </x:c>
      <x:c r="O205" s="412" t="n">
        <x:f>IF(AND(ISNUMBER(N205),ISNUMBER(M205)),N205*(1-$J$75)-M205,"")</x:f>
        <x:v>446457.22224069096</x:v>
      </x:c>
      <x:c r="P205" s="412" t="n">
        <x:f>IF(AND(ISNUMBER(P204),ISNUMBER(L205)),P204+L205,"")</x:f>
        <x:v>-17567.95801443576</x:v>
      </x:c>
      <x:c r="Q205" s="412" t="n">
        <x:f>IF(AND(ISNUMBER(Q204),ISNUMBER(L205)),Q204+MAX(0,-L205),"")</x:f>
        <x:v>208898.25271554862</x:v>
      </x:c>
      <x:c r="R205" s="412" t="n">
        <x:f>IF(AND(ISNUMBER(R204),ISNUMBER(L205)),R204+MAX(0,L205),"")</x:f>
        <x:v>1330.2947011128563</x:v>
      </x:c>
      <x:c r="S205" s="412" t="n">
        <x:f>IF(AND(ISNUMBER(Q204),ISNUMBER(L205),ISNUMBER(O205)),Q204+MAX(0,-(L205+O205)),"")</x:f>
        <x:v>208898.25271554862</x:v>
      </x:c>
      <x:c r="T205" s="412" t="n">
        <x:f>IF(AND(ISNUMBER(R204),ISNUMBER(L205),ISNUMBER(O205)),R204+MAX(0,L205+O205),"")</x:f>
        <x:v>447787.5169418038</x:v>
      </x:c>
      <x:c r="U205" s="412" t="n">
        <x:f>IF(AND(ISNUMBER(O205),ISNUMBER(P205),ISNUMBER($E$18)),O205+P205-$E$18,"")</x:f>
        <x:v>238889.26422625518</x:v>
      </x:c>
      <x:c r="V205" s="416" t="n">
        <x:f>IF(AND(S205&gt;0,ISNUMBER(U205)),U205/S205,"")</x:f>
        <x:v>1.143567555596286</x:v>
      </x:c>
      <x:c r="W205" s="418" t="n">
        <x:f>IF(AND(S205&gt;0,ISNUMBER(T205)),T205/S205,"")</x:f>
        <x:v>2.1435675555962863</x:v>
      </x:c>
      <x:c r="X205" s="412" t="n">
        <x:f>IF($B$136="No",0,IF(AND(ISNUMBER(L205),OR(5&lt;&gt;$B$134,ISNUMBER(O205))),MAX(0,-(L205+IF(5=$B$134,O205,0))),0))</x:f>
        <x:v>0</x:v>
      </x:c>
      <x:c r="Y205" s="412" t="n">
        <x:f>IF(AND(ISNUMBER(Y204),ISNUMBER($D$138),$D$138&gt;=-1),Y204+Y204*$D$138-0+X205,"")</x:f>
        <x:v>303248.0819759445</x:v>
      </x:c>
      <x:c r="Z205" s="412" t="n">
        <x:f>IF(AND(ISNUMBER(Y204),ISNUMBER($D$138),$D$138&gt;=-1),Z204+0,"")</x:f>
        <x:v>0</x:v>
      </x:c>
      <x:c r="AA205" s="412" t="n">
        <x:f>IF(ISNUMBER(AA204),AA204+X205,"")</x:f>
        <x:v>208898.25271554862</x:v>
      </x:c>
      <x:c r="AB205" s="412" t="n">
        <x:f>IF(AND(ISNUMBER(Y205),ISNUMBER(Z205),ISNUMBER(AA205)),Y205+Z205-AA205,"")</x:f>
        <x:v>94349.8292603959</x:v>
      </x:c>
      <x:c r="AC205" s="416" t="n">
        <x:f>IF(AND(AA205&gt;0,ISNUMBER(AB205)),AB205/AA205,"")</x:f>
        <x:v>0.45165446830649003</x:v>
      </x:c>
      <x:c r="AD205" s="412" t="n">
        <x:f>IF(AND(ISNUMBER(AD204),ISNUMBER($G$138),$G$138&gt;=0),AD204+AD204*$G$138-IF(AND($J$134="Cash payout",$G$138&gt;=0),AD204*$G$138,0)+X205,"")</x:f>
        <x:v>264514.5048861929</x:v>
      </x:c>
      <x:c r="AE205" s="412" t="n">
        <x:f>IF(AND(ISNUMBER(AD204),ISNUMBER($G$138),$G$138&gt;=0),AE204+IF(AND($J$134="Cash payout",$G$138&gt;=0),AD204*$G$138,0),"")</x:f>
        <x:v>0</x:v>
      </x:c>
      <x:c r="AF205" s="412" t="n">
        <x:f>IF(ISNUMBER(AF204),AF204+X205,"")</x:f>
        <x:v>208898.25271554862</x:v>
      </x:c>
      <x:c r="AG205" s="412" t="n">
        <x:f>IF(AND(ISNUMBER(AD205),ISNUMBER(AE205),ISNUMBER(AF205)),AD205+AE205-AF205,"")</x:f>
        <x:v>55616.25217064429</x:v>
      </x:c>
      <x:c r="AH205" s="416" t="n">
        <x:f>IF(AND(AF205&gt;0,ISNUMBER(AG205)),AG205/AF205,"")</x:f>
        <x:v>0.26623608119104525</x:v>
      </x:c>
      <x:c r="AI205" s="412" t="n">
        <x:f>IF(AND(ISNUMBER(AI204),ISNUMBER($J$138),$J$138&gt;=-1),AI204+AI204*$J$138-IF(AND($J$134="Cash payout",$J$138&gt;=0),AI204*$J$138,0)+X205,"")</x:f>
        <x:v>264514.5048861929</x:v>
      </x:c>
      <x:c r="AJ205" s="412" t="n">
        <x:f>IF(AND(ISNUMBER(AI204),ISNUMBER($J$138),$J$138&gt;=-1),AJ204+IF(AND($J$134="Cash payout",$J$138&gt;=0),AI204*$J$138,0),"")</x:f>
        <x:v>0</x:v>
      </x:c>
      <x:c r="AK205" s="412" t="n">
        <x:f>IF(ISNUMBER(AK204),AK204+X205,"")</x:f>
        <x:v>208898.25271554862</x:v>
      </x:c>
      <x:c r="AL205" s="412" t="n">
        <x:f>IF(AND(ISNUMBER(AI205),ISNUMBER(AJ205),ISNUMBER(AK205)),AI205+AJ205-AK205,"")</x:f>
        <x:v>55616.25217064429</x:v>
      </x:c>
      <x:c r="AM205" s="416" t="n">
        <x:f>IF(AND(AK205&gt;0,ISNUMBER(AL205)),AL205/AK205,"")</x:f>
        <x:v>0.26623608119104525</x:v>
      </x:c>
    </x:row>
    <x:row r="206" ht="24" customHeight="1">
      <x:c r="A206" s="419" t="n">
        <x:f>6</x:f>
        <x:v>6</x:v>
      </x:c>
      <x:c r="B206" s="414" t="n">
        <x:v>0</x:v>
      </x:c>
      <x:c r="C206" s="412" t="n">
        <x:f>IF(AND(ISNUMBER($H$17),ISNUMBER($J$73),$J$73&gt;-1,$J$73&lt;=5),$H$17*(1+$J$73)^(6-1),"")</x:f>
        <x:v>94898.92638720002</x:v>
      </x:c>
      <x:c r="D206" s="412" t="n">
        <x:f>IF(AND(ISNUMBER($H$18),ISNUMBER($J$74),$J$74&gt;-1,$J$74&lt;=5),$H$18*(1+$J$74)^(6-1),"")</x:f>
        <x:v>34778.222229</x:v>
      </x:c>
      <x:c r="E206" s="412" t="n">
        <x:f>IF(AND(ISNUMBER($H$22),ISNUMBER($J$74),$J$74&gt;-1,$J$74&lt;=5),$H$22*(1+$J$74)^(6-1),"")</x:f>
        <x:v>0</x:v>
      </x:c>
      <x:c r="F206" s="412" t="n">
        <x:f>IF(AND(ISNUMBER(C206),ISNUMBER(D206)),C206-D206,"")</x:f>
        <x:v>60120.70415820002</x:v>
      </x:c>
      <x:c r="G206" s="412" t="n">
        <x:f>IF(AND(ISNUMBER(F206),ISNUMBER(E206)),F206-E206,"")</x:f>
        <x:v>60120.70415820002</x:v>
      </x:c>
      <x:c r="H206" s="412" t="n">
        <x:f>IF(COUNT(M461:M472)=12,SUM(M461:M472),"")</x:f>
        <x:v>56153.40867888716</x:v>
      </x:c>
      <x:c r="I206" s="412" t="n">
        <x:f>SUM(E461:E472)</x:f>
        <x:v>0</x:v>
      </x:c>
      <x:c r="J206" s="412" t="n">
        <x:f>SUM(F461:F472)</x:f>
        <x:v>0</x:v>
      </x:c>
      <x:c r="K206" s="412" t="n">
        <x:f>SUM(G461:G472)</x:f>
        <x:v>0</x:v>
      </x:c>
      <x:c r="L206" s="412" t="n">
        <x:f>IF(AND(ISNUMBER(G206),ISNUMBER(H206),ISNUMBER(J206),ISNUMBER(K206)),G206-H206-B206-J206-K206,"")</x:f>
        <x:v>3967.2954793128592</x:v>
      </x:c>
      <x:c r="M206" s="412" t="n">
        <x:f>IF(ISNUMBER(N472),N472,"")</x:f>
        <x:v>697200.3263867765</x:v>
      </x:c>
      <x:c r="N206" s="412" t="n">
        <x:f>IF(ISNUMBER($J$77),IF(AND($J$77&gt;0,$J$77&lt;=1,ISNUMBER($H$17),ISNUMBER($H$18),ISNUMBER($J$73),$J$73&gt;-1,$J$73&lt;=5,ISNUMBER($J$74),$J$74&gt;-1,$J$74&lt;=5),($H$17*(1+$J$73)^6-$H$18*(1+$J$74)^6)/$J$77,""),IF(AND($J$77="",ISNUMBER($B$15),$B$15&gt;0,ISNUMBER($J$72),$J$72&gt;-1,$J$72&lt;=5),$B$15*(1+$J$72)^6,""))</x:f>
        <x:v>1202053.0675712004</x:v>
      </x:c>
      <x:c r="O206" s="412" t="n">
        <x:f>IF(AND(ISNUMBER(N206),ISNUMBER(M206)),N206*(1-$J$75)-M206,"")</x:f>
        <x:v>504852.7411844239</x:v>
      </x:c>
      <x:c r="P206" s="412" t="n">
        <x:f>IF(AND(ISNUMBER(P205),ISNUMBER(L206)),P205+L206,"")</x:f>
        <x:v>-13600.662535122901</x:v>
      </x:c>
      <x:c r="Q206" s="412" t="n">
        <x:f>IF(AND(ISNUMBER(Q205),ISNUMBER(L206)),Q205+MAX(0,-L206),"")</x:f>
        <x:v>208898.25271554862</x:v>
      </x:c>
      <x:c r="R206" s="412" t="n">
        <x:f>IF(AND(ISNUMBER(R205),ISNUMBER(L206)),R205+MAX(0,L206),"")</x:f>
        <x:v>5297.5901804257155</x:v>
      </x:c>
      <x:c r="S206" s="412" t="n">
        <x:f>IF(AND(ISNUMBER(Q205),ISNUMBER(L206),ISNUMBER(O206)),Q205+MAX(0,-(L206+O206)),"")</x:f>
        <x:v>208898.25271554862</x:v>
      </x:c>
      <x:c r="T206" s="412" t="n">
        <x:f>IF(AND(ISNUMBER(R205),ISNUMBER(L206),ISNUMBER(O206)),R205+MAX(0,L206+O206),"")</x:f>
        <x:v>510150.33136484964</x:v>
      </x:c>
      <x:c r="U206" s="412" t="n">
        <x:f>IF(AND(ISNUMBER(O206),ISNUMBER(P206),ISNUMBER($E$18)),O206+P206-$E$18,"")</x:f>
        <x:v>301252.078649301</x:v>
      </x:c>
      <x:c r="V206" s="416" t="n">
        <x:f>IF(AND(S206&gt;0,ISNUMBER(U206)),U206/S206,"")</x:f>
        <x:v>1.4420995615483114</x:v>
      </x:c>
      <x:c r="W206" s="418" t="n">
        <x:f>IF(AND(S206&gt;0,ISNUMBER(T206)),T206/S206,"")</x:f>
        <x:v>2.4420995615483116</x:v>
      </x:c>
      <x:c r="X206" s="412" t="n">
        <x:f>IF($B$136="No",0,IF(AND(ISNUMBER(L206),OR(6&lt;&gt;$B$134,ISNUMBER(O206))),MAX(0,-(L206+IF(6=$B$134,O206,0))),0))</x:f>
        <x:v>0</x:v>
      </x:c>
      <x:c r="Y206" s="412" t="n">
        <x:f>IF(AND(ISNUMBER(Y205),ISNUMBER($D$138),$D$138&gt;=-1),Y205+Y205*$D$138-0+X206,"")</x:f>
        <x:v>327507.9285340201</x:v>
      </x:c>
      <x:c r="Z206" s="412" t="n">
        <x:f>IF(AND(ISNUMBER(Y205),ISNUMBER($D$138),$D$138&gt;=-1),Z205+0,"")</x:f>
        <x:v>0</x:v>
      </x:c>
      <x:c r="AA206" s="412" t="n">
        <x:f>IF(ISNUMBER(AA205),AA205+X206,"")</x:f>
        <x:v>208898.25271554862</x:v>
      </x:c>
      <x:c r="AB206" s="412" t="n">
        <x:f>IF(AND(ISNUMBER(Y206),ISNUMBER(Z206),ISNUMBER(AA206)),Y206+Z206-AA206,"")</x:f>
        <x:v>118609.67581847147</x:v>
      </x:c>
      <x:c r="AC206" s="416" t="n">
        <x:f>IF(AND(AA206&gt;0,ISNUMBER(AB206)),AB206/AA206,"")</x:f>
        <x:v>0.5677868257710093</x:v>
      </x:c>
      <x:c r="AD206" s="412" t="n">
        <x:f>IF(AND(ISNUMBER(AD205),ISNUMBER($G$138),$G$138&gt;=0),AD205+AD205*$G$138-IF(AND($J$134="Cash payout",$G$138&gt;=0),AD205*$G$138,0)+X206,"")</x:f>
        <x:v>277740.23013050255</x:v>
      </x:c>
      <x:c r="AE206" s="412" t="n">
        <x:f>IF(AND(ISNUMBER(AD205),ISNUMBER($G$138),$G$138&gt;=0),AE205+IF(AND($J$134="Cash payout",$G$138&gt;=0),AD205*$G$138,0),"")</x:f>
        <x:v>0</x:v>
      </x:c>
      <x:c r="AF206" s="412" t="n">
        <x:f>IF(ISNUMBER(AF205),AF205+X206,"")</x:f>
        <x:v>208898.25271554862</x:v>
      </x:c>
      <x:c r="AG206" s="412" t="n">
        <x:f>IF(AND(ISNUMBER(AD206),ISNUMBER(AE206),ISNUMBER(AF206)),AD206+AE206-AF206,"")</x:f>
        <x:v>68841.97741495393</x:v>
      </x:c>
      <x:c r="AH206" s="416" t="n">
        <x:f>IF(AND(AF206&gt;0,ISNUMBER(AG206)),AG206/AF206,"")</x:f>
        <x:v>0.32954788525059747</x:v>
      </x:c>
      <x:c r="AI206" s="412" t="n">
        <x:f>IF(AND(ISNUMBER(AI205),ISNUMBER($J$138),$J$138&gt;=-1),AI205+AI205*$J$138-IF(AND($J$134="Cash payout",$J$138&gt;=0),AI205*$J$138,0)+X206,"")</x:f>
        <x:v>277740.23013050255</x:v>
      </x:c>
      <x:c r="AJ206" s="412" t="n">
        <x:f>IF(AND(ISNUMBER(AI205),ISNUMBER($J$138),$J$138&gt;=-1),AJ205+IF(AND($J$134="Cash payout",$J$138&gt;=0),AI205*$J$138,0),"")</x:f>
        <x:v>0</x:v>
      </x:c>
      <x:c r="AK206" s="412" t="n">
        <x:f>IF(ISNUMBER(AK205),AK205+X206,"")</x:f>
        <x:v>208898.25271554862</x:v>
      </x:c>
      <x:c r="AL206" s="412" t="n">
        <x:f>IF(AND(ISNUMBER(AI206),ISNUMBER(AJ206),ISNUMBER(AK206)),AI206+AJ206-AK206,"")</x:f>
        <x:v>68841.97741495393</x:v>
      </x:c>
      <x:c r="AM206" s="416" t="n">
        <x:f>IF(AND(AK206&gt;0,ISNUMBER(AL206)),AL206/AK206,"")</x:f>
        <x:v>0.32954788525059747</x:v>
      </x:c>
    </x:row>
    <x:row r="207" ht="24" customHeight="1">
      <x:c r="A207" s="419" t="n">
        <x:f>7</x:f>
        <x:v>7</x:v>
      </x:c>
      <x:c r="B207" s="414" t="n">
        <x:v>0</x:v>
      </x:c>
      <x:c r="C207" s="412" t="n">
        <x:f>IF(AND(ISNUMBER($H$17),ISNUMBER($J$73),$J$73&gt;-1,$J$73&lt;=5),$H$17*(1+$J$73)^(7-1),"")</x:f>
        <x:v>98694.88344268803</x:v>
      </x:c>
      <x:c r="D207" s="412" t="n">
        <x:f>IF(AND(ISNUMBER($H$18),ISNUMBER($J$74),$J$74&gt;-1,$J$74&lt;=5),$H$18*(1+$J$74)^(7-1),"")</x:f>
        <x:v>35821.568895870005</x:v>
      </x:c>
      <x:c r="E207" s="412" t="n">
        <x:f>IF(AND(ISNUMBER($H$22),ISNUMBER($J$74),$J$74&gt;-1,$J$74&lt;=5),$H$22*(1+$J$74)^(7-1),"")</x:f>
        <x:v>0</x:v>
      </x:c>
      <x:c r="F207" s="412" t="n">
        <x:f>IF(AND(ISNUMBER(C207),ISNUMBER(D207)),C207-D207,"")</x:f>
        <x:v>62873.31454681803</x:v>
      </x:c>
      <x:c r="G207" s="412" t="n">
        <x:f>IF(AND(ISNUMBER(F207),ISNUMBER(E207)),F207-E207,"")</x:f>
        <x:v>62873.31454681803</x:v>
      </x:c>
      <x:c r="H207" s="412" t="n">
        <x:f>IF(COUNT(M473:M484)=12,SUM(M473:M484),"")</x:f>
        <x:v>56153.40867888716</x:v>
      </x:c>
      <x:c r="I207" s="412" t="n">
        <x:f>SUM(E473:E484)</x:f>
        <x:v>0</x:v>
      </x:c>
      <x:c r="J207" s="412" t="n">
        <x:f>SUM(F473:F484)</x:f>
        <x:v>0</x:v>
      </x:c>
      <x:c r="K207" s="412" t="n">
        <x:f>SUM(G473:G484)</x:f>
        <x:v>0</x:v>
      </x:c>
      <x:c r="L207" s="412" t="n">
        <x:f>IF(AND(ISNUMBER(G207),ISNUMBER(H207),ISNUMBER(J207),ISNUMBER(K207)),G207-H207-B207-J207-K207,"")</x:f>
        <x:v>6719.905867930873</x:v>
      </x:c>
      <x:c r="M207" s="412" t="n">
        <x:f>IF(ISNUMBER(N484),N484,"")</x:f>
        <x:v>684255.2902431849</x:v>
      </x:c>
      <x:c r="N207" s="412" t="n">
        <x:f>IF(ISNUMBER($J$77),IF(AND($J$77&gt;0,$J$77&lt;=1,ISNUMBER($H$17),ISNUMBER($H$18),ISNUMBER($J$73),$J$73&gt;-1,$J$73&lt;=5,ISNUMBER($J$74),$J$74&gt;-1,$J$74&lt;=5),($H$17*(1+$J$73)^7-$H$18*(1+$J$74)^7)/$J$77,""),IF(AND($J$77="",ISNUMBER($B$15),$B$15&gt;0,ISNUMBER($J$72),$J$72&gt;-1,$J$72&lt;=5),$B$15*(1+$J$72)^7,""))</x:f>
        <x:v>1250135.1902740481</x:v>
      </x:c>
      <x:c r="O207" s="412" t="n">
        <x:f>IF(AND(ISNUMBER(N207),ISNUMBER(M207)),N207*(1-$J$75)-M207,"")</x:f>
        <x:v>565879.9000308632</x:v>
      </x:c>
      <x:c r="P207" s="412" t="n">
        <x:f>IF(AND(ISNUMBER(P206),ISNUMBER(L207)),P206+L207,"")</x:f>
        <x:v>-6880.7566671920285</x:v>
      </x:c>
      <x:c r="Q207" s="412" t="n">
        <x:f>IF(AND(ISNUMBER(Q206),ISNUMBER(L207)),Q206+MAX(0,-L207),"")</x:f>
        <x:v>208898.25271554862</x:v>
      </x:c>
      <x:c r="R207" s="412" t="n">
        <x:f>IF(AND(ISNUMBER(R206),ISNUMBER(L207)),R206+MAX(0,L207),"")</x:f>
        <x:v>12017.496048356588</x:v>
      </x:c>
      <x:c r="S207" s="412" t="n">
        <x:f>IF(AND(ISNUMBER(Q206),ISNUMBER(L207),ISNUMBER(O207)),Q206+MAX(0,-(L207+O207)),"")</x:f>
        <x:v>208898.25271554862</x:v>
      </x:c>
      <x:c r="T207" s="412" t="n">
        <x:f>IF(AND(ISNUMBER(R206),ISNUMBER(L207),ISNUMBER(O207)),R206+MAX(0,L207+O207),"")</x:f>
        <x:v>577897.3960792198</x:v>
      </x:c>
      <x:c r="U207" s="412" t="n">
        <x:f>IF(AND(ISNUMBER(O207),ISNUMBER(P207),ISNUMBER($E$18)),O207+P207-$E$18,"")</x:f>
        <x:v>368999.14336367126</x:v>
      </x:c>
      <x:c r="V207" s="416" t="n">
        <x:f>IF(AND(S207&gt;0,ISNUMBER(U207)),U207/S207,"")</x:f>
        <x:v>1.7664060783989797</x:v>
      </x:c>
      <x:c r="W207" s="418" t="n">
        <x:f>IF(AND(S207&gt;0,ISNUMBER(T207)),T207/S207,"")</x:f>
        <x:v>2.7664060783989792</x:v>
      </x:c>
      <x:c r="X207" s="412" t="n">
        <x:f>IF($B$136="No",0,IF(AND(ISNUMBER(L207),OR(7&lt;&gt;$B$134,ISNUMBER(O207))),MAX(0,-(L207+IF(7=$B$134,O207,0))),0))</x:f>
        <x:v>0</x:v>
      </x:c>
      <x:c r="Y207" s="412" t="n">
        <x:f>IF(AND(ISNUMBER(Y206),ISNUMBER($D$138),$D$138&gt;=-1),Y206+Y206*$D$138-0+X207,"")</x:f>
        <x:v>353708.5628167417</x:v>
      </x:c>
      <x:c r="Z207" s="412" t="n">
        <x:f>IF(AND(ISNUMBER(Y206),ISNUMBER($D$138),$D$138&gt;=-1),Z206+0,"")</x:f>
        <x:v>0</x:v>
      </x:c>
      <x:c r="AA207" s="412" t="n">
        <x:f>IF(ISNUMBER(AA206),AA206+X207,"")</x:f>
        <x:v>208898.25271554862</x:v>
      </x:c>
      <x:c r="AB207" s="412" t="n">
        <x:f>IF(AND(ISNUMBER(Y207),ISNUMBER(Z207),ISNUMBER(AA207)),Y207+Z207-AA207,"")</x:f>
        <x:v>144810.31010119308</x:v>
      </x:c>
      <x:c r="AC207" s="416" t="n">
        <x:f>IF(AND(AA207&gt;0,ISNUMBER(AB207)),AB207/AA207,"")</x:f>
        <x:v>0.6932097718326901</x:v>
      </x:c>
      <x:c r="AD207" s="412" t="n">
        <x:f>IF(AND(ISNUMBER(AD206),ISNUMBER($G$138),$G$138&gt;=0),AD206+AD206*$G$138-IF(AND($J$134="Cash payout",$G$138&gt;=0),AD206*$G$138,0)+X207,"")</x:f>
        <x:v>291627.24163702765</x:v>
      </x:c>
      <x:c r="AE207" s="412" t="n">
        <x:f>IF(AND(ISNUMBER(AD206),ISNUMBER($G$138),$G$138&gt;=0),AE206+IF(AND($J$134="Cash payout",$G$138&gt;=0),AD206*$G$138,0),"")</x:f>
        <x:v>0</x:v>
      </x:c>
      <x:c r="AF207" s="412" t="n">
        <x:f>IF(ISNUMBER(AF206),AF206+X207,"")</x:f>
        <x:v>208898.25271554862</x:v>
      </x:c>
      <x:c r="AG207" s="412" t="n">
        <x:f>IF(AND(ISNUMBER(AD207),ISNUMBER(AE207),ISNUMBER(AF207)),AD207+AE207-AF207,"")</x:f>
        <x:v>82728.98892147903</x:v>
      </x:c>
      <x:c r="AH207" s="416" t="n">
        <x:f>IF(AND(AF207&gt;0,ISNUMBER(AG207)),AG207/AF207,"")</x:f>
        <x:v>0.3960252795131272</x:v>
      </x:c>
      <x:c r="AI207" s="412" t="n">
        <x:f>IF(AND(ISNUMBER(AI206),ISNUMBER($J$138),$J$138&gt;=-1),AI206+AI206*$J$138-IF(AND($J$134="Cash payout",$J$138&gt;=0),AI206*$J$138,0)+X207,"")</x:f>
        <x:v>291627.24163702765</x:v>
      </x:c>
      <x:c r="AJ207" s="412" t="n">
        <x:f>IF(AND(ISNUMBER(AI206),ISNUMBER($J$138),$J$138&gt;=-1),AJ206+IF(AND($J$134="Cash payout",$J$138&gt;=0),AI206*$J$138,0),"")</x:f>
        <x:v>0</x:v>
      </x:c>
      <x:c r="AK207" s="412" t="n">
        <x:f>IF(ISNUMBER(AK206),AK206+X207,"")</x:f>
        <x:v>208898.25271554862</x:v>
      </x:c>
      <x:c r="AL207" s="412" t="n">
        <x:f>IF(AND(ISNUMBER(AI207),ISNUMBER(AJ207),ISNUMBER(AK207)),AI207+AJ207-AK207,"")</x:f>
        <x:v>82728.98892147903</x:v>
      </x:c>
      <x:c r="AM207" s="416" t="n">
        <x:f>IF(AND(AK207&gt;0,ISNUMBER(AL207)),AL207/AK207,"")</x:f>
        <x:v>0.3960252795131272</x:v>
      </x:c>
    </x:row>
    <x:row r="208" ht="24" customHeight="1">
      <x:c r="A208" s="419" t="n">
        <x:f>8</x:f>
        <x:v>8</x:v>
      </x:c>
      <x:c r="B208" s="414" t="n">
        <x:v>0</x:v>
      </x:c>
      <x:c r="C208" s="412" t="n">
        <x:f>IF(AND(ISNUMBER($H$17),ISNUMBER($J$73),$J$73&gt;-1,$J$73&lt;=5),$H$17*(1+$J$73)^(8-1),"")</x:f>
        <x:v>102642.67878039554</x:v>
      </x:c>
      <x:c r="D208" s="412" t="n">
        <x:f>IF(AND(ISNUMBER($H$18),ISNUMBER($J$74),$J$74&gt;-1,$J$74&lt;=5),$H$18*(1+$J$74)^(8-1),"")</x:f>
        <x:v>36896.21596274611</x:v>
      </x:c>
      <x:c r="E208" s="412" t="n">
        <x:f>IF(AND(ISNUMBER($H$22),ISNUMBER($J$74),$J$74&gt;-1,$J$74&lt;=5),$H$22*(1+$J$74)^(8-1),"")</x:f>
        <x:v>0</x:v>
      </x:c>
      <x:c r="F208" s="412" t="n">
        <x:f>IF(AND(ISNUMBER(C208),ISNUMBER(D208)),C208-D208,"")</x:f>
        <x:v>65746.46281764943</x:v>
      </x:c>
      <x:c r="G208" s="412" t="n">
        <x:f>IF(AND(ISNUMBER(F208),ISNUMBER(E208)),F208-E208,"")</x:f>
        <x:v>65746.46281764943</x:v>
      </x:c>
      <x:c r="H208" s="412" t="n">
        <x:f>IF(COUNT(M485:M496)=12,SUM(M485:M496),"")</x:f>
        <x:v>56153.40867888716</x:v>
      </x:c>
      <x:c r="I208" s="412" t="n">
        <x:f>SUM(E485:E496)</x:f>
        <x:v>0</x:v>
      </x:c>
      <x:c r="J208" s="412" t="n">
        <x:f>SUM(F485:F496)</x:f>
        <x:v>0</x:v>
      </x:c>
      <x:c r="K208" s="412" t="n">
        <x:f>SUM(G485:G496)</x:f>
        <x:v>0</x:v>
      </x:c>
      <x:c r="L208" s="412" t="n">
        <x:f>IF(AND(ISNUMBER(G208),ISNUMBER(H208),ISNUMBER(J208),ISNUMBER(K208)),G208-H208-B208-J208-K208,"")</x:f>
        <x:v>9593.054138762272</x:v>
      </x:c>
      <x:c r="M208" s="412" t="n">
        <x:f>IF(ISNUMBER(N496),N496,"")</x:f>
        <x:v>670477.6058846929</x:v>
      </x:c>
      <x:c r="N208" s="412" t="n">
        <x:f>IF(ISNUMBER($J$77),IF(AND($J$77&gt;0,$J$77&lt;=1,ISNUMBER($H$17),ISNUMBER($H$18),ISNUMBER($J$73),$J$73&gt;-1,$J$73&lt;=5,ISNUMBER($J$74),$J$74&gt;-1,$J$74&lt;=5),($H$17*(1+$J$73)^8-$H$18*(1+$J$74)^8)/$J$77,""),IF(AND($J$77="",ISNUMBER($B$15),$B$15&gt;0,ISNUMBER($J$72),$J$72&gt;-1,$J$72&lt;=5),$B$15*(1+$J$72)^8,""))</x:f>
        <x:v>1300140.5978850103</x:v>
      </x:c>
      <x:c r="O208" s="412" t="n">
        <x:f>IF(AND(ISNUMBER(N208),ISNUMBER(M208)),N208*(1-$J$75)-M208,"")</x:f>
        <x:v>629662.9920003174</x:v>
      </x:c>
      <x:c r="P208" s="412" t="n">
        <x:f>IF(AND(ISNUMBER(P207),ISNUMBER(L208)),P207+L208,"")</x:f>
        <x:v>2712.297471570244</x:v>
      </x:c>
      <x:c r="Q208" s="412" t="n">
        <x:f>IF(AND(ISNUMBER(Q207),ISNUMBER(L208)),Q207+MAX(0,-L208),"")</x:f>
        <x:v>208898.25271554862</x:v>
      </x:c>
      <x:c r="R208" s="412" t="n">
        <x:f>IF(AND(ISNUMBER(R207),ISNUMBER(L208)),R207+MAX(0,L208),"")</x:f>
        <x:v>21610.55018711886</x:v>
      </x:c>
      <x:c r="S208" s="412" t="n">
        <x:f>IF(AND(ISNUMBER(Q207),ISNUMBER(L208),ISNUMBER(O208)),Q207+MAX(0,-(L208+O208)),"")</x:f>
        <x:v>208898.25271554862</x:v>
      </x:c>
      <x:c r="T208" s="412" t="n">
        <x:f>IF(AND(ISNUMBER(R207),ISNUMBER(L208),ISNUMBER(O208)),R207+MAX(0,L208+O208),"")</x:f>
        <x:v>651273.5421874364</x:v>
      </x:c>
      <x:c r="U208" s="412" t="n">
        <x:f>IF(AND(ISNUMBER(O208),ISNUMBER(P208),ISNUMBER($E$18)),O208+P208-$E$18,"")</x:f>
        <x:v>442375.28947188763</x:v>
      </x:c>
      <x:c r="V208" s="416" t="n">
        <x:f>IF(AND(S208&gt;0,ISNUMBER(U208)),U208/S208,"")</x:f>
        <x:v>2.1176591173994104</x:v>
      </x:c>
      <x:c r="W208" s="418" t="n">
        <x:f>IF(AND(S208&gt;0,ISNUMBER(T208)),T208/S208,"")</x:f>
        <x:v>3.117659117399411</x:v>
      </x:c>
      <x:c r="X208" s="412" t="n">
        <x:f>IF($B$136="No",0,IF(AND(ISNUMBER(L208),OR(8&lt;&gt;$B$134,ISNUMBER(O208))),MAX(0,-(L208+IF(8=$B$134,O208,0))),0))</x:f>
        <x:v>0</x:v>
      </x:c>
      <x:c r="Y208" s="412" t="n">
        <x:f>IF(AND(ISNUMBER(Y207),ISNUMBER($D$138),$D$138&gt;=-1),Y207+Y207*$D$138-0+X208,"")</x:f>
        <x:v>382005.247842081</x:v>
      </x:c>
      <x:c r="Z208" s="412" t="n">
        <x:f>IF(AND(ISNUMBER(Y207),ISNUMBER($D$138),$D$138&gt;=-1),Z207+0,"")</x:f>
        <x:v>0</x:v>
      </x:c>
      <x:c r="AA208" s="412" t="n">
        <x:f>IF(ISNUMBER(AA207),AA207+X208,"")</x:f>
        <x:v>208898.25271554862</x:v>
      </x:c>
      <x:c r="AB208" s="412" t="n">
        <x:f>IF(AND(ISNUMBER(Y208),ISNUMBER(Z208),ISNUMBER(AA208)),Y208+Z208-AA208,"")</x:f>
        <x:v>173106.9951265324</x:v>
      </x:c>
      <x:c r="AC208" s="416" t="n">
        <x:f>IF(AND(AA208&gt;0,ISNUMBER(AB208)),AB208/AA208,"")</x:f>
        <x:v>0.8286665535793051</x:v>
      </x:c>
      <x:c r="AD208" s="412" t="n">
        <x:f>IF(AND(ISNUMBER(AD207),ISNUMBER($G$138),$G$138&gt;=0),AD207+AD207*$G$138-IF(AND($J$134="Cash payout",$G$138&gt;=0),AD207*$G$138,0)+X208,"")</x:f>
        <x:v>306208.60371887905</x:v>
      </x:c>
      <x:c r="AE208" s="412" t="n">
        <x:f>IF(AND(ISNUMBER(AD207),ISNUMBER($G$138),$G$138&gt;=0),AE207+IF(AND($J$134="Cash payout",$G$138&gt;=0),AD207*$G$138,0),"")</x:f>
        <x:v>0</x:v>
      </x:c>
      <x:c r="AF208" s="412" t="n">
        <x:f>IF(ISNUMBER(AF207),AF207+X208,"")</x:f>
        <x:v>208898.25271554862</x:v>
      </x:c>
      <x:c r="AG208" s="412" t="n">
        <x:f>IF(AND(ISNUMBER(AD208),ISNUMBER(AE208),ISNUMBER(AF208)),AD208+AE208-AF208,"")</x:f>
        <x:v>97310.35100333043</x:v>
      </x:c>
      <x:c r="AH208" s="416" t="n">
        <x:f>IF(AND(AF208&gt;0,ISNUMBER(AG208)),AG208/AF208,"")</x:f>
        <x:v>0.4658265434887837</x:v>
      </x:c>
      <x:c r="AI208" s="412" t="n">
        <x:f>IF(AND(ISNUMBER(AI207),ISNUMBER($J$138),$J$138&gt;=-1),AI207+AI207*$J$138-IF(AND($J$134="Cash payout",$J$138&gt;=0),AI207*$J$138,0)+X208,"")</x:f>
        <x:v>306208.60371887905</x:v>
      </x:c>
      <x:c r="AJ208" s="412" t="n">
        <x:f>IF(AND(ISNUMBER(AI207),ISNUMBER($J$138),$J$138&gt;=-1),AJ207+IF(AND($J$134="Cash payout",$J$138&gt;=0),AI207*$J$138,0),"")</x:f>
        <x:v>0</x:v>
      </x:c>
      <x:c r="AK208" s="412" t="n">
        <x:f>IF(ISNUMBER(AK207),AK207+X208,"")</x:f>
        <x:v>208898.25271554862</x:v>
      </x:c>
      <x:c r="AL208" s="412" t="n">
        <x:f>IF(AND(ISNUMBER(AI208),ISNUMBER(AJ208),ISNUMBER(AK208)),AI208+AJ208-AK208,"")</x:f>
        <x:v>97310.35100333043</x:v>
      </x:c>
      <x:c r="AM208" s="416" t="n">
        <x:f>IF(AND(AK208&gt;0,ISNUMBER(AL208)),AL208/AK208,"")</x:f>
        <x:v>0.4658265434887837</x:v>
      </x:c>
    </x:row>
    <x:row r="209" ht="24" customHeight="1">
      <x:c r="A209" s="419" t="n">
        <x:f>9</x:f>
        <x:v>9</x:v>
      </x:c>
      <x:c r="B209" s="414" t="n">
        <x:v>0</x:v>
      </x:c>
      <x:c r="C209" s="412" t="n">
        <x:f>IF(AND(ISNUMBER($H$17),ISNUMBER($J$73),$J$73&gt;-1,$J$73&lt;=5),$H$17*(1+$J$73)^(9-1),"")</x:f>
        <x:v>106748.38593161137</x:v>
      </x:c>
      <x:c r="D209" s="412" t="n">
        <x:f>IF(AND(ISNUMBER($H$18),ISNUMBER($J$74),$J$74&gt;-1,$J$74&lt;=5),$H$18*(1+$J$74)^(9-1),"")</x:f>
        <x:v>38003.10244162849</x:v>
      </x:c>
      <x:c r="E209" s="412" t="n">
        <x:f>IF(AND(ISNUMBER($H$22),ISNUMBER($J$74),$J$74&gt;-1,$J$74&lt;=5),$H$22*(1+$J$74)^(9-1),"")</x:f>
        <x:v>0</x:v>
      </x:c>
      <x:c r="F209" s="412" t="n">
        <x:f>IF(AND(ISNUMBER(C209),ISNUMBER(D209)),C209-D209,"")</x:f>
        <x:v>68745.28348998287</x:v>
      </x:c>
      <x:c r="G209" s="412" t="n">
        <x:f>IF(AND(ISNUMBER(F209),ISNUMBER(E209)),F209-E209,"")</x:f>
        <x:v>68745.28348998287</x:v>
      </x:c>
      <x:c r="H209" s="412" t="n">
        <x:f>IF(COUNT(M497:M508)=12,SUM(M497:M508),"")</x:f>
        <x:v>56153.40867888716</x:v>
      </x:c>
      <x:c r="I209" s="412" t="n">
        <x:f>SUM(E497:E508)</x:f>
        <x:v>0</x:v>
      </x:c>
      <x:c r="J209" s="412" t="n">
        <x:f>SUM(F497:F508)</x:f>
        <x:v>0</x:v>
      </x:c>
      <x:c r="K209" s="412" t="n">
        <x:f>SUM(G497:G508)</x:f>
        <x:v>0</x:v>
      </x:c>
      <x:c r="L209" s="412" t="n">
        <x:f>IF(AND(ISNUMBER(G209),ISNUMBER(H209),ISNUMBER(J209),ISNUMBER(K209)),G209-H209-B209-J209-K209,"")</x:f>
        <x:v>12591.874811095717</x:v>
      </x:c>
      <x:c r="M209" s="412" t="n">
        <x:f>IF(ISNUMBER(N508),N508,"")</x:f>
        <x:v>655813.715867189</x:v>
      </x:c>
      <x:c r="N209" s="412" t="n">
        <x:f>IF(ISNUMBER($J$77),IF(AND($J$77&gt;0,$J$77&lt;=1,ISNUMBER($H$17),ISNUMBER($H$18),ISNUMBER($J$73),$J$73&gt;-1,$J$73&lt;=5,ISNUMBER($J$74),$J$74&gt;-1,$J$74&lt;=5),($H$17*(1+$J$73)^9-$H$18*(1+$J$74)^9)/$J$77,""),IF(AND($J$77="",ISNUMBER($B$15),$B$15&gt;0,ISNUMBER($J$72),$J$72&gt;-1,$J$72&lt;=5),$B$15*(1+$J$72)^9,""))</x:f>
        <x:v>1352146.2218004107</x:v>
      </x:c>
      <x:c r="O209" s="412" t="n">
        <x:f>IF(AND(ISNUMBER(N209),ISNUMBER(M209)),N209*(1-$J$75)-M209,"")</x:f>
        <x:v>696332.5059332217</x:v>
      </x:c>
      <x:c r="P209" s="412" t="n">
        <x:f>IF(AND(ISNUMBER(P208),ISNUMBER(L209)),P208+L209,"")</x:f>
        <x:v>15304.17228266596</x:v>
      </x:c>
      <x:c r="Q209" s="412" t="n">
        <x:f>IF(AND(ISNUMBER(Q208),ISNUMBER(L209)),Q208+MAX(0,-L209),"")</x:f>
        <x:v>208898.25271554862</x:v>
      </x:c>
      <x:c r="R209" s="412" t="n">
        <x:f>IF(AND(ISNUMBER(R208),ISNUMBER(L209)),R208+MAX(0,L209),"")</x:f>
        <x:v>34202.42499821458</x:v>
      </x:c>
      <x:c r="S209" s="412" t="n">
        <x:f>IF(AND(ISNUMBER(Q208),ISNUMBER(L209),ISNUMBER(O209)),Q208+MAX(0,-(L209+O209)),"")</x:f>
        <x:v>208898.25271554862</x:v>
      </x:c>
      <x:c r="T209" s="412" t="n">
        <x:f>IF(AND(ISNUMBER(R208),ISNUMBER(L209),ISNUMBER(O209)),R208+MAX(0,L209+O209),"")</x:f>
        <x:v>730534.9309314362</x:v>
      </x:c>
      <x:c r="U209" s="412" t="n">
        <x:f>IF(AND(ISNUMBER(O209),ISNUMBER(P209),ISNUMBER($E$18)),O209+P209-$E$18,"")</x:f>
        <x:v>521636.67821588763</x:v>
      </x:c>
      <x:c r="V209" s="416" t="n">
        <x:f>IF(AND(S209&gt;0,ISNUMBER(U209)),U209/S209,"")</x:f>
        <x:v>2.4970849273985403</x:v>
      </x:c>
      <x:c r="W209" s="418" t="n">
        <x:f>IF(AND(S209&gt;0,ISNUMBER(T209)),T209/S209,"")</x:f>
        <x:v>3.4970849273985403</x:v>
      </x:c>
      <x:c r="X209" s="412" t="n">
        <x:f>IF($B$136="No",0,IF(AND(ISNUMBER(L209),OR(9&lt;&gt;$B$134,ISNUMBER(O209))),MAX(0,-(L209+IF(9=$B$134,O209,0))),0))</x:f>
        <x:v>0</x:v>
      </x:c>
      <x:c r="Y209" s="412" t="n">
        <x:f>IF(AND(ISNUMBER(Y208),ISNUMBER($D$138),$D$138&gt;=-1),Y208+Y208*$D$138-0+X209,"")</x:f>
        <x:v>412565.6676694475</x:v>
      </x:c>
      <x:c r="Z209" s="412" t="n">
        <x:f>IF(AND(ISNUMBER(Y208),ISNUMBER($D$138),$D$138&gt;=-1),Z208+0,"")</x:f>
        <x:v>0</x:v>
      </x:c>
      <x:c r="AA209" s="412" t="n">
        <x:f>IF(ISNUMBER(AA208),AA208+X209,"")</x:f>
        <x:v>208898.25271554862</x:v>
      </x:c>
      <x:c r="AB209" s="412" t="n">
        <x:f>IF(AND(ISNUMBER(Y209),ISNUMBER(Z209),ISNUMBER(AA209)),Y209+Z209-AA209,"")</x:f>
        <x:v>203667.41495389887</x:v>
      </x:c>
      <x:c r="AC209" s="416" t="n">
        <x:f>IF(AND(AA209&gt;0,ISNUMBER(AB209)),AB209/AA209,"")</x:f>
        <x:v>0.9749598778656495</x:v>
      </x:c>
      <x:c r="AD209" s="412" t="n">
        <x:f>IF(AND(ISNUMBER(AD208),ISNUMBER($G$138),$G$138&gt;=0),AD208+AD208*$G$138-IF(AND($J$134="Cash payout",$G$138&gt;=0),AD208*$G$138,0)+X209,"")</x:f>
        <x:v>321519.033904823</x:v>
      </x:c>
      <x:c r="AE209" s="412" t="n">
        <x:f>IF(AND(ISNUMBER(AD208),ISNUMBER($G$138),$G$138&gt;=0),AE208+IF(AND($J$134="Cash payout",$G$138&gt;=0),AD208*$G$138,0),"")</x:f>
        <x:v>0</x:v>
      </x:c>
      <x:c r="AF209" s="412" t="n">
        <x:f>IF(ISNUMBER(AF208),AF208+X209,"")</x:f>
        <x:v>208898.25271554862</x:v>
      </x:c>
      <x:c r="AG209" s="412" t="n">
        <x:f>IF(AND(ISNUMBER(AD209),ISNUMBER(AE209),ISNUMBER(AF209)),AD209+AE209-AF209,"")</x:f>
        <x:v>112620.78118927439</x:v>
      </x:c>
      <x:c r="AH209" s="416" t="n">
        <x:f>IF(AND(AF209&gt;0,ISNUMBER(AG209)),AG209/AF209,"")</x:f>
        <x:v>0.5391178706632229</x:v>
      </x:c>
      <x:c r="AI209" s="412" t="n">
        <x:f>IF(AND(ISNUMBER(AI208),ISNUMBER($J$138),$J$138&gt;=-1),AI208+AI208*$J$138-IF(AND($J$134="Cash payout",$J$138&gt;=0),AI208*$J$138,0)+X209,"")</x:f>
        <x:v>321519.033904823</x:v>
      </x:c>
      <x:c r="AJ209" s="412" t="n">
        <x:f>IF(AND(ISNUMBER(AI208),ISNUMBER($J$138),$J$138&gt;=-1),AJ208+IF(AND($J$134="Cash payout",$J$138&gt;=0),AI208*$J$138,0),"")</x:f>
        <x:v>0</x:v>
      </x:c>
      <x:c r="AK209" s="412" t="n">
        <x:f>IF(ISNUMBER(AK208),AK208+X209,"")</x:f>
        <x:v>208898.25271554862</x:v>
      </x:c>
      <x:c r="AL209" s="412" t="n">
        <x:f>IF(AND(ISNUMBER(AI209),ISNUMBER(AJ209),ISNUMBER(AK209)),AI209+AJ209-AK209,"")</x:f>
        <x:v>112620.78118927439</x:v>
      </x:c>
      <x:c r="AM209" s="416" t="n">
        <x:f>IF(AND(AK209&gt;0,ISNUMBER(AL209)),AL209/AK209,"")</x:f>
        <x:v>0.5391178706632229</x:v>
      </x:c>
    </x:row>
    <x:row r="210" ht="24" customHeight="1">
      <x:c r="A210" s="419" t="n">
        <x:f>10</x:f>
        <x:v>10</x:v>
      </x:c>
      <x:c r="B210" s="414" t="n">
        <x:v>0</x:v>
      </x:c>
      <x:c r="C210" s="412" t="n">
        <x:f>IF(AND(ISNUMBER($H$17),ISNUMBER($J$73),$J$73&gt;-1,$J$73&lt;=5),$H$17*(1+$J$73)^(10-1),"")</x:f>
        <x:v>111018.32136887583</x:v>
      </x:c>
      <x:c r="D210" s="412" t="n">
        <x:f>IF(AND(ISNUMBER($H$18),ISNUMBER($J$74),$J$74&gt;-1,$J$74&lt;=5),$H$18*(1+$J$74)^(10-1),"")</x:f>
        <x:v>39143.19551487735</x:v>
      </x:c>
      <x:c r="E210" s="412" t="n">
        <x:f>IF(AND(ISNUMBER($H$22),ISNUMBER($J$74),$J$74&gt;-1,$J$74&lt;=5),$H$22*(1+$J$74)^(10-1),"")</x:f>
        <x:v>0</x:v>
      </x:c>
      <x:c r="F210" s="412" t="n">
        <x:f>IF(AND(ISNUMBER(C210),ISNUMBER(D210)),C210-D210,"")</x:f>
        <x:v>71875.12585399847</x:v>
      </x:c>
      <x:c r="G210" s="412" t="n">
        <x:f>IF(AND(ISNUMBER(F210),ISNUMBER(E210)),F210-E210,"")</x:f>
        <x:v>71875.12585399847</x:v>
      </x:c>
      <x:c r="H210" s="412" t="n">
        <x:f>IF(COUNT(M509:M520)=12,SUM(M509:M520),"")</x:f>
        <x:v>56153.40867888716</x:v>
      </x:c>
      <x:c r="I210" s="412" t="n">
        <x:f>SUM(E509:E520)</x:f>
        <x:v>0</x:v>
      </x:c>
      <x:c r="J210" s="412" t="n">
        <x:f>SUM(F509:F520)</x:f>
        <x:v>0</x:v>
      </x:c>
      <x:c r="K210" s="412" t="n">
        <x:f>SUM(G509:G520)</x:f>
        <x:v>0</x:v>
      </x:c>
      <x:c r="L210" s="412" t="n">
        <x:f>IF(AND(ISNUMBER(G210),ISNUMBER(H210),ISNUMBER(J210),ISNUMBER(K210)),G210-H210-B210-J210-K210,"")</x:f>
        <x:v>15721.717175111313</x:v>
      </x:c>
      <x:c r="M210" s="412" t="n">
        <x:f>IF(ISNUMBER(N520),N520,"")</x:f>
        <x:v>640206.6178345714</x:v>
      </x:c>
      <x:c r="N210" s="412" t="n">
        <x:f>IF(ISNUMBER($J$77),IF(AND($J$77&gt;0,$J$77&lt;=1,ISNUMBER($H$17),ISNUMBER($H$18),ISNUMBER($J$73),$J$73&gt;-1,$J$73&lt;=5,ISNUMBER($J$74),$J$74&gt;-1,$J$74&lt;=5),($H$17*(1+$J$73)^10-$H$18*(1+$J$74)^10)/$J$77,""),IF(AND($J$77="",ISNUMBER($B$15),$B$15&gt;0,ISNUMBER($J$72),$J$72&gt;-1,$J$72&lt;=5),$B$15*(1+$J$72)^10,""))</x:f>
        <x:v>1406232.070672427</x:v>
      </x:c>
      <x:c r="O210" s="412" t="n">
        <x:f>IF(AND(ISNUMBER(N210),ISNUMBER(M210)),N210*(1-$J$75)-M210,"")</x:f>
        <x:v>766025.4528378557</x:v>
      </x:c>
      <x:c r="P210" s="412" t="n">
        <x:f>IF(AND(ISNUMBER(P209),ISNUMBER(L210)),P209+L210,"")</x:f>
        <x:v>31025.889457777273</x:v>
      </x:c>
      <x:c r="Q210" s="412" t="n">
        <x:f>IF(AND(ISNUMBER(Q209),ISNUMBER(L210)),Q209+MAX(0,-L210),"")</x:f>
        <x:v>208898.25271554862</x:v>
      </x:c>
      <x:c r="R210" s="412" t="n">
        <x:f>IF(AND(ISNUMBER(R209),ISNUMBER(L210)),R209+MAX(0,L210),"")</x:f>
        <x:v>49924.14217332589</x:v>
      </x:c>
      <x:c r="S210" s="412" t="n">
        <x:f>IF(AND(ISNUMBER(Q209),ISNUMBER(L210),ISNUMBER(O210)),Q209+MAX(0,-(L210+O210)),"")</x:f>
        <x:v>208898.25271554862</x:v>
      </x:c>
      <x:c r="T210" s="412" t="n">
        <x:f>IF(AND(ISNUMBER(R209),ISNUMBER(L210),ISNUMBER(O210)),R209+MAX(0,L210+O210),"")</x:f>
        <x:v>815949.5950111815</x:v>
      </x:c>
      <x:c r="U210" s="412" t="n">
        <x:f>IF(AND(ISNUMBER(O210),ISNUMBER(P210),ISNUMBER($E$18)),O210+P210-$E$18,"")</x:f>
        <x:v>607051.3422956329</x:v>
      </x:c>
      <x:c r="V210" s="416" t="n">
        <x:f>IF(AND(S210&gt;0,ISNUMBER(U210)),U210/S210,"")</x:f>
        <x:v>2.905966586145836</x:v>
      </x:c>
      <x:c r="W210" s="418" t="n">
        <x:f>IF(AND(S210&gt;0,ISNUMBER(T210)),T210/S210,"")</x:f>
        <x:v>3.905966586145836</x:v>
      </x:c>
      <x:c r="X210" s="412" t="n">
        <x:f>IF($B$136="No",0,IF(AND(ISNUMBER(L210),OR(10&lt;&gt;$B$134,ISNUMBER(O210))),MAX(0,-(L210+IF(10=$B$134,O210,0))),0))</x:f>
        <x:v>0</x:v>
      </x:c>
      <x:c r="Y210" s="412" t="n">
        <x:f>IF(AND(ISNUMBER(Y209),ISNUMBER($D$138),$D$138&gt;=-1),Y209+Y209*$D$138-0+X210,"")</x:f>
        <x:v>445570.9210830033</x:v>
      </x:c>
      <x:c r="Z210" s="412" t="n">
        <x:f>IF(AND(ISNUMBER(Y209),ISNUMBER($D$138),$D$138&gt;=-1),Z209+0,"")</x:f>
        <x:v>0</x:v>
      </x:c>
      <x:c r="AA210" s="412" t="n">
        <x:f>IF(ISNUMBER(AA209),AA209+X210,"")</x:f>
        <x:v>208898.25271554862</x:v>
      </x:c>
      <x:c r="AB210" s="412" t="n">
        <x:f>IF(AND(ISNUMBER(Y210),ISNUMBER(Z210),ISNUMBER(AA210)),Y210+Z210-AA210,"")</x:f>
        <x:v>236672.66836745467</x:v>
      </x:c>
      <x:c r="AC210" s="416" t="n">
        <x:f>IF(AND(AA210&gt;0,ISNUMBER(AB210)),AB210/AA210,"")</x:f>
        <x:v>1.1329566680949015</x:v>
      </x:c>
      <x:c r="AD210" s="412" t="n">
        <x:f>IF(AND(ISNUMBER(AD209),ISNUMBER($G$138),$G$138&gt;=0),AD209+AD209*$G$138-IF(AND($J$134="Cash payout",$G$138&gt;=0),AD209*$G$138,0)+X210,"")</x:f>
        <x:v>337594.98560006416</x:v>
      </x:c>
      <x:c r="AE210" s="412" t="n">
        <x:f>IF(AND(ISNUMBER(AD209),ISNUMBER($G$138),$G$138&gt;=0),AE209+IF(AND($J$134="Cash payout",$G$138&gt;=0),AD209*$G$138,0),"")</x:f>
        <x:v>0</x:v>
      </x:c>
      <x:c r="AF210" s="412" t="n">
        <x:f>IF(ISNUMBER(AF209),AF209+X210,"")</x:f>
        <x:v>208898.25271554862</x:v>
      </x:c>
      <x:c r="AG210" s="412" t="n">
        <x:f>IF(AND(ISNUMBER(AD210),ISNUMBER(AE210),ISNUMBER(AF210)),AD210+AE210-AF210,"")</x:f>
        <x:v>128696.73288451554</x:v>
      </x:c>
      <x:c r="AH210" s="416" t="n">
        <x:f>IF(AND(AF210&gt;0,ISNUMBER(AG210)),AG210/AF210,"")</x:f>
        <x:v>0.616073764196384</x:v>
      </x:c>
      <x:c r="AI210" s="412" t="n">
        <x:f>IF(AND(ISNUMBER(AI209),ISNUMBER($J$138),$J$138&gt;=-1),AI209+AI209*$J$138-IF(AND($J$134="Cash payout",$J$138&gt;=0),AI209*$J$138,0)+X210,"")</x:f>
        <x:v>337594.98560006416</x:v>
      </x:c>
      <x:c r="AJ210" s="412" t="n">
        <x:f>IF(AND(ISNUMBER(AI209),ISNUMBER($J$138),$J$138&gt;=-1),AJ209+IF(AND($J$134="Cash payout",$J$138&gt;=0),AI209*$J$138,0),"")</x:f>
        <x:v>0</x:v>
      </x:c>
      <x:c r="AK210" s="412" t="n">
        <x:f>IF(ISNUMBER(AK209),AK209+X210,"")</x:f>
        <x:v>208898.25271554862</x:v>
      </x:c>
      <x:c r="AL210" s="412" t="n">
        <x:f>IF(AND(ISNUMBER(AI210),ISNUMBER(AJ210),ISNUMBER(AK210)),AI210+AJ210-AK210,"")</x:f>
        <x:v>128696.73288451554</x:v>
      </x:c>
      <x:c r="AM210" s="416" t="n">
        <x:f>IF(AND(AK210&gt;0,ISNUMBER(AL210)),AL210/AK210,"")</x:f>
        <x:v>0.616073764196384</x:v>
      </x:c>
    </x:row>
    <x:row r="211" ht="24" customHeight="1">
      <x:c r="A211" s="419" t="n">
        <x:f>11</x:f>
        <x:v>11</x:v>
      </x:c>
      <x:c r="B211" s="414" t="n">
        <x:v>0</x:v>
      </x:c>
      <x:c r="C211" s="412" t="n">
        <x:f>IF(AND(ISNUMBER($H$17),ISNUMBER($J$73),$J$73&gt;-1,$J$73&lt;=5),$H$17*(1+$J$73)^(11-1),"")</x:f>
        <x:v>115459.05422363085</x:v>
      </x:c>
      <x:c r="D211" s="412" t="n">
        <x:f>IF(AND(ISNUMBER($H$18),ISNUMBER($J$74),$J$74&gt;-1,$J$74&lt;=5),$H$18*(1+$J$74)^(11-1),"")</x:f>
        <x:v>40317.49138032366</x:v>
      </x:c>
      <x:c r="E211" s="412" t="n">
        <x:f>IF(AND(ISNUMBER($H$22),ISNUMBER($J$74),$J$74&gt;-1,$J$74&lt;=5),$H$22*(1+$J$74)^(11-1),"")</x:f>
        <x:v>0</x:v>
      </x:c>
      <x:c r="F211" s="412" t="n">
        <x:f>IF(AND(ISNUMBER(C211),ISNUMBER(D211)),C211-D211,"")</x:f>
        <x:v>75141.56284330718</x:v>
      </x:c>
      <x:c r="G211" s="412" t="n">
        <x:f>IF(AND(ISNUMBER(F211),ISNUMBER(E211)),F211-E211,"")</x:f>
        <x:v>75141.56284330718</x:v>
      </x:c>
      <x:c r="H211" s="412" t="n">
        <x:f>IF(COUNT(M521:M532)=12,SUM(M521:M532),"")</x:f>
        <x:v>56153.40867888716</x:v>
      </x:c>
      <x:c r="I211" s="412" t="n">
        <x:f>SUM(E521:E532)</x:f>
        <x:v>0</x:v>
      </x:c>
      <x:c r="J211" s="412" t="n">
        <x:f>SUM(F521:F532)</x:f>
        <x:v>0</x:v>
      </x:c>
      <x:c r="K211" s="412" t="n">
        <x:f>SUM(G521:G532)</x:f>
        <x:v>0</x:v>
      </x:c>
      <x:c r="L211" s="412" t="n">
        <x:f>IF(AND(ISNUMBER(G211),ISNUMBER(H211),ISNUMBER(J211),ISNUMBER(K211)),G211-H211-B211-J211-K211,"")</x:f>
        <x:v>18988.154164420026</x:v>
      </x:c>
      <x:c r="M211" s="412" t="n">
        <x:f>IF(ISNUMBER(N532),N532,"")</x:f>
        <x:v>623595.6429357566</x:v>
      </x:c>
      <x:c r="N211" s="412" t="n">
        <x:f>IF(ISNUMBER($J$77),IF(AND($J$77&gt;0,$J$77&lt;=1,ISNUMBER($H$17),ISNUMBER($H$18),ISNUMBER($J$73),$J$73&gt;-1,$J$73&lt;=5,ISNUMBER($J$74),$J$74&gt;-1,$J$74&lt;=5),($H$17*(1+$J$73)^11-$H$18*(1+$J$74)^11)/$J$77,""),IF(AND($J$77="",ISNUMBER($B$15),$B$15&gt;0,ISNUMBER($J$72),$J$72&gt;-1,$J$72&lt;=5),$B$15*(1+$J$72)^11,""))</x:f>
        <x:v>1462481.3534993243</x:v>
      </x:c>
      <x:c r="O211" s="412" t="n">
        <x:f>IF(AND(ISNUMBER(N211),ISNUMBER(M211)),N211*(1-$J$75)-M211,"")</x:f>
        <x:v>838885.7105635677</x:v>
      </x:c>
      <x:c r="P211" s="412" t="n">
        <x:f>IF(AND(ISNUMBER(P210),ISNUMBER(L211)),P210+L211,"")</x:f>
        <x:v>50014.0436221973</x:v>
      </x:c>
      <x:c r="Q211" s="412" t="n">
        <x:f>IF(AND(ISNUMBER(Q210),ISNUMBER(L211)),Q210+MAX(0,-L211),"")</x:f>
        <x:v>208898.25271554862</x:v>
      </x:c>
      <x:c r="R211" s="412" t="n">
        <x:f>IF(AND(ISNUMBER(R210),ISNUMBER(L211)),R210+MAX(0,L211),"")</x:f>
        <x:v>68912.29633774591</x:v>
      </x:c>
      <x:c r="S211" s="412" t="n">
        <x:f>IF(AND(ISNUMBER(Q210),ISNUMBER(L211),ISNUMBER(O211)),Q210+MAX(0,-(L211+O211)),"")</x:f>
        <x:v>208898.25271554862</x:v>
      </x:c>
      <x:c r="T211" s="412" t="n">
        <x:f>IF(AND(ISNUMBER(R210),ISNUMBER(L211),ISNUMBER(O211)),R210+MAX(0,L211+O211),"")</x:f>
        <x:v>907798.0069013136</x:v>
      </x:c>
      <x:c r="U211" s="412" t="n">
        <x:f>IF(AND(ISNUMBER(O211),ISNUMBER(P211),ISNUMBER($E$18)),O211+P211-$E$18,"")</x:f>
        <x:v>698899.754185765</x:v>
      </x:c>
      <x:c r="V211" s="416" t="n">
        <x:f>IF(AND(S211&gt;0,ISNUMBER(U211)),U211/S211,"")</x:f>
        <x:v>3.34564672083418</x:v>
      </x:c>
      <x:c r="W211" s="418" t="n">
        <x:f>IF(AND(S211&gt;0,ISNUMBER(T211)),T211/S211,"")</x:f>
        <x:v>4.345646720834179</x:v>
      </x:c>
      <x:c r="X211" s="412" t="n">
        <x:f>IF($B$136="No",0,IF(AND(ISNUMBER(L211),OR(11&lt;&gt;$B$134,ISNUMBER(O211))),MAX(0,-(L211+IF(11=$B$134,O211,0))),0))</x:f>
        <x:v>0</x:v>
      </x:c>
      <x:c r="Y211" s="412" t="n">
        <x:f>IF(AND(ISNUMBER(Y210),ISNUMBER($D$138),$D$138&gt;=-1),Y210+Y210*$D$138-0+X211,"")</x:f>
        <x:v>481216.59476964356</x:v>
      </x:c>
      <x:c r="Z211" s="412" t="n">
        <x:f>IF(AND(ISNUMBER(Y210),ISNUMBER($D$138),$D$138&gt;=-1),Z210+0,"")</x:f>
        <x:v>0</x:v>
      </x:c>
      <x:c r="AA211" s="412" t="n">
        <x:f>IF(ISNUMBER(AA210),AA210+X211,"")</x:f>
        <x:v>208898.25271554862</x:v>
      </x:c>
      <x:c r="AB211" s="412" t="n">
        <x:f>IF(AND(ISNUMBER(Y211),ISNUMBER(Z211),ISNUMBER(AA211)),Y211+Z211-AA211,"")</x:f>
        <x:v>272318.34205409494</x:v>
      </x:c>
      <x:c r="AC211" s="416" t="n">
        <x:f>IF(AND(AA211&gt;0,ISNUMBER(AB211)),AB211/AA211,"")</x:f>
        <x:v>1.3035932015424936</x:v>
      </x:c>
      <x:c r="AD211" s="412" t="n">
        <x:f>IF(AND(ISNUMBER(AD210),ISNUMBER($G$138),$G$138&gt;=0),AD210+AD210*$G$138-IF(AND($J$134="Cash payout",$G$138&gt;=0),AD210*$G$138,0)+X211,"")</x:f>
        <x:v>354474.73488006735</x:v>
      </x:c>
      <x:c r="AE211" s="412" t="n">
        <x:f>IF(AND(ISNUMBER(AD210),ISNUMBER($G$138),$G$138&gt;=0),AE210+IF(AND($J$134="Cash payout",$G$138&gt;=0),AD210*$G$138,0),"")</x:f>
        <x:v>0</x:v>
      </x:c>
      <x:c r="AF211" s="412" t="n">
        <x:f>IF(ISNUMBER(AF210),AF210+X211,"")</x:f>
        <x:v>208898.25271554862</x:v>
      </x:c>
      <x:c r="AG211" s="412" t="n">
        <x:f>IF(AND(ISNUMBER(AD211),ISNUMBER(AE211),ISNUMBER(AF211)),AD211+AE211-AF211,"")</x:f>
        <x:v>145576.48216451873</x:v>
      </x:c>
      <x:c r="AH211" s="416" t="n">
        <x:f>IF(AND(AF211&gt;0,ISNUMBER(AG211)),AG211/AF211,"")</x:f>
        <x:v>0.6968774524062031</x:v>
      </x:c>
      <x:c r="AI211" s="412" t="n">
        <x:f>IF(AND(ISNUMBER(AI210),ISNUMBER($J$138),$J$138&gt;=-1),AI210+AI210*$J$138-IF(AND($J$134="Cash payout",$J$138&gt;=0),AI210*$J$138,0)+X211,"")</x:f>
        <x:v>354474.73488006735</x:v>
      </x:c>
      <x:c r="AJ211" s="412" t="n">
        <x:f>IF(AND(ISNUMBER(AI210),ISNUMBER($J$138),$J$138&gt;=-1),AJ210+IF(AND($J$134="Cash payout",$J$138&gt;=0),AI210*$J$138,0),"")</x:f>
        <x:v>0</x:v>
      </x:c>
      <x:c r="AK211" s="412" t="n">
        <x:f>IF(ISNUMBER(AK210),AK210+X211,"")</x:f>
        <x:v>208898.25271554862</x:v>
      </x:c>
      <x:c r="AL211" s="412" t="n">
        <x:f>IF(AND(ISNUMBER(AI211),ISNUMBER(AJ211),ISNUMBER(AK211)),AI211+AJ211-AK211,"")</x:f>
        <x:v>145576.48216451873</x:v>
      </x:c>
      <x:c r="AM211" s="416" t="n">
        <x:f>IF(AND(AK211&gt;0,ISNUMBER(AL211)),AL211/AK211,"")</x:f>
        <x:v>0.6968774524062031</x:v>
      </x:c>
    </x:row>
    <x:row r="212" ht="24" customHeight="1">
      <x:c r="A212" s="419" t="n">
        <x:f>12</x:f>
        <x:v>12</x:v>
      </x:c>
      <x:c r="B212" s="414" t="n">
        <x:v>0</x:v>
      </x:c>
      <x:c r="C212" s="412" t="n">
        <x:f>IF(AND(ISNUMBER($H$17),ISNUMBER($J$73),$J$73&gt;-1,$J$73&lt;=5),$H$17*(1+$J$73)^(12-1),"")</x:f>
        <x:v>120077.41639257611</x:v>
      </x:c>
      <x:c r="D212" s="412" t="n">
        <x:f>IF(AND(ISNUMBER($H$18),ISNUMBER($J$74),$J$74&gt;-1,$J$74&lt;=5),$H$18*(1+$J$74)^(12-1),"")</x:f>
        <x:v>41527.01612173338</x:v>
      </x:c>
      <x:c r="E212" s="412" t="n">
        <x:f>IF(AND(ISNUMBER($H$22),ISNUMBER($J$74),$J$74&gt;-1,$J$74&lt;=5),$H$22*(1+$J$74)^(12-1),"")</x:f>
        <x:v>0</x:v>
      </x:c>
      <x:c r="F212" s="412" t="n">
        <x:f>IF(AND(ISNUMBER(C212),ISNUMBER(D212)),C212-D212,"")</x:f>
        <x:v>78550.40027084273</x:v>
      </x:c>
      <x:c r="G212" s="412" t="n">
        <x:f>IF(AND(ISNUMBER(F212),ISNUMBER(E212)),F212-E212,"")</x:f>
        <x:v>78550.40027084273</x:v>
      </x:c>
      <x:c r="H212" s="412" t="n">
        <x:f>IF(COUNT(M533:M544)=12,SUM(M533:M544),"")</x:f>
        <x:v>56153.40867888716</x:v>
      </x:c>
      <x:c r="I212" s="412" t="n">
        <x:f>SUM(E533:E544)</x:f>
        <x:v>0</x:v>
      </x:c>
      <x:c r="J212" s="412" t="n">
        <x:f>SUM(F533:F544)</x:f>
        <x:v>0</x:v>
      </x:c>
      <x:c r="K212" s="412" t="n">
        <x:f>SUM(G533:G544)</x:f>
        <x:v>0</x:v>
      </x:c>
      <x:c r="L212" s="412" t="n">
        <x:f>IF(AND(ISNUMBER(G212),ISNUMBER(H212),ISNUMBER(J212),ISNUMBER(K212)),G212-H212-B212-J212-K212,"")</x:f>
        <x:v>22396.99159195557</x:v>
      </x:c>
      <x:c r="M212" s="412" t="n">
        <x:f>IF(ISNUMBER(N544),N544,"")</x:f>
        <x:v>605916.2199890695</x:v>
      </x:c>
      <x:c r="N212" s="412" t="n">
        <x:f>IF(ISNUMBER($J$77),IF(AND($J$77&gt;0,$J$77&lt;=1,ISNUMBER($H$17),ISNUMBER($H$18),ISNUMBER($J$73),$J$73&gt;-1,$J$73&lt;=5,ISNUMBER($J$74),$J$74&gt;-1,$J$74&lt;=5),($H$17*(1+$J$73)^12-$H$18*(1+$J$74)^12)/$J$77,""),IF(AND($J$77="",ISNUMBER($B$15),$B$15&gt;0,ISNUMBER($J$72),$J$72&gt;-1,$J$72&lt;=5),$B$15*(1+$J$72)^12,""))</x:f>
        <x:v>1520980.6076392974</x:v>
      </x:c>
      <x:c r="O212" s="412" t="n">
        <x:f>IF(AND(ISNUMBER(N212),ISNUMBER(M212)),N212*(1-$J$75)-M212,"")</x:f>
        <x:v>915064.3876502279</x:v>
      </x:c>
      <x:c r="P212" s="412" t="n">
        <x:f>IF(AND(ISNUMBER(P211),ISNUMBER(L212)),P211+L212,"")</x:f>
        <x:v>72411.03521415287</x:v>
      </x:c>
      <x:c r="Q212" s="412" t="n">
        <x:f>IF(AND(ISNUMBER(Q211),ISNUMBER(L212)),Q211+MAX(0,-L212),"")</x:f>
        <x:v>208898.25271554862</x:v>
      </x:c>
      <x:c r="R212" s="412" t="n">
        <x:f>IF(AND(ISNUMBER(R211),ISNUMBER(L212)),R211+MAX(0,L212),"")</x:f>
        <x:v>91309.28792970147</x:v>
      </x:c>
      <x:c r="S212" s="412" t="n">
        <x:f>IF(AND(ISNUMBER(Q211),ISNUMBER(L212),ISNUMBER(O212)),Q211+MAX(0,-(L212+O212)),"")</x:f>
        <x:v>208898.25271554862</x:v>
      </x:c>
      <x:c r="T212" s="412" t="n">
        <x:f>IF(AND(ISNUMBER(R211),ISNUMBER(L212),ISNUMBER(O212)),R211+MAX(0,L212+O212),"")</x:f>
        <x:v>1006373.6755799293</x:v>
      </x:c>
      <x:c r="U212" s="412" t="n">
        <x:f>IF(AND(ISNUMBER(O212),ISNUMBER(P212),ISNUMBER($E$18)),O212+P212-$E$18,"")</x:f>
        <x:v>797475.4228643808</x:v>
      </x:c>
      <x:c r="V212" s="416" t="n">
        <x:f>IF(AND(S212&gt;0,ISNUMBER(U212)),U212/S212,"")</x:f>
        <x:v>3.817530364652128</x:v>
      </x:c>
      <x:c r="W212" s="418" t="n">
        <x:f>IF(AND(S212&gt;0,ISNUMBER(T212)),T212/S212,"")</x:f>
        <x:v>4.817530364652128</x:v>
      </x:c>
      <x:c r="X212" s="412" t="n">
        <x:f>IF($B$136="No",0,IF(AND(ISNUMBER(L212),OR(12&lt;&gt;$B$134,ISNUMBER(O212))),MAX(0,-(L212+IF(12=$B$134,O212,0))),0))</x:f>
        <x:v>0</x:v>
      </x:c>
      <x:c r="Y212" s="412" t="n">
        <x:f>IF(AND(ISNUMBER(Y211),ISNUMBER($D$138),$D$138&gt;=-1),Y211+Y211*$D$138-0+X212,"")</x:f>
        <x:v>519713.92235121503</x:v>
      </x:c>
      <x:c r="Z212" s="412" t="n">
        <x:f>IF(AND(ISNUMBER(Y211),ISNUMBER($D$138),$D$138&gt;=-1),Z211+0,"")</x:f>
        <x:v>0</x:v>
      </x:c>
      <x:c r="AA212" s="412" t="n">
        <x:f>IF(ISNUMBER(AA211),AA211+X212,"")</x:f>
        <x:v>208898.25271554862</x:v>
      </x:c>
      <x:c r="AB212" s="412" t="n">
        <x:f>IF(AND(ISNUMBER(Y212),ISNUMBER(Z212),ISNUMBER(AA212)),Y212+Z212-AA212,"")</x:f>
        <x:v>310815.6696356664</x:v>
      </x:c>
      <x:c r="AC212" s="416" t="n">
        <x:f>IF(AND(AA212&gt;0,ISNUMBER(AB212)),AB212/AA212,"")</x:f>
        <x:v>1.4878806576658932</x:v>
      </x:c>
      <x:c r="AD212" s="412" t="n">
        <x:f>IF(AND(ISNUMBER(AD211),ISNUMBER($G$138),$G$138&gt;=0),AD211+AD211*$G$138-IF(AND($J$134="Cash payout",$G$138&gt;=0),AD211*$G$138,0)+X212,"")</x:f>
        <x:v>372198.4716240707</x:v>
      </x:c>
      <x:c r="AE212" s="412" t="n">
        <x:f>IF(AND(ISNUMBER(AD211),ISNUMBER($G$138),$G$138&gt;=0),AE211+IF(AND($J$134="Cash payout",$G$138&gt;=0),AD211*$G$138,0),"")</x:f>
        <x:v>0</x:v>
      </x:c>
      <x:c r="AF212" s="412" t="n">
        <x:f>IF(ISNUMBER(AF211),AF211+X212,"")</x:f>
        <x:v>208898.25271554862</x:v>
      </x:c>
      <x:c r="AG212" s="412" t="n">
        <x:f>IF(AND(ISNUMBER(AD212),ISNUMBER(AE212),ISNUMBER(AF212)),AD212+AE212-AF212,"")</x:f>
        <x:v>163300.2189085221</x:v>
      </x:c>
      <x:c r="AH212" s="416" t="n">
        <x:f>IF(AND(AF212&gt;0,ISNUMBER(AG212)),AG212/AF212,"")</x:f>
        <x:v>0.7817213250265134</x:v>
      </x:c>
      <x:c r="AI212" s="412" t="n">
        <x:f>IF(AND(ISNUMBER(AI211),ISNUMBER($J$138),$J$138&gt;=-1),AI211+AI211*$J$138-IF(AND($J$134="Cash payout",$J$138&gt;=0),AI211*$J$138,0)+X212,"")</x:f>
        <x:v>372198.4716240707</x:v>
      </x:c>
      <x:c r="AJ212" s="412" t="n">
        <x:f>IF(AND(ISNUMBER(AI211),ISNUMBER($J$138),$J$138&gt;=-1),AJ211+IF(AND($J$134="Cash payout",$J$138&gt;=0),AI211*$J$138,0),"")</x:f>
        <x:v>0</x:v>
      </x:c>
      <x:c r="AK212" s="412" t="n">
        <x:f>IF(ISNUMBER(AK211),AK211+X212,"")</x:f>
        <x:v>208898.25271554862</x:v>
      </x:c>
      <x:c r="AL212" s="412" t="n">
        <x:f>IF(AND(ISNUMBER(AI212),ISNUMBER(AJ212),ISNUMBER(AK212)),AI212+AJ212-AK212,"")</x:f>
        <x:v>163300.2189085221</x:v>
      </x:c>
      <x:c r="AM212" s="416" t="n">
        <x:f>IF(AND(AK212&gt;0,ISNUMBER(AL212)),AL212/AK212,"")</x:f>
        <x:v>0.7817213250265134</x:v>
      </x:c>
    </x:row>
    <x:row r="213" ht="24" customHeight="1">
      <x:c r="A213" s="419" t="n">
        <x:f>13</x:f>
        <x:v>13</x:v>
      </x:c>
      <x:c r="B213" s="414" t="n">
        <x:v>0</x:v>
      </x:c>
      <x:c r="C213" s="412" t="n">
        <x:f>IF(AND(ISNUMBER($H$17),ISNUMBER($J$73),$J$73&gt;-1,$J$73&lt;=5),$H$17*(1+$J$73)^(13-1),"")</x:f>
        <x:v>124880.51304827916</x:v>
      </x:c>
      <x:c r="D213" s="412" t="n">
        <x:f>IF(AND(ISNUMBER($H$18),ISNUMBER($J$74),$J$74&gt;-1,$J$74&lt;=5),$H$18*(1+$J$74)^(13-1),"")</x:f>
        <x:v>42772.82660538538</x:v>
      </x:c>
      <x:c r="E213" s="412" t="n">
        <x:f>IF(AND(ISNUMBER($H$22),ISNUMBER($J$74),$J$74&gt;-1,$J$74&lt;=5),$H$22*(1+$J$74)^(13-1),"")</x:f>
        <x:v>0</x:v>
      </x:c>
      <x:c r="F213" s="412" t="n">
        <x:f>IF(AND(ISNUMBER(C213),ISNUMBER(D213)),C213-D213,"")</x:f>
        <x:v>82107.68644289378</x:v>
      </x:c>
      <x:c r="G213" s="412" t="n">
        <x:f>IF(AND(ISNUMBER(F213),ISNUMBER(E213)),F213-E213,"")</x:f>
        <x:v>82107.68644289378</x:v>
      </x:c>
      <x:c r="H213" s="412" t="n">
        <x:f>IF(COUNT(M545:M556)=12,SUM(M545:M556),"")</x:f>
        <x:v>56153.40867888716</x:v>
      </x:c>
      <x:c r="I213" s="412" t="n">
        <x:f>SUM(E545:E556)</x:f>
        <x:v>0</x:v>
      </x:c>
      <x:c r="J213" s="412" t="n">
        <x:f>SUM(F545:F556)</x:f>
        <x:v>0</x:v>
      </x:c>
      <x:c r="K213" s="412" t="n">
        <x:f>SUM(G545:G556)</x:f>
        <x:v>0</x:v>
      </x:c>
      <x:c r="L213" s="412" t="n">
        <x:f>IF(AND(ISNUMBER(G213),ISNUMBER(H213),ISNUMBER(J213),ISNUMBER(K213)),G213-H213-B213-J213-K213,"")</x:f>
        <x:v>25954.277764006627</x:v>
      </x:c>
      <x:c r="M213" s="412" t="n">
        <x:f>IF(ISNUMBER(N556),N556,"")</x:f>
        <x:v>587099.6244772582</x:v>
      </x:c>
      <x:c r="N213" s="412" t="n">
        <x:f>IF(ISNUMBER($J$77),IF(AND($J$77&gt;0,$J$77&lt;=1,ISNUMBER($H$17),ISNUMBER($H$18),ISNUMBER($J$73),$J$73&gt;-1,$J$73&lt;=5,ISNUMBER($J$74),$J$74&gt;-1,$J$74&lt;=5),($H$17*(1+$J$73)^13-$H$18*(1+$J$74)^13)/$J$77,""),IF(AND($J$77="",ISNUMBER($B$15),$B$15&gt;0,ISNUMBER($J$72),$J$72&gt;-1,$J$72&lt;=5),$B$15*(1+$J$72)^13,""))</x:f>
        <x:v>1581819.8319448694</x:v>
      </x:c>
      <x:c r="O213" s="412" t="n">
        <x:f>IF(AND(ISNUMBER(N213),ISNUMBER(M213)),N213*(1-$J$75)-M213,"")</x:f>
        <x:v>994720.2074676112</x:v>
      </x:c>
      <x:c r="P213" s="412" t="n">
        <x:f>IF(AND(ISNUMBER(P212),ISNUMBER(L213)),P212+L213,"")</x:f>
        <x:v>98365.31297815949</x:v>
      </x:c>
      <x:c r="Q213" s="412" t="n">
        <x:f>IF(AND(ISNUMBER(Q212),ISNUMBER(L213)),Q212+MAX(0,-L213),"")</x:f>
        <x:v>208898.25271554862</x:v>
      </x:c>
      <x:c r="R213" s="412" t="n">
        <x:f>IF(AND(ISNUMBER(R212),ISNUMBER(L213)),R212+MAX(0,L213),"")</x:f>
        <x:v>117263.56569370811</x:v>
      </x:c>
      <x:c r="S213" s="412" t="n">
        <x:f>IF(AND(ISNUMBER(Q212),ISNUMBER(L213),ISNUMBER(O213)),Q212+MAX(0,-(L213+O213)),"")</x:f>
        <x:v>208898.25271554862</x:v>
      </x:c>
      <x:c r="T213" s="412" t="n">
        <x:f>IF(AND(ISNUMBER(R212),ISNUMBER(L213),ISNUMBER(O213)),R212+MAX(0,L213+O213),"")</x:f>
        <x:v>1111983.7731613193</x:v>
      </x:c>
      <x:c r="U213" s="412" t="n">
        <x:f>IF(AND(ISNUMBER(O213),ISNUMBER(P213),ISNUMBER($E$18)),O213+P213-$E$18,"")</x:f>
        <x:v>903085.5204457706</x:v>
      </x:c>
      <x:c r="V213" s="416" t="n">
        <x:f>IF(AND(S213&gt;0,ISNUMBER(U213)),U213/S213,"")</x:f>
        <x:v>4.323087956487022</x:v>
      </x:c>
      <x:c r="W213" s="418" t="n">
        <x:f>IF(AND(S213&gt;0,ISNUMBER(T213)),T213/S213,"")</x:f>
        <x:v>5.323087956487023</x:v>
      </x:c>
      <x:c r="X213" s="412" t="n">
        <x:f>IF($B$136="No",0,IF(AND(ISNUMBER(L213),OR(13&lt;&gt;$B$134,ISNUMBER(O213))),MAX(0,-(L213+IF(13=$B$134,O213,0))),0))</x:f>
        <x:v>0</x:v>
      </x:c>
      <x:c r="Y213" s="412" t="n">
        <x:f>IF(AND(ISNUMBER(Y212),ISNUMBER($D$138),$D$138&gt;=-1),Y212+Y212*$D$138-0+X213,"")</x:f>
        <x:v>561291.0361393122</x:v>
      </x:c>
      <x:c r="Z213" s="412" t="n">
        <x:f>IF(AND(ISNUMBER(Y212),ISNUMBER($D$138),$D$138&gt;=-1),Z212+0,"")</x:f>
        <x:v>0</x:v>
      </x:c>
      <x:c r="AA213" s="412" t="n">
        <x:f>IF(ISNUMBER(AA212),AA212+X213,"")</x:f>
        <x:v>208898.25271554862</x:v>
      </x:c>
      <x:c r="AB213" s="412" t="n">
        <x:f>IF(AND(ISNUMBER(Y213),ISNUMBER(Z213),ISNUMBER(AA213)),Y213+Z213-AA213,"")</x:f>
        <x:v>352392.7834237636</x:v>
      </x:c>
      <x:c r="AC213" s="416" t="n">
        <x:f>IF(AND(AA213&gt;0,ISNUMBER(AB213)),AB213/AA213,"")</x:f>
        <x:v>1.6869111102791643</x:v>
      </x:c>
      <x:c r="AD213" s="412" t="n">
        <x:f>IF(AND(ISNUMBER(AD212),ISNUMBER($G$138),$G$138&gt;=0),AD212+AD212*$G$138-IF(AND($J$134="Cash payout",$G$138&gt;=0),AD212*$G$138,0)+X213,"")</x:f>
        <x:v>390808.3952052743</x:v>
      </x:c>
      <x:c r="AE213" s="412" t="n">
        <x:f>IF(AND(ISNUMBER(AD212),ISNUMBER($G$138),$G$138&gt;=0),AE212+IF(AND($J$134="Cash payout",$G$138&gt;=0),AD212*$G$138,0),"")</x:f>
        <x:v>0</x:v>
      </x:c>
      <x:c r="AF213" s="412" t="n">
        <x:f>IF(ISNUMBER(AF212),AF212+X213,"")</x:f>
        <x:v>208898.25271554862</x:v>
      </x:c>
      <x:c r="AG213" s="412" t="n">
        <x:f>IF(AND(ISNUMBER(AD213),ISNUMBER(AE213),ISNUMBER(AF213)),AD213+AE213-AF213,"")</x:f>
        <x:v>181910.14248972567</x:v>
      </x:c>
      <x:c r="AH213" s="416" t="n">
        <x:f>IF(AND(AF213&gt;0,ISNUMBER(AG213)),AG213/AF213,"")</x:f>
        <x:v>0.8708073912778391</x:v>
      </x:c>
      <x:c r="AI213" s="412" t="n">
        <x:f>IF(AND(ISNUMBER(AI212),ISNUMBER($J$138),$J$138&gt;=-1),AI212+AI212*$J$138-IF(AND($J$134="Cash payout",$J$138&gt;=0),AI212*$J$138,0)+X213,"")</x:f>
        <x:v>390808.3952052743</x:v>
      </x:c>
      <x:c r="AJ213" s="412" t="n">
        <x:f>IF(AND(ISNUMBER(AI212),ISNUMBER($J$138),$J$138&gt;=-1),AJ212+IF(AND($J$134="Cash payout",$J$138&gt;=0),AI212*$J$138,0),"")</x:f>
        <x:v>0</x:v>
      </x:c>
      <x:c r="AK213" s="412" t="n">
        <x:f>IF(ISNUMBER(AK212),AK212+X213,"")</x:f>
        <x:v>208898.25271554862</x:v>
      </x:c>
      <x:c r="AL213" s="412" t="n">
        <x:f>IF(AND(ISNUMBER(AI213),ISNUMBER(AJ213),ISNUMBER(AK213)),AI213+AJ213-AK213,"")</x:f>
        <x:v>181910.14248972567</x:v>
      </x:c>
      <x:c r="AM213" s="416" t="n">
        <x:f>IF(AND(AK213&gt;0,ISNUMBER(AL213)),AL213/AK213,"")</x:f>
        <x:v>0.8708073912778391</x:v>
      </x:c>
    </x:row>
    <x:row r="214" ht="24" customHeight="1">
      <x:c r="A214" s="419" t="n">
        <x:f>14</x:f>
        <x:v>14</x:v>
      </x:c>
      <x:c r="B214" s="414" t="n">
        <x:v>0</x:v>
      </x:c>
      <x:c r="C214" s="412" t="n">
        <x:f>IF(AND(ISNUMBER($H$17),ISNUMBER($J$73),$J$73&gt;-1,$J$73&lt;=5),$H$17*(1+$J$73)^(14-1),"")</x:f>
        <x:v>129875.73357021033</x:v>
      </x:c>
      <x:c r="D214" s="412" t="n">
        <x:f>IF(AND(ISNUMBER($H$18),ISNUMBER($J$74),$J$74&gt;-1,$J$74&lt;=5),$H$18*(1+$J$74)^(14-1),"")</x:f>
        <x:v>44056.011403546945</x:v>
      </x:c>
      <x:c r="E214" s="412" t="n">
        <x:f>IF(AND(ISNUMBER($H$22),ISNUMBER($J$74),$J$74&gt;-1,$J$74&lt;=5),$H$22*(1+$J$74)^(14-1),"")</x:f>
        <x:v>0</x:v>
      </x:c>
      <x:c r="F214" s="412" t="n">
        <x:f>IF(AND(ISNUMBER(C214),ISNUMBER(D214)),C214-D214,"")</x:f>
        <x:v>85819.72216666338</x:v>
      </x:c>
      <x:c r="G214" s="412" t="n">
        <x:f>IF(AND(ISNUMBER(F214),ISNUMBER(E214)),F214-E214,"")</x:f>
        <x:v>85819.72216666338</x:v>
      </x:c>
      <x:c r="H214" s="412" t="n">
        <x:f>IF(COUNT(M557:M568)=12,SUM(M557:M568),"")</x:f>
        <x:v>56153.40867888716</x:v>
      </x:c>
      <x:c r="I214" s="412" t="n">
        <x:f>SUM(E557:E568)</x:f>
        <x:v>0</x:v>
      </x:c>
      <x:c r="J214" s="412" t="n">
        <x:f>SUM(F557:F568)</x:f>
        <x:v>0</x:v>
      </x:c>
      <x:c r="K214" s="412" t="n">
        <x:f>SUM(G557:G568)</x:f>
        <x:v>0</x:v>
      </x:c>
      <x:c r="L214" s="412" t="n">
        <x:f>IF(AND(ISNUMBER(G214),ISNUMBER(H214),ISNUMBER(J214),ISNUMBER(K214)),G214-H214-B214-J214-K214,"")</x:f>
        <x:v>29666.313487776228</x:v>
      </x:c>
      <x:c r="M214" s="412" t="n">
        <x:f>IF(ISNUMBER(N568),N568,"")</x:f>
        <x:v>567072.7113974136</x:v>
      </x:c>
      <x:c r="N214" s="412" t="n">
        <x:f>IF(ISNUMBER($J$77),IF(AND($J$77&gt;0,$J$77&lt;=1,ISNUMBER($H$17),ISNUMBER($H$18),ISNUMBER($J$73),$J$73&gt;-1,$J$73&lt;=5,ISNUMBER($J$74),$J$74&gt;-1,$J$74&lt;=5),($H$17*(1+$J$73)^14-$H$18*(1+$J$74)^14)/$J$77,""),IF(AND($J$77="",ISNUMBER($B$15),$B$15&gt;0,ISNUMBER($J$72),$J$72&gt;-1,$J$72&lt;=5),$B$15*(1+$J$72)^14,""))</x:f>
        <x:v>1645092.625222664</x:v>
      </x:c>
      <x:c r="O214" s="412" t="n">
        <x:f>IF(AND(ISNUMBER(N214),ISNUMBER(M214)),N214*(1-$J$75)-M214,"")</x:f>
        <x:v>1078019.9138252505</x:v>
      </x:c>
      <x:c r="P214" s="412" t="n">
        <x:f>IF(AND(ISNUMBER(P213),ISNUMBER(L214)),P213+L214,"")</x:f>
        <x:v>128031.62646593573</x:v>
      </x:c>
      <x:c r="Q214" s="412" t="n">
        <x:f>IF(AND(ISNUMBER(Q213),ISNUMBER(L214)),Q213+MAX(0,-L214),"")</x:f>
        <x:v>208898.25271554862</x:v>
      </x:c>
      <x:c r="R214" s="412" t="n">
        <x:f>IF(AND(ISNUMBER(R213),ISNUMBER(L214)),R213+MAX(0,L214),"")</x:f>
        <x:v>146929.87918148434</x:v>
      </x:c>
      <x:c r="S214" s="412" t="n">
        <x:f>IF(AND(ISNUMBER(Q213),ISNUMBER(L214),ISNUMBER(O214)),Q213+MAX(0,-(L214+O214)),"")</x:f>
        <x:v>208898.25271554862</x:v>
      </x:c>
      <x:c r="T214" s="412" t="n">
        <x:f>IF(AND(ISNUMBER(R213),ISNUMBER(L214),ISNUMBER(O214)),R213+MAX(0,L214+O214),"")</x:f>
        <x:v>1224949.793006735</x:v>
      </x:c>
      <x:c r="U214" s="412" t="n">
        <x:f>IF(AND(ISNUMBER(O214),ISNUMBER(P214),ISNUMBER($E$18)),O214+P214-$E$18,"")</x:f>
        <x:v>1016051.5402911862</x:v>
      </x:c>
      <x:c r="V214" s="416" t="n">
        <x:f>IF(AND(S214&gt;0,ISNUMBER(U214)),U214/S214,"")</x:f>
        <x:v>4.863858491314034</x:v>
      </x:c>
      <x:c r="W214" s="418" t="n">
        <x:f>IF(AND(S214&gt;0,ISNUMBER(T214)),T214/S214,"")</x:f>
        <x:v>5.863858491314035</x:v>
      </x:c>
      <x:c r="X214" s="412" t="n">
        <x:f>IF($B$136="No",0,IF(AND(ISNUMBER(L214),OR(14&lt;&gt;$B$134,ISNUMBER(O214))),MAX(0,-(L214+IF(14=$B$134,O214,0))),0))</x:f>
        <x:v>0</x:v>
      </x:c>
      <x:c r="Y214" s="412" t="n">
        <x:f>IF(AND(ISNUMBER(Y213),ISNUMBER($D$138),$D$138&gt;=-1),Y213+Y213*$D$138-0+X214,"")</x:f>
        <x:v>606194.3190304572</x:v>
      </x:c>
      <x:c r="Z214" s="412" t="n">
        <x:f>IF(AND(ISNUMBER(Y213),ISNUMBER($D$138),$D$138&gt;=-1),Z213+0,"")</x:f>
        <x:v>0</x:v>
      </x:c>
      <x:c r="AA214" s="412" t="n">
        <x:f>IF(ISNUMBER(AA213),AA213+X214,"")</x:f>
        <x:v>208898.25271554862</x:v>
      </x:c>
      <x:c r="AB214" s="412" t="n">
        <x:f>IF(AND(ISNUMBER(Y214),ISNUMBER(Z214),ISNUMBER(AA214)),Y214+Z214-AA214,"")</x:f>
        <x:v>397296.06631490856</x:v>
      </x:c>
      <x:c r="AC214" s="416" t="n">
        <x:f>IF(AND(AA214&gt;0,ISNUMBER(AB214)),AB214/AA214,"")</x:f>
        <x:v>1.9018639991014976</x:v>
      </x:c>
      <x:c r="AD214" s="412" t="n">
        <x:f>IF(AND(ISNUMBER(AD213),ISNUMBER($G$138),$G$138&gt;=0),AD213+AD213*$G$138-IF(AND($J$134="Cash payout",$G$138&gt;=0),AD213*$G$138,0)+X214,"")</x:f>
        <x:v>410348.814965538</x:v>
      </x:c>
      <x:c r="AE214" s="412" t="n">
        <x:f>IF(AND(ISNUMBER(AD213),ISNUMBER($G$138),$G$138&gt;=0),AE213+IF(AND($J$134="Cash payout",$G$138&gt;=0),AD213*$G$138,0),"")</x:f>
        <x:v>0</x:v>
      </x:c>
      <x:c r="AF214" s="412" t="n">
        <x:f>IF(ISNUMBER(AF213),AF213+X214,"")</x:f>
        <x:v>208898.25271554862</x:v>
      </x:c>
      <x:c r="AG214" s="412" t="n">
        <x:f>IF(AND(ISNUMBER(AD214),ISNUMBER(AE214),ISNUMBER(AF214)),AD214+AE214-AF214,"")</x:f>
        <x:v>201450.56224998937</x:v>
      </x:c>
      <x:c r="AH214" s="416" t="n">
        <x:f>IF(AND(AF214&gt;0,ISNUMBER(AG214)),AG214/AF214,"")</x:f>
        <x:v>0.964347760841731</x:v>
      </x:c>
      <x:c r="AI214" s="412" t="n">
        <x:f>IF(AND(ISNUMBER(AI213),ISNUMBER($J$138),$J$138&gt;=-1),AI213+AI213*$J$138-IF(AND($J$134="Cash payout",$J$138&gt;=0),AI213*$J$138,0)+X214,"")</x:f>
        <x:v>410348.814965538</x:v>
      </x:c>
      <x:c r="AJ214" s="412" t="n">
        <x:f>IF(AND(ISNUMBER(AI213),ISNUMBER($J$138),$J$138&gt;=-1),AJ213+IF(AND($J$134="Cash payout",$J$138&gt;=0),AI213*$J$138,0),"")</x:f>
        <x:v>0</x:v>
      </x:c>
      <x:c r="AK214" s="412" t="n">
        <x:f>IF(ISNUMBER(AK213),AK213+X214,"")</x:f>
        <x:v>208898.25271554862</x:v>
      </x:c>
      <x:c r="AL214" s="412" t="n">
        <x:f>IF(AND(ISNUMBER(AI214),ISNUMBER(AJ214),ISNUMBER(AK214)),AI214+AJ214-AK214,"")</x:f>
        <x:v>201450.56224998937</x:v>
      </x:c>
      <x:c r="AM214" s="416" t="n">
        <x:f>IF(AND(AK214&gt;0,ISNUMBER(AL214)),AL214/AK214,"")</x:f>
        <x:v>0.964347760841731</x:v>
      </x:c>
    </x:row>
    <x:row r="215" ht="24" customHeight="1">
      <x:c r="A215" s="419" t="n">
        <x:f>15</x:f>
        <x:v>15</x:v>
      </x:c>
      <x:c r="B215" s="414" t="n">
        <x:v>0</x:v>
      </x:c>
      <x:c r="C215" s="412" t="n">
        <x:f>IF(AND(ISNUMBER($H$17),ISNUMBER($J$73),$J$73&gt;-1,$J$73&lt;=5),$H$17*(1+$J$73)^(15-1),"")</x:f>
        <x:v>135070.76291301873</x:v>
      </x:c>
      <x:c r="D215" s="412" t="n">
        <x:f>IF(AND(ISNUMBER($H$18),ISNUMBER($J$74),$J$74&gt;-1,$J$74&lt;=5),$H$18*(1+$J$74)^(15-1),"")</x:f>
        <x:v>45377.691745653356</x:v>
      </x:c>
      <x:c r="E215" s="412" t="n">
        <x:f>IF(AND(ISNUMBER($H$22),ISNUMBER($J$74),$J$74&gt;-1,$J$74&lt;=5),$H$22*(1+$J$74)^(15-1),"")</x:f>
        <x:v>0</x:v>
      </x:c>
      <x:c r="F215" s="412" t="n">
        <x:f>IF(AND(ISNUMBER(C215),ISNUMBER(D215)),C215-D215,"")</x:f>
        <x:v>89693.07116736537</x:v>
      </x:c>
      <x:c r="G215" s="412" t="n">
        <x:f>IF(AND(ISNUMBER(F215),ISNUMBER(E215)),F215-E215,"")</x:f>
        <x:v>89693.07116736537</x:v>
      </x:c>
      <x:c r="H215" s="412" t="n">
        <x:f>IF(COUNT(M569:M580)=12,SUM(M569:M580),"")</x:f>
        <x:v>56153.40867888716</x:v>
      </x:c>
      <x:c r="I215" s="412" t="n">
        <x:f>SUM(E569:E580)</x:f>
        <x:v>0</x:v>
      </x:c>
      <x:c r="J215" s="412" t="n">
        <x:f>SUM(F569:F580)</x:f>
        <x:v>0</x:v>
      </x:c>
      <x:c r="K215" s="412" t="n">
        <x:f>SUM(G569:G580)</x:f>
        <x:v>0</x:v>
      </x:c>
      <x:c r="L215" s="412" t="n">
        <x:f>IF(AND(ISNUMBER(G215),ISNUMBER(H215),ISNUMBER(J215),ISNUMBER(K215)),G215-H215-B215-J215-K215,"")</x:f>
        <x:v>33539.662488478214</x:v>
      </x:c>
      <x:c r="M215" s="412" t="n">
        <x:f>IF(ISNUMBER(N580),N580,"")</x:f>
        <x:v>545757.6309273099</x:v>
      </x:c>
      <x:c r="N215" s="412" t="n">
        <x:f>IF(ISNUMBER($J$77),IF(AND($J$77&gt;0,$J$77&lt;=1,ISNUMBER($H$17),ISNUMBER($H$18),ISNUMBER($J$73),$J$73&gt;-1,$J$73&lt;=5,ISNUMBER($J$74),$J$74&gt;-1,$J$74&lt;=5),($H$17*(1+$J$73)^15-$H$18*(1+$J$74)^15)/$J$77,""),IF(AND($J$77="",ISNUMBER($B$15),$B$15&gt;0,ISNUMBER($J$72),$J$72&gt;-1,$J$72&lt;=5),$B$15*(1+$J$72)^15,""))</x:f>
        <x:v>1710896.3302315706</x:v>
      </x:c>
      <x:c r="O215" s="412" t="n">
        <x:f>IF(AND(ISNUMBER(N215),ISNUMBER(M215)),N215*(1-$J$75)-M215,"")</x:f>
        <x:v>1165138.6993042608</x:v>
      </x:c>
      <x:c r="P215" s="412" t="n">
        <x:f>IF(AND(ISNUMBER(P214),ISNUMBER(L215)),P214+L215,"")</x:f>
        <x:v>161571.28895441393</x:v>
      </x:c>
      <x:c r="Q215" s="412" t="n">
        <x:f>IF(AND(ISNUMBER(Q214),ISNUMBER(L215)),Q214+MAX(0,-L215),"")</x:f>
        <x:v>208898.25271554862</x:v>
      </x:c>
      <x:c r="R215" s="412" t="n">
        <x:f>IF(AND(ISNUMBER(R214),ISNUMBER(L215)),R214+MAX(0,L215),"")</x:f>
        <x:v>180469.54166996255</x:v>
      </x:c>
      <x:c r="S215" s="412" t="n">
        <x:f>IF(AND(ISNUMBER(Q214),ISNUMBER(L215),ISNUMBER(O215)),Q214+MAX(0,-(L215+O215)),"")</x:f>
        <x:v>208898.25271554862</x:v>
      </x:c>
      <x:c r="T215" s="412" t="n">
        <x:f>IF(AND(ISNUMBER(R214),ISNUMBER(L215),ISNUMBER(O215)),R214+MAX(0,L215+O215),"")</x:f>
        <x:v>1345608.2409742232</x:v>
      </x:c>
      <x:c r="U215" s="412" t="n">
        <x:f>IF(AND(ISNUMBER(O215),ISNUMBER(P215),ISNUMBER($E$18)),O215+P215-$E$18,"")</x:f>
        <x:v>1136709.9882586747</x:v>
      </x:c>
      <x:c r="V215" s="416" t="n">
        <x:f>IF(AND(S215&gt;0,ISNUMBER(U215)),U215/S215,"")</x:f>
        <x:v>5.441452829222576</x:v>
      </x:c>
      <x:c r="W215" s="418" t="n">
        <x:f>IF(AND(S215&gt;0,ISNUMBER(T215)),T215/S215,"")</x:f>
        <x:v>6.441452829222576</x:v>
      </x:c>
      <x:c r="X215" s="412" t="n">
        <x:f>IF($B$136="No",0,IF(AND(ISNUMBER(L215),OR(15&lt;&gt;$B$134,ISNUMBER(O215))),MAX(0,-(L215+IF(15=$B$134,O215,0))),0))</x:f>
        <x:v>0</x:v>
      </x:c>
      <x:c r="Y215" s="412" t="n">
        <x:f>IF(AND(ISNUMBER(Y214),ISNUMBER($D$138),$D$138&gt;=-1),Y214+Y214*$D$138-0+X215,"")</x:f>
        <x:v>654689.8645528938</x:v>
      </x:c>
      <x:c r="Z215" s="412" t="n">
        <x:f>IF(AND(ISNUMBER(Y214),ISNUMBER($D$138),$D$138&gt;=-1),Z214+0,"")</x:f>
        <x:v>0</x:v>
      </x:c>
      <x:c r="AA215" s="412" t="n">
        <x:f>IF(ISNUMBER(AA214),AA214+X215,"")</x:f>
        <x:v>208898.25271554862</x:v>
      </x:c>
      <x:c r="AB215" s="412" t="n">
        <x:f>IF(AND(ISNUMBER(Y215),ISNUMBER(Z215),ISNUMBER(AA215)),Y215+Z215-AA215,"")</x:f>
        <x:v>445791.6118373452</x:v>
      </x:c>
      <x:c r="AC215" s="416" t="n">
        <x:f>IF(AND(AA215&gt;0,ISNUMBER(AB215)),AB215/AA215,"")</x:f>
        <x:v>2.1340131190296177</x:v>
      </x:c>
      <x:c r="AD215" s="412" t="n">
        <x:f>IF(AND(ISNUMBER(AD214),ISNUMBER($G$138),$G$138&gt;=0),AD214+AD214*$G$138-IF(AND($J$134="Cash payout",$G$138&gt;=0),AD214*$G$138,0)+X215,"")</x:f>
        <x:v>430866.25571381487</x:v>
      </x:c>
      <x:c r="AE215" s="412" t="n">
        <x:f>IF(AND(ISNUMBER(AD214),ISNUMBER($G$138),$G$138&gt;=0),AE214+IF(AND($J$134="Cash payout",$G$138&gt;=0),AD214*$G$138,0),"")</x:f>
        <x:v>0</x:v>
      </x:c>
      <x:c r="AF215" s="412" t="n">
        <x:f>IF(ISNUMBER(AF214),AF214+X215,"")</x:f>
        <x:v>208898.25271554862</x:v>
      </x:c>
      <x:c r="AG215" s="412" t="n">
        <x:f>IF(AND(ISNUMBER(AD215),ISNUMBER(AE215),ISNUMBER(AF215)),AD215+AE215-AF215,"")</x:f>
        <x:v>221968.00299826625</x:v>
      </x:c>
      <x:c r="AH215" s="416" t="n">
        <x:f>IF(AND(AF215&gt;0,ISNUMBER(AG215)),AG215/AF215,"")</x:f>
        <x:v>1.0625651488838175</x:v>
      </x:c>
      <x:c r="AI215" s="412" t="n">
        <x:f>IF(AND(ISNUMBER(AI214),ISNUMBER($J$138),$J$138&gt;=-1),AI214+AI214*$J$138-IF(AND($J$134="Cash payout",$J$138&gt;=0),AI214*$J$138,0)+X215,"")</x:f>
        <x:v>430866.25571381487</x:v>
      </x:c>
      <x:c r="AJ215" s="412" t="n">
        <x:f>IF(AND(ISNUMBER(AI214),ISNUMBER($J$138),$J$138&gt;=-1),AJ214+IF(AND($J$134="Cash payout",$J$138&gt;=0),AI214*$J$138,0),"")</x:f>
        <x:v>0</x:v>
      </x:c>
      <x:c r="AK215" s="412" t="n">
        <x:f>IF(ISNUMBER(AK214),AK214+X215,"")</x:f>
        <x:v>208898.25271554862</x:v>
      </x:c>
      <x:c r="AL215" s="412" t="n">
        <x:f>IF(AND(ISNUMBER(AI215),ISNUMBER(AJ215),ISNUMBER(AK215)),AI215+AJ215-AK215,"")</x:f>
        <x:v>221968.00299826625</x:v>
      </x:c>
      <x:c r="AM215" s="416" t="n">
        <x:f>IF(AND(AK215&gt;0,ISNUMBER(AL215)),AL215/AK215,"")</x:f>
        <x:v>1.0625651488838175</x:v>
      </x:c>
    </x:row>
    <x:row r="216" ht="24" customHeight="1">
      <x:c r="A216" s="419" t="n">
        <x:f>16</x:f>
        <x:v>16</x:v>
      </x:c>
      <x:c r="B216" s="414" t="n">
        <x:v>0</x:v>
      </x:c>
      <x:c r="C216" s="412" t="n">
        <x:f>IF(AND(ISNUMBER($H$17),ISNUMBER($J$73),$J$73&gt;-1,$J$73&lt;=5),$H$17*(1+$J$73)^(16-1),"")</x:f>
        <x:v>140473.5934295395</x:v>
      </x:c>
      <x:c r="D216" s="412" t="n">
        <x:f>IF(AND(ISNUMBER($H$18),ISNUMBER($J$74),$J$74&gt;-1,$J$74&lt;=5),$H$18*(1+$J$74)^(16-1),"")</x:f>
        <x:v>46739.022498022954</x:v>
      </x:c>
      <x:c r="E216" s="412" t="n">
        <x:f>IF(AND(ISNUMBER($H$22),ISNUMBER($J$74),$J$74&gt;-1,$J$74&lt;=5),$H$22*(1+$J$74)^(16-1),"")</x:f>
        <x:v>0</x:v>
      </x:c>
      <x:c r="F216" s="412" t="n">
        <x:f>IF(AND(ISNUMBER(C216),ISNUMBER(D216)),C216-D216,"")</x:f>
        <x:v>93734.57093151654</x:v>
      </x:c>
      <x:c r="G216" s="412" t="n">
        <x:f>IF(AND(ISNUMBER(F216),ISNUMBER(E216)),F216-E216,"")</x:f>
        <x:v>93734.57093151654</x:v>
      </x:c>
      <x:c r="H216" s="412" t="n">
        <x:f>IF(COUNT(M581:M592)=12,SUM(M581:M592),"")</x:f>
        <x:v>56153.40867888716</x:v>
      </x:c>
      <x:c r="I216" s="412" t="n">
        <x:f>SUM(E581:E592)</x:f>
        <x:v>0</x:v>
      </x:c>
      <x:c r="J216" s="412" t="n">
        <x:f>SUM(F581:F592)</x:f>
        <x:v>0</x:v>
      </x:c>
      <x:c r="K216" s="412" t="n">
        <x:f>SUM(G581:G592)</x:f>
        <x:v>0</x:v>
      </x:c>
      <x:c r="L216" s="412" t="n">
        <x:f>IF(AND(ISNUMBER(G216),ISNUMBER(H216),ISNUMBER(J216),ISNUMBER(K216)),G216-H216-B216-J216-K216,"")</x:f>
        <x:v>37581.16225262939</x:v>
      </x:c>
      <x:c r="M216" s="412" t="n">
        <x:f>IF(ISNUMBER(N592),N592,"")</x:f>
        <x:v>523071.5258028887</x:v>
      </x:c>
      <x:c r="N216" s="412" t="n">
        <x:f>IF(ISNUMBER($J$77),IF(AND($J$77&gt;0,$J$77&lt;=1,ISNUMBER($H$17),ISNUMBER($H$18),ISNUMBER($J$73),$J$73&gt;-1,$J$73&lt;=5,ISNUMBER($J$74),$J$74&gt;-1,$J$74&lt;=5),($H$17*(1+$J$73)^16-$H$18*(1+$J$74)^16)/$J$77,""),IF(AND($J$77="",ISNUMBER($B$15),$B$15&gt;0,ISNUMBER($J$72),$J$72&gt;-1,$J$72&lt;=5),$B$15*(1+$J$72)^16,""))</x:f>
        <x:v>1779332.1834408336</x:v>
      </x:c>
      <x:c r="O216" s="412" t="n">
        <x:f>IF(AND(ISNUMBER(N216),ISNUMBER(M216)),N216*(1-$J$75)-M216,"")</x:f>
        <x:v>1256260.657637945</x:v>
      </x:c>
      <x:c r="P216" s="412" t="n">
        <x:f>IF(AND(ISNUMBER(P215),ISNUMBER(L216)),P215+L216,"")</x:f>
        <x:v>199152.4512070433</x:v>
      </x:c>
      <x:c r="Q216" s="412" t="n">
        <x:f>IF(AND(ISNUMBER(Q215),ISNUMBER(L216)),Q215+MAX(0,-L216),"")</x:f>
        <x:v>208898.25271554862</x:v>
      </x:c>
      <x:c r="R216" s="412" t="n">
        <x:f>IF(AND(ISNUMBER(R215),ISNUMBER(L216)),R215+MAX(0,L216),"")</x:f>
        <x:v>218050.70392259193</x:v>
      </x:c>
      <x:c r="S216" s="412" t="n">
        <x:f>IF(AND(ISNUMBER(Q215),ISNUMBER(L216),ISNUMBER(O216)),Q215+MAX(0,-(L216+O216)),"")</x:f>
        <x:v>208898.25271554862</x:v>
      </x:c>
      <x:c r="T216" s="412" t="n">
        <x:f>IF(AND(ISNUMBER(R215),ISNUMBER(L216),ISNUMBER(O216)),R215+MAX(0,L216+O216),"")</x:f>
        <x:v>1474311.3615605368</x:v>
      </x:c>
      <x:c r="U216" s="412" t="n">
        <x:f>IF(AND(ISNUMBER(O216),ISNUMBER(P216),ISNUMBER($E$18)),O216+P216-$E$18,"")</x:f>
        <x:v>1265413.1088449883</x:v>
      </x:c>
      <x:c r="V216" s="416" t="n">
        <x:f>IF(AND(S216&gt;0,ISNUMBER(U216)),U216/S216,"")</x:f>
        <x:v>6.057557171471744</x:v>
      </x:c>
      <x:c r="W216" s="418" t="n">
        <x:f>IF(AND(S216&gt;0,ISNUMBER(T216)),T216/S216,"")</x:f>
        <x:v>7.0575571714717436</x:v>
      </x:c>
      <x:c r="X216" s="412" t="n">
        <x:f>IF($B$136="No",0,IF(AND(ISNUMBER(L216),OR(16&lt;&gt;$B$134,ISNUMBER(O216))),MAX(0,-(L216+IF(16=$B$134,O216,0))),0))</x:f>
        <x:v>0</x:v>
      </x:c>
      <x:c r="Y216" s="412" t="n">
        <x:f>IF(AND(ISNUMBER(Y215),ISNUMBER($D$138),$D$138&gt;=-1),Y215+Y215*$D$138-0+X216,"")</x:f>
        <x:v>707065.0537171253</x:v>
      </x:c>
      <x:c r="Z216" s="412" t="n">
        <x:f>IF(AND(ISNUMBER(Y215),ISNUMBER($D$138),$D$138&gt;=-1),Z215+0,"")</x:f>
        <x:v>0</x:v>
      </x:c>
      <x:c r="AA216" s="412" t="n">
        <x:f>IF(ISNUMBER(AA215),AA215+X216,"")</x:f>
        <x:v>208898.25271554862</x:v>
      </x:c>
      <x:c r="AB216" s="412" t="n">
        <x:f>IF(AND(ISNUMBER(Y216),ISNUMBER(Z216),ISNUMBER(AA216)),Y216+Z216-AA216,"")</x:f>
        <x:v>498166.8010015767</x:v>
      </x:c>
      <x:c r="AC216" s="416" t="n">
        <x:f>IF(AND(AA216&gt;0,ISNUMBER(AB216)),AB216/AA216,"")</x:f>
        <x:v>2.384734168551987</x:v>
      </x:c>
      <x:c r="AD216" s="412" t="n">
        <x:f>IF(AND(ISNUMBER(AD215),ISNUMBER($G$138),$G$138&gt;=0),AD215+AD215*$G$138-IF(AND($J$134="Cash payout",$G$138&gt;=0),AD215*$G$138,0)+X216,"")</x:f>
        <x:v>452409.56849950564</x:v>
      </x:c>
      <x:c r="AE216" s="412" t="n">
        <x:f>IF(AND(ISNUMBER(AD215),ISNUMBER($G$138),$G$138&gt;=0),AE215+IF(AND($J$134="Cash payout",$G$138&gt;=0),AD215*$G$138,0),"")</x:f>
        <x:v>0</x:v>
      </x:c>
      <x:c r="AF216" s="412" t="n">
        <x:f>IF(ISNUMBER(AF215),AF215+X216,"")</x:f>
        <x:v>208898.25271554862</x:v>
      </x:c>
      <x:c r="AG216" s="412" t="n">
        <x:f>IF(AND(ISNUMBER(AD216),ISNUMBER(AE216),ISNUMBER(AF216)),AD216+AE216-AF216,"")</x:f>
        <x:v>243511.31578395702</x:v>
      </x:c>
      <x:c r="AH216" s="416" t="n">
        <x:f>IF(AND(AF216&gt;0,ISNUMBER(AG216)),AG216/AF216,"")</x:f>
        <x:v>1.1656934063280084</x:v>
      </x:c>
      <x:c r="AI216" s="412" t="n">
        <x:f>IF(AND(ISNUMBER(AI215),ISNUMBER($J$138),$J$138&gt;=-1),AI215+AI215*$J$138-IF(AND($J$134="Cash payout",$J$138&gt;=0),AI215*$J$138,0)+X216,"")</x:f>
        <x:v>452409.56849950564</x:v>
      </x:c>
      <x:c r="AJ216" s="412" t="n">
        <x:f>IF(AND(ISNUMBER(AI215),ISNUMBER($J$138),$J$138&gt;=-1),AJ215+IF(AND($J$134="Cash payout",$J$138&gt;=0),AI215*$J$138,0),"")</x:f>
        <x:v>0</x:v>
      </x:c>
      <x:c r="AK216" s="412" t="n">
        <x:f>IF(ISNUMBER(AK215),AK215+X216,"")</x:f>
        <x:v>208898.25271554862</x:v>
      </x:c>
      <x:c r="AL216" s="412" t="n">
        <x:f>IF(AND(ISNUMBER(AI216),ISNUMBER(AJ216),ISNUMBER(AK216)),AI216+AJ216-AK216,"")</x:f>
        <x:v>243511.31578395702</x:v>
      </x:c>
      <x:c r="AM216" s="416" t="n">
        <x:f>IF(AND(AK216&gt;0,ISNUMBER(AL216)),AL216/AK216,"")</x:f>
        <x:v>1.1656934063280084</x:v>
      </x:c>
    </x:row>
    <x:row r="217" ht="24" customHeight="1">
      <x:c r="A217" s="419" t="n">
        <x:f>17</x:f>
        <x:v>17</x:v>
      </x:c>
      <x:c r="B217" s="414" t="n">
        <x:v>0</x:v>
      </x:c>
      <x:c r="C217" s="412" t="n">
        <x:f>IF(AND(ISNUMBER($H$17),ISNUMBER($J$73),$J$73&gt;-1,$J$73&lt;=5),$H$17*(1+$J$73)^(17-1),"")</x:f>
        <x:v>146092.53716672107</x:v>
      </x:c>
      <x:c r="D217" s="412" t="n">
        <x:f>IF(AND(ISNUMBER($H$18),ISNUMBER($J$74),$J$74&gt;-1,$J$74&lt;=5),$H$18*(1+$J$74)^(17-1),"")</x:f>
        <x:v>48141.19317296365</x:v>
      </x:c>
      <x:c r="E217" s="412" t="n">
        <x:f>IF(AND(ISNUMBER($H$22),ISNUMBER($J$74),$J$74&gt;-1,$J$74&lt;=5),$H$22*(1+$J$74)^(17-1),"")</x:f>
        <x:v>0</x:v>
      </x:c>
      <x:c r="F217" s="412" t="n">
        <x:f>IF(AND(ISNUMBER(C217),ISNUMBER(D217)),C217-D217,"")</x:f>
        <x:v>97951.34399375741</x:v>
      </x:c>
      <x:c r="G217" s="412" t="n">
        <x:f>IF(AND(ISNUMBER(F217),ISNUMBER(E217)),F217-E217,"")</x:f>
        <x:v>97951.34399375741</x:v>
      </x:c>
      <x:c r="H217" s="412" t="n">
        <x:f>IF(COUNT(M593:M604)=12,SUM(M593:M604),"")</x:f>
        <x:v>56153.40867888716</x:v>
      </x:c>
      <x:c r="I217" s="412" t="n">
        <x:f>SUM(E593:E604)</x:f>
        <x:v>0</x:v>
      </x:c>
      <x:c r="J217" s="412" t="n">
        <x:f>SUM(F593:F604)</x:f>
        <x:v>0</x:v>
      </x:c>
      <x:c r="K217" s="412" t="n">
        <x:f>SUM(G593:G604)</x:f>
        <x:v>0</x:v>
      </x:c>
      <x:c r="L217" s="412" t="n">
        <x:f>IF(AND(ISNUMBER(G217),ISNUMBER(H217),ISNUMBER(J217),ISNUMBER(K217)),G217-H217-B217-J217-K217,"")</x:f>
        <x:v>41797.93531487026</x:v>
      </x:c>
      <x:c r="M217" s="412" t="n">
        <x:f>IF(ISNUMBER(N604),N604,"")</x:f>
        <x:v>498926.2092305145</x:v>
      </x:c>
      <x:c r="N217" s="412" t="n">
        <x:f>IF(ISNUMBER($J$77),IF(AND($J$77&gt;0,$J$77&lt;=1,ISNUMBER($H$17),ISNUMBER($H$18),ISNUMBER($J$73),$J$73&gt;-1,$J$73&lt;=5,ISNUMBER($J$74),$J$74&gt;-1,$J$74&lt;=5),($H$17*(1+$J$73)^17-$H$18*(1+$J$74)^17)/$J$77,""),IF(AND($J$77="",ISNUMBER($B$15),$B$15&gt;0,ISNUMBER($J$72),$J$72&gt;-1,$J$72&lt;=5),$B$15*(1+$J$72)^17,""))</x:f>
        <x:v>1850505.4707784671</x:v>
      </x:c>
      <x:c r="O217" s="412" t="n">
        <x:f>IF(AND(ISNUMBER(N217),ISNUMBER(M217)),N217*(1-$J$75)-M217,"")</x:f>
        <x:v>1351579.2615479527</x:v>
      </x:c>
      <x:c r="P217" s="412" t="n">
        <x:f>IF(AND(ISNUMBER(P216),ISNUMBER(L217)),P216+L217,"")</x:f>
        <x:v>240950.38652191358</x:v>
      </x:c>
      <x:c r="Q217" s="412" t="n">
        <x:f>IF(AND(ISNUMBER(Q216),ISNUMBER(L217)),Q216+MAX(0,-L217),"")</x:f>
        <x:v>208898.25271554862</x:v>
      </x:c>
      <x:c r="R217" s="412" t="n">
        <x:f>IF(AND(ISNUMBER(R216),ISNUMBER(L217)),R216+MAX(0,L217),"")</x:f>
        <x:v>259848.6392374622</x:v>
      </x:c>
      <x:c r="S217" s="412" t="n">
        <x:f>IF(AND(ISNUMBER(Q216),ISNUMBER(L217),ISNUMBER(O217)),Q216+MAX(0,-(L217+O217)),"")</x:f>
        <x:v>208898.25271554862</x:v>
      </x:c>
      <x:c r="T217" s="412" t="n">
        <x:f>IF(AND(ISNUMBER(R216),ISNUMBER(L217),ISNUMBER(O217)),R216+MAX(0,L217+O217),"")</x:f>
        <x:v>1611427.9007854147</x:v>
      </x:c>
      <x:c r="U217" s="412" t="n">
        <x:f>IF(AND(ISNUMBER(O217),ISNUMBER(P217),ISNUMBER($E$18)),O217+P217-$E$18,"")</x:f>
        <x:v>1402529.6480698662</x:v>
      </x:c>
      <x:c r="V217" s="416" t="n">
        <x:f>IF(AND(S217&gt;0,ISNUMBER(U217)),U217/S217,"")</x:f>
        <x:v>6.713936712432223</x:v>
      </x:c>
      <x:c r="W217" s="418" t="n">
        <x:f>IF(AND(S217&gt;0,ISNUMBER(T217)),T217/S217,"")</x:f>
        <x:v>7.713936712432223</x:v>
      </x:c>
      <x:c r="X217" s="412" t="n">
        <x:f>IF($B$136="No",0,IF(AND(ISNUMBER(L217),OR(17&lt;&gt;$B$134,ISNUMBER(O217))),MAX(0,-(L217+IF(17=$B$134,O217,0))),0))</x:f>
        <x:v>0</x:v>
      </x:c>
      <x:c r="Y217" s="412" t="n">
        <x:f>IF(AND(ISNUMBER(Y216),ISNUMBER($D$138),$D$138&gt;=-1),Y216+Y216*$D$138-0+X217,"")</x:f>
        <x:v>763630.2580144954</x:v>
      </x:c>
      <x:c r="Z217" s="412" t="n">
        <x:f>IF(AND(ISNUMBER(Y216),ISNUMBER($D$138),$D$138&gt;=-1),Z216+0,"")</x:f>
        <x:v>0</x:v>
      </x:c>
      <x:c r="AA217" s="412" t="n">
        <x:f>IF(ISNUMBER(AA216),AA216+X217,"")</x:f>
        <x:v>208898.25271554862</x:v>
      </x:c>
      <x:c r="AB217" s="412" t="n">
        <x:f>IF(AND(ISNUMBER(Y217),ISNUMBER(Z217),ISNUMBER(AA217)),Y217+Z217-AA217,"")</x:f>
        <x:v>554732.0052989468</x:v>
      </x:c>
      <x:c r="AC217" s="416" t="n">
        <x:f>IF(AND(AA217&gt;0,ISNUMBER(AB217)),AB217/AA217,"")</x:f>
        <x:v>2.655512902036146</x:v>
      </x:c>
      <x:c r="AD217" s="412" t="n">
        <x:f>IF(AND(ISNUMBER(AD216),ISNUMBER($G$138),$G$138&gt;=0),AD216+AD216*$G$138-IF(AND($J$134="Cash payout",$G$138&gt;=0),AD216*$G$138,0)+X217,"")</x:f>
        <x:v>475030.04692448094</x:v>
      </x:c>
      <x:c r="AE217" s="412" t="n">
        <x:f>IF(AND(ISNUMBER(AD216),ISNUMBER($G$138),$G$138&gt;=0),AE216+IF(AND($J$134="Cash payout",$G$138&gt;=0),AD216*$G$138,0),"")</x:f>
        <x:v>0</x:v>
      </x:c>
      <x:c r="AF217" s="412" t="n">
        <x:f>IF(ISNUMBER(AF216),AF216+X217,"")</x:f>
        <x:v>208898.25271554862</x:v>
      </x:c>
      <x:c r="AG217" s="412" t="n">
        <x:f>IF(AND(ISNUMBER(AD217),ISNUMBER(AE217),ISNUMBER(AF217)),AD217+AE217-AF217,"")</x:f>
        <x:v>266131.7942089323</x:v>
      </x:c>
      <x:c r="AH217" s="416" t="n">
        <x:f>IF(AND(AF217&gt;0,ISNUMBER(AG217)),AG217/AF217,"")</x:f>
        <x:v>1.273978076644409</x:v>
      </x:c>
      <x:c r="AI217" s="412" t="n">
        <x:f>IF(AND(ISNUMBER(AI216),ISNUMBER($J$138),$J$138&gt;=-1),AI216+AI216*$J$138-IF(AND($J$134="Cash payout",$J$138&gt;=0),AI216*$J$138,0)+X217,"")</x:f>
        <x:v>475030.04692448094</x:v>
      </x:c>
      <x:c r="AJ217" s="412" t="n">
        <x:f>IF(AND(ISNUMBER(AI216),ISNUMBER($J$138),$J$138&gt;=-1),AJ216+IF(AND($J$134="Cash payout",$J$138&gt;=0),AI216*$J$138,0),"")</x:f>
        <x:v>0</x:v>
      </x:c>
      <x:c r="AK217" s="412" t="n">
        <x:f>IF(ISNUMBER(AK216),AK216+X217,"")</x:f>
        <x:v>208898.25271554862</x:v>
      </x:c>
      <x:c r="AL217" s="412" t="n">
        <x:f>IF(AND(ISNUMBER(AI217),ISNUMBER(AJ217),ISNUMBER(AK217)),AI217+AJ217-AK217,"")</x:f>
        <x:v>266131.7942089323</x:v>
      </x:c>
      <x:c r="AM217" s="416" t="n">
        <x:f>IF(AND(AK217&gt;0,ISNUMBER(AL217)),AL217/AK217,"")</x:f>
        <x:v>1.273978076644409</x:v>
      </x:c>
    </x:row>
    <x:row r="218" ht="24" customHeight="1">
      <x:c r="A218" s="419" t="n">
        <x:f>18</x:f>
        <x:v>18</x:v>
      </x:c>
      <x:c r="B218" s="414" t="n">
        <x:v>0</x:v>
      </x:c>
      <x:c r="C218" s="412" t="n">
        <x:f>IF(AND(ISNUMBER($H$17),ISNUMBER($J$73),$J$73&gt;-1,$J$73&lt;=5),$H$17*(1+$J$73)^(18-1),"")</x:f>
        <x:v>151936.2386533899</x:v>
      </x:c>
      <x:c r="D218" s="412" t="n">
        <x:f>IF(AND(ISNUMBER($H$18),ISNUMBER($J$74),$J$74&gt;-1,$J$74&lt;=5),$H$18*(1+$J$74)^(18-1),"")</x:f>
        <x:v>49585.428968152555</x:v>
      </x:c>
      <x:c r="E218" s="412" t="n">
        <x:f>IF(AND(ISNUMBER($H$22),ISNUMBER($J$74),$J$74&gt;-1,$J$74&lt;=5),$H$22*(1+$J$74)^(18-1),"")</x:f>
        <x:v>0</x:v>
      </x:c>
      <x:c r="F218" s="412" t="n">
        <x:f>IF(AND(ISNUMBER(C218),ISNUMBER(D218)),C218-D218,"")</x:f>
        <x:v>102350.80968523736</x:v>
      </x:c>
      <x:c r="G218" s="412" t="n">
        <x:f>IF(AND(ISNUMBER(F218),ISNUMBER(E218)),F218-E218,"")</x:f>
        <x:v>102350.80968523736</x:v>
      </x:c>
      <x:c r="H218" s="412" t="n">
        <x:f>IF(COUNT(M605:M616)=12,SUM(M605:M616),"")</x:f>
        <x:v>56153.40867888716</x:v>
      </x:c>
      <x:c r="I218" s="412" t="n">
        <x:f>SUM(E605:E616)</x:f>
        <x:v>0</x:v>
      </x:c>
      <x:c r="J218" s="412" t="n">
        <x:f>SUM(F605:F616)</x:f>
        <x:v>0</x:v>
      </x:c>
      <x:c r="K218" s="412" t="n">
        <x:f>SUM(G605:G616)</x:f>
        <x:v>0</x:v>
      </x:c>
      <x:c r="L218" s="412" t="n">
        <x:f>IF(AND(ISNUMBER(G218),ISNUMBER(H218),ISNUMBER(J218),ISNUMBER(K218)),G218-H218-B218-J218-K218,"")</x:f>
        <x:v>46197.4010063502</x:v>
      </x:c>
      <x:c r="M218" s="412" t="n">
        <x:f>IF(ISNUMBER(N616),N616,"")</x:f>
        <x:v>473227.8220819603</x:v>
      </x:c>
      <x:c r="N218" s="412" t="n">
        <x:f>IF(ISNUMBER($J$77),IF(AND($J$77&gt;0,$J$77&lt;=1,ISNUMBER($H$17),ISNUMBER($H$18),ISNUMBER($J$73),$J$73&gt;-1,$J$73&lt;=5,ISNUMBER($J$74),$J$74&gt;-1,$J$74&lt;=5),($H$17*(1+$J$73)^18-$H$18*(1+$J$74)^18)/$J$77,""),IF(AND($J$77="",ISNUMBER($B$15),$B$15&gt;0,ISNUMBER($J$72),$J$72&gt;-1,$J$72&lt;=5),$B$15*(1+$J$72)^18,""))</x:f>
        <x:v>1924525.689609606</x:v>
      </x:c>
      <x:c r="O218" s="412" t="n">
        <x:f>IF(AND(ISNUMBER(N218),ISNUMBER(M218)),N218*(1-$J$75)-M218,"")</x:f>
        <x:v>1451297.8675276458</x:v>
      </x:c>
      <x:c r="P218" s="412" t="n">
        <x:f>IF(AND(ISNUMBER(P217),ISNUMBER(L218)),P217+L218,"")</x:f>
        <x:v>287147.78752826375</x:v>
      </x:c>
      <x:c r="Q218" s="412" t="n">
        <x:f>IF(AND(ISNUMBER(Q217),ISNUMBER(L218)),Q217+MAX(0,-L218),"")</x:f>
        <x:v>208898.25271554862</x:v>
      </x:c>
      <x:c r="R218" s="412" t="n">
        <x:f>IF(AND(ISNUMBER(R217),ISNUMBER(L218)),R217+MAX(0,L218),"")</x:f>
        <x:v>306046.0402438124</x:v>
      </x:c>
      <x:c r="S218" s="412" t="n">
        <x:f>IF(AND(ISNUMBER(Q217),ISNUMBER(L218),ISNUMBER(O218)),Q217+MAX(0,-(L218+O218)),"")</x:f>
        <x:v>208898.25271554862</x:v>
      </x:c>
      <x:c r="T218" s="412" t="n">
        <x:f>IF(AND(ISNUMBER(R217),ISNUMBER(L218),ISNUMBER(O218)),R217+MAX(0,L218+O218),"")</x:f>
        <x:v>1757343.9077714584</x:v>
      </x:c>
      <x:c r="U218" s="412" t="n">
        <x:f>IF(AND(ISNUMBER(O218),ISNUMBER(P218),ISNUMBER($E$18)),O218+P218-$E$18,"")</x:f>
        <x:v>1548445.6550559094</x:v>
      </x:c>
      <x:c r="V218" s="416" t="n">
        <x:f>IF(AND(S218&gt;0,ISNUMBER(U218)),U218/S218,"")</x:f>
        <x:v>7.412439476764739</x:v>
      </x:c>
      <x:c r="W218" s="418" t="n">
        <x:f>IF(AND(S218&gt;0,ISNUMBER(T218)),T218/S218,"")</x:f>
        <x:v>8.41243947676474</x:v>
      </x:c>
      <x:c r="X218" s="412" t="n">
        <x:f>IF($B$136="No",0,IF(AND(ISNUMBER(L218),OR(18&lt;&gt;$B$134,ISNUMBER(O218))),MAX(0,-(L218+IF(18=$B$134,O218,0))),0))</x:f>
        <x:v>0</x:v>
      </x:c>
      <x:c r="Y218" s="412" t="n">
        <x:f>IF(AND(ISNUMBER(Y217),ISNUMBER($D$138),$D$138&gt;=-1),Y217+Y217*$D$138-0+X218,"")</x:f>
        <x:v>824720.678655655</x:v>
      </x:c>
      <x:c r="Z218" s="412" t="n">
        <x:f>IF(AND(ISNUMBER(Y217),ISNUMBER($D$138),$D$138&gt;=-1),Z217+0,"")</x:f>
        <x:v>0</x:v>
      </x:c>
      <x:c r="AA218" s="412" t="n">
        <x:f>IF(ISNUMBER(AA217),AA217+X218,"")</x:f>
        <x:v>208898.25271554862</x:v>
      </x:c>
      <x:c r="AB218" s="412" t="n">
        <x:f>IF(AND(ISNUMBER(Y218),ISNUMBER(Z218),ISNUMBER(AA218)),Y218+Z218-AA218,"")</x:f>
        <x:v>615822.4259401064</x:v>
      </x:c>
      <x:c r="AC218" s="416" t="n">
        <x:f>IF(AND(AA218&gt;0,ISNUMBER(AB218)),AB218/AA218,"")</x:f>
        <x:v>2.9479539341990377</x:v>
      </x:c>
      <x:c r="AD218" s="412" t="n">
        <x:f>IF(AND(ISNUMBER(AD217),ISNUMBER($G$138),$G$138&gt;=0),AD217+AD217*$G$138-IF(AND($J$134="Cash payout",$G$138&gt;=0),AD217*$G$138,0)+X218,"")</x:f>
        <x:v>498781.54927070497</x:v>
      </x:c>
      <x:c r="AE218" s="412" t="n">
        <x:f>IF(AND(ISNUMBER(AD217),ISNUMBER($G$138),$G$138&gt;=0),AE217+IF(AND($J$134="Cash payout",$G$138&gt;=0),AD217*$G$138,0),"")</x:f>
        <x:v>0</x:v>
      </x:c>
      <x:c r="AF218" s="412" t="n">
        <x:f>IF(ISNUMBER(AF217),AF217+X218,"")</x:f>
        <x:v>208898.25271554862</x:v>
      </x:c>
      <x:c r="AG218" s="412" t="n">
        <x:f>IF(AND(ISNUMBER(AD218),ISNUMBER(AE218),ISNUMBER(AF218)),AD218+AE218-AF218,"")</x:f>
        <x:v>289883.29655515635</x:v>
      </x:c>
      <x:c r="AH218" s="416" t="n">
        <x:f>IF(AND(AF218&gt;0,ISNUMBER(AG218)),AG218/AF218,"")</x:f>
        <x:v>1.3876769804766294</x:v>
      </x:c>
      <x:c r="AI218" s="412" t="n">
        <x:f>IF(AND(ISNUMBER(AI217),ISNUMBER($J$138),$J$138&gt;=-1),AI217+AI217*$J$138-IF(AND($J$134="Cash payout",$J$138&gt;=0),AI217*$J$138,0)+X218,"")</x:f>
        <x:v>498781.54927070497</x:v>
      </x:c>
      <x:c r="AJ218" s="412" t="n">
        <x:f>IF(AND(ISNUMBER(AI217),ISNUMBER($J$138),$J$138&gt;=-1),AJ217+IF(AND($J$134="Cash payout",$J$138&gt;=0),AI217*$J$138,0),"")</x:f>
        <x:v>0</x:v>
      </x:c>
      <x:c r="AK218" s="412" t="n">
        <x:f>IF(ISNUMBER(AK217),AK217+X218,"")</x:f>
        <x:v>208898.25271554862</x:v>
      </x:c>
      <x:c r="AL218" s="412" t="n">
        <x:f>IF(AND(ISNUMBER(AI218),ISNUMBER(AJ218),ISNUMBER(AK218)),AI218+AJ218-AK218,"")</x:f>
        <x:v>289883.29655515635</x:v>
      </x:c>
      <x:c r="AM218" s="416" t="n">
        <x:f>IF(AND(AK218&gt;0,ISNUMBER(AL218)),AL218/AK218,"")</x:f>
        <x:v>1.3876769804766294</x:v>
      </x:c>
    </x:row>
    <x:row r="219" ht="24" customHeight="1">
      <x:c r="A219" s="419" t="n">
        <x:f>19</x:f>
        <x:v>19</x:v>
      </x:c>
      <x:c r="B219" s="414" t="n">
        <x:v>0</x:v>
      </x:c>
      <x:c r="C219" s="412" t="n">
        <x:f>IF(AND(ISNUMBER($H$17),ISNUMBER($J$73),$J$73&gt;-1,$J$73&lt;=5),$H$17*(1+$J$73)^(19-1),"")</x:f>
        <x:v>158013.68819952555</x:v>
      </x:c>
      <x:c r="D219" s="412" t="n">
        <x:f>IF(AND(ISNUMBER($H$18),ISNUMBER($J$74),$J$74&gt;-1,$J$74&lt;=5),$H$18*(1+$J$74)^(19-1),"")</x:f>
        <x:v>51072.991837197136</x:v>
      </x:c>
      <x:c r="E219" s="412" t="n">
        <x:f>IF(AND(ISNUMBER($H$22),ISNUMBER($J$74),$J$74&gt;-1,$J$74&lt;=5),$H$22*(1+$J$74)^(19-1),"")</x:f>
        <x:v>0</x:v>
      </x:c>
      <x:c r="F219" s="412" t="n">
        <x:f>IF(AND(ISNUMBER(C219),ISNUMBER(D219)),C219-D219,"")</x:f>
        <x:v>106940.69636232842</x:v>
      </x:c>
      <x:c r="G219" s="412" t="n">
        <x:f>IF(AND(ISNUMBER(F219),ISNUMBER(E219)),F219-E219,"")</x:f>
        <x:v>106940.69636232842</x:v>
      </x:c>
      <x:c r="H219" s="412" t="n">
        <x:f>IF(COUNT(M617:M628)=12,SUM(M617:M628),"")</x:f>
        <x:v>56153.40867888716</x:v>
      </x:c>
      <x:c r="I219" s="412" t="n">
        <x:f>SUM(E617:E628)</x:f>
        <x:v>0</x:v>
      </x:c>
      <x:c r="J219" s="412" t="n">
        <x:f>SUM(F617:F628)</x:f>
        <x:v>0</x:v>
      </x:c>
      <x:c r="K219" s="412" t="n">
        <x:f>SUM(G617:G628)</x:f>
        <x:v>0</x:v>
      </x:c>
      <x:c r="L219" s="412" t="n">
        <x:f>IF(AND(ISNUMBER(G219),ISNUMBER(H219),ISNUMBER(J219),ISNUMBER(K219)),G219-H219-B219-J219-K219,"")</x:f>
        <x:v>50787.28768344127</x:v>
      </x:c>
      <x:c r="M219" s="412" t="n">
        <x:f>IF(ISNUMBER(N628),N628,"")</x:f>
        <x:v>445876.46803955454</x:v>
      </x:c>
      <x:c r="N219" s="412" t="n">
        <x:f>IF(ISNUMBER($J$77),IF(AND($J$77&gt;0,$J$77&lt;=1,ISNUMBER($H$17),ISNUMBER($H$18),ISNUMBER($J$73),$J$73&gt;-1,$J$73&lt;=5,ISNUMBER($J$74),$J$74&gt;-1,$J$74&lt;=5),($H$17*(1+$J$73)^19-$H$18*(1+$J$74)^19)/$J$77,""),IF(AND($J$77="",ISNUMBER($B$15),$B$15&gt;0,ISNUMBER($J$72),$J$72&gt;-1,$J$72&lt;=5),$B$15*(1+$J$72)^19,""))</x:f>
        <x:v>2001506.7171939902</x:v>
      </x:c>
      <x:c r="O219" s="412" t="n">
        <x:f>IF(AND(ISNUMBER(N219),ISNUMBER(M219)),N219*(1-$J$75)-M219,"")</x:f>
        <x:v>1555630.2491544357</x:v>
      </x:c>
      <x:c r="P219" s="412" t="n">
        <x:f>IF(AND(ISNUMBER(P218),ISNUMBER(L219)),P218+L219,"")</x:f>
        <x:v>337935.075211705</x:v>
      </x:c>
      <x:c r="Q219" s="412" t="n">
        <x:f>IF(AND(ISNUMBER(Q218),ISNUMBER(L219)),Q218+MAX(0,-L219),"")</x:f>
        <x:v>208898.25271554862</x:v>
      </x:c>
      <x:c r="R219" s="412" t="n">
        <x:f>IF(AND(ISNUMBER(R218),ISNUMBER(L219)),R218+MAX(0,L219),"")</x:f>
        <x:v>356833.3279272536</x:v>
      </x:c>
      <x:c r="S219" s="412" t="n">
        <x:f>IF(AND(ISNUMBER(Q218),ISNUMBER(L219),ISNUMBER(O219)),Q218+MAX(0,-(L219+O219)),"")</x:f>
        <x:v>208898.25271554862</x:v>
      </x:c>
      <x:c r="T219" s="412" t="n">
        <x:f>IF(AND(ISNUMBER(R218),ISNUMBER(L219),ISNUMBER(O219)),R218+MAX(0,L219+O219),"")</x:f>
        <x:v>1912463.5770816894</x:v>
      </x:c>
      <x:c r="U219" s="412" t="n">
        <x:f>IF(AND(ISNUMBER(O219),ISNUMBER(P219),ISNUMBER($E$18)),O219+P219-$E$18,"")</x:f>
        <x:v>1703565.3243661406</x:v>
      </x:c>
      <x:c r="V219" s="416" t="n">
        <x:f>IF(AND(S219&gt;0,ISNUMBER(U219)),U219/S219,"")</x:f>
        <x:v>8.155000351706349</x:v>
      </x:c>
      <x:c r="W219" s="418" t="n">
        <x:f>IF(AND(S219&gt;0,ISNUMBER(T219)),T219/S219,"")</x:f>
        <x:v>9.155000351706349</x:v>
      </x:c>
      <x:c r="X219" s="412" t="n">
        <x:f>IF($B$136="No",0,IF(AND(ISNUMBER(L219),OR(19&lt;&gt;$B$134,ISNUMBER(O219))),MAX(0,-(L219+IF(19=$B$134,O219,0))),0))</x:f>
        <x:v>0</x:v>
      </x:c>
      <x:c r="Y219" s="412" t="n">
        <x:f>IF(AND(ISNUMBER(Y218),ISNUMBER($D$138),$D$138&gt;=-1),Y218+Y218*$D$138-0+X219,"")</x:f>
        <x:v>890698.3329481074</x:v>
      </x:c>
      <x:c r="Z219" s="412" t="n">
        <x:f>IF(AND(ISNUMBER(Y218),ISNUMBER($D$138),$D$138&gt;=-1),Z218+0,"")</x:f>
        <x:v>0</x:v>
      </x:c>
      <x:c r="AA219" s="412" t="n">
        <x:f>IF(ISNUMBER(AA218),AA218+X219,"")</x:f>
        <x:v>208898.25271554862</x:v>
      </x:c>
      <x:c r="AB219" s="412" t="n">
        <x:f>IF(AND(ISNUMBER(Y219),ISNUMBER(Z219),ISNUMBER(AA219)),Y219+Z219-AA219,"")</x:f>
        <x:v>681800.0802325588</x:v>
      </x:c>
      <x:c r="AC219" s="416" t="n">
        <x:f>IF(AND(AA219&gt;0,ISNUMBER(AB219)),AB219/AA219,"")</x:f>
        <x:v>3.263790248934961</x:v>
      </x:c>
      <x:c r="AD219" s="412" t="n">
        <x:f>IF(AND(ISNUMBER(AD218),ISNUMBER($G$138),$G$138&gt;=0),AD218+AD218*$G$138-IF(AND($J$134="Cash payout",$G$138&gt;=0),AD218*$G$138,0)+X219,"")</x:f>
        <x:v>523720.6267342402</x:v>
      </x:c>
      <x:c r="AE219" s="412" t="n">
        <x:f>IF(AND(ISNUMBER(AD218),ISNUMBER($G$138),$G$138&gt;=0),AE218+IF(AND($J$134="Cash payout",$G$138&gt;=0),AD218*$G$138,0),"")</x:f>
        <x:v>0</x:v>
      </x:c>
      <x:c r="AF219" s="412" t="n">
        <x:f>IF(ISNUMBER(AF218),AF218+X219,"")</x:f>
        <x:v>208898.25271554862</x:v>
      </x:c>
      <x:c r="AG219" s="412" t="n">
        <x:f>IF(AND(ISNUMBER(AD219),ISNUMBER(AE219),ISNUMBER(AF219)),AD219+AE219-AF219,"")</x:f>
        <x:v>314822.3740186916</x:v>
      </x:c>
      <x:c r="AH219" s="416" t="n">
        <x:f>IF(AND(AF219&gt;0,ISNUMBER(AG219)),AG219/AF219,"")</x:f>
        <x:v>1.5070608295004608</x:v>
      </x:c>
      <x:c r="AI219" s="412" t="n">
        <x:f>IF(AND(ISNUMBER(AI218),ISNUMBER($J$138),$J$138&gt;=-1),AI218+AI218*$J$138-IF(AND($J$134="Cash payout",$J$138&gt;=0),AI218*$J$138,0)+X219,"")</x:f>
        <x:v>523720.6267342402</x:v>
      </x:c>
      <x:c r="AJ219" s="412" t="n">
        <x:f>IF(AND(ISNUMBER(AI218),ISNUMBER($J$138),$J$138&gt;=-1),AJ218+IF(AND($J$134="Cash payout",$J$138&gt;=0),AI218*$J$138,0),"")</x:f>
        <x:v>0</x:v>
      </x:c>
      <x:c r="AK219" s="412" t="n">
        <x:f>IF(ISNUMBER(AK218),AK218+X219,"")</x:f>
        <x:v>208898.25271554862</x:v>
      </x:c>
      <x:c r="AL219" s="412" t="n">
        <x:f>IF(AND(ISNUMBER(AI219),ISNUMBER(AJ219),ISNUMBER(AK219)),AI219+AJ219-AK219,"")</x:f>
        <x:v>314822.3740186916</x:v>
      </x:c>
      <x:c r="AM219" s="416" t="n">
        <x:f>IF(AND(AK219&gt;0,ISNUMBER(AL219)),AL219/AK219,"")</x:f>
        <x:v>1.5070608295004608</x:v>
      </x:c>
    </x:row>
    <x:row r="220" ht="24" customHeight="1">
      <x:c r="A220" s="419" t="n">
        <x:f>20</x:f>
        <x:v>20</x:v>
      </x:c>
      <x:c r="B220" s="414" t="n">
        <x:v>0</x:v>
      </x:c>
      <x:c r="C220" s="412" t="n">
        <x:f>IF(AND(ISNUMBER($H$17),ISNUMBER($J$73),$J$73&gt;-1,$J$73&lt;=5),$H$17*(1+$J$73)^(20-1),"")</x:f>
        <x:v>164334.23572750654</x:v>
      </x:c>
      <x:c r="D220" s="412" t="n">
        <x:f>IF(AND(ISNUMBER($H$18),ISNUMBER($J$74),$J$74&gt;-1,$J$74&lt;=5),$H$18*(1+$J$74)^(20-1),"")</x:f>
        <x:v>52605.18159231305</x:v>
      </x:c>
      <x:c r="E220" s="412" t="n">
        <x:f>IF(AND(ISNUMBER($H$22),ISNUMBER($J$74),$J$74&gt;-1,$J$74&lt;=5),$H$22*(1+$J$74)^(20-1),"")</x:f>
        <x:v>0</x:v>
      </x:c>
      <x:c r="F220" s="412" t="n">
        <x:f>IF(AND(ISNUMBER(C220),ISNUMBER(D220)),C220-D220,"")</x:f>
        <x:v>111729.0541351935</x:v>
      </x:c>
      <x:c r="G220" s="412" t="n">
        <x:f>IF(AND(ISNUMBER(F220),ISNUMBER(E220)),F220-E220,"")</x:f>
        <x:v>111729.0541351935</x:v>
      </x:c>
      <x:c r="H220" s="412" t="n">
        <x:f>IF(COUNT(M629:M640)=12,SUM(M629:M640),"")</x:f>
        <x:v>56153.40867888716</x:v>
      </x:c>
      <x:c r="I220" s="412" t="n">
        <x:f>SUM(E629:E640)</x:f>
        <x:v>0</x:v>
      </x:c>
      <x:c r="J220" s="412" t="n">
        <x:f>SUM(F629:F640)</x:f>
        <x:v>0</x:v>
      </x:c>
      <x:c r="K220" s="412" t="n">
        <x:f>SUM(G629:G640)</x:f>
        <x:v>0</x:v>
      </x:c>
      <x:c r="L220" s="412" t="n">
        <x:f>IF(AND(ISNUMBER(G220),ISNUMBER(H220),ISNUMBER(J220),ISNUMBER(K220)),G220-H220-B220-J220-K220,"")</x:f>
        <x:v>55575.64545630634</x:v>
      </x:c>
      <x:c r="M220" s="412" t="n">
        <x:f>IF(ISNUMBER(N640),N640,"")</x:f>
        <x:v>416765.82527320064</x:v>
      </x:c>
      <x:c r="N220" s="412" t="n">
        <x:f>IF(ISNUMBER($J$77),IF(AND($J$77&gt;0,$J$77&lt;=1,ISNUMBER($H$17),ISNUMBER($H$18),ISNUMBER($J$73),$J$73&gt;-1,$J$73&lt;=5,ISNUMBER($J$74),$J$74&gt;-1,$J$74&lt;=5),($H$17*(1+$J$73)^20-$H$18*(1+$J$74)^20)/$J$77,""),IF(AND($J$77="",ISNUMBER($B$15),$B$15&gt;0,ISNUMBER($J$72),$J$72&gt;-1,$J$72&lt;=5),$B$15*(1+$J$72)^20,""))</x:f>
        <x:v>2081566.9858817498</x:v>
      </x:c>
      <x:c r="O220" s="412" t="n">
        <x:f>IF(AND(ISNUMBER(N220),ISNUMBER(M220)),N220*(1-$J$75)-M220,"")</x:f>
        <x:v>1664801.1606085491</x:v>
      </x:c>
      <x:c r="P220" s="412" t="n">
        <x:f>IF(AND(ISNUMBER(P219),ISNUMBER(L220)),P219+L220,"")</x:f>
        <x:v>393510.72066801134</x:v>
      </x:c>
      <x:c r="Q220" s="412" t="n">
        <x:f>IF(AND(ISNUMBER(Q219),ISNUMBER(L220)),Q219+MAX(0,-L220),"")</x:f>
        <x:v>208898.25271554862</x:v>
      </x:c>
      <x:c r="R220" s="412" t="n">
        <x:f>IF(AND(ISNUMBER(R219),ISNUMBER(L220)),R219+MAX(0,L220),"")</x:f>
        <x:v>412408.97338355996</x:v>
      </x:c>
      <x:c r="S220" s="412" t="n">
        <x:f>IF(AND(ISNUMBER(Q219),ISNUMBER(L220),ISNUMBER(O220)),Q219+MAX(0,-(L220+O220)),"")</x:f>
        <x:v>208898.25271554862</x:v>
      </x:c>
      <x:c r="T220" s="412" t="n">
        <x:f>IF(AND(ISNUMBER(R219),ISNUMBER(L220),ISNUMBER(O220)),R219+MAX(0,L220+O220),"")</x:f>
        <x:v>2077210.1339921092</x:v>
      </x:c>
      <x:c r="U220" s="412" t="n">
        <x:f>IF(AND(ISNUMBER(O220),ISNUMBER(P220),ISNUMBER($E$18)),O220+P220-$E$18,"")</x:f>
        <x:v>1868311.8812765605</x:v>
      </x:c>
      <x:c r="V220" s="416" t="n">
        <x:f>IF(AND(S220&gt;0,ISNUMBER(U220)),U220/S220,"")</x:f>
        <x:v>8.943645324887388</x:v>
      </x:c>
      <x:c r="W220" s="418" t="n">
        <x:f>IF(AND(S220&gt;0,ISNUMBER(T220)),T220/S220,"")</x:f>
        <x:v>9.943645324887388</x:v>
      </x:c>
      <x:c r="X220" s="412" t="n">
        <x:f>IF($B$136="No",0,IF(AND(ISNUMBER(L220),OR(20&lt;&gt;$B$134,ISNUMBER(O220))),MAX(0,-(L220+IF(20=$B$134,O220,0))),0))</x:f>
        <x:v>0</x:v>
      </x:c>
      <x:c r="Y220" s="412" t="n">
        <x:f>IF(AND(ISNUMBER(Y219),ISNUMBER($D$138),$D$138&gt;=-1),Y219+Y219*$D$138-0+X220,"")</x:f>
        <x:v>961954.199583956</x:v>
      </x:c>
      <x:c r="Z220" s="412" t="n">
        <x:f>IF(AND(ISNUMBER(Y219),ISNUMBER($D$138),$D$138&gt;=-1),Z219+0,"")</x:f>
        <x:v>0</x:v>
      </x:c>
      <x:c r="AA220" s="412" t="n">
        <x:f>IF(ISNUMBER(AA219),AA219+X220,"")</x:f>
        <x:v>208898.25271554862</x:v>
      </x:c>
      <x:c r="AB220" s="412" t="n">
        <x:f>IF(AND(ISNUMBER(Y220),ISNUMBER(Z220),ISNUMBER(AA220)),Y220+Z220-AA220,"")</x:f>
        <x:v>753055.9468684074</x:v>
      </x:c>
      <x:c r="AC220" s="416" t="n">
        <x:f>IF(AND(AA220&gt;0,ISNUMBER(AB220)),AB220/AA220,"")</x:f>
        <x:v>3.604893468849758</x:v>
      </x:c>
      <x:c r="AD220" s="412" t="n">
        <x:f>IF(AND(ISNUMBER(AD219),ISNUMBER($G$138),$G$138&gt;=0),AD219+AD219*$G$138-IF(AND($J$134="Cash payout",$G$138&gt;=0),AD219*$G$138,0)+X220,"")</x:f>
        <x:v>549906.6580709522</x:v>
      </x:c>
      <x:c r="AE220" s="412" t="n">
        <x:f>IF(AND(ISNUMBER(AD219),ISNUMBER($G$138),$G$138&gt;=0),AE219+IF(AND($J$134="Cash payout",$G$138&gt;=0),AD219*$G$138,0),"")</x:f>
        <x:v>0</x:v>
      </x:c>
      <x:c r="AF220" s="412" t="n">
        <x:f>IF(ISNUMBER(AF219),AF219+X220,"")</x:f>
        <x:v>208898.25271554862</x:v>
      </x:c>
      <x:c r="AG220" s="412" t="n">
        <x:f>IF(AND(ISNUMBER(AD220),ISNUMBER(AE220),ISNUMBER(AF220)),AD220+AE220-AF220,"")</x:f>
        <x:v>341008.40535540355</x:v>
      </x:c>
      <x:c r="AH220" s="416" t="n">
        <x:f>IF(AND(AF220&gt;0,ISNUMBER(AG220)),AG220/AF220,"")</x:f>
        <x:v>1.6324138709754836</x:v>
      </x:c>
      <x:c r="AI220" s="412" t="n">
        <x:f>IF(AND(ISNUMBER(AI219),ISNUMBER($J$138),$J$138&gt;=-1),AI219+AI219*$J$138-IF(AND($J$134="Cash payout",$J$138&gt;=0),AI219*$J$138,0)+X220,"")</x:f>
        <x:v>549906.6580709522</x:v>
      </x:c>
      <x:c r="AJ220" s="412" t="n">
        <x:f>IF(AND(ISNUMBER(AI219),ISNUMBER($J$138),$J$138&gt;=-1),AJ219+IF(AND($J$134="Cash payout",$J$138&gt;=0),AI219*$J$138,0),"")</x:f>
        <x:v>0</x:v>
      </x:c>
      <x:c r="AK220" s="412" t="n">
        <x:f>IF(ISNUMBER(AK219),AK219+X220,"")</x:f>
        <x:v>208898.25271554862</x:v>
      </x:c>
      <x:c r="AL220" s="412" t="n">
        <x:f>IF(AND(ISNUMBER(AI220),ISNUMBER(AJ220),ISNUMBER(AK220)),AI220+AJ220-AK220,"")</x:f>
        <x:v>341008.40535540355</x:v>
      </x:c>
      <x:c r="AM220" s="416" t="n">
        <x:f>IF(AND(AK220&gt;0,ISNUMBER(AL220)),AL220/AK220,"")</x:f>
        <x:v>1.6324138709754836</x:v>
      </x:c>
    </x:row>
    <x:row r="221" ht="24" customHeight="1">
      <x:c r="A221" s="419" t="n">
        <x:f>21</x:f>
        <x:v>21</x:v>
      </x:c>
      <x:c r="B221" s="414" t="n">
        <x:v>0</x:v>
      </x:c>
      <x:c r="C221" s="412" t="n">
        <x:f>IF(AND(ISNUMBER($H$17),ISNUMBER($J$73),$J$73&gt;-1,$J$73&lt;=5),$H$17*(1+$J$73)^(21-1),"")</x:f>
        <x:v>170907.60515660682</x:v>
      </x:c>
      <x:c r="D221" s="412" t="n">
        <x:f>IF(AND(ISNUMBER($H$18),ISNUMBER($J$74),$J$74&gt;-1,$J$74&lt;=5),$H$18*(1+$J$74)^(21-1),"")</x:f>
        <x:v>54183.33704008244</x:v>
      </x:c>
      <x:c r="E221" s="412" t="n">
        <x:f>IF(AND(ISNUMBER($H$22),ISNUMBER($J$74),$J$74&gt;-1,$J$74&lt;=5),$H$22*(1+$J$74)^(21-1),"")</x:f>
        <x:v>0</x:v>
      </x:c>
      <x:c r="F221" s="412" t="n">
        <x:f>IF(AND(ISNUMBER(C221),ISNUMBER(D221)),C221-D221,"")</x:f>
        <x:v>116724.26811652438</x:v>
      </x:c>
      <x:c r="G221" s="412" t="n">
        <x:f>IF(AND(ISNUMBER(F221),ISNUMBER(E221)),F221-E221,"")</x:f>
        <x:v>116724.26811652438</x:v>
      </x:c>
      <x:c r="H221" s="412" t="n">
        <x:f>IF(COUNT(M641:M652)=12,SUM(M641:M652),"")</x:f>
        <x:v>56153.40867888716</x:v>
      </x:c>
      <x:c r="I221" s="412" t="n">
        <x:f>SUM(E641:E652)</x:f>
        <x:v>0</x:v>
      </x:c>
      <x:c r="J221" s="412" t="n">
        <x:f>SUM(F641:F652)</x:f>
        <x:v>0</x:v>
      </x:c>
      <x:c r="K221" s="412" t="n">
        <x:f>SUM(G641:G652)</x:f>
        <x:v>0</x:v>
      </x:c>
      <x:c r="L221" s="412" t="n">
        <x:f>IF(AND(ISNUMBER(G221),ISNUMBER(H221),ISNUMBER(J221),ISNUMBER(K221)),G221-H221-B221-J221-K221,"")</x:f>
        <x:v>60570.85943763723</x:v>
      </x:c>
      <x:c r="M221" s="412" t="n">
        <x:f>IF(ISNUMBER(N652),N652,"")</x:f>
        <x:v>385782.7331397576</x:v>
      </x:c>
      <x:c r="N221" s="412" t="n">
        <x:f>IF(ISNUMBER($J$77),IF(AND($J$77&gt;0,$J$77&lt;=1,ISNUMBER($H$17),ISNUMBER($H$18),ISNUMBER($J$73),$J$73&gt;-1,$J$73&lt;=5,ISNUMBER($J$74),$J$74&gt;-1,$J$74&lt;=5),($H$17*(1+$J$73)^21-$H$18*(1+$J$74)^21)/$J$77,""),IF(AND($J$77="",ISNUMBER($B$15),$B$15&gt;0,ISNUMBER($J$72),$J$72&gt;-1,$J$72&lt;=5),$B$15*(1+$J$72)^21,""))</x:f>
        <x:v>2164829.66531702</x:v>
      </x:c>
      <x:c r="O221" s="412" t="n">
        <x:f>IF(AND(ISNUMBER(N221),ISNUMBER(M221)),N221*(1-$J$75)-M221,"")</x:f>
        <x:v>1779046.9321772624</x:v>
      </x:c>
      <x:c r="P221" s="412" t="n">
        <x:f>IF(AND(ISNUMBER(P220),ISNUMBER(L221)),P220+L221,"")</x:f>
        <x:v>454081.58010564855</x:v>
      </x:c>
      <x:c r="Q221" s="412" t="n">
        <x:f>IF(AND(ISNUMBER(Q220),ISNUMBER(L221)),Q220+MAX(0,-L221),"")</x:f>
        <x:v>208898.25271554862</x:v>
      </x:c>
      <x:c r="R221" s="412" t="n">
        <x:f>IF(AND(ISNUMBER(R220),ISNUMBER(L221)),R220+MAX(0,L221),"")</x:f>
        <x:v>472979.83282119717</x:v>
      </x:c>
      <x:c r="S221" s="412" t="n">
        <x:f>IF(AND(ISNUMBER(Q220),ISNUMBER(L221),ISNUMBER(O221)),Q220+MAX(0,-(L221+O221)),"")</x:f>
        <x:v>208898.25271554862</x:v>
      </x:c>
      <x:c r="T221" s="412" t="n">
        <x:f>IF(AND(ISNUMBER(R220),ISNUMBER(L221),ISNUMBER(O221)),R220+MAX(0,L221+O221),"")</x:f>
        <x:v>2252026.7649984597</x:v>
      </x:c>
      <x:c r="U221" s="412" t="n">
        <x:f>IF(AND(ISNUMBER(O221),ISNUMBER(P221),ISNUMBER($E$18)),O221+P221-$E$18,"")</x:f>
        <x:v>2043128.5122829108</x:v>
      </x:c>
      <x:c r="V221" s="416" t="n">
        <x:f>IF(AND(S221&gt;0,ISNUMBER(U221)),U221/S221,"")</x:f>
        <x:v>9.780495938685453</x:v>
      </x:c>
      <x:c r="W221" s="418" t="n">
        <x:f>IF(AND(S221&gt;0,ISNUMBER(T221)),T221/S221,"")</x:f>
        <x:v>10.780495938685455</x:v>
      </x:c>
      <x:c r="X221" s="412" t="n">
        <x:f>IF($B$136="No",0,IF(AND(ISNUMBER(L221),OR(21&lt;&gt;$B$134,ISNUMBER(O221))),MAX(0,-(L221+IF(21=$B$134,O221,0))),0))</x:f>
        <x:v>0</x:v>
      </x:c>
      <x:c r="Y221" s="412" t="n">
        <x:f>IF(AND(ISNUMBER(Y220),ISNUMBER($D$138),$D$138&gt;=-1),Y220+Y220*$D$138-0+X221,"")</x:f>
        <x:v>1038910.5355506726</x:v>
      </x:c>
      <x:c r="Z221" s="412" t="n">
        <x:f>IF(AND(ISNUMBER(Y220),ISNUMBER($D$138),$D$138&gt;=-1),Z220+0,"")</x:f>
        <x:v>0</x:v>
      </x:c>
      <x:c r="AA221" s="412" t="n">
        <x:f>IF(ISNUMBER(AA220),AA220+X221,"")</x:f>
        <x:v>208898.25271554862</x:v>
      </x:c>
      <x:c r="AB221" s="412" t="n">
        <x:f>IF(AND(ISNUMBER(Y221),ISNUMBER(Z221),ISNUMBER(AA221)),Y221+Z221-AA221,"")</x:f>
        <x:v>830012.282835124</x:v>
      </x:c>
      <x:c r="AC221" s="416" t="n">
        <x:f>IF(AND(AA221&gt;0,ISNUMBER(AB221)),AB221/AA221,"")</x:f>
        <x:v>3.973284946357739</x:v>
      </x:c>
      <x:c r="AD221" s="412" t="n">
        <x:f>IF(AND(ISNUMBER(AD220),ISNUMBER($G$138),$G$138&gt;=0),AD220+AD220*$G$138-IF(AND($J$134="Cash payout",$G$138&gt;=0),AD220*$G$138,0)+X221,"")</x:f>
        <x:v>577401.9909744997</x:v>
      </x:c>
      <x:c r="AE221" s="412" t="n">
        <x:f>IF(AND(ISNUMBER(AD220),ISNUMBER($G$138),$G$138&gt;=0),AE220+IF(AND($J$134="Cash payout",$G$138&gt;=0),AD220*$G$138,0),"")</x:f>
        <x:v>0</x:v>
      </x:c>
      <x:c r="AF221" s="412" t="n">
        <x:f>IF(ISNUMBER(AF220),AF220+X221,"")</x:f>
        <x:v>208898.25271554862</x:v>
      </x:c>
      <x:c r="AG221" s="412" t="n">
        <x:f>IF(AND(ISNUMBER(AD221),ISNUMBER(AE221),ISNUMBER(AF221)),AD221+AE221-AF221,"")</x:f>
        <x:v>368503.7382589511</x:v>
      </x:c>
      <x:c r="AH221" s="416" t="n">
        <x:f>IF(AND(AF221&gt;0,ISNUMBER(AG221)),AG221/AF221,"")</x:f>
        <x:v>1.7640345645242577</x:v>
      </x:c>
      <x:c r="AI221" s="412" t="n">
        <x:f>IF(AND(ISNUMBER(AI220),ISNUMBER($J$138),$J$138&gt;=-1),AI220+AI220*$J$138-IF(AND($J$134="Cash payout",$J$138&gt;=0),AI220*$J$138,0)+X221,"")</x:f>
        <x:v>577401.9909744997</x:v>
      </x:c>
      <x:c r="AJ221" s="412" t="n">
        <x:f>IF(AND(ISNUMBER(AI220),ISNUMBER($J$138),$J$138&gt;=-1),AJ220+IF(AND($J$134="Cash payout",$J$138&gt;=0),AI220*$J$138,0),"")</x:f>
        <x:v>0</x:v>
      </x:c>
      <x:c r="AK221" s="412" t="n">
        <x:f>IF(ISNUMBER(AK220),AK220+X221,"")</x:f>
        <x:v>208898.25271554862</x:v>
      </x:c>
      <x:c r="AL221" s="412" t="n">
        <x:f>IF(AND(ISNUMBER(AI221),ISNUMBER(AJ221),ISNUMBER(AK221)),AI221+AJ221-AK221,"")</x:f>
        <x:v>368503.7382589511</x:v>
      </x:c>
      <x:c r="AM221" s="416" t="n">
        <x:f>IF(AND(AK221&gt;0,ISNUMBER(AL221)),AL221/AK221,"")</x:f>
        <x:v>1.7640345645242577</x:v>
      </x:c>
    </x:row>
    <x:row r="222" ht="24" customHeight="1">
      <x:c r="A222" s="419" t="n">
        <x:f>22</x:f>
        <x:v>22</x:v>
      </x:c>
      <x:c r="B222" s="414" t="n">
        <x:v>0</x:v>
      </x:c>
      <x:c r="C222" s="412" t="n">
        <x:f>IF(AND(ISNUMBER($H$17),ISNUMBER($J$73),$J$73&gt;-1,$J$73&lt;=5),$H$17*(1+$J$73)^(22-1),"")</x:f>
        <x:v>177743.9093628711</x:v>
      </x:c>
      <x:c r="D222" s="412" t="n">
        <x:f>IF(AND(ISNUMBER($H$18),ISNUMBER($J$74),$J$74&gt;-1,$J$74&lt;=5),$H$18*(1+$J$74)^(22-1),"")</x:f>
        <x:v>55808.83715128492</x:v>
      </x:c>
      <x:c r="E222" s="412" t="n">
        <x:f>IF(AND(ISNUMBER($H$22),ISNUMBER($J$74),$J$74&gt;-1,$J$74&lt;=5),$H$22*(1+$J$74)^(22-1),"")</x:f>
        <x:v>0</x:v>
      </x:c>
      <x:c r="F222" s="412" t="n">
        <x:f>IF(AND(ISNUMBER(C222),ISNUMBER(D222)),C222-D222,"")</x:f>
        <x:v>121935.0722115862</x:v>
      </x:c>
      <x:c r="G222" s="412" t="n">
        <x:f>IF(AND(ISNUMBER(F222),ISNUMBER(E222)),F222-E222,"")</x:f>
        <x:v>121935.0722115862</x:v>
      </x:c>
      <x:c r="H222" s="412" t="n">
        <x:f>IF(COUNT(M653:M664)=12,SUM(M653:M664),"")</x:f>
        <x:v>56153.40867888716</x:v>
      </x:c>
      <x:c r="I222" s="412" t="n">
        <x:f>SUM(E653:E664)</x:f>
        <x:v>0</x:v>
      </x:c>
      <x:c r="J222" s="412" t="n">
        <x:f>SUM(F653:F664)</x:f>
        <x:v>0</x:v>
      </x:c>
      <x:c r="K222" s="412" t="n">
        <x:f>SUM(G653:G664)</x:f>
        <x:v>0</x:v>
      </x:c>
      <x:c r="L222" s="412" t="n">
        <x:f>IF(AND(ISNUMBER(G222),ISNUMBER(H222),ISNUMBER(J222),ISNUMBER(K222)),G222-H222-B222-J222-K222,"")</x:f>
        <x:v>65781.66353269905</x:v>
      </x:c>
      <x:c r="M222" s="412" t="n">
        <x:f>IF(ISNUMBER(N664),N664,"")</x:f>
        <x:v>352806.75229817594</x:v>
      </x:c>
      <x:c r="N222" s="412" t="n">
        <x:f>IF(ISNUMBER($J$77),IF(AND($J$77&gt;0,$J$77&lt;=1,ISNUMBER($H$17),ISNUMBER($H$18),ISNUMBER($J$73),$J$73&gt;-1,$J$73&lt;=5,ISNUMBER($J$74),$J$74&gt;-1,$J$74&lt;=5),($H$17*(1+$J$73)^22-$H$18*(1+$J$74)^22)/$J$77,""),IF(AND($J$77="",ISNUMBER($B$15),$B$15&gt;0,ISNUMBER($J$72),$J$72&gt;-1,$J$72&lt;=5),$B$15*(1+$J$72)^22,""))</x:f>
        <x:v>2251422.8519297005</x:v>
      </x:c>
      <x:c r="O222" s="412" t="n">
        <x:f>IF(AND(ISNUMBER(N222),ISNUMBER(M222)),N222*(1-$J$75)-M222,"")</x:f>
        <x:v>1898616.0996315246</x:v>
      </x:c>
      <x:c r="P222" s="412" t="n">
        <x:f>IF(AND(ISNUMBER(P221),ISNUMBER(L222)),P221+L222,"")</x:f>
        <x:v>519863.2436383476</x:v>
      </x:c>
      <x:c r="Q222" s="412" t="n">
        <x:f>IF(AND(ISNUMBER(Q221),ISNUMBER(L222)),Q221+MAX(0,-L222),"")</x:f>
        <x:v>208898.25271554862</x:v>
      </x:c>
      <x:c r="R222" s="412" t="n">
        <x:f>IF(AND(ISNUMBER(R221),ISNUMBER(L222)),R221+MAX(0,L222),"")</x:f>
        <x:v>538761.4963538962</x:v>
      </x:c>
      <x:c r="S222" s="412" t="n">
        <x:f>IF(AND(ISNUMBER(Q221),ISNUMBER(L222),ISNUMBER(O222)),Q221+MAX(0,-(L222+O222)),"")</x:f>
        <x:v>208898.25271554862</x:v>
      </x:c>
      <x:c r="T222" s="412" t="n">
        <x:f>IF(AND(ISNUMBER(R221),ISNUMBER(L222),ISNUMBER(O222)),R221+MAX(0,L222+O222),"")</x:f>
        <x:v>2437377.595985421</x:v>
      </x:c>
      <x:c r="U222" s="412" t="n">
        <x:f>IF(AND(ISNUMBER(O222),ISNUMBER(P222),ISNUMBER($E$18)),O222+P222-$E$18,"")</x:f>
        <x:v>2228479.3432698725</x:v>
      </x:c>
      <x:c r="V222" s="416" t="n">
        <x:f>IF(AND(S222&gt;0,ISNUMBER(U222)),U222/S222,"")</x:f>
        <x:v>10.667773972740383</x:v>
      </x:c>
      <x:c r="W222" s="418" t="n">
        <x:f>IF(AND(S222&gt;0,ISNUMBER(T222)),T222/S222,"")</x:f>
        <x:v>11.667773972740383</x:v>
      </x:c>
      <x:c r="X222" s="412" t="n">
        <x:f>IF($B$136="No",0,IF(AND(ISNUMBER(L222),OR(22&lt;&gt;$B$134,ISNUMBER(O222))),MAX(0,-(L222+IF(22=$B$134,O222,0))),0))</x:f>
        <x:v>0</x:v>
      </x:c>
      <x:c r="Y222" s="412" t="n">
        <x:f>IF(AND(ISNUMBER(Y221),ISNUMBER($D$138),$D$138&gt;=-1),Y221+Y221*$D$138-0+X222,"")</x:f>
        <x:v>1122023.3783947264</x:v>
      </x:c>
      <x:c r="Z222" s="412" t="n">
        <x:f>IF(AND(ISNUMBER(Y221),ISNUMBER($D$138),$D$138&gt;=-1),Z221+0,"")</x:f>
        <x:v>0</x:v>
      </x:c>
      <x:c r="AA222" s="412" t="n">
        <x:f>IF(ISNUMBER(AA221),AA221+X222,"")</x:f>
        <x:v>208898.25271554862</x:v>
      </x:c>
      <x:c r="AB222" s="412" t="n">
        <x:f>IF(AND(ISNUMBER(Y222),ISNUMBER(Z222),ISNUMBER(AA222)),Y222+Z222-AA222,"")</x:f>
        <x:v>913125.1256791778</x:v>
      </x:c>
      <x:c r="AC222" s="416" t="n">
        <x:f>IF(AND(AA222&gt;0,ISNUMBER(AB222)),AB222/AA222,"")</x:f>
        <x:v>4.371147742066358</x:v>
      </x:c>
      <x:c r="AD222" s="412" t="n">
        <x:f>IF(AND(ISNUMBER(AD221),ISNUMBER($G$138),$G$138&gt;=0),AD221+AD221*$G$138-IF(AND($J$134="Cash payout",$G$138&gt;=0),AD221*$G$138,0)+X222,"")</x:f>
        <x:v>606272.0905232247</x:v>
      </x:c>
      <x:c r="AE222" s="412" t="n">
        <x:f>IF(AND(ISNUMBER(AD221),ISNUMBER($G$138),$G$138&gt;=0),AE221+IF(AND($J$134="Cash payout",$G$138&gt;=0),AD221*$G$138,0),"")</x:f>
        <x:v>0</x:v>
      </x:c>
      <x:c r="AF222" s="412" t="n">
        <x:f>IF(ISNUMBER(AF221),AF221+X222,"")</x:f>
        <x:v>208898.25271554862</x:v>
      </x:c>
      <x:c r="AG222" s="412" t="n">
        <x:f>IF(AND(ISNUMBER(AD222),ISNUMBER(AE222),ISNUMBER(AF222)),AD222+AE222-AF222,"")</x:f>
        <x:v>397373.83780767606</x:v>
      </x:c>
      <x:c r="AH222" s="416" t="n">
        <x:f>IF(AND(AF222&gt;0,ISNUMBER(AG222)),AG222/AF222,"")</x:f>
        <x:v>1.9022362927504703</x:v>
      </x:c>
      <x:c r="AI222" s="412" t="n">
        <x:f>IF(AND(ISNUMBER(AI221),ISNUMBER($J$138),$J$138&gt;=-1),AI221+AI221*$J$138-IF(AND($J$134="Cash payout",$J$138&gt;=0),AI221*$J$138,0)+X222,"")</x:f>
        <x:v>606272.0905232247</x:v>
      </x:c>
      <x:c r="AJ222" s="412" t="n">
        <x:f>IF(AND(ISNUMBER(AI221),ISNUMBER($J$138),$J$138&gt;=-1),AJ221+IF(AND($J$134="Cash payout",$J$138&gt;=0),AI221*$J$138,0),"")</x:f>
        <x:v>0</x:v>
      </x:c>
      <x:c r="AK222" s="412" t="n">
        <x:f>IF(ISNUMBER(AK221),AK221+X222,"")</x:f>
        <x:v>208898.25271554862</x:v>
      </x:c>
      <x:c r="AL222" s="412" t="n">
        <x:f>IF(AND(ISNUMBER(AI222),ISNUMBER(AJ222),ISNUMBER(AK222)),AI222+AJ222-AK222,"")</x:f>
        <x:v>397373.83780767606</x:v>
      </x:c>
      <x:c r="AM222" s="416" t="n">
        <x:f>IF(AND(AK222&gt;0,ISNUMBER(AL222)),AL222/AK222,"")</x:f>
        <x:v>1.9022362927504703</x:v>
      </x:c>
    </x:row>
    <x:row r="223" ht="24" customHeight="1">
      <x:c r="A223" s="419" t="n">
        <x:f>23</x:f>
        <x:v>23</x:v>
      </x:c>
      <x:c r="B223" s="414" t="n">
        <x:v>0</x:v>
      </x:c>
      <x:c r="C223" s="412" t="n">
        <x:f>IF(AND(ISNUMBER($H$17),ISNUMBER($J$73),$J$73&gt;-1,$J$73&lt;=5),$H$17*(1+$J$73)^(23-1),"")</x:f>
        <x:v>184853.66573738595</x:v>
      </x:c>
      <x:c r="D223" s="412" t="n">
        <x:f>IF(AND(ISNUMBER($H$18),ISNUMBER($J$74),$J$74&gt;-1,$J$74&lt;=5),$H$18*(1+$J$74)^(23-1),"")</x:f>
        <x:v>57483.102265823465</x:v>
      </x:c>
      <x:c r="E223" s="412" t="n">
        <x:f>IF(AND(ISNUMBER($H$22),ISNUMBER($J$74),$J$74&gt;-1,$J$74&lt;=5),$H$22*(1+$J$74)^(23-1),"")</x:f>
        <x:v>0</x:v>
      </x:c>
      <x:c r="F223" s="412" t="n">
        <x:f>IF(AND(ISNUMBER(C223),ISNUMBER(D223)),C223-D223,"")</x:f>
        <x:v>127370.56347156249</x:v>
      </x:c>
      <x:c r="G223" s="412" t="n">
        <x:f>IF(AND(ISNUMBER(F223),ISNUMBER(E223)),F223-E223,"")</x:f>
        <x:v>127370.56347156249</x:v>
      </x:c>
      <x:c r="H223" s="412" t="n">
        <x:f>IF(COUNT(M665:M676)=12,SUM(M665:M676),"")</x:f>
        <x:v>56153.40867888716</x:v>
      </x:c>
      <x:c r="I223" s="412" t="n">
        <x:f>SUM(E665:E676)</x:f>
        <x:v>0</x:v>
      </x:c>
      <x:c r="J223" s="412" t="n">
        <x:f>SUM(F665:F676)</x:f>
        <x:v>0</x:v>
      </x:c>
      <x:c r="K223" s="412" t="n">
        <x:f>SUM(G665:G676)</x:f>
        <x:v>0</x:v>
      </x:c>
      <x:c r="L223" s="412" t="n">
        <x:f>IF(AND(ISNUMBER(G223),ISNUMBER(H223),ISNUMBER(J223),ISNUMBER(K223)),G223-H223-B223-J223-K223,"")</x:f>
        <x:v>71217.15479267534</x:v>
      </x:c>
      <x:c r="M223" s="412" t="n">
        <x:f>IF(ISNUMBER(N676),N676,"")</x:f>
        <x:v>317709.69653043954</x:v>
      </x:c>
      <x:c r="N223" s="412" t="n">
        <x:f>IF(ISNUMBER($J$77),IF(AND($J$77&gt;0,$J$77&lt;=1,ISNUMBER($H$17),ISNUMBER($H$18),ISNUMBER($J$73),$J$73&gt;-1,$J$73&lt;=5,ISNUMBER($J$74),$J$74&gt;-1,$J$74&lt;=5),($H$17*(1+$J$73)^23-$H$18*(1+$J$74)^23)/$J$77,""),IF(AND($J$77="",ISNUMBER($B$15),$B$15&gt;0,ISNUMBER($J$72),$J$72&gt;-1,$J$72&lt;=5),$B$15*(1+$J$72)^23,""))</x:f>
        <x:v>2341479.766006889</x:v>
      </x:c>
      <x:c r="O223" s="412" t="n">
        <x:f>IF(AND(ISNUMBER(N223),ISNUMBER(M223)),N223*(1-$J$75)-M223,"")</x:f>
        <x:v>2023770.0694764494</x:v>
      </x:c>
      <x:c r="P223" s="412" t="n">
        <x:f>IF(AND(ISNUMBER(P222),ISNUMBER(L223)),P222+L223,"")</x:f>
        <x:v>591080.3984310229</x:v>
      </x:c>
      <x:c r="Q223" s="412" t="n">
        <x:f>IF(AND(ISNUMBER(Q222),ISNUMBER(L223)),Q222+MAX(0,-L223),"")</x:f>
        <x:v>208898.25271554862</x:v>
      </x:c>
      <x:c r="R223" s="412" t="n">
        <x:f>IF(AND(ISNUMBER(R222),ISNUMBER(L223)),R222+MAX(0,L223),"")</x:f>
        <x:v>609978.6511465716</x:v>
      </x:c>
      <x:c r="S223" s="412" t="n">
        <x:f>IF(AND(ISNUMBER(Q222),ISNUMBER(L223),ISNUMBER(O223)),Q222+MAX(0,-(L223+O223)),"")</x:f>
        <x:v>208898.25271554862</x:v>
      </x:c>
      <x:c r="T223" s="412" t="n">
        <x:f>IF(AND(ISNUMBER(R222),ISNUMBER(L223),ISNUMBER(O223)),R222+MAX(0,L223+O223),"")</x:f>
        <x:v>2633748.720623021</x:v>
      </x:c>
      <x:c r="U223" s="412" t="n">
        <x:f>IF(AND(ISNUMBER(O223),ISNUMBER(P223),ISNUMBER($E$18)),O223+P223-$E$18,"")</x:f>
        <x:v>2424850.4679074725</x:v>
      </x:c>
      <x:c r="V223" s="416" t="n">
        <x:f>IF(AND(S223&gt;0,ISNUMBER(U223)),U223/S223,"")</x:f>
        <x:v>11.60780636690786</x:v>
      </x:c>
      <x:c r="W223" s="418" t="n">
        <x:f>IF(AND(S223&gt;0,ISNUMBER(T223)),T223/S223,"")</x:f>
        <x:v>12.60780636690786</x:v>
      </x:c>
      <x:c r="X223" s="412" t="n">
        <x:f>IF($B$136="No",0,IF(AND(ISNUMBER(L223),OR(23&lt;&gt;$B$134,ISNUMBER(O223))),MAX(0,-(L223+IF(23=$B$134,O223,0))),0))</x:f>
        <x:v>0</x:v>
      </x:c>
      <x:c r="Y223" s="412" t="n">
        <x:f>IF(AND(ISNUMBER(Y222),ISNUMBER($D$138),$D$138&gt;=-1),Y222+Y222*$D$138-0+X223,"")</x:f>
        <x:v>1211785.2486663046</x:v>
      </x:c>
      <x:c r="Z223" s="412" t="n">
        <x:f>IF(AND(ISNUMBER(Y222),ISNUMBER($D$138),$D$138&gt;=-1),Z222+0,"")</x:f>
        <x:v>0</x:v>
      </x:c>
      <x:c r="AA223" s="412" t="n">
        <x:f>IF(ISNUMBER(AA222),AA222+X223,"")</x:f>
        <x:v>208898.25271554862</x:v>
      </x:c>
      <x:c r="AB223" s="412" t="n">
        <x:f>IF(AND(ISNUMBER(Y223),ISNUMBER(Z223),ISNUMBER(AA223)),Y223+Z223-AA223,"")</x:f>
        <x:v>1002886.995950756</x:v>
      </x:c>
      <x:c r="AC223" s="416" t="n">
        <x:f>IF(AND(AA223&gt;0,ISNUMBER(AB223)),AB223/AA223,"")</x:f>
        <x:v>4.800839561431667</x:v>
      </x:c>
      <x:c r="AD223" s="412" t="n">
        <x:f>IF(AND(ISNUMBER(AD222),ISNUMBER($G$138),$G$138&gt;=0),AD222+AD222*$G$138-IF(AND($J$134="Cash payout",$G$138&gt;=0),AD222*$G$138,0)+X223,"")</x:f>
        <x:v>636585.6950493859</x:v>
      </x:c>
      <x:c r="AE223" s="412" t="n">
        <x:f>IF(AND(ISNUMBER(AD222),ISNUMBER($G$138),$G$138&gt;=0),AE222+IF(AND($J$134="Cash payout",$G$138&gt;=0),AD222*$G$138,0),"")</x:f>
        <x:v>0</x:v>
      </x:c>
      <x:c r="AF223" s="412" t="n">
        <x:f>IF(ISNUMBER(AF222),AF222+X223,"")</x:f>
        <x:v>208898.25271554862</x:v>
      </x:c>
      <x:c r="AG223" s="412" t="n">
        <x:f>IF(AND(ISNUMBER(AD223),ISNUMBER(AE223),ISNUMBER(AF223)),AD223+AE223-AF223,"")</x:f>
        <x:v>427687.4423338373</x:v>
      </x:c>
      <x:c r="AH223" s="416" t="n">
        <x:f>IF(AND(AF223&gt;0,ISNUMBER(AG223)),AG223/AF223,"")</x:f>
        <x:v>2.0473481073879936</x:v>
      </x:c>
      <x:c r="AI223" s="412" t="n">
        <x:f>IF(AND(ISNUMBER(AI222),ISNUMBER($J$138),$J$138&gt;=-1),AI222+AI222*$J$138-IF(AND($J$134="Cash payout",$J$138&gt;=0),AI222*$J$138,0)+X223,"")</x:f>
        <x:v>636585.6950493859</x:v>
      </x:c>
      <x:c r="AJ223" s="412" t="n">
        <x:f>IF(AND(ISNUMBER(AI222),ISNUMBER($J$138),$J$138&gt;=-1),AJ222+IF(AND($J$134="Cash payout",$J$138&gt;=0),AI222*$J$138,0),"")</x:f>
        <x:v>0</x:v>
      </x:c>
      <x:c r="AK223" s="412" t="n">
        <x:f>IF(ISNUMBER(AK222),AK222+X223,"")</x:f>
        <x:v>208898.25271554862</x:v>
      </x:c>
      <x:c r="AL223" s="412" t="n">
        <x:f>IF(AND(ISNUMBER(AI223),ISNUMBER(AJ223),ISNUMBER(AK223)),AI223+AJ223-AK223,"")</x:f>
        <x:v>427687.4423338373</x:v>
      </x:c>
      <x:c r="AM223" s="416" t="n">
        <x:f>IF(AND(AK223&gt;0,ISNUMBER(AL223)),AL223/AK223,"")</x:f>
        <x:v>2.0473481073879936</x:v>
      </x:c>
    </x:row>
    <x:row r="224" ht="24" customHeight="1">
      <x:c r="A224" s="419" t="n">
        <x:f>24</x:f>
        <x:v>24</x:v>
      </x:c>
      <x:c r="B224" s="414" t="n">
        <x:v>0</x:v>
      </x:c>
      <x:c r="C224" s="412" t="n">
        <x:f>IF(AND(ISNUMBER($H$17),ISNUMBER($J$73),$J$73&gt;-1,$J$73&lt;=5),$H$17*(1+$J$73)^(24-1),"")</x:f>
        <x:v>192247.8123668814</x:v>
      </x:c>
      <x:c r="D224" s="412" t="n">
        <x:f>IF(AND(ISNUMBER($H$18),ISNUMBER($J$74),$J$74&gt;-1,$J$74&lt;=5),$H$18*(1+$J$74)^(24-1),"")</x:f>
        <x:v>59207.59533379817</x:v>
      </x:c>
      <x:c r="E224" s="412" t="n">
        <x:f>IF(AND(ISNUMBER($H$22),ISNUMBER($J$74),$J$74&gt;-1,$J$74&lt;=5),$H$22*(1+$J$74)^(24-1),"")</x:f>
        <x:v>0</x:v>
      </x:c>
      <x:c r="F224" s="412" t="n">
        <x:f>IF(AND(ISNUMBER(C224),ISNUMBER(D224)),C224-D224,"")</x:f>
        <x:v>133040.21703308323</x:v>
      </x:c>
      <x:c r="G224" s="412" t="n">
        <x:f>IF(AND(ISNUMBER(F224),ISNUMBER(E224)),F224-E224,"")</x:f>
        <x:v>133040.21703308323</x:v>
      </x:c>
      <x:c r="H224" s="412" t="n">
        <x:f>IF(COUNT(M677:M688)=12,SUM(M677:M688),"")</x:f>
        <x:v>56153.40867888716</x:v>
      </x:c>
      <x:c r="I224" s="412" t="n">
        <x:f>SUM(E677:E688)</x:f>
        <x:v>0</x:v>
      </x:c>
      <x:c r="J224" s="412" t="n">
        <x:f>SUM(F677:F688)</x:f>
        <x:v>0</x:v>
      </x:c>
      <x:c r="K224" s="412" t="n">
        <x:f>SUM(G677:G688)</x:f>
        <x:v>0</x:v>
      </x:c>
      <x:c r="L224" s="412" t="n">
        <x:f>IF(AND(ISNUMBER(G224),ISNUMBER(H224),ISNUMBER(J224),ISNUMBER(K224)),G224-H224-B224-J224-K224,"")</x:f>
        <x:v>76886.80835419608</x:v>
      </x:c>
      <x:c r="M224" s="412" t="n">
        <x:f>IF(ISNUMBER(N688),N688,"")</x:f>
        <x:v>280355.1344483821</x:v>
      </x:c>
      <x:c r="N224" s="412" t="n">
        <x:f>IF(ISNUMBER($J$77),IF(AND($J$77&gt;0,$J$77&lt;=1,ISNUMBER($H$17),ISNUMBER($H$18),ISNUMBER($J$73),$J$73&gt;-1,$J$73&lt;=5,ISNUMBER($J$74),$J$74&gt;-1,$J$74&lt;=5),($H$17*(1+$J$73)^24-$H$18*(1+$J$74)^24)/$J$77,""),IF(AND($J$77="",ISNUMBER($B$15),$B$15&gt;0,ISNUMBER($J$72),$J$72&gt;-1,$J$72&lt;=5),$B$15*(1+$J$72)^24,""))</x:f>
        <x:v>2435138.9566471647</x:v>
      </x:c>
      <x:c r="O224" s="412" t="n">
        <x:f>IF(AND(ISNUMBER(N224),ISNUMBER(M224)),N224*(1-$J$75)-M224,"")</x:f>
        <x:v>2154783.8221987826</x:v>
      </x:c>
      <x:c r="P224" s="412" t="n">
        <x:f>IF(AND(ISNUMBER(P223),ISNUMBER(L224)),P223+L224,"")</x:f>
        <x:v>667967.206785219</x:v>
      </x:c>
      <x:c r="Q224" s="412" t="n">
        <x:f>IF(AND(ISNUMBER(Q223),ISNUMBER(L224)),Q223+MAX(0,-L224),"")</x:f>
        <x:v>208898.25271554862</x:v>
      </x:c>
      <x:c r="R224" s="412" t="n">
        <x:f>IF(AND(ISNUMBER(R223),ISNUMBER(L224)),R223+MAX(0,L224),"")</x:f>
        <x:v>686865.4595007678</x:v>
      </x:c>
      <x:c r="S224" s="412" t="n">
        <x:f>IF(AND(ISNUMBER(Q223),ISNUMBER(L224),ISNUMBER(O224)),Q223+MAX(0,-(L224+O224)),"")</x:f>
        <x:v>208898.25271554862</x:v>
      </x:c>
      <x:c r="T224" s="412" t="n">
        <x:f>IF(AND(ISNUMBER(R223),ISNUMBER(L224),ISNUMBER(O224)),R223+MAX(0,L224+O224),"")</x:f>
        <x:v>2841649.2816995503</x:v>
      </x:c>
      <x:c r="U224" s="412" t="n">
        <x:f>IF(AND(ISNUMBER(O224),ISNUMBER(P224),ISNUMBER($E$18)),O224+P224-$E$18,"")</x:f>
        <x:v>2632751.028984002</x:v>
      </x:c>
      <x:c r="V224" s="416" t="n">
        <x:f>IF(AND(S224&gt;0,ISNUMBER(U224)),U224/S224,"")</x:f>
        <x:v>12.603030397621138</x:v>
      </x:c>
      <x:c r="W224" s="418" t="n">
        <x:f>IF(AND(S224&gt;0,ISNUMBER(T224)),T224/S224,"")</x:f>
        <x:v>13.603030397621138</x:v>
      </x:c>
      <x:c r="X224" s="412" t="n">
        <x:f>IF($B$136="No",0,IF(AND(ISNUMBER(L224),OR(24&lt;&gt;$B$134,ISNUMBER(O224))),MAX(0,-(L224+IF(24=$B$134,O224,0))),0))</x:f>
        <x:v>0</x:v>
      </x:c>
      <x:c r="Y224" s="412" t="n">
        <x:f>IF(AND(ISNUMBER(Y223),ISNUMBER($D$138),$D$138&gt;=-1),Y223+Y223*$D$138-0+X224,"")</x:f>
        <x:v>1308728.068559609</x:v>
      </x:c>
      <x:c r="Z224" s="412" t="n">
        <x:f>IF(AND(ISNUMBER(Y223),ISNUMBER($D$138),$D$138&gt;=-1),Z223+0,"")</x:f>
        <x:v>0</x:v>
      </x:c>
      <x:c r="AA224" s="412" t="n">
        <x:f>IF(ISNUMBER(AA223),AA223+X224,"")</x:f>
        <x:v>208898.25271554862</x:v>
      </x:c>
      <x:c r="AB224" s="412" t="n">
        <x:f>IF(AND(ISNUMBER(Y224),ISNUMBER(Z224),ISNUMBER(AA224)),Y224+Z224-AA224,"")</x:f>
        <x:v>1099829.8158440604</x:v>
      </x:c>
      <x:c r="AC224" s="416" t="n">
        <x:f>IF(AND(AA224&gt;0,ISNUMBER(AB224)),AB224/AA224,"")</x:f>
        <x:v>5.264906726346201</x:v>
      </x:c>
      <x:c r="AD224" s="412" t="n">
        <x:f>IF(AND(ISNUMBER(AD223),ISNUMBER($G$138),$G$138&gt;=0),AD223+AD223*$G$138-IF(AND($J$134="Cash payout",$G$138&gt;=0),AD223*$G$138,0)+X224,"")</x:f>
        <x:v>668414.9798018552</x:v>
      </x:c>
      <x:c r="AE224" s="412" t="n">
        <x:f>IF(AND(ISNUMBER(AD223),ISNUMBER($G$138),$G$138&gt;=0),AE223+IF(AND($J$134="Cash payout",$G$138&gt;=0),AD223*$G$138,0),"")</x:f>
        <x:v>0</x:v>
      </x:c>
      <x:c r="AF224" s="412" t="n">
        <x:f>IF(ISNUMBER(AF223),AF223+X224,"")</x:f>
        <x:v>208898.25271554862</x:v>
      </x:c>
      <x:c r="AG224" s="412" t="n">
        <x:f>IF(AND(ISNUMBER(AD224),ISNUMBER(AE224),ISNUMBER(AF224)),AD224+AE224-AF224,"")</x:f>
        <x:v>459516.72708630655</x:v>
      </x:c>
      <x:c r="AH224" s="416" t="n">
        <x:f>IF(AND(AF224&gt;0,ISNUMBER(AG224)),AG224/AF224,"")</x:f>
        <x:v>2.1997155127573933</x:v>
      </x:c>
      <x:c r="AI224" s="412" t="n">
        <x:f>IF(AND(ISNUMBER(AI223),ISNUMBER($J$138),$J$138&gt;=-1),AI223+AI223*$J$138-IF(AND($J$134="Cash payout",$J$138&gt;=0),AI223*$J$138,0)+X224,"")</x:f>
        <x:v>668414.9798018552</x:v>
      </x:c>
      <x:c r="AJ224" s="412" t="n">
        <x:f>IF(AND(ISNUMBER(AI223),ISNUMBER($J$138),$J$138&gt;=-1),AJ223+IF(AND($J$134="Cash payout",$J$138&gt;=0),AI223*$J$138,0),"")</x:f>
        <x:v>0</x:v>
      </x:c>
      <x:c r="AK224" s="412" t="n">
        <x:f>IF(ISNUMBER(AK223),AK223+X224,"")</x:f>
        <x:v>208898.25271554862</x:v>
      </x:c>
      <x:c r="AL224" s="412" t="n">
        <x:f>IF(AND(ISNUMBER(AI224),ISNUMBER(AJ224),ISNUMBER(AK224)),AI224+AJ224-AK224,"")</x:f>
        <x:v>459516.72708630655</x:v>
      </x:c>
      <x:c r="AM224" s="416" t="n">
        <x:f>IF(AND(AK224&gt;0,ISNUMBER(AL224)),AL224/AK224,"")</x:f>
        <x:v>2.1997155127573933</x:v>
      </x:c>
    </x:row>
    <x:row r="225" ht="24" customHeight="1">
      <x:c r="A225" s="419" t="n">
        <x:f>25</x:f>
        <x:v>25</x:v>
      </x:c>
      <x:c r="B225" s="414" t="n">
        <x:v>0</x:v>
      </x:c>
      <x:c r="C225" s="412" t="n">
        <x:f>IF(AND(ISNUMBER($H$17),ISNUMBER($J$73),$J$73&gt;-1,$J$73&lt;=5),$H$17*(1+$J$73)^(25-1),"")</x:f>
        <x:v>199937.72486155666</x:v>
      </x:c>
      <x:c r="D225" s="412" t="n">
        <x:f>IF(AND(ISNUMBER($H$18),ISNUMBER($J$74),$J$74&gt;-1,$J$74&lt;=5),$H$18*(1+$J$74)^(25-1),"")</x:f>
        <x:v>60983.823193812124</x:v>
      </x:c>
      <x:c r="E225" s="412" t="n">
        <x:f>IF(AND(ISNUMBER($H$22),ISNUMBER($J$74),$J$74&gt;-1,$J$74&lt;=5),$H$22*(1+$J$74)^(25-1),"")</x:f>
        <x:v>0</x:v>
      </x:c>
      <x:c r="F225" s="412" t="n">
        <x:f>IF(AND(ISNUMBER(C225),ISNUMBER(D225)),C225-D225,"")</x:f>
        <x:v>138953.90166774453</x:v>
      </x:c>
      <x:c r="G225" s="412" t="n">
        <x:f>IF(AND(ISNUMBER(F225),ISNUMBER(E225)),F225-E225,"")</x:f>
        <x:v>138953.90166774453</x:v>
      </x:c>
      <x:c r="H225" s="412" t="n">
        <x:f>IF(COUNT(M689:M700)=12,SUM(M689:M700),"")</x:f>
        <x:v>56153.40867888716</x:v>
      </x:c>
      <x:c r="I225" s="412" t="n">
        <x:f>SUM(E689:E700)</x:f>
        <x:v>0</x:v>
      </x:c>
      <x:c r="J225" s="412" t="n">
        <x:f>SUM(F689:F700)</x:f>
        <x:v>0</x:v>
      </x:c>
      <x:c r="K225" s="412" t="n">
        <x:f>SUM(G689:G700)</x:f>
        <x:v>0</x:v>
      </x:c>
      <x:c r="L225" s="412" t="n">
        <x:f>IF(AND(ISNUMBER(G225),ISNUMBER(H225),ISNUMBER(J225),ISNUMBER(K225)),G225-H225-B225-J225-K225,"")</x:f>
        <x:v>82800.49298885738</x:v>
      </x:c>
      <x:c r="M225" s="412" t="n">
        <x:f>IF(ISNUMBER(N700),N700,"")</x:f>
        <x:v>240597.85914938131</x:v>
      </x:c>
      <x:c r="N225" s="412" t="n">
        <x:f>IF(ISNUMBER($J$77),IF(AND($J$77&gt;0,$J$77&lt;=1,ISNUMBER($H$17),ISNUMBER($H$18),ISNUMBER($J$73),$J$73&gt;-1,$J$73&lt;=5,ISNUMBER($J$74),$J$74&gt;-1,$J$74&lt;=5),($H$17*(1+$J$73)^25-$H$18*(1+$J$74)^25)/$J$77,""),IF(AND($J$77="",ISNUMBER($B$15),$B$15&gt;0,ISNUMBER($J$72),$J$72&gt;-1,$J$72&lt;=5),$B$15*(1+$J$72)^25,""))</x:f>
        <x:v>2532544.514913051</x:v>
      </x:c>
      <x:c r="O225" s="412" t="n">
        <x:f>IF(AND(ISNUMBER(N225),ISNUMBER(M225)),N225*(1-$J$75)-M225,"")</x:f>
        <x:v>2291946.6557636694</x:v>
      </x:c>
      <x:c r="P225" s="412" t="n">
        <x:f>IF(AND(ISNUMBER(P224),ISNUMBER(L225)),P224+L225,"")</x:f>
        <x:v>750767.6997740765</x:v>
      </x:c>
      <x:c r="Q225" s="412" t="n">
        <x:f>IF(AND(ISNUMBER(Q224),ISNUMBER(L225)),Q224+MAX(0,-L225),"")</x:f>
        <x:v>208898.25271554862</x:v>
      </x:c>
      <x:c r="R225" s="412" t="n">
        <x:f>IF(AND(ISNUMBER(R224),ISNUMBER(L225)),R224+MAX(0,L225),"")</x:f>
        <x:v>769665.9524896252</x:v>
      </x:c>
      <x:c r="S225" s="412" t="n">
        <x:f>IF(AND(ISNUMBER(Q224),ISNUMBER(L225),ISNUMBER(O225)),Q224+MAX(0,-(L225+O225)),"")</x:f>
        <x:v>208898.25271554862</x:v>
      </x:c>
      <x:c r="T225" s="412" t="n">
        <x:f>IF(AND(ISNUMBER(R224),ISNUMBER(L225),ISNUMBER(O225)),R224+MAX(0,L225+O225),"")</x:f>
        <x:v>3061612.6082532946</x:v>
      </x:c>
      <x:c r="U225" s="412" t="n">
        <x:f>IF(AND(ISNUMBER(O225),ISNUMBER(P225),ISNUMBER($E$18)),O225+P225-$E$18,"")</x:f>
        <x:v>2852714.355537746</x:v>
      </x:c>
      <x:c r="V225" s="416" t="n">
        <x:f>IF(AND(S225&gt;0,ISNUMBER(U225)),U225/S225,"")</x:f>
        <x:v>13.655999121362752</x:v>
      </x:c>
      <x:c r="W225" s="418" t="n">
        <x:f>IF(AND(S225&gt;0,ISNUMBER(T225)),T225/S225,"")</x:f>
        <x:v>14.655999121362752</x:v>
      </x:c>
      <x:c r="X225" s="412" t="n">
        <x:f>IF($B$136="No",0,IF(AND(ISNUMBER(L225),OR(25&lt;&gt;$B$134,ISNUMBER(O225))),MAX(0,-(L225+IF(25=$B$134,O225,0))),0))</x:f>
        <x:v>0</x:v>
      </x:c>
      <x:c r="Y225" s="412" t="n">
        <x:f>IF(AND(ISNUMBER(Y224),ISNUMBER($D$138),$D$138&gt;=-1),Y224+Y224*$D$138-0+X225,"")</x:f>
        <x:v>1413426.3140443775</x:v>
      </x:c>
      <x:c r="Z225" s="412" t="n">
        <x:f>IF(AND(ISNUMBER(Y224),ISNUMBER($D$138),$D$138&gt;=-1),Z224+0,"")</x:f>
        <x:v>0</x:v>
      </x:c>
      <x:c r="AA225" s="412" t="n">
        <x:f>IF(ISNUMBER(AA224),AA224+X225,"")</x:f>
        <x:v>208898.25271554862</x:v>
      </x:c>
      <x:c r="AB225" s="412" t="n">
        <x:f>IF(AND(ISNUMBER(Y225),ISNUMBER(Z225),ISNUMBER(AA225)),Y225+Z225-AA225,"")</x:f>
        <x:v>1204528.0613288288</x:v>
      </x:c>
      <x:c r="AC225" s="416" t="n">
        <x:f>IF(AND(AA225&gt;0,ISNUMBER(AB225)),AB225/AA225,"")</x:f>
        <x:v>5.766099264453895</x:v>
      </x:c>
      <x:c r="AD225" s="412" t="n">
        <x:f>IF(AND(ISNUMBER(AD224),ISNUMBER($G$138),$G$138&gt;=0),AD224+AD224*$G$138-IF(AND($J$134="Cash payout",$G$138&gt;=0),AD224*$G$138,0)+X225,"")</x:f>
        <x:v>701835.728791948</x:v>
      </x:c>
      <x:c r="AE225" s="412" t="n">
        <x:f>IF(AND(ISNUMBER(AD224),ISNUMBER($G$138),$G$138&gt;=0),AE224+IF(AND($J$134="Cash payout",$G$138&gt;=0),AD224*$G$138,0),"")</x:f>
        <x:v>0</x:v>
      </x:c>
      <x:c r="AF225" s="412" t="n">
        <x:f>IF(ISNUMBER(AF224),AF224+X225,"")</x:f>
        <x:v>208898.25271554862</x:v>
      </x:c>
      <x:c r="AG225" s="412" t="n">
        <x:f>IF(AND(ISNUMBER(AD225),ISNUMBER(AE225),ISNUMBER(AF225)),AD225+AE225-AF225,"")</x:f>
        <x:v>492937.4760763993</x:v>
      </x:c>
      <x:c r="AH225" s="416" t="n">
        <x:f>IF(AND(AF225&gt;0,ISNUMBER(AG225)),AG225/AF225,"")</x:f>
        <x:v>2.359701288395263</x:v>
      </x:c>
      <x:c r="AI225" s="412" t="n">
        <x:f>IF(AND(ISNUMBER(AI224),ISNUMBER($J$138),$J$138&gt;=-1),AI224+AI224*$J$138-IF(AND($J$134="Cash payout",$J$138&gt;=0),AI224*$J$138,0)+X225,"")</x:f>
        <x:v>701835.728791948</x:v>
      </x:c>
      <x:c r="AJ225" s="412" t="n">
        <x:f>IF(AND(ISNUMBER(AI224),ISNUMBER($J$138),$J$138&gt;=-1),AJ224+IF(AND($J$134="Cash payout",$J$138&gt;=0),AI224*$J$138,0),"")</x:f>
        <x:v>0</x:v>
      </x:c>
      <x:c r="AK225" s="412" t="n">
        <x:f>IF(ISNUMBER(AK224),AK224+X225,"")</x:f>
        <x:v>208898.25271554862</x:v>
      </x:c>
      <x:c r="AL225" s="412" t="n">
        <x:f>IF(AND(ISNUMBER(AI225),ISNUMBER(AJ225),ISNUMBER(AK225)),AI225+AJ225-AK225,"")</x:f>
        <x:v>492937.4760763993</x:v>
      </x:c>
      <x:c r="AM225" s="416" t="n">
        <x:f>IF(AND(AK225&gt;0,ISNUMBER(AL225)),AL225/AK225,"")</x:f>
        <x:v>2.359701288395263</x:v>
      </x:c>
    </x:row>
    <x:row r="226" ht="24" customHeight="1">
      <x:c r="A226" s="419" t="n">
        <x:f>26</x:f>
        <x:v>26</x:v>
      </x:c>
      <x:c r="B226" s="414" t="n">
        <x:v>0</x:v>
      </x:c>
      <x:c r="C226" s="412" t="n">
        <x:f>IF(AND(ISNUMBER($H$17),ISNUMBER($J$73),$J$73&gt;-1,$J$73&lt;=5),$H$17*(1+$J$73)^(26-1),"")</x:f>
        <x:v>207935.23385601892</x:v>
      </x:c>
      <x:c r="D226" s="412" t="n">
        <x:f>IF(AND(ISNUMBER($H$18),ISNUMBER($J$74),$J$74&gt;-1,$J$74&lt;=5),$H$18*(1+$J$74)^(26-1),"")</x:f>
        <x:v>62813.337889626484</x:v>
      </x:c>
      <x:c r="E226" s="412" t="n">
        <x:f>IF(AND(ISNUMBER($H$22),ISNUMBER($J$74),$J$74&gt;-1,$J$74&lt;=5),$H$22*(1+$J$74)^(26-1),"")</x:f>
        <x:v>0</x:v>
      </x:c>
      <x:c r="F226" s="412" t="n">
        <x:f>IF(AND(ISNUMBER(C226),ISNUMBER(D226)),C226-D226,"")</x:f>
        <x:v>145121.89596639245</x:v>
      </x:c>
      <x:c r="G226" s="412" t="n">
        <x:f>IF(AND(ISNUMBER(F226),ISNUMBER(E226)),F226-E226,"")</x:f>
        <x:v>145121.89596639245</x:v>
      </x:c>
      <x:c r="H226" s="412" t="n">
        <x:f>IF(COUNT(M701:M712)=12,SUM(M701:M712),"")</x:f>
        <x:v>56153.40867888716</x:v>
      </x:c>
      <x:c r="I226" s="412" t="n">
        <x:f>SUM(E701:E712)</x:f>
        <x:v>0</x:v>
      </x:c>
      <x:c r="J226" s="412" t="n">
        <x:f>SUM(F701:F712)</x:f>
        <x:v>0</x:v>
      </x:c>
      <x:c r="K226" s="412" t="n">
        <x:f>SUM(G701:G712)</x:f>
        <x:v>0</x:v>
      </x:c>
      <x:c r="L226" s="412" t="n">
        <x:f>IF(AND(ISNUMBER(G226),ISNUMBER(H226),ISNUMBER(J226),ISNUMBER(K226)),G226-H226-B226-J226-K226,"")</x:f>
        <x:v>88968.4872875053</x:v>
      </x:c>
      <x:c r="M226" s="412" t="n">
        <x:f>IF(ISNUMBER(N712),N712,"")</x:f>
        <x:v>198283.32375934487</x:v>
      </x:c>
      <x:c r="N226" s="412" t="n">
        <x:f>IF(ISNUMBER($J$77),IF(AND($J$77&gt;0,$J$77&lt;=1,ISNUMBER($H$17),ISNUMBER($H$18),ISNUMBER($J$73),$J$73&gt;-1,$J$73&lt;=5,ISNUMBER($J$74),$J$74&gt;-1,$J$74&lt;=5),($H$17*(1+$J$73)^26-$H$18*(1+$J$74)^26)/$J$77,""),IF(AND($J$77="",ISNUMBER($B$15),$B$15&gt;0,ISNUMBER($J$72),$J$72&gt;-1,$J$72&lt;=5),$B$15*(1+$J$72)^26,""))</x:f>
        <x:v>2633846.295509573</x:v>
      </x:c>
      <x:c r="O226" s="412" t="n">
        <x:f>IF(AND(ISNUMBER(N226),ISNUMBER(M226)),N226*(1-$J$75)-M226,"")</x:f>
        <x:v>2435562.971750228</x:v>
      </x:c>
      <x:c r="P226" s="412" t="n">
        <x:f>IF(AND(ISNUMBER(P225),ISNUMBER(L226)),P225+L226,"")</x:f>
        <x:v>839736.1870615818</x:v>
      </x:c>
      <x:c r="Q226" s="412" t="n">
        <x:f>IF(AND(ISNUMBER(Q225),ISNUMBER(L226)),Q225+MAX(0,-L226),"")</x:f>
        <x:v>208898.25271554862</x:v>
      </x:c>
      <x:c r="R226" s="412" t="n">
        <x:f>IF(AND(ISNUMBER(R225),ISNUMBER(L226)),R225+MAX(0,L226),"")</x:f>
        <x:v>858634.4397771305</x:v>
      </x:c>
      <x:c r="S226" s="412" t="n">
        <x:f>IF(AND(ISNUMBER(Q225),ISNUMBER(L226),ISNUMBER(O226)),Q225+MAX(0,-(L226+O226)),"")</x:f>
        <x:v>208898.25271554862</x:v>
      </x:c>
      <x:c r="T226" s="412" t="n">
        <x:f>IF(AND(ISNUMBER(R225),ISNUMBER(L226),ISNUMBER(O226)),R225+MAX(0,L226+O226),"")</x:f>
        <x:v>3294197.4115273585</x:v>
      </x:c>
      <x:c r="U226" s="412" t="n">
        <x:f>IF(AND(ISNUMBER(O226),ISNUMBER(P226),ISNUMBER($E$18)),O226+P226-$E$18,"")</x:f>
        <x:v>3085299.15881181</x:v>
      </x:c>
      <x:c r="V226" s="416" t="n">
        <x:f>IF(AND(S226&gt;0,ISNUMBER(U226)),U226/S226,"")</x:f>
        <x:v>14.76938709972353</x:v>
      </x:c>
      <x:c r="W226" s="418" t="n">
        <x:f>IF(AND(S226&gt;0,ISNUMBER(T226)),T226/S226,"")</x:f>
        <x:v>15.76938709972353</x:v>
      </x:c>
      <x:c r="X226" s="412" t="n">
        <x:f>IF($B$136="No",0,IF(AND(ISNUMBER(L226),OR(26&lt;&gt;$B$134,ISNUMBER(O226))),MAX(0,-(L226+IF(26=$B$134,O226,0))),0))</x:f>
        <x:v>0</x:v>
      </x:c>
      <x:c r="Y226" s="412" t="n">
        <x:f>IF(AND(ISNUMBER(Y225),ISNUMBER($D$138),$D$138&gt;=-1),Y225+Y225*$D$138-0+X226,"")</x:f>
        <x:v>1526500.4191679277</x:v>
      </x:c>
      <x:c r="Z226" s="412" t="n">
        <x:f>IF(AND(ISNUMBER(Y225),ISNUMBER($D$138),$D$138&gt;=-1),Z225+0,"")</x:f>
        <x:v>0</x:v>
      </x:c>
      <x:c r="AA226" s="412" t="n">
        <x:f>IF(ISNUMBER(AA225),AA225+X226,"")</x:f>
        <x:v>208898.25271554862</x:v>
      </x:c>
      <x:c r="AB226" s="412" t="n">
        <x:f>IF(AND(ISNUMBER(Y226),ISNUMBER(Z226),ISNUMBER(AA226)),Y226+Z226-AA226,"")</x:f>
        <x:v>1317602.166452379</x:v>
      </x:c>
      <x:c r="AC226" s="416" t="n">
        <x:f>IF(AND(AA226&gt;0,ISNUMBER(AB226)),AB226/AA226,"")</x:f>
        <x:v>6.3073872056102065</x:v>
      </x:c>
      <x:c r="AD226" s="412" t="n">
        <x:f>IF(AND(ISNUMBER(AD225),ISNUMBER($G$138),$G$138&gt;=0),AD225+AD225*$G$138-IF(AND($J$134="Cash payout",$G$138&gt;=0),AD225*$G$138,0)+X226,"")</x:f>
        <x:v>736927.5152315453</x:v>
      </x:c>
      <x:c r="AE226" s="412" t="n">
        <x:f>IF(AND(ISNUMBER(AD225),ISNUMBER($G$138),$G$138&gt;=0),AE225+IF(AND($J$134="Cash payout",$G$138&gt;=0),AD225*$G$138,0),"")</x:f>
        <x:v>0</x:v>
      </x:c>
      <x:c r="AF226" s="412" t="n">
        <x:f>IF(ISNUMBER(AF225),AF225+X226,"")</x:f>
        <x:v>208898.25271554862</x:v>
      </x:c>
      <x:c r="AG226" s="412" t="n">
        <x:f>IF(AND(ISNUMBER(AD226),ISNUMBER(AE226),ISNUMBER(AF226)),AD226+AE226-AF226,"")</x:f>
        <x:v>528029.2625159967</x:v>
      </x:c>
      <x:c r="AH226" s="416" t="n">
        <x:f>IF(AND(AF226&gt;0,ISNUMBER(AG226)),AG226/AF226,"")</x:f>
        <x:v>2.527686352815026</x:v>
      </x:c>
      <x:c r="AI226" s="412" t="n">
        <x:f>IF(AND(ISNUMBER(AI225),ISNUMBER($J$138),$J$138&gt;=-1),AI225+AI225*$J$138-IF(AND($J$134="Cash payout",$J$138&gt;=0),AI225*$J$138,0)+X226,"")</x:f>
        <x:v>736927.5152315453</x:v>
      </x:c>
      <x:c r="AJ226" s="412" t="n">
        <x:f>IF(AND(ISNUMBER(AI225),ISNUMBER($J$138),$J$138&gt;=-1),AJ225+IF(AND($J$134="Cash payout",$J$138&gt;=0),AI225*$J$138,0),"")</x:f>
        <x:v>0</x:v>
      </x:c>
      <x:c r="AK226" s="412" t="n">
        <x:f>IF(ISNUMBER(AK225),AK225+X226,"")</x:f>
        <x:v>208898.25271554862</x:v>
      </x:c>
      <x:c r="AL226" s="412" t="n">
        <x:f>IF(AND(ISNUMBER(AI226),ISNUMBER(AJ226),ISNUMBER(AK226)),AI226+AJ226-AK226,"")</x:f>
        <x:v>528029.2625159967</x:v>
      </x:c>
      <x:c r="AM226" s="416" t="n">
        <x:f>IF(AND(AK226&gt;0,ISNUMBER(AL226)),AL226/AK226,"")</x:f>
        <x:v>2.527686352815026</x:v>
      </x:c>
    </x:row>
    <x:row r="227" ht="24" customHeight="1">
      <x:c r="A227" s="419" t="n">
        <x:f>27</x:f>
        <x:v>27</x:v>
      </x:c>
      <x:c r="B227" s="414" t="n">
        <x:v>0</x:v>
      </x:c>
      <x:c r="C227" s="412" t="n">
        <x:f>IF(AND(ISNUMBER($H$17),ISNUMBER($J$73),$J$73&gt;-1,$J$73&lt;=5),$H$17*(1+$J$73)^(27-1),"")</x:f>
        <x:v>216252.64321025967</x:v>
      </x:c>
      <x:c r="D227" s="412" t="n">
        <x:f>IF(AND(ISNUMBER($H$18),ISNUMBER($J$74),$J$74&gt;-1,$J$74&lt;=5),$H$18*(1+$J$74)^(27-1),"")</x:f>
        <x:v>64697.73802631528</x:v>
      </x:c>
      <x:c r="E227" s="412" t="n">
        <x:f>IF(AND(ISNUMBER($H$22),ISNUMBER($J$74),$J$74&gt;-1,$J$74&lt;=5),$H$22*(1+$J$74)^(27-1),"")</x:f>
        <x:v>0</x:v>
      </x:c>
      <x:c r="F227" s="412" t="n">
        <x:f>IF(AND(ISNUMBER(C227),ISNUMBER(D227)),C227-D227,"")</x:f>
        <x:v>151554.9051839444</x:v>
      </x:c>
      <x:c r="G227" s="412" t="n">
        <x:f>IF(AND(ISNUMBER(F227),ISNUMBER(E227)),F227-E227,"")</x:f>
        <x:v>151554.9051839444</x:v>
      </x:c>
      <x:c r="H227" s="412" t="n">
        <x:f>IF(COUNT(M713:M724)=12,SUM(M713:M724),"")</x:f>
        <x:v>56153.40867888716</x:v>
      </x:c>
      <x:c r="I227" s="412" t="n">
        <x:f>SUM(E713:E724)</x:f>
        <x:v>0</x:v>
      </x:c>
      <x:c r="J227" s="412" t="n">
        <x:f>SUM(F713:F724)</x:f>
        <x:v>0</x:v>
      </x:c>
      <x:c r="K227" s="412" t="n">
        <x:f>SUM(G713:G724)</x:f>
        <x:v>0</x:v>
      </x:c>
      <x:c r="L227" s="412" t="n">
        <x:f>IF(AND(ISNUMBER(G227),ISNUMBER(H227),ISNUMBER(J227),ISNUMBER(K227)),G227-H227-B227-J227-K227,"")</x:f>
        <x:v>95401.49650505724</x:v>
      </x:c>
      <x:c r="M227" s="412" t="n">
        <x:f>IF(ISNUMBER(N724),N724,"")</x:f>
        <x:v>153247.0406687967</x:v>
      </x:c>
      <x:c r="N227" s="412" t="n">
        <x:f>IF(ISNUMBER($J$77),IF(AND($J$77&gt;0,$J$77&lt;=1,ISNUMBER($H$17),ISNUMBER($H$18),ISNUMBER($J$73),$J$73&gt;-1,$J$73&lt;=5,ISNUMBER($J$74),$J$74&gt;-1,$J$74&lt;=5),($H$17*(1+$J$73)^27-$H$18*(1+$J$74)^27)/$J$77,""),IF(AND($J$77="",ISNUMBER($B$15),$B$15&gt;0,ISNUMBER($J$72),$J$72&gt;-1,$J$72&lt;=5),$B$15*(1+$J$72)^27,""))</x:f>
        <x:v>2739200.1473299563</x:v>
      </x:c>
      <x:c r="O227" s="412" t="n">
        <x:f>IF(AND(ISNUMBER(N227),ISNUMBER(M227)),N227*(1-$J$75)-M227,"")</x:f>
        <x:v>2585953.1066611595</x:v>
      </x:c>
      <x:c r="P227" s="412" t="n">
        <x:f>IF(AND(ISNUMBER(P226),ISNUMBER(L227)),P226+L227,"")</x:f>
        <x:v>935137.683566639</x:v>
      </x:c>
      <x:c r="Q227" s="412" t="n">
        <x:f>IF(AND(ISNUMBER(Q226),ISNUMBER(L227)),Q226+MAX(0,-L227),"")</x:f>
        <x:v>208898.25271554862</x:v>
      </x:c>
      <x:c r="R227" s="412" t="n">
        <x:f>IF(AND(ISNUMBER(R226),ISNUMBER(L227)),R226+MAX(0,L227),"")</x:f>
        <x:v>954035.9362821877</x:v>
      </x:c>
      <x:c r="S227" s="412" t="n">
        <x:f>IF(AND(ISNUMBER(Q226),ISNUMBER(L227),ISNUMBER(O227)),Q226+MAX(0,-(L227+O227)),"")</x:f>
        <x:v>208898.25271554862</x:v>
      </x:c>
      <x:c r="T227" s="412" t="n">
        <x:f>IF(AND(ISNUMBER(R226),ISNUMBER(L227),ISNUMBER(O227)),R226+MAX(0,L227+O227),"")</x:f>
        <x:v>3539989.0429433472</x:v>
      </x:c>
      <x:c r="U227" s="412" t="n">
        <x:f>IF(AND(ISNUMBER(O227),ISNUMBER(P227),ISNUMBER($E$18)),O227+P227-$E$18,"")</x:f>
        <x:v>3331090.7902277987</x:v>
      </x:c>
      <x:c r="V227" s="416" t="n">
        <x:f>IF(AND(S227&gt;0,ISNUMBER(U227)),U227/S227,"")</x:f>
        <x:v>15.945996421347091</x:v>
      </x:c>
      <x:c r="W227" s="418" t="n">
        <x:f>IF(AND(S227&gt;0,ISNUMBER(T227)),T227/S227,"")</x:f>
        <x:v>16.945996421347093</x:v>
      </x:c>
      <x:c r="X227" s="412" t="n">
        <x:f>IF($B$136="No",0,IF(AND(ISNUMBER(L227),OR(27&lt;&gt;$B$134,ISNUMBER(O227))),MAX(0,-(L227+IF(27=$B$134,O227,0))),0))</x:f>
        <x:v>0</x:v>
      </x:c>
      <x:c r="Y227" s="412" t="n">
        <x:f>IF(AND(ISNUMBER(Y226),ISNUMBER($D$138),$D$138&gt;=-1),Y226+Y226*$D$138-0+X227,"")</x:f>
        <x:v>1648620.4527013618</x:v>
      </x:c>
      <x:c r="Z227" s="412" t="n">
        <x:f>IF(AND(ISNUMBER(Y226),ISNUMBER($D$138),$D$138&gt;=-1),Z226+0,"")</x:f>
        <x:v>0</x:v>
      </x:c>
      <x:c r="AA227" s="412" t="n">
        <x:f>IF(ISNUMBER(AA226),AA226+X227,"")</x:f>
        <x:v>208898.25271554862</x:v>
      </x:c>
      <x:c r="AB227" s="412" t="n">
        <x:f>IF(AND(ISNUMBER(Y227),ISNUMBER(Z227),ISNUMBER(AA227)),Y227+Z227-AA227,"")</x:f>
        <x:v>1439722.1999858133</x:v>
      </x:c>
      <x:c r="AC227" s="416" t="n">
        <x:f>IF(AND(AA227&gt;0,ISNUMBER(AB227)),AB227/AA227,"")</x:f>
        <x:v>6.891978182059024</x:v>
      </x:c>
      <x:c r="AD227" s="412" t="n">
        <x:f>IF(AND(ISNUMBER(AD226),ISNUMBER($G$138),$G$138&gt;=0),AD226+AD226*$G$138-IF(AND($J$134="Cash payout",$G$138&gt;=0),AD226*$G$138,0)+X227,"")</x:f>
        <x:v>773773.8909931226</x:v>
      </x:c>
      <x:c r="AE227" s="412" t="n">
        <x:f>IF(AND(ISNUMBER(AD226),ISNUMBER($G$138),$G$138&gt;=0),AE226+IF(AND($J$134="Cash payout",$G$138&gt;=0),AD226*$G$138,0),"")</x:f>
        <x:v>0</x:v>
      </x:c>
      <x:c r="AF227" s="412" t="n">
        <x:f>IF(ISNUMBER(AF226),AF226+X227,"")</x:f>
        <x:v>208898.25271554862</x:v>
      </x:c>
      <x:c r="AG227" s="412" t="n">
        <x:f>IF(AND(ISNUMBER(AD227),ISNUMBER(AE227),ISNUMBER(AF227)),AD227+AE227-AF227,"")</x:f>
        <x:v>564875.638277574</x:v>
      </x:c>
      <x:c r="AH227" s="416" t="n">
        <x:f>IF(AND(AF227&gt;0,ISNUMBER(AG227)),AG227/AF227,"")</x:f>
        <x:v>2.7040706704557773</x:v>
      </x:c>
      <x:c r="AI227" s="412" t="n">
        <x:f>IF(AND(ISNUMBER(AI226),ISNUMBER($J$138),$J$138&gt;=-1),AI226+AI226*$J$138-IF(AND($J$134="Cash payout",$J$138&gt;=0),AI226*$J$138,0)+X227,"")</x:f>
        <x:v>773773.8909931226</x:v>
      </x:c>
      <x:c r="AJ227" s="412" t="n">
        <x:f>IF(AND(ISNUMBER(AI226),ISNUMBER($J$138),$J$138&gt;=-1),AJ226+IF(AND($J$134="Cash payout",$J$138&gt;=0),AI226*$J$138,0),"")</x:f>
        <x:v>0</x:v>
      </x:c>
      <x:c r="AK227" s="412" t="n">
        <x:f>IF(ISNUMBER(AK226),AK226+X227,"")</x:f>
        <x:v>208898.25271554862</x:v>
      </x:c>
      <x:c r="AL227" s="412" t="n">
        <x:f>IF(AND(ISNUMBER(AI227),ISNUMBER(AJ227),ISNUMBER(AK227)),AI227+AJ227-AK227,"")</x:f>
        <x:v>564875.638277574</x:v>
      </x:c>
      <x:c r="AM227" s="416" t="n">
        <x:f>IF(AND(AK227&gt;0,ISNUMBER(AL227)),AL227/AK227,"")</x:f>
        <x:v>2.7040706704557773</x:v>
      </x:c>
    </x:row>
    <x:row r="228" ht="24" customHeight="1">
      <x:c r="A228" s="419" t="n">
        <x:f>28</x:f>
        <x:v>28</x:v>
      </x:c>
      <x:c r="B228" s="414" t="n">
        <x:v>0</x:v>
      </x:c>
      <x:c r="C228" s="412" t="n">
        <x:f>IF(AND(ISNUMBER($H$17),ISNUMBER($J$73),$J$73&gt;-1,$J$73&lt;=5),$H$17*(1+$J$73)^(28-1),"")</x:f>
        <x:v>224902.7489386701</x:v>
      </x:c>
      <x:c r="D228" s="412" t="n">
        <x:f>IF(AND(ISNUMBER($H$18),ISNUMBER($J$74),$J$74&gt;-1,$J$74&lt;=5),$H$18*(1+$J$74)^(28-1),"")</x:f>
        <x:v>66638.67016710475</x:v>
      </x:c>
      <x:c r="E228" s="412" t="n">
        <x:f>IF(AND(ISNUMBER($H$22),ISNUMBER($J$74),$J$74&gt;-1,$J$74&lt;=5),$H$22*(1+$J$74)^(28-1),"")</x:f>
        <x:v>0</x:v>
      </x:c>
      <x:c r="F228" s="412" t="n">
        <x:f>IF(AND(ISNUMBER(C228),ISNUMBER(D228)),C228-D228,"")</x:f>
        <x:v>158264.07877156534</x:v>
      </x:c>
      <x:c r="G228" s="412" t="n">
        <x:f>IF(AND(ISNUMBER(F228),ISNUMBER(E228)),F228-E228,"")</x:f>
        <x:v>158264.07877156534</x:v>
      </x:c>
      <x:c r="H228" s="412" t="n">
        <x:f>IF(COUNT(M725:M736)=12,SUM(M725:M736),"")</x:f>
        <x:v>56153.40867888716</x:v>
      </x:c>
      <x:c r="I228" s="412" t="n">
        <x:f>SUM(E725:E736)</x:f>
        <x:v>0</x:v>
      </x:c>
      <x:c r="J228" s="412" t="n">
        <x:f>SUM(F725:F736)</x:f>
        <x:v>0</x:v>
      </x:c>
      <x:c r="K228" s="412" t="n">
        <x:f>SUM(G725:G736)</x:f>
        <x:v>0</x:v>
      </x:c>
      <x:c r="L228" s="412" t="n">
        <x:f>IF(AND(ISNUMBER(G228),ISNUMBER(H228),ISNUMBER(J228),ISNUMBER(K228)),G228-H228-B228-J228-K228,"")</x:f>
        <x:v>102110.67009267819</x:v>
      </x:c>
      <x:c r="M228" s="412" t="n">
        <x:f>IF(ISNUMBER(N736),N736,"")</x:f>
        <x:v>105313.94212673914</x:v>
      </x:c>
      <x:c r="N228" s="412" t="n">
        <x:f>IF(ISNUMBER($J$77),IF(AND($J$77&gt;0,$J$77&lt;=1,ISNUMBER($H$17),ISNUMBER($H$18),ISNUMBER($J$73),$J$73&gt;-1,$J$73&lt;=5,ISNUMBER($J$74),$J$74&gt;-1,$J$74&lt;=5),($H$17*(1+$J$73)^28-$H$18*(1+$J$74)^28)/$J$77,""),IF(AND($J$77="",ISNUMBER($B$15),$B$15&gt;0,ISNUMBER($J$72),$J$72&gt;-1,$J$72&lt;=5),$B$15*(1+$J$72)^28,""))</x:f>
        <x:v>2848768.1532231546</x:v>
      </x:c>
      <x:c r="O228" s="412" t="n">
        <x:f>IF(AND(ISNUMBER(N228),ISNUMBER(M228)),N228*(1-$J$75)-M228,"")</x:f>
        <x:v>2743454.2110964153</x:v>
      </x:c>
      <x:c r="P228" s="412" t="n">
        <x:f>IF(AND(ISNUMBER(P227),ISNUMBER(L228)),P227+L228,"")</x:f>
        <x:v>1037248.3536593171</x:v>
      </x:c>
      <x:c r="Q228" s="412" t="n">
        <x:f>IF(AND(ISNUMBER(Q227),ISNUMBER(L228)),Q227+MAX(0,-L228),"")</x:f>
        <x:v>208898.25271554862</x:v>
      </x:c>
      <x:c r="R228" s="412" t="n">
        <x:f>IF(AND(ISNUMBER(R227),ISNUMBER(L228)),R227+MAX(0,L228),"")</x:f>
        <x:v>1056146.6063748659</x:v>
      </x:c>
      <x:c r="S228" s="412" t="n">
        <x:f>IF(AND(ISNUMBER(Q227),ISNUMBER(L228),ISNUMBER(O228)),Q227+MAX(0,-(L228+O228)),"")</x:f>
        <x:v>208898.25271554862</x:v>
      </x:c>
      <x:c r="T228" s="412" t="n">
        <x:f>IF(AND(ISNUMBER(R227),ISNUMBER(L228),ISNUMBER(O228)),R227+MAX(0,L228+O228),"")</x:f>
        <x:v>3799600.817471281</x:v>
      </x:c>
      <x:c r="U228" s="412" t="n">
        <x:f>IF(AND(ISNUMBER(O228),ISNUMBER(P228),ISNUMBER($E$18)),O228+P228-$E$18,"")</x:f>
        <x:v>3590702.564755732</x:v>
      </x:c>
      <x:c r="V228" s="416" t="n">
        <x:f>IF(AND(S228&gt;0,ISNUMBER(U228)),U228/S228,"")</x:f>
        <x:v>17.18876303692736</x:v>
      </x:c>
      <x:c r="W228" s="418" t="n">
        <x:f>IF(AND(S228&gt;0,ISNUMBER(T228)),T228/S228,"")</x:f>
        <x:v>18.18876303692736</x:v>
      </x:c>
      <x:c r="X228" s="412" t="n">
        <x:f>IF($B$136="No",0,IF(AND(ISNUMBER(L228),OR(28&lt;&gt;$B$134,ISNUMBER(O228))),MAX(0,-(L228+IF(28=$B$134,O228,0))),0))</x:f>
        <x:v>0</x:v>
      </x:c>
      <x:c r="Y228" s="412" t="n">
        <x:f>IF(AND(ISNUMBER(Y227),ISNUMBER($D$138),$D$138&gt;=-1),Y227+Y227*$D$138-0+X228,"")</x:f>
        <x:v>1780510.0889174708</x:v>
      </x:c>
      <x:c r="Z228" s="412" t="n">
        <x:f>IF(AND(ISNUMBER(Y227),ISNUMBER($D$138),$D$138&gt;=-1),Z227+0,"")</x:f>
        <x:v>0</x:v>
      </x:c>
      <x:c r="AA228" s="412" t="n">
        <x:f>IF(ISNUMBER(AA227),AA227+X228,"")</x:f>
        <x:v>208898.25271554862</x:v>
      </x:c>
      <x:c r="AB228" s="412" t="n">
        <x:f>IF(AND(ISNUMBER(Y228),ISNUMBER(Z228),ISNUMBER(AA228)),Y228+Z228-AA228,"")</x:f>
        <x:v>1571611.836201922</x:v>
      </x:c>
      <x:c r="AC228" s="416" t="n">
        <x:f>IF(AND(AA228&gt;0,ISNUMBER(AB228)),AB228/AA228,"")</x:f>
        <x:v>7.523336436623745</x:v>
      </x:c>
      <x:c r="AD228" s="412" t="n">
        <x:f>IF(AND(ISNUMBER(AD227),ISNUMBER($G$138),$G$138&gt;=0),AD227+AD227*$G$138-IF(AND($J$134="Cash payout",$G$138&gt;=0),AD227*$G$138,0)+X228,"")</x:f>
        <x:v>812462.5855427787</x:v>
      </x:c>
      <x:c r="AE228" s="412" t="n">
        <x:f>IF(AND(ISNUMBER(AD227),ISNUMBER($G$138),$G$138&gt;=0),AE227+IF(AND($J$134="Cash payout",$G$138&gt;=0),AD227*$G$138,0),"")</x:f>
        <x:v>0</x:v>
      </x:c>
      <x:c r="AF228" s="412" t="n">
        <x:f>IF(ISNUMBER(AF227),AF227+X228,"")</x:f>
        <x:v>208898.25271554862</x:v>
      </x:c>
      <x:c r="AG228" s="412" t="n">
        <x:f>IF(AND(ISNUMBER(AD228),ISNUMBER(AE228),ISNUMBER(AF228)),AD228+AE228-AF228,"")</x:f>
        <x:v>603564.3328272301</x:v>
      </x:c>
      <x:c r="AH228" s="416" t="n">
        <x:f>IF(AND(AF228&gt;0,ISNUMBER(AG228)),AG228/AF228,"")</x:f>
        <x:v>2.8892742039785664</x:v>
      </x:c>
      <x:c r="AI228" s="412" t="n">
        <x:f>IF(AND(ISNUMBER(AI227),ISNUMBER($J$138),$J$138&gt;=-1),AI227+AI227*$J$138-IF(AND($J$134="Cash payout",$J$138&gt;=0),AI227*$J$138,0)+X228,"")</x:f>
        <x:v>812462.5855427787</x:v>
      </x:c>
      <x:c r="AJ228" s="412" t="n">
        <x:f>IF(AND(ISNUMBER(AI227),ISNUMBER($J$138),$J$138&gt;=-1),AJ227+IF(AND($J$134="Cash payout",$J$138&gt;=0),AI227*$J$138,0),"")</x:f>
        <x:v>0</x:v>
      </x:c>
      <x:c r="AK228" s="412" t="n">
        <x:f>IF(ISNUMBER(AK227),AK227+X228,"")</x:f>
        <x:v>208898.25271554862</x:v>
      </x:c>
      <x:c r="AL228" s="412" t="n">
        <x:f>IF(AND(ISNUMBER(AI228),ISNUMBER(AJ228),ISNUMBER(AK228)),AI228+AJ228-AK228,"")</x:f>
        <x:v>603564.3328272301</x:v>
      </x:c>
      <x:c r="AM228" s="416" t="n">
        <x:f>IF(AND(AK228&gt;0,ISNUMBER(AL228)),AL228/AK228,"")</x:f>
        <x:v>2.8892742039785664</x:v>
      </x:c>
    </x:row>
    <x:row r="229" ht="24" customHeight="1">
      <x:c r="A229" s="419" t="n">
        <x:f>29</x:f>
        <x:v>29</x:v>
      </x:c>
      <x:c r="B229" s="414" t="n">
        <x:v>0</x:v>
      </x:c>
      <x:c r="C229" s="412" t="n">
        <x:f>IF(AND(ISNUMBER($H$17),ISNUMBER($J$73),$J$73&gt;-1,$J$73&lt;=5),$H$17*(1+$J$73)^(29-1),"")</x:f>
        <x:v>233898.8588962169</x:v>
      </x:c>
      <x:c r="D229" s="412" t="n">
        <x:f>IF(AND(ISNUMBER($H$18),ISNUMBER($J$74),$J$74&gt;-1,$J$74&lt;=5),$H$18*(1+$J$74)^(29-1),"")</x:f>
        <x:v>68637.83027211789</x:v>
      </x:c>
      <x:c r="E229" s="412" t="n">
        <x:f>IF(AND(ISNUMBER($H$22),ISNUMBER($J$74),$J$74&gt;-1,$J$74&lt;=5),$H$22*(1+$J$74)^(29-1),"")</x:f>
        <x:v>0</x:v>
      </x:c>
      <x:c r="F229" s="412" t="n">
        <x:f>IF(AND(ISNUMBER(C229),ISNUMBER(D229)),C229-D229,"")</x:f>
        <x:v>165261.028624099</x:v>
      </x:c>
      <x:c r="G229" s="412" t="n">
        <x:f>IF(AND(ISNUMBER(F229),ISNUMBER(E229)),F229-E229,"")</x:f>
        <x:v>165261.028624099</x:v>
      </x:c>
      <x:c r="H229" s="412" t="n">
        <x:f>IF(COUNT(M737:M748)=12,SUM(M737:M748),"")</x:f>
        <x:v>56153.40867888716</x:v>
      </x:c>
      <x:c r="I229" s="412" t="n">
        <x:f>SUM(E737:E748)</x:f>
        <x:v>0</x:v>
      </x:c>
      <x:c r="J229" s="412" t="n">
        <x:f>SUM(F737:F748)</x:f>
        <x:v>0</x:v>
      </x:c>
      <x:c r="K229" s="412" t="n">
        <x:f>SUM(G737:G748)</x:f>
        <x:v>0</x:v>
      </x:c>
      <x:c r="L229" s="412" t="n">
        <x:f>IF(AND(ISNUMBER(G229),ISNUMBER(H229),ISNUMBER(J229),ISNUMBER(K229)),G229-H229-B229-J229-K229,"")</x:f>
        <x:v>109107.61994521186</x:v>
      </x:c>
      <x:c r="M229" s="412" t="n">
        <x:f>IF(ISNUMBER(N748),N748,"")</x:f>
        <x:v>54297.69970675149</x:v>
      </x:c>
      <x:c r="N229" s="412" t="n">
        <x:f>IF(ISNUMBER($J$77),IF(AND($J$77&gt;0,$J$77&lt;=1,ISNUMBER($H$17),ISNUMBER($H$18),ISNUMBER($J$73),$J$73&gt;-1,$J$73&lt;=5,ISNUMBER($J$74),$J$74&gt;-1,$J$74&lt;=5),($H$17*(1+$J$73)^29-$H$18*(1+$J$74)^29)/$J$77,""),IF(AND($J$77="",ISNUMBER($B$15),$B$15&gt;0,ISNUMBER($J$72),$J$72&gt;-1,$J$72&lt;=5),$B$15*(1+$J$72)^29,""))</x:f>
        <x:v>2962718.879352081</x:v>
      </x:c>
      <x:c r="O229" s="412" t="n">
        <x:f>IF(AND(ISNUMBER(N229),ISNUMBER(M229)),N229*(1-$J$75)-M229,"")</x:f>
        <x:v>2908421.1796453297</x:v>
      </x:c>
      <x:c r="P229" s="412" t="n">
        <x:f>IF(AND(ISNUMBER(P228),ISNUMBER(L229)),P228+L229,"")</x:f>
        <x:v>1146355.973604529</x:v>
      </x:c>
      <x:c r="Q229" s="412" t="n">
        <x:f>IF(AND(ISNUMBER(Q228),ISNUMBER(L229)),Q228+MAX(0,-L229),"")</x:f>
        <x:v>208898.25271554862</x:v>
      </x:c>
      <x:c r="R229" s="412" t="n">
        <x:f>IF(AND(ISNUMBER(R228),ISNUMBER(L229)),R228+MAX(0,L229),"")</x:f>
        <x:v>1165254.2263200777</x:v>
      </x:c>
      <x:c r="S229" s="412" t="n">
        <x:f>IF(AND(ISNUMBER(Q228),ISNUMBER(L229),ISNUMBER(O229)),Q228+MAX(0,-(L229+O229)),"")</x:f>
        <x:v>208898.25271554862</x:v>
      </x:c>
      <x:c r="T229" s="412" t="n">
        <x:f>IF(AND(ISNUMBER(R228),ISNUMBER(L229),ISNUMBER(O229)),R228+MAX(0,L229+O229),"")</x:f>
        <x:v>4073675.4059654074</x:v>
      </x:c>
      <x:c r="U229" s="412" t="n">
        <x:f>IF(AND(ISNUMBER(O229),ISNUMBER(P229),ISNUMBER($E$18)),O229+P229-$E$18,"")</x:f>
        <x:v>3864777.153249859</x:v>
      </x:c>
      <x:c r="V229" s="416" t="n">
        <x:f>IF(AND(S229&gt;0,ISNUMBER(U229)),U229/S229,"")</x:f>
        <x:v>18.500763424347195</x:v>
      </x:c>
      <x:c r="W229" s="418" t="n">
        <x:f>IF(AND(S229&gt;0,ISNUMBER(T229)),T229/S229,"")</x:f>
        <x:v>19.500763424347195</x:v>
      </x:c>
      <x:c r="X229" s="412" t="n">
        <x:f>IF($B$136="No",0,IF(AND(ISNUMBER(L229),OR(29&lt;&gt;$B$134,ISNUMBER(O229))),MAX(0,-(L229+IF(29=$B$134,O229,0))),0))</x:f>
        <x:v>0</x:v>
      </x:c>
      <x:c r="Y229" s="412" t="n">
        <x:f>IF(AND(ISNUMBER(Y228),ISNUMBER($D$138),$D$138&gt;=-1),Y228+Y228*$D$138-0+X229,"")</x:f>
        <x:v>1922950.8960308684</x:v>
      </x:c>
      <x:c r="Z229" s="412" t="n">
        <x:f>IF(AND(ISNUMBER(Y228),ISNUMBER($D$138),$D$138&gt;=-1),Z228+0,"")</x:f>
        <x:v>0</x:v>
      </x:c>
      <x:c r="AA229" s="412" t="n">
        <x:f>IF(ISNUMBER(AA228),AA228+X229,"")</x:f>
        <x:v>208898.25271554862</x:v>
      </x:c>
      <x:c r="AB229" s="412" t="n">
        <x:f>IF(AND(ISNUMBER(Y229),ISNUMBER(Z229),ISNUMBER(AA229)),Y229+Z229-AA229,"")</x:f>
        <x:v>1714052.64331532</x:v>
      </x:c>
      <x:c r="AC229" s="416" t="n">
        <x:f>IF(AND(AA229&gt;0,ISNUMBER(AB229)),AB229/AA229,"")</x:f>
        <x:v>8.205203351553646</x:v>
      </x:c>
      <x:c r="AD229" s="412" t="n">
        <x:f>IF(AND(ISNUMBER(AD228),ISNUMBER($G$138),$G$138&gt;=0),AD228+AD228*$G$138-IF(AND($J$134="Cash payout",$G$138&gt;=0),AD228*$G$138,0)+X229,"")</x:f>
        <x:v>853085.7148199177</x:v>
      </x:c>
      <x:c r="AE229" s="412" t="n">
        <x:f>IF(AND(ISNUMBER(AD228),ISNUMBER($G$138),$G$138&gt;=0),AE228+IF(AND($J$134="Cash payout",$G$138&gt;=0),AD228*$G$138,0),"")</x:f>
        <x:v>0</x:v>
      </x:c>
      <x:c r="AF229" s="412" t="n">
        <x:f>IF(ISNUMBER(AF228),AF228+X229,"")</x:f>
        <x:v>208898.25271554862</x:v>
      </x:c>
      <x:c r="AG229" s="412" t="n">
        <x:f>IF(AND(ISNUMBER(AD229),ISNUMBER(AE229),ISNUMBER(AF229)),AD229+AE229-AF229,"")</x:f>
        <x:v>644187.4621043691</x:v>
      </x:c>
      <x:c r="AH229" s="416" t="n">
        <x:f>IF(AND(AF229&gt;0,ISNUMBER(AG229)),AG229/AF229,"")</x:f>
        <x:v>3.0837379141774948</x:v>
      </x:c>
      <x:c r="AI229" s="412" t="n">
        <x:f>IF(AND(ISNUMBER(AI228),ISNUMBER($J$138),$J$138&gt;=-1),AI228+AI228*$J$138-IF(AND($J$134="Cash payout",$J$138&gt;=0),AI228*$J$138,0)+X229,"")</x:f>
        <x:v>853085.7148199177</x:v>
      </x:c>
      <x:c r="AJ229" s="412" t="n">
        <x:f>IF(AND(ISNUMBER(AI228),ISNUMBER($J$138),$J$138&gt;=-1),AJ228+IF(AND($J$134="Cash payout",$J$138&gt;=0),AI228*$J$138,0),"")</x:f>
        <x:v>0</x:v>
      </x:c>
      <x:c r="AK229" s="412" t="n">
        <x:f>IF(ISNUMBER(AK228),AK228+X229,"")</x:f>
        <x:v>208898.25271554862</x:v>
      </x:c>
      <x:c r="AL229" s="412" t="n">
        <x:f>IF(AND(ISNUMBER(AI229),ISNUMBER(AJ229),ISNUMBER(AK229)),AI229+AJ229-AK229,"")</x:f>
        <x:v>644187.4621043691</x:v>
      </x:c>
      <x:c r="AM229" s="416" t="n">
        <x:f>IF(AND(AK229&gt;0,ISNUMBER(AL229)),AL229/AK229,"")</x:f>
        <x:v>3.0837379141774948</x:v>
      </x:c>
    </x:row>
    <x:row r="230" ht="24" customHeight="1">
      <x:c r="A230" s="419" t="n">
        <x:f>30</x:f>
        <x:v>30</x:v>
      </x:c>
      <x:c r="B230" s="414" t="n">
        <x:v>0</x:v>
      </x:c>
      <x:c r="C230" s="412" t="n">
        <x:f>IF(AND(ISNUMBER($H$17),ISNUMBER($J$73),$J$73&gt;-1,$J$73&lt;=5),$H$17*(1+$J$73)^(30-1),"")</x:f>
        <x:v>243254.8132520656</x:v>
      </x:c>
      <x:c r="D230" s="412" t="n">
        <x:f>IF(AND(ISNUMBER($H$18),ISNUMBER($J$74),$J$74&gt;-1,$J$74&lt;=5),$H$18*(1+$J$74)^(30-1),"")</x:f>
        <x:v>70696.96518028142</x:v>
      </x:c>
      <x:c r="E230" s="412" t="n">
        <x:f>IF(AND(ISNUMBER($H$22),ISNUMBER($J$74),$J$74&gt;-1,$J$74&lt;=5),$H$22*(1+$J$74)^(30-1),"")</x:f>
        <x:v>0</x:v>
      </x:c>
      <x:c r="F230" s="412" t="n">
        <x:f>IF(AND(ISNUMBER(C230),ISNUMBER(D230)),C230-D230,"")</x:f>
        <x:v>172557.8480717842</x:v>
      </x:c>
      <x:c r="G230" s="412" t="n">
        <x:f>IF(AND(ISNUMBER(F230),ISNUMBER(E230)),F230-E230,"")</x:f>
        <x:v>172557.8480717842</x:v>
      </x:c>
      <x:c r="H230" s="412" t="n">
        <x:f>IF(COUNT(M749:M760)=12,SUM(M749:M760),"")</x:f>
        <x:v>56153.40867880007</x:v>
      </x:c>
      <x:c r="I230" s="412" t="n">
        <x:f>SUM(E749:E760)</x:f>
        <x:v>0</x:v>
      </x:c>
      <x:c r="J230" s="412" t="n">
        <x:f>SUM(F749:F760)</x:f>
        <x:v>0</x:v>
      </x:c>
      <x:c r="K230" s="412" t="n">
        <x:f>SUM(G749:G760)</x:f>
        <x:v>0</x:v>
      </x:c>
      <x:c r="L230" s="412" t="n">
        <x:f>IF(AND(ISNUMBER(G230),ISNUMBER(H230),ISNUMBER(J230),ISNUMBER(K230)),G230-H230-B230-J230-K230,"")</x:f>
        <x:v>116404.43939298412</x:v>
      </x:c>
      <x:c r="M230" s="412" t="n">
        <x:f>IF(ISNUMBER(N760),N760,"")</x:f>
        <x:v>0</x:v>
      </x:c>
      <x:c r="N230" s="412" t="n">
        <x:f>IF(ISNUMBER($J$77),IF(AND($J$77&gt;0,$J$77&lt;=1,ISNUMBER($H$17),ISNUMBER($H$18),ISNUMBER($J$73),$J$73&gt;-1,$J$73&lt;=5,ISNUMBER($J$74),$J$74&gt;-1,$J$74&lt;=5),($H$17*(1+$J$73)^30-$H$18*(1+$J$74)^30)/$J$77,""),IF(AND($J$77="",ISNUMBER($B$15),$B$15&gt;0,ISNUMBER($J$72),$J$72&gt;-1,$J$72&lt;=5),$B$15*(1+$J$72)^30,""))</x:f>
        <x:v>3081227.6345261643</x:v>
      </x:c>
      <x:c r="O230" s="412" t="n">
        <x:f>IF(AND(ISNUMBER(N230),ISNUMBER(M230)),N230*(1-$J$75)-M230,"")</x:f>
        <x:v>3081227.6345261643</x:v>
      </x:c>
      <x:c r="P230" s="412" t="n">
        <x:f>IF(AND(ISNUMBER(P229),ISNUMBER(L230)),P229+L230,"")</x:f>
        <x:v>1262760.412997513</x:v>
      </x:c>
      <x:c r="Q230" s="412" t="n">
        <x:f>IF(AND(ISNUMBER(Q229),ISNUMBER(L230)),Q229+MAX(0,-L230),"")</x:f>
        <x:v>208898.25271554862</x:v>
      </x:c>
      <x:c r="R230" s="412" t="n">
        <x:f>IF(AND(ISNUMBER(R229),ISNUMBER(L230)),R229+MAX(0,L230),"")</x:f>
        <x:v>1281658.6657130618</x:v>
      </x:c>
      <x:c r="S230" s="412" t="n">
        <x:f>IF(AND(ISNUMBER(Q229),ISNUMBER(L230),ISNUMBER(O230)),Q229+MAX(0,-(L230+O230)),"")</x:f>
        <x:v>208898.25271554862</x:v>
      </x:c>
      <x:c r="T230" s="412" t="n">
        <x:f>IF(AND(ISNUMBER(R229),ISNUMBER(L230),ISNUMBER(O230)),R229+MAX(0,L230+O230),"")</x:f>
        <x:v>4362886.300239226</x:v>
      </x:c>
      <x:c r="U230" s="412" t="n">
        <x:f>IF(AND(ISNUMBER(O230),ISNUMBER(P230),ISNUMBER($E$18)),O230+P230-$E$18,"")</x:f>
        <x:v>4153988.0475236773</x:v>
      </x:c>
      <x:c r="V230" s="416" t="n">
        <x:f>IF(AND(S230&gt;0,ISNUMBER(U230)),U230/S230,"")</x:f>
        <x:v>19.885221602021037</x:v>
      </x:c>
      <x:c r="W230" s="418" t="n">
        <x:f>IF(AND(S230&gt;0,ISNUMBER(T230)),T230/S230,"")</x:f>
        <x:v>20.885221602021037</x:v>
      </x:c>
      <x:c r="X230" s="412" t="n">
        <x:f>IF($B$136="No",0,IF(AND(ISNUMBER(L230),OR(30&lt;&gt;$B$134,ISNUMBER(O230))),MAX(0,-(L230+IF(30=$B$134,O230,0))),0))</x:f>
        <x:v>0</x:v>
      </x:c>
      <x:c r="Y230" s="412" t="n">
        <x:f>IF(AND(ISNUMBER(Y229),ISNUMBER($D$138),$D$138&gt;=-1),Y229+Y229*$D$138-0+X230,"")</x:f>
        <x:v>2076786.9677133379</x:v>
      </x:c>
      <x:c r="Z230" s="412" t="n">
        <x:f>IF(AND(ISNUMBER(Y229),ISNUMBER($D$138),$D$138&gt;=-1),Z229+0,"")</x:f>
        <x:v>0</x:v>
      </x:c>
      <x:c r="AA230" s="412" t="n">
        <x:f>IF(ISNUMBER(AA229),AA229+X230,"")</x:f>
        <x:v>208898.25271554862</x:v>
      </x:c>
      <x:c r="AB230" s="412" t="n">
        <x:f>IF(AND(ISNUMBER(Y230),ISNUMBER(Z230),ISNUMBER(AA230)),Y230+Z230-AA230,"")</x:f>
        <x:v>1867888.7149977894</x:v>
      </x:c>
      <x:c r="AC230" s="416" t="n">
        <x:f>IF(AND(AA230&gt;0,ISNUMBER(AB230)),AB230/AA230,"")</x:f>
        <x:v>8.941619619677937</x:v>
      </x:c>
      <x:c r="AD230" s="412" t="n">
        <x:f>IF(AND(ISNUMBER(AD229),ISNUMBER($G$138),$G$138&gt;=0),AD229+AD229*$G$138-IF(AND($J$134="Cash payout",$G$138&gt;=0),AD229*$G$138,0)+X230,"")</x:f>
        <x:v>895740.0005609136</x:v>
      </x:c>
      <x:c r="AE230" s="412" t="n">
        <x:f>IF(AND(ISNUMBER(AD229),ISNUMBER($G$138),$G$138&gt;=0),AE229+IF(AND($J$134="Cash payout",$G$138&gt;=0),AD229*$G$138,0),"")</x:f>
        <x:v>0</x:v>
      </x:c>
      <x:c r="AF230" s="412" t="n">
        <x:f>IF(ISNUMBER(AF229),AF229+X230,"")</x:f>
        <x:v>208898.25271554862</x:v>
      </x:c>
      <x:c r="AG230" s="412" t="n">
        <x:f>IF(AND(ISNUMBER(AD230),ISNUMBER(AE230),ISNUMBER(AF230)),AD230+AE230-AF230,"")</x:f>
        <x:v>686841.747845365</x:v>
      </x:c>
      <x:c r="AH230" s="416" t="n">
        <x:f>IF(AND(AF230&gt;0,ISNUMBER(AG230)),AG230/AF230,"")</x:f>
        <x:v>3.2879248098863694</x:v>
      </x:c>
      <x:c r="AI230" s="412" t="n">
        <x:f>IF(AND(ISNUMBER(AI229),ISNUMBER($J$138),$J$138&gt;=-1),AI229+AI229*$J$138-IF(AND($J$134="Cash payout",$J$138&gt;=0),AI229*$J$138,0)+X230,"")</x:f>
        <x:v>895740.0005609136</x:v>
      </x:c>
      <x:c r="AJ230" s="412" t="n">
        <x:f>IF(AND(ISNUMBER(AI229),ISNUMBER($J$138),$J$138&gt;=-1),AJ229+IF(AND($J$134="Cash payout",$J$138&gt;=0),AI229*$J$138,0),"")</x:f>
        <x:v>0</x:v>
      </x:c>
      <x:c r="AK230" s="412" t="n">
        <x:f>IF(ISNUMBER(AK229),AK229+X230,"")</x:f>
        <x:v>208898.25271554862</x:v>
      </x:c>
      <x:c r="AL230" s="412" t="n">
        <x:f>IF(AND(ISNUMBER(AI230),ISNUMBER(AJ230),ISNUMBER(AK230)),AI230+AJ230-AK230,"")</x:f>
        <x:v>686841.747845365</x:v>
      </x:c>
      <x:c r="AM230" s="416" t="n">
        <x:f>IF(AND(AK230&gt;0,ISNUMBER(AL230)),AL230/AK230,"")</x:f>
        <x:v>3.2879248098863694</x:v>
      </x:c>
    </x:row>
    <x:row r="231" ht="24" customHeight="1">
      <x:c r="A231" s="419" t="n">
        <x:f>31</x:f>
        <x:v>31</x:v>
      </x:c>
      <x:c r="B231" s="414" t="n">
        <x:v>0</x:v>
      </x:c>
      <x:c r="C231" s="412" t="n">
        <x:f>IF(AND(ISNUMBER($H$17),ISNUMBER($J$73),$J$73&gt;-1,$J$73&lt;=5),$H$17*(1+$J$73)^(31-1),"")</x:f>
        <x:v>252985.00578214822</x:v>
      </x:c>
      <x:c r="D231" s="412" t="n">
        <x:f>IF(AND(ISNUMBER($H$18),ISNUMBER($J$74),$J$74&gt;-1,$J$74&lt;=5),$H$18*(1+$J$74)^(31-1),"")</x:f>
        <x:v>72817.87413568987</x:v>
      </x:c>
      <x:c r="E231" s="412" t="n">
        <x:f>IF(AND(ISNUMBER($H$22),ISNUMBER($J$74),$J$74&gt;-1,$J$74&lt;=5),$H$22*(1+$J$74)^(31-1),"")</x:f>
        <x:v>0</x:v>
      </x:c>
      <x:c r="F231" s="412" t="n">
        <x:f>IF(AND(ISNUMBER(C231),ISNUMBER(D231)),C231-D231,"")</x:f>
        <x:v>180167.13164645835</x:v>
      </x:c>
      <x:c r="G231" s="412" t="n">
        <x:f>IF(AND(ISNUMBER(F231),ISNUMBER(E231)),F231-E231,"")</x:f>
        <x:v>180167.13164645835</x:v>
      </x:c>
      <x:c r="H231" s="412" t="n">
        <x:f>IF(COUNT(M761:M772)=12,SUM(M761:M772),"")</x:f>
        <x:v>0</x:v>
      </x:c>
      <x:c r="I231" s="412" t="n">
        <x:f>SUM(E761:E772)</x:f>
        <x:v>0</x:v>
      </x:c>
      <x:c r="J231" s="412" t="n">
        <x:f>SUM(F761:F772)</x:f>
        <x:v>0</x:v>
      </x:c>
      <x:c r="K231" s="412" t="n">
        <x:f>SUM(G761:G772)</x:f>
        <x:v>0</x:v>
      </x:c>
      <x:c r="L231" s="412" t="n">
        <x:f>IF(AND(ISNUMBER(G231),ISNUMBER(H231),ISNUMBER(J231),ISNUMBER(K231)),G231-H231-B231-J231-K231,"")</x:f>
        <x:v>180167.13164645835</x:v>
      </x:c>
      <x:c r="M231" s="412" t="n">
        <x:f>IF(ISNUMBER(N772),N772,"")</x:f>
        <x:v>0</x:v>
      </x:c>
      <x:c r="N231" s="412" t="n">
        <x:f>IF(ISNUMBER($J$77),IF(AND($J$77&gt;0,$J$77&lt;=1,ISNUMBER($H$17),ISNUMBER($H$18),ISNUMBER($J$73),$J$73&gt;-1,$J$73&lt;=5,ISNUMBER($J$74),$J$74&gt;-1,$J$74&lt;=5),($H$17*(1+$J$73)^31-$H$18*(1+$J$74)^31)/$J$77,""),IF(AND($J$77="",ISNUMBER($B$15),$B$15&gt;0,ISNUMBER($J$72),$J$72&gt;-1,$J$72&lt;=5),$B$15*(1+$J$72)^31,""))</x:f>
        <x:v>3204476.739907211</x:v>
      </x:c>
      <x:c r="O231" s="412" t="n">
        <x:f>IF(AND(ISNUMBER(N231),ISNUMBER(M231)),N231*(1-$J$75)-M231,"")</x:f>
        <x:v>3204476.739907211</x:v>
      </x:c>
      <x:c r="P231" s="412" t="n">
        <x:f>IF(AND(ISNUMBER(P230),ISNUMBER(L231)),P230+L231,"")</x:f>
        <x:v>1442927.5446439714</x:v>
      </x:c>
      <x:c r="Q231" s="412" t="n">
        <x:f>IF(AND(ISNUMBER(Q230),ISNUMBER(L231)),Q230+MAX(0,-L231),"")</x:f>
        <x:v>208898.25271554862</x:v>
      </x:c>
      <x:c r="R231" s="412" t="n">
        <x:f>IF(AND(ISNUMBER(R230),ISNUMBER(L231)),R230+MAX(0,L231),"")</x:f>
        <x:v>1461825.79735952</x:v>
      </x:c>
      <x:c r="S231" s="412" t="n">
        <x:f>IF(AND(ISNUMBER(Q230),ISNUMBER(L231),ISNUMBER(O231)),Q230+MAX(0,-(L231+O231)),"")</x:f>
        <x:v>208898.25271554862</x:v>
      </x:c>
      <x:c r="T231" s="412" t="n">
        <x:f>IF(AND(ISNUMBER(R230),ISNUMBER(L231),ISNUMBER(O231)),R230+MAX(0,L231+O231),"")</x:f>
        <x:v>4666302.537266731</x:v>
      </x:c>
      <x:c r="U231" s="412" t="n">
        <x:f>IF(AND(ISNUMBER(O231),ISNUMBER(P231),ISNUMBER($E$18)),O231+P231-$E$18,"")</x:f>
        <x:v>4457404.284551183</x:v>
      </x:c>
      <x:c r="V231" s="416" t="n">
        <x:f>IF(AND(S231&gt;0,ISNUMBER(U231)),U231/S231,"")</x:f>
        <x:v>21.337681031830915</x:v>
      </x:c>
      <x:c r="W231" s="418" t="n">
        <x:f>IF(AND(S231&gt;0,ISNUMBER(T231)),T231/S231,"")</x:f>
        <x:v>22.337681031830915</x:v>
      </x:c>
      <x:c r="X231" s="412" t="n">
        <x:f>IF($B$136="No",0,IF(AND(ISNUMBER(L231),OR(31&lt;&gt;$B$134,ISNUMBER(O231))),MAX(0,-(L231+IF(31=$B$134,O231,0))),0))</x:f>
        <x:v>0</x:v>
      </x:c>
      <x:c r="Y231" s="412" t="n">
        <x:f>IF(AND(ISNUMBER(Y230),ISNUMBER($D$138),$D$138&gt;=-1),Y230+Y230*$D$138-0+X231,"")</x:f>
        <x:v>2242929.925130405</x:v>
      </x:c>
      <x:c r="Z231" s="412" t="n">
        <x:f>IF(AND(ISNUMBER(Y230),ISNUMBER($D$138),$D$138&gt;=-1),Z230+0,"")</x:f>
        <x:v>0</x:v>
      </x:c>
      <x:c r="AA231" s="412" t="n">
        <x:f>IF(ISNUMBER(AA230),AA230+X231,"")</x:f>
        <x:v>208898.25271554862</x:v>
      </x:c>
      <x:c r="AB231" s="412" t="n">
        <x:f>IF(AND(ISNUMBER(Y231),ISNUMBER(Z231),ISNUMBER(AA231)),Y231+Z231-AA231,"")</x:f>
        <x:v>2034031.6724148565</x:v>
      </x:c>
      <x:c r="AC231" s="416" t="n">
        <x:f>IF(AND(AA231&gt;0,ISNUMBER(AB231)),AB231/AA231,"")</x:f>
        <x:v>9.736949189252172</x:v>
      </x:c>
      <x:c r="AD231" s="412" t="n">
        <x:f>IF(AND(ISNUMBER(AD230),ISNUMBER($G$138),$G$138&gt;=0),AD230+AD230*$G$138-IF(AND($J$134="Cash payout",$G$138&gt;=0),AD230*$G$138,0)+X231,"")</x:f>
        <x:v>940527.0005889593</x:v>
      </x:c>
      <x:c r="AE231" s="412" t="n">
        <x:f>IF(AND(ISNUMBER(AD230),ISNUMBER($G$138),$G$138&gt;=0),AE230+IF(AND($J$134="Cash payout",$G$138&gt;=0),AD230*$G$138,0),"")</x:f>
        <x:v>0</x:v>
      </x:c>
      <x:c r="AF231" s="412" t="n">
        <x:f>IF(ISNUMBER(AF230),AF230+X231,"")</x:f>
        <x:v>208898.25271554862</x:v>
      </x:c>
      <x:c r="AG231" s="412" t="n">
        <x:f>IF(AND(ISNUMBER(AD231),ISNUMBER(AE231),ISNUMBER(AF231)),AD231+AE231-AF231,"")</x:f>
        <x:v>731628.7478734107</x:v>
      </x:c>
      <x:c r="AH231" s="416" t="n">
        <x:f>IF(AND(AF231&gt;0,ISNUMBER(AG231)),AG231/AF231,"")</x:f>
        <x:v>3.5023210503806883</x:v>
      </x:c>
      <x:c r="AI231" s="412" t="n">
        <x:f>IF(AND(ISNUMBER(AI230),ISNUMBER($J$138),$J$138&gt;=-1),AI230+AI230*$J$138-IF(AND($J$134="Cash payout",$J$138&gt;=0),AI230*$J$138,0)+X231,"")</x:f>
        <x:v>940527.0005889593</x:v>
      </x:c>
      <x:c r="AJ231" s="412" t="n">
        <x:f>IF(AND(ISNUMBER(AI230),ISNUMBER($J$138),$J$138&gt;=-1),AJ230+IF(AND($J$134="Cash payout",$J$138&gt;=0),AI230*$J$138,0),"")</x:f>
        <x:v>0</x:v>
      </x:c>
      <x:c r="AK231" s="412" t="n">
        <x:f>IF(ISNUMBER(AK230),AK230+X231,"")</x:f>
        <x:v>208898.25271554862</x:v>
      </x:c>
      <x:c r="AL231" s="412" t="n">
        <x:f>IF(AND(ISNUMBER(AI231),ISNUMBER(AJ231),ISNUMBER(AK231)),AI231+AJ231-AK231,"")</x:f>
        <x:v>731628.7478734107</x:v>
      </x:c>
      <x:c r="AM231" s="416" t="n">
        <x:f>IF(AND(AK231&gt;0,ISNUMBER(AL231)),AL231/AK231,"")</x:f>
        <x:v>3.5023210503806883</x:v>
      </x:c>
    </x:row>
    <x:row r="232" ht="24" customHeight="1">
      <x:c r="A232" s="419" t="n">
        <x:f>32</x:f>
        <x:v>32</x:v>
      </x:c>
      <x:c r="B232" s="414" t="n">
        <x:v>0</x:v>
      </x:c>
      <x:c r="C232" s="412" t="n">
        <x:f>IF(AND(ISNUMBER($H$17),ISNUMBER($J$73),$J$73&gt;-1,$J$73&lt;=5),$H$17*(1+$J$73)^(32-1),"")</x:f>
        <x:v>263104.40601343417</x:v>
      </x:c>
      <x:c r="D232" s="412" t="n">
        <x:f>IF(AND(ISNUMBER($H$18),ISNUMBER($J$74),$J$74&gt;-1,$J$74&lt;=5),$H$18*(1+$J$74)^(32-1),"")</x:f>
        <x:v>75002.41035976056</x:v>
      </x:c>
      <x:c r="E232" s="412" t="n">
        <x:f>IF(AND(ISNUMBER($H$22),ISNUMBER($J$74),$J$74&gt;-1,$J$74&lt;=5),$H$22*(1+$J$74)^(32-1),"")</x:f>
        <x:v>0</x:v>
      </x:c>
      <x:c r="F232" s="412" t="n">
        <x:f>IF(AND(ISNUMBER(C232),ISNUMBER(D232)),C232-D232,"")</x:f>
        <x:v>188101.9956536736</x:v>
      </x:c>
      <x:c r="G232" s="412" t="n">
        <x:f>IF(AND(ISNUMBER(F232),ISNUMBER(E232)),F232-E232,"")</x:f>
        <x:v>188101.9956536736</x:v>
      </x:c>
      <x:c r="H232" s="412" t="n">
        <x:f>IF(COUNT(M773:M784)=12,SUM(M773:M784),"")</x:f>
        <x:v>0</x:v>
      </x:c>
      <x:c r="I232" s="412" t="n">
        <x:f>SUM(E773:E784)</x:f>
        <x:v>0</x:v>
      </x:c>
      <x:c r="J232" s="412" t="n">
        <x:f>SUM(F773:F784)</x:f>
        <x:v>0</x:v>
      </x:c>
      <x:c r="K232" s="412" t="n">
        <x:f>SUM(G773:G784)</x:f>
        <x:v>0</x:v>
      </x:c>
      <x:c r="L232" s="412" t="n">
        <x:f>IF(AND(ISNUMBER(G232),ISNUMBER(H232),ISNUMBER(J232),ISNUMBER(K232)),G232-H232-B232-J232-K232,"")</x:f>
        <x:v>188101.9956536736</x:v>
      </x:c>
      <x:c r="M232" s="412" t="n">
        <x:f>IF(ISNUMBER(N784),N784,"")</x:f>
        <x:v>0</x:v>
      </x:c>
      <x:c r="N232" s="412" t="n">
        <x:f>IF(ISNUMBER($J$77),IF(AND($J$77&gt;0,$J$77&lt;=1,ISNUMBER($H$17),ISNUMBER($H$18),ISNUMBER($J$73),$J$73&gt;-1,$J$73&lt;=5,ISNUMBER($J$74),$J$74&gt;-1,$J$74&lt;=5),($H$17*(1+$J$73)^32-$H$18*(1+$J$74)^32)/$J$77,""),IF(AND($J$77="",ISNUMBER($B$15),$B$15&gt;0,ISNUMBER($J$72),$J$72&gt;-1,$J$72&lt;=5),$B$15*(1+$J$72)^32,""))</x:f>
        <x:v>3332655.8095034994</x:v>
      </x:c>
      <x:c r="O232" s="412" t="n">
        <x:f>IF(AND(ISNUMBER(N232),ISNUMBER(M232)),N232*(1-$J$75)-M232,"")</x:f>
        <x:v>3332655.8095034994</x:v>
      </x:c>
      <x:c r="P232" s="412" t="n">
        <x:f>IF(AND(ISNUMBER(P231),ISNUMBER(L232)),P231+L232,"")</x:f>
        <x:v>1631029.540297645</x:v>
      </x:c>
      <x:c r="Q232" s="412" t="n">
        <x:f>IF(AND(ISNUMBER(Q231),ISNUMBER(L232)),Q231+MAX(0,-L232),"")</x:f>
        <x:v>208898.25271554862</x:v>
      </x:c>
      <x:c r="R232" s="412" t="n">
        <x:f>IF(AND(ISNUMBER(R231),ISNUMBER(L232)),R231+MAX(0,L232),"")</x:f>
        <x:v>1649927.7930131936</x:v>
      </x:c>
      <x:c r="S232" s="412" t="n">
        <x:f>IF(AND(ISNUMBER(Q231),ISNUMBER(L232),ISNUMBER(O232)),Q231+MAX(0,-(L232+O232)),"")</x:f>
        <x:v>208898.25271554862</x:v>
      </x:c>
      <x:c r="T232" s="412" t="n">
        <x:f>IF(AND(ISNUMBER(R231),ISNUMBER(L232),ISNUMBER(O232)),R231+MAX(0,L232+O232),"")</x:f>
        <x:v>4982583.602516693</x:v>
      </x:c>
      <x:c r="U232" s="412" t="n">
        <x:f>IF(AND(ISNUMBER(O232),ISNUMBER(P232),ISNUMBER($E$18)),O232+P232-$E$18,"")</x:f>
        <x:v>4773685.349801145</x:v>
      </x:c>
      <x:c r="V232" s="416" t="n">
        <x:f>IF(AND(S232&gt;0,ISNUMBER(U232)),U232/S232,"")</x:f>
        <x:v>22.851724644635247</x:v>
      </x:c>
      <x:c r="W232" s="418" t="n">
        <x:f>IF(AND(S232&gt;0,ISNUMBER(T232)),T232/S232,"")</x:f>
        <x:v>23.851724644635247</x:v>
      </x:c>
      <x:c r="X232" s="412" t="n">
        <x:f>IF($B$136="No",0,IF(AND(ISNUMBER(L232),OR(32&lt;&gt;$B$134,ISNUMBER(O232))),MAX(0,-(L232+IF(32=$B$134,O232,0))),0))</x:f>
        <x:v>0</x:v>
      </x:c>
      <x:c r="Y232" s="412" t="n">
        <x:f>IF(AND(ISNUMBER(Y231),ISNUMBER($D$138),$D$138&gt;=-1),Y231+Y231*$D$138-0+X232,"")</x:f>
        <x:v>2422364.3191408375</x:v>
      </x:c>
      <x:c r="Z232" s="412" t="n">
        <x:f>IF(AND(ISNUMBER(Y231),ISNUMBER($D$138),$D$138&gt;=-1),Z231+0,"")</x:f>
        <x:v>0</x:v>
      </x:c>
      <x:c r="AA232" s="412" t="n">
        <x:f>IF(ISNUMBER(AA231),AA231+X232,"")</x:f>
        <x:v>208898.25271554862</x:v>
      </x:c>
      <x:c r="AB232" s="412" t="n">
        <x:f>IF(AND(ISNUMBER(Y232),ISNUMBER(Z232),ISNUMBER(AA232)),Y232+Z232-AA232,"")</x:f>
        <x:v>2213466.066425289</x:v>
      </x:c>
      <x:c r="AC232" s="416" t="n">
        <x:f>IF(AND(AA232&gt;0,ISNUMBER(AB232)),AB232/AA232,"")</x:f>
        <x:v>10.595905124392347</x:v>
      </x:c>
      <x:c r="AD232" s="412" t="n">
        <x:f>IF(AND(ISNUMBER(AD231),ISNUMBER($G$138),$G$138&gt;=0),AD231+AD231*$G$138-IF(AND($J$134="Cash payout",$G$138&gt;=0),AD231*$G$138,0)+X232,"")</x:f>
        <x:v>987553.3506184072</x:v>
      </x:c>
      <x:c r="AE232" s="412" t="n">
        <x:f>IF(AND(ISNUMBER(AD231),ISNUMBER($G$138),$G$138&gt;=0),AE231+IF(AND($J$134="Cash payout",$G$138&gt;=0),AD231*$G$138,0),"")</x:f>
        <x:v>0</x:v>
      </x:c>
      <x:c r="AF232" s="412" t="n">
        <x:f>IF(ISNUMBER(AF231),AF231+X232,"")</x:f>
        <x:v>208898.25271554862</x:v>
      </x:c>
      <x:c r="AG232" s="412" t="n">
        <x:f>IF(AND(ISNUMBER(AD232),ISNUMBER(AE232),ISNUMBER(AF232)),AD232+AE232-AF232,"")</x:f>
        <x:v>778655.0979028586</x:v>
      </x:c>
      <x:c r="AH232" s="416" t="n">
        <x:f>IF(AND(AF232&gt;0,ISNUMBER(AG232)),AG232/AF232,"")</x:f>
        <x:v>3.7274371028997226</x:v>
      </x:c>
      <x:c r="AI232" s="412" t="n">
        <x:f>IF(AND(ISNUMBER(AI231),ISNUMBER($J$138),$J$138&gt;=-1),AI231+AI231*$J$138-IF(AND($J$134="Cash payout",$J$138&gt;=0),AI231*$J$138,0)+X232,"")</x:f>
        <x:v>987553.3506184072</x:v>
      </x:c>
      <x:c r="AJ232" s="412" t="n">
        <x:f>IF(AND(ISNUMBER(AI231),ISNUMBER($J$138),$J$138&gt;=-1),AJ231+IF(AND($J$134="Cash payout",$J$138&gt;=0),AI231*$J$138,0),"")</x:f>
        <x:v>0</x:v>
      </x:c>
      <x:c r="AK232" s="412" t="n">
        <x:f>IF(ISNUMBER(AK231),AK231+X232,"")</x:f>
        <x:v>208898.25271554862</x:v>
      </x:c>
      <x:c r="AL232" s="412" t="n">
        <x:f>IF(AND(ISNUMBER(AI232),ISNUMBER(AJ232),ISNUMBER(AK232)),AI232+AJ232-AK232,"")</x:f>
        <x:v>778655.0979028586</x:v>
      </x:c>
      <x:c r="AM232" s="416" t="n">
        <x:f>IF(AND(AK232&gt;0,ISNUMBER(AL232)),AL232/AK232,"")</x:f>
        <x:v>3.7274371028997226</x:v>
      </x:c>
    </x:row>
    <x:row r="233" ht="24" customHeight="1">
      <x:c r="A233" s="419" t="n">
        <x:f>33</x:f>
        <x:v>33</x:v>
      </x:c>
      <x:c r="B233" s="414" t="n">
        <x:v>0</x:v>
      </x:c>
      <x:c r="C233" s="412" t="n">
        <x:f>IF(AND(ISNUMBER($H$17),ISNUMBER($J$73),$J$73&gt;-1,$J$73&lt;=5),$H$17*(1+$J$73)^(33-1),"")</x:f>
        <x:v>273628.58225397154</x:v>
      </x:c>
      <x:c r="D233" s="412" t="n">
        <x:f>IF(AND(ISNUMBER($H$18),ISNUMBER($J$74),$J$74&gt;-1,$J$74&lt;=5),$H$18*(1+$J$74)^(33-1),"")</x:f>
        <x:v>77252.48267055338</x:v>
      </x:c>
      <x:c r="E233" s="412" t="n">
        <x:f>IF(AND(ISNUMBER($H$22),ISNUMBER($J$74),$J$74&gt;-1,$J$74&lt;=5),$H$22*(1+$J$74)^(33-1),"")</x:f>
        <x:v>0</x:v>
      </x:c>
      <x:c r="F233" s="412" t="n">
        <x:f>IF(AND(ISNUMBER(C233),ISNUMBER(D233)),C233-D233,"")</x:f>
        <x:v>196376.09958341817</x:v>
      </x:c>
      <x:c r="G233" s="412" t="n">
        <x:f>IF(AND(ISNUMBER(F233),ISNUMBER(E233)),F233-E233,"")</x:f>
        <x:v>196376.09958341817</x:v>
      </x:c>
      <x:c r="H233" s="412" t="n">
        <x:f>IF(COUNT(M785:M796)=12,SUM(M785:M796),"")</x:f>
        <x:v>0</x:v>
      </x:c>
      <x:c r="I233" s="412" t="n">
        <x:f>SUM(E785:E796)</x:f>
        <x:v>0</x:v>
      </x:c>
      <x:c r="J233" s="412" t="n">
        <x:f>SUM(F785:F796)</x:f>
        <x:v>0</x:v>
      </x:c>
      <x:c r="K233" s="412" t="n">
        <x:f>SUM(G785:G796)</x:f>
        <x:v>0</x:v>
      </x:c>
      <x:c r="L233" s="412" t="n">
        <x:f>IF(AND(ISNUMBER(G233),ISNUMBER(H233),ISNUMBER(J233),ISNUMBER(K233)),G233-H233-B233-J233-K233,"")</x:f>
        <x:v>196376.09958341817</x:v>
      </x:c>
      <x:c r="M233" s="412" t="n">
        <x:f>IF(ISNUMBER(N796),N796,"")</x:f>
        <x:v>0</x:v>
      </x:c>
      <x:c r="N233" s="412" t="n">
        <x:f>IF(ISNUMBER($J$77),IF(AND($J$77&gt;0,$J$77&lt;=1,ISNUMBER($H$17),ISNUMBER($H$18),ISNUMBER($J$73),$J$73&gt;-1,$J$73&lt;=5,ISNUMBER($J$74),$J$74&gt;-1,$J$74&lt;=5),($H$17*(1+$J$73)^33-$H$18*(1+$J$74)^33)/$J$77,""),IF(AND($J$77="",ISNUMBER($B$15),$B$15&gt;0,ISNUMBER($J$72),$J$72&gt;-1,$J$72&lt;=5),$B$15*(1+$J$72)^33,""))</x:f>
        <x:v>3465962.04188364</x:v>
      </x:c>
      <x:c r="O233" s="412" t="n">
        <x:f>IF(AND(ISNUMBER(N233),ISNUMBER(M233)),N233*(1-$J$75)-M233,"")</x:f>
        <x:v>3465962.04188364</x:v>
      </x:c>
      <x:c r="P233" s="412" t="n">
        <x:f>IF(AND(ISNUMBER(P232),ISNUMBER(L233)),P232+L233,"")</x:f>
        <x:v>1827405.639881063</x:v>
      </x:c>
      <x:c r="Q233" s="412" t="n">
        <x:f>IF(AND(ISNUMBER(Q232),ISNUMBER(L233)),Q232+MAX(0,-L233),"")</x:f>
        <x:v>208898.25271554862</x:v>
      </x:c>
      <x:c r="R233" s="412" t="n">
        <x:f>IF(AND(ISNUMBER(R232),ISNUMBER(L233)),R232+MAX(0,L233),"")</x:f>
        <x:v>1846303.8925966118</x:v>
      </x:c>
      <x:c r="S233" s="412" t="n">
        <x:f>IF(AND(ISNUMBER(Q232),ISNUMBER(L233),ISNUMBER(O233)),Q232+MAX(0,-(L233+O233)),"")</x:f>
        <x:v>208898.25271554862</x:v>
      </x:c>
      <x:c r="T233" s="412" t="n">
        <x:f>IF(AND(ISNUMBER(R232),ISNUMBER(L233),ISNUMBER(O233)),R232+MAX(0,L233+O233),"")</x:f>
        <x:v>5312265.934480252</x:v>
      </x:c>
      <x:c r="U233" s="412" t="n">
        <x:f>IF(AND(ISNUMBER(O233),ISNUMBER(P233),ISNUMBER($E$18)),O233+P233-$E$18,"")</x:f>
        <x:v>5103367.681764703</x:v>
      </x:c>
      <x:c r="V233" s="416" t="n">
        <x:f>IF(AND(S233&gt;0,ISNUMBER(U233)),U233/S233,"")</x:f>
        <x:v>24.429920381927886</x:v>
      </x:c>
      <x:c r="W233" s="418" t="n">
        <x:f>IF(AND(S233&gt;0,ISNUMBER(T233)),T233/S233,"")</x:f>
        <x:v>25.429920381927886</x:v>
      </x:c>
      <x:c r="X233" s="412" t="n">
        <x:f>IF($B$136="No",0,IF(AND(ISNUMBER(L233),OR(33&lt;&gt;$B$134,ISNUMBER(O233))),MAX(0,-(L233+IF(33=$B$134,O233,0))),0))</x:f>
        <x:v>0</x:v>
      </x:c>
      <x:c r="Y233" s="412" t="n">
        <x:f>IF(AND(ISNUMBER(Y232),ISNUMBER($D$138),$D$138&gt;=-1),Y232+Y232*$D$138-0+X233,"")</x:f>
        <x:v>2616153.4646721045</x:v>
      </x:c>
      <x:c r="Z233" s="412" t="n">
        <x:f>IF(AND(ISNUMBER(Y232),ISNUMBER($D$138),$D$138&gt;=-1),Z232+0,"")</x:f>
        <x:v>0</x:v>
      </x:c>
      <x:c r="AA233" s="412" t="n">
        <x:f>IF(ISNUMBER(AA232),AA232+X233,"")</x:f>
        <x:v>208898.25271554862</x:v>
      </x:c>
      <x:c r="AB233" s="412" t="n">
        <x:f>IF(AND(ISNUMBER(Y233),ISNUMBER(Z233),ISNUMBER(AA233)),Y233+Z233-AA233,"")</x:f>
        <x:v>2407255.211956556</x:v>
      </x:c>
      <x:c r="AC233" s="416" t="n">
        <x:f>IF(AND(AA233&gt;0,ISNUMBER(AB233)),AB233/AA233,"")</x:f>
        <x:v>11.523577534343733</x:v>
      </x:c>
      <x:c r="AD233" s="412" t="n">
        <x:f>IF(AND(ISNUMBER(AD232),ISNUMBER($G$138),$G$138&gt;=0),AD232+AD232*$G$138-IF(AND($J$134="Cash payout",$G$138&gt;=0),AD232*$G$138,0)+X233,"")</x:f>
        <x:v>1036931.0181493276</x:v>
      </x:c>
      <x:c r="AE233" s="412" t="n">
        <x:f>IF(AND(ISNUMBER(AD232),ISNUMBER($G$138),$G$138&gt;=0),AE232+IF(AND($J$134="Cash payout",$G$138&gt;=0),AD232*$G$138,0),"")</x:f>
        <x:v>0</x:v>
      </x:c>
      <x:c r="AF233" s="412" t="n">
        <x:f>IF(ISNUMBER(AF232),AF232+X233,"")</x:f>
        <x:v>208898.25271554862</x:v>
      </x:c>
      <x:c r="AG233" s="412" t="n">
        <x:f>IF(AND(ISNUMBER(AD233),ISNUMBER(AE233),ISNUMBER(AF233)),AD233+AE233-AF233,"")</x:f>
        <x:v>828032.765433779</x:v>
      </x:c>
      <x:c r="AH233" s="416" t="n">
        <x:f>IF(AND(AF233&gt;0,ISNUMBER(AG233)),AG233/AF233,"")</x:f>
        <x:v>3.9638089580447087</x:v>
      </x:c>
      <x:c r="AI233" s="412" t="n">
        <x:f>IF(AND(ISNUMBER(AI232),ISNUMBER($J$138),$J$138&gt;=-1),AI232+AI232*$J$138-IF(AND($J$134="Cash payout",$J$138&gt;=0),AI232*$J$138,0)+X233,"")</x:f>
        <x:v>1036931.0181493276</x:v>
      </x:c>
      <x:c r="AJ233" s="412" t="n">
        <x:f>IF(AND(ISNUMBER(AI232),ISNUMBER($J$138),$J$138&gt;=-1),AJ232+IF(AND($J$134="Cash payout",$J$138&gt;=0),AI232*$J$138,0),"")</x:f>
        <x:v>0</x:v>
      </x:c>
      <x:c r="AK233" s="412" t="n">
        <x:f>IF(ISNUMBER(AK232),AK232+X233,"")</x:f>
        <x:v>208898.25271554862</x:v>
      </x:c>
      <x:c r="AL233" s="412" t="n">
        <x:f>IF(AND(ISNUMBER(AI233),ISNUMBER(AJ233),ISNUMBER(AK233)),AI233+AJ233-AK233,"")</x:f>
        <x:v>828032.765433779</x:v>
      </x:c>
      <x:c r="AM233" s="416" t="n">
        <x:f>IF(AND(AK233&gt;0,ISNUMBER(AL233)),AL233/AK233,"")</x:f>
        <x:v>3.9638089580447087</x:v>
      </x:c>
    </x:row>
    <x:row r="234" ht="24" customHeight="1">
      <x:c r="A234" s="419" t="n">
        <x:f>34</x:f>
        <x:v>34</x:v>
      </x:c>
      <x:c r="B234" s="414" t="n">
        <x:v>0</x:v>
      </x:c>
      <x:c r="C234" s="412" t="n">
        <x:f>IF(AND(ISNUMBER($H$17),ISNUMBER($J$73),$J$73&gt;-1,$J$73&lt;=5),$H$17*(1+$J$73)^(34-1),"")</x:f>
        <x:v>284573.72554413043</x:v>
      </x:c>
      <x:c r="D234" s="412" t="n">
        <x:f>IF(AND(ISNUMBER($H$18),ISNUMBER($J$74),$J$74&gt;-1,$J$74&lt;=5),$H$18*(1+$J$74)^(34-1),"")</x:f>
        <x:v>79570.05715066999</x:v>
      </x:c>
      <x:c r="E234" s="412" t="n">
        <x:f>IF(AND(ISNUMBER($H$22),ISNUMBER($J$74),$J$74&gt;-1,$J$74&lt;=5),$H$22*(1+$J$74)^(34-1),"")</x:f>
        <x:v>0</x:v>
      </x:c>
      <x:c r="F234" s="412" t="n">
        <x:f>IF(AND(ISNUMBER(C234),ISNUMBER(D234)),C234-D234,"")</x:f>
        <x:v>205003.66839346045</x:v>
      </x:c>
      <x:c r="G234" s="412" t="n">
        <x:f>IF(AND(ISNUMBER(F234),ISNUMBER(E234)),F234-E234,"")</x:f>
        <x:v>205003.66839346045</x:v>
      </x:c>
      <x:c r="H234" s="412" t="n">
        <x:f>IF(COUNT(M797:M808)=12,SUM(M797:M808),"")</x:f>
        <x:v>0</x:v>
      </x:c>
      <x:c r="I234" s="412" t="n">
        <x:f>SUM(E797:E808)</x:f>
        <x:v>0</x:v>
      </x:c>
      <x:c r="J234" s="412" t="n">
        <x:f>SUM(F797:F808)</x:f>
        <x:v>0</x:v>
      </x:c>
      <x:c r="K234" s="412" t="n">
        <x:f>SUM(G797:G808)</x:f>
        <x:v>0</x:v>
      </x:c>
      <x:c r="L234" s="412" t="n">
        <x:f>IF(AND(ISNUMBER(G234),ISNUMBER(H234),ISNUMBER(J234),ISNUMBER(K234)),G234-H234-B234-J234-K234,"")</x:f>
        <x:v>205003.66839346045</x:v>
      </x:c>
      <x:c r="M234" s="412" t="n">
        <x:f>IF(ISNUMBER(N808),N808,"")</x:f>
        <x:v>0</x:v>
      </x:c>
      <x:c r="N234" s="412" t="n">
        <x:f>IF(ISNUMBER($J$77),IF(AND($J$77&gt;0,$J$77&lt;=1,ISNUMBER($H$17),ISNUMBER($H$18),ISNUMBER($J$73),$J$73&gt;-1,$J$73&lt;=5,ISNUMBER($J$74),$J$74&gt;-1,$J$74&lt;=5),($H$17*(1+$J$73)^34-$H$18*(1+$J$74)^34)/$J$77,""),IF(AND($J$77="",ISNUMBER($B$15),$B$15&gt;0,ISNUMBER($J$72),$J$72&gt;-1,$J$72&lt;=5),$B$15*(1+$J$72)^34,""))</x:f>
        <x:v>3604600.5235589854</x:v>
      </x:c>
      <x:c r="O234" s="412" t="n">
        <x:f>IF(AND(ISNUMBER(N234),ISNUMBER(M234)),N234*(1-$J$75)-M234,"")</x:f>
        <x:v>3604600.5235589854</x:v>
      </x:c>
      <x:c r="P234" s="412" t="n">
        <x:f>IF(AND(ISNUMBER(P233),ISNUMBER(L234)),P233+L234,"")</x:f>
        <x:v>2032409.3082745234</x:v>
      </x:c>
      <x:c r="Q234" s="412" t="n">
        <x:f>IF(AND(ISNUMBER(Q233),ISNUMBER(L234)),Q233+MAX(0,-L234),"")</x:f>
        <x:v>208898.25271554862</x:v>
      </x:c>
      <x:c r="R234" s="412" t="n">
        <x:f>IF(AND(ISNUMBER(R233),ISNUMBER(L234)),R233+MAX(0,L234),"")</x:f>
        <x:v>2051307.5609900723</x:v>
      </x:c>
      <x:c r="S234" s="412" t="n">
        <x:f>IF(AND(ISNUMBER(Q233),ISNUMBER(L234),ISNUMBER(O234)),Q233+MAX(0,-(L234+O234)),"")</x:f>
        <x:v>208898.25271554862</x:v>
      </x:c>
      <x:c r="T234" s="412" t="n">
        <x:f>IF(AND(ISNUMBER(R233),ISNUMBER(L234),ISNUMBER(O234)),R233+MAX(0,L234+O234),"")</x:f>
        <x:v>5655908.084549058</x:v>
      </x:c>
      <x:c r="U234" s="412" t="n">
        <x:f>IF(AND(ISNUMBER(O234),ISNUMBER(P234),ISNUMBER($E$18)),O234+P234-$E$18,"")</x:f>
        <x:v>5447009.831833509</x:v>
      </x:c>
      <x:c r="V234" s="416" t="n">
        <x:f>IF(AND(S234&gt;0,ISNUMBER(U234)),U234/S234,"")</x:f>
        <x:v>26.07494204008763</x:v>
      </x:c>
      <x:c r="W234" s="418" t="n">
        <x:f>IF(AND(S234&gt;0,ISNUMBER(T234)),T234/S234,"")</x:f>
        <x:v>27.074942040087635</x:v>
      </x:c>
      <x:c r="X234" s="412" t="n">
        <x:f>IF($B$136="No",0,IF(AND(ISNUMBER(L234),OR(34&lt;&gt;$B$134,ISNUMBER(O234))),MAX(0,-(L234+IF(34=$B$134,O234,0))),0))</x:f>
        <x:v>0</x:v>
      </x:c>
      <x:c r="Y234" s="412" t="n">
        <x:f>IF(AND(ISNUMBER(Y233),ISNUMBER($D$138),$D$138&gt;=-1),Y233+Y233*$D$138-0+X234,"")</x:f>
        <x:v>2825445.7418458727</x:v>
      </x:c>
      <x:c r="Z234" s="412" t="n">
        <x:f>IF(AND(ISNUMBER(Y233),ISNUMBER($D$138),$D$138&gt;=-1),Z233+0,"")</x:f>
        <x:v>0</x:v>
      </x:c>
      <x:c r="AA234" s="412" t="n">
        <x:f>IF(ISNUMBER(AA233),AA233+X234,"")</x:f>
        <x:v>208898.25271554862</x:v>
      </x:c>
      <x:c r="AB234" s="412" t="n">
        <x:f>IF(AND(ISNUMBER(Y234),ISNUMBER(Z234),ISNUMBER(AA234)),Y234+Z234-AA234,"")</x:f>
        <x:v>2616547.489130324</x:v>
      </x:c>
      <x:c r="AC234" s="416" t="n">
        <x:f>IF(AND(AA234&gt;0,ISNUMBER(AB234)),AB234/AA234,"")</x:f>
        <x:v>12.525463737091233</x:v>
      </x:c>
      <x:c r="AD234" s="412" t="n">
        <x:f>IF(AND(ISNUMBER(AD233),ISNUMBER($G$138),$G$138&gt;=0),AD233+AD233*$G$138-IF(AND($J$134="Cash payout",$G$138&gt;=0),AD233*$G$138,0)+X234,"")</x:f>
        <x:v>1088777.569056794</x:v>
      </x:c>
      <x:c r="AE234" s="412" t="n">
        <x:f>IF(AND(ISNUMBER(AD233),ISNUMBER($G$138),$G$138&gt;=0),AE233+IF(AND($J$134="Cash payout",$G$138&gt;=0),AD233*$G$138,0),"")</x:f>
        <x:v>0</x:v>
      </x:c>
      <x:c r="AF234" s="412" t="n">
        <x:f>IF(ISNUMBER(AF233),AF233+X234,"")</x:f>
        <x:v>208898.25271554862</x:v>
      </x:c>
      <x:c r="AG234" s="412" t="n">
        <x:f>IF(AND(ISNUMBER(AD234),ISNUMBER(AE234),ISNUMBER(AF234)),AD234+AE234-AF234,"")</x:f>
        <x:v>879879.3163412454</x:v>
      </x:c>
      <x:c r="AH234" s="416" t="n">
        <x:f>IF(AND(AF234&gt;0,ISNUMBER(AG234)),AG234/AF234,"")</x:f>
        <x:v>4.211999405946944</x:v>
      </x:c>
      <x:c r="AI234" s="412" t="n">
        <x:f>IF(AND(ISNUMBER(AI233),ISNUMBER($J$138),$J$138&gt;=-1),AI233+AI233*$J$138-IF(AND($J$134="Cash payout",$J$138&gt;=0),AI233*$J$138,0)+X234,"")</x:f>
        <x:v>1088777.569056794</x:v>
      </x:c>
      <x:c r="AJ234" s="412" t="n">
        <x:f>IF(AND(ISNUMBER(AI233),ISNUMBER($J$138),$J$138&gt;=-1),AJ233+IF(AND($J$134="Cash payout",$J$138&gt;=0),AI233*$J$138,0),"")</x:f>
        <x:v>0</x:v>
      </x:c>
      <x:c r="AK234" s="412" t="n">
        <x:f>IF(ISNUMBER(AK233),AK233+X234,"")</x:f>
        <x:v>208898.25271554862</x:v>
      </x:c>
      <x:c r="AL234" s="412" t="n">
        <x:f>IF(AND(ISNUMBER(AI234),ISNUMBER(AJ234),ISNUMBER(AK234)),AI234+AJ234-AK234,"")</x:f>
        <x:v>879879.3163412454</x:v>
      </x:c>
      <x:c r="AM234" s="416" t="n">
        <x:f>IF(AND(AK234&gt;0,ISNUMBER(AL234)),AL234/AK234,"")</x:f>
        <x:v>4.211999405946944</x:v>
      </x:c>
    </x:row>
    <x:row r="235" ht="24" customHeight="1">
      <x:c r="A235" s="419" t="n">
        <x:f>35</x:f>
        <x:v>35</x:v>
      </x:c>
      <x:c r="B235" s="414" t="n">
        <x:v>0</x:v>
      </x:c>
      <x:c r="C235" s="412" t="n">
        <x:f>IF(AND(ISNUMBER($H$17),ISNUMBER($J$73),$J$73&gt;-1,$J$73&lt;=5),$H$17*(1+$J$73)^(35-1),"")</x:f>
        <x:v>295956.67456589564</x:v>
      </x:c>
      <x:c r="D235" s="412" t="n">
        <x:f>IF(AND(ISNUMBER($H$18),ISNUMBER($J$74),$J$74&gt;-1,$J$74&lt;=5),$H$18*(1+$J$74)^(35-1),"")</x:f>
        <x:v>81957.15886519008</x:v>
      </x:c>
      <x:c r="E235" s="412" t="n">
        <x:f>IF(AND(ISNUMBER($H$22),ISNUMBER($J$74),$J$74&gt;-1,$J$74&lt;=5),$H$22*(1+$J$74)^(35-1),"")</x:f>
        <x:v>0</x:v>
      </x:c>
      <x:c r="F235" s="412" t="n">
        <x:f>IF(AND(ISNUMBER(C235),ISNUMBER(D235)),C235-D235,"")</x:f>
        <x:v>213999.51570070555</x:v>
      </x:c>
      <x:c r="G235" s="412" t="n">
        <x:f>IF(AND(ISNUMBER(F235),ISNUMBER(E235)),F235-E235,"")</x:f>
        <x:v>213999.51570070555</x:v>
      </x:c>
      <x:c r="H235" s="412" t="n">
        <x:f>IF(COUNT(M809:M820)=12,SUM(M809:M820),"")</x:f>
        <x:v>0</x:v>
      </x:c>
      <x:c r="I235" s="412" t="n">
        <x:f>SUM(E809:E820)</x:f>
        <x:v>0</x:v>
      </x:c>
      <x:c r="J235" s="412" t="n">
        <x:f>SUM(F809:F820)</x:f>
        <x:v>0</x:v>
      </x:c>
      <x:c r="K235" s="412" t="n">
        <x:f>SUM(G809:G820)</x:f>
        <x:v>0</x:v>
      </x:c>
      <x:c r="L235" s="412" t="n">
        <x:f>IF(AND(ISNUMBER(G235),ISNUMBER(H235),ISNUMBER(J235),ISNUMBER(K235)),G235-H235-B235-J235-K235,"")</x:f>
        <x:v>213999.51570070555</x:v>
      </x:c>
      <x:c r="M235" s="412" t="n">
        <x:f>IF(ISNUMBER(N820),N820,"")</x:f>
        <x:v>0</x:v>
      </x:c>
      <x:c r="N235" s="412" t="n">
        <x:f>IF(ISNUMBER($J$77),IF(AND($J$77&gt;0,$J$77&lt;=1,ISNUMBER($H$17),ISNUMBER($H$18),ISNUMBER($J$73),$J$73&gt;-1,$J$73&lt;=5,ISNUMBER($J$74),$J$74&gt;-1,$J$74&lt;=5),($H$17*(1+$J$73)^35-$H$18*(1+$J$74)^35)/$J$77,""),IF(AND($J$77="",ISNUMBER($B$15),$B$15&gt;0,ISNUMBER($J$72),$J$72&gt;-1,$J$72&lt;=5),$B$15*(1+$J$72)^35,""))</x:f>
        <x:v>3748784.544501345</x:v>
      </x:c>
      <x:c r="O235" s="412" t="n">
        <x:f>IF(AND(ISNUMBER(N235),ISNUMBER(M235)),N235*(1-$J$75)-M235,"")</x:f>
        <x:v>3748784.544501345</x:v>
      </x:c>
      <x:c r="P235" s="412" t="n">
        <x:f>IF(AND(ISNUMBER(P234),ISNUMBER(L235)),P234+L235,"")</x:f>
        <x:v>2246408.8239752287</x:v>
      </x:c>
      <x:c r="Q235" s="412" t="n">
        <x:f>IF(AND(ISNUMBER(Q234),ISNUMBER(L235)),Q234+MAX(0,-L235),"")</x:f>
        <x:v>208898.25271554862</x:v>
      </x:c>
      <x:c r="R235" s="412" t="n">
        <x:f>IF(AND(ISNUMBER(R234),ISNUMBER(L235)),R234+MAX(0,L235),"")</x:f>
        <x:v>2265307.0766907777</x:v>
      </x:c>
      <x:c r="S235" s="412" t="n">
        <x:f>IF(AND(ISNUMBER(Q234),ISNUMBER(L235),ISNUMBER(O235)),Q234+MAX(0,-(L235+O235)),"")</x:f>
        <x:v>208898.25271554862</x:v>
      </x:c>
      <x:c r="T235" s="412" t="n">
        <x:f>IF(AND(ISNUMBER(R234),ISNUMBER(L235),ISNUMBER(O235)),R234+MAX(0,L235+O235),"")</x:f>
        <x:v>6014091.621192123</x:v>
      </x:c>
      <x:c r="U235" s="412" t="n">
        <x:f>IF(AND(ISNUMBER(O235),ISNUMBER(P235),ISNUMBER($E$18)),O235+P235-$E$18,"")</x:f>
        <x:v>5805193.368476573</x:v>
      </x:c>
      <x:c r="V235" s="416" t="n">
        <x:f>IF(AND(S235&gt;0,ISNUMBER(U235)),U235/S235,"")</x:f>
        <x:v>27.78957359869044</x:v>
      </x:c>
      <x:c r="W235" s="418" t="n">
        <x:f>IF(AND(S235&gt;0,ISNUMBER(T235)),T235/S235,"")</x:f>
        <x:v>28.789573598690446</x:v>
      </x:c>
      <x:c r="X235" s="412" t="n">
        <x:f>IF($B$136="No",0,IF(AND(ISNUMBER(L235),OR(35&lt;&gt;$B$134,ISNUMBER(O235))),MAX(0,-(L235+IF(35=$B$134,O235,0))),0))</x:f>
        <x:v>0</x:v>
      </x:c>
      <x:c r="Y235" s="412" t="n">
        <x:f>IF(AND(ISNUMBER(Y234),ISNUMBER($D$138),$D$138&gt;=-1),Y234+Y234*$D$138-0+X235,"")</x:f>
        <x:v>3051481.4011935424</x:v>
      </x:c>
      <x:c r="Z235" s="412" t="n">
        <x:f>IF(AND(ISNUMBER(Y234),ISNUMBER($D$138),$D$138&gt;=-1),Z234+0,"")</x:f>
        <x:v>0</x:v>
      </x:c>
      <x:c r="AA235" s="412" t="n">
        <x:f>IF(ISNUMBER(AA234),AA234+X235,"")</x:f>
        <x:v>208898.25271554862</x:v>
      </x:c>
      <x:c r="AB235" s="412" t="n">
        <x:f>IF(AND(ISNUMBER(Y235),ISNUMBER(Z235),ISNUMBER(AA235)),Y235+Z235-AA235,"")</x:f>
        <x:v>2842583.148477994</x:v>
      </x:c>
      <x:c r="AC235" s="416" t="n">
        <x:f>IF(AND(AA235&gt;0,ISNUMBER(AB235)),AB235/AA235,"")</x:f>
        <x:v>13.60750083605853</x:v>
      </x:c>
      <x:c r="AD235" s="412" t="n">
        <x:f>IF(AND(ISNUMBER(AD234),ISNUMBER($G$138),$G$138&gt;=0),AD234+AD234*$G$138-IF(AND($J$134="Cash payout",$G$138&gt;=0),AD234*$G$138,0)+X235,"")</x:f>
        <x:v>1143216.4475096338</x:v>
      </x:c>
      <x:c r="AE235" s="412" t="n">
        <x:f>IF(AND(ISNUMBER(AD234),ISNUMBER($G$138),$G$138&gt;=0),AE234+IF(AND($J$134="Cash payout",$G$138&gt;=0),AD234*$G$138,0),"")</x:f>
        <x:v>0</x:v>
      </x:c>
      <x:c r="AF235" s="412" t="n">
        <x:f>IF(ISNUMBER(AF234),AF234+X235,"")</x:f>
        <x:v>208898.25271554862</x:v>
      </x:c>
      <x:c r="AG235" s="412" t="n">
        <x:f>IF(AND(ISNUMBER(AD235),ISNUMBER(AE235),ISNUMBER(AF235)),AD235+AE235-AF235,"")</x:f>
        <x:v>934318.1947940852</x:v>
      </x:c>
      <x:c r="AH235" s="416" t="n">
        <x:f>IF(AND(AF235&gt;0,ISNUMBER(AG235)),AG235/AF235,"")</x:f>
        <x:v>4.472599376244292</x:v>
      </x:c>
      <x:c r="AI235" s="412" t="n">
        <x:f>IF(AND(ISNUMBER(AI234),ISNUMBER($J$138),$J$138&gt;=-1),AI234+AI234*$J$138-IF(AND($J$134="Cash payout",$J$138&gt;=0),AI234*$J$138,0)+X235,"")</x:f>
        <x:v>1143216.4475096338</x:v>
      </x:c>
      <x:c r="AJ235" s="412" t="n">
        <x:f>IF(AND(ISNUMBER(AI234),ISNUMBER($J$138),$J$138&gt;=-1),AJ234+IF(AND($J$134="Cash payout",$J$138&gt;=0),AI234*$J$138,0),"")</x:f>
        <x:v>0</x:v>
      </x:c>
      <x:c r="AK235" s="412" t="n">
        <x:f>IF(ISNUMBER(AK234),AK234+X235,"")</x:f>
        <x:v>208898.25271554862</x:v>
      </x:c>
      <x:c r="AL235" s="412" t="n">
        <x:f>IF(AND(ISNUMBER(AI235),ISNUMBER(AJ235),ISNUMBER(AK235)),AI235+AJ235-AK235,"")</x:f>
        <x:v>934318.1947940852</x:v>
      </x:c>
      <x:c r="AM235" s="416" t="n">
        <x:f>IF(AND(AK235&gt;0,ISNUMBER(AL235)),AL235/AK235,"")</x:f>
        <x:v>4.472599376244292</x:v>
      </x:c>
    </x:row>
    <x:row r="236" ht="24" customHeight="1">
      <x:c r="A236" s="419" t="n">
        <x:f>36</x:f>
        <x:v>36</x:v>
      </x:c>
      <x:c r="B236" s="414" t="n">
        <x:v>0</x:v>
      </x:c>
      <x:c r="C236" s="412" t="n">
        <x:f>IF(AND(ISNUMBER($H$17),ISNUMBER($J$73),$J$73&gt;-1,$J$73&lt;=5),$H$17*(1+$J$73)^(36-1),"")</x:f>
        <x:v>307794.94154853147</x:v>
      </x:c>
      <x:c r="D236" s="412" t="n">
        <x:f>IF(AND(ISNUMBER($H$18),ISNUMBER($J$74),$J$74&gt;-1,$J$74&lt;=5),$H$18*(1+$J$74)^(36-1),"")</x:f>
        <x:v>84415.87363114579</x:v>
      </x:c>
      <x:c r="E236" s="412" t="n">
        <x:f>IF(AND(ISNUMBER($H$22),ISNUMBER($J$74),$J$74&gt;-1,$J$74&lt;=5),$H$22*(1+$J$74)^(36-1),"")</x:f>
        <x:v>0</x:v>
      </x:c>
      <x:c r="F236" s="412" t="n">
        <x:f>IF(AND(ISNUMBER(C236),ISNUMBER(D236)),C236-D236,"")</x:f>
        <x:v>223379.06791738566</x:v>
      </x:c>
      <x:c r="G236" s="412" t="n">
        <x:f>IF(AND(ISNUMBER(F236),ISNUMBER(E236)),F236-E236,"")</x:f>
        <x:v>223379.06791738566</x:v>
      </x:c>
      <x:c r="H236" s="412" t="n">
        <x:f>IF(COUNT(M821:M832)=12,SUM(M821:M832),"")</x:f>
        <x:v>0</x:v>
      </x:c>
      <x:c r="I236" s="412" t="n">
        <x:f>SUM(E821:E832)</x:f>
        <x:v>0</x:v>
      </x:c>
      <x:c r="J236" s="412" t="n">
        <x:f>SUM(F821:F832)</x:f>
        <x:v>0</x:v>
      </x:c>
      <x:c r="K236" s="412" t="n">
        <x:f>SUM(G821:G832)</x:f>
        <x:v>0</x:v>
      </x:c>
      <x:c r="L236" s="412" t="n">
        <x:f>IF(AND(ISNUMBER(G236),ISNUMBER(H236),ISNUMBER(J236),ISNUMBER(K236)),G236-H236-B236-J236-K236,"")</x:f>
        <x:v>223379.06791738566</x:v>
      </x:c>
      <x:c r="M236" s="412" t="n">
        <x:f>IF(ISNUMBER(N832),N832,"")</x:f>
        <x:v>0</x:v>
      </x:c>
      <x:c r="N236" s="412" t="n">
        <x:f>IF(ISNUMBER($J$77),IF(AND($J$77&gt;0,$J$77&lt;=1,ISNUMBER($H$17),ISNUMBER($H$18),ISNUMBER($J$73),$J$73&gt;-1,$J$73&lt;=5,ISNUMBER($J$74),$J$74&gt;-1,$J$74&lt;=5),($H$17*(1+$J$73)^36-$H$18*(1+$J$74)^36)/$J$77,""),IF(AND($J$77="",ISNUMBER($B$15),$B$15&gt;0,ISNUMBER($J$72),$J$72&gt;-1,$J$72&lt;=5),$B$15*(1+$J$72)^36,""))</x:f>
        <x:v>3898735.926281399</x:v>
      </x:c>
      <x:c r="O236" s="412" t="n">
        <x:f>IF(AND(ISNUMBER(N236),ISNUMBER(M236)),N236*(1-$J$75)-M236,"")</x:f>
        <x:v>3898735.926281399</x:v>
      </x:c>
      <x:c r="P236" s="412" t="n">
        <x:f>IF(AND(ISNUMBER(P235),ISNUMBER(L236)),P235+L236,"")</x:f>
        <x:v>2469787.8918926143</x:v>
      </x:c>
      <x:c r="Q236" s="412" t="n">
        <x:f>IF(AND(ISNUMBER(Q235),ISNUMBER(L236)),Q235+MAX(0,-L236),"")</x:f>
        <x:v>208898.25271554862</x:v>
      </x:c>
      <x:c r="R236" s="412" t="n">
        <x:f>IF(AND(ISNUMBER(R235),ISNUMBER(L236)),R235+MAX(0,L236),"")</x:f>
        <x:v>2488686.1446081633</x:v>
      </x:c>
      <x:c r="S236" s="412" t="n">
        <x:f>IF(AND(ISNUMBER(Q235),ISNUMBER(L236),ISNUMBER(O236)),Q235+MAX(0,-(L236+O236)),"")</x:f>
        <x:v>208898.25271554862</x:v>
      </x:c>
      <x:c r="T236" s="412" t="n">
        <x:f>IF(AND(ISNUMBER(R235),ISNUMBER(L236),ISNUMBER(O236)),R235+MAX(0,L236+O236),"")</x:f>
        <x:v>6387422.070889562</x:v>
      </x:c>
      <x:c r="U236" s="412" t="n">
        <x:f>IF(AND(ISNUMBER(O236),ISNUMBER(P236),ISNUMBER($E$18)),O236+P236-$E$18,"")</x:f>
        <x:v>6178523.818174014</x:v>
      </x:c>
      <x:c r="V236" s="416" t="n">
        <x:f>IF(AND(S236&gt;0,ISNUMBER(U236)),U236/S236,"")</x:f>
        <x:v>29.57671372477754</x:v>
      </x:c>
      <x:c r="W236" s="418" t="n">
        <x:f>IF(AND(S236&gt;0,ISNUMBER(T236)),T236/S236,"")</x:f>
        <x:v>30.57671372477754</x:v>
      </x:c>
      <x:c r="X236" s="412" t="n">
        <x:f>IF($B$136="No",0,IF(AND(ISNUMBER(L236),OR(36&lt;&gt;$B$134,ISNUMBER(O236))),MAX(0,-(L236+IF(36=$B$134,O236,0))),0))</x:f>
        <x:v>0</x:v>
      </x:c>
      <x:c r="Y236" s="412" t="n">
        <x:f>IF(AND(ISNUMBER(Y235),ISNUMBER($D$138),$D$138&gt;=-1),Y235+Y235*$D$138-0+X236,"")</x:f>
        <x:v>3295599.913289026</x:v>
      </x:c>
      <x:c r="Z236" s="412" t="n">
        <x:f>IF(AND(ISNUMBER(Y235),ISNUMBER($D$138),$D$138&gt;=-1),Z235+0,"")</x:f>
        <x:v>0</x:v>
      </x:c>
      <x:c r="AA236" s="412" t="n">
        <x:f>IF(ISNUMBER(AA235),AA235+X236,"")</x:f>
        <x:v>208898.25271554862</x:v>
      </x:c>
      <x:c r="AB236" s="412" t="n">
        <x:f>IF(AND(ISNUMBER(Y236),ISNUMBER(Z236),ISNUMBER(AA236)),Y236+Z236-AA236,"")</x:f>
        <x:v>3086701.6605734774</x:v>
      </x:c>
      <x:c r="AC236" s="416" t="n">
        <x:f>IF(AND(AA236&gt;0,ISNUMBER(AB236)),AB236/AA236,"")</x:f>
        <x:v>14.776100902943213</x:v>
      </x:c>
      <x:c r="AD236" s="412" t="n">
        <x:f>IF(AND(ISNUMBER(AD235),ISNUMBER($G$138),$G$138&gt;=0),AD235+AD235*$G$138-IF(AND($J$134="Cash payout",$G$138&gt;=0),AD235*$G$138,0)+X236,"")</x:f>
        <x:v>1200377.2698851156</x:v>
      </x:c>
      <x:c r="AE236" s="412" t="n">
        <x:f>IF(AND(ISNUMBER(AD235),ISNUMBER($G$138),$G$138&gt;=0),AE235+IF(AND($J$134="Cash payout",$G$138&gt;=0),AD235*$G$138,0),"")</x:f>
        <x:v>0</x:v>
      </x:c>
      <x:c r="AF236" s="412" t="n">
        <x:f>IF(ISNUMBER(AF235),AF235+X236,"")</x:f>
        <x:v>208898.25271554862</x:v>
      </x:c>
      <x:c r="AG236" s="412" t="n">
        <x:f>IF(AND(ISNUMBER(AD236),ISNUMBER(AE236),ISNUMBER(AF236)),AD236+AE236-AF236,"")</x:f>
        <x:v>991479.0171695669</x:v>
      </x:c>
      <x:c r="AH236" s="416" t="n">
        <x:f>IF(AND(AF236&gt;0,ISNUMBER(AG236)),AG236/AF236,"")</x:f>
        <x:v>4.7462293450565065</x:v>
      </x:c>
      <x:c r="AI236" s="412" t="n">
        <x:f>IF(AND(ISNUMBER(AI235),ISNUMBER($J$138),$J$138&gt;=-1),AI235+AI235*$J$138-IF(AND($J$134="Cash payout",$J$138&gt;=0),AI235*$J$138,0)+X236,"")</x:f>
        <x:v>1200377.2698851156</x:v>
      </x:c>
      <x:c r="AJ236" s="412" t="n">
        <x:f>IF(AND(ISNUMBER(AI235),ISNUMBER($J$138),$J$138&gt;=-1),AJ235+IF(AND($J$134="Cash payout",$J$138&gt;=0),AI235*$J$138,0),"")</x:f>
        <x:v>0</x:v>
      </x:c>
      <x:c r="AK236" s="412" t="n">
        <x:f>IF(ISNUMBER(AK235),AK235+X236,"")</x:f>
        <x:v>208898.25271554862</x:v>
      </x:c>
      <x:c r="AL236" s="412" t="n">
        <x:f>IF(AND(ISNUMBER(AI236),ISNUMBER(AJ236),ISNUMBER(AK236)),AI236+AJ236-AK236,"")</x:f>
        <x:v>991479.0171695669</x:v>
      </x:c>
      <x:c r="AM236" s="416" t="n">
        <x:f>IF(AND(AK236&gt;0,ISNUMBER(AL236)),AL236/AK236,"")</x:f>
        <x:v>4.7462293450565065</x:v>
      </x:c>
    </x:row>
    <x:row r="237" ht="24" customHeight="1">
      <x:c r="A237" s="419" t="n">
        <x:f>37</x:f>
        <x:v>37</x:v>
      </x:c>
      <x:c r="B237" s="414" t="n">
        <x:v>0</x:v>
      </x:c>
      <x:c r="C237" s="412" t="n">
        <x:f>IF(AND(ISNUMBER($H$17),ISNUMBER($J$73),$J$73&gt;-1,$J$73&lt;=5),$H$17*(1+$J$73)^(37-1),"")</x:f>
        <x:v>320106.7392104728</x:v>
      </x:c>
      <x:c r="D237" s="412" t="n">
        <x:f>IF(AND(ISNUMBER($H$18),ISNUMBER($J$74),$J$74&gt;-1,$J$74&lt;=5),$H$18*(1+$J$74)^(37-1),"")</x:f>
        <x:v>86948.34984008018</x:v>
      </x:c>
      <x:c r="E237" s="412" t="n">
        <x:f>IF(AND(ISNUMBER($H$22),ISNUMBER($J$74),$J$74&gt;-1,$J$74&lt;=5),$H$22*(1+$J$74)^(37-1),"")</x:f>
        <x:v>0</x:v>
      </x:c>
      <x:c r="F237" s="412" t="n">
        <x:f>IF(AND(ISNUMBER(C237),ISNUMBER(D237)),C237-D237,"")</x:f>
        <x:v>233158.3893703926</x:v>
      </x:c>
      <x:c r="G237" s="412" t="n">
        <x:f>IF(AND(ISNUMBER(F237),ISNUMBER(E237)),F237-E237,"")</x:f>
        <x:v>233158.3893703926</x:v>
      </x:c>
      <x:c r="H237" s="412" t="n">
        <x:f>IF(COUNT(M833:M844)=12,SUM(M833:M844),"")</x:f>
        <x:v>0</x:v>
      </x:c>
      <x:c r="I237" s="412" t="n">
        <x:f>SUM(E833:E844)</x:f>
        <x:v>0</x:v>
      </x:c>
      <x:c r="J237" s="412" t="n">
        <x:f>SUM(F833:F844)</x:f>
        <x:v>0</x:v>
      </x:c>
      <x:c r="K237" s="412" t="n">
        <x:f>SUM(G833:G844)</x:f>
        <x:v>0</x:v>
      </x:c>
      <x:c r="L237" s="412" t="n">
        <x:f>IF(AND(ISNUMBER(G237),ISNUMBER(H237),ISNUMBER(J237),ISNUMBER(K237)),G237-H237-B237-J237-K237,"")</x:f>
        <x:v>233158.3893703926</x:v>
      </x:c>
      <x:c r="M237" s="412" t="n">
        <x:f>IF(ISNUMBER(N844),N844,"")</x:f>
        <x:v>0</x:v>
      </x:c>
      <x:c r="N237" s="412" t="n">
        <x:f>IF(ISNUMBER($J$77),IF(AND($J$77&gt;0,$J$77&lt;=1,ISNUMBER($H$17),ISNUMBER($H$18),ISNUMBER($J$73),$J$73&gt;-1,$J$73&lt;=5,ISNUMBER($J$74),$J$74&gt;-1,$J$74&lt;=5),($H$17*(1+$J$73)^37-$H$18*(1+$J$74)^37)/$J$77,""),IF(AND($J$77="",ISNUMBER($B$15),$B$15&gt;0,ISNUMBER($J$72),$J$72&gt;-1,$J$72&lt;=5),$B$15*(1+$J$72)^37,""))</x:f>
        <x:v>4054685.3633326543</x:v>
      </x:c>
      <x:c r="O237" s="412" t="n">
        <x:f>IF(AND(ISNUMBER(N237),ISNUMBER(M237)),N237*(1-$J$75)-M237,"")</x:f>
        <x:v>4054685.3633326543</x:v>
      </x:c>
      <x:c r="P237" s="412" t="n">
        <x:f>IF(AND(ISNUMBER(P236),ISNUMBER(L237)),P236+L237,"")</x:f>
        <x:v>2702946.281263007</x:v>
      </x:c>
      <x:c r="Q237" s="412" t="n">
        <x:f>IF(AND(ISNUMBER(Q236),ISNUMBER(L237)),Q236+MAX(0,-L237),"")</x:f>
        <x:v>208898.25271554862</x:v>
      </x:c>
      <x:c r="R237" s="412" t="n">
        <x:f>IF(AND(ISNUMBER(R236),ISNUMBER(L237)),R236+MAX(0,L237),"")</x:f>
        <x:v>2721844.533978556</x:v>
      </x:c>
      <x:c r="S237" s="412" t="n">
        <x:f>IF(AND(ISNUMBER(Q236),ISNUMBER(L237),ISNUMBER(O237)),Q236+MAX(0,-(L237+O237)),"")</x:f>
        <x:v>208898.25271554862</x:v>
      </x:c>
      <x:c r="T237" s="412" t="n">
        <x:f>IF(AND(ISNUMBER(R236),ISNUMBER(L237),ISNUMBER(O237)),R236+MAX(0,L237+O237),"")</x:f>
        <x:v>6776529.897311211</x:v>
      </x:c>
      <x:c r="U237" s="412" t="n">
        <x:f>IF(AND(ISNUMBER(O237),ISNUMBER(P237),ISNUMBER($E$18)),O237+P237-$E$18,"")</x:f>
        <x:v>6567631.644595661</x:v>
      </x:c>
      <x:c r="V237" s="416" t="n">
        <x:f>IF(AND(S237&gt;0,ISNUMBER(U237)),U237/S237,"")</x:f>
        <x:v>31.439380460202493</x:v>
      </x:c>
      <x:c r="W237" s="418" t="n">
        <x:f>IF(AND(S237&gt;0,ISNUMBER(T237)),T237/S237,"")</x:f>
        <x:v>32.43938046020249</x:v>
      </x:c>
      <x:c r="X237" s="412" t="n">
        <x:f>IF($B$136="No",0,IF(AND(ISNUMBER(L237),OR(37&lt;&gt;$B$134,ISNUMBER(O237))),MAX(0,-(L237+IF(37=$B$134,O237,0))),0))</x:f>
        <x:v>0</x:v>
      </x:c>
      <x:c r="Y237" s="412" t="n">
        <x:f>IF(AND(ISNUMBER(Y236),ISNUMBER($D$138),$D$138&gt;=-1),Y236+Y236*$D$138-0+X237,"")</x:f>
        <x:v>3559247.906352148</x:v>
      </x:c>
      <x:c r="Z237" s="412" t="n">
        <x:f>IF(AND(ISNUMBER(Y236),ISNUMBER($D$138),$D$138&gt;=-1),Z236+0,"")</x:f>
        <x:v>0</x:v>
      </x:c>
      <x:c r="AA237" s="412" t="n">
        <x:f>IF(ISNUMBER(AA236),AA236+X237,"")</x:f>
        <x:v>208898.25271554862</x:v>
      </x:c>
      <x:c r="AB237" s="412" t="n">
        <x:f>IF(AND(ISNUMBER(Y237),ISNUMBER(Z237),ISNUMBER(AA237)),Y237+Z237-AA237,"")</x:f>
        <x:v>3350349.6536365994</x:v>
      </x:c>
      <x:c r="AC237" s="416" t="n">
        <x:f>IF(AND(AA237&gt;0,ISNUMBER(AB237)),AB237/AA237,"")</x:f>
        <x:v>16.03818897517867</x:v>
      </x:c>
      <x:c r="AD237" s="412" t="n">
        <x:f>IF(AND(ISNUMBER(AD236),ISNUMBER($G$138),$G$138&gt;=0),AD236+AD236*$G$138-IF(AND($J$134="Cash payout",$G$138&gt;=0),AD236*$G$138,0)+X237,"")</x:f>
        <x:v>1260396.1333793714</x:v>
      </x:c>
      <x:c r="AE237" s="412" t="n">
        <x:f>IF(AND(ISNUMBER(AD236),ISNUMBER($G$138),$G$138&gt;=0),AE236+IF(AND($J$134="Cash payout",$G$138&gt;=0),AD236*$G$138,0),"")</x:f>
        <x:v>0</x:v>
      </x:c>
      <x:c r="AF237" s="412" t="n">
        <x:f>IF(ISNUMBER(AF236),AF236+X237,"")</x:f>
        <x:v>208898.25271554862</x:v>
      </x:c>
      <x:c r="AG237" s="412" t="n">
        <x:f>IF(AND(ISNUMBER(AD237),ISNUMBER(AE237),ISNUMBER(AF237)),AD237+AE237-AF237,"")</x:f>
        <x:v>1051497.8806638229</x:v>
      </x:c>
      <x:c r="AH237" s="416" t="n">
        <x:f>IF(AND(AF237&gt;0,ISNUMBER(AG237)),AG237/AF237,"")</x:f>
        <x:v>5.033540812309333</x:v>
      </x:c>
      <x:c r="AI237" s="412" t="n">
        <x:f>IF(AND(ISNUMBER(AI236),ISNUMBER($J$138),$J$138&gt;=-1),AI236+AI236*$J$138-IF(AND($J$134="Cash payout",$J$138&gt;=0),AI236*$J$138,0)+X237,"")</x:f>
        <x:v>1260396.1333793714</x:v>
      </x:c>
      <x:c r="AJ237" s="412" t="n">
        <x:f>IF(AND(ISNUMBER(AI236),ISNUMBER($J$138),$J$138&gt;=-1),AJ236+IF(AND($J$134="Cash payout",$J$138&gt;=0),AI236*$J$138,0),"")</x:f>
        <x:v>0</x:v>
      </x:c>
      <x:c r="AK237" s="412" t="n">
        <x:f>IF(ISNUMBER(AK236),AK236+X237,"")</x:f>
        <x:v>208898.25271554862</x:v>
      </x:c>
      <x:c r="AL237" s="412" t="n">
        <x:f>IF(AND(ISNUMBER(AI237),ISNUMBER(AJ237),ISNUMBER(AK237)),AI237+AJ237-AK237,"")</x:f>
        <x:v>1051497.8806638229</x:v>
      </x:c>
      <x:c r="AM237" s="416" t="n">
        <x:f>IF(AND(AK237&gt;0,ISNUMBER(AL237)),AL237/AK237,"")</x:f>
        <x:v>5.033540812309333</x:v>
      </x:c>
    </x:row>
    <x:row r="238" ht="24" customHeight="1">
      <x:c r="A238" s="419" t="n">
        <x:f>38</x:f>
        <x:v>38</x:v>
      </x:c>
      <x:c r="B238" s="414" t="n">
        <x:v>0</x:v>
      </x:c>
      <x:c r="C238" s="412" t="n">
        <x:f>IF(AND(ISNUMBER($H$17),ISNUMBER($J$73),$J$73&gt;-1,$J$73&lt;=5),$H$17*(1+$J$73)^(38-1),"")</x:f>
        <x:v>332911.00877889164</x:v>
      </x:c>
      <x:c r="D238" s="412" t="n">
        <x:f>IF(AND(ISNUMBER($H$18),ISNUMBER($J$74),$J$74&gt;-1,$J$74&lt;=5),$H$18*(1+$J$74)^(38-1),"")</x:f>
        <x:v>89556.80033528258</x:v>
      </x:c>
      <x:c r="E238" s="412" t="n">
        <x:f>IF(AND(ISNUMBER($H$22),ISNUMBER($J$74),$J$74&gt;-1,$J$74&lt;=5),$H$22*(1+$J$74)^(38-1),"")</x:f>
        <x:v>0</x:v>
      </x:c>
      <x:c r="F238" s="412" t="n">
        <x:f>IF(AND(ISNUMBER(C238),ISNUMBER(D238)),C238-D238,"")</x:f>
        <x:v>243354.20844360907</x:v>
      </x:c>
      <x:c r="G238" s="412" t="n">
        <x:f>IF(AND(ISNUMBER(F238),ISNUMBER(E238)),F238-E238,"")</x:f>
        <x:v>243354.20844360907</x:v>
      </x:c>
      <x:c r="H238" s="412" t="n">
        <x:f>IF(COUNT(M845:M856)=12,SUM(M845:M856),"")</x:f>
        <x:v>0</x:v>
      </x:c>
      <x:c r="I238" s="412" t="n">
        <x:f>SUM(E845:E856)</x:f>
        <x:v>0</x:v>
      </x:c>
      <x:c r="J238" s="412" t="n">
        <x:f>SUM(F845:F856)</x:f>
        <x:v>0</x:v>
      </x:c>
      <x:c r="K238" s="412" t="n">
        <x:f>SUM(G845:G856)</x:f>
        <x:v>0</x:v>
      </x:c>
      <x:c r="L238" s="412" t="n">
        <x:f>IF(AND(ISNUMBER(G238),ISNUMBER(H238),ISNUMBER(J238),ISNUMBER(K238)),G238-H238-B238-J238-K238,"")</x:f>
        <x:v>243354.20844360907</x:v>
      </x:c>
      <x:c r="M238" s="412" t="n">
        <x:f>IF(ISNUMBER(N856),N856,"")</x:f>
        <x:v>0</x:v>
      </x:c>
      <x:c r="N238" s="412" t="n">
        <x:f>IF(ISNUMBER($J$77),IF(AND($J$77&gt;0,$J$77&lt;=1,ISNUMBER($H$17),ISNUMBER($H$18),ISNUMBER($J$73),$J$73&gt;-1,$J$73&lt;=5,ISNUMBER($J$74),$J$74&gt;-1,$J$74&lt;=5),($H$17*(1+$J$73)^38-$H$18*(1+$J$74)^38)/$J$77,""),IF(AND($J$77="",ISNUMBER($B$15),$B$15&gt;0,ISNUMBER($J$72),$J$72&gt;-1,$J$72&lt;=5),$B$15*(1+$J$72)^38,""))</x:f>
        <x:v>4216872.777865961</x:v>
      </x:c>
      <x:c r="O238" s="412" t="n">
        <x:f>IF(AND(ISNUMBER(N238),ISNUMBER(M238)),N238*(1-$J$75)-M238,"")</x:f>
        <x:v>4216872.777865961</x:v>
      </x:c>
      <x:c r="P238" s="412" t="n">
        <x:f>IF(AND(ISNUMBER(P237),ISNUMBER(L238)),P237+L238,"")</x:f>
        <x:v>2946300.489706616</x:v>
      </x:c>
      <x:c r="Q238" s="412" t="n">
        <x:f>IF(AND(ISNUMBER(Q237),ISNUMBER(L238)),Q237+MAX(0,-L238),"")</x:f>
        <x:v>208898.25271554862</x:v>
      </x:c>
      <x:c r="R238" s="412" t="n">
        <x:f>IF(AND(ISNUMBER(R237),ISNUMBER(L238)),R237+MAX(0,L238),"")</x:f>
        <x:v>2965198.742422165</x:v>
      </x:c>
      <x:c r="S238" s="412" t="n">
        <x:f>IF(AND(ISNUMBER(Q237),ISNUMBER(L238),ISNUMBER(O238)),Q237+MAX(0,-(L238+O238)),"")</x:f>
        <x:v>208898.25271554862</x:v>
      </x:c>
      <x:c r="T238" s="412" t="n">
        <x:f>IF(AND(ISNUMBER(R237),ISNUMBER(L238),ISNUMBER(O238)),R237+MAX(0,L238+O238),"")</x:f>
        <x:v>7182071.520288127</x:v>
      </x:c>
      <x:c r="U238" s="412" t="n">
        <x:f>IF(AND(ISNUMBER(O238),ISNUMBER(P238),ISNUMBER($E$18)),O238+P238-$E$18,"")</x:f>
        <x:v>6973173.267572577</x:v>
      </x:c>
      <x:c r="V238" s="416" t="n">
        <x:f>IF(AND(S238&gt;0,ISNUMBER(U238)),U238/S238,"")</x:f>
        <x:v>33.380716099467655</x:v>
      </x:c>
      <x:c r="W238" s="418" t="n">
        <x:f>IF(AND(S238&gt;0,ISNUMBER(T238)),T238/S238,"")</x:f>
        <x:v>34.38071609946766</x:v>
      </x:c>
      <x:c r="X238" s="412" t="n">
        <x:f>IF($B$136="No",0,IF(AND(ISNUMBER(L238),OR(38&lt;&gt;$B$134,ISNUMBER(O238))),MAX(0,-(L238+IF(38=$B$134,O238,0))),0))</x:f>
        <x:v>0</x:v>
      </x:c>
      <x:c r="Y238" s="412" t="n">
        <x:f>IF(AND(ISNUMBER(Y237),ISNUMBER($D$138),$D$138&gt;=-1),Y237+Y237*$D$138-0+X238,"")</x:f>
        <x:v>3843987.73886032</x:v>
      </x:c>
      <x:c r="Z238" s="412" t="n">
        <x:f>IF(AND(ISNUMBER(Y237),ISNUMBER($D$138),$D$138&gt;=-1),Z237+0,"")</x:f>
        <x:v>0</x:v>
      </x:c>
      <x:c r="AA238" s="412" t="n">
        <x:f>IF(ISNUMBER(AA237),AA237+X238,"")</x:f>
        <x:v>208898.25271554862</x:v>
      </x:c>
      <x:c r="AB238" s="412" t="n">
        <x:f>IF(AND(ISNUMBER(Y238),ISNUMBER(Z238),ISNUMBER(AA238)),Y238+Z238-AA238,"")</x:f>
        <x:v>3635089.4861447713</x:v>
      </x:c>
      <x:c r="AC238" s="416" t="n">
        <x:f>IF(AND(AA238&gt;0,ISNUMBER(AB238)),AB238/AA238,"")</x:f>
        <x:v>17.401244093192965</x:v>
      </x:c>
      <x:c r="AD238" s="412" t="n">
        <x:f>IF(AND(ISNUMBER(AD237),ISNUMBER($G$138),$G$138&gt;=0),AD237+AD237*$G$138-IF(AND($J$134="Cash payout",$G$138&gt;=0),AD237*$G$138,0)+X238,"")</x:f>
        <x:v>1323415.94004834</x:v>
      </x:c>
      <x:c r="AE238" s="412" t="n">
        <x:f>IF(AND(ISNUMBER(AD237),ISNUMBER($G$138),$G$138&gt;=0),AE237+IF(AND($J$134="Cash payout",$G$138&gt;=0),AD237*$G$138,0),"")</x:f>
        <x:v>0</x:v>
      </x:c>
      <x:c r="AF238" s="412" t="n">
        <x:f>IF(ISNUMBER(AF237),AF237+X238,"")</x:f>
        <x:v>208898.25271554862</x:v>
      </x:c>
      <x:c r="AG238" s="412" t="n">
        <x:f>IF(AND(ISNUMBER(AD238),ISNUMBER(AE238),ISNUMBER(AF238)),AD238+AE238-AF238,"")</x:f>
        <x:v>1114517.6873327913</x:v>
      </x:c>
      <x:c r="AH238" s="416" t="n">
        <x:f>IF(AND(AF238&gt;0,ISNUMBER(AG238)),AG238/AF238,"")</x:f>
        <x:v>5.335217852924798</x:v>
      </x:c>
      <x:c r="AI238" s="412" t="n">
        <x:f>IF(AND(ISNUMBER(AI237),ISNUMBER($J$138),$J$138&gt;=-1),AI237+AI237*$J$138-IF(AND($J$134="Cash payout",$J$138&gt;=0),AI237*$J$138,0)+X238,"")</x:f>
        <x:v>1323415.94004834</x:v>
      </x:c>
      <x:c r="AJ238" s="412" t="n">
        <x:f>IF(AND(ISNUMBER(AI237),ISNUMBER($J$138),$J$138&gt;=-1),AJ237+IF(AND($J$134="Cash payout",$J$138&gt;=0),AI237*$J$138,0),"")</x:f>
        <x:v>0</x:v>
      </x:c>
      <x:c r="AK238" s="412" t="n">
        <x:f>IF(ISNUMBER(AK237),AK237+X238,"")</x:f>
        <x:v>208898.25271554862</x:v>
      </x:c>
      <x:c r="AL238" s="412" t="n">
        <x:f>IF(AND(ISNUMBER(AI238),ISNUMBER(AJ238),ISNUMBER(AK238)),AI238+AJ238-AK238,"")</x:f>
        <x:v>1114517.6873327913</x:v>
      </x:c>
      <x:c r="AM238" s="416" t="n">
        <x:f>IF(AND(AK238&gt;0,ISNUMBER(AL238)),AL238/AK238,"")</x:f>
        <x:v>5.335217852924798</x:v>
      </x:c>
    </x:row>
    <x:row r="239" ht="24" customHeight="1">
      <x:c r="A239" s="419" t="n">
        <x:f>39</x:f>
        <x:v>39</x:v>
      </x:c>
      <x:c r="B239" s="414" t="n">
        <x:v>0</x:v>
      </x:c>
      <x:c r="C239" s="412" t="n">
        <x:f>IF(AND(ISNUMBER($H$17),ISNUMBER($J$73),$J$73&gt;-1,$J$73&lt;=5),$H$17*(1+$J$73)^(39-1),"")</x:f>
        <x:v>346227.44913004735</x:v>
      </x:c>
      <x:c r="D239" s="412" t="n">
        <x:f>IF(AND(ISNUMBER($H$18),ISNUMBER($J$74),$J$74&gt;-1,$J$74&lt;=5),$H$18*(1+$J$74)^(39-1),"")</x:f>
        <x:v>92243.50434534106</x:v>
      </x:c>
      <x:c r="E239" s="412" t="n">
        <x:f>IF(AND(ISNUMBER($H$22),ISNUMBER($J$74),$J$74&gt;-1,$J$74&lt;=5),$H$22*(1+$J$74)^(39-1),"")</x:f>
        <x:v>0</x:v>
      </x:c>
      <x:c r="F239" s="412" t="n">
        <x:f>IF(AND(ISNUMBER(C239),ISNUMBER(D239)),C239-D239,"")</x:f>
        <x:v>253983.94478470628</x:v>
      </x:c>
      <x:c r="G239" s="412" t="n">
        <x:f>IF(AND(ISNUMBER(F239),ISNUMBER(E239)),F239-E239,"")</x:f>
        <x:v>253983.94478470628</x:v>
      </x:c>
      <x:c r="H239" s="412" t="n">
        <x:f>IF(COUNT(M857:M868)=12,SUM(M857:M868),"")</x:f>
        <x:v>0</x:v>
      </x:c>
      <x:c r="I239" s="412" t="n">
        <x:f>SUM(E857:E868)</x:f>
        <x:v>0</x:v>
      </x:c>
      <x:c r="J239" s="412" t="n">
        <x:f>SUM(F857:F868)</x:f>
        <x:v>0</x:v>
      </x:c>
      <x:c r="K239" s="412" t="n">
        <x:f>SUM(G857:G868)</x:f>
        <x:v>0</x:v>
      </x:c>
      <x:c r="L239" s="412" t="n">
        <x:f>IF(AND(ISNUMBER(G239),ISNUMBER(H239),ISNUMBER(J239),ISNUMBER(K239)),G239-H239-B239-J239-K239,"")</x:f>
        <x:v>253983.94478470628</x:v>
      </x:c>
      <x:c r="M239" s="412" t="n">
        <x:f>IF(ISNUMBER(N868),N868,"")</x:f>
        <x:v>0</x:v>
      </x:c>
      <x:c r="N239" s="412" t="n">
        <x:f>IF(ISNUMBER($J$77),IF(AND($J$77&gt;0,$J$77&lt;=1,ISNUMBER($H$17),ISNUMBER($H$18),ISNUMBER($J$73),$J$73&gt;-1,$J$73&lt;=5,ISNUMBER($J$74),$J$74&gt;-1,$J$74&lt;=5),($H$17*(1+$J$73)^39-$H$18*(1+$J$74)^39)/$J$77,""),IF(AND($J$77="",ISNUMBER($B$15),$B$15&gt;0,ISNUMBER($J$72),$J$72&gt;-1,$J$72&lt;=5),$B$15*(1+$J$72)^39,""))</x:f>
        <x:v>4385547.6889806</x:v>
      </x:c>
      <x:c r="O239" s="412" t="n">
        <x:f>IF(AND(ISNUMBER(N239),ISNUMBER(M239)),N239*(1-$J$75)-M239,"")</x:f>
        <x:v>4385547.6889806</x:v>
      </x:c>
      <x:c r="P239" s="412" t="n">
        <x:f>IF(AND(ISNUMBER(P238),ISNUMBER(L239)),P238+L239,"")</x:f>
        <x:v>3200284.4344913224</x:v>
      </x:c>
      <x:c r="Q239" s="412" t="n">
        <x:f>IF(AND(ISNUMBER(Q238),ISNUMBER(L239)),Q238+MAX(0,-L239),"")</x:f>
        <x:v>208898.25271554862</x:v>
      </x:c>
      <x:c r="R239" s="412" t="n">
        <x:f>IF(AND(ISNUMBER(R238),ISNUMBER(L239)),R238+MAX(0,L239),"")</x:f>
        <x:v>3219182.6872068713</x:v>
      </x:c>
      <x:c r="S239" s="412" t="n">
        <x:f>IF(AND(ISNUMBER(Q238),ISNUMBER(L239),ISNUMBER(O239)),Q238+MAX(0,-(L239+O239)),"")</x:f>
        <x:v>208898.25271554862</x:v>
      </x:c>
      <x:c r="T239" s="412" t="n">
        <x:f>IF(AND(ISNUMBER(R238),ISNUMBER(L239),ISNUMBER(O239)),R238+MAX(0,L239+O239),"")</x:f>
        <x:v>7604730.376187472</x:v>
      </x:c>
      <x:c r="U239" s="412" t="n">
        <x:f>IF(AND(ISNUMBER(O239),ISNUMBER(P239),ISNUMBER($E$18)),O239+P239-$E$18,"")</x:f>
        <x:v>7395832.123471922</x:v>
      </x:c>
      <x:c r="V239" s="416" t="n">
        <x:f>IF(AND(S239&gt;0,ISNUMBER(U239)),U239/S239,"")</x:f>
        <x:v>35.403992265759335</x:v>
      </x:c>
      <x:c r="W239" s="418" t="n">
        <x:f>IF(AND(S239&gt;0,ISNUMBER(T239)),T239/S239,"")</x:f>
        <x:v>36.40399226575934</x:v>
      </x:c>
      <x:c r="X239" s="412" t="n">
        <x:f>IF($B$136="No",0,IF(AND(ISNUMBER(L239),OR(39&lt;&gt;$B$134,ISNUMBER(O239))),MAX(0,-(L239+IF(39=$B$134,O239,0))),0))</x:f>
        <x:v>0</x:v>
      </x:c>
      <x:c r="Y239" s="412" t="n">
        <x:f>IF(AND(ISNUMBER(Y238),ISNUMBER($D$138),$D$138&gt;=-1),Y238+Y238*$D$138-0+X239,"")</x:f>
        <x:v>4151506.7579691457</x:v>
      </x:c>
      <x:c r="Z239" s="412" t="n">
        <x:f>IF(AND(ISNUMBER(Y238),ISNUMBER($D$138),$D$138&gt;=-1),Z238+0,"")</x:f>
        <x:v>0</x:v>
      </x:c>
      <x:c r="AA239" s="412" t="n">
        <x:f>IF(ISNUMBER(AA238),AA238+X239,"")</x:f>
        <x:v>208898.25271554862</x:v>
      </x:c>
      <x:c r="AB239" s="412" t="n">
        <x:f>IF(AND(ISNUMBER(Y239),ISNUMBER(Z239),ISNUMBER(AA239)),Y239+Z239-AA239,"")</x:f>
        <x:v>3942608.505253597</x:v>
      </x:c>
      <x:c r="AC239" s="416" t="n">
        <x:f>IF(AND(AA239&gt;0,ISNUMBER(AB239)),AB239/AA239,"")</x:f>
        <x:v>18.873343620648402</x:v>
      </x:c>
      <x:c r="AD239" s="412" t="n">
        <x:f>IF(AND(ISNUMBER(AD238),ISNUMBER($G$138),$G$138&gt;=0),AD238+AD238*$G$138-IF(AND($J$134="Cash payout",$G$138&gt;=0),AD238*$G$138,0)+X239,"")</x:f>
        <x:v>1389586.737050757</x:v>
      </x:c>
      <x:c r="AE239" s="412" t="n">
        <x:f>IF(AND(ISNUMBER(AD238),ISNUMBER($G$138),$G$138&gt;=0),AE238+IF(AND($J$134="Cash payout",$G$138&gt;=0),AD238*$G$138,0),"")</x:f>
        <x:v>0</x:v>
      </x:c>
      <x:c r="AF239" s="412" t="n">
        <x:f>IF(ISNUMBER(AF238),AF238+X239,"")</x:f>
        <x:v>208898.25271554862</x:v>
      </x:c>
      <x:c r="AG239" s="412" t="n">
        <x:f>IF(AND(ISNUMBER(AD239),ISNUMBER(AE239),ISNUMBER(AF239)),AD239+AE239-AF239,"")</x:f>
        <x:v>1180688.4843352083</x:v>
      </x:c>
      <x:c r="AH239" s="416" t="n">
        <x:f>IF(AND(AF239&gt;0,ISNUMBER(AG239)),AG239/AF239,"")</x:f>
        <x:v>5.651978745571038</x:v>
      </x:c>
      <x:c r="AI239" s="412" t="n">
        <x:f>IF(AND(ISNUMBER(AI238),ISNUMBER($J$138),$J$138&gt;=-1),AI238+AI238*$J$138-IF(AND($J$134="Cash payout",$J$138&gt;=0),AI238*$J$138,0)+X239,"")</x:f>
        <x:v>1389586.737050757</x:v>
      </x:c>
      <x:c r="AJ239" s="412" t="n">
        <x:f>IF(AND(ISNUMBER(AI238),ISNUMBER($J$138),$J$138&gt;=-1),AJ238+IF(AND($J$134="Cash payout",$J$138&gt;=0),AI238*$J$138,0),"")</x:f>
        <x:v>0</x:v>
      </x:c>
      <x:c r="AK239" s="412" t="n">
        <x:f>IF(ISNUMBER(AK238),AK238+X239,"")</x:f>
        <x:v>208898.25271554862</x:v>
      </x:c>
      <x:c r="AL239" s="412" t="n">
        <x:f>IF(AND(ISNUMBER(AI239),ISNUMBER(AJ239),ISNUMBER(AK239)),AI239+AJ239-AK239,"")</x:f>
        <x:v>1180688.4843352083</x:v>
      </x:c>
      <x:c r="AM239" s="416" t="n">
        <x:f>IF(AND(AK239&gt;0,ISNUMBER(AL239)),AL239/AK239,"")</x:f>
        <x:v>5.651978745571038</x:v>
      </x:c>
    </x:row>
    <x:row r="240" ht="24" customHeight="1">
      <x:c r="A240" s="419" t="n">
        <x:f>40</x:f>
        <x:v>40</x:v>
      </x:c>
      <x:c r="B240" s="414" t="n">
        <x:v>0</x:v>
      </x:c>
      <x:c r="C240" s="412" t="n">
        <x:f>IF(AND(ISNUMBER($H$17),ISNUMBER($J$73),$J$73&gt;-1,$J$73&lt;=5),$H$17*(1+$J$73)^(40-1),"")</x:f>
        <x:v>360076.5470952493</x:v>
      </x:c>
      <x:c r="D240" s="412" t="n">
        <x:f>IF(AND(ISNUMBER($H$18),ISNUMBER($J$74),$J$74&gt;-1,$J$74&lt;=5),$H$18*(1+$J$74)^(40-1),"")</x:f>
        <x:v>95010.80947570129</x:v>
      </x:c>
      <x:c r="E240" s="412" t="n">
        <x:f>IF(AND(ISNUMBER($H$22),ISNUMBER($J$74),$J$74&gt;-1,$J$74&lt;=5),$H$22*(1+$J$74)^(40-1),"")</x:f>
        <x:v>0</x:v>
      </x:c>
      <x:c r="F240" s="412" t="n">
        <x:f>IF(AND(ISNUMBER(C240),ISNUMBER(D240)),C240-D240,"")</x:f>
        <x:v>265065.737619548</x:v>
      </x:c>
      <x:c r="G240" s="412" t="n">
        <x:f>IF(AND(ISNUMBER(F240),ISNUMBER(E240)),F240-E240,"")</x:f>
        <x:v>265065.737619548</x:v>
      </x:c>
      <x:c r="H240" s="412" t="n">
        <x:f>IF(COUNT(M869:M880)=12,SUM(M869:M880),"")</x:f>
        <x:v>0</x:v>
      </x:c>
      <x:c r="I240" s="412" t="n">
        <x:f>SUM(E869:E880)</x:f>
        <x:v>0</x:v>
      </x:c>
      <x:c r="J240" s="412" t="n">
        <x:f>SUM(F869:F880)</x:f>
        <x:v>0</x:v>
      </x:c>
      <x:c r="K240" s="412" t="n">
        <x:f>SUM(G869:G880)</x:f>
        <x:v>0</x:v>
      </x:c>
      <x:c r="L240" s="412" t="n">
        <x:f>IF(AND(ISNUMBER(G240),ISNUMBER(H240),ISNUMBER(J240),ISNUMBER(K240)),G240-H240-B240-J240-K240,"")</x:f>
        <x:v>265065.737619548</x:v>
      </x:c>
      <x:c r="M240" s="412" t="n">
        <x:f>IF(ISNUMBER(N880),N880,"")</x:f>
        <x:v>0</x:v>
      </x:c>
      <x:c r="N240" s="412" t="n">
        <x:f>IF(ISNUMBER($J$77),IF(AND($J$77&gt;0,$J$77&lt;=1,ISNUMBER($H$17),ISNUMBER($H$18),ISNUMBER($J$73),$J$73&gt;-1,$J$73&lt;=5,ISNUMBER($J$74),$J$74&gt;-1,$J$74&lt;=5),($H$17*(1+$J$73)^40-$H$18*(1+$J$74)^40)/$J$77,""),IF(AND($J$77="",ISNUMBER($B$15),$B$15&gt;0,ISNUMBER($J$72),$J$72&gt;-1,$J$72&lt;=5),$B$15*(1+$J$72)^40,""))</x:f>
        <x:v>4560969.596539824</x:v>
      </x:c>
      <x:c r="O240" s="412" t="n">
        <x:f>IF(AND(ISNUMBER(N240),ISNUMBER(M240)),N240*(1-$J$75)-M240,"")</x:f>
        <x:v>4560969.596539824</x:v>
      </x:c>
      <x:c r="P240" s="412" t="n">
        <x:f>IF(AND(ISNUMBER(P239),ISNUMBER(L240)),P239+L240,"")</x:f>
        <x:v>3465350.1721108705</x:v>
      </x:c>
      <x:c r="Q240" s="412" t="n">
        <x:f>IF(AND(ISNUMBER(Q239),ISNUMBER(L240)),Q239+MAX(0,-L240),"")</x:f>
        <x:v>208898.25271554862</x:v>
      </x:c>
      <x:c r="R240" s="412" t="n">
        <x:f>IF(AND(ISNUMBER(R239),ISNUMBER(L240)),R239+MAX(0,L240),"")</x:f>
        <x:v>3484248.4248264194</x:v>
      </x:c>
      <x:c r="S240" s="412" t="n">
        <x:f>IF(AND(ISNUMBER(Q239),ISNUMBER(L240),ISNUMBER(O240)),Q239+MAX(0,-(L240+O240)),"")</x:f>
        <x:v>208898.25271554862</x:v>
      </x:c>
      <x:c r="T240" s="412" t="n">
        <x:f>IF(AND(ISNUMBER(R239),ISNUMBER(L240),ISNUMBER(O240)),R239+MAX(0,L240+O240),"")</x:f>
        <x:v>8045218.021366244</x:v>
      </x:c>
      <x:c r="U240" s="412" t="n">
        <x:f>IF(AND(ISNUMBER(O240),ISNUMBER(P240),ISNUMBER($E$18)),O240+P240-$E$18,"")</x:f>
        <x:v>7836319.768650695</x:v>
      </x:c>
      <x:c r="V240" s="416" t="n">
        <x:f>IF(AND(S240&gt;0,ISNUMBER(U240)),U240/S240,"")</x:f>
        <x:v>37.512615193202265</x:v>
      </x:c>
      <x:c r="W240" s="418" t="n">
        <x:f>IF(AND(S240&gt;0,ISNUMBER(T240)),T240/S240,"")</x:f>
        <x:v>38.512615193202265</x:v>
      </x:c>
      <x:c r="X240" s="412" t="n">
        <x:f>IF($B$136="No",0,IF(AND(ISNUMBER(L240),OR(40&lt;&gt;$B$134,ISNUMBER(O240))),MAX(0,-(L240+IF(40=$B$134,O240,0))),0))</x:f>
        <x:v>0</x:v>
      </x:c>
      <x:c r="Y240" s="412" t="n">
        <x:f>IF(AND(ISNUMBER(Y239),ISNUMBER($D$138),$D$138&gt;=-1),Y239+Y239*$D$138-0+X240,"")</x:f>
        <x:v>4483627.298606677</x:v>
      </x:c>
      <x:c r="Z240" s="412" t="n">
        <x:f>IF(AND(ISNUMBER(Y239),ISNUMBER($D$138),$D$138&gt;=-1),Z239+0,"")</x:f>
        <x:v>0</x:v>
      </x:c>
      <x:c r="AA240" s="412" t="n">
        <x:f>IF(ISNUMBER(AA239),AA239+X240,"")</x:f>
        <x:v>208898.25271554862</x:v>
      </x:c>
      <x:c r="AB240" s="412" t="n">
        <x:f>IF(AND(ISNUMBER(Y240),ISNUMBER(Z240),ISNUMBER(AA240)),Y240+Z240-AA240,"")</x:f>
        <x:v>4274729.0458911285</x:v>
      </x:c>
      <x:c r="AC240" s="416" t="n">
        <x:f>IF(AND(AA240&gt;0,ISNUMBER(AB240)),AB240/AA240,"")</x:f>
        <x:v>20.46321111030027</x:v>
      </x:c>
      <x:c r="AD240" s="412" t="n">
        <x:f>IF(AND(ISNUMBER(AD239),ISNUMBER($G$138),$G$138&gt;=0),AD239+AD239*$G$138-IF(AND($J$134="Cash payout",$G$138&gt;=0),AD239*$G$138,0)+X240,"")</x:f>
        <x:v>1459066.073903295</x:v>
      </x:c>
      <x:c r="AE240" s="412" t="n">
        <x:f>IF(AND(ISNUMBER(AD239),ISNUMBER($G$138),$G$138&gt;=0),AE239+IF(AND($J$134="Cash payout",$G$138&gt;=0),AD239*$G$138,0),"")</x:f>
        <x:v>0</x:v>
      </x:c>
      <x:c r="AF240" s="412" t="n">
        <x:f>IF(ISNUMBER(AF239),AF239+X240,"")</x:f>
        <x:v>208898.25271554862</x:v>
      </x:c>
      <x:c r="AG240" s="412" t="n">
        <x:f>IF(AND(ISNUMBER(AD240),ISNUMBER(AE240),ISNUMBER(AF240)),AD240+AE240-AF240,"")</x:f>
        <x:v>1250167.8211877462</x:v>
      </x:c>
      <x:c r="AH240" s="416" t="n">
        <x:f>IF(AND(AF240&gt;0,ISNUMBER(AG240)),AG240/AF240,"")</x:f>
        <x:v>5.984577682849591</x:v>
      </x:c>
      <x:c r="AI240" s="412" t="n">
        <x:f>IF(AND(ISNUMBER(AI239),ISNUMBER($J$138),$J$138&gt;=-1),AI239+AI239*$J$138-IF(AND($J$134="Cash payout",$J$138&gt;=0),AI239*$J$138,0)+X240,"")</x:f>
        <x:v>1459066.073903295</x:v>
      </x:c>
      <x:c r="AJ240" s="412" t="n">
        <x:f>IF(AND(ISNUMBER(AI239),ISNUMBER($J$138),$J$138&gt;=-1),AJ239+IF(AND($J$134="Cash payout",$J$138&gt;=0),AI239*$J$138,0),"")</x:f>
        <x:v>0</x:v>
      </x:c>
      <x:c r="AK240" s="412" t="n">
        <x:f>IF(ISNUMBER(AK239),AK239+X240,"")</x:f>
        <x:v>208898.25271554862</x:v>
      </x:c>
      <x:c r="AL240" s="412" t="n">
        <x:f>IF(AND(ISNUMBER(AI240),ISNUMBER(AJ240),ISNUMBER(AK240)),AI240+AJ240-AK240,"")</x:f>
        <x:v>1250167.8211877462</x:v>
      </x:c>
      <x:c r="AM240" s="416" t="n">
        <x:f>IF(AND(AK240&gt;0,ISNUMBER(AL240)),AL240/AK240,"")</x:f>
        <x:v>5.984577682849591</x:v>
      </x:c>
    </x:row>
    <x:row r="241" ht="24" customHeight="1">
      <x:c r="A241" s="419" t="n">
        <x:f>41</x:f>
        <x:v>41</x:v>
      </x:c>
      <x:c r="B241" s="414" t="n">
        <x:v>0</x:v>
      </x:c>
      <x:c r="C241" s="412" t="n">
        <x:f>IF(AND(ISNUMBER($H$17),ISNUMBER($J$73),$J$73&gt;-1,$J$73&lt;=5),$H$17*(1+$J$73)^(41-1),"")</x:f>
        <x:v>374479.6089790592</x:v>
      </x:c>
      <x:c r="D241" s="412" t="n">
        <x:f>IF(AND(ISNUMBER($H$18),ISNUMBER($J$74),$J$74&gt;-1,$J$74&lt;=5),$H$18*(1+$J$74)^(41-1),"")</x:f>
        <x:v>97861.13375997233</x:v>
      </x:c>
      <x:c r="E241" s="412" t="n">
        <x:f>IF(AND(ISNUMBER($H$22),ISNUMBER($J$74),$J$74&gt;-1,$J$74&lt;=5),$H$22*(1+$J$74)^(41-1),"")</x:f>
        <x:v>0</x:v>
      </x:c>
      <x:c r="F241" s="412" t="n">
        <x:f>IF(AND(ISNUMBER(C241),ISNUMBER(D241)),C241-D241,"")</x:f>
        <x:v>276618.47521908686</x:v>
      </x:c>
      <x:c r="G241" s="412" t="n">
        <x:f>IF(AND(ISNUMBER(F241),ISNUMBER(E241)),F241-E241,"")</x:f>
        <x:v>276618.47521908686</x:v>
      </x:c>
      <x:c r="H241" s="412" t="n">
        <x:f>IF(COUNT(M881:M892)=12,SUM(M881:M892),"")</x:f>
        <x:v>0</x:v>
      </x:c>
      <x:c r="I241" s="412" t="n">
        <x:f>SUM(E881:E892)</x:f>
        <x:v>0</x:v>
      </x:c>
      <x:c r="J241" s="412" t="n">
        <x:f>SUM(F881:F892)</x:f>
        <x:v>0</x:v>
      </x:c>
      <x:c r="K241" s="412" t="n">
        <x:f>SUM(G881:G892)</x:f>
        <x:v>0</x:v>
      </x:c>
      <x:c r="L241" s="412" t="n">
        <x:f>IF(AND(ISNUMBER(G241),ISNUMBER(H241),ISNUMBER(J241),ISNUMBER(K241)),G241-H241-B241-J241-K241,"")</x:f>
        <x:v>276618.47521908686</x:v>
      </x:c>
      <x:c r="M241" s="412" t="n">
        <x:f>IF(ISNUMBER(N892),N892,"")</x:f>
        <x:v>0</x:v>
      </x:c>
      <x:c r="N241" s="412" t="n">
        <x:f>IF(ISNUMBER($J$77),IF(AND($J$77&gt;0,$J$77&lt;=1,ISNUMBER($H$17),ISNUMBER($H$18),ISNUMBER($J$73),$J$73&gt;-1,$J$73&lt;=5,ISNUMBER($J$74),$J$74&gt;-1,$J$74&lt;=5),($H$17*(1+$J$73)^41-$H$18*(1+$J$74)^41)/$J$77,""),IF(AND($J$77="",ISNUMBER($B$15),$B$15&gt;0,ISNUMBER($J$72),$J$72&gt;-1,$J$72&lt;=5),$B$15*(1+$J$72)^41,""))</x:f>
        <x:v>4743408.380401417</x:v>
      </x:c>
      <x:c r="O241" s="412" t="n">
        <x:f>IF(AND(ISNUMBER(N241),ISNUMBER(M241)),N241*(1-$J$75)-M241,"")</x:f>
        <x:v>4743408.380401417</x:v>
      </x:c>
      <x:c r="P241" s="412" t="n">
        <x:f>IF(AND(ISNUMBER(P240),ISNUMBER(L241)),P240+L241,"")</x:f>
        <x:v>3741968.647329957</x:v>
      </x:c>
      <x:c r="Q241" s="412" t="n">
        <x:f>IF(AND(ISNUMBER(Q240),ISNUMBER(L241)),Q240+MAX(0,-L241),"")</x:f>
        <x:v>208898.25271554862</x:v>
      </x:c>
      <x:c r="R241" s="412" t="n">
        <x:f>IF(AND(ISNUMBER(R240),ISNUMBER(L241)),R240+MAX(0,L241),"")</x:f>
        <x:v>3760866.900045506</x:v>
      </x:c>
      <x:c r="S241" s="412" t="n">
        <x:f>IF(AND(ISNUMBER(Q240),ISNUMBER(L241),ISNUMBER(O241)),Q240+MAX(0,-(L241+O241)),"")</x:f>
        <x:v>208898.25271554862</x:v>
      </x:c>
      <x:c r="T241" s="412" t="n">
        <x:f>IF(AND(ISNUMBER(R240),ISNUMBER(L241),ISNUMBER(O241)),R240+MAX(0,L241+O241),"")</x:f>
        <x:v>8504275.280446922</x:v>
      </x:c>
      <x:c r="U241" s="412" t="n">
        <x:f>IF(AND(ISNUMBER(O241),ISNUMBER(P241),ISNUMBER($E$18)),O241+P241-$E$18,"")</x:f>
        <x:v>8295377.027731374</x:v>
      </x:c>
      <x:c r="V241" s="416" t="n">
        <x:f>IF(AND(S241&gt;0,ISNUMBER(U241)),U241/S241,"")</x:f>
        <x:v>39.71013122367747</x:v>
      </x:c>
      <x:c r="W241" s="418" t="n">
        <x:f>IF(AND(S241&gt;0,ISNUMBER(T241)),T241/S241,"")</x:f>
        <x:v>40.71013122367747</x:v>
      </x:c>
      <x:c r="X241" s="412" t="n">
        <x:f>IF($B$136="No",0,IF(AND(ISNUMBER(L241),OR(41&lt;&gt;$B$134,ISNUMBER(O241))),MAX(0,-(L241+IF(41=$B$134,O241,0))),0))</x:f>
        <x:v>0</x:v>
      </x:c>
      <x:c r="Y241" s="412" t="n">
        <x:f>IF(AND(ISNUMBER(Y240),ISNUMBER($D$138),$D$138&gt;=-1),Y240+Y240*$D$138-0+X241,"")</x:f>
        <x:v>4842317.482495211</x:v>
      </x:c>
      <x:c r="Z241" s="412" t="n">
        <x:f>IF(AND(ISNUMBER(Y240),ISNUMBER($D$138),$D$138&gt;=-1),Z240+0,"")</x:f>
        <x:v>0</x:v>
      </x:c>
      <x:c r="AA241" s="412" t="n">
        <x:f>IF(ISNUMBER(AA240),AA240+X241,"")</x:f>
        <x:v>208898.25271554862</x:v>
      </x:c>
      <x:c r="AB241" s="412" t="n">
        <x:f>IF(AND(ISNUMBER(Y241),ISNUMBER(Z241),ISNUMBER(AA241)),Y241+Z241-AA241,"")</x:f>
        <x:v>4633419.229779663</x:v>
      </x:c>
      <x:c r="AC241" s="416" t="n">
        <x:f>IF(AND(AA241&gt;0,ISNUMBER(AB241)),AB241/AA241,"")</x:f>
        <x:v>22.180267999124293</x:v>
      </x:c>
      <x:c r="AD241" s="412" t="n">
        <x:f>IF(AND(ISNUMBER(AD240),ISNUMBER($G$138),$G$138&gt;=0),AD240+AD240*$G$138-IF(AND($J$134="Cash payout",$G$138&gt;=0),AD240*$G$138,0)+X241,"")</x:f>
        <x:v>1532019.3775984598</x:v>
      </x:c>
      <x:c r="AE241" s="412" t="n">
        <x:f>IF(AND(ISNUMBER(AD240),ISNUMBER($G$138),$G$138&gt;=0),AE240+IF(AND($J$134="Cash payout",$G$138&gt;=0),AD240*$G$138,0),"")</x:f>
        <x:v>0</x:v>
      </x:c>
      <x:c r="AF241" s="412" t="n">
        <x:f>IF(ISNUMBER(AF240),AF240+X241,"")</x:f>
        <x:v>208898.25271554862</x:v>
      </x:c>
      <x:c r="AG241" s="412" t="n">
        <x:f>IF(AND(ISNUMBER(AD241),ISNUMBER(AE241),ISNUMBER(AF241)),AD241+AE241-AF241,"")</x:f>
        <x:v>1323121.1248829113</x:v>
      </x:c>
      <x:c r="AH241" s="416" t="n">
        <x:f>IF(AND(AF241&gt;0,ISNUMBER(AG241)),AG241/AF241,"")</x:f>
        <x:v>6.333806566992072</x:v>
      </x:c>
      <x:c r="AI241" s="412" t="n">
        <x:f>IF(AND(ISNUMBER(AI240),ISNUMBER($J$138),$J$138&gt;=-1),AI240+AI240*$J$138-IF(AND($J$134="Cash payout",$J$138&gt;=0),AI240*$J$138,0)+X241,"")</x:f>
        <x:v>1532019.3775984598</x:v>
      </x:c>
      <x:c r="AJ241" s="412" t="n">
        <x:f>IF(AND(ISNUMBER(AI240),ISNUMBER($J$138),$J$138&gt;=-1),AJ240+IF(AND($J$134="Cash payout",$J$138&gt;=0),AI240*$J$138,0),"")</x:f>
        <x:v>0</x:v>
      </x:c>
      <x:c r="AK241" s="412" t="n">
        <x:f>IF(ISNUMBER(AK240),AK240+X241,"")</x:f>
        <x:v>208898.25271554862</x:v>
      </x:c>
      <x:c r="AL241" s="412" t="n">
        <x:f>IF(AND(ISNUMBER(AI241),ISNUMBER(AJ241),ISNUMBER(AK241)),AI241+AJ241-AK241,"")</x:f>
        <x:v>1323121.1248829113</x:v>
      </x:c>
      <x:c r="AM241" s="416" t="n">
        <x:f>IF(AND(AK241&gt;0,ISNUMBER(AL241)),AL241/AK241,"")</x:f>
        <x:v>6.333806566992072</x:v>
      </x:c>
    </x:row>
    <x:row r="242" ht="24" customHeight="1">
      <x:c r="A242" s="419" t="n">
        <x:f>42</x:f>
        <x:v>42</x:v>
      </x:c>
      <x:c r="B242" s="414" t="n">
        <x:v>0</x:v>
      </x:c>
      <x:c r="C242" s="412" t="n">
        <x:f>IF(AND(ISNUMBER($H$17),ISNUMBER($J$73),$J$73&gt;-1,$J$73&lt;=5),$H$17*(1+$J$73)^(42-1),"")</x:f>
        <x:v>389458.7933382216</x:v>
      </x:c>
      <x:c r="D242" s="412" t="n">
        <x:f>IF(AND(ISNUMBER($H$18),ISNUMBER($J$74),$J$74&gt;-1,$J$74&lt;=5),$H$18*(1+$J$74)^(42-1),"")</x:f>
        <x:v>100796.9677727715</x:v>
      </x:c>
      <x:c r="E242" s="412" t="n">
        <x:f>IF(AND(ISNUMBER($H$22),ISNUMBER($J$74),$J$74&gt;-1,$J$74&lt;=5),$H$22*(1+$J$74)^(42-1),"")</x:f>
        <x:v>0</x:v>
      </x:c>
      <x:c r="F242" s="412" t="n">
        <x:f>IF(AND(ISNUMBER(C242),ISNUMBER(D242)),C242-D242,"")</x:f>
        <x:v>288661.8255654501</x:v>
      </x:c>
      <x:c r="G242" s="412" t="n">
        <x:f>IF(AND(ISNUMBER(F242),ISNUMBER(E242)),F242-E242,"")</x:f>
        <x:v>288661.8255654501</x:v>
      </x:c>
      <x:c r="H242" s="412" t="n">
        <x:f>IF(COUNT(M893:M904)=12,SUM(M893:M904),"")</x:f>
        <x:v>0</x:v>
      </x:c>
      <x:c r="I242" s="412" t="n">
        <x:f>SUM(E893:E904)</x:f>
        <x:v>0</x:v>
      </x:c>
      <x:c r="J242" s="412" t="n">
        <x:f>SUM(F893:F904)</x:f>
        <x:v>0</x:v>
      </x:c>
      <x:c r="K242" s="412" t="n">
        <x:f>SUM(G893:G904)</x:f>
        <x:v>0</x:v>
      </x:c>
      <x:c r="L242" s="412" t="n">
        <x:f>IF(AND(ISNUMBER(G242),ISNUMBER(H242),ISNUMBER(J242),ISNUMBER(K242)),G242-H242-B242-J242-K242,"")</x:f>
        <x:v>288661.8255654501</x:v>
      </x:c>
      <x:c r="M242" s="412" t="n">
        <x:f>IF(ISNUMBER(N904),N904,"")</x:f>
        <x:v>0</x:v>
      </x:c>
      <x:c r="N242" s="412" t="n">
        <x:f>IF(ISNUMBER($J$77),IF(AND($J$77&gt;0,$J$77&lt;=1,ISNUMBER($H$17),ISNUMBER($H$18),ISNUMBER($J$73),$J$73&gt;-1,$J$73&lt;=5,ISNUMBER($J$74),$J$74&gt;-1,$J$74&lt;=5),($H$17*(1+$J$73)^42-$H$18*(1+$J$74)^42)/$J$77,""),IF(AND($J$77="",ISNUMBER($B$15),$B$15&gt;0,ISNUMBER($J$72),$J$72&gt;-1,$J$72&lt;=5),$B$15*(1+$J$72)^42,""))</x:f>
        <x:v>4933144.715617474</x:v>
      </x:c>
      <x:c r="O242" s="412" t="n">
        <x:f>IF(AND(ISNUMBER(N242),ISNUMBER(M242)),N242*(1-$J$75)-M242,"")</x:f>
        <x:v>4933144.715617474</x:v>
      </x:c>
      <x:c r="P242" s="412" t="n">
        <x:f>IF(AND(ISNUMBER(P241),ISNUMBER(L242)),P241+L242,"")</x:f>
        <x:v>4030630.472895407</x:v>
      </x:c>
      <x:c r="Q242" s="412" t="n">
        <x:f>IF(AND(ISNUMBER(Q241),ISNUMBER(L242)),Q241+MAX(0,-L242),"")</x:f>
        <x:v>208898.25271554862</x:v>
      </x:c>
      <x:c r="R242" s="412" t="n">
        <x:f>IF(AND(ISNUMBER(R241),ISNUMBER(L242)),R241+MAX(0,L242),"")</x:f>
        <x:v>4049528.7256109565</x:v>
      </x:c>
      <x:c r="S242" s="412" t="n">
        <x:f>IF(AND(ISNUMBER(Q241),ISNUMBER(L242),ISNUMBER(O242)),Q241+MAX(0,-(L242+O242)),"")</x:f>
        <x:v>208898.25271554862</x:v>
      </x:c>
      <x:c r="T242" s="412" t="n">
        <x:f>IF(AND(ISNUMBER(R241),ISNUMBER(L242),ISNUMBER(O242)),R241+MAX(0,L242+O242),"")</x:f>
        <x:v>8982673.44122843</x:v>
      </x:c>
      <x:c r="U242" s="412" t="n">
        <x:f>IF(AND(ISNUMBER(O242),ISNUMBER(P242),ISNUMBER($E$18)),O242+P242-$E$18,"")</x:f>
        <x:v>8773775.18851288</x:v>
      </x:c>
      <x:c r="V242" s="416" t="n">
        <x:f>IF(AND(S242&gt;0,ISNUMBER(U242)),U242/S242,"")</x:f>
        <x:v>42.0002325268843</x:v>
      </x:c>
      <x:c r="W242" s="418" t="n">
        <x:f>IF(AND(S242&gt;0,ISNUMBER(T242)),T242/S242,"")</x:f>
        <x:v>43.000232526884304</x:v>
      </x:c>
      <x:c r="X242" s="412" t="n">
        <x:f>IF($B$136="No",0,IF(AND(ISNUMBER(L242),OR(42&lt;&gt;$B$134,ISNUMBER(O242))),MAX(0,-(L242+IF(42=$B$134,O242,0))),0))</x:f>
        <x:v>0</x:v>
      </x:c>
      <x:c r="Y242" s="412" t="n">
        <x:f>IF(AND(ISNUMBER(Y241),ISNUMBER($D$138),$D$138&gt;=-1),Y241+Y241*$D$138-0+X242,"")</x:f>
        <x:v>5229702.881094828</x:v>
      </x:c>
      <x:c r="Z242" s="412" t="n">
        <x:f>IF(AND(ISNUMBER(Y241),ISNUMBER($D$138),$D$138&gt;=-1),Z241+0,"")</x:f>
        <x:v>0</x:v>
      </x:c>
      <x:c r="AA242" s="412" t="n">
        <x:f>IF(ISNUMBER(AA241),AA241+X242,"")</x:f>
        <x:v>208898.25271554862</x:v>
      </x:c>
      <x:c r="AB242" s="412" t="n">
        <x:f>IF(AND(ISNUMBER(Y242),ISNUMBER(Z242),ISNUMBER(AA242)),Y242+Z242-AA242,"")</x:f>
        <x:v>5020804.62837928</x:v>
      </x:c>
      <x:c r="AC242" s="416" t="n">
        <x:f>IF(AND(AA242&gt;0,ISNUMBER(AB242)),AB242/AA242,"")</x:f>
        <x:v>24.03468943905424</x:v>
      </x:c>
      <x:c r="AD242" s="412" t="n">
        <x:f>IF(AND(ISNUMBER(AD241),ISNUMBER($G$138),$G$138&gt;=0),AD241+AD241*$G$138-IF(AND($J$134="Cash payout",$G$138&gt;=0),AD241*$G$138,0)+X242,"")</x:f>
        <x:v>1608620.3464783828</x:v>
      </x:c>
      <x:c r="AE242" s="412" t="n">
        <x:f>IF(AND(ISNUMBER(AD241),ISNUMBER($G$138),$G$138&gt;=0),AE241+IF(AND($J$134="Cash payout",$G$138&gt;=0),AD241*$G$138,0),"")</x:f>
        <x:v>0</x:v>
      </x:c>
      <x:c r="AF242" s="412" t="n">
        <x:f>IF(ISNUMBER(AF241),AF241+X242,"")</x:f>
        <x:v>208898.25271554862</x:v>
      </x:c>
      <x:c r="AG242" s="412" t="n">
        <x:f>IF(AND(ISNUMBER(AD242),ISNUMBER(AE242),ISNUMBER(AF242)),AD242+AE242-AF242,"")</x:f>
        <x:v>1399722.093762834</x:v>
      </x:c>
      <x:c r="AH242" s="416" t="n">
        <x:f>IF(AND(AF242&gt;0,ISNUMBER(AG242)),AG242/AF242,"")</x:f>
        <x:v>6.700496895341675</x:v>
      </x:c>
      <x:c r="AI242" s="412" t="n">
        <x:f>IF(AND(ISNUMBER(AI241),ISNUMBER($J$138),$J$138&gt;=-1),AI241+AI241*$J$138-IF(AND($J$134="Cash payout",$J$138&gt;=0),AI241*$J$138,0)+X242,"")</x:f>
        <x:v>1608620.3464783828</x:v>
      </x:c>
      <x:c r="AJ242" s="412" t="n">
        <x:f>IF(AND(ISNUMBER(AI241),ISNUMBER($J$138),$J$138&gt;=-1),AJ241+IF(AND($J$134="Cash payout",$J$138&gt;=0),AI241*$J$138,0),"")</x:f>
        <x:v>0</x:v>
      </x:c>
      <x:c r="AK242" s="412" t="n">
        <x:f>IF(ISNUMBER(AK241),AK241+X242,"")</x:f>
        <x:v>208898.25271554862</x:v>
      </x:c>
      <x:c r="AL242" s="412" t="n">
        <x:f>IF(AND(ISNUMBER(AI242),ISNUMBER(AJ242),ISNUMBER(AK242)),AI242+AJ242-AK242,"")</x:f>
        <x:v>1399722.093762834</x:v>
      </x:c>
      <x:c r="AM242" s="416" t="n">
        <x:f>IF(AND(AK242&gt;0,ISNUMBER(AL242)),AL242/AK242,"")</x:f>
        <x:v>6.700496895341675</x:v>
      </x:c>
    </x:row>
    <x:row r="243" ht="24" customHeight="1">
      <x:c r="A243" s="419" t="n">
        <x:f>43</x:f>
        <x:v>43</x:v>
      </x:c>
      <x:c r="B243" s="414" t="n">
        <x:v>0</x:v>
      </x:c>
      <x:c r="C243" s="412" t="n">
        <x:f>IF(AND(ISNUMBER($H$17),ISNUMBER($J$73),$J$73&gt;-1,$J$73&lt;=5),$H$17*(1+$J$73)^(43-1),"")</x:f>
        <x:v>405037.1450717505</x:v>
      </x:c>
      <x:c r="D243" s="412" t="n">
        <x:f>IF(AND(ISNUMBER($H$18),ISNUMBER($J$74),$J$74&gt;-1,$J$74&lt;=5),$H$18*(1+$J$74)^(43-1),"")</x:f>
        <x:v>103820.87680595466</x:v>
      </x:c>
      <x:c r="E243" s="412" t="n">
        <x:f>IF(AND(ISNUMBER($H$22),ISNUMBER($J$74),$J$74&gt;-1,$J$74&lt;=5),$H$22*(1+$J$74)^(43-1),"")</x:f>
        <x:v>0</x:v>
      </x:c>
      <x:c r="F243" s="412" t="n">
        <x:f>IF(AND(ISNUMBER(C243),ISNUMBER(D243)),C243-D243,"")</x:f>
        <x:v>301216.26826579584</x:v>
      </x:c>
      <x:c r="G243" s="412" t="n">
        <x:f>IF(AND(ISNUMBER(F243),ISNUMBER(E243)),F243-E243,"")</x:f>
        <x:v>301216.26826579584</x:v>
      </x:c>
      <x:c r="H243" s="412" t="n">
        <x:f>IF(COUNT(M905:M916)=12,SUM(M905:M916),"")</x:f>
        <x:v>0</x:v>
      </x:c>
      <x:c r="I243" s="412" t="n">
        <x:f>SUM(E905:E916)</x:f>
        <x:v>0</x:v>
      </x:c>
      <x:c r="J243" s="412" t="n">
        <x:f>SUM(F905:F916)</x:f>
        <x:v>0</x:v>
      </x:c>
      <x:c r="K243" s="412" t="n">
        <x:f>SUM(G905:G916)</x:f>
        <x:v>0</x:v>
      </x:c>
      <x:c r="L243" s="412" t="n">
        <x:f>IF(AND(ISNUMBER(G243),ISNUMBER(H243),ISNUMBER(J243),ISNUMBER(K243)),G243-H243-B243-J243-K243,"")</x:f>
        <x:v>301216.26826579584</x:v>
      </x:c>
      <x:c r="M243" s="412" t="n">
        <x:f>IF(ISNUMBER(N916),N916,"")</x:f>
        <x:v>0</x:v>
      </x:c>
      <x:c r="N243" s="412" t="n">
        <x:f>IF(ISNUMBER($J$77),IF(AND($J$77&gt;0,$J$77&lt;=1,ISNUMBER($H$17),ISNUMBER($H$18),ISNUMBER($J$73),$J$73&gt;-1,$J$73&lt;=5,ISNUMBER($J$74),$J$74&gt;-1,$J$74&lt;=5),($H$17*(1+$J$73)^43-$H$18*(1+$J$74)^43)/$J$77,""),IF(AND($J$77="",ISNUMBER($B$15),$B$15&gt;0,ISNUMBER($J$72),$J$72&gt;-1,$J$72&lt;=5),$B$15*(1+$J$72)^43,""))</x:f>
        <x:v>5130470.504242172</x:v>
      </x:c>
      <x:c r="O243" s="412" t="n">
        <x:f>IF(AND(ISNUMBER(N243),ISNUMBER(M243)),N243*(1-$J$75)-M243,"")</x:f>
        <x:v>5130470.504242172</x:v>
      </x:c>
      <x:c r="P243" s="412" t="n">
        <x:f>IF(AND(ISNUMBER(P242),ISNUMBER(L243)),P242+L243,"")</x:f>
        <x:v>4331846.741161203</x:v>
      </x:c>
      <x:c r="Q243" s="412" t="n">
        <x:f>IF(AND(ISNUMBER(Q242),ISNUMBER(L243)),Q242+MAX(0,-L243),"")</x:f>
        <x:v>208898.25271554862</x:v>
      </x:c>
      <x:c r="R243" s="412" t="n">
        <x:f>IF(AND(ISNUMBER(R242),ISNUMBER(L243)),R242+MAX(0,L243),"")</x:f>
        <x:v>4350744.993876752</x:v>
      </x:c>
      <x:c r="S243" s="412" t="n">
        <x:f>IF(AND(ISNUMBER(Q242),ISNUMBER(L243),ISNUMBER(O243)),Q242+MAX(0,-(L243+O243)),"")</x:f>
        <x:v>208898.25271554862</x:v>
      </x:c>
      <x:c r="T243" s="412" t="n">
        <x:f>IF(AND(ISNUMBER(R242),ISNUMBER(L243),ISNUMBER(O243)),R242+MAX(0,L243+O243),"")</x:f>
        <x:v>9481215.498118926</x:v>
      </x:c>
      <x:c r="U243" s="412" t="n">
        <x:f>IF(AND(ISNUMBER(O243),ISNUMBER(P243),ISNUMBER($E$18)),O243+P243-$E$18,"")</x:f>
        <x:v>9272317.245403375</x:v>
      </x:c>
      <x:c r="V243" s="416" t="n">
        <x:f>IF(AND(S243&gt;0,ISNUMBER(U243)),U243/S243,"")</x:f>
        <x:v>44.38676305267738</x:v>
      </x:c>
      <x:c r="W243" s="418" t="n">
        <x:f>IF(AND(S243&gt;0,ISNUMBER(T243)),T243/S243,"")</x:f>
        <x:v>45.38676305267739</x:v>
      </x:c>
      <x:c r="X243" s="412" t="n">
        <x:f>IF($B$136="No",0,IF(AND(ISNUMBER(L243),OR(43&lt;&gt;$B$134,ISNUMBER(O243))),MAX(0,-(L243+IF(43=$B$134,O243,0))),0))</x:f>
        <x:v>0</x:v>
      </x:c>
      <x:c r="Y243" s="412" t="n">
        <x:f>IF(AND(ISNUMBER(Y242),ISNUMBER($D$138),$D$138&gt;=-1),Y242+Y242*$D$138-0+X243,"")</x:f>
        <x:v>5648079.111582414</x:v>
      </x:c>
      <x:c r="Z243" s="412" t="n">
        <x:f>IF(AND(ISNUMBER(Y242),ISNUMBER($D$138),$D$138&gt;=-1),Z242+0,"")</x:f>
        <x:v>0</x:v>
      </x:c>
      <x:c r="AA243" s="412" t="n">
        <x:f>IF(ISNUMBER(AA242),AA242+X243,"")</x:f>
        <x:v>208898.25271554862</x:v>
      </x:c>
      <x:c r="AB243" s="412" t="n">
        <x:f>IF(AND(ISNUMBER(Y243),ISNUMBER(Z243),ISNUMBER(AA243)),Y243+Z243-AA243,"")</x:f>
        <x:v>5439180.858866866</x:v>
      </x:c>
      <x:c r="AC243" s="416" t="n">
        <x:f>IF(AND(AA243&gt;0,ISNUMBER(AB243)),AB243/AA243,"")</x:f>
        <x:v>26.037464594178577</x:v>
      </x:c>
      <x:c r="AD243" s="412" t="n">
        <x:f>IF(AND(ISNUMBER(AD242),ISNUMBER($G$138),$G$138&gt;=0),AD242+AD242*$G$138-IF(AND($J$134="Cash payout",$G$138&gt;=0),AD242*$G$138,0)+X243,"")</x:f>
        <x:v>1689051.363802302</x:v>
      </x:c>
      <x:c r="AE243" s="412" t="n">
        <x:f>IF(AND(ISNUMBER(AD242),ISNUMBER($G$138),$G$138&gt;=0),AE242+IF(AND($J$134="Cash payout",$G$138&gt;=0),AD242*$G$138,0),"")</x:f>
        <x:v>0</x:v>
      </x:c>
      <x:c r="AF243" s="412" t="n">
        <x:f>IF(ISNUMBER(AF242),AF242+X243,"")</x:f>
        <x:v>208898.25271554862</x:v>
      </x:c>
      <x:c r="AG243" s="412" t="n">
        <x:f>IF(AND(ISNUMBER(AD243),ISNUMBER(AE243),ISNUMBER(AF243)),AD243+AE243-AF243,"")</x:f>
        <x:v>1480153.1110867532</x:v>
      </x:c>
      <x:c r="AH243" s="416" t="n">
        <x:f>IF(AND(AF243&gt;0,ISNUMBER(AG243)),AG243/AF243,"")</x:f>
        <x:v>7.085521740108758</x:v>
      </x:c>
      <x:c r="AI243" s="412" t="n">
        <x:f>IF(AND(ISNUMBER(AI242),ISNUMBER($J$138),$J$138&gt;=-1),AI242+AI242*$J$138-IF(AND($J$134="Cash payout",$J$138&gt;=0),AI242*$J$138,0)+X243,"")</x:f>
        <x:v>1689051.363802302</x:v>
      </x:c>
      <x:c r="AJ243" s="412" t="n">
        <x:f>IF(AND(ISNUMBER(AI242),ISNUMBER($J$138),$J$138&gt;=-1),AJ242+IF(AND($J$134="Cash payout",$J$138&gt;=0),AI242*$J$138,0),"")</x:f>
        <x:v>0</x:v>
      </x:c>
      <x:c r="AK243" s="412" t="n">
        <x:f>IF(ISNUMBER(AK242),AK242+X243,"")</x:f>
        <x:v>208898.25271554862</x:v>
      </x:c>
      <x:c r="AL243" s="412" t="n">
        <x:f>IF(AND(ISNUMBER(AI243),ISNUMBER(AJ243),ISNUMBER(AK243)),AI243+AJ243-AK243,"")</x:f>
        <x:v>1480153.1110867532</x:v>
      </x:c>
      <x:c r="AM243" s="416" t="n">
        <x:f>IF(AND(AK243&gt;0,ISNUMBER(AL243)),AL243/AK243,"")</x:f>
        <x:v>7.085521740108758</x:v>
      </x:c>
    </x:row>
    <x:row r="244" ht="24" customHeight="1">
      <x:c r="A244" s="419" t="n">
        <x:f>44</x:f>
        <x:v>44</x:v>
      </x:c>
      <x:c r="B244" s="414" t="n">
        <x:v>0</x:v>
      </x:c>
      <x:c r="C244" s="412" t="n">
        <x:f>IF(AND(ISNUMBER($H$17),ISNUMBER($J$73),$J$73&gt;-1,$J$73&lt;=5),$H$17*(1+$J$73)^(44-1),"")</x:f>
        <x:v>421238.6308746205</x:v>
      </x:c>
      <x:c r="D244" s="412" t="n">
        <x:f>IF(AND(ISNUMBER($H$18),ISNUMBER($J$74),$J$74&gt;-1,$J$74&lt;=5),$H$18*(1+$J$74)^(44-1),"")</x:f>
        <x:v>106935.5031101333</x:v>
      </x:c>
      <x:c r="E244" s="412" t="n">
        <x:f>IF(AND(ISNUMBER($H$22),ISNUMBER($J$74),$J$74&gt;-1,$J$74&lt;=5),$H$22*(1+$J$74)^(44-1),"")</x:f>
        <x:v>0</x:v>
      </x:c>
      <x:c r="F244" s="412" t="n">
        <x:f>IF(AND(ISNUMBER(C244),ISNUMBER(D244)),C244-D244,"")</x:f>
        <x:v>314303.12776448723</x:v>
      </x:c>
      <x:c r="G244" s="412" t="n">
        <x:f>IF(AND(ISNUMBER(F244),ISNUMBER(E244)),F244-E244,"")</x:f>
        <x:v>314303.12776448723</x:v>
      </x:c>
      <x:c r="H244" s="412" t="n">
        <x:f>IF(COUNT(M917:M928)=12,SUM(M917:M928),"")</x:f>
        <x:v>0</x:v>
      </x:c>
      <x:c r="I244" s="412" t="n">
        <x:f>SUM(E917:E928)</x:f>
        <x:v>0</x:v>
      </x:c>
      <x:c r="J244" s="412" t="n">
        <x:f>SUM(F917:F928)</x:f>
        <x:v>0</x:v>
      </x:c>
      <x:c r="K244" s="412" t="n">
        <x:f>SUM(G917:G928)</x:f>
        <x:v>0</x:v>
      </x:c>
      <x:c r="L244" s="412" t="n">
        <x:f>IF(AND(ISNUMBER(G244),ISNUMBER(H244),ISNUMBER(J244),ISNUMBER(K244)),G244-H244-B244-J244-K244,"")</x:f>
        <x:v>314303.12776448723</x:v>
      </x:c>
      <x:c r="M244" s="412" t="n">
        <x:f>IF(ISNUMBER(N928),N928,"")</x:f>
        <x:v>0</x:v>
      </x:c>
      <x:c r="N244" s="412" t="n">
        <x:f>IF(ISNUMBER($J$77),IF(AND($J$77&gt;0,$J$77&lt;=1,ISNUMBER($H$17),ISNUMBER($H$18),ISNUMBER($J$73),$J$73&gt;-1,$J$73&lt;=5,ISNUMBER($J$74),$J$74&gt;-1,$J$74&lt;=5),($H$17*(1+$J$73)^44-$H$18*(1+$J$74)^44)/$J$77,""),IF(AND($J$77="",ISNUMBER($B$15),$B$15&gt;0,ISNUMBER($J$72),$J$72&gt;-1,$J$72&lt;=5),$B$15*(1+$J$72)^44,""))</x:f>
        <x:v>5335689.324411861</x:v>
      </x:c>
      <x:c r="O244" s="412" t="n">
        <x:f>IF(AND(ISNUMBER(N244),ISNUMBER(M244)),N244*(1-$J$75)-M244,"")</x:f>
        <x:v>5335689.324411861</x:v>
      </x:c>
      <x:c r="P244" s="412" t="n">
        <x:f>IF(AND(ISNUMBER(P243),ISNUMBER(L244)),P243+L244,"")</x:f>
        <x:v>4646149.868925691</x:v>
      </x:c>
      <x:c r="Q244" s="412" t="n">
        <x:f>IF(AND(ISNUMBER(Q243),ISNUMBER(L244)),Q243+MAX(0,-L244),"")</x:f>
        <x:v>208898.25271554862</x:v>
      </x:c>
      <x:c r="R244" s="412" t="n">
        <x:f>IF(AND(ISNUMBER(R243),ISNUMBER(L244)),R243+MAX(0,L244),"")</x:f>
        <x:v>4665048.12164124</x:v>
      </x:c>
      <x:c r="S244" s="412" t="n">
        <x:f>IF(AND(ISNUMBER(Q243),ISNUMBER(L244),ISNUMBER(O244)),Q243+MAX(0,-(L244+O244)),"")</x:f>
        <x:v>208898.25271554862</x:v>
      </x:c>
      <x:c r="T244" s="412" t="n">
        <x:f>IF(AND(ISNUMBER(R243),ISNUMBER(L244),ISNUMBER(O244)),R243+MAX(0,L244+O244),"")</x:f>
        <x:v>10000737.4460531</x:v>
      </x:c>
      <x:c r="U244" s="412" t="n">
        <x:f>IF(AND(ISNUMBER(O244),ISNUMBER(P244),ISNUMBER($E$18)),O244+P244-$E$18,"")</x:f>
        <x:v>9791839.193337552</x:v>
      </x:c>
      <x:c r="V244" s="416" t="n">
        <x:f>IF(AND(S244&gt;0,ISNUMBER(U244)),U244/S244,"")</x:f>
        <x:v>46.87372472507393</x:v>
      </x:c>
      <x:c r="W244" s="418" t="n">
        <x:f>IF(AND(S244&gt;0,ISNUMBER(T244)),T244/S244,"")</x:f>
        <x:v>47.87372472507393</x:v>
      </x:c>
      <x:c r="X244" s="412" t="n">
        <x:f>IF($B$136="No",0,IF(AND(ISNUMBER(L244),OR(44&lt;&gt;$B$134,ISNUMBER(O244))),MAX(0,-(L244+IF(44=$B$134,O244,0))),0))</x:f>
        <x:v>0</x:v>
      </x:c>
      <x:c r="Y244" s="412" t="n">
        <x:f>IF(AND(ISNUMBER(Y243),ISNUMBER($D$138),$D$138&gt;=-1),Y243+Y243*$D$138-0+X244,"")</x:f>
        <x:v>6099925.440509007</x:v>
      </x:c>
      <x:c r="Z244" s="412" t="n">
        <x:f>IF(AND(ISNUMBER(Y243),ISNUMBER($D$138),$D$138&gt;=-1),Z243+0,"")</x:f>
        <x:v>0</x:v>
      </x:c>
      <x:c r="AA244" s="412" t="n">
        <x:f>IF(ISNUMBER(AA243),AA243+X244,"")</x:f>
        <x:v>208898.25271554862</x:v>
      </x:c>
      <x:c r="AB244" s="412" t="n">
        <x:f>IF(AND(ISNUMBER(Y244),ISNUMBER(Z244),ISNUMBER(AA244)),Y244+Z244-AA244,"")</x:f>
        <x:v>5891027.187793459</x:v>
      </x:c>
      <x:c r="AC244" s="416" t="n">
        <x:f>IF(AND(AA244&gt;0,ISNUMBER(AB244)),AB244/AA244,"")</x:f>
        <x:v>28.200461761712862</x:v>
      </x:c>
      <x:c r="AD244" s="412" t="n">
        <x:f>IF(AND(ISNUMBER(AD243),ISNUMBER($G$138),$G$138&gt;=0),AD243+AD243*$G$138-IF(AND($J$134="Cash payout",$G$138&gt;=0),AD243*$G$138,0)+X244,"")</x:f>
        <x:v>1773503.931992417</x:v>
      </x:c>
      <x:c r="AE244" s="412" t="n">
        <x:f>IF(AND(ISNUMBER(AD243),ISNUMBER($G$138),$G$138&gt;=0),AE243+IF(AND($J$134="Cash payout",$G$138&gt;=0),AD243*$G$138,0),"")</x:f>
        <x:v>0</x:v>
      </x:c>
      <x:c r="AF244" s="412" t="n">
        <x:f>IF(ISNUMBER(AF243),AF243+X244,"")</x:f>
        <x:v>208898.25271554862</x:v>
      </x:c>
      <x:c r="AG244" s="412" t="n">
        <x:f>IF(AND(ISNUMBER(AD244),ISNUMBER(AE244),ISNUMBER(AF244)),AD244+AE244-AF244,"")</x:f>
        <x:v>1564605.6792768682</x:v>
      </x:c>
      <x:c r="AH244" s="416" t="n">
        <x:f>IF(AND(AF244&gt;0,ISNUMBER(AG244)),AG244/AF244,"")</x:f>
        <x:v>7.489797827114196</x:v>
      </x:c>
      <x:c r="AI244" s="412" t="n">
        <x:f>IF(AND(ISNUMBER(AI243),ISNUMBER($J$138),$J$138&gt;=-1),AI243+AI243*$J$138-IF(AND($J$134="Cash payout",$J$138&gt;=0),AI243*$J$138,0)+X244,"")</x:f>
        <x:v>1773503.931992417</x:v>
      </x:c>
      <x:c r="AJ244" s="412" t="n">
        <x:f>IF(AND(ISNUMBER(AI243),ISNUMBER($J$138),$J$138&gt;=-1),AJ243+IF(AND($J$134="Cash payout",$J$138&gt;=0),AI243*$J$138,0),"")</x:f>
        <x:v>0</x:v>
      </x:c>
      <x:c r="AK244" s="412" t="n">
        <x:f>IF(ISNUMBER(AK243),AK243+X244,"")</x:f>
        <x:v>208898.25271554862</x:v>
      </x:c>
      <x:c r="AL244" s="412" t="n">
        <x:f>IF(AND(ISNUMBER(AI244),ISNUMBER(AJ244),ISNUMBER(AK244)),AI244+AJ244-AK244,"")</x:f>
        <x:v>1564605.6792768682</x:v>
      </x:c>
      <x:c r="AM244" s="416" t="n">
        <x:f>IF(AND(AK244&gt;0,ISNUMBER(AL244)),AL244/AK244,"")</x:f>
        <x:v>7.489797827114196</x:v>
      </x:c>
    </x:row>
    <x:row r="245" ht="24" customHeight="1">
      <x:c r="A245" s="419" t="n">
        <x:f>45</x:f>
        <x:v>45</x:v>
      </x:c>
      <x:c r="B245" s="414" t="n">
        <x:v>0</x:v>
      </x:c>
      <x:c r="C245" s="412" t="n">
        <x:f>IF(AND(ISNUMBER($H$17),ISNUMBER($J$73),$J$73&gt;-1,$J$73&lt;=5),$H$17*(1+$J$73)^(45-1),"")</x:f>
        <x:v>438088.1761096054</x:v>
      </x:c>
      <x:c r="D245" s="412" t="n">
        <x:f>IF(AND(ISNUMBER($H$18),ISNUMBER($J$74),$J$74&gt;-1,$J$74&lt;=5),$H$18*(1+$J$74)^(45-1),"")</x:f>
        <x:v>110143.5682034373</x:v>
      </x:c>
      <x:c r="E245" s="412" t="n">
        <x:f>IF(AND(ISNUMBER($H$22),ISNUMBER($J$74),$J$74&gt;-1,$J$74&lt;=5),$H$22*(1+$J$74)^(45-1),"")</x:f>
        <x:v>0</x:v>
      </x:c>
      <x:c r="F245" s="412" t="n">
        <x:f>IF(AND(ISNUMBER(C245),ISNUMBER(D245)),C245-D245,"")</x:f>
        <x:v>327944.6079061681</x:v>
      </x:c>
      <x:c r="G245" s="412" t="n">
        <x:f>IF(AND(ISNUMBER(F245),ISNUMBER(E245)),F245-E245,"")</x:f>
        <x:v>327944.6079061681</x:v>
      </x:c>
      <x:c r="H245" s="412" t="n">
        <x:f>IF(COUNT(M929:M940)=12,SUM(M929:M940),"")</x:f>
        <x:v>0</x:v>
      </x:c>
      <x:c r="I245" s="412" t="n">
        <x:f>SUM(E929:E940)</x:f>
        <x:v>0</x:v>
      </x:c>
      <x:c r="J245" s="412" t="n">
        <x:f>SUM(F929:F940)</x:f>
        <x:v>0</x:v>
      </x:c>
      <x:c r="K245" s="412" t="n">
        <x:f>SUM(G929:G940)</x:f>
        <x:v>0</x:v>
      </x:c>
      <x:c r="L245" s="412" t="n">
        <x:f>IF(AND(ISNUMBER(G245),ISNUMBER(H245),ISNUMBER(J245),ISNUMBER(K245)),G245-H245-B245-J245-K245,"")</x:f>
        <x:v>327944.6079061681</x:v>
      </x:c>
      <x:c r="M245" s="412" t="n">
        <x:f>IF(ISNUMBER(N940),N940,"")</x:f>
        <x:v>0</x:v>
      </x:c>
      <x:c r="N245" s="412" t="n">
        <x:f>IF(ISNUMBER($J$77),IF(AND($J$77&gt;0,$J$77&lt;=1,ISNUMBER($H$17),ISNUMBER($H$18),ISNUMBER($J$73),$J$73&gt;-1,$J$73&lt;=5,ISNUMBER($J$74),$J$74&gt;-1,$J$74&lt;=5),($H$17*(1+$J$73)^45-$H$18*(1+$J$74)^45)/$J$77,""),IF(AND($J$77="",ISNUMBER($B$15),$B$15&gt;0,ISNUMBER($J$72),$J$72&gt;-1,$J$72&lt;=5),$B$15*(1+$J$72)^45,""))</x:f>
        <x:v>5549116.897388335</x:v>
      </x:c>
      <x:c r="O245" s="412" t="n">
        <x:f>IF(AND(ISNUMBER(N245),ISNUMBER(M245)),N245*(1-$J$75)-M245,"")</x:f>
        <x:v>5549116.897388335</x:v>
      </x:c>
      <x:c r="P245" s="412" t="n">
        <x:f>IF(AND(ISNUMBER(P244),ISNUMBER(L245)),P244+L245,"")</x:f>
        <x:v>4974094.476831859</x:v>
      </x:c>
      <x:c r="Q245" s="412" t="n">
        <x:f>IF(AND(ISNUMBER(Q244),ISNUMBER(L245)),Q244+MAX(0,-L245),"")</x:f>
        <x:v>208898.25271554862</x:v>
      </x:c>
      <x:c r="R245" s="412" t="n">
        <x:f>IF(AND(ISNUMBER(R244),ISNUMBER(L245)),R244+MAX(0,L245),"")</x:f>
        <x:v>4992992.729547408</x:v>
      </x:c>
      <x:c r="S245" s="412" t="n">
        <x:f>IF(AND(ISNUMBER(Q244),ISNUMBER(L245),ISNUMBER(O245)),Q244+MAX(0,-(L245+O245)),"")</x:f>
        <x:v>208898.25271554862</x:v>
      </x:c>
      <x:c r="T245" s="412" t="n">
        <x:f>IF(AND(ISNUMBER(R244),ISNUMBER(L245),ISNUMBER(O245)),R244+MAX(0,L245+O245),"")</x:f>
        <x:v>10542109.626935743</x:v>
      </x:c>
      <x:c r="U245" s="412" t="n">
        <x:f>IF(AND(ISNUMBER(O245),ISNUMBER(P245),ISNUMBER($E$18)),O245+P245-$E$18,"")</x:f>
        <x:v>10333211.374220194</x:v>
      </x:c>
      <x:c r="V245" s="416" t="n">
        <x:f>IF(AND(S245&gt;0,ISNUMBER(U245)),U245/S245,"")</x:f>
        <x:v>49.46528388770519</x:v>
      </x:c>
      <x:c r="W245" s="418" t="n">
        <x:f>IF(AND(S245&gt;0,ISNUMBER(T245)),T245/S245,"")</x:f>
        <x:v>50.46528388770519</x:v>
      </x:c>
      <x:c r="X245" s="412" t="n">
        <x:f>IF($B$136="No",0,IF(AND(ISNUMBER(L245),OR(45&lt;&gt;$B$134,ISNUMBER(O245))),MAX(0,-(L245+IF(45=$B$134,O245,0))),0))</x:f>
        <x:v>0</x:v>
      </x:c>
      <x:c r="Y245" s="412" t="n">
        <x:f>IF(AND(ISNUMBER(Y244),ISNUMBER($D$138),$D$138&gt;=-1),Y244+Y244*$D$138-0+X245,"")</x:f>
        <x:v>6587919.475749728</x:v>
      </x:c>
      <x:c r="Z245" s="412" t="n">
        <x:f>IF(AND(ISNUMBER(Y244),ISNUMBER($D$138),$D$138&gt;=-1),Z244+0,"")</x:f>
        <x:v>0</x:v>
      </x:c>
      <x:c r="AA245" s="412" t="n">
        <x:f>IF(ISNUMBER(AA244),AA244+X245,"")</x:f>
        <x:v>208898.25271554862</x:v>
      </x:c>
      <x:c r="AB245" s="412" t="n">
        <x:f>IF(AND(ISNUMBER(Y245),ISNUMBER(Z245),ISNUMBER(AA245)),Y245+Z245-AA245,"")</x:f>
        <x:v>6379021.22303418</x:v>
      </x:c>
      <x:c r="AC245" s="416" t="n">
        <x:f>IF(AND(AA245&gt;0,ISNUMBER(AB245)),AB245/AA245,"")</x:f>
        <x:v>30.536498702649894</x:v>
      </x:c>
      <x:c r="AD245" s="412" t="n">
        <x:f>IF(AND(ISNUMBER(AD244),ISNUMBER($G$138),$G$138&gt;=0),AD244+AD244*$G$138-IF(AND($J$134="Cash payout",$G$138&gt;=0),AD244*$G$138,0)+X245,"")</x:f>
        <x:v>1862179.1285920378</x:v>
      </x:c>
      <x:c r="AE245" s="412" t="n">
        <x:f>IF(AND(ISNUMBER(AD244),ISNUMBER($G$138),$G$138&gt;=0),AE244+IF(AND($J$134="Cash payout",$G$138&gt;=0),AD244*$G$138,0),"")</x:f>
        <x:v>0</x:v>
      </x:c>
      <x:c r="AF245" s="412" t="n">
        <x:f>IF(ISNUMBER(AF244),AF244+X245,"")</x:f>
        <x:v>208898.25271554862</x:v>
      </x:c>
      <x:c r="AG245" s="412" t="n">
        <x:f>IF(AND(ISNUMBER(AD245),ISNUMBER(AE245),ISNUMBER(AF245)),AD245+AE245-AF245,"")</x:f>
        <x:v>1653280.875876489</x:v>
      </x:c>
      <x:c r="AH245" s="416" t="n">
        <x:f>IF(AND(AF245&gt;0,ISNUMBER(AG245)),AG245/AF245,"")</x:f>
        <x:v>7.914287718469906</x:v>
      </x:c>
      <x:c r="AI245" s="412" t="n">
        <x:f>IF(AND(ISNUMBER(AI244),ISNUMBER($J$138),$J$138&gt;=-1),AI244+AI244*$J$138-IF(AND($J$134="Cash payout",$J$138&gt;=0),AI244*$J$138,0)+X245,"")</x:f>
        <x:v>1862179.1285920378</x:v>
      </x:c>
      <x:c r="AJ245" s="412" t="n">
        <x:f>IF(AND(ISNUMBER(AI244),ISNUMBER($J$138),$J$138&gt;=-1),AJ244+IF(AND($J$134="Cash payout",$J$138&gt;=0),AI244*$J$138,0),"")</x:f>
        <x:v>0</x:v>
      </x:c>
      <x:c r="AK245" s="412" t="n">
        <x:f>IF(ISNUMBER(AK244),AK244+X245,"")</x:f>
        <x:v>208898.25271554862</x:v>
      </x:c>
      <x:c r="AL245" s="412" t="n">
        <x:f>IF(AND(ISNUMBER(AI245),ISNUMBER(AJ245),ISNUMBER(AK245)),AI245+AJ245-AK245,"")</x:f>
        <x:v>1653280.875876489</x:v>
      </x:c>
      <x:c r="AM245" s="416" t="n">
        <x:f>IF(AND(AK245&gt;0,ISNUMBER(AL245)),AL245/AK245,"")</x:f>
        <x:v>7.914287718469906</x:v>
      </x:c>
    </x:row>
    <x:row r="246" ht="24" customHeight="1">
      <x:c r="A246" s="419" t="n">
        <x:f>46</x:f>
        <x:v>46</x:v>
      </x:c>
      <x:c r="B246" s="414" t="n">
        <x:v>0</x:v>
      </x:c>
      <x:c r="C246" s="412" t="n">
        <x:f>IF(AND(ISNUMBER($H$17),ISNUMBER($J$73),$J$73&gt;-1,$J$73&lt;=5),$H$17*(1+$J$73)^(46-1),"")</x:f>
        <x:v>455611.7031539896</x:v>
      </x:c>
      <x:c r="D246" s="412" t="n">
        <x:f>IF(AND(ISNUMBER($H$18),ISNUMBER($J$74),$J$74&gt;-1,$J$74&lt;=5),$H$18*(1+$J$74)^(46-1),"")</x:f>
        <x:v>113447.87524954042</x:v>
      </x:c>
      <x:c r="E246" s="412" t="n">
        <x:f>IF(AND(ISNUMBER($H$22),ISNUMBER($J$74),$J$74&gt;-1,$J$74&lt;=5),$H$22*(1+$J$74)^(46-1),"")</x:f>
        <x:v>0</x:v>
      </x:c>
      <x:c r="F246" s="412" t="n">
        <x:f>IF(AND(ISNUMBER(C246),ISNUMBER(D246)),C246-D246,"")</x:f>
        <x:v>342163.8279044492</x:v>
      </x:c>
      <x:c r="G246" s="412" t="n">
        <x:f>IF(AND(ISNUMBER(F246),ISNUMBER(E246)),F246-E246,"")</x:f>
        <x:v>342163.8279044492</x:v>
      </x:c>
      <x:c r="H246" s="412" t="n">
        <x:f>IF(COUNT(M941:M952)=12,SUM(M941:M952),"")</x:f>
        <x:v>0</x:v>
      </x:c>
      <x:c r="I246" s="412" t="n">
        <x:f>SUM(E941:E952)</x:f>
        <x:v>0</x:v>
      </x:c>
      <x:c r="J246" s="412" t="n">
        <x:f>SUM(F941:F952)</x:f>
        <x:v>0</x:v>
      </x:c>
      <x:c r="K246" s="412" t="n">
        <x:f>SUM(G941:G952)</x:f>
        <x:v>0</x:v>
      </x:c>
      <x:c r="L246" s="412" t="n">
        <x:f>IF(AND(ISNUMBER(G246),ISNUMBER(H246),ISNUMBER(J246),ISNUMBER(K246)),G246-H246-B246-J246-K246,"")</x:f>
        <x:v>342163.8279044492</x:v>
      </x:c>
      <x:c r="M246" s="412" t="n">
        <x:f>IF(ISNUMBER(N952),N952,"")</x:f>
        <x:v>0</x:v>
      </x:c>
      <x:c r="N246" s="412" t="n">
        <x:f>IF(ISNUMBER($J$77),IF(AND($J$77&gt;0,$J$77&lt;=1,ISNUMBER($H$17),ISNUMBER($H$18),ISNUMBER($J$73),$J$73&gt;-1,$J$73&lt;=5,ISNUMBER($J$74),$J$74&gt;-1,$J$74&lt;=5),($H$17*(1+$J$73)^46-$H$18*(1+$J$74)^46)/$J$77,""),IF(AND($J$77="",ISNUMBER($B$15),$B$15&gt;0,ISNUMBER($J$72),$J$72&gt;-1,$J$72&lt;=5),$B$15*(1+$J$72)^46,""))</x:f>
        <x:v>5771081.573283869</x:v>
      </x:c>
      <x:c r="O246" s="412" t="n">
        <x:f>IF(AND(ISNUMBER(N246),ISNUMBER(M246)),N246*(1-$J$75)-M246,"")</x:f>
        <x:v>5771081.573283869</x:v>
      </x:c>
      <x:c r="P246" s="412" t="n">
        <x:f>IF(AND(ISNUMBER(P245),ISNUMBER(L246)),P245+L246,"")</x:f>
        <x:v>5316258.304736308</x:v>
      </x:c>
      <x:c r="Q246" s="412" t="n">
        <x:f>IF(AND(ISNUMBER(Q245),ISNUMBER(L246)),Q245+MAX(0,-L246),"")</x:f>
        <x:v>208898.25271554862</x:v>
      </x:c>
      <x:c r="R246" s="412" t="n">
        <x:f>IF(AND(ISNUMBER(R245),ISNUMBER(L246)),R245+MAX(0,L246),"")</x:f>
        <x:v>5335156.557451857</x:v>
      </x:c>
      <x:c r="S246" s="412" t="n">
        <x:f>IF(AND(ISNUMBER(Q245),ISNUMBER(L246),ISNUMBER(O246)),Q245+MAX(0,-(L246+O246)),"")</x:f>
        <x:v>208898.25271554862</x:v>
      </x:c>
      <x:c r="T246" s="412" t="n">
        <x:f>IF(AND(ISNUMBER(R245),ISNUMBER(L246),ISNUMBER(O246)),R245+MAX(0,L246+O246),"")</x:f>
        <x:v>11106238.130735725</x:v>
      </x:c>
      <x:c r="U246" s="412" t="n">
        <x:f>IF(AND(ISNUMBER(O246),ISNUMBER(P246),ISNUMBER($E$18)),O246+P246-$E$18,"")</x:f>
        <x:v>10897339.878020177</x:v>
      </x:c>
      <x:c r="V246" s="416" t="n">
        <x:f>IF(AND(S246&gt;0,ISNUMBER(U246)),U246/S246,"")</x:f>
        <x:v>52.16577801088075</x:v>
      </x:c>
      <x:c r="W246" s="418" t="n">
        <x:f>IF(AND(S246&gt;0,ISNUMBER(T246)),T246/S246,"")</x:f>
        <x:v>53.16577801088075</x:v>
      </x:c>
      <x:c r="X246" s="412" t="n">
        <x:f>IF($B$136="No",0,IF(AND(ISNUMBER(L246),OR(46&lt;&gt;$B$134,ISNUMBER(O246))),MAX(0,-(L246+IF(46=$B$134,O246,0))),0))</x:f>
        <x:v>0</x:v>
      </x:c>
      <x:c r="Y246" s="412" t="n">
        <x:f>IF(AND(ISNUMBER(Y245),ISNUMBER($D$138),$D$138&gt;=-1),Y245+Y245*$D$138-0+X246,"")</x:f>
        <x:v>7114953.033809707</x:v>
      </x:c>
      <x:c r="Z246" s="412" t="n">
        <x:f>IF(AND(ISNUMBER(Y245),ISNUMBER($D$138),$D$138&gt;=-1),Z245+0,"")</x:f>
        <x:v>0</x:v>
      </x:c>
      <x:c r="AA246" s="412" t="n">
        <x:f>IF(ISNUMBER(AA245),AA245+X246,"")</x:f>
        <x:v>208898.25271554862</x:v>
      </x:c>
      <x:c r="AB246" s="412" t="n">
        <x:f>IF(AND(ISNUMBER(Y246),ISNUMBER(Z246),ISNUMBER(AA246)),Y246+Z246-AA246,"")</x:f>
        <x:v>6906054.781094158</x:v>
      </x:c>
      <x:c r="AC246" s="416" t="n">
        <x:f>IF(AND(AA246&gt;0,ISNUMBER(AB246)),AB246/AA246,"")</x:f>
        <x:v>33.05941859886188</x:v>
      </x:c>
      <x:c r="AD246" s="412" t="n">
        <x:f>IF(AND(ISNUMBER(AD245),ISNUMBER($G$138),$G$138&gt;=0),AD245+AD245*$G$138-IF(AND($J$134="Cash payout",$G$138&gt;=0),AD245*$G$138,0)+X246,"")</x:f>
        <x:v>1955288.0850216397</x:v>
      </x:c>
      <x:c r="AE246" s="412" t="n">
        <x:f>IF(AND(ISNUMBER(AD245),ISNUMBER($G$138),$G$138&gt;=0),AE245+IF(AND($J$134="Cash payout",$G$138&gt;=0),AD245*$G$138,0),"")</x:f>
        <x:v>0</x:v>
      </x:c>
      <x:c r="AF246" s="412" t="n">
        <x:f>IF(ISNUMBER(AF245),AF245+X246,"")</x:f>
        <x:v>208898.25271554862</x:v>
      </x:c>
      <x:c r="AG246" s="412" t="n">
        <x:f>IF(AND(ISNUMBER(AD246),ISNUMBER(AE246),ISNUMBER(AF246)),AD246+AE246-AF246,"")</x:f>
        <x:v>1746389.8323060912</x:v>
      </x:c>
      <x:c r="AH246" s="416" t="n">
        <x:f>IF(AND(AF246&gt;0,ISNUMBER(AG246)),AG246/AF246,"")</x:f>
        <x:v>8.360002104393402</x:v>
      </x:c>
      <x:c r="AI246" s="412" t="n">
        <x:f>IF(AND(ISNUMBER(AI245),ISNUMBER($J$138),$J$138&gt;=-1),AI245+AI245*$J$138-IF(AND($J$134="Cash payout",$J$138&gt;=0),AI245*$J$138,0)+X246,"")</x:f>
        <x:v>1955288.0850216397</x:v>
      </x:c>
      <x:c r="AJ246" s="412" t="n">
        <x:f>IF(AND(ISNUMBER(AI245),ISNUMBER($J$138),$J$138&gt;=-1),AJ245+IF(AND($J$134="Cash payout",$J$138&gt;=0),AI245*$J$138,0),"")</x:f>
        <x:v>0</x:v>
      </x:c>
      <x:c r="AK246" s="412" t="n">
        <x:f>IF(ISNUMBER(AK245),AK245+X246,"")</x:f>
        <x:v>208898.25271554862</x:v>
      </x:c>
      <x:c r="AL246" s="412" t="n">
        <x:f>IF(AND(ISNUMBER(AI246),ISNUMBER(AJ246),ISNUMBER(AK246)),AI246+AJ246-AK246,"")</x:f>
        <x:v>1746389.8323060912</x:v>
      </x:c>
      <x:c r="AM246" s="416" t="n">
        <x:f>IF(AND(AK246&gt;0,ISNUMBER(AL246)),AL246/AK246,"")</x:f>
        <x:v>8.360002104393402</x:v>
      </x:c>
    </x:row>
    <x:row r="247" ht="24" customHeight="1">
      <x:c r="A247" s="419" t="n">
        <x:f>47</x:f>
        <x:v>47</x:v>
      </x:c>
      <x:c r="B247" s="414" t="n">
        <x:v>0</x:v>
      </x:c>
      <x:c r="C247" s="412" t="n">
        <x:f>IF(AND(ISNUMBER($H$17),ISNUMBER($J$73),$J$73&gt;-1,$J$73&lt;=5),$H$17*(1+$J$73)^(47-1),"")</x:f>
        <x:v>473836.1712801492</x:v>
      </x:c>
      <x:c r="D247" s="412" t="n">
        <x:f>IF(AND(ISNUMBER($H$18),ISNUMBER($J$74),$J$74&gt;-1,$J$74&lt;=5),$H$18*(1+$J$74)^(47-1),"")</x:f>
        <x:v>116851.31150702664</x:v>
      </x:c>
      <x:c r="E247" s="412" t="n">
        <x:f>IF(AND(ISNUMBER($H$22),ISNUMBER($J$74),$J$74&gt;-1,$J$74&lt;=5),$H$22*(1+$J$74)^(47-1),"")</x:f>
        <x:v>0</x:v>
      </x:c>
      <x:c r="F247" s="412" t="n">
        <x:f>IF(AND(ISNUMBER(C247),ISNUMBER(D247)),C247-D247,"")</x:f>
        <x:v>356984.8597731226</x:v>
      </x:c>
      <x:c r="G247" s="412" t="n">
        <x:f>IF(AND(ISNUMBER(F247),ISNUMBER(E247)),F247-E247,"")</x:f>
        <x:v>356984.8597731226</x:v>
      </x:c>
      <x:c r="H247" s="412" t="n">
        <x:f>IF(COUNT(M953:M964)=12,SUM(M953:M964),"")</x:f>
        <x:v>0</x:v>
      </x:c>
      <x:c r="I247" s="412" t="n">
        <x:f>SUM(E953:E964)</x:f>
        <x:v>0</x:v>
      </x:c>
      <x:c r="J247" s="412" t="n">
        <x:f>SUM(F953:F964)</x:f>
        <x:v>0</x:v>
      </x:c>
      <x:c r="K247" s="412" t="n">
        <x:f>SUM(G953:G964)</x:f>
        <x:v>0</x:v>
      </x:c>
      <x:c r="L247" s="412" t="n">
        <x:f>IF(AND(ISNUMBER(G247),ISNUMBER(H247),ISNUMBER(J247),ISNUMBER(K247)),G247-H247-B247-J247-K247,"")</x:f>
        <x:v>356984.8597731226</x:v>
      </x:c>
      <x:c r="M247" s="412" t="n">
        <x:f>IF(ISNUMBER(N964),N964,"")</x:f>
        <x:v>0</x:v>
      </x:c>
      <x:c r="N247" s="412" t="n">
        <x:f>IF(ISNUMBER($J$77),IF(AND($J$77&gt;0,$J$77&lt;=1,ISNUMBER($H$17),ISNUMBER($H$18),ISNUMBER($J$73),$J$73&gt;-1,$J$73&lt;=5,ISNUMBER($J$74),$J$74&gt;-1,$J$74&lt;=5),($H$17*(1+$J$73)^47-$H$18*(1+$J$74)^47)/$J$77,""),IF(AND($J$77="",ISNUMBER($B$15),$B$15&gt;0,ISNUMBER($J$72),$J$72&gt;-1,$J$72&lt;=5),$B$15*(1+$J$72)^47,""))</x:f>
        <x:v>6001924.836215223</x:v>
      </x:c>
      <x:c r="O247" s="412" t="n">
        <x:f>IF(AND(ISNUMBER(N247),ISNUMBER(M247)),N247*(1-$J$75)-M247,"")</x:f>
        <x:v>6001924.836215223</x:v>
      </x:c>
      <x:c r="P247" s="412" t="n">
        <x:f>IF(AND(ISNUMBER(P246),ISNUMBER(L247)),P246+L247,"")</x:f>
        <x:v>5673243.1645094305</x:v>
      </x:c>
      <x:c r="Q247" s="412" t="n">
        <x:f>IF(AND(ISNUMBER(Q246),ISNUMBER(L247)),Q246+MAX(0,-L247),"")</x:f>
        <x:v>208898.25271554862</x:v>
      </x:c>
      <x:c r="R247" s="412" t="n">
        <x:f>IF(AND(ISNUMBER(R246),ISNUMBER(L247)),R246+MAX(0,L247),"")</x:f>
        <x:v>5692141.41722498</x:v>
      </x:c>
      <x:c r="S247" s="412" t="n">
        <x:f>IF(AND(ISNUMBER(Q246),ISNUMBER(L247),ISNUMBER(O247)),Q246+MAX(0,-(L247+O247)),"")</x:f>
        <x:v>208898.25271554862</x:v>
      </x:c>
      <x:c r="T247" s="412" t="n">
        <x:f>IF(AND(ISNUMBER(R246),ISNUMBER(L247),ISNUMBER(O247)),R246+MAX(0,L247+O247),"")</x:f>
        <x:v>11694066.253440203</x:v>
      </x:c>
      <x:c r="U247" s="412" t="n">
        <x:f>IF(AND(ISNUMBER(O247),ISNUMBER(P247),ISNUMBER($E$18)),O247+P247-$E$18,"")</x:f>
        <x:v>11485168.000724655</x:v>
      </x:c>
      <x:c r="V247" s="416" t="n">
        <x:f>IF(AND(S247&gt;0,ISNUMBER(U247)),U247/S247,"")</x:f>
        <x:v>54.97972267084356</x:v>
      </x:c>
      <x:c r="W247" s="418" t="n">
        <x:f>IF(AND(S247&gt;0,ISNUMBER(T247)),T247/S247,"")</x:f>
        <x:v>55.97972267084356</x:v>
      </x:c>
      <x:c r="X247" s="412" t="n">
        <x:f>IF($B$136="No",0,IF(AND(ISNUMBER(L247),OR(47&lt;&gt;$B$134,ISNUMBER(O247))),MAX(0,-(L247+IF(47=$B$134,O247,0))),0))</x:f>
        <x:v>0</x:v>
      </x:c>
      <x:c r="Y247" s="412" t="n">
        <x:f>IF(AND(ISNUMBER(Y246),ISNUMBER($D$138),$D$138&gt;=-1),Y246+Y246*$D$138-0+X247,"")</x:f>
        <x:v>7684149.276514484</x:v>
      </x:c>
      <x:c r="Z247" s="412" t="n">
        <x:f>IF(AND(ISNUMBER(Y246),ISNUMBER($D$138),$D$138&gt;=-1),Z246+0,"")</x:f>
        <x:v>0</x:v>
      </x:c>
      <x:c r="AA247" s="412" t="n">
        <x:f>IF(ISNUMBER(AA246),AA246+X247,"")</x:f>
        <x:v>208898.25271554862</x:v>
      </x:c>
      <x:c r="AB247" s="412" t="n">
        <x:f>IF(AND(ISNUMBER(Y247),ISNUMBER(Z247),ISNUMBER(AA247)),Y247+Z247-AA247,"")</x:f>
        <x:v>7475251.023798935</x:v>
      </x:c>
      <x:c r="AC247" s="416" t="n">
        <x:f>IF(AND(AA247&gt;0,ISNUMBER(AB247)),AB247/AA247,"")</x:f>
        <x:v>35.78417208677084</x:v>
      </x:c>
      <x:c r="AD247" s="412" t="n">
        <x:f>IF(AND(ISNUMBER(AD246),ISNUMBER($G$138),$G$138&gt;=0),AD246+AD246*$G$138-IF(AND($J$134="Cash payout",$G$138&gt;=0),AD246*$G$138,0)+X247,"")</x:f>
        <x:v>2053052.4892727216</x:v>
      </x:c>
      <x:c r="AE247" s="412" t="n">
        <x:f>IF(AND(ISNUMBER(AD246),ISNUMBER($G$138),$G$138&gt;=0),AE246+IF(AND($J$134="Cash payout",$G$138&gt;=0),AD246*$G$138,0),"")</x:f>
        <x:v>0</x:v>
      </x:c>
      <x:c r="AF247" s="412" t="n">
        <x:f>IF(ISNUMBER(AF246),AF246+X247,"")</x:f>
        <x:v>208898.25271554862</x:v>
      </x:c>
      <x:c r="AG247" s="412" t="n">
        <x:f>IF(AND(ISNUMBER(AD247),ISNUMBER(AE247),ISNUMBER(AF247)),AD247+AE247-AF247,"")</x:f>
        <x:v>1844154.236557173</x:v>
      </x:c>
      <x:c r="AH247" s="416" t="n">
        <x:f>IF(AND(AF247&gt;0,ISNUMBER(AG247)),AG247/AF247,"")</x:f>
        <x:v>8.828002209613071</x:v>
      </x:c>
      <x:c r="AI247" s="412" t="n">
        <x:f>IF(AND(ISNUMBER(AI246),ISNUMBER($J$138),$J$138&gt;=-1),AI246+AI246*$J$138-IF(AND($J$134="Cash payout",$J$138&gt;=0),AI246*$J$138,0)+X247,"")</x:f>
        <x:v>2053052.4892727216</x:v>
      </x:c>
      <x:c r="AJ247" s="412" t="n">
        <x:f>IF(AND(ISNUMBER(AI246),ISNUMBER($J$138),$J$138&gt;=-1),AJ246+IF(AND($J$134="Cash payout",$J$138&gt;=0),AI246*$J$138,0),"")</x:f>
        <x:v>0</x:v>
      </x:c>
      <x:c r="AK247" s="412" t="n">
        <x:f>IF(ISNUMBER(AK246),AK246+X247,"")</x:f>
        <x:v>208898.25271554862</x:v>
      </x:c>
      <x:c r="AL247" s="412" t="n">
        <x:f>IF(AND(ISNUMBER(AI247),ISNUMBER(AJ247),ISNUMBER(AK247)),AI247+AJ247-AK247,"")</x:f>
        <x:v>1844154.236557173</x:v>
      </x:c>
      <x:c r="AM247" s="416" t="n">
        <x:f>IF(AND(AK247&gt;0,ISNUMBER(AL247)),AL247/AK247,"")</x:f>
        <x:v>8.828002209613071</x:v>
      </x:c>
    </x:row>
    <x:row r="248" ht="24" customHeight="1">
      <x:c r="A248" s="419" t="n">
        <x:f>48</x:f>
        <x:v>48</x:v>
      </x:c>
      <x:c r="B248" s="414" t="n">
        <x:v>0</x:v>
      </x:c>
      <x:c r="C248" s="412" t="n">
        <x:f>IF(AND(ISNUMBER($H$17),ISNUMBER($J$73),$J$73&gt;-1,$J$73&lt;=5),$H$17*(1+$J$73)^(48-1),"")</x:f>
        <x:v>492789.61813135515</x:v>
      </x:c>
      <x:c r="D248" s="412" t="n">
        <x:f>IF(AND(ISNUMBER($H$18),ISNUMBER($J$74),$J$74&gt;-1,$J$74&lt;=5),$H$18*(1+$J$74)^(48-1),"")</x:f>
        <x:v>120356.85085223743</x:v>
      </x:c>
      <x:c r="E248" s="412" t="n">
        <x:f>IF(AND(ISNUMBER($H$22),ISNUMBER($J$74),$J$74&gt;-1,$J$74&lt;=5),$H$22*(1+$J$74)^(48-1),"")</x:f>
        <x:v>0</x:v>
      </x:c>
      <x:c r="F248" s="412" t="n">
        <x:f>IF(AND(ISNUMBER(C248),ISNUMBER(D248)),C248-D248,"")</x:f>
        <x:v>372432.7672791177</x:v>
      </x:c>
      <x:c r="G248" s="412" t="n">
        <x:f>IF(AND(ISNUMBER(F248),ISNUMBER(E248)),F248-E248,"")</x:f>
        <x:v>372432.7672791177</x:v>
      </x:c>
      <x:c r="H248" s="412" t="n">
        <x:f>IF(COUNT(M965:M976)=12,SUM(M965:M976),"")</x:f>
        <x:v>0</x:v>
      </x:c>
      <x:c r="I248" s="412" t="n">
        <x:f>SUM(E965:E976)</x:f>
        <x:v>0</x:v>
      </x:c>
      <x:c r="J248" s="412" t="n">
        <x:f>SUM(F965:F976)</x:f>
        <x:v>0</x:v>
      </x:c>
      <x:c r="K248" s="412" t="n">
        <x:f>SUM(G965:G976)</x:f>
        <x:v>0</x:v>
      </x:c>
      <x:c r="L248" s="412" t="n">
        <x:f>IF(AND(ISNUMBER(G248),ISNUMBER(H248),ISNUMBER(J248),ISNUMBER(K248)),G248-H248-B248-J248-K248,"")</x:f>
        <x:v>372432.7672791177</x:v>
      </x:c>
      <x:c r="M248" s="412" t="n">
        <x:f>IF(ISNUMBER(N976),N976,"")</x:f>
        <x:v>0</x:v>
      </x:c>
      <x:c r="N248" s="412" t="n">
        <x:f>IF(ISNUMBER($J$77),IF(AND($J$77&gt;0,$J$77&lt;=1,ISNUMBER($H$17),ISNUMBER($H$18),ISNUMBER($J$73),$J$73&gt;-1,$J$73&lt;=5,ISNUMBER($J$74),$J$74&gt;-1,$J$74&lt;=5),($H$17*(1+$J$73)^48-$H$18*(1+$J$74)^48)/$J$77,""),IF(AND($J$77="",ISNUMBER($B$15),$B$15&gt;0,ISNUMBER($J$72),$J$72&gt;-1,$J$72&lt;=5),$B$15*(1+$J$72)^48,""))</x:f>
        <x:v>6242001.829663833</x:v>
      </x:c>
      <x:c r="O248" s="412" t="n">
        <x:f>IF(AND(ISNUMBER(N248),ISNUMBER(M248)),N248*(1-$J$75)-M248,"")</x:f>
        <x:v>6242001.829663833</x:v>
      </x:c>
      <x:c r="P248" s="412" t="n">
        <x:f>IF(AND(ISNUMBER(P247),ISNUMBER(L248)),P247+L248,"")</x:f>
        <x:v>6045675.931788548</x:v>
      </x:c>
      <x:c r="Q248" s="412" t="n">
        <x:f>IF(AND(ISNUMBER(Q247),ISNUMBER(L248)),Q247+MAX(0,-L248),"")</x:f>
        <x:v>208898.25271554862</x:v>
      </x:c>
      <x:c r="R248" s="412" t="n">
        <x:f>IF(AND(ISNUMBER(R247),ISNUMBER(L248)),R247+MAX(0,L248),"")</x:f>
        <x:v>6064574.184504097</x:v>
      </x:c>
      <x:c r="S248" s="412" t="n">
        <x:f>IF(AND(ISNUMBER(Q247),ISNUMBER(L248),ISNUMBER(O248)),Q247+MAX(0,-(L248+O248)),"")</x:f>
        <x:v>208898.25271554862</x:v>
      </x:c>
      <x:c r="T248" s="412" t="n">
        <x:f>IF(AND(ISNUMBER(R247),ISNUMBER(L248),ISNUMBER(O248)),R247+MAX(0,L248+O248),"")</x:f>
        <x:v>12306576.01416793</x:v>
      </x:c>
      <x:c r="U248" s="412" t="n">
        <x:f>IF(AND(ISNUMBER(O248),ISNUMBER(P248),ISNUMBER($E$18)),O248+P248-$E$18,"")</x:f>
        <x:v>12097677.76145238</x:v>
      </x:c>
      <x:c r="V248" s="416" t="n">
        <x:f>IF(AND(S248&gt;0,ISNUMBER(U248)),U248/S248,"")</x:f>
        <x:v>57.911818812220886</x:v>
      </x:c>
      <x:c r="W248" s="418" t="n">
        <x:f>IF(AND(S248&gt;0,ISNUMBER(T248)),T248/S248,"")</x:f>
        <x:v>58.91181881222089</x:v>
      </x:c>
      <x:c r="X248" s="412" t="n">
        <x:f>IF($B$136="No",0,IF(AND(ISNUMBER(L248),OR(48&lt;&gt;$B$134,ISNUMBER(O248))),MAX(0,-(L248+IF(48=$B$134,O248,0))),0))</x:f>
        <x:v>0</x:v>
      </x:c>
      <x:c r="Y248" s="412" t="n">
        <x:f>IF(AND(ISNUMBER(Y247),ISNUMBER($D$138),$D$138&gt;=-1),Y247+Y247*$D$138-0+X248,"")</x:f>
        <x:v>8298881.218635642</x:v>
      </x:c>
      <x:c r="Z248" s="412" t="n">
        <x:f>IF(AND(ISNUMBER(Y247),ISNUMBER($D$138),$D$138&gt;=-1),Z247+0,"")</x:f>
        <x:v>0</x:v>
      </x:c>
      <x:c r="AA248" s="412" t="n">
        <x:f>IF(ISNUMBER(AA247),AA247+X248,"")</x:f>
        <x:v>208898.25271554862</x:v>
      </x:c>
      <x:c r="AB248" s="412" t="n">
        <x:f>IF(AND(ISNUMBER(Y248),ISNUMBER(Z248),ISNUMBER(AA248)),Y248+Z248-AA248,"")</x:f>
        <x:v>8089982.9659200935</x:v>
      </x:c>
      <x:c r="AC248" s="416" t="n">
        <x:f>IF(AND(AA248&gt;0,ISNUMBER(AB248)),AB248/AA248,"")</x:f>
        <x:v>38.7269058537125</x:v>
      </x:c>
      <x:c r="AD248" s="412" t="n">
        <x:f>IF(AND(ISNUMBER(AD247),ISNUMBER($G$138),$G$138&gt;=0),AD247+AD247*$G$138-IF(AND($J$134="Cash payout",$G$138&gt;=0),AD247*$G$138,0)+X248,"")</x:f>
        <x:v>2155705.1137363575</x:v>
      </x:c>
      <x:c r="AE248" s="412" t="n">
        <x:f>IF(AND(ISNUMBER(AD247),ISNUMBER($G$138),$G$138&gt;=0),AE247+IF(AND($J$134="Cash payout",$G$138&gt;=0),AD247*$G$138,0),"")</x:f>
        <x:v>0</x:v>
      </x:c>
      <x:c r="AF248" s="412" t="n">
        <x:f>IF(ISNUMBER(AF247),AF247+X248,"")</x:f>
        <x:v>208898.25271554862</x:v>
      </x:c>
      <x:c r="AG248" s="412" t="n">
        <x:f>IF(AND(ISNUMBER(AD248),ISNUMBER(AE248),ISNUMBER(AF248)),AD248+AE248-AF248,"")</x:f>
        <x:v>1946806.861020809</x:v>
      </x:c>
      <x:c r="AH248" s="416" t="n">
        <x:f>IF(AND(AF248&gt;0,ISNUMBER(AG248)),AG248/AF248,"")</x:f>
        <x:v>9.319402320093724</x:v>
      </x:c>
      <x:c r="AI248" s="412" t="n">
        <x:f>IF(AND(ISNUMBER(AI247),ISNUMBER($J$138),$J$138&gt;=-1),AI247+AI247*$J$138-IF(AND($J$134="Cash payout",$J$138&gt;=0),AI247*$J$138,0)+X248,"")</x:f>
        <x:v>2155705.1137363575</x:v>
      </x:c>
      <x:c r="AJ248" s="412" t="n">
        <x:f>IF(AND(ISNUMBER(AI247),ISNUMBER($J$138),$J$138&gt;=-1),AJ247+IF(AND($J$134="Cash payout",$J$138&gt;=0),AI247*$J$138,0),"")</x:f>
        <x:v>0</x:v>
      </x:c>
      <x:c r="AK248" s="412" t="n">
        <x:f>IF(ISNUMBER(AK247),AK247+X248,"")</x:f>
        <x:v>208898.25271554862</x:v>
      </x:c>
      <x:c r="AL248" s="412" t="n">
        <x:f>IF(AND(ISNUMBER(AI248),ISNUMBER(AJ248),ISNUMBER(AK248)),AI248+AJ248-AK248,"")</x:f>
        <x:v>1946806.861020809</x:v>
      </x:c>
      <x:c r="AM248" s="416" t="n">
        <x:f>IF(AND(AK248&gt;0,ISNUMBER(AL248)),AL248/AK248,"")</x:f>
        <x:v>9.319402320093724</x:v>
      </x:c>
    </x:row>
    <x:row r="249" ht="24" customHeight="1">
      <x:c r="A249" s="419" t="n">
        <x:f>49</x:f>
        <x:v>49</x:v>
      </x:c>
      <x:c r="B249" s="414" t="n">
        <x:v>0</x:v>
      </x:c>
      <x:c r="C249" s="412" t="n">
        <x:f>IF(AND(ISNUMBER($H$17),ISNUMBER($J$73),$J$73&gt;-1,$J$73&lt;=5),$H$17*(1+$J$73)^(49-1),"")</x:f>
        <x:v>512501.20285660936</x:v>
      </x:c>
      <x:c r="D249" s="412" t="n">
        <x:f>IF(AND(ISNUMBER($H$18),ISNUMBER($J$74),$J$74&gt;-1,$J$74&lt;=5),$H$18*(1+$J$74)^(49-1),"")</x:f>
        <x:v>123967.55637780456</x:v>
      </x:c>
      <x:c r="E249" s="412" t="n">
        <x:f>IF(AND(ISNUMBER($H$22),ISNUMBER($J$74),$J$74&gt;-1,$J$74&lt;=5),$H$22*(1+$J$74)^(49-1),"")</x:f>
        <x:v>0</x:v>
      </x:c>
      <x:c r="F249" s="412" t="n">
        <x:f>IF(AND(ISNUMBER(C249),ISNUMBER(D249)),C249-D249,"")</x:f>
        <x:v>388533.6464788048</x:v>
      </x:c>
      <x:c r="G249" s="412" t="n">
        <x:f>IF(AND(ISNUMBER(F249),ISNUMBER(E249)),F249-E249,"")</x:f>
        <x:v>388533.6464788048</x:v>
      </x:c>
      <x:c r="H249" s="412" t="n">
        <x:f>IF(COUNT(M977:M988)=12,SUM(M977:M988),"")</x:f>
        <x:v>0</x:v>
      </x:c>
      <x:c r="I249" s="412" t="n">
        <x:f>SUM(E977:E988)</x:f>
        <x:v>0</x:v>
      </x:c>
      <x:c r="J249" s="412" t="n">
        <x:f>SUM(F977:F988)</x:f>
        <x:v>0</x:v>
      </x:c>
      <x:c r="K249" s="412" t="n">
        <x:f>SUM(G977:G988)</x:f>
        <x:v>0</x:v>
      </x:c>
      <x:c r="L249" s="412" t="n">
        <x:f>IF(AND(ISNUMBER(G249),ISNUMBER(H249),ISNUMBER(J249),ISNUMBER(K249)),G249-H249-B249-J249-K249,"")</x:f>
        <x:v>388533.6464788048</x:v>
      </x:c>
      <x:c r="M249" s="412" t="n">
        <x:f>IF(ISNUMBER(N988),N988,"")</x:f>
        <x:v>0</x:v>
      </x:c>
      <x:c r="N249" s="412" t="n">
        <x:f>IF(ISNUMBER($J$77),IF(AND($J$77&gt;0,$J$77&lt;=1,ISNUMBER($H$17),ISNUMBER($H$18),ISNUMBER($J$73),$J$73&gt;-1,$J$73&lt;=5,ISNUMBER($J$74),$J$74&gt;-1,$J$74&lt;=5),($H$17*(1+$J$73)^49-$H$18*(1+$J$74)^49)/$J$77,""),IF(AND($J$77="",ISNUMBER($B$15),$B$15&gt;0,ISNUMBER($J$72),$J$72&gt;-1,$J$72&lt;=5),$B$15*(1+$J$72)^49,""))</x:f>
        <x:v>6491681.902850386</x:v>
      </x:c>
      <x:c r="O249" s="412" t="n">
        <x:f>IF(AND(ISNUMBER(N249),ISNUMBER(M249)),N249*(1-$J$75)-M249,"")</x:f>
        <x:v>6491681.902850386</x:v>
      </x:c>
      <x:c r="P249" s="412" t="n">
        <x:f>IF(AND(ISNUMBER(P248),ISNUMBER(L249)),P248+L249,"")</x:f>
        <x:v>6434209.578267353</x:v>
      </x:c>
      <x:c r="Q249" s="412" t="n">
        <x:f>IF(AND(ISNUMBER(Q248),ISNUMBER(L249)),Q248+MAX(0,-L249),"")</x:f>
        <x:v>208898.25271554862</x:v>
      </x:c>
      <x:c r="R249" s="412" t="n">
        <x:f>IF(AND(ISNUMBER(R248),ISNUMBER(L249)),R248+MAX(0,L249),"")</x:f>
        <x:v>6453107.830982902</x:v>
      </x:c>
      <x:c r="S249" s="412" t="n">
        <x:f>IF(AND(ISNUMBER(Q248),ISNUMBER(L249),ISNUMBER(O249)),Q248+MAX(0,-(L249+O249)),"")</x:f>
        <x:v>208898.25271554862</x:v>
      </x:c>
      <x:c r="T249" s="412" t="n">
        <x:f>IF(AND(ISNUMBER(R248),ISNUMBER(L249),ISNUMBER(O249)),R248+MAX(0,L249+O249),"")</x:f>
        <x:v>12944789.733833287</x:v>
      </x:c>
      <x:c r="U249" s="412" t="n">
        <x:f>IF(AND(ISNUMBER(O249),ISNUMBER(P249),ISNUMBER($E$18)),O249+P249-$E$18,"")</x:f>
        <x:v>12735891.481117738</x:v>
      </x:c>
      <x:c r="V249" s="416" t="n">
        <x:f>IF(AND(S249&gt;0,ISNUMBER(U249)),U249/S249,"")</x:f>
        <x:v>60.966960305119805</x:v>
      </x:c>
      <x:c r="W249" s="418" t="n">
        <x:f>IF(AND(S249&gt;0,ISNUMBER(T249)),T249/S249,"")</x:f>
        <x:v>61.966960305119805</x:v>
      </x:c>
      <x:c r="X249" s="412" t="n">
        <x:f>IF($B$136="No",0,IF(AND(ISNUMBER(L249),OR(49&lt;&gt;$B$134,ISNUMBER(O249))),MAX(0,-(L249+IF(49=$B$134,O249,0))),0))</x:f>
        <x:v>0</x:v>
      </x:c>
      <x:c r="Y249" s="412" t="n">
        <x:f>IF(AND(ISNUMBER(Y248),ISNUMBER($D$138),$D$138&gt;=-1),Y248+Y248*$D$138-0+X249,"")</x:f>
        <x:v>8962791.716126494</x:v>
      </x:c>
      <x:c r="Z249" s="412" t="n">
        <x:f>IF(AND(ISNUMBER(Y248),ISNUMBER($D$138),$D$138&gt;=-1),Z248+0,"")</x:f>
        <x:v>0</x:v>
      </x:c>
      <x:c r="AA249" s="412" t="n">
        <x:f>IF(ISNUMBER(AA248),AA248+X249,"")</x:f>
        <x:v>208898.25271554862</x:v>
      </x:c>
      <x:c r="AB249" s="412" t="n">
        <x:f>IF(AND(ISNUMBER(Y249),ISNUMBER(Z249),ISNUMBER(AA249)),Y249+Z249-AA249,"")</x:f>
        <x:v>8753893.463410946</x:v>
      </x:c>
      <x:c r="AC249" s="416" t="n">
        <x:f>IF(AND(AA249&gt;0,ISNUMBER(AB249)),AB249/AA249,"")</x:f>
        <x:v>41.90505832200951</x:v>
      </x:c>
      <x:c r="AD249" s="412" t="n">
        <x:f>IF(AND(ISNUMBER(AD248),ISNUMBER($G$138),$G$138&gt;=0),AD248+AD248*$G$138-IF(AND($J$134="Cash payout",$G$138&gt;=0),AD248*$G$138,0)+X249,"")</x:f>
        <x:v>2263490.369423175</x:v>
      </x:c>
      <x:c r="AE249" s="412" t="n">
        <x:f>IF(AND(ISNUMBER(AD248),ISNUMBER($G$138),$G$138&gt;=0),AE248+IF(AND($J$134="Cash payout",$G$138&gt;=0),AD248*$G$138,0),"")</x:f>
        <x:v>0</x:v>
      </x:c>
      <x:c r="AF249" s="412" t="n">
        <x:f>IF(ISNUMBER(AF248),AF248+X249,"")</x:f>
        <x:v>208898.25271554862</x:v>
      </x:c>
      <x:c r="AG249" s="412" t="n">
        <x:f>IF(AND(ISNUMBER(AD249),ISNUMBER(AE249),ISNUMBER(AF249)),AD249+AE249-AF249,"")</x:f>
        <x:v>2054592.1167076267</x:v>
      </x:c>
      <x:c r="AH249" s="416" t="n">
        <x:f>IF(AND(AF249&gt;0,ISNUMBER(AG249)),AG249/AF249,"")</x:f>
        <x:v>9.83537243609841</x:v>
      </x:c>
      <x:c r="AI249" s="412" t="n">
        <x:f>IF(AND(ISNUMBER(AI248),ISNUMBER($J$138),$J$138&gt;=-1),AI248+AI248*$J$138-IF(AND($J$134="Cash payout",$J$138&gt;=0),AI248*$J$138,0)+X249,"")</x:f>
        <x:v>2263490.369423175</x:v>
      </x:c>
      <x:c r="AJ249" s="412" t="n">
        <x:f>IF(AND(ISNUMBER(AI248),ISNUMBER($J$138),$J$138&gt;=-1),AJ248+IF(AND($J$134="Cash payout",$J$138&gt;=0),AI248*$J$138,0),"")</x:f>
        <x:v>0</x:v>
      </x:c>
      <x:c r="AK249" s="412" t="n">
        <x:f>IF(ISNUMBER(AK248),AK248+X249,"")</x:f>
        <x:v>208898.25271554862</x:v>
      </x:c>
      <x:c r="AL249" s="412" t="n">
        <x:f>IF(AND(ISNUMBER(AI249),ISNUMBER(AJ249),ISNUMBER(AK249)),AI249+AJ249-AK249,"")</x:f>
        <x:v>2054592.1167076267</x:v>
      </x:c>
      <x:c r="AM249" s="416" t="n">
        <x:f>IF(AND(AK249&gt;0,ISNUMBER(AL249)),AL249/AK249,"")</x:f>
        <x:v>9.83537243609841</x:v>
      </x:c>
    </x:row>
    <x:row r="250" ht="24" customHeight="1">
      <x:c r="A250" s="419" t="n">
        <x:f>50</x:f>
        <x:v>50</x:v>
      </x:c>
      <x:c r="B250" s="414" t="n">
        <x:v>0</x:v>
      </x:c>
      <x:c r="C250" s="412" t="n">
        <x:f>IF(AND(ISNUMBER($H$17),ISNUMBER($J$73),$J$73&gt;-1,$J$73&lt;=5),$H$17*(1+$J$73)^(50-1),"")</x:f>
        <x:v>533001.2509708737</x:v>
      </x:c>
      <x:c r="D250" s="412" t="n">
        <x:f>IF(AND(ISNUMBER($H$18),ISNUMBER($J$74),$J$74&gt;-1,$J$74&lt;=5),$H$18*(1+$J$74)^(50-1),"")</x:f>
        <x:v>127686.5830691387</x:v>
      </x:c>
      <x:c r="E250" s="412" t="n">
        <x:f>IF(AND(ISNUMBER($H$22),ISNUMBER($J$74),$J$74&gt;-1,$J$74&lt;=5),$H$22*(1+$J$74)^(50-1),"")</x:f>
        <x:v>0</x:v>
      </x:c>
      <x:c r="F250" s="412" t="n">
        <x:f>IF(AND(ISNUMBER(C250),ISNUMBER(D250)),C250-D250,"")</x:f>
        <x:v>405314.66790173505</x:v>
      </x:c>
      <x:c r="G250" s="412" t="n">
        <x:f>IF(AND(ISNUMBER(F250),ISNUMBER(E250)),F250-E250,"")</x:f>
        <x:v>405314.66790173505</x:v>
      </x:c>
      <x:c r="H250" s="412" t="n">
        <x:f>IF(COUNT(M989:M1000)=12,SUM(M989:M1000),"")</x:f>
        <x:v>0</x:v>
      </x:c>
      <x:c r="I250" s="412" t="n">
        <x:f>SUM(E989:E1000)</x:f>
        <x:v>0</x:v>
      </x:c>
      <x:c r="J250" s="412" t="n">
        <x:f>SUM(F989:F1000)</x:f>
        <x:v>0</x:v>
      </x:c>
      <x:c r="K250" s="412" t="n">
        <x:f>SUM(G989:G1000)</x:f>
        <x:v>0</x:v>
      </x:c>
      <x:c r="L250" s="412" t="n">
        <x:f>IF(AND(ISNUMBER(G250),ISNUMBER(H250),ISNUMBER(J250),ISNUMBER(K250)),G250-H250-B250-J250-K250,"")</x:f>
        <x:v>405314.66790173505</x:v>
      </x:c>
      <x:c r="M250" s="412" t="n">
        <x:f>IF(ISNUMBER(N1000),N1000,"")</x:f>
        <x:v>0</x:v>
      </x:c>
      <x:c r="N250" s="412" t="n">
        <x:f>IF(ISNUMBER($J$77),IF(AND($J$77&gt;0,$J$77&lt;=1,ISNUMBER($H$17),ISNUMBER($H$18),ISNUMBER($J$73),$J$73&gt;-1,$J$73&lt;=5,ISNUMBER($J$74),$J$74&gt;-1,$J$74&lt;=5),($H$17*(1+$J$73)^50-$H$18*(1+$J$74)^50)/$J$77,""),IF(AND($J$77="",ISNUMBER($B$15),$B$15&gt;0,ISNUMBER($J$72),$J$72&gt;-1,$J$72&lt;=5),$B$15*(1+$J$72)^50,""))</x:f>
        <x:v>6751349.178964402</x:v>
      </x:c>
      <x:c r="O250" s="412" t="n">
        <x:f>IF(AND(ISNUMBER(N250),ISNUMBER(M250)),N250*(1-$J$75)-M250,"")</x:f>
        <x:v>6751349.178964402</x:v>
      </x:c>
      <x:c r="P250" s="412" t="n">
        <x:f>IF(AND(ISNUMBER(P249),ISNUMBER(L250)),P249+L250,"")</x:f>
        <x:v>6839524.2461690875</x:v>
      </x:c>
      <x:c r="Q250" s="412" t="n">
        <x:f>IF(AND(ISNUMBER(Q249),ISNUMBER(L250)),Q249+MAX(0,-L250),"")</x:f>
        <x:v>208898.25271554862</x:v>
      </x:c>
      <x:c r="R250" s="412" t="n">
        <x:f>IF(AND(ISNUMBER(R249),ISNUMBER(L250)),R249+MAX(0,L250),"")</x:f>
        <x:v>6858422.498884637</x:v>
      </x:c>
      <x:c r="S250" s="412" t="n">
        <x:f>IF(AND(ISNUMBER(Q249),ISNUMBER(L250),ISNUMBER(O250)),Q249+MAX(0,-(L250+O250)),"")</x:f>
        <x:v>208898.25271554862</x:v>
      </x:c>
      <x:c r="T250" s="412" t="n">
        <x:f>IF(AND(ISNUMBER(R249),ISNUMBER(L250),ISNUMBER(O250)),R249+MAX(0,L250+O250),"")</x:f>
        <x:v>13609771.67784904</x:v>
      </x:c>
      <x:c r="U250" s="412" t="n">
        <x:f>IF(AND(ISNUMBER(O250),ISNUMBER(P250),ISNUMBER($E$18)),O250+P250-$E$18,"")</x:f>
        <x:v>13400873.42513349</x:v>
      </x:c>
      <x:c r="V250" s="416" t="n">
        <x:f>IF(AND(S250&gt;0,ISNUMBER(U250)),U250/S250,"")</x:f>
        <x:v>64.15024180877718</x:v>
      </x:c>
      <x:c r="W250" s="418" t="n">
        <x:f>IF(AND(S250&gt;0,ISNUMBER(T250)),T250/S250,"")</x:f>
        <x:v>65.1502418087772</x:v>
      </x:c>
      <x:c r="X250" s="412" t="n">
        <x:f>IF($B$136="No",0,IF(AND(ISNUMBER(L250),OR(50&lt;&gt;$B$134,ISNUMBER(O250))),MAX(0,-(L250+IF(50=$B$134,O250,0))),0))</x:f>
        <x:v>0</x:v>
      </x:c>
      <x:c r="Y250" s="412" t="n">
        <x:f>IF(AND(ISNUMBER(Y249),ISNUMBER($D$138),$D$138&gt;=-1),Y249+Y249*$D$138-0+X250,"")</x:f>
        <x:v>9679815.053416613</x:v>
      </x:c>
      <x:c r="Z250" s="412" t="n">
        <x:f>IF(AND(ISNUMBER(Y249),ISNUMBER($D$138),$D$138&gt;=-1),Z249+0,"")</x:f>
        <x:v>0</x:v>
      </x:c>
      <x:c r="AA250" s="412" t="n">
        <x:f>IF(ISNUMBER(AA249),AA249+X250,"")</x:f>
        <x:v>208898.25271554862</x:v>
      </x:c>
      <x:c r="AB250" s="412" t="n">
        <x:f>IF(AND(ISNUMBER(Y250),ISNUMBER(Z250),ISNUMBER(AA250)),Y250+Z250-AA250,"")</x:f>
        <x:v>9470916.800701065</x:v>
      </x:c>
      <x:c r="AC250" s="416" t="n">
        <x:f>IF(AND(AA250&gt;0,ISNUMBER(AB250)),AB250/AA250,"")</x:f>
        <x:v>45.337462987770266</x:v>
      </x:c>
      <x:c r="AD250" s="412" t="n">
        <x:f>IF(AND(ISNUMBER(AD249),ISNUMBER($G$138),$G$138&gt;=0),AD249+AD249*$G$138-IF(AND($J$134="Cash payout",$G$138&gt;=0),AD249*$G$138,0)+X250,"")</x:f>
        <x:v>2376664.887894334</x:v>
      </x:c>
      <x:c r="AE250" s="412" t="n">
        <x:f>IF(AND(ISNUMBER(AD249),ISNUMBER($G$138),$G$138&gt;=0),AE249+IF(AND($J$134="Cash payout",$G$138&gt;=0),AD249*$G$138,0),"")</x:f>
        <x:v>0</x:v>
      </x:c>
      <x:c r="AF250" s="412" t="n">
        <x:f>IF(ISNUMBER(AF249),AF249+X250,"")</x:f>
        <x:v>208898.25271554862</x:v>
      </x:c>
      <x:c r="AG250" s="412" t="n">
        <x:f>IF(AND(ISNUMBER(AD250),ISNUMBER(AE250),ISNUMBER(AF250)),AD250+AE250-AF250,"")</x:f>
        <x:v>2167766.6351787853</x:v>
      </x:c>
      <x:c r="AH250" s="416" t="n">
        <x:f>IF(AND(AF250&gt;0,ISNUMBER(AG250)),AG250/AF250,"")</x:f>
        <x:v>10.37714105790333</x:v>
      </x:c>
      <x:c r="AI250" s="412" t="n">
        <x:f>IF(AND(ISNUMBER(AI249),ISNUMBER($J$138),$J$138&gt;=-1),AI249+AI249*$J$138-IF(AND($J$134="Cash payout",$J$138&gt;=0),AI249*$J$138,0)+X250,"")</x:f>
        <x:v>2376664.887894334</x:v>
      </x:c>
      <x:c r="AJ250" s="412" t="n">
        <x:f>IF(AND(ISNUMBER(AI249),ISNUMBER($J$138),$J$138&gt;=-1),AJ249+IF(AND($J$134="Cash payout",$J$138&gt;=0),AI249*$J$138,0),"")</x:f>
        <x:v>0</x:v>
      </x:c>
      <x:c r="AK250" s="412" t="n">
        <x:f>IF(ISNUMBER(AK249),AK249+X250,"")</x:f>
        <x:v>208898.25271554862</x:v>
      </x:c>
      <x:c r="AL250" s="412" t="n">
        <x:f>IF(AND(ISNUMBER(AI250),ISNUMBER(AJ250),ISNUMBER(AK250)),AI250+AJ250-AK250,"")</x:f>
        <x:v>2167766.6351787853</x:v>
      </x:c>
      <x:c r="AM250" s="416" t="n">
        <x:f>IF(AND(AK250&gt;0,ISNUMBER(AL250)),AL250/AK250,"")</x:f>
        <x:v>10.37714105790333</x:v>
      </x:c>
    </x:row>
    <x:row r="251" ht="24" customHeight="1">
      <x:c r="A251" s="419" t="n">
        <x:f>51</x:f>
        <x:v>51</x:v>
      </x:c>
      <x:c r="B251" s="414" t="n">
        <x:v>0</x:v>
      </x:c>
      <x:c r="C251" s="412" t="n">
        <x:f>IF(AND(ISNUMBER($H$17),ISNUMBER($J$73),$J$73&gt;-1,$J$73&lt;=5),$H$17*(1+$J$73)^(51-1),"")</x:f>
        <x:v>554321.3010097088</x:v>
      </x:c>
      <x:c r="D251" s="412" t="n">
        <x:f>IF(AND(ISNUMBER($H$18),ISNUMBER($J$74),$J$74&gt;-1,$J$74&lt;=5),$H$18*(1+$J$74)^(51-1),"")</x:f>
        <x:v>131517.18056121288</x:v>
      </x:c>
      <x:c r="E251" s="412" t="n">
        <x:f>IF(AND(ISNUMBER($H$22),ISNUMBER($J$74),$J$74&gt;-1,$J$74&lt;=5),$H$22*(1+$J$74)^(51-1),"")</x:f>
        <x:v>0</x:v>
      </x:c>
      <x:c r="F251" s="412" t="n">
        <x:f>IF(AND(ISNUMBER(C251),ISNUMBER(D251)),C251-D251,"")</x:f>
        <x:v>422804.1204484959</x:v>
      </x:c>
      <x:c r="G251" s="412" t="n">
        <x:f>IF(AND(ISNUMBER(F251),ISNUMBER(E251)),F251-E251,"")</x:f>
        <x:v>422804.1204484959</x:v>
      </x:c>
      <x:c r="H251" s="412" t="n">
        <x:f>IF(COUNT(M1001:M1012)=12,SUM(M1001:M1012),"")</x:f>
        <x:v>0</x:v>
      </x:c>
      <x:c r="I251" s="412" t="n">
        <x:f>SUM(E1001:E1012)</x:f>
        <x:v>0</x:v>
      </x:c>
      <x:c r="J251" s="412" t="n">
        <x:f>SUM(F1001:F1012)</x:f>
        <x:v>0</x:v>
      </x:c>
      <x:c r="K251" s="412" t="n">
        <x:f>SUM(G1001:G1012)</x:f>
        <x:v>0</x:v>
      </x:c>
      <x:c r="L251" s="412" t="n">
        <x:f>IF(AND(ISNUMBER(G251),ISNUMBER(H251),ISNUMBER(J251),ISNUMBER(K251)),G251-H251-B251-J251-K251,"")</x:f>
        <x:v>422804.1204484959</x:v>
      </x:c>
      <x:c r="M251" s="412" t="n">
        <x:f>IF(ISNUMBER(N1012),N1012,"")</x:f>
        <x:v>0</x:v>
      </x:c>
      <x:c r="N251" s="412" t="n">
        <x:f>IF(ISNUMBER($J$77),IF(AND($J$77&gt;0,$J$77&lt;=1,ISNUMBER($H$17),ISNUMBER($H$18),ISNUMBER($J$73),$J$73&gt;-1,$J$73&lt;=5,ISNUMBER($J$74),$J$74&gt;-1,$J$74&lt;=5),($H$17*(1+$J$73)^51-$H$18*(1+$J$74)^51)/$J$77,""),IF(AND($J$77="",ISNUMBER($B$15),$B$15&gt;0,ISNUMBER($J$72),$J$72&gt;-1,$J$72&lt;=5),$B$15*(1+$J$72)^51,""))</x:f>
        <x:v>7021403.146122978</x:v>
      </x:c>
      <x:c r="O251" s="412" t="n">
        <x:f>IF(AND(ISNUMBER(N251),ISNUMBER(M251)),N251*(1-$J$75)-M251,"")</x:f>
        <x:v>7021403.146122978</x:v>
      </x:c>
      <x:c r="P251" s="412" t="n">
        <x:f>IF(AND(ISNUMBER(P250),ISNUMBER(L251)),P250+L251,"")</x:f>
        <x:v>7262328.366617584</x:v>
      </x:c>
      <x:c r="Q251" s="412" t="n">
        <x:f>IF(AND(ISNUMBER(Q250),ISNUMBER(L251)),Q250+MAX(0,-L251),"")</x:f>
        <x:v>208898.25271554862</x:v>
      </x:c>
      <x:c r="R251" s="412" t="n">
        <x:f>IF(AND(ISNUMBER(R250),ISNUMBER(L251)),R250+MAX(0,L251),"")</x:f>
        <x:v>7281226.619333133</x:v>
      </x:c>
      <x:c r="S251" s="412" t="n">
        <x:f>IF(AND(ISNUMBER(Q250),ISNUMBER(L251),ISNUMBER(O251)),Q250+MAX(0,-(L251+O251)),"")</x:f>
        <x:v>208898.25271554862</x:v>
      </x:c>
      <x:c r="T251" s="412" t="n">
        <x:f>IF(AND(ISNUMBER(R250),ISNUMBER(L251),ISNUMBER(O251)),R250+MAX(0,L251+O251),"")</x:f>
        <x:v>14302629.76545611</x:v>
      </x:c>
      <x:c r="U251" s="412" t="n">
        <x:f>IF(AND(ISNUMBER(O251),ISNUMBER(P251),ISNUMBER($E$18)),O251+P251-$E$18,"")</x:f>
        <x:v>14093731.512740562</x:v>
      </x:c>
      <x:c r="V251" s="416" t="n">
        <x:f>IF(AND(S251&gt;0,ISNUMBER(U251)),U251/S251,"")</x:f>
        <x:v>67.46696695415463</x:v>
      </x:c>
      <x:c r="W251" s="418" t="n">
        <x:f>IF(AND(S251&gt;0,ISNUMBER(T251)),T251/S251,"")</x:f>
        <x:v>68.46696695415463</x:v>
      </x:c>
      <x:c r="X251" s="412" t="n">
        <x:f>IF($B$136="No",0,IF(AND(ISNUMBER(L251),OR(51&lt;&gt;$B$134,ISNUMBER(O251))),MAX(0,-(L251+IF(51=$B$134,O251,0))),0))</x:f>
        <x:v>0</x:v>
      </x:c>
      <x:c r="Y251" s="412" t="n">
        <x:f>IF(AND(ISNUMBER(Y250),ISNUMBER($D$138),$D$138&gt;=-1),Y250+Y250*$D$138-0+X251,"")</x:f>
        <x:v>10454200.257689942</x:v>
      </x:c>
      <x:c r="Z251" s="412" t="n">
        <x:f>IF(AND(ISNUMBER(Y250),ISNUMBER($D$138),$D$138&gt;=-1),Z250+0,"")</x:f>
        <x:v>0</x:v>
      </x:c>
      <x:c r="AA251" s="412" t="n">
        <x:f>IF(ISNUMBER(AA250),AA250+X251,"")</x:f>
        <x:v>208898.25271554862</x:v>
      </x:c>
      <x:c r="AB251" s="412" t="n">
        <x:f>IF(AND(ISNUMBER(Y251),ISNUMBER(Z251),ISNUMBER(AA251)),Y251+Z251-AA251,"")</x:f>
        <x:v>10245302.004974393</x:v>
      </x:c>
      <x:c r="AC251" s="416" t="n">
        <x:f>IF(AND(AA251&gt;0,ISNUMBER(AB251)),AB251/AA251,"")</x:f>
        <x:v>49.04446002679188</x:v>
      </x:c>
      <x:c r="AD251" s="412" t="n">
        <x:f>IF(AND(ISNUMBER(AD250),ISNUMBER($G$138),$G$138&gt;=0),AD250+AD250*$G$138-IF(AND($J$134="Cash payout",$G$138&gt;=0),AD250*$G$138,0)+X251,"")</x:f>
        <x:v>2495498.1322890506</x:v>
      </x:c>
      <x:c r="AE251" s="412" t="n">
        <x:f>IF(AND(ISNUMBER(AD250),ISNUMBER($G$138),$G$138&gt;=0),AE250+IF(AND($J$134="Cash payout",$G$138&gt;=0),AD250*$G$138,0),"")</x:f>
        <x:v>0</x:v>
      </x:c>
      <x:c r="AF251" s="412" t="n">
        <x:f>IF(ISNUMBER(AF250),AF250+X251,"")</x:f>
        <x:v>208898.25271554862</x:v>
      </x:c>
      <x:c r="AG251" s="412" t="n">
        <x:f>IF(AND(ISNUMBER(AD251),ISNUMBER(AE251),ISNUMBER(AF251)),AD251+AE251-AF251,"")</x:f>
        <x:v>2286599.879573502</x:v>
      </x:c>
      <x:c r="AH251" s="416" t="n">
        <x:f>IF(AND(AF251&gt;0,ISNUMBER(AG251)),AG251/AF251,"")</x:f>
        <x:v>10.945998110798497</x:v>
      </x:c>
      <x:c r="AI251" s="412" t="n">
        <x:f>IF(AND(ISNUMBER(AI250),ISNUMBER($J$138),$J$138&gt;=-1),AI250+AI250*$J$138-IF(AND($J$134="Cash payout",$J$138&gt;=0),AI250*$J$138,0)+X251,"")</x:f>
        <x:v>2495498.1322890506</x:v>
      </x:c>
      <x:c r="AJ251" s="412" t="n">
        <x:f>IF(AND(ISNUMBER(AI250),ISNUMBER($J$138),$J$138&gt;=-1),AJ250+IF(AND($J$134="Cash payout",$J$138&gt;=0),AI250*$J$138,0),"")</x:f>
        <x:v>0</x:v>
      </x:c>
      <x:c r="AK251" s="412" t="n">
        <x:f>IF(ISNUMBER(AK250),AK250+X251,"")</x:f>
        <x:v>208898.25271554862</x:v>
      </x:c>
      <x:c r="AL251" s="412" t="n">
        <x:f>IF(AND(ISNUMBER(AI251),ISNUMBER(AJ251),ISNUMBER(AK251)),AI251+AJ251-AK251,"")</x:f>
        <x:v>2286599.879573502</x:v>
      </x:c>
      <x:c r="AM251" s="416" t="n">
        <x:f>IF(AND(AK251&gt;0,ISNUMBER(AL251)),AL251/AK251,"")</x:f>
        <x:v>10.945998110798497</x:v>
      </x:c>
    </x:row>
    <x:row r="252" ht="24" customHeight="1">
      <x:c r="A252" s="419" t="n">
        <x:f>52</x:f>
        <x:v>52</x:v>
      </x:c>
      <x:c r="B252" s="414" t="n">
        <x:v>0</x:v>
      </x:c>
      <x:c r="C252" s="412" t="n">
        <x:f>IF(AND(ISNUMBER($H$17),ISNUMBER($J$73),$J$73&gt;-1,$J$73&lt;=5),$H$17*(1+$J$73)^(52-1),"")</x:f>
        <x:v>576494.1530500972</x:v>
      </x:c>
      <x:c r="D252" s="412" t="n">
        <x:f>IF(AND(ISNUMBER($H$18),ISNUMBER($J$74),$J$74&gt;-1,$J$74&lt;=5),$H$18*(1+$J$74)^(52-1),"")</x:f>
        <x:v>135462.69597804925</x:v>
      </x:c>
      <x:c r="E252" s="412" t="n">
        <x:f>IF(AND(ISNUMBER($H$22),ISNUMBER($J$74),$J$74&gt;-1,$J$74&lt;=5),$H$22*(1+$J$74)^(52-1),"")</x:f>
        <x:v>0</x:v>
      </x:c>
      <x:c r="F252" s="412" t="n">
        <x:f>IF(AND(ISNUMBER(C252),ISNUMBER(D252)),C252-D252,"")</x:f>
        <x:v>441031.4570720479</x:v>
      </x:c>
      <x:c r="G252" s="412" t="n">
        <x:f>IF(AND(ISNUMBER(F252),ISNUMBER(E252)),F252-E252,"")</x:f>
        <x:v>441031.4570720479</x:v>
      </x:c>
      <x:c r="H252" s="412" t="n">
        <x:f>IF(COUNT(M1013:M1024)=12,SUM(M1013:M1024),"")</x:f>
        <x:v>0</x:v>
      </x:c>
      <x:c r="I252" s="412" t="n">
        <x:f>SUM(E1013:E1024)</x:f>
        <x:v>0</x:v>
      </x:c>
      <x:c r="J252" s="412" t="n">
        <x:f>SUM(F1013:F1024)</x:f>
        <x:v>0</x:v>
      </x:c>
      <x:c r="K252" s="412" t="n">
        <x:f>SUM(G1013:G1024)</x:f>
        <x:v>0</x:v>
      </x:c>
      <x:c r="L252" s="412" t="n">
        <x:f>IF(AND(ISNUMBER(G252),ISNUMBER(H252),ISNUMBER(J252),ISNUMBER(K252)),G252-H252-B252-J252-K252,"")</x:f>
        <x:v>441031.4570720479</x:v>
      </x:c>
      <x:c r="M252" s="412" t="n">
        <x:f>IF(ISNUMBER(N1024),N1024,"")</x:f>
        <x:v>0</x:v>
      </x:c>
      <x:c r="N252" s="412" t="n">
        <x:f>IF(ISNUMBER($J$77),IF(AND($J$77&gt;0,$J$77&lt;=1,ISNUMBER($H$17),ISNUMBER($H$18),ISNUMBER($J$73),$J$73&gt;-1,$J$73&lt;=5,ISNUMBER($J$74),$J$74&gt;-1,$J$74&lt;=5),($H$17*(1+$J$73)^52-$H$18*(1+$J$74)^52)/$J$77,""),IF(AND($J$77="",ISNUMBER($B$15),$B$15&gt;0,ISNUMBER($J$72),$J$72&gt;-1,$J$72&lt;=5),$B$15*(1+$J$72)^52,""))</x:f>
        <x:v>7302259.271967897</x:v>
      </x:c>
      <x:c r="O252" s="412" t="n">
        <x:f>IF(AND(ISNUMBER(N252),ISNUMBER(M252)),N252*(1-$J$75)-M252,"")</x:f>
        <x:v>7302259.271967897</x:v>
      </x:c>
      <x:c r="P252" s="412" t="n">
        <x:f>IF(AND(ISNUMBER(P251),ISNUMBER(L252)),P251+L252,"")</x:f>
        <x:v>7703359.823689631</x:v>
      </x:c>
      <x:c r="Q252" s="412" t="n">
        <x:f>IF(AND(ISNUMBER(Q251),ISNUMBER(L252)),Q251+MAX(0,-L252),"")</x:f>
        <x:v>208898.25271554862</x:v>
      </x:c>
      <x:c r="R252" s="412" t="n">
        <x:f>IF(AND(ISNUMBER(R251),ISNUMBER(L252)),R251+MAX(0,L252),"")</x:f>
        <x:v>7722258.076405181</x:v>
      </x:c>
      <x:c r="S252" s="412" t="n">
        <x:f>IF(AND(ISNUMBER(Q251),ISNUMBER(L252),ISNUMBER(O252)),Q251+MAX(0,-(L252+O252)),"")</x:f>
        <x:v>208898.25271554862</x:v>
      </x:c>
      <x:c r="T252" s="412" t="n">
        <x:f>IF(AND(ISNUMBER(R251),ISNUMBER(L252),ISNUMBER(O252)),R251+MAX(0,L252+O252),"")</x:f>
        <x:v>15024517.348373078</x:v>
      </x:c>
      <x:c r="U252" s="412" t="n">
        <x:f>IF(AND(ISNUMBER(O252),ISNUMBER(P252),ISNUMBER($E$18)),O252+P252-$E$18,"")</x:f>
        <x:v>14815619.095657527</x:v>
      </x:c>
      <x:c r="V252" s="416" t="n">
        <x:f>IF(AND(S252&gt;0,ISNUMBER(U252)),U252/S252,"")</x:f>
        <x:v>70.92265685836816</x:v>
      </x:c>
      <x:c r="W252" s="418" t="n">
        <x:f>IF(AND(S252&gt;0,ISNUMBER(T252)),T252/S252,"")</x:f>
        <x:v>71.92265685836816</x:v>
      </x:c>
      <x:c r="X252" s="412" t="n">
        <x:f>IF($B$136="No",0,IF(AND(ISNUMBER(L252),OR(52&lt;&gt;$B$134,ISNUMBER(O252))),MAX(0,-(L252+IF(52=$B$134,O252,0))),0))</x:f>
        <x:v>0</x:v>
      </x:c>
      <x:c r="Y252" s="412" t="n">
        <x:f>IF(AND(ISNUMBER(Y251),ISNUMBER($D$138),$D$138&gt;=-1),Y251+Y251*$D$138-0+X252,"")</x:f>
        <x:v>11290536.278305138</x:v>
      </x:c>
      <x:c r="Z252" s="412" t="n">
        <x:f>IF(AND(ISNUMBER(Y251),ISNUMBER($D$138),$D$138&gt;=-1),Z251+0,"")</x:f>
        <x:v>0</x:v>
      </x:c>
      <x:c r="AA252" s="412" t="n">
        <x:f>IF(ISNUMBER(AA251),AA251+X252,"")</x:f>
        <x:v>208898.25271554862</x:v>
      </x:c>
      <x:c r="AB252" s="412" t="n">
        <x:f>IF(AND(ISNUMBER(Y252),ISNUMBER(Z252),ISNUMBER(AA252)),Y252+Z252-AA252,"")</x:f>
        <x:v>11081638.025589589</x:v>
      </x:c>
      <x:c r="AC252" s="416" t="n">
        <x:f>IF(AND(AA252&gt;0,ISNUMBER(AB252)),AB252/AA252,"")</x:f>
        <x:v>53.04801682893524</x:v>
      </x:c>
      <x:c r="AD252" s="412" t="n">
        <x:f>IF(AND(ISNUMBER(AD251),ISNUMBER($G$138),$G$138&gt;=0),AD251+AD251*$G$138-IF(AND($J$134="Cash payout",$G$138&gt;=0),AD251*$G$138,0)+X252,"")</x:f>
        <x:v>2620273.038903503</x:v>
      </x:c>
      <x:c r="AE252" s="412" t="n">
        <x:f>IF(AND(ISNUMBER(AD251),ISNUMBER($G$138),$G$138&gt;=0),AE251+IF(AND($J$134="Cash payout",$G$138&gt;=0),AD251*$G$138,0),"")</x:f>
        <x:v>0</x:v>
      </x:c>
      <x:c r="AF252" s="412" t="n">
        <x:f>IF(ISNUMBER(AF251),AF251+X252,"")</x:f>
        <x:v>208898.25271554862</x:v>
      </x:c>
      <x:c r="AG252" s="412" t="n">
        <x:f>IF(AND(ISNUMBER(AD252),ISNUMBER(AE252),ISNUMBER(AF252)),AD252+AE252-AF252,"")</x:f>
        <x:v>2411374.7861879547</x:v>
      </x:c>
      <x:c r="AH252" s="416" t="n">
        <x:f>IF(AND(AF252&gt;0,ISNUMBER(AG252)),AG252/AF252,"")</x:f>
        <x:v>11.543298016338422</x:v>
      </x:c>
      <x:c r="AI252" s="412" t="n">
        <x:f>IF(AND(ISNUMBER(AI251),ISNUMBER($J$138),$J$138&gt;=-1),AI251+AI251*$J$138-IF(AND($J$134="Cash payout",$J$138&gt;=0),AI251*$J$138,0)+X252,"")</x:f>
        <x:v>2620273.038903503</x:v>
      </x:c>
      <x:c r="AJ252" s="412" t="n">
        <x:f>IF(AND(ISNUMBER(AI251),ISNUMBER($J$138),$J$138&gt;=-1),AJ251+IF(AND($J$134="Cash payout",$J$138&gt;=0),AI251*$J$138,0),"")</x:f>
        <x:v>0</x:v>
      </x:c>
      <x:c r="AK252" s="412" t="n">
        <x:f>IF(ISNUMBER(AK251),AK251+X252,"")</x:f>
        <x:v>208898.25271554862</x:v>
      </x:c>
      <x:c r="AL252" s="412" t="n">
        <x:f>IF(AND(ISNUMBER(AI252),ISNUMBER(AJ252),ISNUMBER(AK252)),AI252+AJ252-AK252,"")</x:f>
        <x:v>2411374.7861879547</x:v>
      </x:c>
      <x:c r="AM252" s="416" t="n">
        <x:f>IF(AND(AK252&gt;0,ISNUMBER(AL252)),AL252/AK252,"")</x:f>
        <x:v>11.543298016338422</x:v>
      </x:c>
    </x:row>
    <x:row r="253" ht="24" customHeight="1">
      <x:c r="A253" s="419" t="n">
        <x:f>53</x:f>
        <x:v>53</x:v>
      </x:c>
      <x:c r="B253" s="414" t="n">
        <x:v>0</x:v>
      </x:c>
      <x:c r="C253" s="412" t="n">
        <x:f>IF(AND(ISNUMBER($H$17),ISNUMBER($J$73),$J$73&gt;-1,$J$73&lt;=5),$H$17*(1+$J$73)^(53-1),"")</x:f>
        <x:v>599553.9191721011</x:v>
      </x:c>
      <x:c r="D253" s="412" t="n">
        <x:f>IF(AND(ISNUMBER($H$18),ISNUMBER($J$74),$J$74&gt;-1,$J$74&lt;=5),$H$18*(1+$J$74)^(53-1),"")</x:f>
        <x:v>139526.57685739073</x:v>
      </x:c>
      <x:c r="E253" s="412" t="n">
        <x:f>IF(AND(ISNUMBER($H$22),ISNUMBER($J$74),$J$74&gt;-1,$J$74&lt;=5),$H$22*(1+$J$74)^(53-1),"")</x:f>
        <x:v>0</x:v>
      </x:c>
      <x:c r="F253" s="412" t="n">
        <x:f>IF(AND(ISNUMBER(C253),ISNUMBER(D253)),C253-D253,"")</x:f>
        <x:v>460027.3423147104</x:v>
      </x:c>
      <x:c r="G253" s="412" t="n">
        <x:f>IF(AND(ISNUMBER(F253),ISNUMBER(E253)),F253-E253,"")</x:f>
        <x:v>460027.3423147104</x:v>
      </x:c>
      <x:c r="H253" s="412" t="n">
        <x:f>IF(COUNT(M1025:M1036)=12,SUM(M1025:M1036),"")</x:f>
        <x:v>0</x:v>
      </x:c>
      <x:c r="I253" s="412" t="n">
        <x:f>SUM(E1025:E1036)</x:f>
        <x:v>0</x:v>
      </x:c>
      <x:c r="J253" s="412" t="n">
        <x:f>SUM(F1025:F1036)</x:f>
        <x:v>0</x:v>
      </x:c>
      <x:c r="K253" s="412" t="n">
        <x:f>SUM(G1025:G1036)</x:f>
        <x:v>0</x:v>
      </x:c>
      <x:c r="L253" s="412" t="n">
        <x:f>IF(AND(ISNUMBER(G253),ISNUMBER(H253),ISNUMBER(J253),ISNUMBER(K253)),G253-H253-B253-J253-K253,"")</x:f>
        <x:v>460027.3423147104</x:v>
      </x:c>
      <x:c r="M253" s="412" t="n">
        <x:f>IF(ISNUMBER(N1036),N1036,"")</x:f>
        <x:v>0</x:v>
      </x:c>
      <x:c r="N253" s="412" t="n">
        <x:f>IF(ISNUMBER($J$77),IF(AND($J$77&gt;0,$J$77&lt;=1,ISNUMBER($H$17),ISNUMBER($H$18),ISNUMBER($J$73),$J$73&gt;-1,$J$73&lt;=5,ISNUMBER($J$74),$J$74&gt;-1,$J$74&lt;=5),($H$17*(1+$J$73)^53-$H$18*(1+$J$74)^53)/$J$77,""),IF(AND($J$77="",ISNUMBER($B$15),$B$15&gt;0,ISNUMBER($J$72),$J$72&gt;-1,$J$72&lt;=5),$B$15*(1+$J$72)^53,""))</x:f>
        <x:v>7594349.642846613</x:v>
      </x:c>
      <x:c r="O253" s="412" t="n">
        <x:f>IF(AND(ISNUMBER(N253),ISNUMBER(M253)),N253*(1-$J$75)-M253,"")</x:f>
        <x:v>7594349.642846613</x:v>
      </x:c>
      <x:c r="P253" s="412" t="n">
        <x:f>IF(AND(ISNUMBER(P252),ISNUMBER(L253)),P252+L253,"")</x:f>
        <x:v>8163387.166004341</x:v>
      </x:c>
      <x:c r="Q253" s="412" t="n">
        <x:f>IF(AND(ISNUMBER(Q252),ISNUMBER(L253)),Q252+MAX(0,-L253),"")</x:f>
        <x:v>208898.25271554862</x:v>
      </x:c>
      <x:c r="R253" s="412" t="n">
        <x:f>IF(AND(ISNUMBER(R252),ISNUMBER(L253)),R252+MAX(0,L253),"")</x:f>
        <x:v>8182285.418719891</x:v>
      </x:c>
      <x:c r="S253" s="412" t="n">
        <x:f>IF(AND(ISNUMBER(Q252),ISNUMBER(L253),ISNUMBER(O253)),Q252+MAX(0,-(L253+O253)),"")</x:f>
        <x:v>208898.25271554862</x:v>
      </x:c>
      <x:c r="T253" s="412" t="n">
        <x:f>IF(AND(ISNUMBER(R252),ISNUMBER(L253),ISNUMBER(O253)),R252+MAX(0,L253+O253),"")</x:f>
        <x:v>15776635.061566504</x:v>
      </x:c>
      <x:c r="U253" s="412" t="n">
        <x:f>IF(AND(ISNUMBER(O253),ISNUMBER(P253),ISNUMBER($E$18)),O253+P253-$E$18,"")</x:f>
        <x:v>15567736.808850955</x:v>
      </x:c>
      <x:c r="V253" s="416" t="n">
        <x:f>IF(AND(S253&gt;0,ISNUMBER(U253)),U253/S253,"")</x:f>
        <x:v>74.52305898436184</x:v>
      </x:c>
      <x:c r="W253" s="418" t="n">
        <x:f>IF(AND(S253&gt;0,ISNUMBER(T253)),T253/S253,"")</x:f>
        <x:v>75.52305898436184</x:v>
      </x:c>
      <x:c r="X253" s="412" t="n">
        <x:f>IF($B$136="No",0,IF(AND(ISNUMBER(L253),OR(53&lt;&gt;$B$134,ISNUMBER(O253))),MAX(0,-(L253+IF(53=$B$134,O253,0))),0))</x:f>
        <x:v>0</x:v>
      </x:c>
      <x:c r="Y253" s="412" t="n">
        <x:f>IF(AND(ISNUMBER(Y252),ISNUMBER($D$138),$D$138&gt;=-1),Y252+Y252*$D$138-0+X253,"")</x:f>
        <x:v>12193779.180569548</x:v>
      </x:c>
      <x:c r="Z253" s="412" t="n">
        <x:f>IF(AND(ISNUMBER(Y252),ISNUMBER($D$138),$D$138&gt;=-1),Z252+0,"")</x:f>
        <x:v>0</x:v>
      </x:c>
      <x:c r="AA253" s="412" t="n">
        <x:f>IF(ISNUMBER(AA252),AA252+X253,"")</x:f>
        <x:v>208898.25271554862</x:v>
      </x:c>
      <x:c r="AB253" s="412" t="n">
        <x:f>IF(AND(ISNUMBER(Y253),ISNUMBER(Z253),ISNUMBER(AA253)),Y253+Z253-AA253,"")</x:f>
        <x:v>11984880.927854</x:v>
      </x:c>
      <x:c r="AC253" s="416" t="n">
        <x:f>IF(AND(AA253&gt;0,ISNUMBER(AB253)),AB253/AA253,"")</x:f>
        <x:v>57.371858175250054</x:v>
      </x:c>
      <x:c r="AD253" s="412" t="n">
        <x:f>IF(AND(ISNUMBER(AD252),ISNUMBER($G$138),$G$138&gt;=0),AD252+AD252*$G$138-IF(AND($J$134="Cash payout",$G$138&gt;=0),AD252*$G$138,0)+X253,"")</x:f>
        <x:v>2751286.6908486784</x:v>
      </x:c>
      <x:c r="AE253" s="412" t="n">
        <x:f>IF(AND(ISNUMBER(AD252),ISNUMBER($G$138),$G$138&gt;=0),AE252+IF(AND($J$134="Cash payout",$G$138&gt;=0),AD252*$G$138,0),"")</x:f>
        <x:v>0</x:v>
      </x:c>
      <x:c r="AF253" s="412" t="n">
        <x:f>IF(ISNUMBER(AF252),AF252+X253,"")</x:f>
        <x:v>208898.25271554862</x:v>
      </x:c>
      <x:c r="AG253" s="412" t="n">
        <x:f>IF(AND(ISNUMBER(AD253),ISNUMBER(AE253),ISNUMBER(AF253)),AD253+AE253-AF253,"")</x:f>
        <x:v>2542388.43813313</x:v>
      </x:c>
      <x:c r="AH253" s="416" t="n">
        <x:f>IF(AND(AF253&gt;0,ISNUMBER(AG253)),AG253/AF253,"")</x:f>
        <x:v>12.170462917155342</x:v>
      </x:c>
      <x:c r="AI253" s="412" t="n">
        <x:f>IF(AND(ISNUMBER(AI252),ISNUMBER($J$138),$J$138&gt;=-1),AI252+AI252*$J$138-IF(AND($J$134="Cash payout",$J$138&gt;=0),AI252*$J$138,0)+X253,"")</x:f>
        <x:v>2751286.6908486784</x:v>
      </x:c>
      <x:c r="AJ253" s="412" t="n">
        <x:f>IF(AND(ISNUMBER(AI252),ISNUMBER($J$138),$J$138&gt;=-1),AJ252+IF(AND($J$134="Cash payout",$J$138&gt;=0),AI252*$J$138,0),"")</x:f>
        <x:v>0</x:v>
      </x:c>
      <x:c r="AK253" s="412" t="n">
        <x:f>IF(ISNUMBER(AK252),AK252+X253,"")</x:f>
        <x:v>208898.25271554862</x:v>
      </x:c>
      <x:c r="AL253" s="412" t="n">
        <x:f>IF(AND(ISNUMBER(AI253),ISNUMBER(AJ253),ISNUMBER(AK253)),AI253+AJ253-AK253,"")</x:f>
        <x:v>2542388.43813313</x:v>
      </x:c>
      <x:c r="AM253" s="416" t="n">
        <x:f>IF(AND(AK253&gt;0,ISNUMBER(AL253)),AL253/AK253,"")</x:f>
        <x:v>12.170462917155342</x:v>
      </x:c>
    </x:row>
    <x:row r="254" ht="24" customHeight="1">
      <x:c r="A254" s="419" t="n">
        <x:f>54</x:f>
        <x:v>54</x:v>
      </x:c>
      <x:c r="B254" s="414" t="n">
        <x:v>0</x:v>
      </x:c>
      <x:c r="C254" s="412" t="n">
        <x:f>IF(AND(ISNUMBER($H$17),ISNUMBER($J$73),$J$73&gt;-1,$J$73&lt;=5),$H$17*(1+$J$73)^(54-1),"")</x:f>
        <x:v>623536.0759389851</x:v>
      </x:c>
      <x:c r="D254" s="412" t="n">
        <x:f>IF(AND(ISNUMBER($H$18),ISNUMBER($J$74),$J$74&gt;-1,$J$74&lt;=5),$H$18*(1+$J$74)^(54-1),"")</x:f>
        <x:v>143712.37416311246</x:v>
      </x:c>
      <x:c r="E254" s="412" t="n">
        <x:f>IF(AND(ISNUMBER($H$22),ISNUMBER($J$74),$J$74&gt;-1,$J$74&lt;=5),$H$22*(1+$J$74)^(54-1),"")</x:f>
        <x:v>0</x:v>
      </x:c>
      <x:c r="F254" s="412" t="n">
        <x:f>IF(AND(ISNUMBER(C254),ISNUMBER(D254)),C254-D254,"")</x:f>
        <x:v>479823.7017758726</x:v>
      </x:c>
      <x:c r="G254" s="412" t="n">
        <x:f>IF(AND(ISNUMBER(F254),ISNUMBER(E254)),F254-E254,"")</x:f>
        <x:v>479823.7017758726</x:v>
      </x:c>
      <x:c r="H254" s="412" t="n">
        <x:f>IF(COUNT(M1037:M1048)=12,SUM(M1037:M1048),"")</x:f>
        <x:v>0</x:v>
      </x:c>
      <x:c r="I254" s="412" t="n">
        <x:f>SUM(E1037:E1048)</x:f>
        <x:v>0</x:v>
      </x:c>
      <x:c r="J254" s="412" t="n">
        <x:f>SUM(F1037:F1048)</x:f>
        <x:v>0</x:v>
      </x:c>
      <x:c r="K254" s="412" t="n">
        <x:f>SUM(G1037:G1048)</x:f>
        <x:v>0</x:v>
      </x:c>
      <x:c r="L254" s="412" t="n">
        <x:f>IF(AND(ISNUMBER(G254),ISNUMBER(H254),ISNUMBER(J254),ISNUMBER(K254)),G254-H254-B254-J254-K254,"")</x:f>
        <x:v>479823.7017758726</x:v>
      </x:c>
      <x:c r="M254" s="412" t="n">
        <x:f>IF(ISNUMBER(N1048),N1048,"")</x:f>
        <x:v>0</x:v>
      </x:c>
      <x:c r="N254" s="412" t="n">
        <x:f>IF(ISNUMBER($J$77),IF(AND($J$77&gt;0,$J$77&lt;=1,ISNUMBER($H$17),ISNUMBER($H$18),ISNUMBER($J$73),$J$73&gt;-1,$J$73&lt;=5,ISNUMBER($J$74),$J$74&gt;-1,$J$74&lt;=5),($H$17*(1+$J$73)^54-$H$18*(1+$J$74)^54)/$J$77,""),IF(AND($J$77="",ISNUMBER($B$15),$B$15&gt;0,ISNUMBER($J$72),$J$72&gt;-1,$J$72&lt;=5),$B$15*(1+$J$72)^54,""))</x:f>
        <x:v>7898123.628560479</x:v>
      </x:c>
      <x:c r="O254" s="412" t="n">
        <x:f>IF(AND(ISNUMBER(N254),ISNUMBER(M254)),N254*(1-$J$75)-M254,"")</x:f>
        <x:v>7898123.628560479</x:v>
      </x:c>
      <x:c r="P254" s="412" t="n">
        <x:f>IF(AND(ISNUMBER(P253),ISNUMBER(L254)),P253+L254,"")</x:f>
        <x:v>8643210.867780214</x:v>
      </x:c>
      <x:c r="Q254" s="412" t="n">
        <x:f>IF(AND(ISNUMBER(Q253),ISNUMBER(L254)),Q253+MAX(0,-L254),"")</x:f>
        <x:v>208898.25271554862</x:v>
      </x:c>
      <x:c r="R254" s="412" t="n">
        <x:f>IF(AND(ISNUMBER(R253),ISNUMBER(L254)),R253+MAX(0,L254),"")</x:f>
        <x:v>8662109.120495765</x:v>
      </x:c>
      <x:c r="S254" s="412" t="n">
        <x:f>IF(AND(ISNUMBER(Q253),ISNUMBER(L254),ISNUMBER(O254)),Q253+MAX(0,-(L254+O254)),"")</x:f>
        <x:v>208898.25271554862</x:v>
      </x:c>
      <x:c r="T254" s="412" t="n">
        <x:f>IF(AND(ISNUMBER(R253),ISNUMBER(L254),ISNUMBER(O254)),R253+MAX(0,L254+O254),"")</x:f>
        <x:v>16560232.749056242</x:v>
      </x:c>
      <x:c r="U254" s="412" t="n">
        <x:f>IF(AND(ISNUMBER(O254),ISNUMBER(P254),ISNUMBER($E$18)),O254+P254-$E$18,"")</x:f>
        <x:v>16351334.496340692</x:v>
      </x:c>
      <x:c r="V254" s="416" t="n">
        <x:f>IF(AND(S254&gt;0,ISNUMBER(U254)),U254/S254,"")</x:f>
        <x:v>78.27415635977522</x:v>
      </x:c>
      <x:c r="W254" s="418" t="n">
        <x:f>IF(AND(S254&gt;0,ISNUMBER(T254)),T254/S254,"")</x:f>
        <x:v>79.27415635977523</x:v>
      </x:c>
      <x:c r="X254" s="412" t="n">
        <x:f>IF($B$136="No",0,IF(AND(ISNUMBER(L254),OR(54&lt;&gt;$B$134,ISNUMBER(O254))),MAX(0,-(L254+IF(54=$B$134,O254,0))),0))</x:f>
        <x:v>0</x:v>
      </x:c>
      <x:c r="Y254" s="412" t="n">
        <x:f>IF(AND(ISNUMBER(Y253),ISNUMBER($D$138),$D$138&gt;=-1),Y253+Y253*$D$138-0+X254,"")</x:f>
        <x:v>13169281.515015112</x:v>
      </x:c>
      <x:c r="Z254" s="412" t="n">
        <x:f>IF(AND(ISNUMBER(Y253),ISNUMBER($D$138),$D$138&gt;=-1),Z253+0,"")</x:f>
        <x:v>0</x:v>
      </x:c>
      <x:c r="AA254" s="412" t="n">
        <x:f>IF(ISNUMBER(AA253),AA253+X254,"")</x:f>
        <x:v>208898.25271554862</x:v>
      </x:c>
      <x:c r="AB254" s="412" t="n">
        <x:f>IF(AND(ISNUMBER(Y254),ISNUMBER(Z254),ISNUMBER(AA254)),Y254+Z254-AA254,"")</x:f>
        <x:v>12960383.262299564</x:v>
      </x:c>
      <x:c r="AC254" s="416" t="n">
        <x:f>IF(AND(AA254&gt;0,ISNUMBER(AB254)),AB254/AA254,"")</x:f>
        <x:v>62.04160682927006</x:v>
      </x:c>
      <x:c r="AD254" s="412" t="n">
        <x:f>IF(AND(ISNUMBER(AD253),ISNUMBER($G$138),$G$138&gt;=0),AD253+AD253*$G$138-IF(AND($J$134="Cash payout",$G$138&gt;=0),AD253*$G$138,0)+X254,"")</x:f>
        <x:v>2888851.025391112</x:v>
      </x:c>
      <x:c r="AE254" s="412" t="n">
        <x:f>IF(AND(ISNUMBER(AD253),ISNUMBER($G$138),$G$138&gt;=0),AE253+IF(AND($J$134="Cash payout",$G$138&gt;=0),AD253*$G$138,0),"")</x:f>
        <x:v>0</x:v>
      </x:c>
      <x:c r="AF254" s="412" t="n">
        <x:f>IF(ISNUMBER(AF253),AF253+X254,"")</x:f>
        <x:v>208898.25271554862</x:v>
      </x:c>
      <x:c r="AG254" s="412" t="n">
        <x:f>IF(AND(ISNUMBER(AD254),ISNUMBER(AE254),ISNUMBER(AF254)),AD254+AE254-AF254,"")</x:f>
        <x:v>2679952.7726755636</x:v>
      </x:c>
      <x:c r="AH254" s="416" t="n">
        <x:f>IF(AND(AF254&gt;0,ISNUMBER(AG254)),AG254/AF254,"")</x:f>
        <x:v>12.82898606301311</x:v>
      </x:c>
      <x:c r="AI254" s="412" t="n">
        <x:f>IF(AND(ISNUMBER(AI253),ISNUMBER($J$138),$J$138&gt;=-1),AI253+AI253*$J$138-IF(AND($J$134="Cash payout",$J$138&gt;=0),AI253*$J$138,0)+X254,"")</x:f>
        <x:v>2888851.025391112</x:v>
      </x:c>
      <x:c r="AJ254" s="412" t="n">
        <x:f>IF(AND(ISNUMBER(AI253),ISNUMBER($J$138),$J$138&gt;=-1),AJ253+IF(AND($J$134="Cash payout",$J$138&gt;=0),AI253*$J$138,0),"")</x:f>
        <x:v>0</x:v>
      </x:c>
      <x:c r="AK254" s="412" t="n">
        <x:f>IF(ISNUMBER(AK253),AK253+X254,"")</x:f>
        <x:v>208898.25271554862</x:v>
      </x:c>
      <x:c r="AL254" s="412" t="n">
        <x:f>IF(AND(ISNUMBER(AI254),ISNUMBER(AJ254),ISNUMBER(AK254)),AI254+AJ254-AK254,"")</x:f>
        <x:v>2679952.7726755636</x:v>
      </x:c>
      <x:c r="AM254" s="416" t="n">
        <x:f>IF(AND(AK254&gt;0,ISNUMBER(AL254)),AL254/AK254,"")</x:f>
        <x:v>12.82898606301311</x:v>
      </x:c>
    </x:row>
    <x:row r="255" ht="24" customHeight="1">
      <x:c r="A255" s="419" t="n">
        <x:f>55</x:f>
        <x:v>55</x:v>
      </x:c>
      <x:c r="B255" s="414" t="n">
        <x:v>0</x:v>
      </x:c>
      <x:c r="C255" s="412" t="n">
        <x:f>IF(AND(ISNUMBER($H$17),ISNUMBER($J$73),$J$73&gt;-1,$J$73&lt;=5),$H$17*(1+$J$73)^(55-1),"")</x:f>
        <x:v>648477.5189765445</x:v>
      </x:c>
      <x:c r="D255" s="412" t="n">
        <x:f>IF(AND(ISNUMBER($H$18),ISNUMBER($J$74),$J$74&gt;-1,$J$74&lt;=5),$H$18*(1+$J$74)^(55-1),"")</x:f>
        <x:v>148023.74538800586</x:v>
      </x:c>
      <x:c r="E255" s="412" t="n">
        <x:f>IF(AND(ISNUMBER($H$22),ISNUMBER($J$74),$J$74&gt;-1,$J$74&lt;=5),$H$22*(1+$J$74)^(55-1),"")</x:f>
        <x:v>0</x:v>
      </x:c>
      <x:c r="F255" s="412" t="n">
        <x:f>IF(AND(ISNUMBER(C255),ISNUMBER(D255)),C255-D255,"")</x:f>
        <x:v>500453.77358853864</x:v>
      </x:c>
      <x:c r="G255" s="412" t="n">
        <x:f>IF(AND(ISNUMBER(F255),ISNUMBER(E255)),F255-E255,"")</x:f>
        <x:v>500453.77358853864</x:v>
      </x:c>
      <x:c r="H255" s="412" t="n">
        <x:f>IF(COUNT(M1049:M1060)=12,SUM(M1049:M1060),"")</x:f>
        <x:v>0</x:v>
      </x:c>
      <x:c r="I255" s="412" t="n">
        <x:f>SUM(E1049:E1060)</x:f>
        <x:v>0</x:v>
      </x:c>
      <x:c r="J255" s="412" t="n">
        <x:f>SUM(F1049:F1060)</x:f>
        <x:v>0</x:v>
      </x:c>
      <x:c r="K255" s="412" t="n">
        <x:f>SUM(G1049:G1060)</x:f>
        <x:v>0</x:v>
      </x:c>
      <x:c r="L255" s="412" t="n">
        <x:f>IF(AND(ISNUMBER(G255),ISNUMBER(H255),ISNUMBER(J255),ISNUMBER(K255)),G255-H255-B255-J255-K255,"")</x:f>
        <x:v>500453.77358853864</x:v>
      </x:c>
      <x:c r="M255" s="412" t="n">
        <x:f>IF(ISNUMBER(N1060),N1060,"")</x:f>
        <x:v>0</x:v>
      </x:c>
      <x:c r="N255" s="412" t="n">
        <x:f>IF(ISNUMBER($J$77),IF(AND($J$77&gt;0,$J$77&lt;=1,ISNUMBER($H$17),ISNUMBER($H$18),ISNUMBER($J$73),$J$73&gt;-1,$J$73&lt;=5,ISNUMBER($J$74),$J$74&gt;-1,$J$74&lt;=5),($H$17*(1+$J$73)^55-$H$18*(1+$J$74)^55)/$J$77,""),IF(AND($J$77="",ISNUMBER($B$15),$B$15&gt;0,ISNUMBER($J$72),$J$72&gt;-1,$J$72&lt;=5),$B$15*(1+$J$72)^55,""))</x:f>
        <x:v>8214048.573702897</x:v>
      </x:c>
      <x:c r="O255" s="412" t="n">
        <x:f>IF(AND(ISNUMBER(N255),ISNUMBER(M255)),N255*(1-$J$75)-M255,"")</x:f>
        <x:v>8214048.573702897</x:v>
      </x:c>
      <x:c r="P255" s="412" t="n">
        <x:f>IF(AND(ISNUMBER(P254),ISNUMBER(L255)),P254+L255,"")</x:f>
        <x:v>9143664.641368752</x:v>
      </x:c>
      <x:c r="Q255" s="412" t="n">
        <x:f>IF(AND(ISNUMBER(Q254),ISNUMBER(L255)),Q254+MAX(0,-L255),"")</x:f>
        <x:v>208898.25271554862</x:v>
      </x:c>
      <x:c r="R255" s="412" t="n">
        <x:f>IF(AND(ISNUMBER(R254),ISNUMBER(L255)),R254+MAX(0,L255),"")</x:f>
        <x:v>9162562.894084303</x:v>
      </x:c>
      <x:c r="S255" s="412" t="n">
        <x:f>IF(AND(ISNUMBER(Q254),ISNUMBER(L255),ISNUMBER(O255)),Q254+MAX(0,-(L255+O255)),"")</x:f>
        <x:v>208898.25271554862</x:v>
      </x:c>
      <x:c r="T255" s="412" t="n">
        <x:f>IF(AND(ISNUMBER(R254),ISNUMBER(L255),ISNUMBER(O255)),R254+MAX(0,L255+O255),"")</x:f>
        <x:v>17376611.4677872</x:v>
      </x:c>
      <x:c r="U255" s="412" t="n">
        <x:f>IF(AND(ISNUMBER(O255),ISNUMBER(P255),ISNUMBER($E$18)),O255+P255-$E$18,"")</x:f>
        <x:v>17167713.21507165</x:v>
      </x:c>
      <x:c r="V255" s="416" t="n">
        <x:f>IF(AND(S255&gt;0,ISNUMBER(U255)),U255/S255,"")</x:f>
        <x:v>82.1821771695165</x:v>
      </x:c>
      <x:c r="W255" s="418" t="n">
        <x:f>IF(AND(S255&gt;0,ISNUMBER(T255)),T255/S255,"")</x:f>
        <x:v>83.1821771695165</x:v>
      </x:c>
      <x:c r="X255" s="412" t="n">
        <x:f>IF($B$136="No",0,IF(AND(ISNUMBER(L255),OR(55&lt;&gt;$B$134,ISNUMBER(O255))),MAX(0,-(L255+IF(55=$B$134,O255,0))),0))</x:f>
        <x:v>0</x:v>
      </x:c>
      <x:c r="Y255" s="412" t="n">
        <x:f>IF(AND(ISNUMBER(Y254),ISNUMBER($D$138),$D$138&gt;=-1),Y254+Y254*$D$138-0+X255,"")</x:f>
        <x:v>14222824.03621632</x:v>
      </x:c>
      <x:c r="Z255" s="412" t="n">
        <x:f>IF(AND(ISNUMBER(Y254),ISNUMBER($D$138),$D$138&gt;=-1),Z254+0,"")</x:f>
        <x:v>0</x:v>
      </x:c>
      <x:c r="AA255" s="412" t="n">
        <x:f>IF(ISNUMBER(AA254),AA254+X255,"")</x:f>
        <x:v>208898.25271554862</x:v>
      </x:c>
      <x:c r="AB255" s="412" t="n">
        <x:f>IF(AND(ISNUMBER(Y255),ISNUMBER(Z255),ISNUMBER(AA255)),Y255+Z255-AA255,"")</x:f>
        <x:v>14013925.783500772</x:v>
      </x:c>
      <x:c r="AC255" s="416" t="n">
        <x:f>IF(AND(AA255&gt;0,ISNUMBER(AB255)),AB255/AA255,"")</x:f>
        <x:v>67.08493537561166</x:v>
      </x:c>
      <x:c r="AD255" s="412" t="n">
        <x:f>IF(AND(ISNUMBER(AD254),ISNUMBER($G$138),$G$138&gt;=0),AD254+AD254*$G$138-IF(AND($J$134="Cash payout",$G$138&gt;=0),AD254*$G$138,0)+X255,"")</x:f>
        <x:v>3033293.5766606675</x:v>
      </x:c>
      <x:c r="AE255" s="412" t="n">
        <x:f>IF(AND(ISNUMBER(AD254),ISNUMBER($G$138),$G$138&gt;=0),AE254+IF(AND($J$134="Cash payout",$G$138&gt;=0),AD254*$G$138,0),"")</x:f>
        <x:v>0</x:v>
      </x:c>
      <x:c r="AF255" s="412" t="n">
        <x:f>IF(ISNUMBER(AF254),AF254+X255,"")</x:f>
        <x:v>208898.25271554862</x:v>
      </x:c>
      <x:c r="AG255" s="412" t="n">
        <x:f>IF(AND(ISNUMBER(AD255),ISNUMBER(AE255),ISNUMBER(AF255)),AD255+AE255-AF255,"")</x:f>
        <x:v>2824395.323945119</x:v>
      </x:c>
      <x:c r="AH255" s="416" t="n">
        <x:f>IF(AND(AF255&gt;0,ISNUMBER(AG255)),AG255/AF255,"")</x:f>
        <x:v>13.520435366163763</x:v>
      </x:c>
      <x:c r="AI255" s="412" t="n">
        <x:f>IF(AND(ISNUMBER(AI254),ISNUMBER($J$138),$J$138&gt;=-1),AI254+AI254*$J$138-IF(AND($J$134="Cash payout",$J$138&gt;=0),AI254*$J$138,0)+X255,"")</x:f>
        <x:v>3033293.5766606675</x:v>
      </x:c>
      <x:c r="AJ255" s="412" t="n">
        <x:f>IF(AND(ISNUMBER(AI254),ISNUMBER($J$138),$J$138&gt;=-1),AJ254+IF(AND($J$134="Cash payout",$J$138&gt;=0),AI254*$J$138,0),"")</x:f>
        <x:v>0</x:v>
      </x:c>
      <x:c r="AK255" s="412" t="n">
        <x:f>IF(ISNUMBER(AK254),AK254+X255,"")</x:f>
        <x:v>208898.25271554862</x:v>
      </x:c>
      <x:c r="AL255" s="412" t="n">
        <x:f>IF(AND(ISNUMBER(AI255),ISNUMBER(AJ255),ISNUMBER(AK255)),AI255+AJ255-AK255,"")</x:f>
        <x:v>2824395.323945119</x:v>
      </x:c>
      <x:c r="AM255" s="416" t="n">
        <x:f>IF(AND(AK255&gt;0,ISNUMBER(AL255)),AL255/AK255,"")</x:f>
        <x:v>13.520435366163763</x:v>
      </x:c>
    </x:row>
    <x:row r="256" ht="24" customHeight="1">
      <x:c r="A256" s="419" t="n">
        <x:f>56</x:f>
        <x:v>56</x:v>
      </x:c>
      <x:c r="B256" s="414" t="n">
        <x:v>0</x:v>
      </x:c>
      <x:c r="C256" s="412" t="n">
        <x:f>IF(AND(ISNUMBER($H$17),ISNUMBER($J$73),$J$73&gt;-1,$J$73&lt;=5),$H$17*(1+$J$73)^(56-1),"")</x:f>
        <x:v>674416.6197356062</x:v>
      </x:c>
      <x:c r="D256" s="412" t="n">
        <x:f>IF(AND(ISNUMBER($H$18),ISNUMBER($J$74),$J$74&gt;-1,$J$74&lt;=5),$H$18*(1+$J$74)^(56-1),"")</x:f>
        <x:v>152464.457749646</x:v>
      </x:c>
      <x:c r="E256" s="412" t="n">
        <x:f>IF(AND(ISNUMBER($H$22),ISNUMBER($J$74),$J$74&gt;-1,$J$74&lt;=5),$H$22*(1+$J$74)^(56-1),"")</x:f>
        <x:v>0</x:v>
      </x:c>
      <x:c r="F256" s="412" t="n">
        <x:f>IF(AND(ISNUMBER(C256),ISNUMBER(D256)),C256-D256,"")</x:f>
        <x:v>521952.1619859602</x:v>
      </x:c>
      <x:c r="G256" s="412" t="n">
        <x:f>IF(AND(ISNUMBER(F256),ISNUMBER(E256)),F256-E256,"")</x:f>
        <x:v>521952.1619859602</x:v>
      </x:c>
      <x:c r="H256" s="412" t="n">
        <x:f>IF(COUNT(M1061:M1072)=12,SUM(M1061:M1072),"")</x:f>
        <x:v>0</x:v>
      </x:c>
      <x:c r="I256" s="412" t="n">
        <x:f>SUM(E1061:E1072)</x:f>
        <x:v>0</x:v>
      </x:c>
      <x:c r="J256" s="412" t="n">
        <x:f>SUM(F1061:F1072)</x:f>
        <x:v>0</x:v>
      </x:c>
      <x:c r="K256" s="412" t="n">
        <x:f>SUM(G1061:G1072)</x:f>
        <x:v>0</x:v>
      </x:c>
      <x:c r="L256" s="412" t="n">
        <x:f>IF(AND(ISNUMBER(G256),ISNUMBER(H256),ISNUMBER(J256),ISNUMBER(K256)),G256-H256-B256-J256-K256,"")</x:f>
        <x:v>521952.1619859602</x:v>
      </x:c>
      <x:c r="M256" s="412" t="n">
        <x:f>IF(ISNUMBER(N1072),N1072,"")</x:f>
        <x:v>0</x:v>
      </x:c>
      <x:c r="N256" s="412" t="n">
        <x:f>IF(ISNUMBER($J$77),IF(AND($J$77&gt;0,$J$77&lt;=1,ISNUMBER($H$17),ISNUMBER($H$18),ISNUMBER($J$73),$J$73&gt;-1,$J$73&lt;=5,ISNUMBER($J$74),$J$74&gt;-1,$J$74&lt;=5),($H$17*(1+$J$73)^56-$H$18*(1+$J$74)^56)/$J$77,""),IF(AND($J$77="",ISNUMBER($B$15),$B$15&gt;0,ISNUMBER($J$72),$J$72&gt;-1,$J$72&lt;=5),$B$15*(1+$J$72)^56,""))</x:f>
        <x:v>8542610.516651014</x:v>
      </x:c>
      <x:c r="O256" s="412" t="n">
        <x:f>IF(AND(ISNUMBER(N256),ISNUMBER(M256)),N256*(1-$J$75)-M256,"")</x:f>
        <x:v>8542610.516651014</x:v>
      </x:c>
      <x:c r="P256" s="412" t="n">
        <x:f>IF(AND(ISNUMBER(P255),ISNUMBER(L256)),P255+L256,"")</x:f>
        <x:v>9665616.803354712</x:v>
      </x:c>
      <x:c r="Q256" s="412" t="n">
        <x:f>IF(AND(ISNUMBER(Q255),ISNUMBER(L256)),Q255+MAX(0,-L256),"")</x:f>
        <x:v>208898.25271554862</x:v>
      </x:c>
      <x:c r="R256" s="412" t="n">
        <x:f>IF(AND(ISNUMBER(R255),ISNUMBER(L256)),R255+MAX(0,L256),"")</x:f>
        <x:v>9684515.056070263</x:v>
      </x:c>
      <x:c r="S256" s="412" t="n">
        <x:f>IF(AND(ISNUMBER(Q255),ISNUMBER(L256),ISNUMBER(O256)),Q255+MAX(0,-(L256+O256)),"")</x:f>
        <x:v>208898.25271554862</x:v>
      </x:c>
      <x:c r="T256" s="412" t="n">
        <x:f>IF(AND(ISNUMBER(R255),ISNUMBER(L256),ISNUMBER(O256)),R255+MAX(0,L256+O256),"")</x:f>
        <x:v>18227125.572721276</x:v>
      </x:c>
      <x:c r="U256" s="412" t="n">
        <x:f>IF(AND(ISNUMBER(O256),ISNUMBER(P256),ISNUMBER($E$18)),O256+P256-$E$18,"")</x:f>
        <x:v>18018227.320005726</x:v>
      </x:c>
      <x:c r="V256" s="416" t="n">
        <x:f>IF(AND(S256&gt;0,ISNUMBER(U256)),U256/S256,"")</x:f>
        <x:v>86.25360473713815</x:v>
      </x:c>
      <x:c r="W256" s="418" t="n">
        <x:f>IF(AND(S256&gt;0,ISNUMBER(T256)),T256/S256,"")</x:f>
        <x:v>87.25360473713816</x:v>
      </x:c>
      <x:c r="X256" s="412" t="n">
        <x:f>IF($B$136="No",0,IF(AND(ISNUMBER(L256),OR(56&lt;&gt;$B$134,ISNUMBER(O256))),MAX(0,-(L256+IF(56=$B$134,O256,0))),0))</x:f>
        <x:v>0</x:v>
      </x:c>
      <x:c r="Y256" s="412" t="n">
        <x:f>IF(AND(ISNUMBER(Y255),ISNUMBER($D$138),$D$138&gt;=-1),Y255+Y255*$D$138-0+X256,"")</x:f>
        <x:v>15360649.959113626</x:v>
      </x:c>
      <x:c r="Z256" s="412" t="n">
        <x:f>IF(AND(ISNUMBER(Y255),ISNUMBER($D$138),$D$138&gt;=-1),Z255+0,"")</x:f>
        <x:v>0</x:v>
      </x:c>
      <x:c r="AA256" s="412" t="n">
        <x:f>IF(ISNUMBER(AA255),AA255+X256,"")</x:f>
        <x:v>208898.25271554862</x:v>
      </x:c>
      <x:c r="AB256" s="412" t="n">
        <x:f>IF(AND(ISNUMBER(Y256),ISNUMBER(Z256),ISNUMBER(AA256)),Y256+Z256-AA256,"")</x:f>
        <x:v>15151751.706398077</x:v>
      </x:c>
      <x:c r="AC256" s="416" t="n">
        <x:f>IF(AND(AA256&gt;0,ISNUMBER(AB256)),AB256/AA256,"")</x:f>
        <x:v>72.5317302056606</x:v>
      </x:c>
      <x:c r="AD256" s="412" t="n">
        <x:f>IF(AND(ISNUMBER(AD255),ISNUMBER($G$138),$G$138&gt;=0),AD255+AD255*$G$138-IF(AND($J$134="Cash payout",$G$138&gt;=0),AD255*$G$138,0)+X256,"")</x:f>
        <x:v>3184958.255493701</x:v>
      </x:c>
      <x:c r="AE256" s="412" t="n">
        <x:f>IF(AND(ISNUMBER(AD255),ISNUMBER($G$138),$G$138&gt;=0),AE255+IF(AND($J$134="Cash payout",$G$138&gt;=0),AD255*$G$138,0),"")</x:f>
        <x:v>0</x:v>
      </x:c>
      <x:c r="AF256" s="412" t="n">
        <x:f>IF(ISNUMBER(AF255),AF255+X256,"")</x:f>
        <x:v>208898.25271554862</x:v>
      </x:c>
      <x:c r="AG256" s="412" t="n">
        <x:f>IF(AND(ISNUMBER(AD256),ISNUMBER(AE256),ISNUMBER(AF256)),AD256+AE256-AF256,"")</x:f>
        <x:v>2976060.0027781525</x:v>
      </x:c>
      <x:c r="AH256" s="416" t="n">
        <x:f>IF(AND(AF256&gt;0,ISNUMBER(AG256)),AG256/AF256,"")</x:f>
        <x:v>14.246457134471953</x:v>
      </x:c>
      <x:c r="AI256" s="412" t="n">
        <x:f>IF(AND(ISNUMBER(AI255),ISNUMBER($J$138),$J$138&gt;=-1),AI255+AI255*$J$138-IF(AND($J$134="Cash payout",$J$138&gt;=0),AI255*$J$138,0)+X256,"")</x:f>
        <x:v>3184958.255493701</x:v>
      </x:c>
      <x:c r="AJ256" s="412" t="n">
        <x:f>IF(AND(ISNUMBER(AI255),ISNUMBER($J$138),$J$138&gt;=-1),AJ255+IF(AND($J$134="Cash payout",$J$138&gt;=0),AI255*$J$138,0),"")</x:f>
        <x:v>0</x:v>
      </x:c>
      <x:c r="AK256" s="412" t="n">
        <x:f>IF(ISNUMBER(AK255),AK255+X256,"")</x:f>
        <x:v>208898.25271554862</x:v>
      </x:c>
      <x:c r="AL256" s="412" t="n">
        <x:f>IF(AND(ISNUMBER(AI256),ISNUMBER(AJ256),ISNUMBER(AK256)),AI256+AJ256-AK256,"")</x:f>
        <x:v>2976060.0027781525</x:v>
      </x:c>
      <x:c r="AM256" s="416" t="n">
        <x:f>IF(AND(AK256&gt;0,ISNUMBER(AL256)),AL256/AK256,"")</x:f>
        <x:v>14.246457134471953</x:v>
      </x:c>
    </x:row>
    <x:row r="257" ht="24" customHeight="1">
      <x:c r="A257" s="419" t="n">
        <x:f>57</x:f>
        <x:v>57</x:v>
      </x:c>
      <x:c r="B257" s="414" t="n">
        <x:v>0</x:v>
      </x:c>
      <x:c r="C257" s="412" t="n">
        <x:f>IF(AND(ISNUMBER($H$17),ISNUMBER($J$73),$J$73&gt;-1,$J$73&lt;=5),$H$17*(1+$J$73)^(57-1),"")</x:f>
        <x:v>701393.2845250306</x:v>
      </x:c>
      <x:c r="D257" s="412" t="n">
        <x:f>IF(AND(ISNUMBER($H$18),ISNUMBER($J$74),$J$74&gt;-1,$J$74&lt;=5),$H$18*(1+$J$74)^(57-1),"")</x:f>
        <x:v>157038.39148213543</x:v>
      </x:c>
      <x:c r="E257" s="412" t="n">
        <x:f>IF(AND(ISNUMBER($H$22),ISNUMBER($J$74),$J$74&gt;-1,$J$74&lt;=5),$H$22*(1+$J$74)^(57-1),"")</x:f>
        <x:v>0</x:v>
      </x:c>
      <x:c r="F257" s="412" t="n">
        <x:f>IF(AND(ISNUMBER(C257),ISNUMBER(D257)),C257-D257,"")</x:f>
        <x:v>544354.8930428952</x:v>
      </x:c>
      <x:c r="G257" s="412" t="n">
        <x:f>IF(AND(ISNUMBER(F257),ISNUMBER(E257)),F257-E257,"")</x:f>
        <x:v>544354.8930428952</x:v>
      </x:c>
      <x:c r="H257" s="412" t="n">
        <x:f>IF(COUNT(M1073:M1084)=12,SUM(M1073:M1084),"")</x:f>
        <x:v>0</x:v>
      </x:c>
      <x:c r="I257" s="412" t="n">
        <x:f>SUM(E1073:E1084)</x:f>
        <x:v>0</x:v>
      </x:c>
      <x:c r="J257" s="412" t="n">
        <x:f>SUM(F1073:F1084)</x:f>
        <x:v>0</x:v>
      </x:c>
      <x:c r="K257" s="412" t="n">
        <x:f>SUM(G1073:G1084)</x:f>
        <x:v>0</x:v>
      </x:c>
      <x:c r="L257" s="412" t="n">
        <x:f>IF(AND(ISNUMBER(G257),ISNUMBER(H257),ISNUMBER(J257),ISNUMBER(K257)),G257-H257-B257-J257-K257,"")</x:f>
        <x:v>544354.8930428952</x:v>
      </x:c>
      <x:c r="M257" s="412" t="n">
        <x:f>IF(ISNUMBER(N1084),N1084,"")</x:f>
        <x:v>0</x:v>
      </x:c>
      <x:c r="N257" s="412" t="n">
        <x:f>IF(ISNUMBER($J$77),IF(AND($J$77&gt;0,$J$77&lt;=1,ISNUMBER($H$17),ISNUMBER($H$18),ISNUMBER($J$73),$J$73&gt;-1,$J$73&lt;=5,ISNUMBER($J$74),$J$74&gt;-1,$J$74&lt;=5),($H$17*(1+$J$73)^57-$H$18*(1+$J$74)^57)/$J$77,""),IF(AND($J$77="",ISNUMBER($B$15),$B$15&gt;0,ISNUMBER($J$72),$J$72&gt;-1,$J$72&lt;=5),$B$15*(1+$J$72)^57,""))</x:f>
        <x:v>8884314.937317055</x:v>
      </x:c>
      <x:c r="O257" s="412" t="n">
        <x:f>IF(AND(ISNUMBER(N257),ISNUMBER(M257)),N257*(1-$J$75)-M257,"")</x:f>
        <x:v>8884314.937317055</x:v>
      </x:c>
      <x:c r="P257" s="412" t="n">
        <x:f>IF(AND(ISNUMBER(P256),ISNUMBER(L257)),P256+L257,"")</x:f>
        <x:v>10209971.696397608</x:v>
      </x:c>
      <x:c r="Q257" s="412" t="n">
        <x:f>IF(AND(ISNUMBER(Q256),ISNUMBER(L257)),Q256+MAX(0,-L257),"")</x:f>
        <x:v>208898.25271554862</x:v>
      </x:c>
      <x:c r="R257" s="412" t="n">
        <x:f>IF(AND(ISNUMBER(R256),ISNUMBER(L257)),R256+MAX(0,L257),"")</x:f>
        <x:v>10228869.949113159</x:v>
      </x:c>
      <x:c r="S257" s="412" t="n">
        <x:f>IF(AND(ISNUMBER(Q256),ISNUMBER(L257),ISNUMBER(O257)),Q256+MAX(0,-(L257+O257)),"")</x:f>
        <x:v>208898.25271554862</x:v>
      </x:c>
      <x:c r="T257" s="412" t="n">
        <x:f>IF(AND(ISNUMBER(R256),ISNUMBER(L257),ISNUMBER(O257)),R256+MAX(0,L257+O257),"")</x:f>
        <x:v>19113184.88643021</x:v>
      </x:c>
      <x:c r="U257" s="412" t="n">
        <x:f>IF(AND(ISNUMBER(O257),ISNUMBER(P257),ISNUMBER($E$18)),O257+P257-$E$18,"")</x:f>
        <x:v>18904286.63371466</x:v>
      </x:c>
      <x:c r="V257" s="416" t="n">
        <x:f>IF(AND(S257&gt;0,ISNUMBER(U257)),U257/S257,"")</x:f>
        <x:v>90.49518791072006</x:v>
      </x:c>
      <x:c r="W257" s="418" t="n">
        <x:f>IF(AND(S257&gt;0,ISNUMBER(T257)),T257/S257,"")</x:f>
        <x:v>91.49518791072008</x:v>
      </x:c>
      <x:c r="X257" s="412" t="n">
        <x:f>IF($B$136="No",0,IF(AND(ISNUMBER(L257),OR(57&lt;&gt;$B$134,ISNUMBER(O257))),MAX(0,-(L257+IF(57=$B$134,O257,0))),0))</x:f>
        <x:v>0</x:v>
      </x:c>
      <x:c r="Y257" s="412" t="n">
        <x:f>IF(AND(ISNUMBER(Y256),ISNUMBER($D$138),$D$138&gt;=-1),Y256+Y256*$D$138-0+X257,"")</x:f>
        <x:v>16589501.955842717</x:v>
      </x:c>
      <x:c r="Z257" s="412" t="n">
        <x:f>IF(AND(ISNUMBER(Y256),ISNUMBER($D$138),$D$138&gt;=-1),Z256+0,"")</x:f>
        <x:v>0</x:v>
      </x:c>
      <x:c r="AA257" s="412" t="n">
        <x:f>IF(ISNUMBER(AA256),AA256+X257,"")</x:f>
        <x:v>208898.25271554862</x:v>
      </x:c>
      <x:c r="AB257" s="412" t="n">
        <x:f>IF(AND(ISNUMBER(Y257),ISNUMBER(Z257),ISNUMBER(AA257)),Y257+Z257-AA257,"")</x:f>
        <x:v>16380603.703127168</x:v>
      </x:c>
      <x:c r="AC257" s="416" t="n">
        <x:f>IF(AND(AA257&gt;0,ISNUMBER(AB257)),AB257/AA257,"")</x:f>
        <x:v>78.41426862211344</x:v>
      </x:c>
      <x:c r="AD257" s="412" t="n">
        <x:f>IF(AND(ISNUMBER(AD256),ISNUMBER($G$138),$G$138&gt;=0),AD256+AD256*$G$138-IF(AND($J$134="Cash payout",$G$138&gt;=0),AD256*$G$138,0)+X257,"")</x:f>
        <x:v>3344206.1682683863</x:v>
      </x:c>
      <x:c r="AE257" s="412" t="n">
        <x:f>IF(AND(ISNUMBER(AD256),ISNUMBER($G$138),$G$138&gt;=0),AE256+IF(AND($J$134="Cash payout",$G$138&gt;=0),AD256*$G$138,0),"")</x:f>
        <x:v>0</x:v>
      </x:c>
      <x:c r="AF257" s="412" t="n">
        <x:f>IF(ISNUMBER(AF256),AF256+X257,"")</x:f>
        <x:v>208898.25271554862</x:v>
      </x:c>
      <x:c r="AG257" s="412" t="n">
        <x:f>IF(AND(ISNUMBER(AD257),ISNUMBER(AE257),ISNUMBER(AF257)),AD257+AE257-AF257,"")</x:f>
        <x:v>3135307.915552838</x:v>
      </x:c>
      <x:c r="AH257" s="416" t="n">
        <x:f>IF(AND(AF257&gt;0,ISNUMBER(AG257)),AG257/AF257,"")</x:f>
        <x:v>15.008779991195551</x:v>
      </x:c>
      <x:c r="AI257" s="412" t="n">
        <x:f>IF(AND(ISNUMBER(AI256),ISNUMBER($J$138),$J$138&gt;=-1),AI256+AI256*$J$138-IF(AND($J$134="Cash payout",$J$138&gt;=0),AI256*$J$138,0)+X257,"")</x:f>
        <x:v>3344206.1682683863</x:v>
      </x:c>
      <x:c r="AJ257" s="412" t="n">
        <x:f>IF(AND(ISNUMBER(AI256),ISNUMBER($J$138),$J$138&gt;=-1),AJ256+IF(AND($J$134="Cash payout",$J$138&gt;=0),AI256*$J$138,0),"")</x:f>
        <x:v>0</x:v>
      </x:c>
      <x:c r="AK257" s="412" t="n">
        <x:f>IF(ISNUMBER(AK256),AK256+X257,"")</x:f>
        <x:v>208898.25271554862</x:v>
      </x:c>
      <x:c r="AL257" s="412" t="n">
        <x:f>IF(AND(ISNUMBER(AI257),ISNUMBER(AJ257),ISNUMBER(AK257)),AI257+AJ257-AK257,"")</x:f>
        <x:v>3135307.915552838</x:v>
      </x:c>
      <x:c r="AM257" s="416" t="n">
        <x:f>IF(AND(AK257&gt;0,ISNUMBER(AL257)),AL257/AK257,"")</x:f>
        <x:v>15.008779991195551</x:v>
      </x:c>
    </x:row>
    <x:row r="258" ht="24" customHeight="1">
      <x:c r="A258" s="419" t="n">
        <x:f>58</x:f>
        <x:v>58</x:v>
      </x:c>
      <x:c r="B258" s="414" t="n">
        <x:v>0</x:v>
      </x:c>
      <x:c r="C258" s="412" t="n">
        <x:f>IF(AND(ISNUMBER($H$17),ISNUMBER($J$73),$J$73&gt;-1,$J$73&lt;=5),$H$17*(1+$J$73)^(58-1),"")</x:f>
        <x:v>729449.0159060318</x:v>
      </x:c>
      <x:c r="D258" s="412" t="n">
        <x:f>IF(AND(ISNUMBER($H$18),ISNUMBER($J$74),$J$74&gt;-1,$J$74&lt;=5),$H$18*(1+$J$74)^(58-1),"")</x:f>
        <x:v>161749.5432265995</x:v>
      </x:c>
      <x:c r="E258" s="412" t="n">
        <x:f>IF(AND(ISNUMBER($H$22),ISNUMBER($J$74),$J$74&gt;-1,$J$74&lt;=5),$H$22*(1+$J$74)^(58-1),"")</x:f>
        <x:v>0</x:v>
      </x:c>
      <x:c r="F258" s="412" t="n">
        <x:f>IF(AND(ISNUMBER(C258),ISNUMBER(D258)),C258-D258,"")</x:f>
        <x:v>567699.4726794324</x:v>
      </x:c>
      <x:c r="G258" s="412" t="n">
        <x:f>IF(AND(ISNUMBER(F258),ISNUMBER(E258)),F258-E258,"")</x:f>
        <x:v>567699.4726794324</x:v>
      </x:c>
      <x:c r="H258" s="412" t="n">
        <x:f>IF(COUNT(M1085:M1096)=12,SUM(M1085:M1096),"")</x:f>
        <x:v>0</x:v>
      </x:c>
      <x:c r="I258" s="412" t="n">
        <x:f>SUM(E1085:E1096)</x:f>
        <x:v>0</x:v>
      </x:c>
      <x:c r="J258" s="412" t="n">
        <x:f>SUM(F1085:F1096)</x:f>
        <x:v>0</x:v>
      </x:c>
      <x:c r="K258" s="412" t="n">
        <x:f>SUM(G1085:G1096)</x:f>
        <x:v>0</x:v>
      </x:c>
      <x:c r="L258" s="412" t="n">
        <x:f>IF(AND(ISNUMBER(G258),ISNUMBER(H258),ISNUMBER(J258),ISNUMBER(K258)),G258-H258-B258-J258-K258,"")</x:f>
        <x:v>567699.4726794324</x:v>
      </x:c>
      <x:c r="M258" s="412" t="n">
        <x:f>IF(ISNUMBER(N1096),N1096,"")</x:f>
        <x:v>0</x:v>
      </x:c>
      <x:c r="N258" s="412" t="n">
        <x:f>IF(ISNUMBER($J$77),IF(AND($J$77&gt;0,$J$77&lt;=1,ISNUMBER($H$17),ISNUMBER($H$18),ISNUMBER($J$73),$J$73&gt;-1,$J$73&lt;=5,ISNUMBER($J$74),$J$74&gt;-1,$J$74&lt;=5),($H$17*(1+$J$73)^58-$H$18*(1+$J$74)^58)/$J$77,""),IF(AND($J$77="",ISNUMBER($B$15),$B$15&gt;0,ISNUMBER($J$72),$J$72&gt;-1,$J$72&lt;=5),$B$15*(1+$J$72)^58,""))</x:f>
        <x:v>9239687.534809737</x:v>
      </x:c>
      <x:c r="O258" s="412" t="n">
        <x:f>IF(AND(ISNUMBER(N258),ISNUMBER(M258)),N258*(1-$J$75)-M258,"")</x:f>
        <x:v>9239687.534809737</x:v>
      </x:c>
      <x:c r="P258" s="412" t="n">
        <x:f>IF(AND(ISNUMBER(P257),ISNUMBER(L258)),P257+L258,"")</x:f>
        <x:v>10777671.16907704</x:v>
      </x:c>
      <x:c r="Q258" s="412" t="n">
        <x:f>IF(AND(ISNUMBER(Q257),ISNUMBER(L258)),Q257+MAX(0,-L258),"")</x:f>
        <x:v>208898.25271554862</x:v>
      </x:c>
      <x:c r="R258" s="412" t="n">
        <x:f>IF(AND(ISNUMBER(R257),ISNUMBER(L258)),R257+MAX(0,L258),"")</x:f>
        <x:v>10796569.421792591</x:v>
      </x:c>
      <x:c r="S258" s="412" t="n">
        <x:f>IF(AND(ISNUMBER(Q257),ISNUMBER(L258),ISNUMBER(O258)),Q257+MAX(0,-(L258+O258)),"")</x:f>
        <x:v>208898.25271554862</x:v>
      </x:c>
      <x:c r="T258" s="412" t="n">
        <x:f>IF(AND(ISNUMBER(R257),ISNUMBER(L258),ISNUMBER(O258)),R257+MAX(0,L258+O258),"")</x:f>
        <x:v>20036256.956602328</x:v>
      </x:c>
      <x:c r="U258" s="412" t="n">
        <x:f>IF(AND(ISNUMBER(O258),ISNUMBER(P258),ISNUMBER($E$18)),O258+P258-$E$18,"")</x:f>
        <x:v>19827358.703886777</x:v>
      </x:c>
      <x:c r="V258" s="416" t="n">
        <x:f>IF(AND(S258&gt;0,ISNUMBER(U258)),U258/S258,"")</x:f>
        <x:v>94.91395186959836</x:v>
      </x:c>
      <x:c r="W258" s="418" t="n">
        <x:f>IF(AND(S258&gt;0,ISNUMBER(T258)),T258/S258,"")</x:f>
        <x:v>95.91395186959838</x:v>
      </x:c>
      <x:c r="X258" s="412" t="n">
        <x:f>IF($B$136="No",0,IF(AND(ISNUMBER(L258),OR(58&lt;&gt;$B$134,ISNUMBER(O258))),MAX(0,-(L258+IF(58=$B$134,O258,0))),0))</x:f>
        <x:v>0</x:v>
      </x:c>
      <x:c r="Y258" s="412" t="n">
        <x:f>IF(AND(ISNUMBER(Y257),ISNUMBER($D$138),$D$138&gt;=-1),Y257+Y257*$D$138-0+X258,"")</x:f>
        <x:v>17916662.112310134</x:v>
      </x:c>
      <x:c r="Z258" s="412" t="n">
        <x:f>IF(AND(ISNUMBER(Y257),ISNUMBER($D$138),$D$138&gt;=-1),Z257+0,"")</x:f>
        <x:v>0</x:v>
      </x:c>
      <x:c r="AA258" s="412" t="n">
        <x:f>IF(ISNUMBER(AA257),AA257+X258,"")</x:f>
        <x:v>208898.25271554862</x:v>
      </x:c>
      <x:c r="AB258" s="412" t="n">
        <x:f>IF(AND(ISNUMBER(Y258),ISNUMBER(Z258),ISNUMBER(AA258)),Y258+Z258-AA258,"")</x:f>
        <x:v>17707763.859594584</x:v>
      </x:c>
      <x:c r="AC258" s="416" t="n">
        <x:f>IF(AND(AA258&gt;0,ISNUMBER(AB258)),AB258/AA258,"")</x:f>
        <x:v>84.76741011188251</x:v>
      </x:c>
      <x:c r="AD258" s="412" t="n">
        <x:f>IF(AND(ISNUMBER(AD257),ISNUMBER($G$138),$G$138&gt;=0),AD257+AD257*$G$138-IF(AND($J$134="Cash payout",$G$138&gt;=0),AD257*$G$138,0)+X258,"")</x:f>
        <x:v>3511416.4766818057</x:v>
      </x:c>
      <x:c r="AE258" s="412" t="n">
        <x:f>IF(AND(ISNUMBER(AD257),ISNUMBER($G$138),$G$138&gt;=0),AE257+IF(AND($J$134="Cash payout",$G$138&gt;=0),AD257*$G$138,0),"")</x:f>
        <x:v>0</x:v>
      </x:c>
      <x:c r="AF258" s="412" t="n">
        <x:f>IF(ISNUMBER(AF257),AF257+X258,"")</x:f>
        <x:v>208898.25271554862</x:v>
      </x:c>
      <x:c r="AG258" s="412" t="n">
        <x:f>IF(AND(ISNUMBER(AD258),ISNUMBER(AE258),ISNUMBER(AF258)),AD258+AE258-AF258,"")</x:f>
        <x:v>3302518.223966257</x:v>
      </x:c>
      <x:c r="AH258" s="416" t="n">
        <x:f>IF(AND(AF258&gt;0,ISNUMBER(AG258)),AG258/AF258,"")</x:f>
        <x:v>15.80921899075533</x:v>
      </x:c>
      <x:c r="AI258" s="412" t="n">
        <x:f>IF(AND(ISNUMBER(AI257),ISNUMBER($J$138),$J$138&gt;=-1),AI257+AI257*$J$138-IF(AND($J$134="Cash payout",$J$138&gt;=0),AI257*$J$138,0)+X258,"")</x:f>
        <x:v>3511416.4766818057</x:v>
      </x:c>
      <x:c r="AJ258" s="412" t="n">
        <x:f>IF(AND(ISNUMBER(AI257),ISNUMBER($J$138),$J$138&gt;=-1),AJ257+IF(AND($J$134="Cash payout",$J$138&gt;=0),AI257*$J$138,0),"")</x:f>
        <x:v>0</x:v>
      </x:c>
      <x:c r="AK258" s="412" t="n">
        <x:f>IF(ISNUMBER(AK257),AK257+X258,"")</x:f>
        <x:v>208898.25271554862</x:v>
      </x:c>
      <x:c r="AL258" s="412" t="n">
        <x:f>IF(AND(ISNUMBER(AI258),ISNUMBER(AJ258),ISNUMBER(AK258)),AI258+AJ258-AK258,"")</x:f>
        <x:v>3302518.223966257</x:v>
      </x:c>
      <x:c r="AM258" s="416" t="n">
        <x:f>IF(AND(AK258&gt;0,ISNUMBER(AL258)),AL258/AK258,"")</x:f>
        <x:v>15.80921899075533</x:v>
      </x:c>
    </x:row>
    <x:row r="259" ht="24" customHeight="1">
      <x:c r="A259" s="419" t="n">
        <x:f>59</x:f>
        <x:v>59</x:v>
      </x:c>
      <x:c r="B259" s="414" t="n">
        <x:v>0</x:v>
      </x:c>
      <x:c r="C259" s="412" t="n">
        <x:f>IF(AND(ISNUMBER($H$17),ISNUMBER($J$73),$J$73&gt;-1,$J$73&lt;=5),$H$17*(1+$J$73)^(59-1),"")</x:f>
        <x:v>758626.9765422732</x:v>
      </x:c>
      <x:c r="D259" s="412" t="n">
        <x:f>IF(AND(ISNUMBER($H$18),ISNUMBER($J$74),$J$74&gt;-1,$J$74&lt;=5),$H$18*(1+$J$74)^(59-1),"")</x:f>
        <x:v>166602.02952339745</x:v>
      </x:c>
      <x:c r="E259" s="412" t="n">
        <x:f>IF(AND(ISNUMBER($H$22),ISNUMBER($J$74),$J$74&gt;-1,$J$74&lt;=5),$H$22*(1+$J$74)^(59-1),"")</x:f>
        <x:v>0</x:v>
      </x:c>
      <x:c r="F259" s="412" t="n">
        <x:f>IF(AND(ISNUMBER(C259),ISNUMBER(D259)),C259-D259,"")</x:f>
        <x:v>592024.9470188757</x:v>
      </x:c>
      <x:c r="G259" s="412" t="n">
        <x:f>IF(AND(ISNUMBER(F259),ISNUMBER(E259)),F259-E259,"")</x:f>
        <x:v>592024.9470188757</x:v>
      </x:c>
      <x:c r="H259" s="412" t="n">
        <x:f>IF(COUNT(M1097:M1108)=12,SUM(M1097:M1108),"")</x:f>
        <x:v>0</x:v>
      </x:c>
      <x:c r="I259" s="412" t="n">
        <x:f>SUM(E1097:E1108)</x:f>
        <x:v>0</x:v>
      </x:c>
      <x:c r="J259" s="412" t="n">
        <x:f>SUM(F1097:F1108)</x:f>
        <x:v>0</x:v>
      </x:c>
      <x:c r="K259" s="412" t="n">
        <x:f>SUM(G1097:G1108)</x:f>
        <x:v>0</x:v>
      </x:c>
      <x:c r="L259" s="412" t="n">
        <x:f>IF(AND(ISNUMBER(G259),ISNUMBER(H259),ISNUMBER(J259),ISNUMBER(K259)),G259-H259-B259-J259-K259,"")</x:f>
        <x:v>592024.9470188757</x:v>
      </x:c>
      <x:c r="M259" s="412" t="n">
        <x:f>IF(ISNUMBER(N1108),N1108,"")</x:f>
        <x:v>0</x:v>
      </x:c>
      <x:c r="N259" s="412" t="n">
        <x:f>IF(ISNUMBER($J$77),IF(AND($J$77&gt;0,$J$77&lt;=1,ISNUMBER($H$17),ISNUMBER($H$18),ISNUMBER($J$73),$J$73&gt;-1,$J$73&lt;=5,ISNUMBER($J$74),$J$74&gt;-1,$J$74&lt;=5),($H$17*(1+$J$73)^59-$H$18*(1+$J$74)^59)/$J$77,""),IF(AND($J$77="",ISNUMBER($B$15),$B$15&gt;0,ISNUMBER($J$72),$J$72&gt;-1,$J$72&lt;=5),$B$15*(1+$J$72)^59,""))</x:f>
        <x:v>9609275.036202127</x:v>
      </x:c>
      <x:c r="O259" s="412" t="n">
        <x:f>IF(AND(ISNUMBER(N259),ISNUMBER(M259)),N259*(1-$J$75)-M259,"")</x:f>
        <x:v>9609275.036202127</x:v>
      </x:c>
      <x:c r="P259" s="412" t="n">
        <x:f>IF(AND(ISNUMBER(P258),ISNUMBER(L259)),P258+L259,"")</x:f>
        <x:v>11369696.116095915</x:v>
      </x:c>
      <x:c r="Q259" s="412" t="n">
        <x:f>IF(AND(ISNUMBER(Q258),ISNUMBER(L259)),Q258+MAX(0,-L259),"")</x:f>
        <x:v>208898.25271554862</x:v>
      </x:c>
      <x:c r="R259" s="412" t="n">
        <x:f>IF(AND(ISNUMBER(R258),ISNUMBER(L259)),R258+MAX(0,L259),"")</x:f>
        <x:v>11388594.368811466</x:v>
      </x:c>
      <x:c r="S259" s="412" t="n">
        <x:f>IF(AND(ISNUMBER(Q258),ISNUMBER(L259),ISNUMBER(O259)),Q258+MAX(0,-(L259+O259)),"")</x:f>
        <x:v>208898.25271554862</x:v>
      </x:c>
      <x:c r="T259" s="412" t="n">
        <x:f>IF(AND(ISNUMBER(R258),ISNUMBER(L259),ISNUMBER(O259)),R258+MAX(0,L259+O259),"")</x:f>
        <x:v>20997869.40501359</x:v>
      </x:c>
      <x:c r="U259" s="412" t="n">
        <x:f>IF(AND(ISNUMBER(O259),ISNUMBER(P259),ISNUMBER($E$18)),O259+P259-$E$18,"")</x:f>
        <x:v>20788971.15229804</x:v>
      </x:c>
      <x:c r="V259" s="416" t="n">
        <x:f>IF(AND(S259&gt;0,ISNUMBER(U259)),U259/S259,"")</x:f>
        <x:v>99.51720936893545</x:v>
      </x:c>
      <x:c r="W259" s="418" t="n">
        <x:f>IF(AND(S259&gt;0,ISNUMBER(T259)),T259/S259,"")</x:f>
        <x:v>100.51720936893545</x:v>
      </x:c>
      <x:c r="X259" s="412" t="n">
        <x:f>IF($B$136="No",0,IF(AND(ISNUMBER(L259),OR(59&lt;&gt;$B$134,ISNUMBER(O259))),MAX(0,-(L259+IF(59=$B$134,O259,0))),0))</x:f>
        <x:v>0</x:v>
      </x:c>
      <x:c r="Y259" s="412" t="n">
        <x:f>IF(AND(ISNUMBER(Y258),ISNUMBER($D$138),$D$138&gt;=-1),Y258+Y258*$D$138-0+X259,"")</x:f>
        <x:v>19349995.081294946</x:v>
      </x:c>
      <x:c r="Z259" s="412" t="n">
        <x:f>IF(AND(ISNUMBER(Y258),ISNUMBER($D$138),$D$138&gt;=-1),Z258+0,"")</x:f>
        <x:v>0</x:v>
      </x:c>
      <x:c r="AA259" s="412" t="n">
        <x:f>IF(ISNUMBER(AA258),AA258+X259,"")</x:f>
        <x:v>208898.25271554862</x:v>
      </x:c>
      <x:c r="AB259" s="412" t="n">
        <x:f>IF(AND(ISNUMBER(Y259),ISNUMBER(Z259),ISNUMBER(AA259)),Y259+Z259-AA259,"")</x:f>
        <x:v>19141096.828579396</x:v>
      </x:c>
      <x:c r="AC259" s="416" t="n">
        <x:f>IF(AND(AA259&gt;0,ISNUMBER(AB259)),AB259/AA259,"")</x:f>
        <x:v>91.62880292083312</x:v>
      </x:c>
      <x:c r="AD259" s="412" t="n">
        <x:f>IF(AND(ISNUMBER(AD258),ISNUMBER($G$138),$G$138&gt;=0),AD258+AD258*$G$138-IF(AND($J$134="Cash payout",$G$138&gt;=0),AD258*$G$138,0)+X259,"")</x:f>
        <x:v>3686987.300515896</x:v>
      </x:c>
      <x:c r="AE259" s="412" t="n">
        <x:f>IF(AND(ISNUMBER(AD258),ISNUMBER($G$138),$G$138&gt;=0),AE258+IF(AND($J$134="Cash payout",$G$138&gt;=0),AD258*$G$138,0),"")</x:f>
        <x:v>0</x:v>
      </x:c>
      <x:c r="AF259" s="412" t="n">
        <x:f>IF(ISNUMBER(AF258),AF258+X259,"")</x:f>
        <x:v>208898.25271554862</x:v>
      </x:c>
      <x:c r="AG259" s="412" t="n">
        <x:f>IF(AND(ISNUMBER(AD259),ISNUMBER(AE259),ISNUMBER(AF259)),AD259+AE259-AF259,"")</x:f>
        <x:v>3478089.0478003477</x:v>
      </x:c>
      <x:c r="AH259" s="416" t="n">
        <x:f>IF(AND(AF259&gt;0,ISNUMBER(AG259)),AG259/AF259,"")</x:f>
        <x:v>16.649679940293098</x:v>
      </x:c>
      <x:c r="AI259" s="412" t="n">
        <x:f>IF(AND(ISNUMBER(AI258),ISNUMBER($J$138),$J$138&gt;=-1),AI258+AI258*$J$138-IF(AND($J$134="Cash payout",$J$138&gt;=0),AI258*$J$138,0)+X259,"")</x:f>
        <x:v>3686987.300515896</x:v>
      </x:c>
      <x:c r="AJ259" s="412" t="n">
        <x:f>IF(AND(ISNUMBER(AI258),ISNUMBER($J$138),$J$138&gt;=-1),AJ258+IF(AND($J$134="Cash payout",$J$138&gt;=0),AI258*$J$138,0),"")</x:f>
        <x:v>0</x:v>
      </x:c>
      <x:c r="AK259" s="412" t="n">
        <x:f>IF(ISNUMBER(AK258),AK258+X259,"")</x:f>
        <x:v>208898.25271554862</x:v>
      </x:c>
      <x:c r="AL259" s="412" t="n">
        <x:f>IF(AND(ISNUMBER(AI259),ISNUMBER(AJ259),ISNUMBER(AK259)),AI259+AJ259-AK259,"")</x:f>
        <x:v>3478089.0478003477</x:v>
      </x:c>
      <x:c r="AM259" s="416" t="n">
        <x:f>IF(AND(AK259&gt;0,ISNUMBER(AL259)),AL259/AK259,"")</x:f>
        <x:v>16.649679940293098</x:v>
      </x:c>
    </x:row>
    <x:row r="260" ht="24" customHeight="1">
      <x:c r="A260" s="419" t="n">
        <x:f>60</x:f>
        <x:v>60</x:v>
      </x:c>
      <x:c r="B260" s="414" t="n">
        <x:v>0</x:v>
      </x:c>
      <x:c r="C260" s="412" t="n">
        <x:f>IF(AND(ISNUMBER($H$17),ISNUMBER($J$73),$J$73&gt;-1,$J$73&lt;=5),$H$17*(1+$J$73)^(60-1),"")</x:f>
        <x:v>788972.0556039641</x:v>
      </x:c>
      <x:c r="D260" s="412" t="n">
        <x:f>IF(AND(ISNUMBER($H$18),ISNUMBER($J$74),$J$74&gt;-1,$J$74&lt;=5),$H$18*(1+$J$74)^(60-1),"")</x:f>
        <x:v>171600.0904090994</x:v>
      </x:c>
      <x:c r="E260" s="412" t="n">
        <x:f>IF(AND(ISNUMBER($H$22),ISNUMBER($J$74),$J$74&gt;-1,$J$74&lt;=5),$H$22*(1+$J$74)^(60-1),"")</x:f>
        <x:v>0</x:v>
      </x:c>
      <x:c r="F260" s="412" t="n">
        <x:f>IF(AND(ISNUMBER(C260),ISNUMBER(D260)),C260-D260,"")</x:f>
        <x:v>617371.9651948648</x:v>
      </x:c>
      <x:c r="G260" s="412" t="n">
        <x:f>IF(AND(ISNUMBER(F260),ISNUMBER(E260)),F260-E260,"")</x:f>
        <x:v>617371.9651948648</x:v>
      </x:c>
      <x:c r="H260" s="412" t="n">
        <x:f>IF(COUNT(M1109:M1120)=12,SUM(M1109:M1120),"")</x:f>
        <x:v>0</x:v>
      </x:c>
      <x:c r="I260" s="412" t="n">
        <x:f>SUM(E1109:E1120)</x:f>
        <x:v>0</x:v>
      </x:c>
      <x:c r="J260" s="412" t="n">
        <x:f>SUM(F1109:F1120)</x:f>
        <x:v>0</x:v>
      </x:c>
      <x:c r="K260" s="412" t="n">
        <x:f>SUM(G1109:G1120)</x:f>
        <x:v>0</x:v>
      </x:c>
      <x:c r="L260" s="412" t="n">
        <x:f>IF(AND(ISNUMBER(G260),ISNUMBER(H260),ISNUMBER(J260),ISNUMBER(K260)),G260-H260-B260-J260-K260,"")</x:f>
        <x:v>617371.9651948648</x:v>
      </x:c>
      <x:c r="M260" s="412" t="n">
        <x:f>IF(ISNUMBER(N1120),N1120,"")</x:f>
        <x:v>0</x:v>
      </x:c>
      <x:c r="N260" s="412" t="n">
        <x:f>IF(ISNUMBER($J$77),IF(AND($J$77&gt;0,$J$77&lt;=1,ISNUMBER($H$17),ISNUMBER($H$18),ISNUMBER($J$73),$J$73&gt;-1,$J$73&lt;=5,ISNUMBER($J$74),$J$74&gt;-1,$J$74&lt;=5),($H$17*(1+$J$73)^60-$H$18*(1+$J$74)^60)/$J$77,""),IF(AND($J$77="",ISNUMBER($B$15),$B$15&gt;0,ISNUMBER($J$72),$J$72&gt;-1,$J$72&lt;=5),$B$15*(1+$J$72)^60,""))</x:f>
        <x:v>9993646.037650213</x:v>
      </x:c>
      <x:c r="O260" s="412" t="n">
        <x:f>IF(AND(ISNUMBER(N260),ISNUMBER(M260)),N260*(1-$J$75)-M260,"")</x:f>
        <x:v>9993646.037650213</x:v>
      </x:c>
      <x:c r="P260" s="412" t="n">
        <x:f>IF(AND(ISNUMBER(P259),ISNUMBER(L260)),P259+L260,"")</x:f>
        <x:v>11987068.08129078</x:v>
      </x:c>
      <x:c r="Q260" s="412" t="n">
        <x:f>IF(AND(ISNUMBER(Q259),ISNUMBER(L260)),Q259+MAX(0,-L260),"")</x:f>
        <x:v>208898.25271554862</x:v>
      </x:c>
      <x:c r="R260" s="412" t="n">
        <x:f>IF(AND(ISNUMBER(R259),ISNUMBER(L260)),R259+MAX(0,L260),"")</x:f>
        <x:v>12005966.33400633</x:v>
      </x:c>
      <x:c r="S260" s="412" t="n">
        <x:f>IF(AND(ISNUMBER(Q259),ISNUMBER(L260),ISNUMBER(O260)),Q259+MAX(0,-(L260+O260)),"")</x:f>
        <x:v>208898.25271554862</x:v>
      </x:c>
      <x:c r="T260" s="412" t="n">
        <x:f>IF(AND(ISNUMBER(R259),ISNUMBER(L260),ISNUMBER(O260)),R259+MAX(0,L260+O260),"")</x:f>
        <x:v>21999612.371656545</x:v>
      </x:c>
      <x:c r="U260" s="412" t="n">
        <x:f>IF(AND(ISNUMBER(O260),ISNUMBER(P260),ISNUMBER($E$18)),O260+P260-$E$18,"")</x:f>
        <x:v>21790714.118940994</x:v>
      </x:c>
      <x:c r="V260" s="416" t="n">
        <x:f>IF(AND(S260&gt;0,ISNUMBER(U260)),U260/S260,"")</x:f>
        <x:v>104.31257243981284</x:v>
      </x:c>
      <x:c r="W260" s="418" t="n">
        <x:f>IF(AND(S260&gt;0,ISNUMBER(T260)),T260/S260,"")</x:f>
        <x:v>105.31257243981285</x:v>
      </x:c>
      <x:c r="X260" s="412" t="n">
        <x:f>IF($B$136="No",0,IF(AND(ISNUMBER(L260),OR(60&lt;&gt;$B$134,ISNUMBER(O260))),MAX(0,-(L260+IF(60=$B$134,O260,0))),0))</x:f>
        <x:v>0</x:v>
      </x:c>
      <x:c r="Y260" s="412" t="n">
        <x:f>IF(AND(ISNUMBER(Y259),ISNUMBER($D$138),$D$138&gt;=-1),Y259+Y259*$D$138-0+X260,"")</x:f>
        <x:v>20897994.68779854</x:v>
      </x:c>
      <x:c r="Z260" s="412" t="n">
        <x:f>IF(AND(ISNUMBER(Y259),ISNUMBER($D$138),$D$138&gt;=-1),Z259+0,"")</x:f>
        <x:v>0</x:v>
      </x:c>
      <x:c r="AA260" s="412" t="n">
        <x:f>IF(ISNUMBER(AA259),AA259+X260,"")</x:f>
        <x:v>208898.25271554862</x:v>
      </x:c>
      <x:c r="AB260" s="412" t="n">
        <x:f>IF(AND(ISNUMBER(Y260),ISNUMBER(Z260),ISNUMBER(AA260)),Y260+Z260-AA260,"")</x:f>
        <x:v>20689096.43508299</x:v>
      </x:c>
      <x:c r="AC260" s="416" t="n">
        <x:f>IF(AND(AA260&gt;0,ISNUMBER(AB260)),AB260/AA260,"")</x:f>
        <x:v>99.03910715449976</x:v>
      </x:c>
      <x:c r="AD260" s="412" t="n">
        <x:f>IF(AND(ISNUMBER(AD259),ISNUMBER($G$138),$G$138&gt;=0),AD259+AD259*$G$138-IF(AND($J$134="Cash payout",$G$138&gt;=0),AD259*$G$138,0)+X260,"")</x:f>
        <x:v>3871336.665541691</x:v>
      </x:c>
      <x:c r="AE260" s="412" t="n">
        <x:f>IF(AND(ISNUMBER(AD259),ISNUMBER($G$138),$G$138&gt;=0),AE259+IF(AND($J$134="Cash payout",$G$138&gt;=0),AD259*$G$138,0),"")</x:f>
        <x:v>0</x:v>
      </x:c>
      <x:c r="AF260" s="412" t="n">
        <x:f>IF(ISNUMBER(AF259),AF259+X260,"")</x:f>
        <x:v>208898.25271554862</x:v>
      </x:c>
      <x:c r="AG260" s="412" t="n">
        <x:f>IF(AND(ISNUMBER(AD260),ISNUMBER(AE260),ISNUMBER(AF260)),AD260+AE260-AF260,"")</x:f>
        <x:v>3662438.4128261423</x:v>
      </x:c>
      <x:c r="AH260" s="416" t="n">
        <x:f>IF(AND(AF260&gt;0,ISNUMBER(AG260)),AG260/AF260,"")</x:f>
        <x:v>17.53216393730775</x:v>
      </x:c>
      <x:c r="AI260" s="412" t="n">
        <x:f>IF(AND(ISNUMBER(AI259),ISNUMBER($J$138),$J$138&gt;=-1),AI259+AI259*$J$138-IF(AND($J$134="Cash payout",$J$138&gt;=0),AI259*$J$138,0)+X260,"")</x:f>
        <x:v>3871336.665541691</x:v>
      </x:c>
      <x:c r="AJ260" s="412" t="n">
        <x:f>IF(AND(ISNUMBER(AI259),ISNUMBER($J$138),$J$138&gt;=-1),AJ259+IF(AND($J$134="Cash payout",$J$138&gt;=0),AI259*$J$138,0),"")</x:f>
        <x:v>0</x:v>
      </x:c>
      <x:c r="AK260" s="412" t="n">
        <x:f>IF(ISNUMBER(AK259),AK259+X260,"")</x:f>
        <x:v>208898.25271554862</x:v>
      </x:c>
      <x:c r="AL260" s="412" t="n">
        <x:f>IF(AND(ISNUMBER(AI260),ISNUMBER(AJ260),ISNUMBER(AK260)),AI260+AJ260-AK260,"")</x:f>
        <x:v>3662438.4128261423</x:v>
      </x:c>
      <x:c r="AM260" s="416" t="n">
        <x:f>IF(AND(AK260&gt;0,ISNUMBER(AL260)),AL260/AK260,"")</x:f>
        <x:v>17.53216393730775</x:v>
      </x:c>
    </x:row>
    <x:row r="261" ht="24" customHeight="1">
      <x:c r="A261" s="419" t="n">
        <x:f>61</x:f>
        <x:v>61</x:v>
      </x:c>
      <x:c r="B261" s="414" t="n">
        <x:v>0</x:v>
      </x:c>
      <x:c r="C261" s="412" t="n">
        <x:f>IF(AND(ISNUMBER($H$17),ISNUMBER($J$73),$J$73&gt;-1,$J$73&lt;=5),$H$17*(1+$J$73)^(61-1),"")</x:f>
        <x:v>820530.9378281228</x:v>
      </x:c>
      <x:c r="D261" s="412" t="n">
        <x:f>IF(AND(ISNUMBER($H$18),ISNUMBER($J$74),$J$74&gt;-1,$J$74&lt;=5),$H$18*(1+$J$74)^(61-1),"")</x:f>
        <x:v>176748.0931213724</x:v>
      </x:c>
      <x:c r="E261" s="412" t="n">
        <x:f>IF(AND(ISNUMBER($H$22),ISNUMBER($J$74),$J$74&gt;-1,$J$74&lt;=5),$H$22*(1+$J$74)^(61-1),"")</x:f>
        <x:v>0</x:v>
      </x:c>
      <x:c r="F261" s="412" t="n">
        <x:f>IF(AND(ISNUMBER(C261),ISNUMBER(D261)),C261-D261,"")</x:f>
        <x:v>643782.8447067504</x:v>
      </x:c>
      <x:c r="G261" s="412" t="n">
        <x:f>IF(AND(ISNUMBER(F261),ISNUMBER(E261)),F261-E261,"")</x:f>
        <x:v>643782.8447067504</x:v>
      </x:c>
      <x:c r="H261" s="412" t="n">
        <x:f>IF(COUNT(M1121:M1132)=12,SUM(M1121:M1132),"")</x:f>
        <x:v>0</x:v>
      </x:c>
      <x:c r="I261" s="412" t="n">
        <x:f>SUM(E1121:E1132)</x:f>
        <x:v>0</x:v>
      </x:c>
      <x:c r="J261" s="412" t="n">
        <x:f>SUM(F1121:F1132)</x:f>
        <x:v>0</x:v>
      </x:c>
      <x:c r="K261" s="412" t="n">
        <x:f>SUM(G1121:G1132)</x:f>
        <x:v>0</x:v>
      </x:c>
      <x:c r="L261" s="412" t="n">
        <x:f>IF(AND(ISNUMBER(G261),ISNUMBER(H261),ISNUMBER(J261),ISNUMBER(K261)),G261-H261-B261-J261-K261,"")</x:f>
        <x:v>643782.8447067504</x:v>
      </x:c>
      <x:c r="M261" s="412" t="n">
        <x:f>IF(ISNUMBER(N1132),N1132,"")</x:f>
        <x:v>0</x:v>
      </x:c>
      <x:c r="N261" s="412" t="n">
        <x:f>IF(ISNUMBER($J$77),IF(AND($J$77&gt;0,$J$77&lt;=1,ISNUMBER($H$17),ISNUMBER($H$18),ISNUMBER($J$73),$J$73&gt;-1,$J$73&lt;=5,ISNUMBER($J$74),$J$74&gt;-1,$J$74&lt;=5),($H$17*(1+$J$73)^61-$H$18*(1+$J$74)^61)/$J$77,""),IF(AND($J$77="",ISNUMBER($B$15),$B$15&gt;0,ISNUMBER($J$72),$J$72&gt;-1,$J$72&lt;=5),$B$15*(1+$J$72)^61,""))</x:f>
        <x:v>10393391.879156223</x:v>
      </x:c>
      <x:c r="O261" s="412" t="n">
        <x:f>IF(AND(ISNUMBER(N261),ISNUMBER(M261)),N261*(1-$J$75)-M261,"")</x:f>
        <x:v>10393391.879156223</x:v>
      </x:c>
      <x:c r="P261" s="412" t="n">
        <x:f>IF(AND(ISNUMBER(P260),ISNUMBER(L261)),P260+L261,"")</x:f>
        <x:v>12630850.92599753</x:v>
      </x:c>
      <x:c r="Q261" s="412" t="n">
        <x:f>IF(AND(ISNUMBER(Q260),ISNUMBER(L261)),Q260+MAX(0,-L261),"")</x:f>
        <x:v>208898.25271554862</x:v>
      </x:c>
      <x:c r="R261" s="412" t="n">
        <x:f>IF(AND(ISNUMBER(R260),ISNUMBER(L261)),R260+MAX(0,L261),"")</x:f>
        <x:v>12649749.17871308</x:v>
      </x:c>
      <x:c r="S261" s="412" t="n">
        <x:f>IF(AND(ISNUMBER(Q260),ISNUMBER(L261),ISNUMBER(O261)),Q260+MAX(0,-(L261+O261)),"")</x:f>
        <x:v>208898.25271554862</x:v>
      </x:c>
      <x:c r="T261" s="412" t="n">
        <x:f>IF(AND(ISNUMBER(R260),ISNUMBER(L261),ISNUMBER(O261)),R260+MAX(0,L261+O261),"")</x:f>
        <x:v>23043141.0578693</x:v>
      </x:c>
      <x:c r="U261" s="412" t="n">
        <x:f>IF(AND(ISNUMBER(O261),ISNUMBER(P261),ISNUMBER($E$18)),O261+P261-$E$18,"")</x:f>
        <x:v>22834242.80515375</x:v>
      </x:c>
      <x:c r="V261" s="416" t="n">
        <x:f>IF(AND(S261&gt;0,ISNUMBER(U261)),U261/S261,"")</x:f>
        <x:v>109.30796456323908</x:v>
      </x:c>
      <x:c r="W261" s="418" t="n">
        <x:f>IF(AND(S261&gt;0,ISNUMBER(T261)),T261/S261,"")</x:f>
        <x:v>110.30796456323908</x:v>
      </x:c>
      <x:c r="X261" s="412" t="n">
        <x:f>IF($B$136="No",0,IF(AND(ISNUMBER(L261),OR(61&lt;&gt;$B$134,ISNUMBER(O261))),MAX(0,-(L261+IF(61=$B$134,O261,0))),0))</x:f>
        <x:v>0</x:v>
      </x:c>
      <x:c r="Y261" s="412" t="n">
        <x:f>IF(AND(ISNUMBER(Y260),ISNUMBER($D$138),$D$138&gt;=-1),Y260+Y260*$D$138-0+X261,"")</x:f>
        <x:v>22569834.262822423</x:v>
      </x:c>
      <x:c r="Z261" s="412" t="n">
        <x:f>IF(AND(ISNUMBER(Y260),ISNUMBER($D$138),$D$138&gt;=-1),Z260+0,"")</x:f>
        <x:v>0</x:v>
      </x:c>
      <x:c r="AA261" s="412" t="n">
        <x:f>IF(ISNUMBER(AA260),AA260+X261,"")</x:f>
        <x:v>208898.25271554862</x:v>
      </x:c>
      <x:c r="AB261" s="412" t="n">
        <x:f>IF(AND(ISNUMBER(Y261),ISNUMBER(Z261),ISNUMBER(AA261)),Y261+Z261-AA261,"")</x:f>
        <x:v>22360936.010106873</x:v>
      </x:c>
      <x:c r="AC261" s="416" t="n">
        <x:f>IF(AND(AA261&gt;0,ISNUMBER(AB261)),AB261/AA261,"")</x:f>
        <x:v>107.04223572685974</x:v>
      </x:c>
      <x:c r="AD261" s="412" t="n">
        <x:f>IF(AND(ISNUMBER(AD260),ISNUMBER($G$138),$G$138&gt;=0),AD260+AD260*$G$138-IF(AND($J$134="Cash payout",$G$138&gt;=0),AD260*$G$138,0)+X261,"")</x:f>
        <x:v>4064903.498818775</x:v>
      </x:c>
      <x:c r="AE261" s="412" t="n">
        <x:f>IF(AND(ISNUMBER(AD260),ISNUMBER($G$138),$G$138&gt;=0),AE260+IF(AND($J$134="Cash payout",$G$138&gt;=0),AD260*$G$138,0),"")</x:f>
        <x:v>0</x:v>
      </x:c>
      <x:c r="AF261" s="412" t="n">
        <x:f>IF(ISNUMBER(AF260),AF260+X261,"")</x:f>
        <x:v>208898.25271554862</x:v>
      </x:c>
      <x:c r="AG261" s="412" t="n">
        <x:f>IF(AND(ISNUMBER(AD261),ISNUMBER(AE261),ISNUMBER(AF261)),AD261+AE261-AF261,"")</x:f>
        <x:v>3856005.2461032267</x:v>
      </x:c>
      <x:c r="AH261" s="416" t="n">
        <x:f>IF(AND(AF261&gt;0,ISNUMBER(AG261)),AG261/AF261,"")</x:f>
        <x:v>18.458772134173138</x:v>
      </x:c>
      <x:c r="AI261" s="412" t="n">
        <x:f>IF(AND(ISNUMBER(AI260),ISNUMBER($J$138),$J$138&gt;=-1),AI260+AI260*$J$138-IF(AND($J$134="Cash payout",$J$138&gt;=0),AI260*$J$138,0)+X261,"")</x:f>
        <x:v>4064903.498818775</x:v>
      </x:c>
      <x:c r="AJ261" s="412" t="n">
        <x:f>IF(AND(ISNUMBER(AI260),ISNUMBER($J$138),$J$138&gt;=-1),AJ260+IF(AND($J$134="Cash payout",$J$138&gt;=0),AI260*$J$138,0),"")</x:f>
        <x:v>0</x:v>
      </x:c>
      <x:c r="AK261" s="412" t="n">
        <x:f>IF(ISNUMBER(AK260),AK260+X261,"")</x:f>
        <x:v>208898.25271554862</x:v>
      </x:c>
      <x:c r="AL261" s="412" t="n">
        <x:f>IF(AND(ISNUMBER(AI261),ISNUMBER(AJ261),ISNUMBER(AK261)),AI261+AJ261-AK261,"")</x:f>
        <x:v>3856005.2461032267</x:v>
      </x:c>
      <x:c r="AM261" s="416" t="n">
        <x:f>IF(AND(AK261&gt;0,ISNUMBER(AL261)),AL261/AK261,"")</x:f>
        <x:v>18.458772134173138</x:v>
      </x:c>
    </x:row>
    <x:row r="262" ht="24" customHeight="1">
      <x:c r="A262" s="419" t="n">
        <x:f>62</x:f>
        <x:v>62</x:v>
      </x:c>
      <x:c r="B262" s="414" t="n">
        <x:v>0</x:v>
      </x:c>
      <x:c r="C262" s="412" t="n">
        <x:f>IF(AND(ISNUMBER($H$17),ISNUMBER($J$73),$J$73&gt;-1,$J$73&lt;=5),$H$17*(1+$J$73)^(62-1),"")</x:f>
        <x:v>853352.1753412477</x:v>
      </x:c>
      <x:c r="D262" s="412" t="n">
        <x:f>IF(AND(ISNUMBER($H$18),ISNUMBER($J$74),$J$74&gt;-1,$J$74&lt;=5),$H$18*(1+$J$74)^(62-1),"")</x:f>
        <x:v>182050.53591501355</x:v>
      </x:c>
      <x:c r="E262" s="412" t="n">
        <x:f>IF(AND(ISNUMBER($H$22),ISNUMBER($J$74),$J$74&gt;-1,$J$74&lt;=5),$H$22*(1+$J$74)^(62-1),"")</x:f>
        <x:v>0</x:v>
      </x:c>
      <x:c r="F262" s="412" t="n">
        <x:f>IF(AND(ISNUMBER(C262),ISNUMBER(D262)),C262-D262,"")</x:f>
        <x:v>671301.6394262342</x:v>
      </x:c>
      <x:c r="G262" s="412" t="n">
        <x:f>IF(AND(ISNUMBER(F262),ISNUMBER(E262)),F262-E262,"")</x:f>
        <x:v>671301.6394262342</x:v>
      </x:c>
      <x:c r="H262" s="412" t="n">
        <x:f>IF(COUNT(M1133:M1144)=12,SUM(M1133:M1144),"")</x:f>
        <x:v>0</x:v>
      </x:c>
      <x:c r="I262" s="412" t="n">
        <x:f>SUM(E1133:E1144)</x:f>
        <x:v>0</x:v>
      </x:c>
      <x:c r="J262" s="412" t="n">
        <x:f>SUM(F1133:F1144)</x:f>
        <x:v>0</x:v>
      </x:c>
      <x:c r="K262" s="412" t="n">
        <x:f>SUM(G1133:G1144)</x:f>
        <x:v>0</x:v>
      </x:c>
      <x:c r="L262" s="412" t="n">
        <x:f>IF(AND(ISNUMBER(G262),ISNUMBER(H262),ISNUMBER(J262),ISNUMBER(K262)),G262-H262-B262-J262-K262,"")</x:f>
        <x:v>671301.6394262342</x:v>
      </x:c>
      <x:c r="M262" s="412" t="n">
        <x:f>IF(ISNUMBER(N1144),N1144,"")</x:f>
        <x:v>0</x:v>
      </x:c>
      <x:c r="N262" s="412" t="n">
        <x:f>IF(ISNUMBER($J$77),IF(AND($J$77&gt;0,$J$77&lt;=1,ISNUMBER($H$17),ISNUMBER($H$18),ISNUMBER($J$73),$J$73&gt;-1,$J$73&lt;=5,ISNUMBER($J$74),$J$74&gt;-1,$J$74&lt;=5),($H$17*(1+$J$73)^62-$H$18*(1+$J$74)^62)/$J$77,""),IF(AND($J$77="",ISNUMBER($B$15),$B$15&gt;0,ISNUMBER($J$72),$J$72&gt;-1,$J$72&lt;=5),$B$15*(1+$J$72)^62,""))</x:f>
        <x:v>10809127.55432247</x:v>
      </x:c>
      <x:c r="O262" s="412" t="n">
        <x:f>IF(AND(ISNUMBER(N262),ISNUMBER(M262)),N262*(1-$J$75)-M262,"")</x:f>
        <x:v>10809127.55432247</x:v>
      </x:c>
      <x:c r="P262" s="412" t="n">
        <x:f>IF(AND(ISNUMBER(P261),ISNUMBER(L262)),P261+L262,"")</x:f>
        <x:v>13302152.565423764</x:v>
      </x:c>
      <x:c r="Q262" s="412" t="n">
        <x:f>IF(AND(ISNUMBER(Q261),ISNUMBER(L262)),Q261+MAX(0,-L262),"")</x:f>
        <x:v>208898.25271554862</x:v>
      </x:c>
      <x:c r="R262" s="412" t="n">
        <x:f>IF(AND(ISNUMBER(R261),ISNUMBER(L262)),R261+MAX(0,L262),"")</x:f>
        <x:v>13321050.818139315</x:v>
      </x:c>
      <x:c r="S262" s="412" t="n">
        <x:f>IF(AND(ISNUMBER(Q261),ISNUMBER(L262),ISNUMBER(O262)),Q261+MAX(0,-(L262+O262)),"")</x:f>
        <x:v>208898.25271554862</x:v>
      </x:c>
      <x:c r="T262" s="412" t="n">
        <x:f>IF(AND(ISNUMBER(R261),ISNUMBER(L262),ISNUMBER(O262)),R261+MAX(0,L262+O262),"")</x:f>
        <x:v>24130178.372461785</x:v>
      </x:c>
      <x:c r="U262" s="412" t="n">
        <x:f>IF(AND(ISNUMBER(O262),ISNUMBER(P262),ISNUMBER($E$18)),O262+P262-$E$18,"")</x:f>
        <x:v>23921280.119746234</x:v>
      </x:c>
      <x:c r="V262" s="416" t="n">
        <x:f>IF(AND(S262&gt;0,ISNUMBER(U262)),U262/S262,"")</x:f>
        <x:v>114.5116333372076</x:v>
      </x:c>
      <x:c r="W262" s="418" t="n">
        <x:f>IF(AND(S262&gt;0,ISNUMBER(T262)),T262/S262,"")</x:f>
        <x:v>115.5116333372076</x:v>
      </x:c>
      <x:c r="X262" s="412" t="n">
        <x:f>IF($B$136="No",0,IF(AND(ISNUMBER(L262),OR(62&lt;&gt;$B$134,ISNUMBER(O262))),MAX(0,-(L262+IF(62=$B$134,O262,0))),0))</x:f>
        <x:v>0</x:v>
      </x:c>
      <x:c r="Y262" s="412" t="n">
        <x:f>IF(AND(ISNUMBER(Y261),ISNUMBER($D$138),$D$138&gt;=-1),Y261+Y261*$D$138-0+X262,"")</x:f>
        <x:v>24375421.003848217</x:v>
      </x:c>
      <x:c r="Z262" s="412" t="n">
        <x:f>IF(AND(ISNUMBER(Y261),ISNUMBER($D$138),$D$138&gt;=-1),Z261+0,"")</x:f>
        <x:v>0</x:v>
      </x:c>
      <x:c r="AA262" s="412" t="n">
        <x:f>IF(ISNUMBER(AA261),AA261+X262,"")</x:f>
        <x:v>208898.25271554862</x:v>
      </x:c>
      <x:c r="AB262" s="412" t="n">
        <x:f>IF(AND(ISNUMBER(Y262),ISNUMBER(Z262),ISNUMBER(AA262)),Y262+Z262-AA262,"")</x:f>
        <x:v>24166522.751132667</x:v>
      </x:c>
      <x:c r="AC262" s="416" t="n">
        <x:f>IF(AND(AA262&gt;0,ISNUMBER(AB262)),AB262/AA262,"")</x:f>
        <x:v>115.68561458500852</x:v>
      </x:c>
      <x:c r="AD262" s="412" t="n">
        <x:f>IF(AND(ISNUMBER(AD261),ISNUMBER($G$138),$G$138&gt;=0),AD261+AD261*$G$138-IF(AND($J$134="Cash payout",$G$138&gt;=0),AD261*$G$138,0)+X262,"")</x:f>
        <x:v>4268148.673759714</x:v>
      </x:c>
      <x:c r="AE262" s="412" t="n">
        <x:f>IF(AND(ISNUMBER(AD261),ISNUMBER($G$138),$G$138&gt;=0),AE261+IF(AND($J$134="Cash payout",$G$138&gt;=0),AD261*$G$138,0),"")</x:f>
        <x:v>0</x:v>
      </x:c>
      <x:c r="AF262" s="412" t="n">
        <x:f>IF(ISNUMBER(AF261),AF261+X262,"")</x:f>
        <x:v>208898.25271554862</x:v>
      </x:c>
      <x:c r="AG262" s="412" t="n">
        <x:f>IF(AND(ISNUMBER(AD262),ISNUMBER(AE262),ISNUMBER(AF262)),AD262+AE262-AF262,"")</x:f>
        <x:v>4059250.4210441653</x:v>
      </x:c>
      <x:c r="AH262" s="416" t="n">
        <x:f>IF(AND(AF262&gt;0,ISNUMBER(AG262)),AG262/AF262,"")</x:f>
        <x:v>19.431710740881794</x:v>
      </x:c>
      <x:c r="AI262" s="412" t="n">
        <x:f>IF(AND(ISNUMBER(AI261),ISNUMBER($J$138),$J$138&gt;=-1),AI261+AI261*$J$138-IF(AND($J$134="Cash payout",$J$138&gt;=0),AI261*$J$138,0)+X262,"")</x:f>
        <x:v>4268148.673759714</x:v>
      </x:c>
      <x:c r="AJ262" s="412" t="n">
        <x:f>IF(AND(ISNUMBER(AI261),ISNUMBER($J$138),$J$138&gt;=-1),AJ261+IF(AND($J$134="Cash payout",$J$138&gt;=0),AI261*$J$138,0),"")</x:f>
        <x:v>0</x:v>
      </x:c>
      <x:c r="AK262" s="412" t="n">
        <x:f>IF(ISNUMBER(AK261),AK261+X262,"")</x:f>
        <x:v>208898.25271554862</x:v>
      </x:c>
      <x:c r="AL262" s="412" t="n">
        <x:f>IF(AND(ISNUMBER(AI262),ISNUMBER(AJ262),ISNUMBER(AK262)),AI262+AJ262-AK262,"")</x:f>
        <x:v>4059250.4210441653</x:v>
      </x:c>
      <x:c r="AM262" s="416" t="n">
        <x:f>IF(AND(AK262&gt;0,ISNUMBER(AL262)),AL262/AK262,"")</x:f>
        <x:v>19.431710740881794</x:v>
      </x:c>
    </x:row>
    <x:row r="263" ht="24" customHeight="1">
      <x:c r="A263" s="419" t="n">
        <x:f>63</x:f>
        <x:v>63</x:v>
      </x:c>
      <x:c r="B263" s="414" t="n">
        <x:v>0</x:v>
      </x:c>
      <x:c r="C263" s="412" t="n">
        <x:f>IF(AND(ISNUMBER($H$17),ISNUMBER($J$73),$J$73&gt;-1,$J$73&lt;=5),$H$17*(1+$J$73)^(63-1),"")</x:f>
        <x:v>887486.2623548976</x:v>
      </x:c>
      <x:c r="D263" s="412" t="n">
        <x:f>IF(AND(ISNUMBER($H$18),ISNUMBER($J$74),$J$74&gt;-1,$J$74&lt;=5),$H$18*(1+$J$74)^(63-1),"")</x:f>
        <x:v>187512.05199246397</x:v>
      </x:c>
      <x:c r="E263" s="412" t="n">
        <x:f>IF(AND(ISNUMBER($H$22),ISNUMBER($J$74),$J$74&gt;-1,$J$74&lt;=5),$H$22*(1+$J$74)^(63-1),"")</x:f>
        <x:v>0</x:v>
      </x:c>
      <x:c r="F263" s="412" t="n">
        <x:f>IF(AND(ISNUMBER(C263),ISNUMBER(D263)),C263-D263,"")</x:f>
        <x:v>699974.2103624336</x:v>
      </x:c>
      <x:c r="G263" s="412" t="n">
        <x:f>IF(AND(ISNUMBER(F263),ISNUMBER(E263)),F263-E263,"")</x:f>
        <x:v>699974.2103624336</x:v>
      </x:c>
      <x:c r="H263" s="412" t="n">
        <x:f>IF(COUNT(M1145:M1156)=12,SUM(M1145:M1156),"")</x:f>
        <x:v>0</x:v>
      </x:c>
      <x:c r="I263" s="412" t="n">
        <x:f>SUM(E1145:E1156)</x:f>
        <x:v>0</x:v>
      </x:c>
      <x:c r="J263" s="412" t="n">
        <x:f>SUM(F1145:F1156)</x:f>
        <x:v>0</x:v>
      </x:c>
      <x:c r="K263" s="412" t="n">
        <x:f>SUM(G1145:G1156)</x:f>
        <x:v>0</x:v>
      </x:c>
      <x:c r="L263" s="412" t="n">
        <x:f>IF(AND(ISNUMBER(G263),ISNUMBER(H263),ISNUMBER(J263),ISNUMBER(K263)),G263-H263-B263-J263-K263,"")</x:f>
        <x:v>699974.2103624336</x:v>
      </x:c>
      <x:c r="M263" s="412" t="n">
        <x:f>IF(ISNUMBER(N1156),N1156,"")</x:f>
        <x:v>0</x:v>
      </x:c>
      <x:c r="N263" s="412" t="n">
        <x:f>IF(ISNUMBER($J$77),IF(AND($J$77&gt;0,$J$77&lt;=1,ISNUMBER($H$17),ISNUMBER($H$18),ISNUMBER($J$73),$J$73&gt;-1,$J$73&lt;=5,ISNUMBER($J$74),$J$74&gt;-1,$J$74&lt;=5),($H$17*(1+$J$73)^63-$H$18*(1+$J$74)^63)/$J$77,""),IF(AND($J$77="",ISNUMBER($B$15),$B$15&gt;0,ISNUMBER($J$72),$J$72&gt;-1,$J$72&lt;=5),$B$15*(1+$J$72)^63,""))</x:f>
        <x:v>11241492.65649537</x:v>
      </x:c>
      <x:c r="O263" s="412" t="n">
        <x:f>IF(AND(ISNUMBER(N263),ISNUMBER(M263)),N263*(1-$J$75)-M263,"")</x:f>
        <x:v>11241492.65649537</x:v>
      </x:c>
      <x:c r="P263" s="412" t="n">
        <x:f>IF(AND(ISNUMBER(P262),ISNUMBER(L263)),P262+L263,"")</x:f>
        <x:v>14002126.775786199</x:v>
      </x:c>
      <x:c r="Q263" s="412" t="n">
        <x:f>IF(AND(ISNUMBER(Q262),ISNUMBER(L263)),Q262+MAX(0,-L263),"")</x:f>
        <x:v>208898.25271554862</x:v>
      </x:c>
      <x:c r="R263" s="412" t="n">
        <x:f>IF(AND(ISNUMBER(R262),ISNUMBER(L263)),R262+MAX(0,L263),"")</x:f>
        <x:v>14021025.028501749</x:v>
      </x:c>
      <x:c r="S263" s="412" t="n">
        <x:f>IF(AND(ISNUMBER(Q262),ISNUMBER(L263),ISNUMBER(O263)),Q262+MAX(0,-(L263+O263)),"")</x:f>
        <x:v>208898.25271554862</x:v>
      </x:c>
      <x:c r="T263" s="412" t="n">
        <x:f>IF(AND(ISNUMBER(R262),ISNUMBER(L263),ISNUMBER(O263)),R262+MAX(0,L263+O263),"")</x:f>
        <x:v>25262517.68499712</x:v>
      </x:c>
      <x:c r="U263" s="412" t="n">
        <x:f>IF(AND(ISNUMBER(O263),ISNUMBER(P263),ISNUMBER($E$18)),O263+P263-$E$18,"")</x:f>
        <x:v>25053619.43228157</x:v>
      </x:c>
      <x:c r="V263" s="416" t="n">
        <x:f>IF(AND(S263&gt;0,ISNUMBER(U263)),U263/S263,"")</x:f>
        <x:v>119.93216365670821</x:v>
      </x:c>
      <x:c r="W263" s="418" t="n">
        <x:f>IF(AND(S263&gt;0,ISNUMBER(T263)),T263/S263,"")</x:f>
        <x:v>120.93216365670823</x:v>
      </x:c>
      <x:c r="X263" s="412" t="n">
        <x:f>IF($B$136="No",0,IF(AND(ISNUMBER(L263),OR(63&lt;&gt;$B$134,ISNUMBER(O263))),MAX(0,-(L263+IF(63=$B$134,O263,0))),0))</x:f>
        <x:v>0</x:v>
      </x:c>
      <x:c r="Y263" s="412" t="n">
        <x:f>IF(AND(ISNUMBER(Y262),ISNUMBER($D$138),$D$138&gt;=-1),Y262+Y262*$D$138-0+X263,"")</x:f>
        <x:v>26325454.684156075</x:v>
      </x:c>
      <x:c r="Z263" s="412" t="n">
        <x:f>IF(AND(ISNUMBER(Y262),ISNUMBER($D$138),$D$138&gt;=-1),Z262+0,"")</x:f>
        <x:v>0</x:v>
      </x:c>
      <x:c r="AA263" s="412" t="n">
        <x:f>IF(ISNUMBER(AA262),AA262+X263,"")</x:f>
        <x:v>208898.25271554862</x:v>
      </x:c>
      <x:c r="AB263" s="412" t="n">
        <x:f>IF(AND(ISNUMBER(Y263),ISNUMBER(Z263),ISNUMBER(AA263)),Y263+Z263-AA263,"")</x:f>
        <x:v>26116556.431440525</x:v>
      </x:c>
      <x:c r="AC263" s="416" t="n">
        <x:f>IF(AND(AA263&gt;0,ISNUMBER(AB263)),AB263/AA263,"")</x:f>
        <x:v>125.0204637518092</x:v>
      </x:c>
      <x:c r="AD263" s="412" t="n">
        <x:f>IF(AND(ISNUMBER(AD262),ISNUMBER($G$138),$G$138&gt;=0),AD262+AD262*$G$138-IF(AND($J$134="Cash payout",$G$138&gt;=0),AD262*$G$138,0)+X263,"")</x:f>
        <x:v>4481556.1074477</x:v>
      </x:c>
      <x:c r="AE263" s="412" t="n">
        <x:f>IF(AND(ISNUMBER(AD262),ISNUMBER($G$138),$G$138&gt;=0),AE262+IF(AND($J$134="Cash payout",$G$138&gt;=0),AD262*$G$138,0),"")</x:f>
        <x:v>0</x:v>
      </x:c>
      <x:c r="AF263" s="412" t="n">
        <x:f>IF(ISNUMBER(AF262),AF262+X263,"")</x:f>
        <x:v>208898.25271554862</x:v>
      </x:c>
      <x:c r="AG263" s="412" t="n">
        <x:f>IF(AND(ISNUMBER(AD263),ISNUMBER(AE263),ISNUMBER(AF263)),AD263+AE263-AF263,"")</x:f>
        <x:v>4272657.854732151</x:v>
      </x:c>
      <x:c r="AH263" s="416" t="n">
        <x:f>IF(AND(AF263&gt;0,ISNUMBER(AG263)),AG263/AF263,"")</x:f>
        <x:v>20.453296277925883</x:v>
      </x:c>
      <x:c r="AI263" s="412" t="n">
        <x:f>IF(AND(ISNUMBER(AI262),ISNUMBER($J$138),$J$138&gt;=-1),AI262+AI262*$J$138-IF(AND($J$134="Cash payout",$J$138&gt;=0),AI262*$J$138,0)+X263,"")</x:f>
        <x:v>4481556.1074477</x:v>
      </x:c>
      <x:c r="AJ263" s="412" t="n">
        <x:f>IF(AND(ISNUMBER(AI262),ISNUMBER($J$138),$J$138&gt;=-1),AJ262+IF(AND($J$134="Cash payout",$J$138&gt;=0),AI262*$J$138,0),"")</x:f>
        <x:v>0</x:v>
      </x:c>
      <x:c r="AK263" s="412" t="n">
        <x:f>IF(ISNUMBER(AK262),AK262+X263,"")</x:f>
        <x:v>208898.25271554862</x:v>
      </x:c>
      <x:c r="AL263" s="412" t="n">
        <x:f>IF(AND(ISNUMBER(AI263),ISNUMBER(AJ263),ISNUMBER(AK263)),AI263+AJ263-AK263,"")</x:f>
        <x:v>4272657.854732151</x:v>
      </x:c>
      <x:c r="AM263" s="416" t="n">
        <x:f>IF(AND(AK263&gt;0,ISNUMBER(AL263)),AL263/AK263,"")</x:f>
        <x:v>20.453296277925883</x:v>
      </x:c>
    </x:row>
    <x:row r="264" ht="24" customHeight="1">
      <x:c r="A264" s="419" t="n">
        <x:f>64</x:f>
        <x:v>64</x:v>
      </x:c>
      <x:c r="B264" s="414" t="n">
        <x:v>0</x:v>
      </x:c>
      <x:c r="C264" s="412" t="n">
        <x:f>IF(AND(ISNUMBER($H$17),ISNUMBER($J$73),$J$73&gt;-1,$J$73&lt;=5),$H$17*(1+$J$73)^(64-1),"")</x:f>
        <x:v>922985.7128490935</x:v>
      </x:c>
      <x:c r="D264" s="412" t="n">
        <x:f>IF(AND(ISNUMBER($H$18),ISNUMBER($J$74),$J$74&gt;-1,$J$74&lt;=5),$H$18*(1+$J$74)^(64-1),"")</x:f>
        <x:v>193137.4135522379</x:v>
      </x:c>
      <x:c r="E264" s="412" t="n">
        <x:f>IF(AND(ISNUMBER($H$22),ISNUMBER($J$74),$J$74&gt;-1,$J$74&lt;=5),$H$22*(1+$J$74)^(64-1),"")</x:f>
        <x:v>0</x:v>
      </x:c>
      <x:c r="F264" s="412" t="n">
        <x:f>IF(AND(ISNUMBER(C264),ISNUMBER(D264)),C264-D264,"")</x:f>
        <x:v>729848.2992968556</x:v>
      </x:c>
      <x:c r="G264" s="412" t="n">
        <x:f>IF(AND(ISNUMBER(F264),ISNUMBER(E264)),F264-E264,"")</x:f>
        <x:v>729848.2992968556</x:v>
      </x:c>
      <x:c r="H264" s="412" t="n">
        <x:f>IF(COUNT(M1157:M1168)=12,SUM(M1157:M1168),"")</x:f>
        <x:v>0</x:v>
      </x:c>
      <x:c r="I264" s="412" t="n">
        <x:f>SUM(E1157:E1168)</x:f>
        <x:v>0</x:v>
      </x:c>
      <x:c r="J264" s="412" t="n">
        <x:f>SUM(F1157:F1168)</x:f>
        <x:v>0</x:v>
      </x:c>
      <x:c r="K264" s="412" t="n">
        <x:f>SUM(G1157:G1168)</x:f>
        <x:v>0</x:v>
      </x:c>
      <x:c r="L264" s="412" t="n">
        <x:f>IF(AND(ISNUMBER(G264),ISNUMBER(H264),ISNUMBER(J264),ISNUMBER(K264)),G264-H264-B264-J264-K264,"")</x:f>
        <x:v>729848.2992968556</x:v>
      </x:c>
      <x:c r="M264" s="412" t="n">
        <x:f>IF(ISNUMBER(N1168),N1168,"")</x:f>
        <x:v>0</x:v>
      </x:c>
      <x:c r="N264" s="412" t="n">
        <x:f>IF(ISNUMBER($J$77),IF(AND($J$77&gt;0,$J$77&lt;=1,ISNUMBER($H$17),ISNUMBER($H$18),ISNUMBER($J$73),$J$73&gt;-1,$J$73&lt;=5,ISNUMBER($J$74),$J$74&gt;-1,$J$74&lt;=5),($H$17*(1+$J$73)^64-$H$18*(1+$J$74)^64)/$J$77,""),IF(AND($J$77="",ISNUMBER($B$15),$B$15&gt;0,ISNUMBER($J$72),$J$72&gt;-1,$J$72&lt;=5),$B$15*(1+$J$72)^64,""))</x:f>
        <x:v>11691152.362755185</x:v>
      </x:c>
      <x:c r="O264" s="412" t="n">
        <x:f>IF(AND(ISNUMBER(N264),ISNUMBER(M264)),N264*(1-$J$75)-M264,"")</x:f>
        <x:v>11691152.362755185</x:v>
      </x:c>
      <x:c r="P264" s="412" t="n">
        <x:f>IF(AND(ISNUMBER(P263),ISNUMBER(L264)),P263+L264,"")</x:f>
        <x:v>14731975.075083055</x:v>
      </x:c>
      <x:c r="Q264" s="412" t="n">
        <x:f>IF(AND(ISNUMBER(Q263),ISNUMBER(L264)),Q263+MAX(0,-L264),"")</x:f>
        <x:v>208898.25271554862</x:v>
      </x:c>
      <x:c r="R264" s="412" t="n">
        <x:f>IF(AND(ISNUMBER(R263),ISNUMBER(L264)),R263+MAX(0,L264),"")</x:f>
        <x:v>14750873.327798605</x:v>
      </x:c>
      <x:c r="S264" s="412" t="n">
        <x:f>IF(AND(ISNUMBER(Q263),ISNUMBER(L264),ISNUMBER(O264)),Q263+MAX(0,-(L264+O264)),"")</x:f>
        <x:v>208898.25271554862</x:v>
      </x:c>
      <x:c r="T264" s="412" t="n">
        <x:f>IF(AND(ISNUMBER(R263),ISNUMBER(L264),ISNUMBER(O264)),R263+MAX(0,L264+O264),"")</x:f>
        <x:v>26442025.69055379</x:v>
      </x:c>
      <x:c r="U264" s="412" t="n">
        <x:f>IF(AND(ISNUMBER(O264),ISNUMBER(P264),ISNUMBER($E$18)),O264+P264-$E$18,"")</x:f>
        <x:v>26233127.43783824</x:v>
      </x:c>
      <x:c r="V264" s="416" t="n">
        <x:f>IF(AND(S264&gt;0,ISNUMBER(U264)),U264/S264,"")</x:f>
        <x:v>125.57849142739943</x:v>
      </x:c>
      <x:c r="W264" s="418" t="n">
        <x:f>IF(AND(S264&gt;0,ISNUMBER(T264)),T264/S264,"")</x:f>
        <x:v>126.57849142739944</x:v>
      </x:c>
      <x:c r="X264" s="412" t="n">
        <x:f>IF($B$136="No",0,IF(AND(ISNUMBER(L264),OR(64&lt;&gt;$B$134,ISNUMBER(O264))),MAX(0,-(L264+IF(64=$B$134,O264,0))),0))</x:f>
        <x:v>0</x:v>
      </x:c>
      <x:c r="Y264" s="412" t="n">
        <x:f>IF(AND(ISNUMBER(Y263),ISNUMBER($D$138),$D$138&gt;=-1),Y263+Y263*$D$138-0+X264,"")</x:f>
        <x:v>28431491.058888562</x:v>
      </x:c>
      <x:c r="Z264" s="412" t="n">
        <x:f>IF(AND(ISNUMBER(Y263),ISNUMBER($D$138),$D$138&gt;=-1),Z263+0,"")</x:f>
        <x:v>0</x:v>
      </x:c>
      <x:c r="AA264" s="412" t="n">
        <x:f>IF(ISNUMBER(AA263),AA263+X264,"")</x:f>
        <x:v>208898.25271554862</x:v>
      </x:c>
      <x:c r="AB264" s="412" t="n">
        <x:f>IF(AND(ISNUMBER(Y264),ISNUMBER(Z264),ISNUMBER(AA264)),Y264+Z264-AA264,"")</x:f>
        <x:v>28222592.80617301</x:v>
      </x:c>
      <x:c r="AC264" s="416" t="n">
        <x:f>IF(AND(AA264&gt;0,ISNUMBER(AB264)),AB264/AA264,"")</x:f>
        <x:v>135.10210085195394</x:v>
      </x:c>
      <x:c r="AD264" s="412" t="n">
        <x:f>IF(AND(ISNUMBER(AD263),ISNUMBER($G$138),$G$138&gt;=0),AD263+AD263*$G$138-IF(AND($J$134="Cash payout",$G$138&gt;=0),AD263*$G$138,0)+X264,"")</x:f>
        <x:v>4705633.912820085</x:v>
      </x:c>
      <x:c r="AE264" s="412" t="n">
        <x:f>IF(AND(ISNUMBER(AD263),ISNUMBER($G$138),$G$138&gt;=0),AE263+IF(AND($J$134="Cash payout",$G$138&gt;=0),AD263*$G$138,0),"")</x:f>
        <x:v>0</x:v>
      </x:c>
      <x:c r="AF264" s="412" t="n">
        <x:f>IF(ISNUMBER(AF263),AF263+X264,"")</x:f>
        <x:v>208898.25271554862</x:v>
      </x:c>
      <x:c r="AG264" s="412" t="n">
        <x:f>IF(AND(ISNUMBER(AD264),ISNUMBER(AE264),ISNUMBER(AF264)),AD264+AE264-AF264,"")</x:f>
        <x:v>4496735.660104536</x:v>
      </x:c>
      <x:c r="AH264" s="416" t="n">
        <x:f>IF(AND(AF264&gt;0,ISNUMBER(AG264)),AG264/AF264,"")</x:f>
        <x:v>21.52596109182218</x:v>
      </x:c>
      <x:c r="AI264" s="412" t="n">
        <x:f>IF(AND(ISNUMBER(AI263),ISNUMBER($J$138),$J$138&gt;=-1),AI263+AI263*$J$138-IF(AND($J$134="Cash payout",$J$138&gt;=0),AI263*$J$138,0)+X264,"")</x:f>
        <x:v>4705633.912820085</x:v>
      </x:c>
      <x:c r="AJ264" s="412" t="n">
        <x:f>IF(AND(ISNUMBER(AI263),ISNUMBER($J$138),$J$138&gt;=-1),AJ263+IF(AND($J$134="Cash payout",$J$138&gt;=0),AI263*$J$138,0),"")</x:f>
        <x:v>0</x:v>
      </x:c>
      <x:c r="AK264" s="412" t="n">
        <x:f>IF(ISNUMBER(AK263),AK263+X264,"")</x:f>
        <x:v>208898.25271554862</x:v>
      </x:c>
      <x:c r="AL264" s="412" t="n">
        <x:f>IF(AND(ISNUMBER(AI264),ISNUMBER(AJ264),ISNUMBER(AK264)),AI264+AJ264-AK264,"")</x:f>
        <x:v>4496735.660104536</x:v>
      </x:c>
      <x:c r="AM264" s="416" t="n">
        <x:f>IF(AND(AK264&gt;0,ISNUMBER(AL264)),AL264/AK264,"")</x:f>
        <x:v>21.52596109182218</x:v>
      </x:c>
    </x:row>
    <x:row r="265" ht="24" customHeight="1">
      <x:c r="A265" s="419" t="n">
        <x:f>65</x:f>
        <x:v>65</x:v>
      </x:c>
      <x:c r="B265" s="414" t="n">
        <x:v>0</x:v>
      </x:c>
      <x:c r="C265" s="412" t="n">
        <x:f>IF(AND(ISNUMBER($H$17),ISNUMBER($J$73),$J$73&gt;-1,$J$73&lt;=5),$H$17*(1+$J$73)^(65-1),"")</x:f>
        <x:v>959905.1413630573</x:v>
      </x:c>
      <x:c r="D265" s="412" t="n">
        <x:f>IF(AND(ISNUMBER($H$18),ISNUMBER($J$74),$J$74&gt;-1,$J$74&lt;=5),$H$18*(1+$J$74)^(65-1),"")</x:f>
        <x:v>198931.53595880503</x:v>
      </x:c>
      <x:c r="E265" s="412" t="n">
        <x:f>IF(AND(ISNUMBER($H$22),ISNUMBER($J$74),$J$74&gt;-1,$J$74&lt;=5),$H$22*(1+$J$74)^(65-1),"")</x:f>
        <x:v>0</x:v>
      </x:c>
      <x:c r="F265" s="412" t="n">
        <x:f>IF(AND(ISNUMBER(C265),ISNUMBER(D265)),C265-D265,"")</x:f>
        <x:v>760973.6054042523</x:v>
      </x:c>
      <x:c r="G265" s="412" t="n">
        <x:f>IF(AND(ISNUMBER(F265),ISNUMBER(E265)),F265-E265,"")</x:f>
        <x:v>760973.6054042523</x:v>
      </x:c>
      <x:c r="H265" s="412" t="n">
        <x:f>IF(COUNT(M1169:M1180)=12,SUM(M1169:M1180),"")</x:f>
        <x:v>0</x:v>
      </x:c>
      <x:c r="I265" s="412" t="n">
        <x:f>SUM(E1169:E1180)</x:f>
        <x:v>0</x:v>
      </x:c>
      <x:c r="J265" s="412" t="n">
        <x:f>SUM(F1169:F1180)</x:f>
        <x:v>0</x:v>
      </x:c>
      <x:c r="K265" s="412" t="n">
        <x:f>SUM(G1169:G1180)</x:f>
        <x:v>0</x:v>
      </x:c>
      <x:c r="L265" s="412" t="n">
        <x:f>IF(AND(ISNUMBER(G265),ISNUMBER(H265),ISNUMBER(J265),ISNUMBER(K265)),G265-H265-B265-J265-K265,"")</x:f>
        <x:v>760973.6054042523</x:v>
      </x:c>
      <x:c r="M265" s="412" t="n">
        <x:f>IF(ISNUMBER(N1180),N1180,"")</x:f>
        <x:v>0</x:v>
      </x:c>
      <x:c r="N265" s="412" t="n">
        <x:f>IF(ISNUMBER($J$77),IF(AND($J$77&gt;0,$J$77&lt;=1,ISNUMBER($H$17),ISNUMBER($H$18),ISNUMBER($J$73),$J$73&gt;-1,$J$73&lt;=5,ISNUMBER($J$74),$J$74&gt;-1,$J$74&lt;=5),($H$17*(1+$J$73)^65-$H$18*(1+$J$74)^65)/$J$77,""),IF(AND($J$77="",ISNUMBER($B$15),$B$15&gt;0,ISNUMBER($J$72),$J$72&gt;-1,$J$72&lt;=5),$B$15*(1+$J$72)^65,""))</x:f>
        <x:v>12158798.457265394</x:v>
      </x:c>
      <x:c r="O265" s="412" t="n">
        <x:f>IF(AND(ISNUMBER(N265),ISNUMBER(M265)),N265*(1-$J$75)-M265,"")</x:f>
        <x:v>12158798.457265394</x:v>
      </x:c>
      <x:c r="P265" s="412" t="n">
        <x:f>IF(AND(ISNUMBER(P264),ISNUMBER(L265)),P264+L265,"")</x:f>
        <x:v>15492948.680487307</x:v>
      </x:c>
      <x:c r="Q265" s="412" t="n">
        <x:f>IF(AND(ISNUMBER(Q264),ISNUMBER(L265)),Q264+MAX(0,-L265),"")</x:f>
        <x:v>208898.25271554862</x:v>
      </x:c>
      <x:c r="R265" s="412" t="n">
        <x:f>IF(AND(ISNUMBER(R264),ISNUMBER(L265)),R264+MAX(0,L265),"")</x:f>
        <x:v>15511846.933202857</x:v>
      </x:c>
      <x:c r="S265" s="412" t="n">
        <x:f>IF(AND(ISNUMBER(Q264),ISNUMBER(L265),ISNUMBER(O265)),Q264+MAX(0,-(L265+O265)),"")</x:f>
        <x:v>208898.25271554862</x:v>
      </x:c>
      <x:c r="T265" s="412" t="n">
        <x:f>IF(AND(ISNUMBER(R264),ISNUMBER(L265),ISNUMBER(O265)),R264+MAX(0,L265+O265),"")</x:f>
        <x:v>27670645.39046825</x:v>
      </x:c>
      <x:c r="U265" s="412" t="n">
        <x:f>IF(AND(ISNUMBER(O265),ISNUMBER(P265),ISNUMBER($E$18)),O265+P265-$E$18,"")</x:f>
        <x:v>27461747.1377527</x:v>
      </x:c>
      <x:c r="V265" s="416" t="n">
        <x:f>IF(AND(S265&gt;0,ISNUMBER(U265)),U265/S265,"")</x:f>
        <x:v>131.45991783448116</x:v>
      </x:c>
      <x:c r="W265" s="418" t="n">
        <x:f>IF(AND(S265&gt;0,ISNUMBER(T265)),T265/S265,"")</x:f>
        <x:v>132.45991783448116</x:v>
      </x:c>
      <x:c r="X265" s="412" t="n">
        <x:f>IF($B$136="No",0,IF(AND(ISNUMBER(L265),OR(65&lt;&gt;$B$134,ISNUMBER(O265))),MAX(0,-(L265+IF(65=$B$134,O265,0))),0))</x:f>
        <x:v>0</x:v>
      </x:c>
      <x:c r="Y265" s="412" t="n">
        <x:f>IF(AND(ISNUMBER(Y264),ISNUMBER($D$138),$D$138&gt;=-1),Y264+Y264*$D$138-0+X265,"")</x:f>
        <x:v>30706010.343599647</x:v>
      </x:c>
      <x:c r="Z265" s="412" t="n">
        <x:f>IF(AND(ISNUMBER(Y264),ISNUMBER($D$138),$D$138&gt;=-1),Z264+0,"")</x:f>
        <x:v>0</x:v>
      </x:c>
      <x:c r="AA265" s="412" t="n">
        <x:f>IF(ISNUMBER(AA264),AA264+X265,"")</x:f>
        <x:v>208898.25271554862</x:v>
      </x:c>
      <x:c r="AB265" s="412" t="n">
        <x:f>IF(AND(ISNUMBER(Y265),ISNUMBER(Z265),ISNUMBER(AA265)),Y265+Z265-AA265,"")</x:f>
        <x:v>30497112.090884097</x:v>
      </x:c>
      <x:c r="AC265" s="416" t="n">
        <x:f>IF(AND(AA265&gt;0,ISNUMBER(AB265)),AB265/AA265,"")</x:f>
        <x:v>145.99026892011025</x:v>
      </x:c>
      <x:c r="AD265" s="412" t="n">
        <x:f>IF(AND(ISNUMBER(AD264),ISNUMBER($G$138),$G$138&gt;=0),AD264+AD264*$G$138-IF(AND($J$134="Cash payout",$G$138&gt;=0),AD264*$G$138,0)+X265,"")</x:f>
        <x:v>4940915.608461089</x:v>
      </x:c>
      <x:c r="AE265" s="412" t="n">
        <x:f>IF(AND(ISNUMBER(AD264),ISNUMBER($G$138),$G$138&gt;=0),AE264+IF(AND($J$134="Cash payout",$G$138&gt;=0),AD264*$G$138,0),"")</x:f>
        <x:v>0</x:v>
      </x:c>
      <x:c r="AF265" s="412" t="n">
        <x:f>IF(ISNUMBER(AF264),AF264+X265,"")</x:f>
        <x:v>208898.25271554862</x:v>
      </x:c>
      <x:c r="AG265" s="412" t="n">
        <x:f>IF(AND(ISNUMBER(AD265),ISNUMBER(AE265),ISNUMBER(AF265)),AD265+AE265-AF265,"")</x:f>
        <x:v>4732017.355745541</x:v>
      </x:c>
      <x:c r="AH265" s="416" t="n">
        <x:f>IF(AND(AF265&gt;0,ISNUMBER(AG265)),AG265/AF265,"")</x:f>
        <x:v>22.65225914641329</x:v>
      </x:c>
      <x:c r="AI265" s="412" t="n">
        <x:f>IF(AND(ISNUMBER(AI264),ISNUMBER($J$138),$J$138&gt;=-1),AI264+AI264*$J$138-IF(AND($J$134="Cash payout",$J$138&gt;=0),AI264*$J$138,0)+X265,"")</x:f>
        <x:v>4940915.608461089</x:v>
      </x:c>
      <x:c r="AJ265" s="412" t="n">
        <x:f>IF(AND(ISNUMBER(AI264),ISNUMBER($J$138),$J$138&gt;=-1),AJ264+IF(AND($J$134="Cash payout",$J$138&gt;=0),AI264*$J$138,0),"")</x:f>
        <x:v>0</x:v>
      </x:c>
      <x:c r="AK265" s="412" t="n">
        <x:f>IF(ISNUMBER(AK264),AK264+X265,"")</x:f>
        <x:v>208898.25271554862</x:v>
      </x:c>
      <x:c r="AL265" s="412" t="n">
        <x:f>IF(AND(ISNUMBER(AI265),ISNUMBER(AJ265),ISNUMBER(AK265)),AI265+AJ265-AK265,"")</x:f>
        <x:v>4732017.355745541</x:v>
      </x:c>
      <x:c r="AM265" s="416" t="n">
        <x:f>IF(AND(AK265&gt;0,ISNUMBER(AL265)),AL265/AK265,"")</x:f>
        <x:v>22.65225914641329</x:v>
      </x:c>
    </x:row>
    <x:row r="266" ht="24" customHeight="1">
      <x:c r="A266" s="419" t="n">
        <x:f>66</x:f>
        <x:v>66</x:v>
      </x:c>
      <x:c r="B266" s="414" t="n">
        <x:v>0</x:v>
      </x:c>
      <x:c r="C266" s="412" t="n">
        <x:f>IF(AND(ISNUMBER($H$17),ISNUMBER($J$73),$J$73&gt;-1,$J$73&lt;=5),$H$17*(1+$J$73)^(66-1),"")</x:f>
        <x:v>998301.3470175796</x:v>
      </x:c>
      <x:c r="D266" s="412" t="n">
        <x:f>IF(AND(ISNUMBER($H$18),ISNUMBER($J$74),$J$74&gt;-1,$J$74&lt;=5),$H$18*(1+$J$74)^(66-1),"")</x:f>
        <x:v>204899.4820375692</x:v>
      </x:c>
      <x:c r="E266" s="412" t="n">
        <x:f>IF(AND(ISNUMBER($H$22),ISNUMBER($J$74),$J$74&gt;-1,$J$74&lt;=5),$H$22*(1+$J$74)^(66-1),"")</x:f>
        <x:v>0</x:v>
      </x:c>
      <x:c r="F266" s="412" t="n">
        <x:f>IF(AND(ISNUMBER(C266),ISNUMBER(D266)),C266-D266,"")</x:f>
        <x:v>793401.8649800104</x:v>
      </x:c>
      <x:c r="G266" s="412" t="n">
        <x:f>IF(AND(ISNUMBER(F266),ISNUMBER(E266)),F266-E266,"")</x:f>
        <x:v>793401.8649800104</x:v>
      </x:c>
      <x:c r="H266" s="412" t="n">
        <x:f>IF(COUNT(M1181:M1192)=12,SUM(M1181:M1192),"")</x:f>
        <x:v>0</x:v>
      </x:c>
      <x:c r="I266" s="412" t="n">
        <x:f>SUM(E1181:E1192)</x:f>
        <x:v>0</x:v>
      </x:c>
      <x:c r="J266" s="412" t="n">
        <x:f>SUM(F1181:F1192)</x:f>
        <x:v>0</x:v>
      </x:c>
      <x:c r="K266" s="412" t="n">
        <x:f>SUM(G1181:G1192)</x:f>
        <x:v>0</x:v>
      </x:c>
      <x:c r="L266" s="412" t="n">
        <x:f>IF(AND(ISNUMBER(G266),ISNUMBER(H266),ISNUMBER(J266),ISNUMBER(K266)),G266-H266-B266-J266-K266,"")</x:f>
        <x:v>793401.8649800104</x:v>
      </x:c>
      <x:c r="M266" s="412" t="n">
        <x:f>IF(ISNUMBER(N1192),N1192,"")</x:f>
        <x:v>0</x:v>
      </x:c>
      <x:c r="N266" s="412" t="n">
        <x:f>IF(ISNUMBER($J$77),IF(AND($J$77&gt;0,$J$77&lt;=1,ISNUMBER($H$17),ISNUMBER($H$18),ISNUMBER($J$73),$J$73&gt;-1,$J$73&lt;=5,ISNUMBER($J$74),$J$74&gt;-1,$J$74&lt;=5),($H$17*(1+$J$73)^66-$H$18*(1+$J$74)^66)/$J$77,""),IF(AND($J$77="",ISNUMBER($B$15),$B$15&gt;0,ISNUMBER($J$72),$J$72&gt;-1,$J$72&lt;=5),$B$15*(1+$J$72)^66,""))</x:f>
        <x:v>12645150.39555601</x:v>
      </x:c>
      <x:c r="O266" s="412" t="n">
        <x:f>IF(AND(ISNUMBER(N266),ISNUMBER(M266)),N266*(1-$J$75)-M266,"")</x:f>
        <x:v>12645150.39555601</x:v>
      </x:c>
      <x:c r="P266" s="412" t="n">
        <x:f>IF(AND(ISNUMBER(P265),ISNUMBER(L266)),P265+L266,"")</x:f>
        <x:v>16286350.545467317</x:v>
      </x:c>
      <x:c r="Q266" s="412" t="n">
        <x:f>IF(AND(ISNUMBER(Q265),ISNUMBER(L266)),Q265+MAX(0,-L266),"")</x:f>
        <x:v>208898.25271554862</x:v>
      </x:c>
      <x:c r="R266" s="412" t="n">
        <x:f>IF(AND(ISNUMBER(R265),ISNUMBER(L266)),R265+MAX(0,L266),"")</x:f>
        <x:v>16305248.798182867</x:v>
      </x:c>
      <x:c r="S266" s="412" t="n">
        <x:f>IF(AND(ISNUMBER(Q265),ISNUMBER(L266),ISNUMBER(O266)),Q265+MAX(0,-(L266+O266)),"")</x:f>
        <x:v>208898.25271554862</x:v>
      </x:c>
      <x:c r="T266" s="412" t="n">
        <x:f>IF(AND(ISNUMBER(R265),ISNUMBER(L266),ISNUMBER(O266)),R265+MAX(0,L266+O266),"")</x:f>
        <x:v>28950399.193738878</x:v>
      </x:c>
      <x:c r="U266" s="412" t="n">
        <x:f>IF(AND(ISNUMBER(O266),ISNUMBER(P266),ISNUMBER($E$18)),O266+P266-$E$18,"")</x:f>
        <x:v>28741500.941023327</x:v>
      </x:c>
      <x:c r="V266" s="416" t="n">
        <x:f>IF(AND(S266&gt;0,ISNUMBER(U266)),U266/S266,"")</x:f>
        <x:v>137.5861241891759</x:v>
      </x:c>
      <x:c r="W266" s="418" t="n">
        <x:f>IF(AND(S266&gt;0,ISNUMBER(T266)),T266/S266,"")</x:f>
        <x:v>138.58612418917593</x:v>
      </x:c>
      <x:c r="X266" s="412" t="n">
        <x:f>IF($B$136="No",0,IF(AND(ISNUMBER(L266),OR(66&lt;&gt;$B$134,ISNUMBER(O266))),MAX(0,-(L266+IF(66=$B$134,O266,0))),0))</x:f>
        <x:v>0</x:v>
      </x:c>
      <x:c r="Y266" s="412" t="n">
        <x:f>IF(AND(ISNUMBER(Y265),ISNUMBER($D$138),$D$138&gt;=-1),Y265+Y265*$D$138-0+X266,"")</x:f>
        <x:v>33162491.17108762</x:v>
      </x:c>
      <x:c r="Z266" s="412" t="n">
        <x:f>IF(AND(ISNUMBER(Y265),ISNUMBER($D$138),$D$138&gt;=-1),Z265+0,"")</x:f>
        <x:v>0</x:v>
      </x:c>
      <x:c r="AA266" s="412" t="n">
        <x:f>IF(ISNUMBER(AA265),AA265+X266,"")</x:f>
        <x:v>208898.25271554862</x:v>
      </x:c>
      <x:c r="AB266" s="412" t="n">
        <x:f>IF(AND(ISNUMBER(Y266),ISNUMBER(Z266),ISNUMBER(AA266)),Y266+Z266-AA266,"")</x:f>
        <x:v>32953592.91837207</x:v>
      </x:c>
      <x:c r="AC266" s="416" t="n">
        <x:f>IF(AND(AA266&gt;0,ISNUMBER(AB266)),AB266/AA266,"")</x:f>
        <x:v>157.74949043371907</x:v>
      </x:c>
      <x:c r="AD266" s="412" t="n">
        <x:f>IF(AND(ISNUMBER(AD265),ISNUMBER($G$138),$G$138&gt;=0),AD265+AD265*$G$138-IF(AND($J$134="Cash payout",$G$138&gt;=0),AD265*$G$138,0)+X266,"")</x:f>
        <x:v>5187961.388884144</x:v>
      </x:c>
      <x:c r="AE266" s="412" t="n">
        <x:f>IF(AND(ISNUMBER(AD265),ISNUMBER($G$138),$G$138&gt;=0),AE265+IF(AND($J$134="Cash payout",$G$138&gt;=0),AD265*$G$138,0),"")</x:f>
        <x:v>0</x:v>
      </x:c>
      <x:c r="AF266" s="412" t="n">
        <x:f>IF(ISNUMBER(AF265),AF265+X266,"")</x:f>
        <x:v>208898.25271554862</x:v>
      </x:c>
      <x:c r="AG266" s="412" t="n">
        <x:f>IF(AND(ISNUMBER(AD266),ISNUMBER(AE266),ISNUMBER(AF266)),AD266+AE266-AF266,"")</x:f>
        <x:v>4979063.136168595</x:v>
      </x:c>
      <x:c r="AH266" s="416" t="n">
        <x:f>IF(AND(AF266&gt;0,ISNUMBER(AG266)),AG266/AF266,"")</x:f>
        <x:v>23.834872103733954</x:v>
      </x:c>
      <x:c r="AI266" s="412" t="n">
        <x:f>IF(AND(ISNUMBER(AI265),ISNUMBER($J$138),$J$138&gt;=-1),AI265+AI265*$J$138-IF(AND($J$134="Cash payout",$J$138&gt;=0),AI265*$J$138,0)+X266,"")</x:f>
        <x:v>5187961.388884144</x:v>
      </x:c>
      <x:c r="AJ266" s="412" t="n">
        <x:f>IF(AND(ISNUMBER(AI265),ISNUMBER($J$138),$J$138&gt;=-1),AJ265+IF(AND($J$134="Cash payout",$J$138&gt;=0),AI265*$J$138,0),"")</x:f>
        <x:v>0</x:v>
      </x:c>
      <x:c r="AK266" s="412" t="n">
        <x:f>IF(ISNUMBER(AK265),AK265+X266,"")</x:f>
        <x:v>208898.25271554862</x:v>
      </x:c>
      <x:c r="AL266" s="412" t="n">
        <x:f>IF(AND(ISNUMBER(AI266),ISNUMBER(AJ266),ISNUMBER(AK266)),AI266+AJ266-AK266,"")</x:f>
        <x:v>4979063.136168595</x:v>
      </x:c>
      <x:c r="AM266" s="416" t="n">
        <x:f>IF(AND(AK266&gt;0,ISNUMBER(AL266)),AL266/AK266,"")</x:f>
        <x:v>23.834872103733954</x:v>
      </x:c>
    </x:row>
    <x:row r="267" ht="24" customHeight="1">
      <x:c r="A267" s="419" t="n">
        <x:f>67</x:f>
        <x:v>67</x:v>
      </x:c>
      <x:c r="B267" s="414" t="n">
        <x:v>0</x:v>
      </x:c>
      <x:c r="C267" s="412" t="n">
        <x:f>IF(AND(ISNUMBER($H$17),ISNUMBER($J$73),$J$73&gt;-1,$J$73&lt;=5),$H$17*(1+$J$73)^(67-1),"")</x:f>
        <x:v>1038233.4008982829</x:v>
      </x:c>
      <x:c r="D267" s="412" t="n">
        <x:f>IF(AND(ISNUMBER($H$18),ISNUMBER($J$74),$J$74&gt;-1,$J$74&lt;=5),$H$18*(1+$J$74)^(67-1),"")</x:f>
        <x:v>211046.46649869627</x:v>
      </x:c>
      <x:c r="E267" s="412" t="n">
        <x:f>IF(AND(ISNUMBER($H$22),ISNUMBER($J$74),$J$74&gt;-1,$J$74&lt;=5),$H$22*(1+$J$74)^(67-1),"")</x:f>
        <x:v>0</x:v>
      </x:c>
      <x:c r="F267" s="412" t="n">
        <x:f>IF(AND(ISNUMBER(C267),ISNUMBER(D267)),C267-D267,"")</x:f>
        <x:v>827186.9343995866</x:v>
      </x:c>
      <x:c r="G267" s="412" t="n">
        <x:f>IF(AND(ISNUMBER(F267),ISNUMBER(E267)),F267-E267,"")</x:f>
        <x:v>827186.9343995866</x:v>
      </x:c>
      <x:c r="H267" s="412" t="n">
        <x:f>IF(COUNT(M1193:M1204)=12,SUM(M1193:M1204),"")</x:f>
        <x:v>0</x:v>
      </x:c>
      <x:c r="I267" s="412" t="n">
        <x:f>SUM(E1193:E1204)</x:f>
        <x:v>0</x:v>
      </x:c>
      <x:c r="J267" s="412" t="n">
        <x:f>SUM(F1193:F1204)</x:f>
        <x:v>0</x:v>
      </x:c>
      <x:c r="K267" s="412" t="n">
        <x:f>SUM(G1193:G1204)</x:f>
        <x:v>0</x:v>
      </x:c>
      <x:c r="L267" s="412" t="n">
        <x:f>IF(AND(ISNUMBER(G267),ISNUMBER(H267),ISNUMBER(J267),ISNUMBER(K267)),G267-H267-B267-J267-K267,"")</x:f>
        <x:v>827186.9343995866</x:v>
      </x:c>
      <x:c r="M267" s="412" t="n">
        <x:f>IF(ISNUMBER(N1204),N1204,"")</x:f>
        <x:v>0</x:v>
      </x:c>
      <x:c r="N267" s="412" t="n">
        <x:f>IF(ISNUMBER($J$77),IF(AND($J$77&gt;0,$J$77&lt;=1,ISNUMBER($H$17),ISNUMBER($H$18),ISNUMBER($J$73),$J$73&gt;-1,$J$73&lt;=5,ISNUMBER($J$74),$J$74&gt;-1,$J$74&lt;=5),($H$17*(1+$J$73)^67-$H$18*(1+$J$74)^67)/$J$77,""),IF(AND($J$77="",ISNUMBER($B$15),$B$15&gt;0,ISNUMBER($J$72),$J$72&gt;-1,$J$72&lt;=5),$B$15*(1+$J$72)^67,""))</x:f>
        <x:v>13150956.41137825</x:v>
      </x:c>
      <x:c r="O267" s="412" t="n">
        <x:f>IF(AND(ISNUMBER(N267),ISNUMBER(M267)),N267*(1-$J$75)-M267,"")</x:f>
        <x:v>13150956.41137825</x:v>
      </x:c>
      <x:c r="P267" s="412" t="n">
        <x:f>IF(AND(ISNUMBER(P266),ISNUMBER(L267)),P266+L267,"")</x:f>
        <x:v>17113537.479866903</x:v>
      </x:c>
      <x:c r="Q267" s="412" t="n">
        <x:f>IF(AND(ISNUMBER(Q266),ISNUMBER(L267)),Q266+MAX(0,-L267),"")</x:f>
        <x:v>208898.25271554862</x:v>
      </x:c>
      <x:c r="R267" s="412" t="n">
        <x:f>IF(AND(ISNUMBER(R266),ISNUMBER(L267)),R266+MAX(0,L267),"")</x:f>
        <x:v>17132435.732582454</x:v>
      </x:c>
      <x:c r="S267" s="412" t="n">
        <x:f>IF(AND(ISNUMBER(Q266),ISNUMBER(L267),ISNUMBER(O267)),Q266+MAX(0,-(L267+O267)),"")</x:f>
        <x:v>208898.25271554862</x:v>
      </x:c>
      <x:c r="T267" s="412" t="n">
        <x:f>IF(AND(ISNUMBER(R266),ISNUMBER(L267),ISNUMBER(O267)),R266+MAX(0,L267+O267),"")</x:f>
        <x:v>30283392.143960703</x:v>
      </x:c>
      <x:c r="U267" s="412" t="n">
        <x:f>IF(AND(ISNUMBER(O267),ISNUMBER(P267),ISNUMBER($E$18)),O267+P267-$E$18,"")</x:f>
        <x:v>30074493.891245153</x:v>
      </x:c>
      <x:c r="V267" s="416" t="n">
        <x:f>IF(AND(S267&gt;0,ISNUMBER(U267)),U267/S267,"")</x:f>
        <x:v>143.96718737612812</x:v>
      </x:c>
      <x:c r="W267" s="418" t="n">
        <x:f>IF(AND(S267&gt;0,ISNUMBER(T267)),T267/S267,"")</x:f>
        <x:v>144.96718737612812</x:v>
      </x:c>
      <x:c r="X267" s="412" t="n">
        <x:f>IF($B$136="No",0,IF(AND(ISNUMBER(L267),OR(67&lt;&gt;$B$134,ISNUMBER(O267))),MAX(0,-(L267+IF(67=$B$134,O267,0))),0))</x:f>
        <x:v>0</x:v>
      </x:c>
      <x:c r="Y267" s="412" t="n">
        <x:f>IF(AND(ISNUMBER(Y266),ISNUMBER($D$138),$D$138&gt;=-1),Y266+Y266*$D$138-0+X267,"")</x:f>
        <x:v>35815490.46477463</x:v>
      </x:c>
      <x:c r="Z267" s="412" t="n">
        <x:f>IF(AND(ISNUMBER(Y266),ISNUMBER($D$138),$D$138&gt;=-1),Z266+0,"")</x:f>
        <x:v>0</x:v>
      </x:c>
      <x:c r="AA267" s="412" t="n">
        <x:f>IF(ISNUMBER(AA266),AA266+X267,"")</x:f>
        <x:v>208898.25271554862</x:v>
      </x:c>
      <x:c r="AB267" s="412" t="n">
        <x:f>IF(AND(ISNUMBER(Y267),ISNUMBER(Z267),ISNUMBER(AA267)),Y267+Z267-AA267,"")</x:f>
        <x:v>35606592.21205908</x:v>
      </x:c>
      <x:c r="AC267" s="416" t="n">
        <x:f>IF(AND(AA267&gt;0,ISNUMBER(AB267)),AB267/AA267,"")</x:f>
        <x:v>170.44944966841663</x:v>
      </x:c>
      <x:c r="AD267" s="412" t="n">
        <x:f>IF(AND(ISNUMBER(AD266),ISNUMBER($G$138),$G$138&gt;=0),AD266+AD266*$G$138-IF(AND($J$134="Cash payout",$G$138&gt;=0),AD266*$G$138,0)+X267,"")</x:f>
        <x:v>5447359.458328351</x:v>
      </x:c>
      <x:c r="AE267" s="412" t="n">
        <x:f>IF(AND(ISNUMBER(AD266),ISNUMBER($G$138),$G$138&gt;=0),AE266+IF(AND($J$134="Cash payout",$G$138&gt;=0),AD266*$G$138,0),"")</x:f>
        <x:v>0</x:v>
      </x:c>
      <x:c r="AF267" s="412" t="n">
        <x:f>IF(ISNUMBER(AF266),AF266+X267,"")</x:f>
        <x:v>208898.25271554862</x:v>
      </x:c>
      <x:c r="AG267" s="412" t="n">
        <x:f>IF(AND(ISNUMBER(AD267),ISNUMBER(AE267),ISNUMBER(AF267)),AD267+AE267-AF267,"")</x:f>
        <x:v>5238461.205612803</x:v>
      </x:c>
      <x:c r="AH267" s="416" t="n">
        <x:f>IF(AND(AF267&gt;0,ISNUMBER(AG267)),AG267/AF267,"")</x:f>
        <x:v>25.076615708920652</x:v>
      </x:c>
      <x:c r="AI267" s="412" t="n">
        <x:f>IF(AND(ISNUMBER(AI266),ISNUMBER($J$138),$J$138&gt;=-1),AI266+AI266*$J$138-IF(AND($J$134="Cash payout",$J$138&gt;=0),AI266*$J$138,0)+X267,"")</x:f>
        <x:v>5447359.458328351</x:v>
      </x:c>
      <x:c r="AJ267" s="412" t="n">
        <x:f>IF(AND(ISNUMBER(AI266),ISNUMBER($J$138),$J$138&gt;=-1),AJ266+IF(AND($J$134="Cash payout",$J$138&gt;=0),AI266*$J$138,0),"")</x:f>
        <x:v>0</x:v>
      </x:c>
      <x:c r="AK267" s="412" t="n">
        <x:f>IF(ISNUMBER(AK266),AK266+X267,"")</x:f>
        <x:v>208898.25271554862</x:v>
      </x:c>
      <x:c r="AL267" s="412" t="n">
        <x:f>IF(AND(ISNUMBER(AI267),ISNUMBER(AJ267),ISNUMBER(AK267)),AI267+AJ267-AK267,"")</x:f>
        <x:v>5238461.205612803</x:v>
      </x:c>
      <x:c r="AM267" s="416" t="n">
        <x:f>IF(AND(AK267&gt;0,ISNUMBER(AL267)),AL267/AK267,"")</x:f>
        <x:v>25.076615708920652</x:v>
      </x:c>
    </x:row>
    <x:row r="268" ht="24" customHeight="1">
      <x:c r="A268" s="419" t="n">
        <x:f>68</x:f>
        <x:v>68</x:v>
      </x:c>
      <x:c r="B268" s="414" t="n">
        <x:v>0</x:v>
      </x:c>
      <x:c r="C268" s="412" t="n">
        <x:f>IF(AND(ISNUMBER($H$17),ISNUMBER($J$73),$J$73&gt;-1,$J$73&lt;=5),$H$17*(1+$J$73)^(68-1),"")</x:f>
        <x:v>1079762.7369342141</x:v>
      </x:c>
      <x:c r="D268" s="412" t="n">
        <x:f>IF(AND(ISNUMBER($H$18),ISNUMBER($J$74),$J$74&gt;-1,$J$74&lt;=5),$H$18*(1+$J$74)^(68-1),"")</x:f>
        <x:v>217377.86049365715</x:v>
      </x:c>
      <x:c r="E268" s="412" t="n">
        <x:f>IF(AND(ISNUMBER($H$22),ISNUMBER($J$74),$J$74&gt;-1,$J$74&lt;=5),$H$22*(1+$J$74)^(68-1),"")</x:f>
        <x:v>0</x:v>
      </x:c>
      <x:c r="F268" s="412" t="n">
        <x:f>IF(AND(ISNUMBER(C268),ISNUMBER(D268)),C268-D268,"")</x:f>
        <x:v>862384.876440557</x:v>
      </x:c>
      <x:c r="G268" s="412" t="n">
        <x:f>IF(AND(ISNUMBER(F268),ISNUMBER(E268)),F268-E268,"")</x:f>
        <x:v>862384.876440557</x:v>
      </x:c>
      <x:c r="H268" s="412" t="n">
        <x:f>IF(COUNT(M1205:M1216)=12,SUM(M1205:M1216),"")</x:f>
        <x:v>0</x:v>
      </x:c>
      <x:c r="I268" s="412" t="n">
        <x:f>SUM(E1205:E1216)</x:f>
        <x:v>0</x:v>
      </x:c>
      <x:c r="J268" s="412" t="n">
        <x:f>SUM(F1205:F1216)</x:f>
        <x:v>0</x:v>
      </x:c>
      <x:c r="K268" s="412" t="n">
        <x:f>SUM(G1205:G1216)</x:f>
        <x:v>0</x:v>
      </x:c>
      <x:c r="L268" s="412" t="n">
        <x:f>IF(AND(ISNUMBER(G268),ISNUMBER(H268),ISNUMBER(J268),ISNUMBER(K268)),G268-H268-B268-J268-K268,"")</x:f>
        <x:v>862384.876440557</x:v>
      </x:c>
      <x:c r="M268" s="412" t="n">
        <x:f>IF(ISNUMBER(N1216),N1216,"")</x:f>
        <x:v>0</x:v>
      </x:c>
      <x:c r="N268" s="412" t="n">
        <x:f>IF(ISNUMBER($J$77),IF(AND($J$77&gt;0,$J$77&lt;=1,ISNUMBER($H$17),ISNUMBER($H$18),ISNUMBER($J$73),$J$73&gt;-1,$J$73&lt;=5,ISNUMBER($J$74),$J$74&gt;-1,$J$74&lt;=5),($H$17*(1+$J$73)^68-$H$18*(1+$J$74)^68)/$J$77,""),IF(AND($J$77="",ISNUMBER($B$15),$B$15&gt;0,ISNUMBER($J$72),$J$72&gt;-1,$J$72&lt;=5),$B$15*(1+$J$72)^68,""))</x:f>
        <x:v>13676994.66783338</x:v>
      </x:c>
      <x:c r="O268" s="412" t="n">
        <x:f>IF(AND(ISNUMBER(N268),ISNUMBER(M268)),N268*(1-$J$75)-M268,"")</x:f>
        <x:v>13676994.66783338</x:v>
      </x:c>
      <x:c r="P268" s="412" t="n">
        <x:f>IF(AND(ISNUMBER(P267),ISNUMBER(L268)),P267+L268,"")</x:f>
        <x:v>17975922.35630746</x:v>
      </x:c>
      <x:c r="Q268" s="412" t="n">
        <x:f>IF(AND(ISNUMBER(Q267),ISNUMBER(L268)),Q267+MAX(0,-L268),"")</x:f>
        <x:v>208898.25271554862</x:v>
      </x:c>
      <x:c r="R268" s="412" t="n">
        <x:f>IF(AND(ISNUMBER(R267),ISNUMBER(L268)),R267+MAX(0,L268),"")</x:f>
        <x:v>17994820.609023012</x:v>
      </x:c>
      <x:c r="S268" s="412" t="n">
        <x:f>IF(AND(ISNUMBER(Q267),ISNUMBER(L268),ISNUMBER(O268)),Q267+MAX(0,-(L268+O268)),"")</x:f>
        <x:v>208898.25271554862</x:v>
      </x:c>
      <x:c r="T268" s="412" t="n">
        <x:f>IF(AND(ISNUMBER(R267),ISNUMBER(L268),ISNUMBER(O268)),R267+MAX(0,L268+O268),"")</x:f>
        <x:v>31671815.276856393</x:v>
      </x:c>
      <x:c r="U268" s="412" t="n">
        <x:f>IF(AND(ISNUMBER(O268),ISNUMBER(P268),ISNUMBER($E$18)),O268+P268-$E$18,"")</x:f>
        <x:v>31462917.024140842</x:v>
      </x:c>
      <x:c r="V268" s="416" t="n">
        <x:f>IF(AND(S268&gt;0,ISNUMBER(U268)),U268/S268,"")</x:f>
        <x:v>150.61359592597017</x:v>
      </x:c>
      <x:c r="W268" s="418" t="n">
        <x:f>IF(AND(S268&gt;0,ISNUMBER(T268)),T268/S268,"")</x:f>
        <x:v>151.6135959259702</x:v>
      </x:c>
      <x:c r="X268" s="412" t="n">
        <x:f>IF($B$136="No",0,IF(AND(ISNUMBER(L268),OR(68&lt;&gt;$B$134,ISNUMBER(O268))),MAX(0,-(L268+IF(68=$B$134,O268,0))),0))</x:f>
        <x:v>0</x:v>
      </x:c>
      <x:c r="Y268" s="412" t="n">
        <x:f>IF(AND(ISNUMBER(Y267),ISNUMBER($D$138),$D$138&gt;=-1),Y267+Y267*$D$138-0+X268,"")</x:f>
        <x:v>38680729.7019566</x:v>
      </x:c>
      <x:c r="Z268" s="412" t="n">
        <x:f>IF(AND(ISNUMBER(Y267),ISNUMBER($D$138),$D$138&gt;=-1),Z267+0,"")</x:f>
        <x:v>0</x:v>
      </x:c>
      <x:c r="AA268" s="412" t="n">
        <x:f>IF(ISNUMBER(AA267),AA267+X268,"")</x:f>
        <x:v>208898.25271554862</x:v>
      </x:c>
      <x:c r="AB268" s="412" t="n">
        <x:f>IF(AND(ISNUMBER(Y268),ISNUMBER(Z268),ISNUMBER(AA268)),Y268+Z268-AA268,"")</x:f>
        <x:v>38471831.44924105</x:v>
      </x:c>
      <x:c r="AC268" s="416" t="n">
        <x:f>IF(AND(AA268&gt;0,ISNUMBER(AB268)),AB268/AA268,"")</x:f>
        <x:v>184.16540564188995</x:v>
      </x:c>
      <x:c r="AD268" s="412" t="n">
        <x:f>IF(AND(ISNUMBER(AD267),ISNUMBER($G$138),$G$138&gt;=0),AD267+AD267*$G$138-IF(AND($J$134="Cash payout",$G$138&gt;=0),AD267*$G$138,0)+X268,"")</x:f>
        <x:v>5719727.431244769</x:v>
      </x:c>
      <x:c r="AE268" s="412" t="n">
        <x:f>IF(AND(ISNUMBER(AD267),ISNUMBER($G$138),$G$138&gt;=0),AE267+IF(AND($J$134="Cash payout",$G$138&gt;=0),AD267*$G$138,0),"")</x:f>
        <x:v>0</x:v>
      </x:c>
      <x:c r="AF268" s="412" t="n">
        <x:f>IF(ISNUMBER(AF267),AF267+X268,"")</x:f>
        <x:v>208898.25271554862</x:v>
      </x:c>
      <x:c r="AG268" s="412" t="n">
        <x:f>IF(AND(ISNUMBER(AD268),ISNUMBER(AE268),ISNUMBER(AF268)),AD268+AE268-AF268,"")</x:f>
        <x:v>5510829.178529221</x:v>
      </x:c>
      <x:c r="AH268" s="416" t="n">
        <x:f>IF(AND(AF268&gt;0,ISNUMBER(AG268)),AG268/AF268,"")</x:f>
        <x:v>26.380446494366687</x:v>
      </x:c>
      <x:c r="AI268" s="412" t="n">
        <x:f>IF(AND(ISNUMBER(AI267),ISNUMBER($J$138),$J$138&gt;=-1),AI267+AI267*$J$138-IF(AND($J$134="Cash payout",$J$138&gt;=0),AI267*$J$138,0)+X268,"")</x:f>
        <x:v>5719727.431244769</x:v>
      </x:c>
      <x:c r="AJ268" s="412" t="n">
        <x:f>IF(AND(ISNUMBER(AI267),ISNUMBER($J$138),$J$138&gt;=-1),AJ267+IF(AND($J$134="Cash payout",$J$138&gt;=0),AI267*$J$138,0),"")</x:f>
        <x:v>0</x:v>
      </x:c>
      <x:c r="AK268" s="412" t="n">
        <x:f>IF(ISNUMBER(AK267),AK267+X268,"")</x:f>
        <x:v>208898.25271554862</x:v>
      </x:c>
      <x:c r="AL268" s="412" t="n">
        <x:f>IF(AND(ISNUMBER(AI268),ISNUMBER(AJ268),ISNUMBER(AK268)),AI268+AJ268-AK268,"")</x:f>
        <x:v>5510829.178529221</x:v>
      </x:c>
      <x:c r="AM268" s="416" t="n">
        <x:f>IF(AND(AK268&gt;0,ISNUMBER(AL268)),AL268/AK268,"")</x:f>
        <x:v>26.380446494366687</x:v>
      </x:c>
    </x:row>
    <x:row r="269" ht="24" customHeight="1">
      <x:c r="A269" s="419" t="n">
        <x:f>69</x:f>
        <x:v>69</x:v>
      </x:c>
      <x:c r="B269" s="414" t="n">
        <x:v>0</x:v>
      </x:c>
      <x:c r="C269" s="412" t="n">
        <x:f>IF(AND(ISNUMBER($H$17),ISNUMBER($J$73),$J$73&gt;-1,$J$73&lt;=5),$H$17*(1+$J$73)^(69-1),"")</x:f>
        <x:v>1122953.246411583</x:v>
      </x:c>
      <x:c r="D269" s="412" t="n">
        <x:f>IF(AND(ISNUMBER($H$18),ISNUMBER($J$74),$J$74&gt;-1,$J$74&lt;=5),$H$18*(1+$J$74)^(69-1),"")</x:f>
        <x:v>223899.19630846687</x:v>
      </x:c>
      <x:c r="E269" s="412" t="n">
        <x:f>IF(AND(ISNUMBER($H$22),ISNUMBER($J$74),$J$74&gt;-1,$J$74&lt;=5),$H$22*(1+$J$74)^(69-1),"")</x:f>
        <x:v>0</x:v>
      </x:c>
      <x:c r="F269" s="412" t="n">
        <x:f>IF(AND(ISNUMBER(C269),ISNUMBER(D269)),C269-D269,"")</x:f>
        <x:v>899054.0501031161</x:v>
      </x:c>
      <x:c r="G269" s="412" t="n">
        <x:f>IF(AND(ISNUMBER(F269),ISNUMBER(E269)),F269-E269,"")</x:f>
        <x:v>899054.0501031161</x:v>
      </x:c>
      <x:c r="H269" s="412" t="n">
        <x:f>IF(COUNT(M1217:M1228)=12,SUM(M1217:M1228),"")</x:f>
        <x:v>0</x:v>
      </x:c>
      <x:c r="I269" s="412" t="n">
        <x:f>SUM(E1217:E1228)</x:f>
        <x:v>0</x:v>
      </x:c>
      <x:c r="J269" s="412" t="n">
        <x:f>SUM(F1217:F1228)</x:f>
        <x:v>0</x:v>
      </x:c>
      <x:c r="K269" s="412" t="n">
        <x:f>SUM(G1217:G1228)</x:f>
        <x:v>0</x:v>
      </x:c>
      <x:c r="L269" s="412" t="n">
        <x:f>IF(AND(ISNUMBER(G269),ISNUMBER(H269),ISNUMBER(J269),ISNUMBER(K269)),G269-H269-B269-J269-K269,"")</x:f>
        <x:v>899054.0501031161</x:v>
      </x:c>
      <x:c r="M269" s="412" t="n">
        <x:f>IF(ISNUMBER(N1228),N1228,"")</x:f>
        <x:v>0</x:v>
      </x:c>
      <x:c r="N269" s="412" t="n">
        <x:f>IF(ISNUMBER($J$77),IF(AND($J$77&gt;0,$J$77&lt;=1,ISNUMBER($H$17),ISNUMBER($H$18),ISNUMBER($J$73),$J$73&gt;-1,$J$73&lt;=5,ISNUMBER($J$74),$J$74&gt;-1,$J$74&lt;=5),($H$17*(1+$J$73)^69-$H$18*(1+$J$74)^69)/$J$77,""),IF(AND($J$77="",ISNUMBER($B$15),$B$15&gt;0,ISNUMBER($J$72),$J$72&gt;-1,$J$72&lt;=5),$B$15*(1+$J$72)^69,""))</x:f>
        <x:v>14224074.454546716</x:v>
      </x:c>
      <x:c r="O269" s="412" t="n">
        <x:f>IF(AND(ISNUMBER(N269),ISNUMBER(M269)),N269*(1-$J$75)-M269,"")</x:f>
        <x:v>14224074.454546716</x:v>
      </x:c>
      <x:c r="P269" s="412" t="n">
        <x:f>IF(AND(ISNUMBER(P268),ISNUMBER(L269)),P268+L269,"")</x:f>
        <x:v>18874976.40641058</x:v>
      </x:c>
      <x:c r="Q269" s="412" t="n">
        <x:f>IF(AND(ISNUMBER(Q268),ISNUMBER(L269)),Q268+MAX(0,-L269),"")</x:f>
        <x:v>208898.25271554862</x:v>
      </x:c>
      <x:c r="R269" s="412" t="n">
        <x:f>IF(AND(ISNUMBER(R268),ISNUMBER(L269)),R268+MAX(0,L269),"")</x:f>
        <x:v>18893874.65912613</x:v>
      </x:c>
      <x:c r="S269" s="412" t="n">
        <x:f>IF(AND(ISNUMBER(Q268),ISNUMBER(L269),ISNUMBER(O269)),Q268+MAX(0,-(L269+O269)),"")</x:f>
        <x:v>208898.25271554862</x:v>
      </x:c>
      <x:c r="T269" s="412" t="n">
        <x:f>IF(AND(ISNUMBER(R268),ISNUMBER(L269),ISNUMBER(O269)),R268+MAX(0,L269+O269),"")</x:f>
        <x:v>33117949.113672845</x:v>
      </x:c>
      <x:c r="U269" s="412" t="n">
        <x:f>IF(AND(ISNUMBER(O269),ISNUMBER(P269),ISNUMBER($E$18)),O269+P269-$E$18,"")</x:f>
        <x:v>32909050.860957295</x:v>
      </x:c>
      <x:c r="V269" s="416" t="n">
        <x:f>IF(AND(S269&gt;0,ISNUMBER(U269)),U269/S269,"")</x:f>
        <x:v>157.53626673828</x:v>
      </x:c>
      <x:c r="W269" s="418" t="n">
        <x:f>IF(AND(S269&gt;0,ISNUMBER(T269)),T269/S269,"")</x:f>
        <x:v>158.53626673828003</x:v>
      </x:c>
      <x:c r="X269" s="412" t="n">
        <x:f>IF($B$136="No",0,IF(AND(ISNUMBER(L269),OR(69&lt;&gt;$B$134,ISNUMBER(O269))),MAX(0,-(L269+IF(69=$B$134,O269,0))),0))</x:f>
        <x:v>0</x:v>
      </x:c>
      <x:c r="Y269" s="412" t="n">
        <x:f>IF(AND(ISNUMBER(Y268),ISNUMBER($D$138),$D$138&gt;=-1),Y268+Y268*$D$138-0+X269,"")</x:f>
        <x:v>41775188.07811313</x:v>
      </x:c>
      <x:c r="Z269" s="412" t="n">
        <x:f>IF(AND(ISNUMBER(Y268),ISNUMBER($D$138),$D$138&gt;=-1),Z268+0,"")</x:f>
        <x:v>0</x:v>
      </x:c>
      <x:c r="AA269" s="412" t="n">
        <x:f>IF(ISNUMBER(AA268),AA268+X269,"")</x:f>
        <x:v>208898.25271554862</x:v>
      </x:c>
      <x:c r="AB269" s="412" t="n">
        <x:f>IF(AND(ISNUMBER(Y269),ISNUMBER(Z269),ISNUMBER(AA269)),Y269+Z269-AA269,"")</x:f>
        <x:v>41566289.82539758</x:v>
      </x:c>
      <x:c r="AC269" s="416" t="n">
        <x:f>IF(AND(AA269&gt;0,ISNUMBER(AB269)),AB269/AA269,"")</x:f>
        <x:v>198.97863809324116</x:v>
      </x:c>
      <x:c r="AD269" s="412" t="n">
        <x:f>IF(AND(ISNUMBER(AD268),ISNUMBER($G$138),$G$138&gt;=0),AD268+AD268*$G$138-IF(AND($J$134="Cash payout",$G$138&gt;=0),AD268*$G$138,0)+X269,"")</x:f>
        <x:v>6005713.802807008</x:v>
      </x:c>
      <x:c r="AE269" s="412" t="n">
        <x:f>IF(AND(ISNUMBER(AD268),ISNUMBER($G$138),$G$138&gt;=0),AE268+IF(AND($J$134="Cash payout",$G$138&gt;=0),AD268*$G$138,0),"")</x:f>
        <x:v>0</x:v>
      </x:c>
      <x:c r="AF269" s="412" t="n">
        <x:f>IF(ISNUMBER(AF268),AF268+X269,"")</x:f>
        <x:v>208898.25271554862</x:v>
      </x:c>
      <x:c r="AG269" s="412" t="n">
        <x:f>IF(AND(ISNUMBER(AD269),ISNUMBER(AE269),ISNUMBER(AF269)),AD269+AE269-AF269,"")</x:f>
        <x:v>5796815.550091459</x:v>
      </x:c>
      <x:c r="AH269" s="416" t="n">
        <x:f>IF(AND(AF269&gt;0,ISNUMBER(AG269)),AG269/AF269,"")</x:f>
        <x:v>27.74946881908502</x:v>
      </x:c>
      <x:c r="AI269" s="412" t="n">
        <x:f>IF(AND(ISNUMBER(AI268),ISNUMBER($J$138),$J$138&gt;=-1),AI268+AI268*$J$138-IF(AND($J$134="Cash payout",$J$138&gt;=0),AI268*$J$138,0)+X269,"")</x:f>
        <x:v>6005713.802807008</x:v>
      </x:c>
      <x:c r="AJ269" s="412" t="n">
        <x:f>IF(AND(ISNUMBER(AI268),ISNUMBER($J$138),$J$138&gt;=-1),AJ268+IF(AND($J$134="Cash payout",$J$138&gt;=0),AI268*$J$138,0),"")</x:f>
        <x:v>0</x:v>
      </x:c>
      <x:c r="AK269" s="412" t="n">
        <x:f>IF(ISNUMBER(AK268),AK268+X269,"")</x:f>
        <x:v>208898.25271554862</x:v>
      </x:c>
      <x:c r="AL269" s="412" t="n">
        <x:f>IF(AND(ISNUMBER(AI269),ISNUMBER(AJ269),ISNUMBER(AK269)),AI269+AJ269-AK269,"")</x:f>
        <x:v>5796815.550091459</x:v>
      </x:c>
      <x:c r="AM269" s="416" t="n">
        <x:f>IF(AND(AK269&gt;0,ISNUMBER(AL269)),AL269/AK269,"")</x:f>
        <x:v>27.74946881908502</x:v>
      </x:c>
    </x:row>
    <x:row r="270" ht="24" customHeight="1">
      <x:c r="A270" s="419" t="n">
        <x:f>70</x:f>
        <x:v>70</x:v>
      </x:c>
      <x:c r="B270" s="414" t="n">
        <x:v>0</x:v>
      </x:c>
      <x:c r="C270" s="412" t="n">
        <x:f>IF(AND(ISNUMBER($H$17),ISNUMBER($J$73),$J$73&gt;-1,$J$73&lt;=5),$H$17*(1+$J$73)^(70-1),"")</x:f>
        <x:v>1167871.3762680462</x:v>
      </x:c>
      <x:c r="D270" s="412" t="n">
        <x:f>IF(AND(ISNUMBER($H$18),ISNUMBER($J$74),$J$74&gt;-1,$J$74&lt;=5),$H$18*(1+$J$74)^(70-1),"")</x:f>
        <x:v>230616.1721977209</x:v>
      </x:c>
      <x:c r="E270" s="412" t="n">
        <x:f>IF(AND(ISNUMBER($H$22),ISNUMBER($J$74),$J$74&gt;-1,$J$74&lt;=5),$H$22*(1+$J$74)^(70-1),"")</x:f>
        <x:v>0</x:v>
      </x:c>
      <x:c r="F270" s="412" t="n">
        <x:f>IF(AND(ISNUMBER(C270),ISNUMBER(D270)),C270-D270,"")</x:f>
        <x:v>937255.2040703252</x:v>
      </x:c>
      <x:c r="G270" s="412" t="n">
        <x:f>IF(AND(ISNUMBER(F270),ISNUMBER(E270)),F270-E270,"")</x:f>
        <x:v>937255.2040703252</x:v>
      </x:c>
      <x:c r="H270" s="412" t="n">
        <x:f>IF(COUNT(M1229:M1240)=12,SUM(M1229:M1240),"")</x:f>
        <x:v>0</x:v>
      </x:c>
      <x:c r="I270" s="412" t="n">
        <x:f>SUM(E1229:E1240)</x:f>
        <x:v>0</x:v>
      </x:c>
      <x:c r="J270" s="412" t="n">
        <x:f>SUM(F1229:F1240)</x:f>
        <x:v>0</x:v>
      </x:c>
      <x:c r="K270" s="412" t="n">
        <x:f>SUM(G1229:G1240)</x:f>
        <x:v>0</x:v>
      </x:c>
      <x:c r="L270" s="412" t="n">
        <x:f>IF(AND(ISNUMBER(G270),ISNUMBER(H270),ISNUMBER(J270),ISNUMBER(K270)),G270-H270-B270-J270-K270,"")</x:f>
        <x:v>937255.2040703252</x:v>
      </x:c>
      <x:c r="M270" s="412" t="n">
        <x:f>IF(ISNUMBER(N1240),N1240,"")</x:f>
        <x:v>0</x:v>
      </x:c>
      <x:c r="N270" s="412" t="n">
        <x:f>IF(ISNUMBER($J$77),IF(AND($J$77&gt;0,$J$77&lt;=1,ISNUMBER($H$17),ISNUMBER($H$18),ISNUMBER($J$73),$J$73&gt;-1,$J$73&lt;=5,ISNUMBER($J$74),$J$74&gt;-1,$J$74&lt;=5),($H$17*(1+$J$73)^70-$H$18*(1+$J$74)^70)/$J$77,""),IF(AND($J$77="",ISNUMBER($B$15),$B$15&gt;0,ISNUMBER($J$72),$J$72&gt;-1,$J$72&lt;=5),$B$15*(1+$J$72)^70,""))</x:f>
        <x:v>14793037.432728585</x:v>
      </x:c>
      <x:c r="O270" s="412" t="n">
        <x:f>IF(AND(ISNUMBER(N270),ISNUMBER(M270)),N270*(1-$J$75)-M270,"")</x:f>
        <x:v>14793037.432728585</x:v>
      </x:c>
      <x:c r="P270" s="412" t="n">
        <x:f>IF(AND(ISNUMBER(P269),ISNUMBER(L270)),P269+L270,"")</x:f>
        <x:v>19812231.610480905</x:v>
      </x:c>
      <x:c r="Q270" s="412" t="n">
        <x:f>IF(AND(ISNUMBER(Q269),ISNUMBER(L270)),Q269+MAX(0,-L270),"")</x:f>
        <x:v>208898.25271554862</x:v>
      </x:c>
      <x:c r="R270" s="412" t="n">
        <x:f>IF(AND(ISNUMBER(R269),ISNUMBER(L270)),R269+MAX(0,L270),"")</x:f>
        <x:v>19831129.863196455</x:v>
      </x:c>
      <x:c r="S270" s="412" t="n">
        <x:f>IF(AND(ISNUMBER(Q269),ISNUMBER(L270),ISNUMBER(O270)),Q269+MAX(0,-(L270+O270)),"")</x:f>
        <x:v>208898.25271554862</x:v>
      </x:c>
      <x:c r="T270" s="412" t="n">
        <x:f>IF(AND(ISNUMBER(R269),ISNUMBER(L270),ISNUMBER(O270)),R269+MAX(0,L270+O270),"")</x:f>
        <x:v>34624167.295925036</x:v>
      </x:c>
      <x:c r="U270" s="412" t="n">
        <x:f>IF(AND(ISNUMBER(O270),ISNUMBER(P270),ISNUMBER($E$18)),O270+P270-$E$18,"")</x:f>
        <x:v>34415269.04320949</x:v>
      </x:c>
      <x:c r="V270" s="416" t="n">
        <x:f>IF(AND(S270&gt;0,ISNUMBER(U270)),U270/S270,"")</x:f>
        <x:v>164.7465624811706</x:v>
      </x:c>
      <x:c r="W270" s="418" t="n">
        <x:f>IF(AND(S270&gt;0,ISNUMBER(T270)),T270/S270,"")</x:f>
        <x:v>165.74656248117057</x:v>
      </x:c>
      <x:c r="X270" s="412" t="n">
        <x:f>IF($B$136="No",0,IF(AND(ISNUMBER(L270),OR(70&lt;&gt;$B$134,ISNUMBER(O270))),MAX(0,-(L270+IF(70=$B$134,O270,0))),0))</x:f>
        <x:v>0</x:v>
      </x:c>
      <x:c r="Y270" s="412" t="n">
        <x:f>IF(AND(ISNUMBER(Y269),ISNUMBER($D$138),$D$138&gt;=-1),Y269+Y269*$D$138-0+X270,"")</x:f>
        <x:v>45117203.124362186</x:v>
      </x:c>
      <x:c r="Z270" s="412" t="n">
        <x:f>IF(AND(ISNUMBER(Y269),ISNUMBER($D$138),$D$138&gt;=-1),Z269+0,"")</x:f>
        <x:v>0</x:v>
      </x:c>
      <x:c r="AA270" s="412" t="n">
        <x:f>IF(ISNUMBER(AA269),AA269+X270,"")</x:f>
        <x:v>208898.25271554862</x:v>
      </x:c>
      <x:c r="AB270" s="412" t="n">
        <x:f>IF(AND(ISNUMBER(Y270),ISNUMBER(Z270),ISNUMBER(AA270)),Y270+Z270-AA270,"")</x:f>
        <x:v>44908304.871646635</x:v>
      </x:c>
      <x:c r="AC270" s="416" t="n">
        <x:f>IF(AND(AA270&gt;0,ISNUMBER(AB270)),AB270/AA270,"")</x:f>
        <x:v>214.97692914070046</x:v>
      </x:c>
      <x:c r="AD270" s="412" t="n">
        <x:f>IF(AND(ISNUMBER(AD269),ISNUMBER($G$138),$G$138&gt;=0),AD269+AD269*$G$138-IF(AND($J$134="Cash payout",$G$138&gt;=0),AD269*$G$138,0)+X270,"")</x:f>
        <x:v>6305999.492947359</x:v>
      </x:c>
      <x:c r="AE270" s="412" t="n">
        <x:f>IF(AND(ISNUMBER(AD269),ISNUMBER($G$138),$G$138&gt;=0),AE269+IF(AND($J$134="Cash payout",$G$138&gt;=0),AD269*$G$138,0),"")</x:f>
        <x:v>0</x:v>
      </x:c>
      <x:c r="AF270" s="412" t="n">
        <x:f>IF(ISNUMBER(AF269),AF269+X270,"")</x:f>
        <x:v>208898.25271554862</x:v>
      </x:c>
      <x:c r="AG270" s="412" t="n">
        <x:f>IF(AND(ISNUMBER(AD270),ISNUMBER(AE270),ISNUMBER(AF270)),AD270+AE270-AF270,"")</x:f>
        <x:v>6097101.24023181</x:v>
      </x:c>
      <x:c r="AH270" s="416" t="n">
        <x:f>IF(AND(AF270&gt;0,ISNUMBER(AG270)),AG270/AF270,"")</x:f>
        <x:v>29.186942260039274</x:v>
      </x:c>
      <x:c r="AI270" s="412" t="n">
        <x:f>IF(AND(ISNUMBER(AI269),ISNUMBER($J$138),$J$138&gt;=-1),AI269+AI269*$J$138-IF(AND($J$134="Cash payout",$J$138&gt;=0),AI269*$J$138,0)+X270,"")</x:f>
        <x:v>6305999.492947359</x:v>
      </x:c>
      <x:c r="AJ270" s="412" t="n">
        <x:f>IF(AND(ISNUMBER(AI269),ISNUMBER($J$138),$J$138&gt;=-1),AJ269+IF(AND($J$134="Cash payout",$J$138&gt;=0),AI269*$J$138,0),"")</x:f>
        <x:v>0</x:v>
      </x:c>
      <x:c r="AK270" s="412" t="n">
        <x:f>IF(ISNUMBER(AK269),AK269+X270,"")</x:f>
        <x:v>208898.25271554862</x:v>
      </x:c>
      <x:c r="AL270" s="412" t="n">
        <x:f>IF(AND(ISNUMBER(AI270),ISNUMBER(AJ270),ISNUMBER(AK270)),AI270+AJ270-AK270,"")</x:f>
        <x:v>6097101.24023181</x:v>
      </x:c>
      <x:c r="AM270" s="416" t="n">
        <x:f>IF(AND(AK270&gt;0,ISNUMBER(AL270)),AL270/AK270,"")</x:f>
        <x:v>29.186942260039274</x:v>
      </x:c>
    </x:row>
    <x:row r="271" ht="24" customHeight="1">
      <x:c r="A271" s="419" t="n">
        <x:f>71</x:f>
        <x:v>71</x:v>
      </x:c>
      <x:c r="B271" s="414" t="n">
        <x:v>0</x:v>
      </x:c>
      <x:c r="C271" s="412" t="n">
        <x:f>IF(AND(ISNUMBER($H$17),ISNUMBER($J$73),$J$73&gt;-1,$J$73&lt;=5),$H$17*(1+$J$73)^(71-1),"")</x:f>
        <x:v>1214586.231318768</x:v>
      </x:c>
      <x:c r="D271" s="412" t="n">
        <x:f>IF(AND(ISNUMBER($H$18),ISNUMBER($J$74),$J$74&gt;-1,$J$74&lt;=5),$H$18*(1+$J$74)^(71-1),"")</x:f>
        <x:v>237534.6573636525</x:v>
      </x:c>
      <x:c r="E271" s="412" t="n">
        <x:f>IF(AND(ISNUMBER($H$22),ISNUMBER($J$74),$J$74&gt;-1,$J$74&lt;=5),$H$22*(1+$J$74)^(71-1),"")</x:f>
        <x:v>0</x:v>
      </x:c>
      <x:c r="F271" s="412" t="n">
        <x:f>IF(AND(ISNUMBER(C271),ISNUMBER(D271)),C271-D271,"")</x:f>
        <x:v>977051.5739551156</x:v>
      </x:c>
      <x:c r="G271" s="412" t="n">
        <x:f>IF(AND(ISNUMBER(F271),ISNUMBER(E271)),F271-E271,"")</x:f>
        <x:v>977051.5739551156</x:v>
      </x:c>
      <x:c r="H271" s="412" t="n">
        <x:f>IF(COUNT(M1241:M1252)=12,SUM(M1241:M1252),"")</x:f>
        <x:v>0</x:v>
      </x:c>
      <x:c r="I271" s="412" t="n">
        <x:f>SUM(E1241:E1252)</x:f>
        <x:v>0</x:v>
      </x:c>
      <x:c r="J271" s="412" t="n">
        <x:f>SUM(F1241:F1252)</x:f>
        <x:v>0</x:v>
      </x:c>
      <x:c r="K271" s="412" t="n">
        <x:f>SUM(G1241:G1252)</x:f>
        <x:v>0</x:v>
      </x:c>
      <x:c r="L271" s="412" t="n">
        <x:f>IF(AND(ISNUMBER(G271),ISNUMBER(H271),ISNUMBER(J271),ISNUMBER(K271)),G271-H271-B271-J271-K271,"")</x:f>
        <x:v>977051.5739551156</x:v>
      </x:c>
      <x:c r="M271" s="412" t="n">
        <x:f>IF(ISNUMBER(N1252),N1252,"")</x:f>
        <x:v>0</x:v>
      </x:c>
      <x:c r="N271" s="412" t="n">
        <x:f>IF(ISNUMBER($J$77),IF(AND($J$77&gt;0,$J$77&lt;=1,ISNUMBER($H$17),ISNUMBER($H$18),ISNUMBER($J$73),$J$73&gt;-1,$J$73&lt;=5,ISNUMBER($J$74),$J$74&gt;-1,$J$74&lt;=5),($H$17*(1+$J$73)^71-$H$18*(1+$J$74)^71)/$J$77,""),IF(AND($J$77="",ISNUMBER($B$15),$B$15&gt;0,ISNUMBER($J$72),$J$72&gt;-1,$J$72&lt;=5),$B$15*(1+$J$72)^71,""))</x:f>
        <x:v>15384758.930037728</x:v>
      </x:c>
      <x:c r="O271" s="412" t="n">
        <x:f>IF(AND(ISNUMBER(N271),ISNUMBER(M271)),N271*(1-$J$75)-M271,"")</x:f>
        <x:v>15384758.930037728</x:v>
      </x:c>
      <x:c r="P271" s="412" t="n">
        <x:f>IF(AND(ISNUMBER(P270),ISNUMBER(L271)),P270+L271,"")</x:f>
        <x:v>20789283.18443602</x:v>
      </x:c>
      <x:c r="Q271" s="412" t="n">
        <x:f>IF(AND(ISNUMBER(Q270),ISNUMBER(L271)),Q270+MAX(0,-L271),"")</x:f>
        <x:v>208898.25271554862</x:v>
      </x:c>
      <x:c r="R271" s="412" t="n">
        <x:f>IF(AND(ISNUMBER(R270),ISNUMBER(L271)),R270+MAX(0,L271),"")</x:f>
        <x:v>20808181.43715157</x:v>
      </x:c>
      <x:c r="S271" s="412" t="n">
        <x:f>IF(AND(ISNUMBER(Q270),ISNUMBER(L271),ISNUMBER(O271)),Q270+MAX(0,-(L271+O271)),"")</x:f>
        <x:v>208898.25271554862</x:v>
      </x:c>
      <x:c r="T271" s="412" t="n">
        <x:f>IF(AND(ISNUMBER(R270),ISNUMBER(L271),ISNUMBER(O271)),R270+MAX(0,L271+O271),"")</x:f>
        <x:v>36192940.367189296</x:v>
      </x:c>
      <x:c r="U271" s="412" t="n">
        <x:f>IF(AND(ISNUMBER(O271),ISNUMBER(P271),ISNUMBER($E$18)),O271+P271-$E$18,"")</x:f>
        <x:v>35984042.114473745</x:v>
      </x:c>
      <x:c r="V271" s="416" t="n">
        <x:f>IF(AND(S271&gt;0,ISNUMBER(U271)),U271/S271,"")</x:f>
        <x:v>172.2563096948077</x:v>
      </x:c>
      <x:c r="W271" s="418" t="n">
        <x:f>IF(AND(S271&gt;0,ISNUMBER(T271)),T271/S271,"")</x:f>
        <x:v>173.2563096948077</x:v>
      </x:c>
      <x:c r="X271" s="412" t="n">
        <x:f>IF($B$136="No",0,IF(AND(ISNUMBER(L271),OR(71&lt;&gt;$B$134,ISNUMBER(O271))),MAX(0,-(L271+IF(71=$B$134,O271,0))),0))</x:f>
        <x:v>0</x:v>
      </x:c>
      <x:c r="Y271" s="412" t="n">
        <x:f>IF(AND(ISNUMBER(Y270),ISNUMBER($D$138),$D$138&gt;=-1),Y270+Y270*$D$138-0+X271,"")</x:f>
        <x:v>48726579.374311164</x:v>
      </x:c>
      <x:c r="Z271" s="412" t="n">
        <x:f>IF(AND(ISNUMBER(Y270),ISNUMBER($D$138),$D$138&gt;=-1),Z270+0,"")</x:f>
        <x:v>0</x:v>
      </x:c>
      <x:c r="AA271" s="412" t="n">
        <x:f>IF(ISNUMBER(AA270),AA270+X271,"")</x:f>
        <x:v>208898.25271554862</x:v>
      </x:c>
      <x:c r="AB271" s="412" t="n">
        <x:f>IF(AND(ISNUMBER(Y271),ISNUMBER(Z271),ISNUMBER(AA271)),Y271+Z271-AA271,"")</x:f>
        <x:v>48517681.12159561</x:v>
      </x:c>
      <x:c r="AC271" s="416" t="n">
        <x:f>IF(AND(AA271&gt;0,ISNUMBER(AB271)),AB271/AA271,"")</x:f>
        <x:v>232.25508347195654</x:v>
      </x:c>
      <x:c r="AD271" s="412" t="n">
        <x:f>IF(AND(ISNUMBER(AD270),ISNUMBER($G$138),$G$138&gt;=0),AD270+AD270*$G$138-IF(AND($J$134="Cash payout",$G$138&gt;=0),AD270*$G$138,0)+X271,"")</x:f>
        <x:v>6621299.467594727</x:v>
      </x:c>
      <x:c r="AE271" s="412" t="n">
        <x:f>IF(AND(ISNUMBER(AD270),ISNUMBER($G$138),$G$138&gt;=0),AE270+IF(AND($J$134="Cash payout",$G$138&gt;=0),AD270*$G$138,0),"")</x:f>
        <x:v>0</x:v>
      </x:c>
      <x:c r="AF271" s="412" t="n">
        <x:f>IF(ISNUMBER(AF270),AF270+X271,"")</x:f>
        <x:v>208898.25271554862</x:v>
      </x:c>
      <x:c r="AG271" s="412" t="n">
        <x:f>IF(AND(ISNUMBER(AD271),ISNUMBER(AE271),ISNUMBER(AF271)),AD271+AE271-AF271,"")</x:f>
        <x:v>6412401.214879178</x:v>
      </x:c>
      <x:c r="AH271" s="416" t="n">
        <x:f>IF(AND(AF271&gt;0,ISNUMBER(AG271)),AG271/AF271,"")</x:f>
        <x:v>30.69628937304124</x:v>
      </x:c>
      <x:c r="AI271" s="412" t="n">
        <x:f>IF(AND(ISNUMBER(AI270),ISNUMBER($J$138),$J$138&gt;=-1),AI270+AI270*$J$138-IF(AND($J$134="Cash payout",$J$138&gt;=0),AI270*$J$138,0)+X271,"")</x:f>
        <x:v>6621299.467594727</x:v>
      </x:c>
      <x:c r="AJ271" s="412" t="n">
        <x:f>IF(AND(ISNUMBER(AI270),ISNUMBER($J$138),$J$138&gt;=-1),AJ270+IF(AND($J$134="Cash payout",$J$138&gt;=0),AI270*$J$138,0),"")</x:f>
        <x:v>0</x:v>
      </x:c>
      <x:c r="AK271" s="412" t="n">
        <x:f>IF(ISNUMBER(AK270),AK270+X271,"")</x:f>
        <x:v>208898.25271554862</x:v>
      </x:c>
      <x:c r="AL271" s="412" t="n">
        <x:f>IF(AND(ISNUMBER(AI271),ISNUMBER(AJ271),ISNUMBER(AK271)),AI271+AJ271-AK271,"")</x:f>
        <x:v>6412401.214879178</x:v>
      </x:c>
      <x:c r="AM271" s="416" t="n">
        <x:f>IF(AND(AK271&gt;0,ISNUMBER(AL271)),AL271/AK271,"")</x:f>
        <x:v>30.69628937304124</x:v>
      </x:c>
    </x:row>
    <x:row r="272" ht="24" customHeight="1">
      <x:c r="A272" s="419" t="n">
        <x:f>72</x:f>
        <x:v>72</x:v>
      </x:c>
      <x:c r="B272" s="414" t="n">
        <x:v>0</x:v>
      </x:c>
      <x:c r="C272" s="412" t="n">
        <x:f>IF(AND(ISNUMBER($H$17),ISNUMBER($J$73),$J$73&gt;-1,$J$73&lt;=5),$H$17*(1+$J$73)^(72-1),"")</x:f>
        <x:v>1263169.6805715188</x:v>
      </x:c>
      <x:c r="D272" s="412" t="n">
        <x:f>IF(AND(ISNUMBER($H$18),ISNUMBER($J$74),$J$74&gt;-1,$J$74&lt;=5),$H$18*(1+$J$74)^(72-1),"")</x:f>
        <x:v>244660.69708456213</x:v>
      </x:c>
      <x:c r="E272" s="412" t="n">
        <x:f>IF(AND(ISNUMBER($H$22),ISNUMBER($J$74),$J$74&gt;-1,$J$74&lt;=5),$H$22*(1+$J$74)^(72-1),"")</x:f>
        <x:v>0</x:v>
      </x:c>
      <x:c r="F272" s="412" t="n">
        <x:f>IF(AND(ISNUMBER(C272),ISNUMBER(D272)),C272-D272,"")</x:f>
        <x:v>1018508.9834869567</x:v>
      </x:c>
      <x:c r="G272" s="412" t="n">
        <x:f>IF(AND(ISNUMBER(F272),ISNUMBER(E272)),F272-E272,"")</x:f>
        <x:v>1018508.9834869567</x:v>
      </x:c>
      <x:c r="H272" s="412" t="n">
        <x:f>IF(COUNT(M1253:M1264)=12,SUM(M1253:M1264),"")</x:f>
        <x:v>0</x:v>
      </x:c>
      <x:c r="I272" s="412" t="n">
        <x:f>SUM(E1253:E1264)</x:f>
        <x:v>0</x:v>
      </x:c>
      <x:c r="J272" s="412" t="n">
        <x:f>SUM(F1253:F1264)</x:f>
        <x:v>0</x:v>
      </x:c>
      <x:c r="K272" s="412" t="n">
        <x:f>SUM(G1253:G1264)</x:f>
        <x:v>0</x:v>
      </x:c>
      <x:c r="L272" s="412" t="n">
        <x:f>IF(AND(ISNUMBER(G272),ISNUMBER(H272),ISNUMBER(J272),ISNUMBER(K272)),G272-H272-B272-J272-K272,"")</x:f>
        <x:v>1018508.9834869567</x:v>
      </x:c>
      <x:c r="M272" s="412" t="n">
        <x:f>IF(ISNUMBER(N1264),N1264,"")</x:f>
        <x:v>0</x:v>
      </x:c>
      <x:c r="N272" s="412" t="n">
        <x:f>IF(ISNUMBER($J$77),IF(AND($J$77&gt;0,$J$77&lt;=1,ISNUMBER($H$17),ISNUMBER($H$18),ISNUMBER($J$73),$J$73&gt;-1,$J$73&lt;=5,ISNUMBER($J$74),$J$74&gt;-1,$J$74&lt;=5),($H$17*(1+$J$73)^72-$H$18*(1+$J$74)^72)/$J$77,""),IF(AND($J$77="",ISNUMBER($B$15),$B$15&gt;0,ISNUMBER($J$72),$J$72&gt;-1,$J$72&lt;=5),$B$15*(1+$J$72)^72,""))</x:f>
        <x:v>16000149.287239239</x:v>
      </x:c>
      <x:c r="O272" s="412" t="n">
        <x:f>IF(AND(ISNUMBER(N272),ISNUMBER(M272)),N272*(1-$J$75)-M272,"")</x:f>
        <x:v>16000149.287239239</x:v>
      </x:c>
      <x:c r="P272" s="412" t="n">
        <x:f>IF(AND(ISNUMBER(P271),ISNUMBER(L272)),P271+L272,"")</x:f>
        <x:v>21807792.167922977</x:v>
      </x:c>
      <x:c r="Q272" s="412" t="n">
        <x:f>IF(AND(ISNUMBER(Q271),ISNUMBER(L272)),Q271+MAX(0,-L272),"")</x:f>
        <x:v>208898.25271554862</x:v>
      </x:c>
      <x:c r="R272" s="412" t="n">
        <x:f>IF(AND(ISNUMBER(R271),ISNUMBER(L272)),R271+MAX(0,L272),"")</x:f>
        <x:v>21826690.420638528</x:v>
      </x:c>
      <x:c r="S272" s="412" t="n">
        <x:f>IF(AND(ISNUMBER(Q271),ISNUMBER(L272),ISNUMBER(O272)),Q271+MAX(0,-(L272+O272)),"")</x:f>
        <x:v>208898.25271554862</x:v>
      </x:c>
      <x:c r="T272" s="412" t="n">
        <x:f>IF(AND(ISNUMBER(R271),ISNUMBER(L272),ISNUMBER(O272)),R271+MAX(0,L272+O272),"")</x:f>
        <x:v>37826839.70787777</x:v>
      </x:c>
      <x:c r="U272" s="412" t="n">
        <x:f>IF(AND(ISNUMBER(O272),ISNUMBER(P272),ISNUMBER($E$18)),O272+P272-$E$18,"")</x:f>
        <x:v>37617941.45516221</x:v>
      </x:c>
      <x:c r="V272" s="416" t="n">
        <x:f>IF(AND(S272&gt;0,ISNUMBER(U272)),U272/S272,"")</x:f>
        <x:v>180.07781762725224</x:v>
      </x:c>
      <x:c r="W272" s="418" t="n">
        <x:f>IF(AND(S272&gt;0,ISNUMBER(T272)),T272/S272,"")</x:f>
        <x:v>181.07781762725227</x:v>
      </x:c>
      <x:c r="X272" s="412" t="n">
        <x:f>IF($B$136="No",0,IF(AND(ISNUMBER(L272),OR(72&lt;&gt;$B$134,ISNUMBER(O272))),MAX(0,-(L272+IF(72=$B$134,O272,0))),0))</x:f>
        <x:v>0</x:v>
      </x:c>
      <x:c r="Y272" s="412" t="n">
        <x:f>IF(AND(ISNUMBER(Y271),ISNUMBER($D$138),$D$138&gt;=-1),Y271+Y271*$D$138-0+X272,"")</x:f>
        <x:v>52624705.72425605</x:v>
      </x:c>
      <x:c r="Z272" s="412" t="n">
        <x:f>IF(AND(ISNUMBER(Y271),ISNUMBER($D$138),$D$138&gt;=-1),Z271+0,"")</x:f>
        <x:v>0</x:v>
      </x:c>
      <x:c r="AA272" s="412" t="n">
        <x:f>IF(ISNUMBER(AA271),AA271+X272,"")</x:f>
        <x:v>208898.25271554862</x:v>
      </x:c>
      <x:c r="AB272" s="412" t="n">
        <x:f>IF(AND(ISNUMBER(Y272),ISNUMBER(Z272),ISNUMBER(AA272)),Y272+Z272-AA272,"")</x:f>
        <x:v>52415807.4715405</x:v>
      </x:c>
      <x:c r="AC272" s="416" t="n">
        <x:f>IF(AND(AA272&gt;0,ISNUMBER(AB272)),AB272/AA272,"")</x:f>
        <x:v>250.91549014971304</x:v>
      </x:c>
      <x:c r="AD272" s="412" t="n">
        <x:f>IF(AND(ISNUMBER(AD271),ISNUMBER($G$138),$G$138&gt;=0),AD271+AD271*$G$138-IF(AND($J$134="Cash payout",$G$138&gt;=0),AD271*$G$138,0)+X272,"")</x:f>
        <x:v>6952364.440974464</x:v>
      </x:c>
      <x:c r="AE272" s="412" t="n">
        <x:f>IF(AND(ISNUMBER(AD271),ISNUMBER($G$138),$G$138&gt;=0),AE271+IF(AND($J$134="Cash payout",$G$138&gt;=0),AD271*$G$138,0),"")</x:f>
        <x:v>0</x:v>
      </x:c>
      <x:c r="AF272" s="412" t="n">
        <x:f>IF(ISNUMBER(AF271),AF271+X272,"")</x:f>
        <x:v>208898.25271554862</x:v>
      </x:c>
      <x:c r="AG272" s="412" t="n">
        <x:f>IF(AND(ISNUMBER(AD272),ISNUMBER(AE272),ISNUMBER(AF272)),AD272+AE272-AF272,"")</x:f>
        <x:v>6743466.188258915</x:v>
      </x:c>
      <x:c r="AH272" s="416" t="n">
        <x:f>IF(AND(AF272&gt;0,ISNUMBER(AG272)),AG272/AF272,"")</x:f>
        <x:v>32.2811038416933</x:v>
      </x:c>
      <x:c r="AI272" s="412" t="n">
        <x:f>IF(AND(ISNUMBER(AI271),ISNUMBER($J$138),$J$138&gt;=-1),AI271+AI271*$J$138-IF(AND($J$134="Cash payout",$J$138&gt;=0),AI271*$J$138,0)+X272,"")</x:f>
        <x:v>6952364.440974464</x:v>
      </x:c>
      <x:c r="AJ272" s="412" t="n">
        <x:f>IF(AND(ISNUMBER(AI271),ISNUMBER($J$138),$J$138&gt;=-1),AJ271+IF(AND($J$134="Cash payout",$J$138&gt;=0),AI271*$J$138,0),"")</x:f>
        <x:v>0</x:v>
      </x:c>
      <x:c r="AK272" s="412" t="n">
        <x:f>IF(ISNUMBER(AK271),AK271+X272,"")</x:f>
        <x:v>208898.25271554862</x:v>
      </x:c>
      <x:c r="AL272" s="412" t="n">
        <x:f>IF(AND(ISNUMBER(AI272),ISNUMBER(AJ272),ISNUMBER(AK272)),AI272+AJ272-AK272,"")</x:f>
        <x:v>6743466.188258915</x:v>
      </x:c>
      <x:c r="AM272" s="416" t="n">
        <x:f>IF(AND(AK272&gt;0,ISNUMBER(AL272)),AL272/AK272,"")</x:f>
        <x:v>32.2811038416933</x:v>
      </x:c>
    </x:row>
    <x:row r="273" ht="24" customHeight="1">
      <x:c r="A273" s="419" t="n">
        <x:f>73</x:f>
        <x:v>73</x:v>
      </x:c>
      <x:c r="B273" s="414" t="n">
        <x:v>0</x:v>
      </x:c>
      <x:c r="C273" s="412" t="n">
        <x:f>IF(AND(ISNUMBER($H$17),ISNUMBER($J$73),$J$73&gt;-1,$J$73&lt;=5),$H$17*(1+$J$73)^(73-1),"")</x:f>
        <x:v>1313696.4677943795</x:v>
      </x:c>
      <x:c r="D273" s="412" t="n">
        <x:f>IF(AND(ISNUMBER($H$18),ISNUMBER($J$74),$J$74&gt;-1,$J$74&lt;=5),$H$18*(1+$J$74)^(73-1),"")</x:f>
        <x:v>252000.517997099</x:v>
      </x:c>
      <x:c r="E273" s="412" t="n">
        <x:f>IF(AND(ISNUMBER($H$22),ISNUMBER($J$74),$J$74&gt;-1,$J$74&lt;=5),$H$22*(1+$J$74)^(73-1),"")</x:f>
        <x:v>0</x:v>
      </x:c>
      <x:c r="F273" s="412" t="n">
        <x:f>IF(AND(ISNUMBER(C273),ISNUMBER(D273)),C273-D273,"")</x:f>
        <x:v>1061695.9497972804</x:v>
      </x:c>
      <x:c r="G273" s="412" t="n">
        <x:f>IF(AND(ISNUMBER(F273),ISNUMBER(E273)),F273-E273,"")</x:f>
        <x:v>1061695.9497972804</x:v>
      </x:c>
      <x:c r="H273" s="412" t="n">
        <x:f>IF(COUNT(M1265:M1276)=12,SUM(M1265:M1276),"")</x:f>
        <x:v>0</x:v>
      </x:c>
      <x:c r="I273" s="412" t="n">
        <x:f>SUM(E1265:E1276)</x:f>
        <x:v>0</x:v>
      </x:c>
      <x:c r="J273" s="412" t="n">
        <x:f>SUM(F1265:F1276)</x:f>
        <x:v>0</x:v>
      </x:c>
      <x:c r="K273" s="412" t="n">
        <x:f>SUM(G1265:G1276)</x:f>
        <x:v>0</x:v>
      </x:c>
      <x:c r="L273" s="412" t="n">
        <x:f>IF(AND(ISNUMBER(G273),ISNUMBER(H273),ISNUMBER(J273),ISNUMBER(K273)),G273-H273-B273-J273-K273,"")</x:f>
        <x:v>1061695.9497972804</x:v>
      </x:c>
      <x:c r="M273" s="412" t="n">
        <x:f>IF(ISNUMBER(N1276),N1276,"")</x:f>
        <x:v>0</x:v>
      </x:c>
      <x:c r="N273" s="412" t="n">
        <x:f>IF(ISNUMBER($J$77),IF(AND($J$77&gt;0,$J$77&lt;=1,ISNUMBER($H$17),ISNUMBER($H$18),ISNUMBER($J$73),$J$73&gt;-1,$J$73&lt;=5,ISNUMBER($J$74),$J$74&gt;-1,$J$74&lt;=5),($H$17*(1+$J$73)^73-$H$18*(1+$J$74)^73)/$J$77,""),IF(AND($J$77="",ISNUMBER($B$15),$B$15&gt;0,ISNUMBER($J$72),$J$72&gt;-1,$J$72&lt;=5),$B$15*(1+$J$72)^73,""))</x:f>
        <x:v>16640155.258728808</x:v>
      </x:c>
      <x:c r="O273" s="412" t="n">
        <x:f>IF(AND(ISNUMBER(N273),ISNUMBER(M273)),N273*(1-$J$75)-M273,"")</x:f>
        <x:v>16640155.258728808</x:v>
      </x:c>
      <x:c r="P273" s="412" t="n">
        <x:f>IF(AND(ISNUMBER(P272),ISNUMBER(L273)),P272+L273,"")</x:f>
        <x:v>22869488.117720257</x:v>
      </x:c>
      <x:c r="Q273" s="412" t="n">
        <x:f>IF(AND(ISNUMBER(Q272),ISNUMBER(L273)),Q272+MAX(0,-L273),"")</x:f>
        <x:v>208898.25271554862</x:v>
      </x:c>
      <x:c r="R273" s="412" t="n">
        <x:f>IF(AND(ISNUMBER(R272),ISNUMBER(L273)),R272+MAX(0,L273),"")</x:f>
        <x:v>22888386.370435808</x:v>
      </x:c>
      <x:c r="S273" s="412" t="n">
        <x:f>IF(AND(ISNUMBER(Q272),ISNUMBER(L273),ISNUMBER(O273)),Q272+MAX(0,-(L273+O273)),"")</x:f>
        <x:v>208898.25271554862</x:v>
      </x:c>
      <x:c r="T273" s="412" t="n">
        <x:f>IF(AND(ISNUMBER(R272),ISNUMBER(L273),ISNUMBER(O273)),R272+MAX(0,L273+O273),"")</x:f>
        <x:v>39528541.62916462</x:v>
      </x:c>
      <x:c r="U273" s="412" t="n">
        <x:f>IF(AND(ISNUMBER(O273),ISNUMBER(P273),ISNUMBER($E$18)),O273+P273-$E$18,"")</x:f>
        <x:v>39319643.37644906</x:v>
      </x:c>
      <x:c r="V273" s="416" t="n">
        <x:f>IF(AND(S273&gt;0,ISNUMBER(U273)),U273/S273,"")</x:f>
        <x:v>188.2238978321643</x:v>
      </x:c>
      <x:c r="W273" s="418" t="n">
        <x:f>IF(AND(S273&gt;0,ISNUMBER(T273)),T273/S273,"")</x:f>
        <x:v>189.22389783216434</x:v>
      </x:c>
      <x:c r="X273" s="412" t="n">
        <x:f>IF($B$136="No",0,IF(AND(ISNUMBER(L273),OR(73&lt;&gt;$B$134,ISNUMBER(O273))),MAX(0,-(L273+IF(73=$B$134,O273,0))),0))</x:f>
        <x:v>0</x:v>
      </x:c>
      <x:c r="Y273" s="412" t="n">
        <x:f>IF(AND(ISNUMBER(Y272),ISNUMBER($D$138),$D$138&gt;=-1),Y272+Y272*$D$138-0+X273,"")</x:f>
        <x:v>56834682.182196535</x:v>
      </x:c>
      <x:c r="Z273" s="412" t="n">
        <x:f>IF(AND(ISNUMBER(Y272),ISNUMBER($D$138),$D$138&gt;=-1),Z272+0,"")</x:f>
        <x:v>0</x:v>
      </x:c>
      <x:c r="AA273" s="412" t="n">
        <x:f>IF(ISNUMBER(AA272),AA272+X273,"")</x:f>
        <x:v>208898.25271554862</x:v>
      </x:c>
      <x:c r="AB273" s="412" t="n">
        <x:f>IF(AND(ISNUMBER(Y273),ISNUMBER(Z273),ISNUMBER(AA273)),Y273+Z273-AA273,"")</x:f>
        <x:v>56625783.929480985</x:v>
      </x:c>
      <x:c r="AC273" s="416" t="n">
        <x:f>IF(AND(AA273&gt;0,ISNUMBER(AB273)),AB273/AA273,"")</x:f>
        <x:v>271.0687293616901</x:v>
      </x:c>
      <x:c r="AD273" s="412" t="n">
        <x:f>IF(AND(ISNUMBER(AD272),ISNUMBER($G$138),$G$138&gt;=0),AD272+AD272*$G$138-IF(AND($J$134="Cash payout",$G$138&gt;=0),AD272*$G$138,0)+X273,"")</x:f>
        <x:v>7299982.663023187</x:v>
      </x:c>
      <x:c r="AE273" s="412" t="n">
        <x:f>IF(AND(ISNUMBER(AD272),ISNUMBER($G$138),$G$138&gt;=0),AE272+IF(AND($J$134="Cash payout",$G$138&gt;=0),AD272*$G$138,0),"")</x:f>
        <x:v>0</x:v>
      </x:c>
      <x:c r="AF273" s="412" t="n">
        <x:f>IF(ISNUMBER(AF272),AF272+X273,"")</x:f>
        <x:v>208898.25271554862</x:v>
      </x:c>
      <x:c r="AG273" s="412" t="n">
        <x:f>IF(AND(ISNUMBER(AD273),ISNUMBER(AE273),ISNUMBER(AF273)),AD273+AE273-AF273,"")</x:f>
        <x:v>7091084.410307638</x:v>
      </x:c>
      <x:c r="AH273" s="416" t="n">
        <x:f>IF(AND(AF273&gt;0,ISNUMBER(AG273)),AG273/AF273,"")</x:f>
        <x:v>33.94515903377797</x:v>
      </x:c>
      <x:c r="AI273" s="412" t="n">
        <x:f>IF(AND(ISNUMBER(AI272),ISNUMBER($J$138),$J$138&gt;=-1),AI272+AI272*$J$138-IF(AND($J$134="Cash payout",$J$138&gt;=0),AI272*$J$138,0)+X273,"")</x:f>
        <x:v>7299982.663023187</x:v>
      </x:c>
      <x:c r="AJ273" s="412" t="n">
        <x:f>IF(AND(ISNUMBER(AI272),ISNUMBER($J$138),$J$138&gt;=-1),AJ272+IF(AND($J$134="Cash payout",$J$138&gt;=0),AI272*$J$138,0),"")</x:f>
        <x:v>0</x:v>
      </x:c>
      <x:c r="AK273" s="412" t="n">
        <x:f>IF(ISNUMBER(AK272),AK272+X273,"")</x:f>
        <x:v>208898.25271554862</x:v>
      </x:c>
      <x:c r="AL273" s="412" t="n">
        <x:f>IF(AND(ISNUMBER(AI273),ISNUMBER(AJ273),ISNUMBER(AK273)),AI273+AJ273-AK273,"")</x:f>
        <x:v>7091084.410307638</x:v>
      </x:c>
      <x:c r="AM273" s="416" t="n">
        <x:f>IF(AND(AK273&gt;0,ISNUMBER(AL273)),AL273/AK273,"")</x:f>
        <x:v>33.94515903377797</x:v>
      </x:c>
    </x:row>
    <x:row r="274" ht="24" customHeight="1">
      <x:c r="A274" s="419" t="n">
        <x:f>74</x:f>
        <x:v>74</x:v>
      </x:c>
      <x:c r="B274" s="414" t="n">
        <x:v>0</x:v>
      </x:c>
      <x:c r="C274" s="412" t="n">
        <x:f>IF(AND(ISNUMBER($H$17),ISNUMBER($J$73),$J$73&gt;-1,$J$73&lt;=5),$H$17*(1+$J$73)^(74-1),"")</x:f>
        <x:v>1366244.3265061548</x:v>
      </x:c>
      <x:c r="D274" s="412" t="n">
        <x:f>IF(AND(ISNUMBER($H$18),ISNUMBER($J$74),$J$74&gt;-1,$J$74&lt;=5),$H$18*(1+$J$74)^(74-1),"")</x:f>
        <x:v>259560.53353701194</x:v>
      </x:c>
      <x:c r="E274" s="412" t="n">
        <x:f>IF(AND(ISNUMBER($H$22),ISNUMBER($J$74),$J$74&gt;-1,$J$74&lt;=5),$H$22*(1+$J$74)^(74-1),"")</x:f>
        <x:v>0</x:v>
      </x:c>
      <x:c r="F274" s="412" t="n">
        <x:f>IF(AND(ISNUMBER(C274),ISNUMBER(D274)),C274-D274,"")</x:f>
        <x:v>1106683.792969143</x:v>
      </x:c>
      <x:c r="G274" s="412" t="n">
        <x:f>IF(AND(ISNUMBER(F274),ISNUMBER(E274)),F274-E274,"")</x:f>
        <x:v>1106683.792969143</x:v>
      </x:c>
      <x:c r="H274" s="412" t="n">
        <x:f>IF(COUNT(M1277:M1288)=12,SUM(M1277:M1288),"")</x:f>
        <x:v>0</x:v>
      </x:c>
      <x:c r="I274" s="412" t="n">
        <x:f>SUM(E1277:E1288)</x:f>
        <x:v>0</x:v>
      </x:c>
      <x:c r="J274" s="412" t="n">
        <x:f>SUM(F1277:F1288)</x:f>
        <x:v>0</x:v>
      </x:c>
      <x:c r="K274" s="412" t="n">
        <x:f>SUM(G1277:G1288)</x:f>
        <x:v>0</x:v>
      </x:c>
      <x:c r="L274" s="412" t="n">
        <x:f>IF(AND(ISNUMBER(G274),ISNUMBER(H274),ISNUMBER(J274),ISNUMBER(K274)),G274-H274-B274-J274-K274,"")</x:f>
        <x:v>1106683.792969143</x:v>
      </x:c>
      <x:c r="M274" s="412" t="n">
        <x:f>IF(ISNUMBER(N1288),N1288,"")</x:f>
        <x:v>0</x:v>
      </x:c>
      <x:c r="N274" s="412" t="n">
        <x:f>IF(ISNUMBER($J$77),IF(AND($J$77&gt;0,$J$77&lt;=1,ISNUMBER($H$17),ISNUMBER($H$18),ISNUMBER($J$73),$J$73&gt;-1,$J$73&lt;=5,ISNUMBER($J$74),$J$74&gt;-1,$J$74&lt;=5),($H$17*(1+$J$73)^74-$H$18*(1+$J$74)^74)/$J$77,""),IF(AND($J$77="",ISNUMBER($B$15),$B$15&gt;0,ISNUMBER($J$72),$J$72&gt;-1,$J$72&lt;=5),$B$15*(1+$J$72)^74,""))</x:f>
        <x:v>17305761.46907796</x:v>
      </x:c>
      <x:c r="O274" s="412" t="n">
        <x:f>IF(AND(ISNUMBER(N274),ISNUMBER(M274)),N274*(1-$J$75)-M274,"")</x:f>
        <x:v>17305761.46907796</x:v>
      </x:c>
      <x:c r="P274" s="412" t="n">
        <x:f>IF(AND(ISNUMBER(P273),ISNUMBER(L274)),P273+L274,"")</x:f>
        <x:v>23976171.9106894</x:v>
      </x:c>
      <x:c r="Q274" s="412" t="n">
        <x:f>IF(AND(ISNUMBER(Q273),ISNUMBER(L274)),Q273+MAX(0,-L274),"")</x:f>
        <x:v>208898.25271554862</x:v>
      </x:c>
      <x:c r="R274" s="412" t="n">
        <x:f>IF(AND(ISNUMBER(R273),ISNUMBER(L274)),R273+MAX(0,L274),"")</x:f>
        <x:v>23995070.16340495</x:v>
      </x:c>
      <x:c r="S274" s="412" t="n">
        <x:f>IF(AND(ISNUMBER(Q273),ISNUMBER(L274),ISNUMBER(O274)),Q273+MAX(0,-(L274+O274)),"")</x:f>
        <x:v>208898.25271554862</x:v>
      </x:c>
      <x:c r="T274" s="412" t="n">
        <x:f>IF(AND(ISNUMBER(R273),ISNUMBER(L274),ISNUMBER(O274)),R273+MAX(0,L274+O274),"")</x:f>
        <x:v>41300831.632482916</x:v>
      </x:c>
      <x:c r="U274" s="412" t="n">
        <x:f>IF(AND(ISNUMBER(O274),ISNUMBER(P274),ISNUMBER($E$18)),O274+P274-$E$18,"")</x:f>
        <x:v>41091933.37976736</x:v>
      </x:c>
      <x:c r="V274" s="416" t="n">
        <x:f>IF(AND(S274&gt;0,ISNUMBER(U274)),U274/S274,"")</x:f>
        <x:v>196.70788455909772</x:v>
      </x:c>
      <x:c r="W274" s="418" t="n">
        <x:f>IF(AND(S274&gt;0,ISNUMBER(T274)),T274/S274,"")</x:f>
        <x:v>197.70788455909775</x:v>
      </x:c>
      <x:c r="X274" s="412" t="n">
        <x:f>IF($B$136="No",0,IF(AND(ISNUMBER(L274),OR(74&lt;&gt;$B$134,ISNUMBER(O274))),MAX(0,-(L274+IF(74=$B$134,O274,0))),0))</x:f>
        <x:v>0</x:v>
      </x:c>
      <x:c r="Y274" s="412" t="n">
        <x:f>IF(AND(ISNUMBER(Y273),ISNUMBER($D$138),$D$138&gt;=-1),Y273+Y273*$D$138-0+X274,"")</x:f>
        <x:v>61381456.75677226</x:v>
      </x:c>
      <x:c r="Z274" s="412" t="n">
        <x:f>IF(AND(ISNUMBER(Y273),ISNUMBER($D$138),$D$138&gt;=-1),Z273+0,"")</x:f>
        <x:v>0</x:v>
      </x:c>
      <x:c r="AA274" s="412" t="n">
        <x:f>IF(ISNUMBER(AA273),AA273+X274,"")</x:f>
        <x:v>208898.25271554862</x:v>
      </x:c>
      <x:c r="AB274" s="412" t="n">
        <x:f>IF(AND(ISNUMBER(Y274),ISNUMBER(Z274),ISNUMBER(AA274)),Y274+Z274-AA274,"")</x:f>
        <x:v>61172558.50405671</x:v>
      </x:c>
      <x:c r="AC274" s="416" t="n">
        <x:f>IF(AND(AA274&gt;0,ISNUMBER(AB274)),AB274/AA274,"")</x:f>
        <x:v>292.83422771062527</x:v>
      </x:c>
      <x:c r="AD274" s="412" t="n">
        <x:f>IF(AND(ISNUMBER(AD273),ISNUMBER($G$138),$G$138&gt;=0),AD273+AD273*$G$138-IF(AND($J$134="Cash payout",$G$138&gt;=0),AD273*$G$138,0)+X274,"")</x:f>
        <x:v>7664981.7961743465</x:v>
      </x:c>
      <x:c r="AE274" s="412" t="n">
        <x:f>IF(AND(ISNUMBER(AD273),ISNUMBER($G$138),$G$138&gt;=0),AE273+IF(AND($J$134="Cash payout",$G$138&gt;=0),AD273*$G$138,0),"")</x:f>
        <x:v>0</x:v>
      </x:c>
      <x:c r="AF274" s="412" t="n">
        <x:f>IF(ISNUMBER(AF273),AF273+X274,"")</x:f>
        <x:v>208898.25271554862</x:v>
      </x:c>
      <x:c r="AG274" s="412" t="n">
        <x:f>IF(AND(ISNUMBER(AD274),ISNUMBER(AE274),ISNUMBER(AF274)),AD274+AE274-AF274,"")</x:f>
        <x:v>7456083.543458798</x:v>
      </x:c>
      <x:c r="AH274" s="416" t="n">
        <x:f>IF(AND(AF274&gt;0,ISNUMBER(AG274)),AG274/AF274,"")</x:f>
        <x:v>35.69241698546687</x:v>
      </x:c>
      <x:c r="AI274" s="412" t="n">
        <x:f>IF(AND(ISNUMBER(AI273),ISNUMBER($J$138),$J$138&gt;=-1),AI273+AI273*$J$138-IF(AND($J$134="Cash payout",$J$138&gt;=0),AI273*$J$138,0)+X274,"")</x:f>
        <x:v>7664981.7961743465</x:v>
      </x:c>
      <x:c r="AJ274" s="412" t="n">
        <x:f>IF(AND(ISNUMBER(AI273),ISNUMBER($J$138),$J$138&gt;=-1),AJ273+IF(AND($J$134="Cash payout",$J$138&gt;=0),AI273*$J$138,0),"")</x:f>
        <x:v>0</x:v>
      </x:c>
      <x:c r="AK274" s="412" t="n">
        <x:f>IF(ISNUMBER(AK273),AK273+X274,"")</x:f>
        <x:v>208898.25271554862</x:v>
      </x:c>
      <x:c r="AL274" s="412" t="n">
        <x:f>IF(AND(ISNUMBER(AI274),ISNUMBER(AJ274),ISNUMBER(AK274)),AI274+AJ274-AK274,"")</x:f>
        <x:v>7456083.543458798</x:v>
      </x:c>
      <x:c r="AM274" s="416" t="n">
        <x:f>IF(AND(AK274&gt;0,ISNUMBER(AL274)),AL274/AK274,"")</x:f>
        <x:v>35.69241698546687</x:v>
      </x:c>
    </x:row>
    <x:row r="275" ht="24" customHeight="1">
      <x:c r="A275" s="419" t="n">
        <x:f>75</x:f>
        <x:v>75</x:v>
      </x:c>
      <x:c r="B275" s="414" t="n">
        <x:v>0</x:v>
      </x:c>
      <x:c r="C275" s="412" t="n">
        <x:f>IF(AND(ISNUMBER($H$17),ISNUMBER($J$73),$J$73&gt;-1,$J$73&lt;=5),$H$17*(1+$J$73)^(75-1),"")</x:f>
        <x:v>1420894.099566401</x:v>
      </x:c>
      <x:c r="D275" s="412" t="n">
        <x:f>IF(AND(ISNUMBER($H$18),ISNUMBER($J$74),$J$74&gt;-1,$J$74&lt;=5),$H$18*(1+$J$74)^(75-1),"")</x:f>
        <x:v>267347.3495431223</x:v>
      </x:c>
      <x:c r="E275" s="412" t="n">
        <x:f>IF(AND(ISNUMBER($H$22),ISNUMBER($J$74),$J$74&gt;-1,$J$74&lt;=5),$H$22*(1+$J$74)^(75-1),"")</x:f>
        <x:v>0</x:v>
      </x:c>
      <x:c r="F275" s="412" t="n">
        <x:f>IF(AND(ISNUMBER(C275),ISNUMBER(D275)),C275-D275,"")</x:f>
        <x:v>1153546.7500232786</x:v>
      </x:c>
      <x:c r="G275" s="412" t="n">
        <x:f>IF(AND(ISNUMBER(F275),ISNUMBER(E275)),F275-E275,"")</x:f>
        <x:v>1153546.7500232786</x:v>
      </x:c>
      <x:c r="H275" s="412" t="n">
        <x:f>IF(COUNT(M1289:M1300)=12,SUM(M1289:M1300),"")</x:f>
        <x:v>0</x:v>
      </x:c>
      <x:c r="I275" s="412" t="n">
        <x:f>SUM(E1289:E1300)</x:f>
        <x:v>0</x:v>
      </x:c>
      <x:c r="J275" s="412" t="n">
        <x:f>SUM(F1289:F1300)</x:f>
        <x:v>0</x:v>
      </x:c>
      <x:c r="K275" s="412" t="n">
        <x:f>SUM(G1289:G1300)</x:f>
        <x:v>0</x:v>
      </x:c>
      <x:c r="L275" s="412" t="n">
        <x:f>IF(AND(ISNUMBER(G275),ISNUMBER(H275),ISNUMBER(J275),ISNUMBER(K275)),G275-H275-B275-J275-K275,"")</x:f>
        <x:v>1153546.7500232786</x:v>
      </x:c>
      <x:c r="M275" s="412" t="n">
        <x:f>IF(ISNUMBER(N1300),N1300,"")</x:f>
        <x:v>0</x:v>
      </x:c>
      <x:c r="N275" s="412" t="n">
        <x:f>IF(ISNUMBER($J$77),IF(AND($J$77&gt;0,$J$77&lt;=1,ISNUMBER($H$17),ISNUMBER($H$18),ISNUMBER($J$73),$J$73&gt;-1,$J$73&lt;=5,ISNUMBER($J$74),$J$74&gt;-1,$J$74&lt;=5),($H$17*(1+$J$73)^75-$H$18*(1+$J$74)^75)/$J$77,""),IF(AND($J$77="",ISNUMBER($B$15),$B$15&gt;0,ISNUMBER($J$72),$J$72&gt;-1,$J$72&lt;=5),$B$15*(1+$J$72)^75,""))</x:f>
        <x:v>17997991.92784108</x:v>
      </x:c>
      <x:c r="O275" s="412" t="n">
        <x:f>IF(AND(ISNUMBER(N275),ISNUMBER(M275)),N275*(1-$J$75)-M275,"")</x:f>
        <x:v>17997991.92784108</x:v>
      </x:c>
      <x:c r="P275" s="412" t="n">
        <x:f>IF(AND(ISNUMBER(P274),ISNUMBER(L275)),P274+L275,"")</x:f>
        <x:v>25129718.660712678</x:v>
      </x:c>
      <x:c r="Q275" s="412" t="n">
        <x:f>IF(AND(ISNUMBER(Q274),ISNUMBER(L275)),Q274+MAX(0,-L275),"")</x:f>
        <x:v>208898.25271554862</x:v>
      </x:c>
      <x:c r="R275" s="412" t="n">
        <x:f>IF(AND(ISNUMBER(R274),ISNUMBER(L275)),R274+MAX(0,L275),"")</x:f>
        <x:v>25148616.91342823</x:v>
      </x:c>
      <x:c r="S275" s="412" t="n">
        <x:f>IF(AND(ISNUMBER(Q274),ISNUMBER(L275),ISNUMBER(O275)),Q274+MAX(0,-(L275+O275)),"")</x:f>
        <x:v>208898.25271554862</x:v>
      </x:c>
      <x:c r="T275" s="412" t="n">
        <x:f>IF(AND(ISNUMBER(R274),ISNUMBER(L275),ISNUMBER(O275)),R274+MAX(0,L275+O275),"")</x:f>
        <x:v>43146608.84126931</x:v>
      </x:c>
      <x:c r="U275" s="412" t="n">
        <x:f>IF(AND(ISNUMBER(O275),ISNUMBER(P275),ISNUMBER($E$18)),O275+P275-$E$18,"")</x:f>
        <x:v>42937710.58855376</x:v>
      </x:c>
      <x:c r="V275" s="416" t="n">
        <x:f>IF(AND(S275&gt;0,ISNUMBER(U275)),U275/S275,"")</x:f>
        <x:v>205.54365596834808</x:v>
      </x:c>
      <x:c r="W275" s="418" t="n">
        <x:f>IF(AND(S275&gt;0,ISNUMBER(T275)),T275/S275,"")</x:f>
        <x:v>206.54365596834808</x:v>
      </x:c>
      <x:c r="X275" s="412" t="n">
        <x:f>IF($B$136="No",0,IF(AND(ISNUMBER(L275),OR(75&lt;&gt;$B$134,ISNUMBER(O275))),MAX(0,-(L275+IF(75=$B$134,O275,0))),0))</x:f>
        <x:v>0</x:v>
      </x:c>
      <x:c r="Y275" s="412" t="n">
        <x:f>IF(AND(ISNUMBER(Y274),ISNUMBER($D$138),$D$138&gt;=-1),Y274+Y274*$D$138-0+X275,"")</x:f>
        <x:v>66291973.29731404</x:v>
      </x:c>
      <x:c r="Z275" s="412" t="n">
        <x:f>IF(AND(ISNUMBER(Y274),ISNUMBER($D$138),$D$138&gt;=-1),Z274+0,"")</x:f>
        <x:v>0</x:v>
      </x:c>
      <x:c r="AA275" s="412" t="n">
        <x:f>IF(ISNUMBER(AA274),AA274+X275,"")</x:f>
        <x:v>208898.25271554862</x:v>
      </x:c>
      <x:c r="AB275" s="412" t="n">
        <x:f>IF(AND(ISNUMBER(Y275),ISNUMBER(Z275),ISNUMBER(AA275)),Y275+Z275-AA275,"")</x:f>
        <x:v>66083075.04459849</x:v>
      </x:c>
      <x:c r="AC275" s="416" t="n">
        <x:f>IF(AND(AA275&gt;0,ISNUMBER(AB275)),AB275/AA275,"")</x:f>
        <x:v>316.3409659274753</x:v>
      </x:c>
      <x:c r="AD275" s="412" t="n">
        <x:f>IF(AND(ISNUMBER(AD274),ISNUMBER($G$138),$G$138&gt;=0),AD274+AD274*$G$138-IF(AND($J$134="Cash payout",$G$138&gt;=0),AD274*$G$138,0)+X275,"")</x:f>
        <x:v>8048230.885983064</x:v>
      </x:c>
      <x:c r="AE275" s="412" t="n">
        <x:f>IF(AND(ISNUMBER(AD274),ISNUMBER($G$138),$G$138&gt;=0),AE274+IF(AND($J$134="Cash payout",$G$138&gt;=0),AD274*$G$138,0),"")</x:f>
        <x:v>0</x:v>
      </x:c>
      <x:c r="AF275" s="412" t="n">
        <x:f>IF(ISNUMBER(AF274),AF274+X275,"")</x:f>
        <x:v>208898.25271554862</x:v>
      </x:c>
      <x:c r="AG275" s="412" t="n">
        <x:f>IF(AND(ISNUMBER(AD275),ISNUMBER(AE275),ISNUMBER(AF275)),AD275+AE275-AF275,"")</x:f>
        <x:v>7839332.633267515</x:v>
      </x:c>
      <x:c r="AH275" s="416" t="n">
        <x:f>IF(AND(AF275&gt;0,ISNUMBER(AG275)),AG275/AF275,"")</x:f>
        <x:v>37.52703783474021</x:v>
      </x:c>
      <x:c r="AI275" s="412" t="n">
        <x:f>IF(AND(ISNUMBER(AI274),ISNUMBER($J$138),$J$138&gt;=-1),AI274+AI274*$J$138-IF(AND($J$134="Cash payout",$J$138&gt;=0),AI274*$J$138,0)+X275,"")</x:f>
        <x:v>8048230.885983064</x:v>
      </x:c>
      <x:c r="AJ275" s="412" t="n">
        <x:f>IF(AND(ISNUMBER(AI274),ISNUMBER($J$138),$J$138&gt;=-1),AJ274+IF(AND($J$134="Cash payout",$J$138&gt;=0),AI274*$J$138,0),"")</x:f>
        <x:v>0</x:v>
      </x:c>
      <x:c r="AK275" s="412" t="n">
        <x:f>IF(ISNUMBER(AK274),AK274+X275,"")</x:f>
        <x:v>208898.25271554862</x:v>
      </x:c>
      <x:c r="AL275" s="412" t="n">
        <x:f>IF(AND(ISNUMBER(AI275),ISNUMBER(AJ275),ISNUMBER(AK275)),AI275+AJ275-AK275,"")</x:f>
        <x:v>7839332.633267515</x:v>
      </x:c>
      <x:c r="AM275" s="416" t="n">
        <x:f>IF(AND(AK275&gt;0,ISNUMBER(AL275)),AL275/AK275,"")</x:f>
        <x:v>37.52703783474021</x:v>
      </x:c>
    </x:row>
    <x:row r="276" ht="24" customHeight="1">
      <x:c r="A276" s="419" t="n">
        <x:f>76</x:f>
        <x:v>76</x:v>
      </x:c>
      <x:c r="B276" s="414" t="n">
        <x:v>0</x:v>
      </x:c>
      <x:c r="C276" s="412" t="n">
        <x:f>IF(AND(ISNUMBER($H$17),ISNUMBER($J$73),$J$73&gt;-1,$J$73&lt;=5),$H$17*(1+$J$73)^(76-1),"")</x:f>
        <x:v>1477729.863549057</x:v>
      </x:c>
      <x:c r="D276" s="412" t="n">
        <x:f>IF(AND(ISNUMBER($H$18),ISNUMBER($J$74),$J$74&gt;-1,$J$74&lt;=5),$H$18*(1+$J$74)^(76-1),"")</x:f>
        <x:v>275367.77002941596</x:v>
      </x:c>
      <x:c r="E276" s="412" t="n">
        <x:f>IF(AND(ISNUMBER($H$22),ISNUMBER($J$74),$J$74&gt;-1,$J$74&lt;=5),$H$22*(1+$J$74)^(76-1),"")</x:f>
        <x:v>0</x:v>
      </x:c>
      <x:c r="F276" s="412" t="n">
        <x:f>IF(AND(ISNUMBER(C276),ISNUMBER(D276)),C276-D276,"")</x:f>
        <x:v>1202362.093519641</x:v>
      </x:c>
      <x:c r="G276" s="412" t="n">
        <x:f>IF(AND(ISNUMBER(F276),ISNUMBER(E276)),F276-E276,"")</x:f>
        <x:v>1202362.093519641</x:v>
      </x:c>
      <x:c r="H276" s="412" t="n">
        <x:f>IF(COUNT(M1301:M1312)=12,SUM(M1301:M1312),"")</x:f>
        <x:v>0</x:v>
      </x:c>
      <x:c r="I276" s="412" t="n">
        <x:f>SUM(E1301:E1312)</x:f>
        <x:v>0</x:v>
      </x:c>
      <x:c r="J276" s="412" t="n">
        <x:f>SUM(F1301:F1312)</x:f>
        <x:v>0</x:v>
      </x:c>
      <x:c r="K276" s="412" t="n">
        <x:f>SUM(G1301:G1312)</x:f>
        <x:v>0</x:v>
      </x:c>
      <x:c r="L276" s="412" t="n">
        <x:f>IF(AND(ISNUMBER(G276),ISNUMBER(H276),ISNUMBER(J276),ISNUMBER(K276)),G276-H276-B276-J276-K276,"")</x:f>
        <x:v>1202362.093519641</x:v>
      </x:c>
      <x:c r="M276" s="412" t="n">
        <x:f>IF(ISNUMBER(N1312),N1312,"")</x:f>
        <x:v>0</x:v>
      </x:c>
      <x:c r="N276" s="412" t="n">
        <x:f>IF(ISNUMBER($J$77),IF(AND($J$77&gt;0,$J$77&lt;=1,ISNUMBER($H$17),ISNUMBER($H$18),ISNUMBER($J$73),$J$73&gt;-1,$J$73&lt;=5,ISNUMBER($J$74),$J$74&gt;-1,$J$74&lt;=5),($H$17*(1+$J$73)^76-$H$18*(1+$J$74)^76)/$J$77,""),IF(AND($J$77="",ISNUMBER($B$15),$B$15&gt;0,ISNUMBER($J$72),$J$72&gt;-1,$J$72&lt;=5),$B$15*(1+$J$72)^76,""))</x:f>
        <x:v>18717911.604954727</x:v>
      </x:c>
      <x:c r="O276" s="412" t="n">
        <x:f>IF(AND(ISNUMBER(N276),ISNUMBER(M276)),N276*(1-$J$75)-M276,"")</x:f>
        <x:v>18717911.604954727</x:v>
      </x:c>
      <x:c r="P276" s="412" t="n">
        <x:f>IF(AND(ISNUMBER(P275),ISNUMBER(L276)),P275+L276,"")</x:f>
        <x:v>26332080.754232317</x:v>
      </x:c>
      <x:c r="Q276" s="412" t="n">
        <x:f>IF(AND(ISNUMBER(Q275),ISNUMBER(L276)),Q275+MAX(0,-L276),"")</x:f>
        <x:v>208898.25271554862</x:v>
      </x:c>
      <x:c r="R276" s="412" t="n">
        <x:f>IF(AND(ISNUMBER(R275),ISNUMBER(L276)),R275+MAX(0,L276),"")</x:f>
        <x:v>26350979.006947868</x:v>
      </x:c>
      <x:c r="S276" s="412" t="n">
        <x:f>IF(AND(ISNUMBER(Q275),ISNUMBER(L276),ISNUMBER(O276)),Q275+MAX(0,-(L276+O276)),"")</x:f>
        <x:v>208898.25271554862</x:v>
      </x:c>
      <x:c r="T276" s="412" t="n">
        <x:f>IF(AND(ISNUMBER(R275),ISNUMBER(L276),ISNUMBER(O276)),R275+MAX(0,L276+O276),"")</x:f>
        <x:v>45068890.611902595</x:v>
      </x:c>
      <x:c r="U276" s="412" t="n">
        <x:f>IF(AND(ISNUMBER(O276),ISNUMBER(P276),ISNUMBER($E$18)),O276+P276-$E$18,"")</x:f>
        <x:v>44859992.359187044</x:v>
      </x:c>
      <x:c r="V276" s="416" t="n">
        <x:f>IF(AND(S276&gt;0,ISNUMBER(U276)),U276/S276,"")</x:f>
        <x:v>214.74565620360522</x:v>
      </x:c>
      <x:c r="W276" s="418" t="n">
        <x:f>IF(AND(S276&gt;0,ISNUMBER(T276)),T276/S276,"")</x:f>
        <x:v>215.74565620360522</x:v>
      </x:c>
      <x:c r="X276" s="412" t="n">
        <x:f>IF($B$136="No",0,IF(AND(ISNUMBER(L276),OR(76&lt;&gt;$B$134,ISNUMBER(O276))),MAX(0,-(L276+IF(76=$B$134,O276,0))),0))</x:f>
        <x:v>0</x:v>
      </x:c>
      <x:c r="Y276" s="412" t="n">
        <x:f>IF(AND(ISNUMBER(Y275),ISNUMBER($D$138),$D$138&gt;=-1),Y275+Y275*$D$138-0+X276,"")</x:f>
        <x:v>71595331.16109917</x:v>
      </x:c>
      <x:c r="Z276" s="412" t="n">
        <x:f>IF(AND(ISNUMBER(Y275),ISNUMBER($D$138),$D$138&gt;=-1),Z275+0,"")</x:f>
        <x:v>0</x:v>
      </x:c>
      <x:c r="AA276" s="412" t="n">
        <x:f>IF(ISNUMBER(AA275),AA275+X276,"")</x:f>
        <x:v>208898.25271554862</x:v>
      </x:c>
      <x:c r="AB276" s="412" t="n">
        <x:f>IF(AND(ISNUMBER(Y276),ISNUMBER(Z276),ISNUMBER(AA276)),Y276+Z276-AA276,"")</x:f>
        <x:v>71386432.90838362</x:v>
      </x:c>
      <x:c r="AC276" s="416" t="n">
        <x:f>IF(AND(AA276&gt;0,ISNUMBER(AB276)),AB276/AA276,"")</x:f>
        <x:v>341.72824320167337</x:v>
      </x:c>
      <x:c r="AD276" s="412" t="n">
        <x:f>IF(AND(ISNUMBER(AD275),ISNUMBER($G$138),$G$138&gt;=0),AD275+AD275*$G$138-IF(AND($J$134="Cash payout",$G$138&gt;=0),AD275*$G$138,0)+X276,"")</x:f>
        <x:v>8450642.430282217</x:v>
      </x:c>
      <x:c r="AE276" s="412" t="n">
        <x:f>IF(AND(ISNUMBER(AD275),ISNUMBER($G$138),$G$138&gt;=0),AE275+IF(AND($J$134="Cash payout",$G$138&gt;=0),AD275*$G$138,0),"")</x:f>
        <x:v>0</x:v>
      </x:c>
      <x:c r="AF276" s="412" t="n">
        <x:f>IF(ISNUMBER(AF275),AF275+X276,"")</x:f>
        <x:v>208898.25271554862</x:v>
      </x:c>
      <x:c r="AG276" s="412" t="n">
        <x:f>IF(AND(ISNUMBER(AD276),ISNUMBER(AE276),ISNUMBER(AF276)),AD276+AE276-AF276,"")</x:f>
        <x:v>8241744.177566668</x:v>
      </x:c>
      <x:c r="AH276" s="416" t="n">
        <x:f>IF(AND(AF276&gt;0,ISNUMBER(AG276)),AG276/AF276,"")</x:f>
        <x:v>39.45338972647722</x:v>
      </x:c>
      <x:c r="AI276" s="412" t="n">
        <x:f>IF(AND(ISNUMBER(AI275),ISNUMBER($J$138),$J$138&gt;=-1),AI275+AI275*$J$138-IF(AND($J$134="Cash payout",$J$138&gt;=0),AI275*$J$138,0)+X276,"")</x:f>
        <x:v>8450642.430282217</x:v>
      </x:c>
      <x:c r="AJ276" s="412" t="n">
        <x:f>IF(AND(ISNUMBER(AI275),ISNUMBER($J$138),$J$138&gt;=-1),AJ275+IF(AND($J$134="Cash payout",$J$138&gt;=0),AI275*$J$138,0),"")</x:f>
        <x:v>0</x:v>
      </x:c>
      <x:c r="AK276" s="412" t="n">
        <x:f>IF(ISNUMBER(AK275),AK275+X276,"")</x:f>
        <x:v>208898.25271554862</x:v>
      </x:c>
      <x:c r="AL276" s="412" t="n">
        <x:f>IF(AND(ISNUMBER(AI276),ISNUMBER(AJ276),ISNUMBER(AK276)),AI276+AJ276-AK276,"")</x:f>
        <x:v>8241744.177566668</x:v>
      </x:c>
      <x:c r="AM276" s="416" t="n">
        <x:f>IF(AND(AK276&gt;0,ISNUMBER(AL276)),AL276/AK276,"")</x:f>
        <x:v>39.45338972647722</x:v>
      </x:c>
    </x:row>
    <x:row r="277" ht="24" customHeight="1">
      <x:c r="A277" s="419" t="n">
        <x:f>77</x:f>
        <x:v>77</x:v>
      </x:c>
      <x:c r="B277" s="414" t="n">
        <x:v>0</x:v>
      </x:c>
      <x:c r="C277" s="412" t="n">
        <x:f>IF(AND(ISNUMBER($H$17),ISNUMBER($J$73),$J$73&gt;-1,$J$73&lt;=5),$H$17*(1+$J$73)^(77-1),"")</x:f>
        <x:v>1536839.0580910195</x:v>
      </x:c>
      <x:c r="D277" s="412" t="n">
        <x:f>IF(AND(ISNUMBER($H$18),ISNUMBER($J$74),$J$74&gt;-1,$J$74&lt;=5),$H$18*(1+$J$74)^(77-1),"")</x:f>
        <x:v>283628.8031302985</x:v>
      </x:c>
      <x:c r="E277" s="412" t="n">
        <x:f>IF(AND(ISNUMBER($H$22),ISNUMBER($J$74),$J$74&gt;-1,$J$74&lt;=5),$H$22*(1+$J$74)^(77-1),"")</x:f>
        <x:v>0</x:v>
      </x:c>
      <x:c r="F277" s="412" t="n">
        <x:f>IF(AND(ISNUMBER(C277),ISNUMBER(D277)),C277-D277,"")</x:f>
        <x:v>1253210.254960721</x:v>
      </x:c>
      <x:c r="G277" s="412" t="n">
        <x:f>IF(AND(ISNUMBER(F277),ISNUMBER(E277)),F277-E277,"")</x:f>
        <x:v>1253210.254960721</x:v>
      </x:c>
      <x:c r="H277" s="412" t="n">
        <x:f>IF(COUNT(M1313:M1324)=12,SUM(M1313:M1324),"")</x:f>
        <x:v>0</x:v>
      </x:c>
      <x:c r="I277" s="412" t="n">
        <x:f>SUM(E1313:E1324)</x:f>
        <x:v>0</x:v>
      </x:c>
      <x:c r="J277" s="412" t="n">
        <x:f>SUM(F1313:F1324)</x:f>
        <x:v>0</x:v>
      </x:c>
      <x:c r="K277" s="412" t="n">
        <x:f>SUM(G1313:G1324)</x:f>
        <x:v>0</x:v>
      </x:c>
      <x:c r="L277" s="412" t="n">
        <x:f>IF(AND(ISNUMBER(G277),ISNUMBER(H277),ISNUMBER(J277),ISNUMBER(K277)),G277-H277-B277-J277-K277,"")</x:f>
        <x:v>1253210.254960721</x:v>
      </x:c>
      <x:c r="M277" s="412" t="n">
        <x:f>IF(ISNUMBER(N1324),N1324,"")</x:f>
        <x:v>0</x:v>
      </x:c>
      <x:c r="N277" s="412" t="n">
        <x:f>IF(ISNUMBER($J$77),IF(AND($J$77&gt;0,$J$77&lt;=1,ISNUMBER($H$17),ISNUMBER($H$18),ISNUMBER($J$73),$J$73&gt;-1,$J$73&lt;=5,ISNUMBER($J$74),$J$74&gt;-1,$J$74&lt;=5),($H$17*(1+$J$73)^77-$H$18*(1+$J$74)^77)/$J$77,""),IF(AND($J$77="",ISNUMBER($B$15),$B$15&gt;0,ISNUMBER($J$72),$J$72&gt;-1,$J$72&lt;=5),$B$15*(1+$J$72)^77,""))</x:f>
        <x:v>19466628.069152914</x:v>
      </x:c>
      <x:c r="O277" s="412" t="n">
        <x:f>IF(AND(ISNUMBER(N277),ISNUMBER(M277)),N277*(1-$J$75)-M277,"")</x:f>
        <x:v>19466628.069152914</x:v>
      </x:c>
      <x:c r="P277" s="412" t="n">
        <x:f>IF(AND(ISNUMBER(P276),ISNUMBER(L277)),P276+L277,"")</x:f>
        <x:v>27585291.009193037</x:v>
      </x:c>
      <x:c r="Q277" s="412" t="n">
        <x:f>IF(AND(ISNUMBER(Q276),ISNUMBER(L277)),Q276+MAX(0,-L277),"")</x:f>
        <x:v>208898.25271554862</x:v>
      </x:c>
      <x:c r="R277" s="412" t="n">
        <x:f>IF(AND(ISNUMBER(R276),ISNUMBER(L277)),R276+MAX(0,L277),"")</x:f>
        <x:v>27604189.261908587</x:v>
      </x:c>
      <x:c r="S277" s="412" t="n">
        <x:f>IF(AND(ISNUMBER(Q276),ISNUMBER(L277),ISNUMBER(O277)),Q276+MAX(0,-(L277+O277)),"")</x:f>
        <x:v>208898.25271554862</x:v>
      </x:c>
      <x:c r="T277" s="412" t="n">
        <x:f>IF(AND(ISNUMBER(R276),ISNUMBER(L277),ISNUMBER(O277)),R276+MAX(0,L277+O277),"")</x:f>
        <x:v>47070817.3310615</x:v>
      </x:c>
      <x:c r="U277" s="412" t="n">
        <x:f>IF(AND(ISNUMBER(O277),ISNUMBER(P277),ISNUMBER($E$18)),O277+P277-$E$18,"")</x:f>
        <x:v>46861919.078345954</x:v>
      </x:c>
      <x:c r="V277" s="416" t="n">
        <x:f>IF(AND(S277&gt;0,ISNUMBER(U277)),U277/S277,"")</x:f>
        <x:v>224.32891835699854</x:v>
      </x:c>
      <x:c r="W277" s="418" t="n">
        <x:f>IF(AND(S277&gt;0,ISNUMBER(T277)),T277/S277,"")</x:f>
        <x:v>225.3289183569985</x:v>
      </x:c>
      <x:c r="X277" s="412" t="n">
        <x:f>IF($B$136="No",0,IF(AND(ISNUMBER(L277),OR(77&lt;&gt;$B$134,ISNUMBER(O277))),MAX(0,-(L277+IF(77=$B$134,O277,0))),0))</x:f>
        <x:v>0</x:v>
      </x:c>
      <x:c r="Y277" s="412" t="n">
        <x:f>IF(AND(ISNUMBER(Y276),ISNUMBER($D$138),$D$138&gt;=-1),Y276+Y276*$D$138-0+X277,"")</x:f>
        <x:v>77322957.6539871</x:v>
      </x:c>
      <x:c r="Z277" s="412" t="n">
        <x:f>IF(AND(ISNUMBER(Y276),ISNUMBER($D$138),$D$138&gt;=-1),Z276+0,"")</x:f>
        <x:v>0</x:v>
      </x:c>
      <x:c r="AA277" s="412" t="n">
        <x:f>IF(ISNUMBER(AA276),AA276+X277,"")</x:f>
        <x:v>208898.25271554862</x:v>
      </x:c>
      <x:c r="AB277" s="412" t="n">
        <x:f>IF(AND(ISNUMBER(Y277),ISNUMBER(Z277),ISNUMBER(AA277)),Y277+Z277-AA277,"")</x:f>
        <x:v>77114059.40127155</x:v>
      </x:c>
      <x:c r="AC277" s="416" t="n">
        <x:f>IF(AND(AA277&gt;0,ISNUMBER(AB277)),AB277/AA277,"")</x:f>
        <x:v>369.1465026578072</x:v>
      </x:c>
      <x:c r="AD277" s="412" t="n">
        <x:f>IF(AND(ISNUMBER(AD276),ISNUMBER($G$138),$G$138&gt;=0),AD276+AD276*$G$138-IF(AND($J$134="Cash payout",$G$138&gt;=0),AD276*$G$138,0)+X277,"")</x:f>
        <x:v>8873174.551796328</x:v>
      </x:c>
      <x:c r="AE277" s="412" t="n">
        <x:f>IF(AND(ISNUMBER(AD276),ISNUMBER($G$138),$G$138&gt;=0),AE276+IF(AND($J$134="Cash payout",$G$138&gt;=0),AD276*$G$138,0),"")</x:f>
        <x:v>0</x:v>
      </x:c>
      <x:c r="AF277" s="412" t="n">
        <x:f>IF(ISNUMBER(AF276),AF276+X277,"")</x:f>
        <x:v>208898.25271554862</x:v>
      </x:c>
      <x:c r="AG277" s="412" t="n">
        <x:f>IF(AND(ISNUMBER(AD277),ISNUMBER(AE277),ISNUMBER(AF277)),AD277+AE277-AF277,"")</x:f>
        <x:v>8664276.29908078</x:v>
      </x:c>
      <x:c r="AH277" s="416" t="n">
        <x:f>IF(AND(AF277&gt;0,ISNUMBER(AG277)),AG277/AF277,"")</x:f>
        <x:v>41.47605921280109</x:v>
      </x:c>
      <x:c r="AI277" s="412" t="n">
        <x:f>IF(AND(ISNUMBER(AI276),ISNUMBER($J$138),$J$138&gt;=-1),AI276+AI276*$J$138-IF(AND($J$134="Cash payout",$J$138&gt;=0),AI276*$J$138,0)+X277,"")</x:f>
        <x:v>8873174.551796328</x:v>
      </x:c>
      <x:c r="AJ277" s="412" t="n">
        <x:f>IF(AND(ISNUMBER(AI276),ISNUMBER($J$138),$J$138&gt;=-1),AJ276+IF(AND($J$134="Cash payout",$J$138&gt;=0),AI276*$J$138,0),"")</x:f>
        <x:v>0</x:v>
      </x:c>
      <x:c r="AK277" s="412" t="n">
        <x:f>IF(ISNUMBER(AK276),AK276+X277,"")</x:f>
        <x:v>208898.25271554862</x:v>
      </x:c>
      <x:c r="AL277" s="412" t="n">
        <x:f>IF(AND(ISNUMBER(AI277),ISNUMBER(AJ277),ISNUMBER(AK277)),AI277+AJ277-AK277,"")</x:f>
        <x:v>8664276.29908078</x:v>
      </x:c>
      <x:c r="AM277" s="416" t="n">
        <x:f>IF(AND(AK277&gt;0,ISNUMBER(AL277)),AL277/AK277,"")</x:f>
        <x:v>41.47605921280109</x:v>
      </x:c>
    </x:row>
    <x:row r="278" ht="24" customHeight="1">
      <x:c r="A278" s="419" t="n">
        <x:f>78</x:f>
        <x:v>78</x:v>
      </x:c>
      <x:c r="B278" s="414" t="n">
        <x:v>0</x:v>
      </x:c>
      <x:c r="C278" s="412" t="n">
        <x:f>IF(AND(ISNUMBER($H$17),ISNUMBER($J$73),$J$73&gt;-1,$J$73&lt;=5),$H$17*(1+$J$73)^(78-1),"")</x:f>
        <x:v>1598312.6204146603</x:v>
      </x:c>
      <x:c r="D278" s="412" t="n">
        <x:f>IF(AND(ISNUMBER($H$18),ISNUMBER($J$74),$J$74&gt;-1,$J$74&lt;=5),$H$18*(1+$J$74)^(78-1),"")</x:f>
        <x:v>292137.6672242074</x:v>
      </x:c>
      <x:c r="E278" s="412" t="n">
        <x:f>IF(AND(ISNUMBER($H$22),ISNUMBER($J$74),$J$74&gt;-1,$J$74&lt;=5),$H$22*(1+$J$74)^(78-1),"")</x:f>
        <x:v>0</x:v>
      </x:c>
      <x:c r="F278" s="412" t="n">
        <x:f>IF(AND(ISNUMBER(C278),ISNUMBER(D278)),C278-D278,"")</x:f>
        <x:v>1306174.953190453</x:v>
      </x:c>
      <x:c r="G278" s="412" t="n">
        <x:f>IF(AND(ISNUMBER(F278),ISNUMBER(E278)),F278-E278,"")</x:f>
        <x:v>1306174.953190453</x:v>
      </x:c>
      <x:c r="H278" s="412" t="n">
        <x:f>IF(COUNT(M1325:M1336)=12,SUM(M1325:M1336),"")</x:f>
        <x:v>0</x:v>
      </x:c>
      <x:c r="I278" s="412" t="n">
        <x:f>SUM(E1325:E1336)</x:f>
        <x:v>0</x:v>
      </x:c>
      <x:c r="J278" s="412" t="n">
        <x:f>SUM(F1325:F1336)</x:f>
        <x:v>0</x:v>
      </x:c>
      <x:c r="K278" s="412" t="n">
        <x:f>SUM(G1325:G1336)</x:f>
        <x:v>0</x:v>
      </x:c>
      <x:c r="L278" s="412" t="n">
        <x:f>IF(AND(ISNUMBER(G278),ISNUMBER(H278),ISNUMBER(J278),ISNUMBER(K278)),G278-H278-B278-J278-K278,"")</x:f>
        <x:v>1306174.953190453</x:v>
      </x:c>
      <x:c r="M278" s="412" t="n">
        <x:f>IF(ISNUMBER(N1336),N1336,"")</x:f>
        <x:v>0</x:v>
      </x:c>
      <x:c r="N278" s="412" t="n">
        <x:f>IF(ISNUMBER($J$77),IF(AND($J$77&gt;0,$J$77&lt;=1,ISNUMBER($H$17),ISNUMBER($H$18),ISNUMBER($J$73),$J$73&gt;-1,$J$73&lt;=5,ISNUMBER($J$74),$J$74&gt;-1,$J$74&lt;=5),($H$17*(1+$J$73)^78-$H$18*(1+$J$74)^78)/$J$77,""),IF(AND($J$77="",ISNUMBER($B$15),$B$15&gt;0,ISNUMBER($J$72),$J$72&gt;-1,$J$72&lt;=5),$B$15*(1+$J$72)^78,""))</x:f>
        <x:v>20245293.191919032</x:v>
      </x:c>
      <x:c r="O278" s="412" t="n">
        <x:f>IF(AND(ISNUMBER(N278),ISNUMBER(M278)),N278*(1-$J$75)-M278,"")</x:f>
        <x:v>20245293.191919032</x:v>
      </x:c>
      <x:c r="P278" s="412" t="n">
        <x:f>IF(AND(ISNUMBER(P277),ISNUMBER(L278)),P277+L278,"")</x:f>
        <x:v>28891465.96238349</x:v>
      </x:c>
      <x:c r="Q278" s="412" t="n">
        <x:f>IF(AND(ISNUMBER(Q277),ISNUMBER(L278)),Q277+MAX(0,-L278),"")</x:f>
        <x:v>208898.25271554862</x:v>
      </x:c>
      <x:c r="R278" s="412" t="n">
        <x:f>IF(AND(ISNUMBER(R277),ISNUMBER(L278)),R277+MAX(0,L278),"")</x:f>
        <x:v>28910364.21509904</x:v>
      </x:c>
      <x:c r="S278" s="412" t="n">
        <x:f>IF(AND(ISNUMBER(Q277),ISNUMBER(L278),ISNUMBER(O278)),Q277+MAX(0,-(L278+O278)),"")</x:f>
        <x:v>208898.25271554862</x:v>
      </x:c>
      <x:c r="T278" s="412" t="n">
        <x:f>IF(AND(ISNUMBER(R277),ISNUMBER(L278),ISNUMBER(O278)),R277+MAX(0,L278+O278),"")</x:f>
        <x:v>49155657.40701807</x:v>
      </x:c>
      <x:c r="U278" s="412" t="n">
        <x:f>IF(AND(ISNUMBER(O278),ISNUMBER(P278),ISNUMBER($E$18)),O278+P278-$E$18,"")</x:f>
        <x:v>48946759.15430252</x:v>
      </x:c>
      <x:c r="V278" s="416" t="n">
        <x:f>IF(AND(S278&gt;0,ISNUMBER(U278)),U278/S278,"")</x:f>
        <x:v>234.30908836251524</x:v>
      </x:c>
      <x:c r="W278" s="418" t="n">
        <x:f>IF(AND(S278&gt;0,ISNUMBER(T278)),T278/S278,"")</x:f>
        <x:v>235.30908836251527</x:v>
      </x:c>
      <x:c r="X278" s="412" t="n">
        <x:f>IF($B$136="No",0,IF(AND(ISNUMBER(L278),OR(78&lt;&gt;$B$134,ISNUMBER(O278))),MAX(0,-(L278+IF(78=$B$134,O278,0))),0))</x:f>
        <x:v>0</x:v>
      </x:c>
      <x:c r="Y278" s="412" t="n">
        <x:f>IF(AND(ISNUMBER(Y277),ISNUMBER($D$138),$D$138&gt;=-1),Y277+Y277*$D$138-0+X278,"")</x:f>
        <x:v>83508794.26630606</x:v>
      </x:c>
      <x:c r="Z278" s="412" t="n">
        <x:f>IF(AND(ISNUMBER(Y277),ISNUMBER($D$138),$D$138&gt;=-1),Z277+0,"")</x:f>
        <x:v>0</x:v>
      </x:c>
      <x:c r="AA278" s="412" t="n">
        <x:f>IF(ISNUMBER(AA277),AA277+X278,"")</x:f>
        <x:v>208898.25271554862</x:v>
      </x:c>
      <x:c r="AB278" s="412" t="n">
        <x:f>IF(AND(ISNUMBER(Y278),ISNUMBER(Z278),ISNUMBER(AA278)),Y278+Z278-AA278,"")</x:f>
        <x:v>83299896.01359051</x:v>
      </x:c>
      <x:c r="AC278" s="416" t="n">
        <x:f>IF(AND(AA278&gt;0,ISNUMBER(AB278)),AB278/AA278,"")</x:f>
        <x:v>398.7582228704318</x:v>
      </x:c>
      <x:c r="AD278" s="412" t="n">
        <x:f>IF(AND(ISNUMBER(AD277),ISNUMBER($G$138),$G$138&gt;=0),AD277+AD277*$G$138-IF(AND($J$134="Cash payout",$G$138&gt;=0),AD277*$G$138,0)+X278,"")</x:f>
        <x:v>9316833.279386144</x:v>
      </x:c>
      <x:c r="AE278" s="412" t="n">
        <x:f>IF(AND(ISNUMBER(AD277),ISNUMBER($G$138),$G$138&gt;=0),AE277+IF(AND($J$134="Cash payout",$G$138&gt;=0),AD277*$G$138,0),"")</x:f>
        <x:v>0</x:v>
      </x:c>
      <x:c r="AF278" s="412" t="n">
        <x:f>IF(ISNUMBER(AF277),AF277+X278,"")</x:f>
        <x:v>208898.25271554862</x:v>
      </x:c>
      <x:c r="AG278" s="412" t="n">
        <x:f>IF(AND(ISNUMBER(AD278),ISNUMBER(AE278),ISNUMBER(AF278)),AD278+AE278-AF278,"")</x:f>
        <x:v>9107935.026670596</x:v>
      </x:c>
      <x:c r="AH278" s="416" t="n">
        <x:f>IF(AND(AF278&gt;0,ISNUMBER(AG278)),AG278/AF278,"")</x:f>
        <x:v>43.59986217344114</x:v>
      </x:c>
      <x:c r="AI278" s="412" t="n">
        <x:f>IF(AND(ISNUMBER(AI277),ISNUMBER($J$138),$J$138&gt;=-1),AI277+AI277*$J$138-IF(AND($J$134="Cash payout",$J$138&gt;=0),AI277*$J$138,0)+X278,"")</x:f>
        <x:v>9316833.279386144</x:v>
      </x:c>
      <x:c r="AJ278" s="412" t="n">
        <x:f>IF(AND(ISNUMBER(AI277),ISNUMBER($J$138),$J$138&gt;=-1),AJ277+IF(AND($J$134="Cash payout",$J$138&gt;=0),AI277*$J$138,0),"")</x:f>
        <x:v>0</x:v>
      </x:c>
      <x:c r="AK278" s="412" t="n">
        <x:f>IF(ISNUMBER(AK277),AK277+X278,"")</x:f>
        <x:v>208898.25271554862</x:v>
      </x:c>
      <x:c r="AL278" s="412" t="n">
        <x:f>IF(AND(ISNUMBER(AI278),ISNUMBER(AJ278),ISNUMBER(AK278)),AI278+AJ278-AK278,"")</x:f>
        <x:v>9107935.026670596</x:v>
      </x:c>
      <x:c r="AM278" s="416" t="n">
        <x:f>IF(AND(AK278&gt;0,ISNUMBER(AL278)),AL278/AK278,"")</x:f>
        <x:v>43.59986217344114</x:v>
      </x:c>
    </x:row>
    <x:row r="279" ht="24" customHeight="1">
      <x:c r="A279" s="419" t="n">
        <x:f>79</x:f>
        <x:v>79</x:v>
      </x:c>
      <x:c r="B279" s="414" t="n">
        <x:v>0</x:v>
      </x:c>
      <x:c r="C279" s="412" t="n">
        <x:f>IF(AND(ISNUMBER($H$17),ISNUMBER($J$73),$J$73&gt;-1,$J$73&lt;=5),$H$17*(1+$J$73)^(79-1),"")</x:f>
        <x:v>1662245.125231247</x:v>
      </x:c>
      <x:c r="D279" s="412" t="n">
        <x:f>IF(AND(ISNUMBER($H$18),ISNUMBER($J$74),$J$74&gt;-1,$J$74&lt;=5),$H$18*(1+$J$74)^(79-1),"")</x:f>
        <x:v>300901.79724093364</x:v>
      </x:c>
      <x:c r="E279" s="412" t="n">
        <x:f>IF(AND(ISNUMBER($H$22),ISNUMBER($J$74),$J$74&gt;-1,$J$74&lt;=5),$H$22*(1+$J$74)^(79-1),"")</x:f>
        <x:v>0</x:v>
      </x:c>
      <x:c r="F279" s="412" t="n">
        <x:f>IF(AND(ISNUMBER(C279),ISNUMBER(D279)),C279-D279,"")</x:f>
        <x:v>1361343.3279903133</x:v>
      </x:c>
      <x:c r="G279" s="412" t="n">
        <x:f>IF(AND(ISNUMBER(F279),ISNUMBER(E279)),F279-E279,"")</x:f>
        <x:v>1361343.3279903133</x:v>
      </x:c>
      <x:c r="H279" s="412" t="n">
        <x:f>IF(COUNT(M1337:M1348)=12,SUM(M1337:M1348),"")</x:f>
        <x:v>0</x:v>
      </x:c>
      <x:c r="I279" s="412" t="n">
        <x:f>SUM(E1337:E1348)</x:f>
        <x:v>0</x:v>
      </x:c>
      <x:c r="J279" s="412" t="n">
        <x:f>SUM(F1337:F1348)</x:f>
        <x:v>0</x:v>
      </x:c>
      <x:c r="K279" s="412" t="n">
        <x:f>SUM(G1337:G1348)</x:f>
        <x:v>0</x:v>
      </x:c>
      <x:c r="L279" s="412" t="n">
        <x:f>IF(AND(ISNUMBER(G279),ISNUMBER(H279),ISNUMBER(J279),ISNUMBER(K279)),G279-H279-B279-J279-K279,"")</x:f>
        <x:v>1361343.3279903133</x:v>
      </x:c>
      <x:c r="M279" s="412" t="n">
        <x:f>IF(ISNUMBER(N1348),N1348,"")</x:f>
        <x:v>0</x:v>
      </x:c>
      <x:c r="N279" s="412" t="n">
        <x:f>IF(ISNUMBER($J$77),IF(AND($J$77&gt;0,$J$77&lt;=1,ISNUMBER($H$17),ISNUMBER($H$18),ISNUMBER($J$73),$J$73&gt;-1,$J$73&lt;=5,ISNUMBER($J$74),$J$74&gt;-1,$J$74&lt;=5),($H$17*(1+$J$73)^79-$H$18*(1+$J$74)^79)/$J$77,""),IF(AND($J$77="",ISNUMBER($B$15),$B$15&gt;0,ISNUMBER($J$72),$J$72&gt;-1,$J$72&lt;=5),$B$15*(1+$J$72)^79,""))</x:f>
        <x:v>21055104.919595793</x:v>
      </x:c>
      <x:c r="O279" s="412" t="n">
        <x:f>IF(AND(ISNUMBER(N279),ISNUMBER(M279)),N279*(1-$J$75)-M279,"")</x:f>
        <x:v>21055104.919595793</x:v>
      </x:c>
      <x:c r="P279" s="412" t="n">
        <x:f>IF(AND(ISNUMBER(P278),ISNUMBER(L279)),P278+L279,"")</x:f>
        <x:v>30252809.290373802</x:v>
      </x:c>
      <x:c r="Q279" s="412" t="n">
        <x:f>IF(AND(ISNUMBER(Q278),ISNUMBER(L279)),Q278+MAX(0,-L279),"")</x:f>
        <x:v>208898.25271554862</x:v>
      </x:c>
      <x:c r="R279" s="412" t="n">
        <x:f>IF(AND(ISNUMBER(R278),ISNUMBER(L279)),R278+MAX(0,L279),"")</x:f>
        <x:v>30271707.543089353</x:v>
      </x:c>
      <x:c r="S279" s="412" t="n">
        <x:f>IF(AND(ISNUMBER(Q278),ISNUMBER(L279),ISNUMBER(O279)),Q278+MAX(0,-(L279+O279)),"")</x:f>
        <x:v>208898.25271554862</x:v>
      </x:c>
      <x:c r="T279" s="412" t="n">
        <x:f>IF(AND(ISNUMBER(R278),ISNUMBER(L279),ISNUMBER(O279)),R278+MAX(0,L279+O279),"")</x:f>
        <x:v>51326812.462685145</x:v>
      </x:c>
      <x:c r="U279" s="412" t="n">
        <x:f>IF(AND(ISNUMBER(O279),ISNUMBER(P279),ISNUMBER($E$18)),O279+P279-$E$18,"")</x:f>
        <x:v>51117914.209969595</x:v>
      </x:c>
      <x:c r="V279" s="416" t="n">
        <x:f>IF(AND(S279&gt;0,ISNUMBER(U279)),U279/S279,"")</x:f>
        <x:v>244.70244985521992</x:v>
      </x:c>
      <x:c r="W279" s="418" t="n">
        <x:f>IF(AND(S279&gt;0,ISNUMBER(T279)),T279/S279,"")</x:f>
        <x:v>245.70244985521992</x:v>
      </x:c>
      <x:c r="X279" s="412" t="n">
        <x:f>IF($B$136="No",0,IF(AND(ISNUMBER(L279),OR(79&lt;&gt;$B$134,ISNUMBER(O279))),MAX(0,-(L279+IF(79=$B$134,O279,0))),0))</x:f>
        <x:v>0</x:v>
      </x:c>
      <x:c r="Y279" s="412" t="n">
        <x:f>IF(AND(ISNUMBER(Y278),ISNUMBER($D$138),$D$138&gt;=-1),Y278+Y278*$D$138-0+X279,"")</x:f>
        <x:v>90189497.80761054</x:v>
      </x:c>
      <x:c r="Z279" s="412" t="n">
        <x:f>IF(AND(ISNUMBER(Y278),ISNUMBER($D$138),$D$138&gt;=-1),Z278+0,"")</x:f>
        <x:v>0</x:v>
      </x:c>
      <x:c r="AA279" s="412" t="n">
        <x:f>IF(ISNUMBER(AA278),AA278+X279,"")</x:f>
        <x:v>208898.25271554862</x:v>
      </x:c>
      <x:c r="AB279" s="412" t="n">
        <x:f>IF(AND(ISNUMBER(Y279),ISNUMBER(Z279),ISNUMBER(AA279)),Y279+Z279-AA279,"")</x:f>
        <x:v>89980599.554895</x:v>
      </x:c>
      <x:c r="AC279" s="416" t="n">
        <x:f>IF(AND(AA279&gt;0,ISNUMBER(AB279)),AB279/AA279,"")</x:f>
        <x:v>430.7388807000663</x:v>
      </x:c>
      <x:c r="AD279" s="412" t="n">
        <x:f>IF(AND(ISNUMBER(AD278),ISNUMBER($G$138),$G$138&gt;=0),AD278+AD278*$G$138-IF(AND($J$134="Cash payout",$G$138&gt;=0),AD278*$G$138,0)+X279,"")</x:f>
        <x:v>9782674.943355452</x:v>
      </x:c>
      <x:c r="AE279" s="412" t="n">
        <x:f>IF(AND(ISNUMBER(AD278),ISNUMBER($G$138),$G$138&gt;=0),AE278+IF(AND($J$134="Cash payout",$G$138&gt;=0),AD278*$G$138,0),"")</x:f>
        <x:v>0</x:v>
      </x:c>
      <x:c r="AF279" s="412" t="n">
        <x:f>IF(ISNUMBER(AF278),AF278+X279,"")</x:f>
        <x:v>208898.25271554862</x:v>
      </x:c>
      <x:c r="AG279" s="412" t="n">
        <x:f>IF(AND(ISNUMBER(AD279),ISNUMBER(AE279),ISNUMBER(AF279)),AD279+AE279-AF279,"")</x:f>
        <x:v>9573776.690639904</x:v>
      </x:c>
      <x:c r="AH279" s="416" t="n">
        <x:f>IF(AND(AF279&gt;0,ISNUMBER(AG279)),AG279/AF279,"")</x:f>
        <x:v>45.8298552821132</x:v>
      </x:c>
      <x:c r="AI279" s="412" t="n">
        <x:f>IF(AND(ISNUMBER(AI278),ISNUMBER($J$138),$J$138&gt;=-1),AI278+AI278*$J$138-IF(AND($J$134="Cash payout",$J$138&gt;=0),AI278*$J$138,0)+X279,"")</x:f>
        <x:v>9782674.943355452</x:v>
      </x:c>
      <x:c r="AJ279" s="412" t="n">
        <x:f>IF(AND(ISNUMBER(AI278),ISNUMBER($J$138),$J$138&gt;=-1),AJ278+IF(AND($J$134="Cash payout",$J$138&gt;=0),AI278*$J$138,0),"")</x:f>
        <x:v>0</x:v>
      </x:c>
      <x:c r="AK279" s="412" t="n">
        <x:f>IF(ISNUMBER(AK278),AK278+X279,"")</x:f>
        <x:v>208898.25271554862</x:v>
      </x:c>
      <x:c r="AL279" s="412" t="n">
        <x:f>IF(AND(ISNUMBER(AI279),ISNUMBER(AJ279),ISNUMBER(AK279)),AI279+AJ279-AK279,"")</x:f>
        <x:v>9573776.690639904</x:v>
      </x:c>
      <x:c r="AM279" s="416" t="n">
        <x:f>IF(AND(AK279&gt;0,ISNUMBER(AL279)),AL279/AK279,"")</x:f>
        <x:v>45.8298552821132</x:v>
      </x:c>
    </x:row>
    <x:row r="280" ht="24" customHeight="1">
      <x:c r="A280" s="419" t="n">
        <x:f>80</x:f>
        <x:v>80</x:v>
      </x:c>
      <x:c r="B280" s="414" t="n">
        <x:v>0</x:v>
      </x:c>
      <x:c r="C280" s="412" t="n">
        <x:f>IF(AND(ISNUMBER($H$17),ISNUMBER($J$73),$J$73&gt;-1,$J$73&lt;=5),$H$17*(1+$J$73)^(80-1),"")</x:f>
        <x:v>1728734.9302404968</x:v>
      </x:c>
      <x:c r="D280" s="412" t="n">
        <x:f>IF(AND(ISNUMBER($H$18),ISNUMBER($J$74),$J$74&gt;-1,$J$74&lt;=5),$H$18*(1+$J$74)^(80-1),"")</x:f>
        <x:v>309928.8511581617</x:v>
      </x:c>
      <x:c r="E280" s="412" t="n">
        <x:f>IF(AND(ISNUMBER($H$22),ISNUMBER($J$74),$J$74&gt;-1,$J$74&lt;=5),$H$22*(1+$J$74)^(80-1),"")</x:f>
        <x:v>0</x:v>
      </x:c>
      <x:c r="F280" s="412" t="n">
        <x:f>IF(AND(ISNUMBER(C280),ISNUMBER(D280)),C280-D280,"")</x:f>
        <x:v>1418806.079082335</x:v>
      </x:c>
      <x:c r="G280" s="412" t="n">
        <x:f>IF(AND(ISNUMBER(F280),ISNUMBER(E280)),F280-E280,"")</x:f>
        <x:v>1418806.079082335</x:v>
      </x:c>
      <x:c r="H280" s="412" t="n">
        <x:f>IF(COUNT(M1349:M1360)=12,SUM(M1349:M1360),"")</x:f>
        <x:v>0</x:v>
      </x:c>
      <x:c r="I280" s="412" t="n">
        <x:f>SUM(E1349:E1360)</x:f>
        <x:v>0</x:v>
      </x:c>
      <x:c r="J280" s="412" t="n">
        <x:f>SUM(F1349:F1360)</x:f>
        <x:v>0</x:v>
      </x:c>
      <x:c r="K280" s="412" t="n">
        <x:f>SUM(G1349:G1360)</x:f>
        <x:v>0</x:v>
      </x:c>
      <x:c r="L280" s="412" t="n">
        <x:f>IF(AND(ISNUMBER(G280),ISNUMBER(H280),ISNUMBER(J280),ISNUMBER(K280)),G280-H280-B280-J280-K280,"")</x:f>
        <x:v>1418806.079082335</x:v>
      </x:c>
      <x:c r="M280" s="412" t="n">
        <x:f>IF(ISNUMBER(N1360),N1360,"")</x:f>
        <x:v>0</x:v>
      </x:c>
      <x:c r="N280" s="412" t="n">
        <x:f>IF(ISNUMBER($J$77),IF(AND($J$77&gt;0,$J$77&lt;=1,ISNUMBER($H$17),ISNUMBER($H$18),ISNUMBER($J$73),$J$73&gt;-1,$J$73&lt;=5,ISNUMBER($J$74),$J$74&gt;-1,$J$74&lt;=5),($H$17*(1+$J$73)^80-$H$18*(1+$J$74)^80)/$J$77,""),IF(AND($J$77="",ISNUMBER($B$15),$B$15&gt;0,ISNUMBER($J$72),$J$72&gt;-1,$J$72&lt;=5),$B$15*(1+$J$72)^80,""))</x:f>
        <x:v>21897309.116379626</x:v>
      </x:c>
      <x:c r="O280" s="412" t="n">
        <x:f>IF(AND(ISNUMBER(N280),ISNUMBER(M280)),N280*(1-$J$75)-M280,"")</x:f>
        <x:v>21897309.116379626</x:v>
      </x:c>
      <x:c r="P280" s="412" t="n">
        <x:f>IF(AND(ISNUMBER(P279),ISNUMBER(L280)),P279+L280,"")</x:f>
        <x:v>31671615.36945614</x:v>
      </x:c>
      <x:c r="Q280" s="412" t="n">
        <x:f>IF(AND(ISNUMBER(Q279),ISNUMBER(L280)),Q279+MAX(0,-L280),"")</x:f>
        <x:v>208898.25271554862</x:v>
      </x:c>
      <x:c r="R280" s="412" t="n">
        <x:f>IF(AND(ISNUMBER(R279),ISNUMBER(L280)),R279+MAX(0,L280),"")</x:f>
        <x:v>31690513.62217169</x:v>
      </x:c>
      <x:c r="S280" s="412" t="n">
        <x:f>IF(AND(ISNUMBER(Q279),ISNUMBER(L280),ISNUMBER(O280)),Q279+MAX(0,-(L280+O280)),"")</x:f>
        <x:v>208898.25271554862</x:v>
      </x:c>
      <x:c r="T280" s="412" t="n">
        <x:f>IF(AND(ISNUMBER(R279),ISNUMBER(L280),ISNUMBER(O280)),R279+MAX(0,L280+O280),"")</x:f>
        <x:v>53587822.73855132</x:v>
      </x:c>
      <x:c r="U280" s="412" t="n">
        <x:f>IF(AND(ISNUMBER(O280),ISNUMBER(P280),ISNUMBER($E$18)),O280+P280-$E$18,"")</x:f>
        <x:v>53378924.48583576</x:v>
      </x:c>
      <x:c r="V280" s="416" t="n">
        <x:f>IF(AND(S280&gt;0,ISNUMBER(U280)),U280/S280,"")</x:f>
        <x:v>255.5259500352091</x:v>
      </x:c>
      <x:c r="W280" s="418" t="n">
        <x:f>IF(AND(S280&gt;0,ISNUMBER(T280)),T280/S280,"")</x:f>
        <x:v>256.5259500352092</x:v>
      </x:c>
      <x:c r="X280" s="412" t="n">
        <x:f>IF($B$136="No",0,IF(AND(ISNUMBER(L280),OR(80&lt;&gt;$B$134,ISNUMBER(O280))),MAX(0,-(L280+IF(80=$B$134,O280,0))),0))</x:f>
        <x:v>0</x:v>
      </x:c>
      <x:c r="Y280" s="412" t="n">
        <x:f>IF(AND(ISNUMBER(Y279),ISNUMBER($D$138),$D$138&gt;=-1),Y279+Y279*$D$138-0+X280,"")</x:f>
        <x:v>97404657.63221939</x:v>
      </x:c>
      <x:c r="Z280" s="412" t="n">
        <x:f>IF(AND(ISNUMBER(Y279),ISNUMBER($D$138),$D$138&gt;=-1),Z279+0,"")</x:f>
        <x:v>0</x:v>
      </x:c>
      <x:c r="AA280" s="412" t="n">
        <x:f>IF(ISNUMBER(AA279),AA279+X280,"")</x:f>
        <x:v>208898.25271554862</x:v>
      </x:c>
      <x:c r="AB280" s="412" t="n">
        <x:f>IF(AND(ISNUMBER(Y280),ISNUMBER(Z280),ISNUMBER(AA280)),Y280+Z280-AA280,"")</x:f>
        <x:v>97195759.37950385</x:v>
      </x:c>
      <x:c r="AC280" s="416" t="n">
        <x:f>IF(AND(AA280&gt;0,ISNUMBER(AB280)),AB280/AA280,"")</x:f>
        <x:v>465.2779911560716</x:v>
      </x:c>
      <x:c r="AD280" s="412" t="n">
        <x:f>IF(AND(ISNUMBER(AD279),ISNUMBER($G$138),$G$138&gt;=0),AD279+AD279*$G$138-IF(AND($J$134="Cash payout",$G$138&gt;=0),AD279*$G$138,0)+X280,"")</x:f>
        <x:v>10271808.690523226</x:v>
      </x:c>
      <x:c r="AE280" s="412" t="n">
        <x:f>IF(AND(ISNUMBER(AD279),ISNUMBER($G$138),$G$138&gt;=0),AE279+IF(AND($J$134="Cash payout",$G$138&gt;=0),AD279*$G$138,0),"")</x:f>
        <x:v>0</x:v>
      </x:c>
      <x:c r="AF280" s="412" t="n">
        <x:f>IF(ISNUMBER(AF279),AF279+X280,"")</x:f>
        <x:v>208898.25271554862</x:v>
      </x:c>
      <x:c r="AG280" s="412" t="n">
        <x:f>IF(AND(ISNUMBER(AD280),ISNUMBER(AE280),ISNUMBER(AF280)),AD280+AE280-AF280,"")</x:f>
        <x:v>10062910.437807677</x:v>
      </x:c>
      <x:c r="AH280" s="416" t="n">
        <x:f>IF(AND(AF280&gt;0,ISNUMBER(AG280)),AG280/AF280,"")</x:f>
        <x:v>48.17134804621887</x:v>
      </x:c>
      <x:c r="AI280" s="412" t="n">
        <x:f>IF(AND(ISNUMBER(AI279),ISNUMBER($J$138),$J$138&gt;=-1),AI279+AI279*$J$138-IF(AND($J$134="Cash payout",$J$138&gt;=0),AI279*$J$138,0)+X280,"")</x:f>
        <x:v>10271808.690523226</x:v>
      </x:c>
      <x:c r="AJ280" s="412" t="n">
        <x:f>IF(AND(ISNUMBER(AI279),ISNUMBER($J$138),$J$138&gt;=-1),AJ279+IF(AND($J$134="Cash payout",$J$138&gt;=0),AI279*$J$138,0),"")</x:f>
        <x:v>0</x:v>
      </x:c>
      <x:c r="AK280" s="412" t="n">
        <x:f>IF(ISNUMBER(AK279),AK279+X280,"")</x:f>
        <x:v>208898.25271554862</x:v>
      </x:c>
      <x:c r="AL280" s="412" t="n">
        <x:f>IF(AND(ISNUMBER(AI280),ISNUMBER(AJ280),ISNUMBER(AK280)),AI280+AJ280-AK280,"")</x:f>
        <x:v>10062910.437807677</x:v>
      </x:c>
      <x:c r="AM280" s="416" t="n">
        <x:f>IF(AND(AK280&gt;0,ISNUMBER(AL280)),AL280/AK280,"")</x:f>
        <x:v>48.17134804621887</x:v>
      </x:c>
    </x:row>
    <x:row r="281" ht="24" customHeight="1">
      <x:c r="A281" s="419" t="n">
        <x:f>81</x:f>
        <x:v>81</x:v>
      </x:c>
      <x:c r="B281" s="414" t="n">
        <x:v>0</x:v>
      </x:c>
      <x:c r="C281" s="412" t="n">
        <x:f>IF(AND(ISNUMBER($H$17),ISNUMBER($J$73),$J$73&gt;-1,$J$73&lt;=5),$H$17*(1+$J$73)^(81-1),"")</x:f>
        <x:v>1797884.3274501166</x:v>
      </x:c>
      <x:c r="D281" s="412" t="n">
        <x:f>IF(AND(ISNUMBER($H$18),ISNUMBER($J$74),$J$74&gt;-1,$J$74&lt;=5),$H$18*(1+$J$74)^(81-1),"")</x:f>
        <x:v>319226.7166929066</x:v>
      </x:c>
      <x:c r="E281" s="412" t="n">
        <x:f>IF(AND(ISNUMBER($H$22),ISNUMBER($J$74),$J$74&gt;-1,$J$74&lt;=5),$H$22*(1+$J$74)^(81-1),"")</x:f>
        <x:v>0</x:v>
      </x:c>
      <x:c r="F281" s="412" t="n">
        <x:f>IF(AND(ISNUMBER(C281),ISNUMBER(D281)),C281-D281,"")</x:f>
        <x:v>1478657.61075721</x:v>
      </x:c>
      <x:c r="G281" s="412" t="n">
        <x:f>IF(AND(ISNUMBER(F281),ISNUMBER(E281)),F281-E281,"")</x:f>
        <x:v>1478657.61075721</x:v>
      </x:c>
      <x:c r="H281" s="412" t="n">
        <x:f>IF(COUNT(M1361:M1372)=12,SUM(M1361:M1372),"")</x:f>
        <x:v>0</x:v>
      </x:c>
      <x:c r="I281" s="412" t="n">
        <x:f>SUM(E1361:E1372)</x:f>
        <x:v>0</x:v>
      </x:c>
      <x:c r="J281" s="412" t="n">
        <x:f>SUM(F1361:F1372)</x:f>
        <x:v>0</x:v>
      </x:c>
      <x:c r="K281" s="412" t="n">
        <x:f>SUM(G1361:G1372)</x:f>
        <x:v>0</x:v>
      </x:c>
      <x:c r="L281" s="412" t="n">
        <x:f>IF(AND(ISNUMBER(G281),ISNUMBER(H281),ISNUMBER(J281),ISNUMBER(K281)),G281-H281-B281-J281-K281,"")</x:f>
        <x:v>1478657.61075721</x:v>
      </x:c>
      <x:c r="M281" s="412" t="n">
        <x:f>IF(ISNUMBER(N1372),N1372,"")</x:f>
        <x:v>0</x:v>
      </x:c>
      <x:c r="N281" s="412" t="n">
        <x:f>IF(ISNUMBER($J$77),IF(AND($J$77&gt;0,$J$77&lt;=1,ISNUMBER($H$17),ISNUMBER($H$18),ISNUMBER($J$73),$J$73&gt;-1,$J$73&lt;=5,ISNUMBER($J$74),$J$74&gt;-1,$J$74&lt;=5),($H$17*(1+$J$73)^81-$H$18*(1+$J$74)^81)/$J$77,""),IF(AND($J$77="",ISNUMBER($B$15),$B$15&gt;0,ISNUMBER($J$72),$J$72&gt;-1,$J$72&lt;=5),$B$15*(1+$J$72)^81,""))</x:f>
        <x:v>22773201.48103481</x:v>
      </x:c>
      <x:c r="O281" s="412" t="n">
        <x:f>IF(AND(ISNUMBER(N281),ISNUMBER(M281)),N281*(1-$J$75)-M281,"")</x:f>
        <x:v>22773201.48103481</x:v>
      </x:c>
      <x:c r="P281" s="412" t="n">
        <x:f>IF(AND(ISNUMBER(P280),ISNUMBER(L281)),P280+L281,"")</x:f>
        <x:v>33150272.980213348</x:v>
      </x:c>
      <x:c r="Q281" s="412" t="n">
        <x:f>IF(AND(ISNUMBER(Q280),ISNUMBER(L281)),Q280+MAX(0,-L281),"")</x:f>
        <x:v>208898.25271554862</x:v>
      </x:c>
      <x:c r="R281" s="412" t="n">
        <x:f>IF(AND(ISNUMBER(R280),ISNUMBER(L281)),R280+MAX(0,L281),"")</x:f>
        <x:v>33169171.2329289</x:v>
      </x:c>
      <x:c r="S281" s="412" t="n">
        <x:f>IF(AND(ISNUMBER(Q280),ISNUMBER(L281),ISNUMBER(O281)),Q280+MAX(0,-(L281+O281)),"")</x:f>
        <x:v>208898.25271554862</x:v>
      </x:c>
      <x:c r="T281" s="412" t="n">
        <x:f>IF(AND(ISNUMBER(R280),ISNUMBER(L281),ISNUMBER(O281)),R280+MAX(0,L281+O281),"")</x:f>
        <x:v>55942372.71396371</x:v>
      </x:c>
      <x:c r="U281" s="412" t="n">
        <x:f>IF(AND(ISNUMBER(O281),ISNUMBER(P281),ISNUMBER($E$18)),O281+P281-$E$18,"")</x:f>
        <x:v>55733474.46124816</x:v>
      </x:c>
      <x:c r="V281" s="416" t="n">
        <x:f>IF(AND(S281&gt;0,ISNUMBER(U281)),U281/S281,"")</x:f>
        <x:v>266.7972265768015</x:v>
      </x:c>
      <x:c r="W281" s="418" t="n">
        <x:f>IF(AND(S281&gt;0,ISNUMBER(T281)),T281/S281,"")</x:f>
        <x:v>267.7972265768015</x:v>
      </x:c>
      <x:c r="X281" s="412" t="n">
        <x:f>IF($B$136="No",0,IF(AND(ISNUMBER(L281),OR(81&lt;&gt;$B$134,ISNUMBER(O281))),MAX(0,-(L281+IF(81=$B$134,O281,0))),0))</x:f>
        <x:v>0</x:v>
      </x:c>
      <x:c r="Y281" s="412" t="n">
        <x:f>IF(AND(ISNUMBER(Y280),ISNUMBER($D$138),$D$138&gt;=-1),Y280+Y280*$D$138-0+X281,"")</x:f>
        <x:v>105197030.24279694</x:v>
      </x:c>
      <x:c r="Z281" s="412" t="n">
        <x:f>IF(AND(ISNUMBER(Y280),ISNUMBER($D$138),$D$138&gt;=-1),Z280+0,"")</x:f>
        <x:v>0</x:v>
      </x:c>
      <x:c r="AA281" s="412" t="n">
        <x:f>IF(ISNUMBER(AA280),AA280+X281,"")</x:f>
        <x:v>208898.25271554862</x:v>
      </x:c>
      <x:c r="AB281" s="412" t="n">
        <x:f>IF(AND(ISNUMBER(Y281),ISNUMBER(Z281),ISNUMBER(AA281)),Y281+Z281-AA281,"")</x:f>
        <x:v>104988131.9900814</x:v>
      </x:c>
      <x:c r="AC281" s="416" t="n">
        <x:f>IF(AND(AA281&gt;0,ISNUMBER(AB281)),AB281/AA281,"")</x:f>
        <x:v>502.58023044855736</x:v>
      </x:c>
      <x:c r="AD281" s="412" t="n">
        <x:f>IF(AND(ISNUMBER(AD280),ISNUMBER($G$138),$G$138&gt;=0),AD280+AD280*$G$138-IF(AND($J$134="Cash payout",$G$138&gt;=0),AD280*$G$138,0)+X281,"")</x:f>
        <x:v>10785399.125049386</x:v>
      </x:c>
      <x:c r="AE281" s="412" t="n">
        <x:f>IF(AND(ISNUMBER(AD280),ISNUMBER($G$138),$G$138&gt;=0),AE280+IF(AND($J$134="Cash payout",$G$138&gt;=0),AD280*$G$138,0),"")</x:f>
        <x:v>0</x:v>
      </x:c>
      <x:c r="AF281" s="412" t="n">
        <x:f>IF(ISNUMBER(AF280),AF280+X281,"")</x:f>
        <x:v>208898.25271554862</x:v>
      </x:c>
      <x:c r="AG281" s="412" t="n">
        <x:f>IF(AND(ISNUMBER(AD281),ISNUMBER(AE281),ISNUMBER(AF281)),AD281+AE281-AF281,"")</x:f>
        <x:v>10576500.872333838</x:v>
      </x:c>
      <x:c r="AH281" s="416" t="n">
        <x:f>IF(AND(AF281&gt;0,ISNUMBER(AG281)),AG281/AF281,"")</x:f>
        <x:v>50.6299154485298</x:v>
      </x:c>
      <x:c r="AI281" s="412" t="n">
        <x:f>IF(AND(ISNUMBER(AI280),ISNUMBER($J$138),$J$138&gt;=-1),AI280+AI280*$J$138-IF(AND($J$134="Cash payout",$J$138&gt;=0),AI280*$J$138,0)+X281,"")</x:f>
        <x:v>10785399.125049386</x:v>
      </x:c>
      <x:c r="AJ281" s="412" t="n">
        <x:f>IF(AND(ISNUMBER(AI280),ISNUMBER($J$138),$J$138&gt;=-1),AJ280+IF(AND($J$134="Cash payout",$J$138&gt;=0),AI280*$J$138,0),"")</x:f>
        <x:v>0</x:v>
      </x:c>
      <x:c r="AK281" s="412" t="n">
        <x:f>IF(ISNUMBER(AK280),AK280+X281,"")</x:f>
        <x:v>208898.25271554862</x:v>
      </x:c>
      <x:c r="AL281" s="412" t="n">
        <x:f>IF(AND(ISNUMBER(AI281),ISNUMBER(AJ281),ISNUMBER(AK281)),AI281+AJ281-AK281,"")</x:f>
        <x:v>10576500.872333838</x:v>
      </x:c>
      <x:c r="AM281" s="416" t="n">
        <x:f>IF(AND(AK281&gt;0,ISNUMBER(AL281)),AL281/AK281,"")</x:f>
        <x:v>50.6299154485298</x:v>
      </x:c>
    </x:row>
    <x:row r="282" ht="24" customHeight="1">
      <x:c r="A282" s="419" t="n">
        <x:f>82</x:f>
        <x:v>82</x:v>
      </x:c>
      <x:c r="B282" s="414" t="n">
        <x:v>0</x:v>
      </x:c>
      <x:c r="C282" s="412" t="n">
        <x:f>IF(AND(ISNUMBER($H$17),ISNUMBER($J$73),$J$73&gt;-1,$J$73&lt;=5),$H$17*(1+$J$73)^(82-1),"")</x:f>
        <x:v>1869799.7005481212</x:v>
      </x:c>
      <x:c r="D282" s="412" t="n">
        <x:f>IF(AND(ISNUMBER($H$18),ISNUMBER($J$74),$J$74&gt;-1,$J$74&lt;=5),$H$18*(1+$J$74)^(82-1),"")</x:f>
        <x:v>328803.5181936937</x:v>
      </x:c>
      <x:c r="E282" s="412" t="n">
        <x:f>IF(AND(ISNUMBER($H$22),ISNUMBER($J$74),$J$74&gt;-1,$J$74&lt;=5),$H$22*(1+$J$74)^(82-1),"")</x:f>
        <x:v>0</x:v>
      </x:c>
      <x:c r="F282" s="412" t="n">
        <x:f>IF(AND(ISNUMBER(C282),ISNUMBER(D282)),C282-D282,"")</x:f>
        <x:v>1540996.1823544274</x:v>
      </x:c>
      <x:c r="G282" s="412" t="n">
        <x:f>IF(AND(ISNUMBER(F282),ISNUMBER(E282)),F282-E282,"")</x:f>
        <x:v>1540996.1823544274</x:v>
      </x:c>
      <x:c r="H282" s="412" t="n">
        <x:f>IF(COUNT(M1373:M1384)=12,SUM(M1373:M1384),"")</x:f>
        <x:v>0</x:v>
      </x:c>
      <x:c r="I282" s="412" t="n">
        <x:f>SUM(E1373:E1384)</x:f>
        <x:v>0</x:v>
      </x:c>
      <x:c r="J282" s="412" t="n">
        <x:f>SUM(F1373:F1384)</x:f>
        <x:v>0</x:v>
      </x:c>
      <x:c r="K282" s="412" t="n">
        <x:f>SUM(G1373:G1384)</x:f>
        <x:v>0</x:v>
      </x:c>
      <x:c r="L282" s="412" t="n">
        <x:f>IF(AND(ISNUMBER(G282),ISNUMBER(H282),ISNUMBER(J282),ISNUMBER(K282)),G282-H282-B282-J282-K282,"")</x:f>
        <x:v>1540996.1823544274</x:v>
      </x:c>
      <x:c r="M282" s="412" t="n">
        <x:f>IF(ISNUMBER(N1384),N1384,"")</x:f>
        <x:v>0</x:v>
      </x:c>
      <x:c r="N282" s="412" t="n">
        <x:f>IF(ISNUMBER($J$77),IF(AND($J$77&gt;0,$J$77&lt;=1,ISNUMBER($H$17),ISNUMBER($H$18),ISNUMBER($J$73),$J$73&gt;-1,$J$73&lt;=5,ISNUMBER($J$74),$J$74&gt;-1,$J$74&lt;=5),($H$17*(1+$J$73)^82-$H$18*(1+$J$74)^82)/$J$77,""),IF(AND($J$77="",ISNUMBER($B$15),$B$15&gt;0,ISNUMBER($J$72),$J$72&gt;-1,$J$72&lt;=5),$B$15*(1+$J$72)^82,""))</x:f>
        <x:v>23684129.540276207</x:v>
      </x:c>
      <x:c r="O282" s="412" t="n">
        <x:f>IF(AND(ISNUMBER(N282),ISNUMBER(M282)),N282*(1-$J$75)-M282,"")</x:f>
        <x:v>23684129.540276207</x:v>
      </x:c>
      <x:c r="P282" s="412" t="n">
        <x:f>IF(AND(ISNUMBER(P281),ISNUMBER(L282)),P281+L282,"")</x:f>
        <x:v>34691269.16256777</x:v>
      </x:c>
      <x:c r="Q282" s="412" t="n">
        <x:f>IF(AND(ISNUMBER(Q281),ISNUMBER(L282)),Q281+MAX(0,-L282),"")</x:f>
        <x:v>208898.25271554862</x:v>
      </x:c>
      <x:c r="R282" s="412" t="n">
        <x:f>IF(AND(ISNUMBER(R281),ISNUMBER(L282)),R281+MAX(0,L282),"")</x:f>
        <x:v>34710167.41528332</x:v>
      </x:c>
      <x:c r="S282" s="412" t="n">
        <x:f>IF(AND(ISNUMBER(Q281),ISNUMBER(L282),ISNUMBER(O282)),Q281+MAX(0,-(L282+O282)),"")</x:f>
        <x:v>208898.25271554862</x:v>
      </x:c>
      <x:c r="T282" s="412" t="n">
        <x:f>IF(AND(ISNUMBER(R281),ISNUMBER(L282),ISNUMBER(O282)),R281+MAX(0,L282+O282),"")</x:f>
        <x:v>58394296.95555954</x:v>
      </x:c>
      <x:c r="U282" s="412" t="n">
        <x:f>IF(AND(ISNUMBER(O282),ISNUMBER(P282),ISNUMBER($E$18)),O282+P282-$E$18,"")</x:f>
        <x:v>58185398.70284398</x:v>
      </x:c>
      <x:c r="V282" s="416" t="n">
        <x:f>IF(AND(S282&gt;0,ISNUMBER(U282)),U282/S282,"")</x:f>
        <x:v>278.53463562509324</x:v>
      </x:c>
      <x:c r="W282" s="418" t="n">
        <x:f>IF(AND(S282&gt;0,ISNUMBER(T282)),T282/S282,"")</x:f>
        <x:v>279.5346356250933</x:v>
      </x:c>
      <x:c r="X282" s="412" t="n">
        <x:f>IF($B$136="No",0,IF(AND(ISNUMBER(L282),OR(82&lt;&gt;$B$134,ISNUMBER(O282))),MAX(0,-(L282+IF(82=$B$134,O282,0))),0))</x:f>
        <x:v>0</x:v>
      </x:c>
      <x:c r="Y282" s="412" t="n">
        <x:f>IF(AND(ISNUMBER(Y281),ISNUMBER($D$138),$D$138&gt;=-1),Y281+Y281*$D$138-0+X282,"")</x:f>
        <x:v>113612792.6622207</x:v>
      </x:c>
      <x:c r="Z282" s="412" t="n">
        <x:f>IF(AND(ISNUMBER(Y281),ISNUMBER($D$138),$D$138&gt;=-1),Z281+0,"")</x:f>
        <x:v>0</x:v>
      </x:c>
      <x:c r="AA282" s="412" t="n">
        <x:f>IF(ISNUMBER(AA281),AA281+X282,"")</x:f>
        <x:v>208898.25271554862</x:v>
      </x:c>
      <x:c r="AB282" s="412" t="n">
        <x:f>IF(AND(ISNUMBER(Y282),ISNUMBER(Z282),ISNUMBER(AA282)),Y282+Z282-AA282,"")</x:f>
        <x:v>113403894.40950516</x:v>
      </x:c>
      <x:c r="AC282" s="416" t="n">
        <x:f>IF(AND(AA282&gt;0,ISNUMBER(AB282)),AB282/AA282,"")</x:f>
        <x:v>542.8666488844419</x:v>
      </x:c>
      <x:c r="AD282" s="412" t="n">
        <x:f>IF(AND(ISNUMBER(AD281),ISNUMBER($G$138),$G$138&gt;=0),AD281+AD281*$G$138-IF(AND($J$134="Cash payout",$G$138&gt;=0),AD281*$G$138,0)+X282,"")</x:f>
        <x:v>11324669.081301855</x:v>
      </x:c>
      <x:c r="AE282" s="412" t="n">
        <x:f>IF(AND(ISNUMBER(AD281),ISNUMBER($G$138),$G$138&gt;=0),AE281+IF(AND($J$134="Cash payout",$G$138&gt;=0),AD281*$G$138,0),"")</x:f>
        <x:v>0</x:v>
      </x:c>
      <x:c r="AF282" s="412" t="n">
        <x:f>IF(ISNUMBER(AF281),AF281+X282,"")</x:f>
        <x:v>208898.25271554862</x:v>
      </x:c>
      <x:c r="AG282" s="412" t="n">
        <x:f>IF(AND(ISNUMBER(AD282),ISNUMBER(AE282),ISNUMBER(AF282)),AD282+AE282-AF282,"")</x:f>
        <x:v>11115770.828586306</x:v>
      </x:c>
      <x:c r="AH282" s="416" t="n">
        <x:f>IF(AND(AF282&gt;0,ISNUMBER(AG282)),AG282/AF282,"")</x:f>
        <x:v>53.21141122095629</x:v>
      </x:c>
      <x:c r="AI282" s="412" t="n">
        <x:f>IF(AND(ISNUMBER(AI281),ISNUMBER($J$138),$J$138&gt;=-1),AI281+AI281*$J$138-IF(AND($J$134="Cash payout",$J$138&gt;=0),AI281*$J$138,0)+X282,"")</x:f>
        <x:v>11324669.081301855</x:v>
      </x:c>
      <x:c r="AJ282" s="412" t="n">
        <x:f>IF(AND(ISNUMBER(AI281),ISNUMBER($J$138),$J$138&gt;=-1),AJ281+IF(AND($J$134="Cash payout",$J$138&gt;=0),AI281*$J$138,0),"")</x:f>
        <x:v>0</x:v>
      </x:c>
      <x:c r="AK282" s="412" t="n">
        <x:f>IF(ISNUMBER(AK281),AK281+X282,"")</x:f>
        <x:v>208898.25271554862</x:v>
      </x:c>
      <x:c r="AL282" s="412" t="n">
        <x:f>IF(AND(ISNUMBER(AI282),ISNUMBER(AJ282),ISNUMBER(AK282)),AI282+AJ282-AK282,"")</x:f>
        <x:v>11115770.828586306</x:v>
      </x:c>
      <x:c r="AM282" s="416" t="n">
        <x:f>IF(AND(AK282&gt;0,ISNUMBER(AL282)),AL282/AK282,"")</x:f>
        <x:v>53.21141122095629</x:v>
      </x:c>
    </x:row>
    <x:row r="283" ht="24" customHeight="1">
      <x:c r="A283" s="419" t="n">
        <x:f>83</x:f>
        <x:v>83</x:v>
      </x:c>
      <x:c r="B283" s="414" t="n">
        <x:v>0</x:v>
      </x:c>
      <x:c r="C283" s="412" t="n">
        <x:f>IF(AND(ISNUMBER($H$17),ISNUMBER($J$73),$J$73&gt;-1,$J$73&lt;=5),$H$17*(1+$J$73)^(83-1),"")</x:f>
        <x:v>1944591.6885700463</x:v>
      </x:c>
      <x:c r="D283" s="412" t="n">
        <x:f>IF(AND(ISNUMBER($H$18),ISNUMBER($J$74),$J$74&gt;-1,$J$74&lt;=5),$H$18*(1+$J$74)^(83-1),"")</x:f>
        <x:v>338667.6237395046</x:v>
      </x:c>
      <x:c r="E283" s="412" t="n">
        <x:f>IF(AND(ISNUMBER($H$22),ISNUMBER($J$74),$J$74&gt;-1,$J$74&lt;=5),$H$22*(1+$J$74)^(83-1),"")</x:f>
        <x:v>0</x:v>
      </x:c>
      <x:c r="F283" s="412" t="n">
        <x:f>IF(AND(ISNUMBER(C283),ISNUMBER(D283)),C283-D283,"")</x:f>
        <x:v>1605924.0648305416</x:v>
      </x:c>
      <x:c r="G283" s="412" t="n">
        <x:f>IF(AND(ISNUMBER(F283),ISNUMBER(E283)),F283-E283,"")</x:f>
        <x:v>1605924.0648305416</x:v>
      </x:c>
      <x:c r="H283" s="412" t="n">
        <x:f>IF(COUNT(M1385:M1396)=12,SUM(M1385:M1396),"")</x:f>
        <x:v>0</x:v>
      </x:c>
      <x:c r="I283" s="412" t="n">
        <x:f>SUM(E1385:E1396)</x:f>
        <x:v>0</x:v>
      </x:c>
      <x:c r="J283" s="412" t="n">
        <x:f>SUM(F1385:F1396)</x:f>
        <x:v>0</x:v>
      </x:c>
      <x:c r="K283" s="412" t="n">
        <x:f>SUM(G1385:G1396)</x:f>
        <x:v>0</x:v>
      </x:c>
      <x:c r="L283" s="412" t="n">
        <x:f>IF(AND(ISNUMBER(G283),ISNUMBER(H283),ISNUMBER(J283),ISNUMBER(K283)),G283-H283-B283-J283-K283,"")</x:f>
        <x:v>1605924.0648305416</x:v>
      </x:c>
      <x:c r="M283" s="412" t="n">
        <x:f>IF(ISNUMBER(N1396),N1396,"")</x:f>
        <x:v>0</x:v>
      </x:c>
      <x:c r="N283" s="412" t="n">
        <x:f>IF(ISNUMBER($J$77),IF(AND($J$77&gt;0,$J$77&lt;=1,ISNUMBER($H$17),ISNUMBER($H$18),ISNUMBER($J$73),$J$73&gt;-1,$J$73&lt;=5,ISNUMBER($J$74),$J$74&gt;-1,$J$74&lt;=5),($H$17*(1+$J$73)^83-$H$18*(1+$J$74)^83)/$J$77,""),IF(AND($J$77="",ISNUMBER($B$15),$B$15&gt;0,ISNUMBER($J$72),$J$72&gt;-1,$J$72&lt;=5),$B$15*(1+$J$72)^83,""))</x:f>
        <x:v>24631494.721887253</x:v>
      </x:c>
      <x:c r="O283" s="412" t="n">
        <x:f>IF(AND(ISNUMBER(N283),ISNUMBER(M283)),N283*(1-$J$75)-M283,"")</x:f>
        <x:v>24631494.721887253</x:v>
      </x:c>
      <x:c r="P283" s="412" t="n">
        <x:f>IF(AND(ISNUMBER(P282),ISNUMBER(L283)),P282+L283,"")</x:f>
        <x:v>36297193.22739831</x:v>
      </x:c>
      <x:c r="Q283" s="412" t="n">
        <x:f>IF(AND(ISNUMBER(Q282),ISNUMBER(L283)),Q282+MAX(0,-L283),"")</x:f>
        <x:v>208898.25271554862</x:v>
      </x:c>
      <x:c r="R283" s="412" t="n">
        <x:f>IF(AND(ISNUMBER(R282),ISNUMBER(L283)),R282+MAX(0,L283),"")</x:f>
        <x:v>36316091.480113864</x:v>
      </x:c>
      <x:c r="S283" s="412" t="n">
        <x:f>IF(AND(ISNUMBER(Q282),ISNUMBER(L283),ISNUMBER(O283)),Q282+MAX(0,-(L283+O283)),"")</x:f>
        <x:v>208898.25271554862</x:v>
      </x:c>
      <x:c r="T283" s="412" t="n">
        <x:f>IF(AND(ISNUMBER(R282),ISNUMBER(L283),ISNUMBER(O283)),R282+MAX(0,L283+O283),"")</x:f>
        <x:v>60947586.20200112</x:v>
      </x:c>
      <x:c r="U283" s="412" t="n">
        <x:f>IF(AND(ISNUMBER(O283),ISNUMBER(P283),ISNUMBER($E$18)),O283+P283-$E$18,"")</x:f>
        <x:v>60738687.94928557</x:v>
      </x:c>
      <x:c r="V283" s="416" t="n">
        <x:f>IF(AND(S283&gt;0,ISNUMBER(U283)),U283/S283,"")</x:f>
        <x:v>290.75728092370343</x:v>
      </x:c>
      <x:c r="W283" s="418" t="n">
        <x:f>IF(AND(S283&gt;0,ISNUMBER(T283)),T283/S283,"")</x:f>
        <x:v>291.75728092370343</x:v>
      </x:c>
      <x:c r="X283" s="412" t="n">
        <x:f>IF($B$136="No",0,IF(AND(ISNUMBER(L283),OR(83&lt;&gt;$B$134,ISNUMBER(O283))),MAX(0,-(L283+IF(83=$B$134,O283,0))),0))</x:f>
        <x:v>0</x:v>
      </x:c>
      <x:c r="Y283" s="412" t="n">
        <x:f>IF(AND(ISNUMBER(Y282),ISNUMBER($D$138),$D$138&gt;=-1),Y282+Y282*$D$138-0+X283,"")</x:f>
        <x:v>122701816.07519835</x:v>
      </x:c>
      <x:c r="Z283" s="412" t="n">
        <x:f>IF(AND(ISNUMBER(Y282),ISNUMBER($D$138),$D$138&gt;=-1),Z282+0,"")</x:f>
        <x:v>0</x:v>
      </x:c>
      <x:c r="AA283" s="412" t="n">
        <x:f>IF(ISNUMBER(AA282),AA282+X283,"")</x:f>
        <x:v>208898.25271554862</x:v>
      </x:c>
      <x:c r="AB283" s="412" t="n">
        <x:f>IF(AND(ISNUMBER(Y283),ISNUMBER(Z283),ISNUMBER(AA283)),Y283+Z283-AA283,"")</x:f>
        <x:v>122492917.82248281</x:v>
      </x:c>
      <x:c r="AC283" s="416" t="n">
        <x:f>IF(AND(AA283&gt;0,ISNUMBER(AB283)),AB283/AA283,"")</x:f>
        <x:v>586.3759807951973</x:v>
      </x:c>
      <x:c r="AD283" s="412" t="n">
        <x:f>IF(AND(ISNUMBER(AD282),ISNUMBER($G$138),$G$138&gt;=0),AD282+AD282*$G$138-IF(AND($J$134="Cash payout",$G$138&gt;=0),AD282*$G$138,0)+X283,"")</x:f>
        <x:v>11890902.535366947</x:v>
      </x:c>
      <x:c r="AE283" s="412" t="n">
        <x:f>IF(AND(ISNUMBER(AD282),ISNUMBER($G$138),$G$138&gt;=0),AE282+IF(AND($J$134="Cash payout",$G$138&gt;=0),AD282*$G$138,0),"")</x:f>
        <x:v>0</x:v>
      </x:c>
      <x:c r="AF283" s="412" t="n">
        <x:f>IF(ISNUMBER(AF282),AF282+X283,"")</x:f>
        <x:v>208898.25271554862</x:v>
      </x:c>
      <x:c r="AG283" s="412" t="n">
        <x:f>IF(AND(ISNUMBER(AD283),ISNUMBER(AE283),ISNUMBER(AF283)),AD283+AE283-AF283,"")</x:f>
        <x:v>11682004.282651398</x:v>
      </x:c>
      <x:c r="AH283" s="416" t="n">
        <x:f>IF(AND(AF283&gt;0,ISNUMBER(AG283)),AG283/AF283,"")</x:f>
        <x:v>55.9219817820041</x:v>
      </x:c>
      <x:c r="AI283" s="412" t="n">
        <x:f>IF(AND(ISNUMBER(AI282),ISNUMBER($J$138),$J$138&gt;=-1),AI282+AI282*$J$138-IF(AND($J$134="Cash payout",$J$138&gt;=0),AI282*$J$138,0)+X283,"")</x:f>
        <x:v>11890902.535366947</x:v>
      </x:c>
      <x:c r="AJ283" s="412" t="n">
        <x:f>IF(AND(ISNUMBER(AI282),ISNUMBER($J$138),$J$138&gt;=-1),AJ282+IF(AND($J$134="Cash payout",$J$138&gt;=0),AI282*$J$138,0),"")</x:f>
        <x:v>0</x:v>
      </x:c>
      <x:c r="AK283" s="412" t="n">
        <x:f>IF(ISNUMBER(AK282),AK282+X283,"")</x:f>
        <x:v>208898.25271554862</x:v>
      </x:c>
      <x:c r="AL283" s="412" t="n">
        <x:f>IF(AND(ISNUMBER(AI283),ISNUMBER(AJ283),ISNUMBER(AK283)),AI283+AJ283-AK283,"")</x:f>
        <x:v>11682004.282651398</x:v>
      </x:c>
      <x:c r="AM283" s="416" t="n">
        <x:f>IF(AND(AK283&gt;0,ISNUMBER(AL283)),AL283/AK283,"")</x:f>
        <x:v>55.9219817820041</x:v>
      </x:c>
    </x:row>
    <x:row r="284" ht="24" customHeight="1">
      <x:c r="A284" s="419" t="n">
        <x:f>84</x:f>
        <x:v>84</x:v>
      </x:c>
      <x:c r="B284" s="414" t="n">
        <x:v>0</x:v>
      </x:c>
      <x:c r="C284" s="412" t="n">
        <x:f>IF(AND(ISNUMBER($H$17),ISNUMBER($J$73),$J$73&gt;-1,$J$73&lt;=5),$H$17*(1+$J$73)^(84-1),"")</x:f>
        <x:v>2022375.3561128483</x:v>
      </x:c>
      <x:c r="D284" s="412" t="n">
        <x:f>IF(AND(ISNUMBER($H$18),ISNUMBER($J$74),$J$74&gt;-1,$J$74&lt;=5),$H$18*(1+$J$74)^(84-1),"")</x:f>
        <x:v>348827.65245168976</x:v>
      </x:c>
      <x:c r="E284" s="412" t="n">
        <x:f>IF(AND(ISNUMBER($H$22),ISNUMBER($J$74),$J$74&gt;-1,$J$74&lt;=5),$H$22*(1+$J$74)^(84-1),"")</x:f>
        <x:v>0</x:v>
      </x:c>
      <x:c r="F284" s="412" t="n">
        <x:f>IF(AND(ISNUMBER(C284),ISNUMBER(D284)),C284-D284,"")</x:f>
        <x:v>1673547.7036611584</x:v>
      </x:c>
      <x:c r="G284" s="412" t="n">
        <x:f>IF(AND(ISNUMBER(F284),ISNUMBER(E284)),F284-E284,"")</x:f>
        <x:v>1673547.7036611584</x:v>
      </x:c>
      <x:c r="H284" s="412" t="n">
        <x:f>IF(COUNT(M1397:M1408)=12,SUM(M1397:M1408),"")</x:f>
        <x:v>0</x:v>
      </x:c>
      <x:c r="I284" s="412" t="n">
        <x:f>SUM(E1397:E1408)</x:f>
        <x:v>0</x:v>
      </x:c>
      <x:c r="J284" s="412" t="n">
        <x:f>SUM(F1397:F1408)</x:f>
        <x:v>0</x:v>
      </x:c>
      <x:c r="K284" s="412" t="n">
        <x:f>SUM(G1397:G1408)</x:f>
        <x:v>0</x:v>
      </x:c>
      <x:c r="L284" s="412" t="n">
        <x:f>IF(AND(ISNUMBER(G284),ISNUMBER(H284),ISNUMBER(J284),ISNUMBER(K284)),G284-H284-B284-J284-K284,"")</x:f>
        <x:v>1673547.7036611584</x:v>
      </x:c>
      <x:c r="M284" s="412" t="n">
        <x:f>IF(ISNUMBER(N1408),N1408,"")</x:f>
        <x:v>0</x:v>
      </x:c>
      <x:c r="N284" s="412" t="n">
        <x:f>IF(ISNUMBER($J$77),IF(AND($J$77&gt;0,$J$77&lt;=1,ISNUMBER($H$17),ISNUMBER($H$18),ISNUMBER($J$73),$J$73&gt;-1,$J$73&lt;=5,ISNUMBER($J$74),$J$74&gt;-1,$J$74&lt;=5),($H$17*(1+$J$73)^84-$H$18*(1+$J$74)^84)/$J$77,""),IF(AND($J$77="",ISNUMBER($B$15),$B$15&gt;0,ISNUMBER($J$72),$J$72&gt;-1,$J$72&lt;=5),$B$15*(1+$J$72)^84,""))</x:f>
        <x:v>25616754.510762744</x:v>
      </x:c>
      <x:c r="O284" s="412" t="n">
        <x:f>IF(AND(ISNUMBER(N284),ISNUMBER(M284)),N284*(1-$J$75)-M284,"")</x:f>
        <x:v>25616754.510762744</x:v>
      </x:c>
      <x:c r="P284" s="412" t="n">
        <x:f>IF(AND(ISNUMBER(P283),ISNUMBER(L284)),P283+L284,"")</x:f>
        <x:v>37970740.93105947</x:v>
      </x:c>
      <x:c r="Q284" s="412" t="n">
        <x:f>IF(AND(ISNUMBER(Q283),ISNUMBER(L284)),Q283+MAX(0,-L284),"")</x:f>
        <x:v>208898.25271554862</x:v>
      </x:c>
      <x:c r="R284" s="412" t="n">
        <x:f>IF(AND(ISNUMBER(R283),ISNUMBER(L284)),R283+MAX(0,L284),"")</x:f>
        <x:v>37989639.18377502</x:v>
      </x:c>
      <x:c r="S284" s="412" t="n">
        <x:f>IF(AND(ISNUMBER(Q283),ISNUMBER(L284),ISNUMBER(O284)),Q283+MAX(0,-(L284+O284)),"")</x:f>
        <x:v>208898.25271554862</x:v>
      </x:c>
      <x:c r="T284" s="412" t="n">
        <x:f>IF(AND(ISNUMBER(R283),ISNUMBER(L284),ISNUMBER(O284)),R283+MAX(0,L284+O284),"")</x:f>
        <x:v>63606393.69453777</x:v>
      </x:c>
      <x:c r="U284" s="412" t="n">
        <x:f>IF(AND(ISNUMBER(O284),ISNUMBER(P284),ISNUMBER($E$18)),O284+P284-$E$18,"")</x:f>
        <x:v>63397495.441822216</x:v>
      </x:c>
      <x:c r="V284" s="416" t="n">
        <x:f>IF(AND(S284&gt;0,ISNUMBER(U284)),U284/S284,"")</x:f>
        <x:v>303.48504411929645</x:v>
      </x:c>
      <x:c r="W284" s="418" t="n">
        <x:f>IF(AND(S284&gt;0,ISNUMBER(T284)),T284/S284,"")</x:f>
        <x:v>304.4850441192965</x:v>
      </x:c>
      <x:c r="X284" s="412" t="n">
        <x:f>IF($B$136="No",0,IF(AND(ISNUMBER(L284),OR(84&lt;&gt;$B$134,ISNUMBER(O284))),MAX(0,-(L284+IF(84=$B$134,O284,0))),0))</x:f>
        <x:v>0</x:v>
      </x:c>
      <x:c r="Y284" s="412" t="n">
        <x:f>IF(AND(ISNUMBER(Y283),ISNUMBER($D$138),$D$138&gt;=-1),Y283+Y283*$D$138-0+X284,"")</x:f>
        <x:v>132517961.36121422</x:v>
      </x:c>
      <x:c r="Z284" s="412" t="n">
        <x:f>IF(AND(ISNUMBER(Y283),ISNUMBER($D$138),$D$138&gt;=-1),Z283+0,"")</x:f>
        <x:v>0</x:v>
      </x:c>
      <x:c r="AA284" s="412" t="n">
        <x:f>IF(ISNUMBER(AA283),AA283+X284,"")</x:f>
        <x:v>208898.25271554862</x:v>
      </x:c>
      <x:c r="AB284" s="412" t="n">
        <x:f>IF(AND(ISNUMBER(Y284),ISNUMBER(Z284),ISNUMBER(AA284)),Y284+Z284-AA284,"")</x:f>
        <x:v>132309063.10849868</x:v>
      </x:c>
      <x:c r="AC284" s="416" t="n">
        <x:f>IF(AND(AA284&gt;0,ISNUMBER(AB284)),AB284/AA284,"")</x:f>
        <x:v>633.366059258813</x:v>
      </x:c>
      <x:c r="AD284" s="412" t="n">
        <x:f>IF(AND(ISNUMBER(AD283),ISNUMBER($G$138),$G$138&gt;=0),AD283+AD283*$G$138-IF(AND($J$134="Cash payout",$G$138&gt;=0),AD283*$G$138,0)+X284,"")</x:f>
        <x:v>12485447.662135294</x:v>
      </x:c>
      <x:c r="AE284" s="412" t="n">
        <x:f>IF(AND(ISNUMBER(AD283),ISNUMBER($G$138),$G$138&gt;=0),AE283+IF(AND($J$134="Cash payout",$G$138&gt;=0),AD283*$G$138,0),"")</x:f>
        <x:v>0</x:v>
      </x:c>
      <x:c r="AF284" s="412" t="n">
        <x:f>IF(ISNUMBER(AF283),AF283+X284,"")</x:f>
        <x:v>208898.25271554862</x:v>
      </x:c>
      <x:c r="AG284" s="412" t="n">
        <x:f>IF(AND(ISNUMBER(AD284),ISNUMBER(AE284),ISNUMBER(AF284)),AD284+AE284-AF284,"")</x:f>
        <x:v>12276549.409419745</x:v>
      </x:c>
      <x:c r="AH284" s="416" t="n">
        <x:f>IF(AND(AF284&gt;0,ISNUMBER(AG284)),AG284/AF284,"")</x:f>
        <x:v>58.7680808711043</x:v>
      </x:c>
      <x:c r="AI284" s="412" t="n">
        <x:f>IF(AND(ISNUMBER(AI283),ISNUMBER($J$138),$J$138&gt;=-1),AI283+AI283*$J$138-IF(AND($J$134="Cash payout",$J$138&gt;=0),AI283*$J$138,0)+X284,"")</x:f>
        <x:v>12485447.662135294</x:v>
      </x:c>
      <x:c r="AJ284" s="412" t="n">
        <x:f>IF(AND(ISNUMBER(AI283),ISNUMBER($J$138),$J$138&gt;=-1),AJ283+IF(AND($J$134="Cash payout",$J$138&gt;=0),AI283*$J$138,0),"")</x:f>
        <x:v>0</x:v>
      </x:c>
      <x:c r="AK284" s="412" t="n">
        <x:f>IF(ISNUMBER(AK283),AK283+X284,"")</x:f>
        <x:v>208898.25271554862</x:v>
      </x:c>
      <x:c r="AL284" s="412" t="n">
        <x:f>IF(AND(ISNUMBER(AI284),ISNUMBER(AJ284),ISNUMBER(AK284)),AI284+AJ284-AK284,"")</x:f>
        <x:v>12276549.409419745</x:v>
      </x:c>
      <x:c r="AM284" s="416" t="n">
        <x:f>IF(AND(AK284&gt;0,ISNUMBER(AL284)),AL284/AK284,"")</x:f>
        <x:v>58.7680808711043</x:v>
      </x:c>
    </x:row>
    <x:row r="285" ht="24" customHeight="1">
      <x:c r="A285" s="419" t="n">
        <x:f>85</x:f>
        <x:v>85</x:v>
      </x:c>
      <x:c r="B285" s="414" t="n">
        <x:v>0</x:v>
      </x:c>
      <x:c r="C285" s="412" t="n">
        <x:f>IF(AND(ISNUMBER($H$17),ISNUMBER($J$73),$J$73&gt;-1,$J$73&lt;=5),$H$17*(1+$J$73)^(85-1),"")</x:f>
        <x:v>2103270.370357362</x:v>
      </x:c>
      <x:c r="D285" s="412" t="n">
        <x:f>IF(AND(ISNUMBER($H$18),ISNUMBER($J$74),$J$74&gt;-1,$J$74&lt;=5),$H$18*(1+$J$74)^(85-1),"")</x:f>
        <x:v>359292.48202524043</x:v>
      </x:c>
      <x:c r="E285" s="412" t="n">
        <x:f>IF(AND(ISNUMBER($H$22),ISNUMBER($J$74),$J$74&gt;-1,$J$74&lt;=5),$H$22*(1+$J$74)^(85-1),"")</x:f>
        <x:v>0</x:v>
      </x:c>
      <x:c r="F285" s="412" t="n">
        <x:f>IF(AND(ISNUMBER(C285),ISNUMBER(D285)),C285-D285,"")</x:f>
        <x:v>1743977.8883321215</x:v>
      </x:c>
      <x:c r="G285" s="412" t="n">
        <x:f>IF(AND(ISNUMBER(F285),ISNUMBER(E285)),F285-E285,"")</x:f>
        <x:v>1743977.8883321215</x:v>
      </x:c>
      <x:c r="H285" s="412" t="n">
        <x:f>IF(COUNT(M1409:M1420)=12,SUM(M1409:M1420),"")</x:f>
        <x:v>0</x:v>
      </x:c>
      <x:c r="I285" s="412" t="n">
        <x:f>SUM(E1409:E1420)</x:f>
        <x:v>0</x:v>
      </x:c>
      <x:c r="J285" s="412" t="n">
        <x:f>SUM(F1409:F1420)</x:f>
        <x:v>0</x:v>
      </x:c>
      <x:c r="K285" s="412" t="n">
        <x:f>SUM(G1409:G1420)</x:f>
        <x:v>0</x:v>
      </x:c>
      <x:c r="L285" s="412" t="n">
        <x:f>IF(AND(ISNUMBER(G285),ISNUMBER(H285),ISNUMBER(J285),ISNUMBER(K285)),G285-H285-B285-J285-K285,"")</x:f>
        <x:v>1743977.8883321215</x:v>
      </x:c>
      <x:c r="M285" s="412" t="n">
        <x:f>IF(ISNUMBER(N1420),N1420,"")</x:f>
        <x:v>0</x:v>
      </x:c>
      <x:c r="N285" s="412" t="n">
        <x:f>IF(ISNUMBER($J$77),IF(AND($J$77&gt;0,$J$77&lt;=1,ISNUMBER($H$17),ISNUMBER($H$18),ISNUMBER($J$73),$J$73&gt;-1,$J$73&lt;=5,ISNUMBER($J$74),$J$74&gt;-1,$J$74&lt;=5),($H$17*(1+$J$73)^85-$H$18*(1+$J$74)^85)/$J$77,""),IF(AND($J$77="",ISNUMBER($B$15),$B$15&gt;0,ISNUMBER($J$72),$J$72&gt;-1,$J$72&lt;=5),$B$15*(1+$J$72)^85,""))</x:f>
        <x:v>26641424.691193257</x:v>
      </x:c>
      <x:c r="O285" s="412" t="n">
        <x:f>IF(AND(ISNUMBER(N285),ISNUMBER(M285)),N285*(1-$J$75)-M285,"")</x:f>
        <x:v>26641424.691193257</x:v>
      </x:c>
      <x:c r="P285" s="412" t="n">
        <x:f>IF(AND(ISNUMBER(P284),ISNUMBER(L285)),P284+L285,"")</x:f>
        <x:v>39714718.81939159</x:v>
      </x:c>
      <x:c r="Q285" s="412" t="n">
        <x:f>IF(AND(ISNUMBER(Q284),ISNUMBER(L285)),Q284+MAX(0,-L285),"")</x:f>
        <x:v>208898.25271554862</x:v>
      </x:c>
      <x:c r="R285" s="412" t="n">
        <x:f>IF(AND(ISNUMBER(R284),ISNUMBER(L285)),R284+MAX(0,L285),"")</x:f>
        <x:v>39733617.07210714</x:v>
      </x:c>
      <x:c r="S285" s="412" t="n">
        <x:f>IF(AND(ISNUMBER(Q284),ISNUMBER(L285),ISNUMBER(O285)),Q284+MAX(0,-(L285+O285)),"")</x:f>
        <x:v>208898.25271554862</x:v>
      </x:c>
      <x:c r="T285" s="412" t="n">
        <x:f>IF(AND(ISNUMBER(R284),ISNUMBER(L285),ISNUMBER(O285)),R284+MAX(0,L285+O285),"")</x:f>
        <x:v>66375041.763300404</x:v>
      </x:c>
      <x:c r="U285" s="412" t="n">
        <x:f>IF(AND(ISNUMBER(O285),ISNUMBER(P285),ISNUMBER($E$18)),O285+P285-$E$18,"")</x:f>
        <x:v>66166143.510584846</x:v>
      </x:c>
      <x:c r="V285" s="416" t="n">
        <x:f>IF(AND(S285&gt;0,ISNUMBER(U285)),U285/S285,"")</x:f>
        <x:v>316.73861629030273</x:v>
      </x:c>
      <x:c r="W285" s="418" t="n">
        <x:f>IF(AND(S285&gt;0,ISNUMBER(T285)),T285/S285,"")</x:f>
        <x:v>317.7386162903028</x:v>
      </x:c>
      <x:c r="X285" s="412" t="n">
        <x:f>IF($B$136="No",0,IF(AND(ISNUMBER(L285),OR(85&lt;&gt;$B$134,ISNUMBER(O285))),MAX(0,-(L285+IF(85=$B$134,O285,0))),0))</x:f>
        <x:v>0</x:v>
      </x:c>
      <x:c r="Y285" s="412" t="n">
        <x:f>IF(AND(ISNUMBER(Y284),ISNUMBER($D$138),$D$138&gt;=-1),Y284+Y284*$D$138-0+X285,"")</x:f>
        <x:v>143119398.27011135</x:v>
      </x:c>
      <x:c r="Z285" s="412" t="n">
        <x:f>IF(AND(ISNUMBER(Y284),ISNUMBER($D$138),$D$138&gt;=-1),Z284+0,"")</x:f>
        <x:v>0</x:v>
      </x:c>
      <x:c r="AA285" s="412" t="n">
        <x:f>IF(ISNUMBER(AA284),AA284+X285,"")</x:f>
        <x:v>208898.25271554862</x:v>
      </x:c>
      <x:c r="AB285" s="412" t="n">
        <x:f>IF(AND(ISNUMBER(Y285),ISNUMBER(Z285),ISNUMBER(AA285)),Y285+Z285-AA285,"")</x:f>
        <x:v>142910500.0173958</x:v>
      </x:c>
      <x:c r="AC285" s="416" t="n">
        <x:f>IF(AND(AA285&gt;0,ISNUMBER(AB285)),AB285/AA285,"")</x:f>
        <x:v>684.115343999518</x:v>
      </x:c>
      <x:c r="AD285" s="412" t="n">
        <x:f>IF(AND(ISNUMBER(AD284),ISNUMBER($G$138),$G$138&gt;=0),AD284+AD284*$G$138-IF(AND($J$134="Cash payout",$G$138&gt;=0),AD284*$G$138,0)+X285,"")</x:f>
        <x:v>13109720.045242058</x:v>
      </x:c>
      <x:c r="AE285" s="412" t="n">
        <x:f>IF(AND(ISNUMBER(AD284),ISNUMBER($G$138),$G$138&gt;=0),AE284+IF(AND($J$134="Cash payout",$G$138&gt;=0),AD284*$G$138,0),"")</x:f>
        <x:v>0</x:v>
      </x:c>
      <x:c r="AF285" s="412" t="n">
        <x:f>IF(ISNUMBER(AF284),AF284+X285,"")</x:f>
        <x:v>208898.25271554862</x:v>
      </x:c>
      <x:c r="AG285" s="412" t="n">
        <x:f>IF(AND(ISNUMBER(AD285),ISNUMBER(AE285),ISNUMBER(AF285)),AD285+AE285-AF285,"")</x:f>
        <x:v>12900821.79252651</x:v>
      </x:c>
      <x:c r="AH285" s="416" t="n">
        <x:f>IF(AND(AF285&gt;0,ISNUMBER(AG285)),AG285/AF285,"")</x:f>
        <x:v>61.75648491465952</x:v>
      </x:c>
      <x:c r="AI285" s="412" t="n">
        <x:f>IF(AND(ISNUMBER(AI284),ISNUMBER($J$138),$J$138&gt;=-1),AI284+AI284*$J$138-IF(AND($J$134="Cash payout",$J$138&gt;=0),AI284*$J$138,0)+X285,"")</x:f>
        <x:v>13109720.045242058</x:v>
      </x:c>
      <x:c r="AJ285" s="412" t="n">
        <x:f>IF(AND(ISNUMBER(AI284),ISNUMBER($J$138),$J$138&gt;=-1),AJ284+IF(AND($J$134="Cash payout",$J$138&gt;=0),AI284*$J$138,0),"")</x:f>
        <x:v>0</x:v>
      </x:c>
      <x:c r="AK285" s="412" t="n">
        <x:f>IF(ISNUMBER(AK284),AK284+X285,"")</x:f>
        <x:v>208898.25271554862</x:v>
      </x:c>
      <x:c r="AL285" s="412" t="n">
        <x:f>IF(AND(ISNUMBER(AI285),ISNUMBER(AJ285),ISNUMBER(AK285)),AI285+AJ285-AK285,"")</x:f>
        <x:v>12900821.79252651</x:v>
      </x:c>
      <x:c r="AM285" s="416" t="n">
        <x:f>IF(AND(AK285&gt;0,ISNUMBER(AL285)),AL285/AK285,"")</x:f>
        <x:v>61.75648491465952</x:v>
      </x:c>
    </x:row>
    <x:row r="286" ht="24" customHeight="1">
      <x:c r="A286" s="419" t="n">
        <x:f>86</x:f>
        <x:v>86</x:v>
      </x:c>
      <x:c r="B286" s="414" t="n">
        <x:v>0</x:v>
      </x:c>
      <x:c r="C286" s="412" t="n">
        <x:f>IF(AND(ISNUMBER($H$17),ISNUMBER($J$73),$J$73&gt;-1,$J$73&lt;=5),$H$17*(1+$J$73)^(86-1),"")</x:f>
        <x:v>2187401.185171657</x:v>
      </x:c>
      <x:c r="D286" s="412" t="n">
        <x:f>IF(AND(ISNUMBER($H$18),ISNUMBER($J$74),$J$74&gt;-1,$J$74&lt;=5),$H$18*(1+$J$74)^(86-1),"")</x:f>
        <x:v>370071.25648599764</x:v>
      </x:c>
      <x:c r="E286" s="412" t="n">
        <x:f>IF(AND(ISNUMBER($H$22),ISNUMBER($J$74),$J$74&gt;-1,$J$74&lt;=5),$H$22*(1+$J$74)^(86-1),"")</x:f>
        <x:v>0</x:v>
      </x:c>
      <x:c r="F286" s="412" t="n">
        <x:f>IF(AND(ISNUMBER(C286),ISNUMBER(D286)),C286-D286,"")</x:f>
        <x:v>1817329.928685659</x:v>
      </x:c>
      <x:c r="G286" s="412" t="n">
        <x:f>IF(AND(ISNUMBER(F286),ISNUMBER(E286)),F286-E286,"")</x:f>
        <x:v>1817329.928685659</x:v>
      </x:c>
      <x:c r="H286" s="412" t="n">
        <x:f>IF(COUNT(M1421:M1432)=12,SUM(M1421:M1432),"")</x:f>
        <x:v>0</x:v>
      </x:c>
      <x:c r="I286" s="412" t="n">
        <x:f>SUM(E1421:E1432)</x:f>
        <x:v>0</x:v>
      </x:c>
      <x:c r="J286" s="412" t="n">
        <x:f>SUM(F1421:F1432)</x:f>
        <x:v>0</x:v>
      </x:c>
      <x:c r="K286" s="412" t="n">
        <x:f>SUM(G1421:G1432)</x:f>
        <x:v>0</x:v>
      </x:c>
      <x:c r="L286" s="412" t="n">
        <x:f>IF(AND(ISNUMBER(G286),ISNUMBER(H286),ISNUMBER(J286),ISNUMBER(K286)),G286-H286-B286-J286-K286,"")</x:f>
        <x:v>1817329.928685659</x:v>
      </x:c>
      <x:c r="M286" s="412" t="n">
        <x:f>IF(ISNUMBER(N1432),N1432,"")</x:f>
        <x:v>0</x:v>
      </x:c>
      <x:c r="N286" s="412" t="n">
        <x:f>IF(ISNUMBER($J$77),IF(AND($J$77&gt;0,$J$77&lt;=1,ISNUMBER($H$17),ISNUMBER($H$18),ISNUMBER($J$73),$J$73&gt;-1,$J$73&lt;=5,ISNUMBER($J$74),$J$74&gt;-1,$J$74&lt;=5),($H$17*(1+$J$73)^86-$H$18*(1+$J$74)^86)/$J$77,""),IF(AND($J$77="",ISNUMBER($B$15),$B$15&gt;0,ISNUMBER($J$72),$J$72&gt;-1,$J$72&lt;=5),$B$15*(1+$J$72)^86,""))</x:f>
        <x:v>27707081.678840987</x:v>
      </x:c>
      <x:c r="O286" s="412" t="n">
        <x:f>IF(AND(ISNUMBER(N286),ISNUMBER(M286)),N286*(1-$J$75)-M286,"")</x:f>
        <x:v>27707081.678840987</x:v>
      </x:c>
      <x:c r="P286" s="412" t="n">
        <x:f>IF(AND(ISNUMBER(P285),ISNUMBER(L286)),P285+L286,"")</x:f>
        <x:v>41532048.74807725</x:v>
      </x:c>
      <x:c r="Q286" s="412" t="n">
        <x:f>IF(AND(ISNUMBER(Q285),ISNUMBER(L286)),Q285+MAX(0,-L286),"")</x:f>
        <x:v>208898.25271554862</x:v>
      </x:c>
      <x:c r="R286" s="412" t="n">
        <x:f>IF(AND(ISNUMBER(R285),ISNUMBER(L286)),R285+MAX(0,L286),"")</x:f>
        <x:v>41550947.0007928</x:v>
      </x:c>
      <x:c r="S286" s="412" t="n">
        <x:f>IF(AND(ISNUMBER(Q285),ISNUMBER(L286),ISNUMBER(O286)),Q285+MAX(0,-(L286+O286)),"")</x:f>
        <x:v>208898.25271554862</x:v>
      </x:c>
      <x:c r="T286" s="412" t="n">
        <x:f>IF(AND(ISNUMBER(R285),ISNUMBER(L286),ISNUMBER(O286)),R285+MAX(0,L286+O286),"")</x:f>
        <x:v>69258028.6796338</x:v>
      </x:c>
      <x:c r="U286" s="412" t="n">
        <x:f>IF(AND(ISNUMBER(O286),ISNUMBER(P286),ISNUMBER($E$18)),O286+P286-$E$18,"")</x:f>
        <x:v>69049130.42691824</x:v>
      </x:c>
      <x:c r="V286" s="416" t="n">
        <x:f>IF(AND(S286&gt;0,ISNUMBER(U286)),U286/S286,"")</x:f>
        <x:v>330.5395307491665</x:v>
      </x:c>
      <x:c r="W286" s="418" t="n">
        <x:f>IF(AND(S286&gt;0,ISNUMBER(T286)),T286/S286,"")</x:f>
        <x:v>331.53953074916654</x:v>
      </x:c>
      <x:c r="X286" s="412" t="n">
        <x:f>IF($B$136="No",0,IF(AND(ISNUMBER(L286),OR(86&lt;&gt;$B$134,ISNUMBER(O286))),MAX(0,-(L286+IF(86=$B$134,O286,0))),0))</x:f>
        <x:v>0</x:v>
      </x:c>
      <x:c r="Y286" s="412" t="n">
        <x:f>IF(AND(ISNUMBER(Y285),ISNUMBER($D$138),$D$138&gt;=-1),Y285+Y285*$D$138-0+X286,"")</x:f>
        <x:v>154568950.13172024</x:v>
      </x:c>
      <x:c r="Z286" s="412" t="n">
        <x:f>IF(AND(ISNUMBER(Y285),ISNUMBER($D$138),$D$138&gt;=-1),Z285+0,"")</x:f>
        <x:v>0</x:v>
      </x:c>
      <x:c r="AA286" s="412" t="n">
        <x:f>IF(ISNUMBER(AA285),AA285+X286,"")</x:f>
        <x:v>208898.25271554862</x:v>
      </x:c>
      <x:c r="AB286" s="412" t="n">
        <x:f>IF(AND(ISNUMBER(Y286),ISNUMBER(Z286),ISNUMBER(AA286)),Y286+Z286-AA286,"")</x:f>
        <x:v>154360051.8790047</x:v>
      </x:c>
      <x:c r="AC286" s="416" t="n">
        <x:f>IF(AND(AA286&gt;0,ISNUMBER(AB286)),AB286/AA286,"")</x:f>
        <x:v>738.9245715194794</x:v>
      </x:c>
      <x:c r="AD286" s="412" t="n">
        <x:f>IF(AND(ISNUMBER(AD285),ISNUMBER($G$138),$G$138&gt;=0),AD285+AD285*$G$138-IF(AND($J$134="Cash payout",$G$138&gt;=0),AD285*$G$138,0)+X286,"")</x:f>
        <x:v>13765206.04750416</x:v>
      </x:c>
      <x:c r="AE286" s="412" t="n">
        <x:f>IF(AND(ISNUMBER(AD285),ISNUMBER($G$138),$G$138&gt;=0),AE285+IF(AND($J$134="Cash payout",$G$138&gt;=0),AD285*$G$138,0),"")</x:f>
        <x:v>0</x:v>
      </x:c>
      <x:c r="AF286" s="412" t="n">
        <x:f>IF(ISNUMBER(AF285),AF285+X286,"")</x:f>
        <x:v>208898.25271554862</x:v>
      </x:c>
      <x:c r="AG286" s="412" t="n">
        <x:f>IF(AND(ISNUMBER(AD286),ISNUMBER(AE286),ISNUMBER(AF286)),AD286+AE286-AF286,"")</x:f>
        <x:v>13556307.794788612</x:v>
      </x:c>
      <x:c r="AH286" s="416" t="n">
        <x:f>IF(AND(AF286&gt;0,ISNUMBER(AG286)),AG286/AF286,"")</x:f>
        <x:v>64.8943091603925</x:v>
      </x:c>
      <x:c r="AI286" s="412" t="n">
        <x:f>IF(AND(ISNUMBER(AI285),ISNUMBER($J$138),$J$138&gt;=-1),AI285+AI285*$J$138-IF(AND($J$134="Cash payout",$J$138&gt;=0),AI285*$J$138,0)+X286,"")</x:f>
        <x:v>13765206.04750416</x:v>
      </x:c>
      <x:c r="AJ286" s="412" t="n">
        <x:f>IF(AND(ISNUMBER(AI285),ISNUMBER($J$138),$J$138&gt;=-1),AJ285+IF(AND($J$134="Cash payout",$J$138&gt;=0),AI285*$J$138,0),"")</x:f>
        <x:v>0</x:v>
      </x:c>
      <x:c r="AK286" s="412" t="n">
        <x:f>IF(ISNUMBER(AK285),AK285+X286,"")</x:f>
        <x:v>208898.25271554862</x:v>
      </x:c>
      <x:c r="AL286" s="412" t="n">
        <x:f>IF(AND(ISNUMBER(AI286),ISNUMBER(AJ286),ISNUMBER(AK286)),AI286+AJ286-AK286,"")</x:f>
        <x:v>13556307.794788612</x:v>
      </x:c>
      <x:c r="AM286" s="416" t="n">
        <x:f>IF(AND(AK286&gt;0,ISNUMBER(AL286)),AL286/AK286,"")</x:f>
        <x:v>64.8943091603925</x:v>
      </x:c>
    </x:row>
    <x:row r="287" ht="24" customHeight="1">
      <x:c r="A287" s="419" t="n">
        <x:f>87</x:f>
        <x:v>87</x:v>
      </x:c>
      <x:c r="B287" s="414" t="n">
        <x:v>0</x:v>
      </x:c>
      <x:c r="C287" s="412" t="n">
        <x:f>IF(AND(ISNUMBER($H$17),ISNUMBER($J$73),$J$73&gt;-1,$J$73&lt;=5),$H$17*(1+$J$73)^(87-1),"")</x:f>
        <x:v>2274897.232578523</x:v>
      </x:c>
      <x:c r="D287" s="412" t="n">
        <x:f>IF(AND(ISNUMBER($H$18),ISNUMBER($J$74),$J$74&gt;-1,$J$74&lt;=5),$H$18*(1+$J$74)^(87-1),"")</x:f>
        <x:v>381173.3941805776</x:v>
      </x:c>
      <x:c r="E287" s="412" t="n">
        <x:f>IF(AND(ISNUMBER($H$22),ISNUMBER($J$74),$J$74&gt;-1,$J$74&lt;=5),$H$22*(1+$J$74)^(87-1),"")</x:f>
        <x:v>0</x:v>
      </x:c>
      <x:c r="F287" s="412" t="n">
        <x:f>IF(AND(ISNUMBER(C287),ISNUMBER(D287)),C287-D287,"")</x:f>
        <x:v>1893723.8383979453</x:v>
      </x:c>
      <x:c r="G287" s="412" t="n">
        <x:f>IF(AND(ISNUMBER(F287),ISNUMBER(E287)),F287-E287,"")</x:f>
        <x:v>1893723.8383979453</x:v>
      </x:c>
      <x:c r="H287" s="412" t="n">
        <x:f>IF(COUNT(M1433:M1444)=12,SUM(M1433:M1444),"")</x:f>
        <x:v>0</x:v>
      </x:c>
      <x:c r="I287" s="412" t="n">
        <x:f>SUM(E1433:E1444)</x:f>
        <x:v>0</x:v>
      </x:c>
      <x:c r="J287" s="412" t="n">
        <x:f>SUM(F1433:F1444)</x:f>
        <x:v>0</x:v>
      </x:c>
      <x:c r="K287" s="412" t="n">
        <x:f>SUM(G1433:G1444)</x:f>
        <x:v>0</x:v>
      </x:c>
      <x:c r="L287" s="412" t="n">
        <x:f>IF(AND(ISNUMBER(G287),ISNUMBER(H287),ISNUMBER(J287),ISNUMBER(K287)),G287-H287-B287-J287-K287,"")</x:f>
        <x:v>1893723.8383979453</x:v>
      </x:c>
      <x:c r="M287" s="412" t="n">
        <x:f>IF(ISNUMBER(N1444),N1444,"")</x:f>
        <x:v>0</x:v>
      </x:c>
      <x:c r="N287" s="412" t="n">
        <x:f>IF(ISNUMBER($J$77),IF(AND($J$77&gt;0,$J$77&lt;=1,ISNUMBER($H$17),ISNUMBER($H$18),ISNUMBER($J$73),$J$73&gt;-1,$J$73&lt;=5,ISNUMBER($J$74),$J$74&gt;-1,$J$74&lt;=5),($H$17*(1+$J$73)^87-$H$18*(1+$J$74)^87)/$J$77,""),IF(AND($J$77="",ISNUMBER($B$15),$B$15&gt;0,ISNUMBER($J$72),$J$72&gt;-1,$J$72&lt;=5),$B$15*(1+$J$72)^87,""))</x:f>
        <x:v>28815364.945994627</x:v>
      </x:c>
      <x:c r="O287" s="412" t="n">
        <x:f>IF(AND(ISNUMBER(N287),ISNUMBER(M287)),N287*(1-$J$75)-M287,"")</x:f>
        <x:v>28815364.945994627</x:v>
      </x:c>
      <x:c r="P287" s="412" t="n">
        <x:f>IF(AND(ISNUMBER(P286),ISNUMBER(L287)),P286+L287,"")</x:f>
        <x:v>43425772.58647519</x:v>
      </x:c>
      <x:c r="Q287" s="412" t="n">
        <x:f>IF(AND(ISNUMBER(Q286),ISNUMBER(L287)),Q286+MAX(0,-L287),"")</x:f>
        <x:v>208898.25271554862</x:v>
      </x:c>
      <x:c r="R287" s="412" t="n">
        <x:f>IF(AND(ISNUMBER(R286),ISNUMBER(L287)),R286+MAX(0,L287),"")</x:f>
        <x:v>43444670.839190744</x:v>
      </x:c>
      <x:c r="S287" s="412" t="n">
        <x:f>IF(AND(ISNUMBER(Q286),ISNUMBER(L287),ISNUMBER(O287)),Q286+MAX(0,-(L287+O287)),"")</x:f>
        <x:v>208898.25271554862</x:v>
      </x:c>
      <x:c r="T287" s="412" t="n">
        <x:f>IF(AND(ISNUMBER(R286),ISNUMBER(L287),ISNUMBER(O287)),R286+MAX(0,L287+O287),"")</x:f>
        <x:v>72260035.78518537</x:v>
      </x:c>
      <x:c r="U287" s="412" t="n">
        <x:f>IF(AND(ISNUMBER(O287),ISNUMBER(P287),ISNUMBER($E$18)),O287+P287-$E$18,"")</x:f>
        <x:v>72051137.53246982</x:v>
      </x:c>
      <x:c r="V287" s="416" t="n">
        <x:f>IF(AND(S287&gt;0,ISNUMBER(U287)),U287/S287,"")</x:f>
        <x:v>344.91019716943254</x:v>
      </x:c>
      <x:c r="W287" s="418" t="n">
        <x:f>IF(AND(S287&gt;0,ISNUMBER(T287)),T287/S287,"")</x:f>
        <x:v>345.91019716943254</x:v>
      </x:c>
      <x:c r="X287" s="412" t="n">
        <x:f>IF($B$136="No",0,IF(AND(ISNUMBER(L287),OR(87&lt;&gt;$B$134,ISNUMBER(O287))),MAX(0,-(L287+IF(87=$B$134,O287,0))),0))</x:f>
        <x:v>0</x:v>
      </x:c>
      <x:c r="Y287" s="412" t="n">
        <x:f>IF(AND(ISNUMBER(Y286),ISNUMBER($D$138),$D$138&gt;=-1),Y286+Y286*$D$138-0+X287,"")</x:f>
        <x:v>166934466.14225787</x:v>
      </x:c>
      <x:c r="Z287" s="412" t="n">
        <x:f>IF(AND(ISNUMBER(Y286),ISNUMBER($D$138),$D$138&gt;=-1),Z286+0,"")</x:f>
        <x:v>0</x:v>
      </x:c>
      <x:c r="AA287" s="412" t="n">
        <x:f>IF(ISNUMBER(AA286),AA286+X287,"")</x:f>
        <x:v>208898.25271554862</x:v>
      </x:c>
      <x:c r="AB287" s="412" t="n">
        <x:f>IF(AND(ISNUMBER(Y287),ISNUMBER(Z287),ISNUMBER(AA287)),Y287+Z287-AA287,"")</x:f>
        <x:v>166725567.8895423</x:v>
      </x:c>
      <x:c r="AC287" s="416" t="n">
        <x:f>IF(AND(AA287&gt;0,ISNUMBER(AB287)),AB287/AA287,"")</x:f>
        <x:v>798.1185372410378</x:v>
      </x:c>
      <x:c r="AD287" s="412" t="n">
        <x:f>IF(AND(ISNUMBER(AD286),ISNUMBER($G$138),$G$138&gt;=0),AD286+AD286*$G$138-IF(AND($J$134="Cash payout",$G$138&gt;=0),AD286*$G$138,0)+X287,"")</x:f>
        <x:v>14453466.34987937</x:v>
      </x:c>
      <x:c r="AE287" s="412" t="n">
        <x:f>IF(AND(ISNUMBER(AD286),ISNUMBER($G$138),$G$138&gt;=0),AE286+IF(AND($J$134="Cash payout",$G$138&gt;=0),AD286*$G$138,0),"")</x:f>
        <x:v>0</x:v>
      </x:c>
      <x:c r="AF287" s="412" t="n">
        <x:f>IF(ISNUMBER(AF286),AF286+X287,"")</x:f>
        <x:v>208898.25271554862</x:v>
      </x:c>
      <x:c r="AG287" s="412" t="n">
        <x:f>IF(AND(ISNUMBER(AD287),ISNUMBER(AE287),ISNUMBER(AF287)),AD287+AE287-AF287,"")</x:f>
        <x:v>14244568.09716382</x:v>
      </x:c>
      <x:c r="AH287" s="416" t="n">
        <x:f>IF(AND(AF287&gt;0,ISNUMBER(AG287)),AG287/AF287,"")</x:f>
        <x:v>68.18902461841212</x:v>
      </x:c>
      <x:c r="AI287" s="412" t="n">
        <x:f>IF(AND(ISNUMBER(AI286),ISNUMBER($J$138),$J$138&gt;=-1),AI286+AI286*$J$138-IF(AND($J$134="Cash payout",$J$138&gt;=0),AI286*$J$138,0)+X287,"")</x:f>
        <x:v>14453466.34987937</x:v>
      </x:c>
      <x:c r="AJ287" s="412" t="n">
        <x:f>IF(AND(ISNUMBER(AI286),ISNUMBER($J$138),$J$138&gt;=-1),AJ286+IF(AND($J$134="Cash payout",$J$138&gt;=0),AI286*$J$138,0),"")</x:f>
        <x:v>0</x:v>
      </x:c>
      <x:c r="AK287" s="412" t="n">
        <x:f>IF(ISNUMBER(AK286),AK286+X287,"")</x:f>
        <x:v>208898.25271554862</x:v>
      </x:c>
      <x:c r="AL287" s="412" t="n">
        <x:f>IF(AND(ISNUMBER(AI287),ISNUMBER(AJ287),ISNUMBER(AK287)),AI287+AJ287-AK287,"")</x:f>
        <x:v>14244568.09716382</x:v>
      </x:c>
      <x:c r="AM287" s="416" t="n">
        <x:f>IF(AND(AK287&gt;0,ISNUMBER(AL287)),AL287/AK287,"")</x:f>
        <x:v>68.18902461841212</x:v>
      </x:c>
    </x:row>
    <x:row r="288" ht="24" customHeight="1">
      <x:c r="A288" s="419" t="n">
        <x:f>88</x:f>
        <x:v>88</x:v>
      </x:c>
      <x:c r="B288" s="414" t="n">
        <x:v>0</x:v>
      </x:c>
      <x:c r="C288" s="412" t="n">
        <x:f>IF(AND(ISNUMBER($H$17),ISNUMBER($J$73),$J$73&gt;-1,$J$73&lt;=5),$H$17*(1+$J$73)^(88-1),"")</x:f>
        <x:v>2365893.1218816643</x:v>
      </x:c>
      <x:c r="D288" s="412" t="n">
        <x:f>IF(AND(ISNUMBER($H$18),ISNUMBER($J$74),$J$74&gt;-1,$J$74&lt;=5),$H$18*(1+$J$74)^(88-1),"")</x:f>
        <x:v>392608.59600599494</x:v>
      </x:c>
      <x:c r="E288" s="412" t="n">
        <x:f>IF(AND(ISNUMBER($H$22),ISNUMBER($J$74),$J$74&gt;-1,$J$74&lt;=5),$H$22*(1+$J$74)^(88-1),"")</x:f>
        <x:v>0</x:v>
      </x:c>
      <x:c r="F288" s="412" t="n">
        <x:f>IF(AND(ISNUMBER(C288),ISNUMBER(D288)),C288-D288,"")</x:f>
        <x:v>1973284.5258756694</x:v>
      </x:c>
      <x:c r="G288" s="412" t="n">
        <x:f>IF(AND(ISNUMBER(F288),ISNUMBER(E288)),F288-E288,"")</x:f>
        <x:v>1973284.5258756694</x:v>
      </x:c>
      <x:c r="H288" s="412" t="n">
        <x:f>IF(COUNT(M1445:M1456)=12,SUM(M1445:M1456),"")</x:f>
        <x:v>0</x:v>
      </x:c>
      <x:c r="I288" s="412" t="n">
        <x:f>SUM(E1445:E1456)</x:f>
        <x:v>0</x:v>
      </x:c>
      <x:c r="J288" s="412" t="n">
        <x:f>SUM(F1445:F1456)</x:f>
        <x:v>0</x:v>
      </x:c>
      <x:c r="K288" s="412" t="n">
        <x:f>SUM(G1445:G1456)</x:f>
        <x:v>0</x:v>
      </x:c>
      <x:c r="L288" s="412" t="n">
        <x:f>IF(AND(ISNUMBER(G288),ISNUMBER(H288),ISNUMBER(J288),ISNUMBER(K288)),G288-H288-B288-J288-K288,"")</x:f>
        <x:v>1973284.5258756694</x:v>
      </x:c>
      <x:c r="M288" s="412" t="n">
        <x:f>IF(ISNUMBER(N1456),N1456,"")</x:f>
        <x:v>0</x:v>
      </x:c>
      <x:c r="N288" s="412" t="n">
        <x:f>IF(ISNUMBER($J$77),IF(AND($J$77&gt;0,$J$77&lt;=1,ISNUMBER($H$17),ISNUMBER($H$18),ISNUMBER($J$73),$J$73&gt;-1,$J$73&lt;=5,ISNUMBER($J$74),$J$74&gt;-1,$J$74&lt;=5),($H$17*(1+$J$73)^88-$H$18*(1+$J$74)^88)/$J$77,""),IF(AND($J$77="",ISNUMBER($B$15),$B$15&gt;0,ISNUMBER($J$72),$J$72&gt;-1,$J$72&lt;=5),$B$15*(1+$J$72)^88,""))</x:f>
        <x:v>29967979.543834414</x:v>
      </x:c>
      <x:c r="O288" s="412" t="n">
        <x:f>IF(AND(ISNUMBER(N288),ISNUMBER(M288)),N288*(1-$J$75)-M288,"")</x:f>
        <x:v>29967979.543834414</x:v>
      </x:c>
      <x:c r="P288" s="412" t="n">
        <x:f>IF(AND(ISNUMBER(P287),ISNUMBER(L288)),P287+L288,"")</x:f>
        <x:v>45399057.112350866</x:v>
      </x:c>
      <x:c r="Q288" s="412" t="n">
        <x:f>IF(AND(ISNUMBER(Q287),ISNUMBER(L288)),Q287+MAX(0,-L288),"")</x:f>
        <x:v>208898.25271554862</x:v>
      </x:c>
      <x:c r="R288" s="412" t="n">
        <x:f>IF(AND(ISNUMBER(R287),ISNUMBER(L288)),R287+MAX(0,L288),"")</x:f>
        <x:v>45417955.36506642</x:v>
      </x:c>
      <x:c r="S288" s="412" t="n">
        <x:f>IF(AND(ISNUMBER(Q287),ISNUMBER(L288),ISNUMBER(O288)),Q287+MAX(0,-(L288+O288)),"")</x:f>
        <x:v>208898.25271554862</x:v>
      </x:c>
      <x:c r="T288" s="412" t="n">
        <x:f>IF(AND(ISNUMBER(R287),ISNUMBER(L288),ISNUMBER(O288)),R287+MAX(0,L288+O288),"")</x:f>
        <x:v>75385934.90890083</x:v>
      </x:c>
      <x:c r="U288" s="412" t="n">
        <x:f>IF(AND(ISNUMBER(O288),ISNUMBER(P288),ISNUMBER($E$18)),O288+P288-$E$18,"")</x:f>
        <x:v>75177036.65618528</x:v>
      </x:c>
      <x:c r="V288" s="416" t="n">
        <x:f>IF(AND(S288&gt;0,ISNUMBER(U288)),U288/S288,"")</x:f>
        <x:v>359.87393709104845</x:v>
      </x:c>
      <x:c r="W288" s="418" t="n">
        <x:f>IF(AND(S288&gt;0,ISNUMBER(T288)),T288/S288,"")</x:f>
        <x:v>360.87393709104845</x:v>
      </x:c>
      <x:c r="X288" s="412" t="n">
        <x:f>IF($B$136="No",0,IF(AND(ISNUMBER(L288),OR(88&lt;&gt;$B$134,ISNUMBER(O288))),MAX(0,-(L288+IF(88=$B$134,O288,0))),0))</x:f>
        <x:v>0</x:v>
      </x:c>
      <x:c r="Y288" s="412" t="n">
        <x:f>IF(AND(ISNUMBER(Y287),ISNUMBER($D$138),$D$138&gt;=-1),Y287+Y287*$D$138-0+X288,"")</x:f>
        <x:v>180289223.4336385</x:v>
      </x:c>
      <x:c r="Z288" s="412" t="n">
        <x:f>IF(AND(ISNUMBER(Y287),ISNUMBER($D$138),$D$138&gt;=-1),Z287+0,"")</x:f>
        <x:v>0</x:v>
      </x:c>
      <x:c r="AA288" s="412" t="n">
        <x:f>IF(ISNUMBER(AA287),AA287+X288,"")</x:f>
        <x:v>208898.25271554862</x:v>
      </x:c>
      <x:c r="AB288" s="412" t="n">
        <x:f>IF(AND(ISNUMBER(Y288),ISNUMBER(Z288),ISNUMBER(AA288)),Y288+Z288-AA288,"")</x:f>
        <x:v>180080325.18092296</x:v>
      </x:c>
      <x:c r="AC288" s="416" t="n">
        <x:f>IF(AND(AA288&gt;0,ISNUMBER(AB288)),AB288/AA288,"")</x:f>
        <x:v>862.0480202203208</x:v>
      </x:c>
      <x:c r="AD288" s="412" t="n">
        <x:f>IF(AND(ISNUMBER(AD287),ISNUMBER($G$138),$G$138&gt;=0),AD287+AD287*$G$138-IF(AND($J$134="Cash payout",$G$138&gt;=0),AD287*$G$138,0)+X288,"")</x:f>
        <x:v>15176139.667373337</x:v>
      </x:c>
      <x:c r="AE288" s="412" t="n">
        <x:f>IF(AND(ISNUMBER(AD287),ISNUMBER($G$138),$G$138&gt;=0),AE287+IF(AND($J$134="Cash payout",$G$138&gt;=0),AD287*$G$138,0),"")</x:f>
        <x:v>0</x:v>
      </x:c>
      <x:c r="AF288" s="412" t="n">
        <x:f>IF(ISNUMBER(AF287),AF287+X288,"")</x:f>
        <x:v>208898.25271554862</x:v>
      </x:c>
      <x:c r="AG288" s="412" t="n">
        <x:f>IF(AND(ISNUMBER(AD288),ISNUMBER(AE288),ISNUMBER(AF288)),AD288+AE288-AF288,"")</x:f>
        <x:v>14967241.414657788</x:v>
      </x:c>
      <x:c r="AH288" s="416" t="n">
        <x:f>IF(AND(AF288&gt;0,ISNUMBER(AG288)),AG288/AF288,"")</x:f>
        <x:v>71.64847584933273</x:v>
      </x:c>
      <x:c r="AI288" s="412" t="n">
        <x:f>IF(AND(ISNUMBER(AI287),ISNUMBER($J$138),$J$138&gt;=-1),AI287+AI287*$J$138-IF(AND($J$134="Cash payout",$J$138&gt;=0),AI287*$J$138,0)+X288,"")</x:f>
        <x:v>15176139.667373337</x:v>
      </x:c>
      <x:c r="AJ288" s="412" t="n">
        <x:f>IF(AND(ISNUMBER(AI287),ISNUMBER($J$138),$J$138&gt;=-1),AJ287+IF(AND($J$134="Cash payout",$J$138&gt;=0),AI287*$J$138,0),"")</x:f>
        <x:v>0</x:v>
      </x:c>
      <x:c r="AK288" s="412" t="n">
        <x:f>IF(ISNUMBER(AK287),AK287+X288,"")</x:f>
        <x:v>208898.25271554862</x:v>
      </x:c>
      <x:c r="AL288" s="412" t="n">
        <x:f>IF(AND(ISNUMBER(AI288),ISNUMBER(AJ288),ISNUMBER(AK288)),AI288+AJ288-AK288,"")</x:f>
        <x:v>14967241.414657788</x:v>
      </x:c>
      <x:c r="AM288" s="416" t="n">
        <x:f>IF(AND(AK288&gt;0,ISNUMBER(AL288)),AL288/AK288,"")</x:f>
        <x:v>71.64847584933273</x:v>
      </x:c>
    </x:row>
    <x:row r="289" ht="24" customHeight="1">
      <x:c r="A289" s="419" t="n">
        <x:f>89</x:f>
        <x:v>89</x:v>
      </x:c>
      <x:c r="B289" s="414" t="n">
        <x:v>0</x:v>
      </x:c>
      <x:c r="C289" s="412" t="n">
        <x:f>IF(AND(ISNUMBER($H$17),ISNUMBER($J$73),$J$73&gt;-1,$J$73&lt;=5),$H$17*(1+$J$73)^(89-1),"")</x:f>
        <x:v>2460528.846756931</x:v>
      </x:c>
      <x:c r="D289" s="412" t="n">
        <x:f>IF(AND(ISNUMBER($H$18),ISNUMBER($J$74),$J$74&gt;-1,$J$74&lt;=5),$H$18*(1+$J$74)^(89-1),"")</x:f>
        <x:v>404386.8538861748</x:v>
      </x:c>
      <x:c r="E289" s="412" t="n">
        <x:f>IF(AND(ISNUMBER($H$22),ISNUMBER($J$74),$J$74&gt;-1,$J$74&lt;=5),$H$22*(1+$J$74)^(89-1),"")</x:f>
        <x:v>0</x:v>
      </x:c>
      <x:c r="F289" s="412" t="n">
        <x:f>IF(AND(ISNUMBER(C289),ISNUMBER(D289)),C289-D289,"")</x:f>
        <x:v>2056141.9928707562</x:v>
      </x:c>
      <x:c r="G289" s="412" t="n">
        <x:f>IF(AND(ISNUMBER(F289),ISNUMBER(E289)),F289-E289,"")</x:f>
        <x:v>2056141.9928707562</x:v>
      </x:c>
      <x:c r="H289" s="412" t="n">
        <x:f>IF(COUNT(M1457:M1468)=12,SUM(M1457:M1468),"")</x:f>
        <x:v>0</x:v>
      </x:c>
      <x:c r="I289" s="412" t="n">
        <x:f>SUM(E1457:E1468)</x:f>
        <x:v>0</x:v>
      </x:c>
      <x:c r="J289" s="412" t="n">
        <x:f>SUM(F1457:F1468)</x:f>
        <x:v>0</x:v>
      </x:c>
      <x:c r="K289" s="412" t="n">
        <x:f>SUM(G1457:G1468)</x:f>
        <x:v>0</x:v>
      </x:c>
      <x:c r="L289" s="412" t="n">
        <x:f>IF(AND(ISNUMBER(G289),ISNUMBER(H289),ISNUMBER(J289),ISNUMBER(K289)),G289-H289-B289-J289-K289,"")</x:f>
        <x:v>2056141.9928707562</x:v>
      </x:c>
      <x:c r="M289" s="412" t="n">
        <x:f>IF(ISNUMBER(N1468),N1468,"")</x:f>
        <x:v>0</x:v>
      </x:c>
      <x:c r="N289" s="412" t="n">
        <x:f>IF(ISNUMBER($J$77),IF(AND($J$77&gt;0,$J$77&lt;=1,ISNUMBER($H$17),ISNUMBER($H$18),ISNUMBER($J$73),$J$73&gt;-1,$J$73&lt;=5,ISNUMBER($J$74),$J$74&gt;-1,$J$74&lt;=5),($H$17*(1+$J$73)^89-$H$18*(1+$J$74)^89)/$J$77,""),IF(AND($J$77="",ISNUMBER($B$15),$B$15&gt;0,ISNUMBER($J$72),$J$72&gt;-1,$J$72&lt;=5),$B$15*(1+$J$72)^89,""))</x:f>
        <x:v>31166698.72558779</x:v>
      </x:c>
      <x:c r="O289" s="412" t="n">
        <x:f>IF(AND(ISNUMBER(N289),ISNUMBER(M289)),N289*(1-$J$75)-M289,"")</x:f>
        <x:v>31166698.72558779</x:v>
      </x:c>
      <x:c r="P289" s="412" t="n">
        <x:f>IF(AND(ISNUMBER(P288),ISNUMBER(L289)),P288+L289,"")</x:f>
        <x:v>47455199.10522162</x:v>
      </x:c>
      <x:c r="Q289" s="412" t="n">
        <x:f>IF(AND(ISNUMBER(Q288),ISNUMBER(L289)),Q288+MAX(0,-L289),"")</x:f>
        <x:v>208898.25271554862</x:v>
      </x:c>
      <x:c r="R289" s="412" t="n">
        <x:f>IF(AND(ISNUMBER(R288),ISNUMBER(L289)),R288+MAX(0,L289),"")</x:f>
        <x:v>47474097.35793717</x:v>
      </x:c>
      <x:c r="S289" s="412" t="n">
        <x:f>IF(AND(ISNUMBER(Q288),ISNUMBER(L289),ISNUMBER(O289)),Q288+MAX(0,-(L289+O289)),"")</x:f>
        <x:v>208898.25271554862</x:v>
      </x:c>
      <x:c r="T289" s="412" t="n">
        <x:f>IF(AND(ISNUMBER(R288),ISNUMBER(L289),ISNUMBER(O289)),R288+MAX(0,L289+O289),"")</x:f>
        <x:v>78640796.08352496</x:v>
      </x:c>
      <x:c r="U289" s="412" t="n">
        <x:f>IF(AND(ISNUMBER(O289),ISNUMBER(P289),ISNUMBER($E$18)),O289+P289-$E$18,"")</x:f>
        <x:v>78431897.83080941</x:v>
      </x:c>
      <x:c r="V289" s="416" t="n">
        <x:f>IF(AND(S289&gt;0,ISNUMBER(U289)),U289/S289,"")</x:f>
        <x:v>375.45502085940427</x:v>
      </x:c>
      <x:c r="W289" s="418" t="n">
        <x:f>IF(AND(S289&gt;0,ISNUMBER(T289)),T289/S289,"")</x:f>
        <x:v>376.45502085940427</x:v>
      </x:c>
      <x:c r="X289" s="412" t="n">
        <x:f>IF($B$136="No",0,IF(AND(ISNUMBER(L289),OR(89&lt;&gt;$B$134,ISNUMBER(O289))),MAX(0,-(L289+IF(89=$B$134,O289,0))),0))</x:f>
        <x:v>0</x:v>
      </x:c>
      <x:c r="Y289" s="412" t="n">
        <x:f>IF(AND(ISNUMBER(Y288),ISNUMBER($D$138),$D$138&gt;=-1),Y288+Y288*$D$138-0+X289,"")</x:f>
        <x:v>194712361.30832958</x:v>
      </x:c>
      <x:c r="Z289" s="412" t="n">
        <x:f>IF(AND(ISNUMBER(Y288),ISNUMBER($D$138),$D$138&gt;=-1),Z288+0,"")</x:f>
        <x:v>0</x:v>
      </x:c>
      <x:c r="AA289" s="412" t="n">
        <x:f>IF(ISNUMBER(AA288),AA288+X289,"")</x:f>
        <x:v>208898.25271554862</x:v>
      </x:c>
      <x:c r="AB289" s="412" t="n">
        <x:f>IF(AND(ISNUMBER(Y289),ISNUMBER(Z289),ISNUMBER(AA289)),Y289+Z289-AA289,"")</x:f>
        <x:v>194503463.05561402</x:v>
      </x:c>
      <x:c r="AC289" s="416" t="n">
        <x:f>IF(AND(AA289&gt;0,ISNUMBER(AB289)),AB289/AA289,"")</x:f>
        <x:v>931.0918618379465</x:v>
      </x:c>
      <x:c r="AD289" s="412" t="n">
        <x:f>IF(AND(ISNUMBER(AD288),ISNUMBER($G$138),$G$138&gt;=0),AD288+AD288*$G$138-IF(AND($J$134="Cash payout",$G$138&gt;=0),AD288*$G$138,0)+X289,"")</x:f>
        <x:v>15934946.650742004</x:v>
      </x:c>
      <x:c r="AE289" s="412" t="n">
        <x:f>IF(AND(ISNUMBER(AD288),ISNUMBER($G$138),$G$138&gt;=0),AE288+IF(AND($J$134="Cash payout",$G$138&gt;=0),AD288*$G$138,0),"")</x:f>
        <x:v>0</x:v>
      </x:c>
      <x:c r="AF289" s="412" t="n">
        <x:f>IF(ISNUMBER(AF288),AF288+X289,"")</x:f>
        <x:v>208898.25271554862</x:v>
      </x:c>
      <x:c r="AG289" s="412" t="n">
        <x:f>IF(AND(ISNUMBER(AD289),ISNUMBER(AE289),ISNUMBER(AF289)),AD289+AE289-AF289,"")</x:f>
        <x:v>15726048.398026455</x:v>
      </x:c>
      <x:c r="AH289" s="416" t="n">
        <x:f>IF(AND(AF289&gt;0,ISNUMBER(AG289)),AG289/AF289,"")</x:f>
        <x:v>75.28089964179935</x:v>
      </x:c>
      <x:c r="AI289" s="412" t="n">
        <x:f>IF(AND(ISNUMBER(AI288),ISNUMBER($J$138),$J$138&gt;=-1),AI288+AI288*$J$138-IF(AND($J$134="Cash payout",$J$138&gt;=0),AI288*$J$138,0)+X289,"")</x:f>
        <x:v>15934946.650742004</x:v>
      </x:c>
      <x:c r="AJ289" s="412" t="n">
        <x:f>IF(AND(ISNUMBER(AI288),ISNUMBER($J$138),$J$138&gt;=-1),AJ288+IF(AND($J$134="Cash payout",$J$138&gt;=0),AI288*$J$138,0),"")</x:f>
        <x:v>0</x:v>
      </x:c>
      <x:c r="AK289" s="412" t="n">
        <x:f>IF(ISNUMBER(AK288),AK288+X289,"")</x:f>
        <x:v>208898.25271554862</x:v>
      </x:c>
      <x:c r="AL289" s="412" t="n">
        <x:f>IF(AND(ISNUMBER(AI289),ISNUMBER(AJ289),ISNUMBER(AK289)),AI289+AJ289-AK289,"")</x:f>
        <x:v>15726048.398026455</x:v>
      </x:c>
      <x:c r="AM289" s="416" t="n">
        <x:f>IF(AND(AK289&gt;0,ISNUMBER(AL289)),AL289/AK289,"")</x:f>
        <x:v>75.28089964179935</x:v>
      </x:c>
    </x:row>
    <x:row r="290" ht="24" customHeight="1">
      <x:c r="A290" s="419" t="n">
        <x:f>90</x:f>
        <x:v>90</x:v>
      </x:c>
      <x:c r="B290" s="414" t="n">
        <x:v>0</x:v>
      </x:c>
      <x:c r="C290" s="412" t="n">
        <x:f>IF(AND(ISNUMBER($H$17),ISNUMBER($J$73),$J$73&gt;-1,$J$73&lt;=5),$H$17*(1+$J$73)^(90-1),"")</x:f>
        <x:v>2558950.000627208</x:v>
      </x:c>
      <x:c r="D290" s="412" t="n">
        <x:f>IF(AND(ISNUMBER($H$18),ISNUMBER($J$74),$J$74&gt;-1,$J$74&lt;=5),$H$18*(1+$J$74)^(90-1),"")</x:f>
        <x:v>416518.45950276003</x:v>
      </x:c>
      <x:c r="E290" s="412" t="n">
        <x:f>IF(AND(ISNUMBER($H$22),ISNUMBER($J$74),$J$74&gt;-1,$J$74&lt;=5),$H$22*(1+$J$74)^(90-1),"")</x:f>
        <x:v>0</x:v>
      </x:c>
      <x:c r="F290" s="412" t="n">
        <x:f>IF(AND(ISNUMBER(C290),ISNUMBER(D290)),C290-D290,"")</x:f>
        <x:v>2142431.541124448</x:v>
      </x:c>
      <x:c r="G290" s="412" t="n">
        <x:f>IF(AND(ISNUMBER(F290),ISNUMBER(E290)),F290-E290,"")</x:f>
        <x:v>2142431.541124448</x:v>
      </x:c>
      <x:c r="H290" s="412" t="n">
        <x:f>IF(COUNT(M1469:M1480)=12,SUM(M1469:M1480),"")</x:f>
        <x:v>0</x:v>
      </x:c>
      <x:c r="I290" s="412" t="n">
        <x:f>SUM(E1469:E1480)</x:f>
        <x:v>0</x:v>
      </x:c>
      <x:c r="J290" s="412" t="n">
        <x:f>SUM(F1469:F1480)</x:f>
        <x:v>0</x:v>
      </x:c>
      <x:c r="K290" s="412" t="n">
        <x:f>SUM(G1469:G1480)</x:f>
        <x:v>0</x:v>
      </x:c>
      <x:c r="L290" s="412" t="n">
        <x:f>IF(AND(ISNUMBER(G290),ISNUMBER(H290),ISNUMBER(J290),ISNUMBER(K290)),G290-H290-B290-J290-K290,"")</x:f>
        <x:v>2142431.541124448</x:v>
      </x:c>
      <x:c r="M290" s="412" t="n">
        <x:f>IF(ISNUMBER(N1480),N1480,"")</x:f>
        <x:v>0</x:v>
      </x:c>
      <x:c r="N290" s="412" t="n">
        <x:f>IF(ISNUMBER($J$77),IF(AND($J$77&gt;0,$J$77&lt;=1,ISNUMBER($H$17),ISNUMBER($H$18),ISNUMBER($J$73),$J$73&gt;-1,$J$73&lt;=5,ISNUMBER($J$74),$J$74&gt;-1,$J$74&lt;=5),($H$17*(1+$J$73)^90-$H$18*(1+$J$74)^90)/$J$77,""),IF(AND($J$77="",ISNUMBER($B$15),$B$15&gt;0,ISNUMBER($J$72),$J$72&gt;-1,$J$72&lt;=5),$B$15*(1+$J$72)^90,""))</x:f>
        <x:v>32413366.674611308</x:v>
      </x:c>
      <x:c r="O290" s="412" t="n">
        <x:f>IF(AND(ISNUMBER(N290),ISNUMBER(M290)),N290*(1-$J$75)-M290,"")</x:f>
        <x:v>32413366.674611308</x:v>
      </x:c>
      <x:c r="P290" s="412" t="n">
        <x:f>IF(AND(ISNUMBER(P289),ISNUMBER(L290)),P289+L290,"")</x:f>
        <x:v>49597630.64634607</x:v>
      </x:c>
      <x:c r="Q290" s="412" t="n">
        <x:f>IF(AND(ISNUMBER(Q289),ISNUMBER(L290)),Q289+MAX(0,-L290),"")</x:f>
        <x:v>208898.25271554862</x:v>
      </x:c>
      <x:c r="R290" s="412" t="n">
        <x:f>IF(AND(ISNUMBER(R289),ISNUMBER(L290)),R289+MAX(0,L290),"")</x:f>
        <x:v>49616528.89906162</x:v>
      </x:c>
      <x:c r="S290" s="412" t="n">
        <x:f>IF(AND(ISNUMBER(Q289),ISNUMBER(L290),ISNUMBER(O290)),Q289+MAX(0,-(L290+O290)),"")</x:f>
        <x:v>208898.25271554862</x:v>
      </x:c>
      <x:c r="T290" s="412" t="n">
        <x:f>IF(AND(ISNUMBER(R289),ISNUMBER(L290),ISNUMBER(O290)),R289+MAX(0,L290+O290),"")</x:f>
        <x:v>82029895.57367292</x:v>
      </x:c>
      <x:c r="U290" s="412" t="n">
        <x:f>IF(AND(ISNUMBER(O290),ISNUMBER(P290),ISNUMBER($E$18)),O290+P290-$E$18,"")</x:f>
        <x:v>81820997.32095738</x:v>
      </x:c>
      <x:c r="V290" s="416" t="n">
        <x:f>IF(AND(S290&gt;0,ISNUMBER(U290)),U290/S290,"")</x:f>
        <x:v>391.678706055866</x:v>
      </x:c>
      <x:c r="W290" s="418" t="n">
        <x:f>IF(AND(S290&gt;0,ISNUMBER(T290)),T290/S290,"")</x:f>
        <x:v>392.678706055866</x:v>
      </x:c>
      <x:c r="X290" s="412" t="n">
        <x:f>IF($B$136="No",0,IF(AND(ISNUMBER(L290),OR(90&lt;&gt;$B$134,ISNUMBER(O290))),MAX(0,-(L290+IF(90=$B$134,O290,0))),0))</x:f>
        <x:v>0</x:v>
      </x:c>
      <x:c r="Y290" s="412" t="n">
        <x:f>IF(AND(ISNUMBER(Y289),ISNUMBER($D$138),$D$138&gt;=-1),Y289+Y289*$D$138-0+X290,"")</x:f>
        <x:v>210289350.21299595</x:v>
      </x:c>
      <x:c r="Z290" s="412" t="n">
        <x:f>IF(AND(ISNUMBER(Y289),ISNUMBER($D$138),$D$138&gt;=-1),Z289+0,"")</x:f>
        <x:v>0</x:v>
      </x:c>
      <x:c r="AA290" s="412" t="n">
        <x:f>IF(ISNUMBER(AA289),AA289+X290,"")</x:f>
        <x:v>208898.25271554862</x:v>
      </x:c>
      <x:c r="AB290" s="412" t="n">
        <x:f>IF(AND(ISNUMBER(Y290),ISNUMBER(Z290),ISNUMBER(AA290)),Y290+Z290-AA290,"")</x:f>
        <x:v>210080451.9602804</x:v>
      </x:c>
      <x:c r="AC290" s="416" t="n">
        <x:f>IF(AND(AA290&gt;0,ISNUMBER(AB290)),AB290/AA290,"")</x:f>
        <x:v>1005.6592107849822</x:v>
      </x:c>
      <x:c r="AD290" s="412" t="n">
        <x:f>IF(AND(ISNUMBER(AD289),ISNUMBER($G$138),$G$138&gt;=0),AD289+AD289*$G$138-IF(AND($J$134="Cash payout",$G$138&gt;=0),AD289*$G$138,0)+X290,"")</x:f>
        <x:v>16731693.983279103</x:v>
      </x:c>
      <x:c r="AE290" s="412" t="n">
        <x:f>IF(AND(ISNUMBER(AD289),ISNUMBER($G$138),$G$138&gt;=0),AE289+IF(AND($J$134="Cash payout",$G$138&gt;=0),AD289*$G$138,0),"")</x:f>
        <x:v>0</x:v>
      </x:c>
      <x:c r="AF290" s="412" t="n">
        <x:f>IF(ISNUMBER(AF289),AF289+X290,"")</x:f>
        <x:v>208898.25271554862</x:v>
      </x:c>
      <x:c r="AG290" s="412" t="n">
        <x:f>IF(AND(ISNUMBER(AD290),ISNUMBER(AE290),ISNUMBER(AF290)),AD290+AE290-AF290,"")</x:f>
        <x:v>16522795.730563555</x:v>
      </x:c>
      <x:c r="AH290" s="416" t="n">
        <x:f>IF(AND(AF290&gt;0,ISNUMBER(AG290)),AG290/AF290,"")</x:f>
        <x:v>79.09494462388932</x:v>
      </x:c>
      <x:c r="AI290" s="412" t="n">
        <x:f>IF(AND(ISNUMBER(AI289),ISNUMBER($J$138),$J$138&gt;=-1),AI289+AI289*$J$138-IF(AND($J$134="Cash payout",$J$138&gt;=0),AI289*$J$138,0)+X290,"")</x:f>
        <x:v>16731693.983279103</x:v>
      </x:c>
      <x:c r="AJ290" s="412" t="n">
        <x:f>IF(AND(ISNUMBER(AI289),ISNUMBER($J$138),$J$138&gt;=-1),AJ289+IF(AND($J$134="Cash payout",$J$138&gt;=0),AI289*$J$138,0),"")</x:f>
        <x:v>0</x:v>
      </x:c>
      <x:c r="AK290" s="412" t="n">
        <x:f>IF(ISNUMBER(AK289),AK289+X290,"")</x:f>
        <x:v>208898.25271554862</x:v>
      </x:c>
      <x:c r="AL290" s="412" t="n">
        <x:f>IF(AND(ISNUMBER(AI290),ISNUMBER(AJ290),ISNUMBER(AK290)),AI290+AJ290-AK290,"")</x:f>
        <x:v>16522795.730563555</x:v>
      </x:c>
      <x:c r="AM290" s="416" t="n">
        <x:f>IF(AND(AK290&gt;0,ISNUMBER(AL290)),AL290/AK290,"")</x:f>
        <x:v>79.09494462388932</x:v>
      </x:c>
    </x:row>
    <x:row r="291" ht="24" customHeight="1">
      <x:c r="A291" s="419" t="n">
        <x:f>91</x:f>
        <x:v>91</x:v>
      </x:c>
      <x:c r="B291" s="414" t="n">
        <x:v>0</x:v>
      </x:c>
      <x:c r="C291" s="412" t="n">
        <x:f>IF(AND(ISNUMBER($H$17),ISNUMBER($J$73),$J$73&gt;-1,$J$73&lt;=5),$H$17*(1+$J$73)^(91-1),"")</x:f>
        <x:v>2661308.000652297</x:v>
      </x:c>
      <x:c r="D291" s="412" t="n">
        <x:f>IF(AND(ISNUMBER($H$18),ISNUMBER($J$74),$J$74&gt;-1,$J$74&lt;=5),$H$18*(1+$J$74)^(91-1),"")</x:f>
        <x:v>429014.01328784286</x:v>
      </x:c>
      <x:c r="E291" s="412" t="n">
        <x:f>IF(AND(ISNUMBER($H$22),ISNUMBER($J$74),$J$74&gt;-1,$J$74&lt;=5),$H$22*(1+$J$74)^(91-1),"")</x:f>
        <x:v>0</x:v>
      </x:c>
      <x:c r="F291" s="412" t="n">
        <x:f>IF(AND(ISNUMBER(C291),ISNUMBER(D291)),C291-D291,"")</x:f>
        <x:v>2232293.987364454</x:v>
      </x:c>
      <x:c r="G291" s="412" t="n">
        <x:f>IF(AND(ISNUMBER(F291),ISNUMBER(E291)),F291-E291,"")</x:f>
        <x:v>2232293.987364454</x:v>
      </x:c>
      <x:c r="H291" s="412" t="n">
        <x:f>IF(COUNT(M1481:M1492)=12,SUM(M1481:M1492),"")</x:f>
        <x:v>0</x:v>
      </x:c>
      <x:c r="I291" s="412" t="n">
        <x:f>SUM(E1481:E1492)</x:f>
        <x:v>0</x:v>
      </x:c>
      <x:c r="J291" s="412" t="n">
        <x:f>SUM(F1481:F1492)</x:f>
        <x:v>0</x:v>
      </x:c>
      <x:c r="K291" s="412" t="n">
        <x:f>SUM(G1481:G1492)</x:f>
        <x:v>0</x:v>
      </x:c>
      <x:c r="L291" s="412" t="n">
        <x:f>IF(AND(ISNUMBER(G291),ISNUMBER(H291),ISNUMBER(J291),ISNUMBER(K291)),G291-H291-B291-J291-K291,"")</x:f>
        <x:v>2232293.987364454</x:v>
      </x:c>
      <x:c r="M291" s="412" t="n">
        <x:f>IF(ISNUMBER(N1492),N1492,"")</x:f>
        <x:v>0</x:v>
      </x:c>
      <x:c r="N291" s="412" t="n">
        <x:f>IF(ISNUMBER($J$77),IF(AND($J$77&gt;0,$J$77&lt;=1,ISNUMBER($H$17),ISNUMBER($H$18),ISNUMBER($J$73),$J$73&gt;-1,$J$73&lt;=5,ISNUMBER($J$74),$J$74&gt;-1,$J$74&lt;=5),($H$17*(1+$J$73)^91-$H$18*(1+$J$74)^91)/$J$77,""),IF(AND($J$77="",ISNUMBER($B$15),$B$15&gt;0,ISNUMBER($J$72),$J$72&gt;-1,$J$72&lt;=5),$B$15*(1+$J$72)^91,""))</x:f>
        <x:v>33709901.341595754</x:v>
      </x:c>
      <x:c r="O291" s="412" t="n">
        <x:f>IF(AND(ISNUMBER(N291),ISNUMBER(M291)),N291*(1-$J$75)-M291,"")</x:f>
        <x:v>33709901.341595754</x:v>
      </x:c>
      <x:c r="P291" s="412" t="n">
        <x:f>IF(AND(ISNUMBER(P290),ISNUMBER(L291)),P290+L291,"")</x:f>
        <x:v>51829924.633710526</x:v>
      </x:c>
      <x:c r="Q291" s="412" t="n">
        <x:f>IF(AND(ISNUMBER(Q290),ISNUMBER(L291)),Q290+MAX(0,-L291),"")</x:f>
        <x:v>208898.25271554862</x:v>
      </x:c>
      <x:c r="R291" s="412" t="n">
        <x:f>IF(AND(ISNUMBER(R290),ISNUMBER(L291)),R290+MAX(0,L291),"")</x:f>
        <x:v>51848822.88642608</x:v>
      </x:c>
      <x:c r="S291" s="412" t="n">
        <x:f>IF(AND(ISNUMBER(Q290),ISNUMBER(L291),ISNUMBER(O291)),Q290+MAX(0,-(L291+O291)),"")</x:f>
        <x:v>208898.25271554862</x:v>
      </x:c>
      <x:c r="T291" s="412" t="n">
        <x:f>IF(AND(ISNUMBER(R290),ISNUMBER(L291),ISNUMBER(O291)),R290+MAX(0,L291+O291),"")</x:f>
        <x:v>85558724.22802183</x:v>
      </x:c>
      <x:c r="U291" s="412" t="n">
        <x:f>IF(AND(ISNUMBER(O291),ISNUMBER(P291),ISNUMBER($E$18)),O291+P291-$E$18,"")</x:f>
        <x:v>85349825.97530627</x:v>
      </x:c>
      <x:c r="V291" s="416" t="n">
        <x:f>IF(AND(S291&gt;0,ISNUMBER(U291)),U291/S291,"")</x:f>
        <x:v>408.57127747987886</x:v>
      </x:c>
      <x:c r="W291" s="418" t="n">
        <x:f>IF(AND(S291&gt;0,ISNUMBER(T291)),T291/S291,"")</x:f>
        <x:v>409.5712774798789</x:v>
      </x:c>
      <x:c r="X291" s="412" t="n">
        <x:f>IF($B$136="No",0,IF(AND(ISNUMBER(L291),OR(91&lt;&gt;$B$134,ISNUMBER(O291))),MAX(0,-(L291+IF(91=$B$134,O291,0))),0))</x:f>
        <x:v>0</x:v>
      </x:c>
      <x:c r="Y291" s="412" t="n">
        <x:f>IF(AND(ISNUMBER(Y290),ISNUMBER($D$138),$D$138&gt;=-1),Y290+Y290*$D$138-0+X291,"")</x:f>
        <x:v>227112498.23003563</x:v>
      </x:c>
      <x:c r="Z291" s="412" t="n">
        <x:f>IF(AND(ISNUMBER(Y290),ISNUMBER($D$138),$D$138&gt;=-1),Z290+0,"")</x:f>
        <x:v>0</x:v>
      </x:c>
      <x:c r="AA291" s="412" t="n">
        <x:f>IF(ISNUMBER(AA290),AA290+X291,"")</x:f>
        <x:v>208898.25271554862</x:v>
      </x:c>
      <x:c r="AB291" s="412" t="n">
        <x:f>IF(AND(ISNUMBER(Y291),ISNUMBER(Z291),ISNUMBER(AA291)),Y291+Z291-AA291,"")</x:f>
        <x:v>226903599.97732008</x:v>
      </x:c>
      <x:c r="AC291" s="416" t="n">
        <x:f>IF(AND(AA291&gt;0,ISNUMBER(AB291)),AB291/AA291,"")</x:f>
        <x:v>1086.1919476477808</x:v>
      </x:c>
      <x:c r="AD291" s="412" t="n">
        <x:f>IF(AND(ISNUMBER(AD290),ISNUMBER($G$138),$G$138&gt;=0),AD290+AD290*$G$138-IF(AND($J$134="Cash payout",$G$138&gt;=0),AD290*$G$138,0)+X291,"")</x:f>
        <x:v>17568278.68244306</x:v>
      </x:c>
      <x:c r="AE291" s="412" t="n">
        <x:f>IF(AND(ISNUMBER(AD290),ISNUMBER($G$138),$G$138&gt;=0),AE290+IF(AND($J$134="Cash payout",$G$138&gt;=0),AD290*$G$138,0),"")</x:f>
        <x:v>0</x:v>
      </x:c>
      <x:c r="AF291" s="412" t="n">
        <x:f>IF(ISNUMBER(AF290),AF290+X291,"")</x:f>
        <x:v>208898.25271554862</x:v>
      </x:c>
      <x:c r="AG291" s="412" t="n">
        <x:f>IF(AND(ISNUMBER(AD291),ISNUMBER(AE291),ISNUMBER(AF291)),AD291+AE291-AF291,"")</x:f>
        <x:v>17359380.42972751</x:v>
      </x:c>
      <x:c r="AH291" s="416" t="n">
        <x:f>IF(AND(AF291&gt;0,ISNUMBER(AG291)),AG291/AF291,"")</x:f>
        <x:v>83.09969185508379</x:v>
      </x:c>
      <x:c r="AI291" s="412" t="n">
        <x:f>IF(AND(ISNUMBER(AI290),ISNUMBER($J$138),$J$138&gt;=-1),AI290+AI290*$J$138-IF(AND($J$134="Cash payout",$J$138&gt;=0),AI290*$J$138,0)+X291,"")</x:f>
        <x:v>17568278.68244306</x:v>
      </x:c>
      <x:c r="AJ291" s="412" t="n">
        <x:f>IF(AND(ISNUMBER(AI290),ISNUMBER($J$138),$J$138&gt;=-1),AJ290+IF(AND($J$134="Cash payout",$J$138&gt;=0),AI290*$J$138,0),"")</x:f>
        <x:v>0</x:v>
      </x:c>
      <x:c r="AK291" s="412" t="n">
        <x:f>IF(ISNUMBER(AK290),AK290+X291,"")</x:f>
        <x:v>208898.25271554862</x:v>
      </x:c>
      <x:c r="AL291" s="412" t="n">
        <x:f>IF(AND(ISNUMBER(AI291),ISNUMBER(AJ291),ISNUMBER(AK291)),AI291+AJ291-AK291,"")</x:f>
        <x:v>17359380.42972751</x:v>
      </x:c>
      <x:c r="AM291" s="416" t="n">
        <x:f>IF(AND(AK291&gt;0,ISNUMBER(AL291)),AL291/AK291,"")</x:f>
        <x:v>83.09969185508379</x:v>
      </x:c>
    </x:row>
    <x:row r="292" ht="24" customHeight="1">
      <x:c r="A292" s="419" t="n">
        <x:f>92</x:f>
        <x:v>92</x:v>
      </x:c>
      <x:c r="B292" s="414" t="n">
        <x:v>0</x:v>
      </x:c>
      <x:c r="C292" s="412" t="n">
        <x:f>IF(AND(ISNUMBER($H$17),ISNUMBER($J$73),$J$73&gt;-1,$J$73&lt;=5),$H$17*(1+$J$73)^(92-1),"")</x:f>
        <x:v>2767760.3206783882</x:v>
      </x:c>
      <x:c r="D292" s="412" t="n">
        <x:f>IF(AND(ISNUMBER($H$18),ISNUMBER($J$74),$J$74&gt;-1,$J$74&lt;=5),$H$18*(1+$J$74)^(92-1),"")</x:f>
        <x:v>441884.4336864782</x:v>
      </x:c>
      <x:c r="E292" s="412" t="n">
        <x:f>IF(AND(ISNUMBER($H$22),ISNUMBER($J$74),$J$74&gt;-1,$J$74&lt;=5),$H$22*(1+$J$74)^(92-1),"")</x:f>
        <x:v>0</x:v>
      </x:c>
      <x:c r="F292" s="412" t="n">
        <x:f>IF(AND(ISNUMBER(C292),ISNUMBER(D292)),C292-D292,"")</x:f>
        <x:v>2325875.88699191</x:v>
      </x:c>
      <x:c r="G292" s="412" t="n">
        <x:f>IF(AND(ISNUMBER(F292),ISNUMBER(E292)),F292-E292,"")</x:f>
        <x:v>2325875.88699191</x:v>
      </x:c>
      <x:c r="H292" s="412" t="n">
        <x:f>IF(COUNT(M1493:M1504)=12,SUM(M1493:M1504),"")</x:f>
        <x:v>0</x:v>
      </x:c>
      <x:c r="I292" s="412" t="n">
        <x:f>SUM(E1493:E1504)</x:f>
        <x:v>0</x:v>
      </x:c>
      <x:c r="J292" s="412" t="n">
        <x:f>SUM(F1493:F1504)</x:f>
        <x:v>0</x:v>
      </x:c>
      <x:c r="K292" s="412" t="n">
        <x:f>SUM(G1493:G1504)</x:f>
        <x:v>0</x:v>
      </x:c>
      <x:c r="L292" s="412" t="n">
        <x:f>IF(AND(ISNUMBER(G292),ISNUMBER(H292),ISNUMBER(J292),ISNUMBER(K292)),G292-H292-B292-J292-K292,"")</x:f>
        <x:v>2325875.88699191</x:v>
      </x:c>
      <x:c r="M292" s="412" t="n">
        <x:f>IF(ISNUMBER(N1504),N1504,"")</x:f>
        <x:v>0</x:v>
      </x:c>
      <x:c r="N292" s="412" t="n">
        <x:f>IF(ISNUMBER($J$77),IF(AND($J$77&gt;0,$J$77&lt;=1,ISNUMBER($H$17),ISNUMBER($H$18),ISNUMBER($J$73),$J$73&gt;-1,$J$73&lt;=5,ISNUMBER($J$74),$J$74&gt;-1,$J$74&lt;=5),($H$17*(1+$J$73)^92-$H$18*(1+$J$74)^92)/$J$77,""),IF(AND($J$77="",ISNUMBER($B$15),$B$15&gt;0,ISNUMBER($J$72),$J$72&gt;-1,$J$72&lt;=5),$B$15*(1+$J$72)^92,""))</x:f>
        <x:v>35058297.39525959</x:v>
      </x:c>
      <x:c r="O292" s="412" t="n">
        <x:f>IF(AND(ISNUMBER(N292),ISNUMBER(M292)),N292*(1-$J$75)-M292,"")</x:f>
        <x:v>35058297.39525959</x:v>
      </x:c>
      <x:c r="P292" s="412" t="n">
        <x:f>IF(AND(ISNUMBER(P291),ISNUMBER(L292)),P291+L292,"")</x:f>
        <x:v>54155800.52070244</x:v>
      </x:c>
      <x:c r="Q292" s="412" t="n">
        <x:f>IF(AND(ISNUMBER(Q291),ISNUMBER(L292)),Q291+MAX(0,-L292),"")</x:f>
        <x:v>208898.25271554862</x:v>
      </x:c>
      <x:c r="R292" s="412" t="n">
        <x:f>IF(AND(ISNUMBER(R291),ISNUMBER(L292)),R291+MAX(0,L292),"")</x:f>
        <x:v>54174698.77341799</x:v>
      </x:c>
      <x:c r="S292" s="412" t="n">
        <x:f>IF(AND(ISNUMBER(Q291),ISNUMBER(L292),ISNUMBER(O292)),Q291+MAX(0,-(L292+O292)),"")</x:f>
        <x:v>208898.25271554862</x:v>
      </x:c>
      <x:c r="T292" s="412" t="n">
        <x:f>IF(AND(ISNUMBER(R291),ISNUMBER(L292),ISNUMBER(O292)),R291+MAX(0,L292+O292),"")</x:f>
        <x:v>89232996.16867757</x:v>
      </x:c>
      <x:c r="U292" s="412" t="n">
        <x:f>IF(AND(ISNUMBER(O292),ISNUMBER(P292),ISNUMBER($E$18)),O292+P292-$E$18,"")</x:f>
        <x:v>89024097.91596203</x:v>
      </x:c>
      <x:c r="V292" s="416" t="n">
        <x:f>IF(AND(S292&gt;0,ISNUMBER(U292)),U292/S292,"")</x:f>
        <x:v>426.1600887451359</x:v>
      </x:c>
      <x:c r="W292" s="418" t="n">
        <x:f>IF(AND(S292&gt;0,ISNUMBER(T292)),T292/S292,"")</x:f>
        <x:v>427.16008874513585</x:v>
      </x:c>
      <x:c r="X292" s="412" t="n">
        <x:f>IF($B$136="No",0,IF(AND(ISNUMBER(L292),OR(92&lt;&gt;$B$134,ISNUMBER(O292))),MAX(0,-(L292+IF(92=$B$134,O292,0))),0))</x:f>
        <x:v>0</x:v>
      </x:c>
      <x:c r="Y292" s="412" t="n">
        <x:f>IF(AND(ISNUMBER(Y291),ISNUMBER($D$138),$D$138&gt;=-1),Y291+Y291*$D$138-0+X292,"")</x:f>
        <x:v>245281498.08843848</x:v>
      </x:c>
      <x:c r="Z292" s="412" t="n">
        <x:f>IF(AND(ISNUMBER(Y291),ISNUMBER($D$138),$D$138&gt;=-1),Z291+0,"")</x:f>
        <x:v>0</x:v>
      </x:c>
      <x:c r="AA292" s="412" t="n">
        <x:f>IF(ISNUMBER(AA291),AA291+X292,"")</x:f>
        <x:v>208898.25271554862</x:v>
      </x:c>
      <x:c r="AB292" s="412" t="n">
        <x:f>IF(AND(ISNUMBER(Y292),ISNUMBER(Z292),ISNUMBER(AA292)),Y292+Z292-AA292,"")</x:f>
        <x:v>245072599.83572292</x:v>
      </x:c>
      <x:c r="AC292" s="416" t="n">
        <x:f>IF(AND(AA292&gt;0,ISNUMBER(AB292)),AB292/AA292,"")</x:f>
        <x:v>1173.1673034596033</x:v>
      </x:c>
      <x:c r="AD292" s="412" t="n">
        <x:f>IF(AND(ISNUMBER(AD291),ISNUMBER($G$138),$G$138&gt;=0),AD291+AD291*$G$138-IF(AND($J$134="Cash payout",$G$138&gt;=0),AD291*$G$138,0)+X292,"")</x:f>
        <x:v>18446692.616565213</x:v>
      </x:c>
      <x:c r="AE292" s="412" t="n">
        <x:f>IF(AND(ISNUMBER(AD291),ISNUMBER($G$138),$G$138&gt;=0),AE291+IF(AND($J$134="Cash payout",$G$138&gt;=0),AD291*$G$138,0),"")</x:f>
        <x:v>0</x:v>
      </x:c>
      <x:c r="AF292" s="412" t="n">
        <x:f>IF(ISNUMBER(AF291),AF291+X292,"")</x:f>
        <x:v>208898.25271554862</x:v>
      </x:c>
      <x:c r="AG292" s="412" t="n">
        <x:f>IF(AND(ISNUMBER(AD292),ISNUMBER(AE292),ISNUMBER(AF292)),AD292+AE292-AF292,"")</x:f>
        <x:v>18237794.363849662</x:v>
      </x:c>
      <x:c r="AH292" s="416" t="n">
        <x:f>IF(AND(AF292&gt;0,ISNUMBER(AG292)),AG292/AF292,"")</x:f>
        <x:v>87.30467644783798</x:v>
      </x:c>
      <x:c r="AI292" s="412" t="n">
        <x:f>IF(AND(ISNUMBER(AI291),ISNUMBER($J$138),$J$138&gt;=-1),AI291+AI291*$J$138-IF(AND($J$134="Cash payout",$J$138&gt;=0),AI291*$J$138,0)+X292,"")</x:f>
        <x:v>18446692.616565213</x:v>
      </x:c>
      <x:c r="AJ292" s="412" t="n">
        <x:f>IF(AND(ISNUMBER(AI291),ISNUMBER($J$138),$J$138&gt;=-1),AJ291+IF(AND($J$134="Cash payout",$J$138&gt;=0),AI291*$J$138,0),"")</x:f>
        <x:v>0</x:v>
      </x:c>
      <x:c r="AK292" s="412" t="n">
        <x:f>IF(ISNUMBER(AK291),AK291+X292,"")</x:f>
        <x:v>208898.25271554862</x:v>
      </x:c>
      <x:c r="AL292" s="412" t="n">
        <x:f>IF(AND(ISNUMBER(AI292),ISNUMBER(AJ292),ISNUMBER(AK292)),AI292+AJ292-AK292,"")</x:f>
        <x:v>18237794.363849662</x:v>
      </x:c>
      <x:c r="AM292" s="416" t="n">
        <x:f>IF(AND(AK292&gt;0,ISNUMBER(AL292)),AL292/AK292,"")</x:f>
        <x:v>87.30467644783798</x:v>
      </x:c>
    </x:row>
    <x:row r="293" ht="24" customHeight="1">
      <x:c r="A293" s="419" t="n">
        <x:f>93</x:f>
        <x:v>93</x:v>
      </x:c>
      <x:c r="B293" s="414" t="n">
        <x:v>0</x:v>
      </x:c>
      <x:c r="C293" s="412" t="n">
        <x:f>IF(AND(ISNUMBER($H$17),ISNUMBER($J$73),$J$73&gt;-1,$J$73&lt;=5),$H$17*(1+$J$73)^(93-1),"")</x:f>
        <x:v>2878470.7335055238</x:v>
      </x:c>
      <x:c r="D293" s="412" t="n">
        <x:f>IF(AND(ISNUMBER($H$18),ISNUMBER($J$74),$J$74&gt;-1,$J$74&lt;=5),$H$18*(1+$J$74)^(93-1),"")</x:f>
        <x:v>455140.9666970725</x:v>
      </x:c>
      <x:c r="E293" s="412" t="n">
        <x:f>IF(AND(ISNUMBER($H$22),ISNUMBER($J$74),$J$74&gt;-1,$J$74&lt;=5),$H$22*(1+$J$74)^(93-1),"")</x:f>
        <x:v>0</x:v>
      </x:c>
      <x:c r="F293" s="412" t="n">
        <x:f>IF(AND(ISNUMBER(C293),ISNUMBER(D293)),C293-D293,"")</x:f>
        <x:v>2423329.766808451</x:v>
      </x:c>
      <x:c r="G293" s="412" t="n">
        <x:f>IF(AND(ISNUMBER(F293),ISNUMBER(E293)),F293-E293,"")</x:f>
        <x:v>2423329.766808451</x:v>
      </x:c>
      <x:c r="H293" s="412" t="n">
        <x:f>IF(COUNT(M1505:M1516)=12,SUM(M1505:M1516),"")</x:f>
        <x:v>0</x:v>
      </x:c>
      <x:c r="I293" s="412" t="n">
        <x:f>SUM(E1505:E1516)</x:f>
        <x:v>0</x:v>
      </x:c>
      <x:c r="J293" s="412" t="n">
        <x:f>SUM(F1505:F1516)</x:f>
        <x:v>0</x:v>
      </x:c>
      <x:c r="K293" s="412" t="n">
        <x:f>SUM(G1505:G1516)</x:f>
        <x:v>0</x:v>
      </x:c>
      <x:c r="L293" s="412" t="n">
        <x:f>IF(AND(ISNUMBER(G293),ISNUMBER(H293),ISNUMBER(J293),ISNUMBER(K293)),G293-H293-B293-J293-K293,"")</x:f>
        <x:v>2423329.766808451</x:v>
      </x:c>
      <x:c r="M293" s="412" t="n">
        <x:f>IF(ISNUMBER(N1516),N1516,"")</x:f>
        <x:v>0</x:v>
      </x:c>
      <x:c r="N293" s="412" t="n">
        <x:f>IF(ISNUMBER($J$77),IF(AND($J$77&gt;0,$J$77&lt;=1,ISNUMBER($H$17),ISNUMBER($H$18),ISNUMBER($J$73),$J$73&gt;-1,$J$73&lt;=5,ISNUMBER($J$74),$J$74&gt;-1,$J$74&lt;=5),($H$17*(1+$J$73)^93-$H$18*(1+$J$74)^93)/$J$77,""),IF(AND($J$77="",ISNUMBER($B$15),$B$15&gt;0,ISNUMBER($J$72),$J$72&gt;-1,$J$72&lt;=5),$B$15*(1+$J$72)^93,""))</x:f>
        <x:v>36460629.29106998</x:v>
      </x:c>
      <x:c r="O293" s="412" t="n">
        <x:f>IF(AND(ISNUMBER(N293),ISNUMBER(M293)),N293*(1-$J$75)-M293,"")</x:f>
        <x:v>36460629.29106998</x:v>
      </x:c>
      <x:c r="P293" s="412" t="n">
        <x:f>IF(AND(ISNUMBER(P292),ISNUMBER(L293)),P292+L293,"")</x:f>
        <x:v>56579130.28751089</x:v>
      </x:c>
      <x:c r="Q293" s="412" t="n">
        <x:f>IF(AND(ISNUMBER(Q292),ISNUMBER(L293)),Q292+MAX(0,-L293),"")</x:f>
        <x:v>208898.25271554862</x:v>
      </x:c>
      <x:c r="R293" s="412" t="n">
        <x:f>IF(AND(ISNUMBER(R292),ISNUMBER(L293)),R292+MAX(0,L293),"")</x:f>
        <x:v>56598028.54022644</x:v>
      </x:c>
      <x:c r="S293" s="412" t="n">
        <x:f>IF(AND(ISNUMBER(Q292),ISNUMBER(L293),ISNUMBER(O293)),Q292+MAX(0,-(L293+O293)),"")</x:f>
        <x:v>208898.25271554862</x:v>
      </x:c>
      <x:c r="T293" s="412" t="n">
        <x:f>IF(AND(ISNUMBER(R292),ISNUMBER(L293),ISNUMBER(O293)),R292+MAX(0,L293+O293),"")</x:f>
        <x:v>93058657.83129641</x:v>
      </x:c>
      <x:c r="U293" s="412" t="n">
        <x:f>IF(AND(ISNUMBER(O293),ISNUMBER(P293),ISNUMBER($E$18)),O293+P293-$E$18,"")</x:f>
        <x:v>92849759.57858086</x:v>
      </x:c>
      <x:c r="V293" s="416" t="n">
        <x:f>IF(AND(S293&gt;0,ISNUMBER(U293)),U293/S293,"")</x:f>
        <x:v>444.4736055548152</x:v>
      </x:c>
      <x:c r="W293" s="418" t="n">
        <x:f>IF(AND(S293&gt;0,ISNUMBER(T293)),T293/S293,"")</x:f>
        <x:v>445.4736055548152</x:v>
      </x:c>
      <x:c r="X293" s="412" t="n">
        <x:f>IF($B$136="No",0,IF(AND(ISNUMBER(L293),OR(93&lt;&gt;$B$134,ISNUMBER(O293))),MAX(0,-(L293+IF(93=$B$134,O293,0))),0))</x:f>
        <x:v>0</x:v>
      </x:c>
      <x:c r="Y293" s="412" t="n">
        <x:f>IF(AND(ISNUMBER(Y292),ISNUMBER($D$138),$D$138&gt;=-1),Y292+Y292*$D$138-0+X293,"")</x:f>
        <x:v>264904017.93551356</x:v>
      </x:c>
      <x:c r="Z293" s="412" t="n">
        <x:f>IF(AND(ISNUMBER(Y292),ISNUMBER($D$138),$D$138&gt;=-1),Z292+0,"")</x:f>
        <x:v>0</x:v>
      </x:c>
      <x:c r="AA293" s="412" t="n">
        <x:f>IF(ISNUMBER(AA292),AA292+X293,"")</x:f>
        <x:v>208898.25271554862</x:v>
      </x:c>
      <x:c r="AB293" s="412" t="n">
        <x:f>IF(AND(ISNUMBER(Y293),ISNUMBER(Z293),ISNUMBER(AA293)),Y293+Z293-AA293,"")</x:f>
        <x:v>264695119.682798</x:v>
      </x:c>
      <x:c r="AC293" s="416" t="n">
        <x:f>IF(AND(AA293&gt;0,ISNUMBER(AB293)),AB293/AA293,"")</x:f>
        <x:v>1267.1006877363716</x:v>
      </x:c>
      <x:c r="AD293" s="412" t="n">
        <x:f>IF(AND(ISNUMBER(AD292),ISNUMBER($G$138),$G$138&gt;=0),AD292+AD292*$G$138-IF(AND($J$134="Cash payout",$G$138&gt;=0),AD292*$G$138,0)+X293,"")</x:f>
        <x:v>19369027.247393474</x:v>
      </x:c>
      <x:c r="AE293" s="412" t="n">
        <x:f>IF(AND(ISNUMBER(AD292),ISNUMBER($G$138),$G$138&gt;=0),AE292+IF(AND($J$134="Cash payout",$G$138&gt;=0),AD292*$G$138,0),"")</x:f>
        <x:v>0</x:v>
      </x:c>
      <x:c r="AF293" s="412" t="n">
        <x:f>IF(ISNUMBER(AF292),AF292+X293,"")</x:f>
        <x:v>208898.25271554862</x:v>
      </x:c>
      <x:c r="AG293" s="412" t="n">
        <x:f>IF(AND(ISNUMBER(AD293),ISNUMBER(AE293),ISNUMBER(AF293)),AD293+AE293-AF293,"")</x:f>
        <x:v>19160128.994677924</x:v>
      </x:c>
      <x:c r="AH293" s="416" t="n">
        <x:f>IF(AND(AF293&gt;0,ISNUMBER(AG293)),AG293/AF293,"")</x:f>
        <x:v>91.71991027022987</x:v>
      </x:c>
      <x:c r="AI293" s="412" t="n">
        <x:f>IF(AND(ISNUMBER(AI292),ISNUMBER($J$138),$J$138&gt;=-1),AI292+AI292*$J$138-IF(AND($J$134="Cash payout",$J$138&gt;=0),AI292*$J$138,0)+X293,"")</x:f>
        <x:v>19369027.247393474</x:v>
      </x:c>
      <x:c r="AJ293" s="412" t="n">
        <x:f>IF(AND(ISNUMBER(AI292),ISNUMBER($J$138),$J$138&gt;=-1),AJ292+IF(AND($J$134="Cash payout",$J$138&gt;=0),AI292*$J$138,0),"")</x:f>
        <x:v>0</x:v>
      </x:c>
      <x:c r="AK293" s="412" t="n">
        <x:f>IF(ISNUMBER(AK292),AK292+X293,"")</x:f>
        <x:v>208898.25271554862</x:v>
      </x:c>
      <x:c r="AL293" s="412" t="n">
        <x:f>IF(AND(ISNUMBER(AI293),ISNUMBER(AJ293),ISNUMBER(AK293)),AI293+AJ293-AK293,"")</x:f>
        <x:v>19160128.994677924</x:v>
      </x:c>
      <x:c r="AM293" s="416" t="n">
        <x:f>IF(AND(AK293&gt;0,ISNUMBER(AL293)),AL293/AK293,"")</x:f>
        <x:v>91.71991027022987</x:v>
      </x:c>
    </x:row>
    <x:row r="294" ht="24" customHeight="1">
      <x:c r="A294" s="419" t="n">
        <x:f>94</x:f>
        <x:v>94</x:v>
      </x:c>
      <x:c r="B294" s="414" t="n">
        <x:v>0</x:v>
      </x:c>
      <x:c r="C294" s="412" t="n">
        <x:f>IF(AND(ISNUMBER($H$17),ISNUMBER($J$73),$J$73&gt;-1,$J$73&lt;=5),$H$17*(1+$J$73)^(94-1),"")</x:f>
        <x:v>2993609.562845745</x:v>
      </x:c>
      <x:c r="D294" s="412" t="n">
        <x:f>IF(AND(ISNUMBER($H$18),ISNUMBER($J$74),$J$74&gt;-1,$J$74&lt;=5),$H$18*(1+$J$74)^(94-1),"")</x:f>
        <x:v>468795.1956979847</x:v>
      </x:c>
      <x:c r="E294" s="412" t="n">
        <x:f>IF(AND(ISNUMBER($H$22),ISNUMBER($J$74),$J$74&gt;-1,$J$74&lt;=5),$H$22*(1+$J$74)^(94-1),"")</x:f>
        <x:v>0</x:v>
      </x:c>
      <x:c r="F294" s="412" t="n">
        <x:f>IF(AND(ISNUMBER(C294),ISNUMBER(D294)),C294-D294,"")</x:f>
        <x:v>2524814.3671477605</x:v>
      </x:c>
      <x:c r="G294" s="412" t="n">
        <x:f>IF(AND(ISNUMBER(F294),ISNUMBER(E294)),F294-E294,"")</x:f>
        <x:v>2524814.3671477605</x:v>
      </x:c>
      <x:c r="H294" s="412" t="n">
        <x:f>IF(COUNT(M1517:M1528)=12,SUM(M1517:M1528),"")</x:f>
        <x:v>0</x:v>
      </x:c>
      <x:c r="I294" s="412" t="n">
        <x:f>SUM(E1517:E1528)</x:f>
        <x:v>0</x:v>
      </x:c>
      <x:c r="J294" s="412" t="n">
        <x:f>SUM(F1517:F1528)</x:f>
        <x:v>0</x:v>
      </x:c>
      <x:c r="K294" s="412" t="n">
        <x:f>SUM(G1517:G1528)</x:f>
        <x:v>0</x:v>
      </x:c>
      <x:c r="L294" s="412" t="n">
        <x:f>IF(AND(ISNUMBER(G294),ISNUMBER(H294),ISNUMBER(J294),ISNUMBER(K294)),G294-H294-B294-J294-K294,"")</x:f>
        <x:v>2524814.3671477605</x:v>
      </x:c>
      <x:c r="M294" s="412" t="n">
        <x:f>IF(ISNUMBER(N1528),N1528,"")</x:f>
        <x:v>0</x:v>
      </x:c>
      <x:c r="N294" s="412" t="n">
        <x:f>IF(ISNUMBER($J$77),IF(AND($J$77&gt;0,$J$77&lt;=1,ISNUMBER($H$17),ISNUMBER($H$18),ISNUMBER($J$73),$J$73&gt;-1,$J$73&lt;=5,ISNUMBER($J$74),$J$74&gt;-1,$J$74&lt;=5),($H$17*(1+$J$73)^94-$H$18*(1+$J$74)^94)/$J$77,""),IF(AND($J$77="",ISNUMBER($B$15),$B$15&gt;0,ISNUMBER($J$72),$J$72&gt;-1,$J$72&lt;=5),$B$15*(1+$J$72)^94,""))</x:f>
        <x:v>37919054.46271277</x:v>
      </x:c>
      <x:c r="O294" s="412" t="n">
        <x:f>IF(AND(ISNUMBER(N294),ISNUMBER(M294)),N294*(1-$J$75)-M294,"")</x:f>
        <x:v>37919054.46271277</x:v>
      </x:c>
      <x:c r="P294" s="412" t="n">
        <x:f>IF(AND(ISNUMBER(P293),ISNUMBER(L294)),P293+L294,"")</x:f>
        <x:v>59103944.654658645</x:v>
      </x:c>
      <x:c r="Q294" s="412" t="n">
        <x:f>IF(AND(ISNUMBER(Q293),ISNUMBER(L294)),Q293+MAX(0,-L294),"")</x:f>
        <x:v>208898.25271554862</x:v>
      </x:c>
      <x:c r="R294" s="412" t="n">
        <x:f>IF(AND(ISNUMBER(R293),ISNUMBER(L294)),R293+MAX(0,L294),"")</x:f>
        <x:v>59122842.907374196</x:v>
      </x:c>
      <x:c r="S294" s="412" t="n">
        <x:f>IF(AND(ISNUMBER(Q293),ISNUMBER(L294),ISNUMBER(O294)),Q293+MAX(0,-(L294+O294)),"")</x:f>
        <x:v>208898.25271554862</x:v>
      </x:c>
      <x:c r="T294" s="412" t="n">
        <x:f>IF(AND(ISNUMBER(R293),ISNUMBER(L294),ISNUMBER(O294)),R293+MAX(0,L294+O294),"")</x:f>
        <x:v>97041897.37008697</x:v>
      </x:c>
      <x:c r="U294" s="412" t="n">
        <x:f>IF(AND(ISNUMBER(O294),ISNUMBER(P294),ISNUMBER($E$18)),O294+P294-$E$18,"")</x:f>
        <x:v>96832999.11737141</x:v>
      </x:c>
      <x:c r="V294" s="416" t="n">
        <x:f>IF(AND(S294&gt;0,ISNUMBER(U294)),U294/S294,"")</x:f>
        <x:v>463.54145072350804</x:v>
      </x:c>
      <x:c r="W294" s="418" t="n">
        <x:f>IF(AND(S294&gt;0,ISNUMBER(T294)),T294/S294,"")</x:f>
        <x:v>464.5414507235081</x:v>
      </x:c>
      <x:c r="X294" s="412" t="n">
        <x:f>IF($B$136="No",0,IF(AND(ISNUMBER(L294),OR(94&lt;&gt;$B$134,ISNUMBER(O294))),MAX(0,-(L294+IF(94=$B$134,O294,0))),0))</x:f>
        <x:v>0</x:v>
      </x:c>
      <x:c r="Y294" s="412" t="n">
        <x:f>IF(AND(ISNUMBER(Y293),ISNUMBER($D$138),$D$138&gt;=-1),Y293+Y293*$D$138-0+X294,"")</x:f>
        <x:v>286096339.37035465</x:v>
      </x:c>
      <x:c r="Z294" s="412" t="n">
        <x:f>IF(AND(ISNUMBER(Y293),ISNUMBER($D$138),$D$138&gt;=-1),Z293+0,"")</x:f>
        <x:v>0</x:v>
      </x:c>
      <x:c r="AA294" s="412" t="n">
        <x:f>IF(ISNUMBER(AA293),AA293+X294,"")</x:f>
        <x:v>208898.25271554862</x:v>
      </x:c>
      <x:c r="AB294" s="412" t="n">
        <x:f>IF(AND(ISNUMBER(Y294),ISNUMBER(Z294),ISNUMBER(AA294)),Y294+Z294-AA294,"")</x:f>
        <x:v>285887441.1176391</x:v>
      </x:c>
      <x:c r="AC294" s="416" t="n">
        <x:f>IF(AND(AA294&gt;0,ISNUMBER(AB294)),AB294/AA294,"")</x:f>
        <x:v>1368.5487427552814</x:v>
      </x:c>
      <x:c r="AD294" s="412" t="n">
        <x:f>IF(AND(ISNUMBER(AD293),ISNUMBER($G$138),$G$138&gt;=0),AD293+AD293*$G$138-IF(AND($J$134="Cash payout",$G$138&gt;=0),AD293*$G$138,0)+X294,"")</x:f>
        <x:v>20337478.60976315</x:v>
      </x:c>
      <x:c r="AE294" s="412" t="n">
        <x:f>IF(AND(ISNUMBER(AD293),ISNUMBER($G$138),$G$138&gt;=0),AE293+IF(AND($J$134="Cash payout",$G$138&gt;=0),AD293*$G$138,0),"")</x:f>
        <x:v>0</x:v>
      </x:c>
      <x:c r="AF294" s="412" t="n">
        <x:f>IF(ISNUMBER(AF293),AF293+X294,"")</x:f>
        <x:v>208898.25271554862</x:v>
      </x:c>
      <x:c r="AG294" s="412" t="n">
        <x:f>IF(AND(ISNUMBER(AD294),ISNUMBER(AE294),ISNUMBER(AF294)),AD294+AE294-AF294,"")</x:f>
        <x:v>20128580.3570476</x:v>
      </x:c>
      <x:c r="AH294" s="416" t="n">
        <x:f>IF(AND(AF294&gt;0,ISNUMBER(AG294)),AG294/AF294,"")</x:f>
        <x:v>96.35590578374138</x:v>
      </x:c>
      <x:c r="AI294" s="412" t="n">
        <x:f>IF(AND(ISNUMBER(AI293),ISNUMBER($J$138),$J$138&gt;=-1),AI293+AI293*$J$138-IF(AND($J$134="Cash payout",$J$138&gt;=0),AI293*$J$138,0)+X294,"")</x:f>
        <x:v>20337478.60976315</x:v>
      </x:c>
      <x:c r="AJ294" s="412" t="n">
        <x:f>IF(AND(ISNUMBER(AI293),ISNUMBER($J$138),$J$138&gt;=-1),AJ293+IF(AND($J$134="Cash payout",$J$138&gt;=0),AI293*$J$138,0),"")</x:f>
        <x:v>0</x:v>
      </x:c>
      <x:c r="AK294" s="412" t="n">
        <x:f>IF(ISNUMBER(AK293),AK293+X294,"")</x:f>
        <x:v>208898.25271554862</x:v>
      </x:c>
      <x:c r="AL294" s="412" t="n">
        <x:f>IF(AND(ISNUMBER(AI294),ISNUMBER(AJ294),ISNUMBER(AK294)),AI294+AJ294-AK294,"")</x:f>
        <x:v>20128580.3570476</x:v>
      </x:c>
      <x:c r="AM294" s="416" t="n">
        <x:f>IF(AND(AK294&gt;0,ISNUMBER(AL294)),AL294/AK294,"")</x:f>
        <x:v>96.35590578374138</x:v>
      </x:c>
    </x:row>
    <x:row r="295" ht="24" customHeight="1">
      <x:c r="A295" s="419" t="n">
        <x:f>95</x:f>
        <x:v>95</x:v>
      </x:c>
      <x:c r="B295" s="414" t="n">
        <x:v>0</x:v>
      </x:c>
      <x:c r="C295" s="412" t="n">
        <x:f>IF(AND(ISNUMBER($H$17),ISNUMBER($J$73),$J$73&gt;-1,$J$73&lt;=5),$H$17*(1+$J$73)^(95-1),"")</x:f>
        <x:v>3113353.945359575</x:v>
      </x:c>
      <x:c r="D295" s="412" t="n">
        <x:f>IF(AND(ISNUMBER($H$18),ISNUMBER($J$74),$J$74&gt;-1,$J$74&lt;=5),$H$18*(1+$J$74)^(95-1),"")</x:f>
        <x:v>482859.0515689242</x:v>
      </x:c>
      <x:c r="E295" s="412" t="n">
        <x:f>IF(AND(ISNUMBER($H$22),ISNUMBER($J$74),$J$74&gt;-1,$J$74&lt;=5),$H$22*(1+$J$74)^(95-1),"")</x:f>
        <x:v>0</x:v>
      </x:c>
      <x:c r="F295" s="412" t="n">
        <x:f>IF(AND(ISNUMBER(C295),ISNUMBER(D295)),C295-D295,"")</x:f>
        <x:v>2630494.893790651</x:v>
      </x:c>
      <x:c r="G295" s="412" t="n">
        <x:f>IF(AND(ISNUMBER(F295),ISNUMBER(E295)),F295-E295,"")</x:f>
        <x:v>2630494.893790651</x:v>
      </x:c>
      <x:c r="H295" s="412" t="n">
        <x:f>IF(COUNT(M1529:M1540)=12,SUM(M1529:M1540),"")</x:f>
        <x:v>0</x:v>
      </x:c>
      <x:c r="I295" s="412" t="n">
        <x:f>SUM(E1529:E1540)</x:f>
        <x:v>0</x:v>
      </x:c>
      <x:c r="J295" s="412" t="n">
        <x:f>SUM(F1529:F1540)</x:f>
        <x:v>0</x:v>
      </x:c>
      <x:c r="K295" s="412" t="n">
        <x:f>SUM(G1529:G1540)</x:f>
        <x:v>0</x:v>
      </x:c>
      <x:c r="L295" s="412" t="n">
        <x:f>IF(AND(ISNUMBER(G295),ISNUMBER(H295),ISNUMBER(J295),ISNUMBER(K295)),G295-H295-B295-J295-K295,"")</x:f>
        <x:v>2630494.893790651</x:v>
      </x:c>
      <x:c r="M295" s="412" t="n">
        <x:f>IF(ISNUMBER(N1540),N1540,"")</x:f>
        <x:v>0</x:v>
      </x:c>
      <x:c r="N295" s="412" t="n">
        <x:f>IF(ISNUMBER($J$77),IF(AND($J$77&gt;0,$J$77&lt;=1,ISNUMBER($H$17),ISNUMBER($H$18),ISNUMBER($J$73),$J$73&gt;-1,$J$73&lt;=5,ISNUMBER($J$74),$J$74&gt;-1,$J$74&lt;=5),($H$17*(1+$J$73)^95-$H$18*(1+$J$74)^95)/$J$77,""),IF(AND($J$77="",ISNUMBER($B$15),$B$15&gt;0,ISNUMBER($J$72),$J$72&gt;-1,$J$72&lt;=5),$B$15*(1+$J$72)^95,""))</x:f>
        <x:v>39435816.641221285</x:v>
      </x:c>
      <x:c r="O295" s="412" t="n">
        <x:f>IF(AND(ISNUMBER(N295),ISNUMBER(M295)),N295*(1-$J$75)-M295,"")</x:f>
        <x:v>39435816.641221285</x:v>
      </x:c>
      <x:c r="P295" s="412" t="n">
        <x:f>IF(AND(ISNUMBER(P294),ISNUMBER(L295)),P294+L295,"")</x:f>
        <x:v>61734439.54844929</x:v>
      </x:c>
      <x:c r="Q295" s="412" t="n">
        <x:f>IF(AND(ISNUMBER(Q294),ISNUMBER(L295)),Q294+MAX(0,-L295),"")</x:f>
        <x:v>208898.25271554862</x:v>
      </x:c>
      <x:c r="R295" s="412" t="n">
        <x:f>IF(AND(ISNUMBER(R294),ISNUMBER(L295)),R294+MAX(0,L295),"")</x:f>
        <x:v>61753337.80116485</x:v>
      </x:c>
      <x:c r="S295" s="412" t="n">
        <x:f>IF(AND(ISNUMBER(Q294),ISNUMBER(L295),ISNUMBER(O295)),Q294+MAX(0,-(L295+O295)),"")</x:f>
        <x:v>208898.25271554862</x:v>
      </x:c>
      <x:c r="T295" s="412" t="n">
        <x:f>IF(AND(ISNUMBER(R294),ISNUMBER(L295),ISNUMBER(O295)),R294+MAX(0,L295+O295),"")</x:f>
        <x:v>101189154.44238612</x:v>
      </x:c>
      <x:c r="U295" s="412" t="n">
        <x:f>IF(AND(ISNUMBER(O295),ISNUMBER(P295),ISNUMBER($E$18)),O295+P295-$E$18,"")</x:f>
        <x:v>100980256.18967058</x:v>
      </x:c>
      <x:c r="V295" s="416" t="n">
        <x:f>IF(AND(S295&gt;0,ISNUMBER(U295)),U295/S295,"")</x:f>
        <x:v>483.3944510161739</x:v>
      </x:c>
      <x:c r="W295" s="418" t="n">
        <x:f>IF(AND(S295&gt;0,ISNUMBER(T295)),T295/S295,"")</x:f>
        <x:v>484.39445101617383</x:v>
      </x:c>
      <x:c r="X295" s="412" t="n">
        <x:f>IF($B$136="No",0,IF(AND(ISNUMBER(L295),OR(95&lt;&gt;$B$134,ISNUMBER(O295))),MAX(0,-(L295+IF(95=$B$134,O295,0))),0))</x:f>
        <x:v>0</x:v>
      </x:c>
      <x:c r="Y295" s="412" t="n">
        <x:f>IF(AND(ISNUMBER(Y294),ISNUMBER($D$138),$D$138&gt;=-1),Y294+Y294*$D$138-0+X295,"")</x:f>
        <x:v>308984046.51998305</x:v>
      </x:c>
      <x:c r="Z295" s="412" t="n">
        <x:f>IF(AND(ISNUMBER(Y294),ISNUMBER($D$138),$D$138&gt;=-1),Z294+0,"")</x:f>
        <x:v>0</x:v>
      </x:c>
      <x:c r="AA295" s="412" t="n">
        <x:f>IF(ISNUMBER(AA294),AA294+X295,"")</x:f>
        <x:v>208898.25271554862</x:v>
      </x:c>
      <x:c r="AB295" s="412" t="n">
        <x:f>IF(AND(ISNUMBER(Y295),ISNUMBER(Z295),ISNUMBER(AA295)),Y295+Z295-AA295,"")</x:f>
        <x:v>308775148.2672675</x:v>
      </x:c>
      <x:c r="AC295" s="416" t="n">
        <x:f>IF(AND(AA295&gt;0,ISNUMBER(AB295)),AB295/AA295,"")</x:f>
        <x:v>1478.1126421757042</x:v>
      </x:c>
      <x:c r="AD295" s="412" t="n">
        <x:f>IF(AND(ISNUMBER(AD294),ISNUMBER($G$138),$G$138&gt;=0),AD294+AD294*$G$138-IF(AND($J$134="Cash payout",$G$138&gt;=0),AD294*$G$138,0)+X295,"")</x:f>
        <x:v>21354352.540251307</x:v>
      </x:c>
      <x:c r="AE295" s="412" t="n">
        <x:f>IF(AND(ISNUMBER(AD294),ISNUMBER($G$138),$G$138&gt;=0),AE294+IF(AND($J$134="Cash payout",$G$138&gt;=0),AD294*$G$138,0),"")</x:f>
        <x:v>0</x:v>
      </x:c>
      <x:c r="AF295" s="412" t="n">
        <x:f>IF(ISNUMBER(AF294),AF294+X295,"")</x:f>
        <x:v>208898.25271554862</x:v>
      </x:c>
      <x:c r="AG295" s="412" t="n">
        <x:f>IF(AND(ISNUMBER(AD295),ISNUMBER(AE295),ISNUMBER(AF295)),AD295+AE295-AF295,"")</x:f>
        <x:v>21145454.287535757</x:v>
      </x:c>
      <x:c r="AH295" s="416" t="n">
        <x:f>IF(AND(AF295&gt;0,ISNUMBER(AG295)),AG295/AF295,"")</x:f>
        <x:v>101.22370107292845</x:v>
      </x:c>
      <x:c r="AI295" s="412" t="n">
        <x:f>IF(AND(ISNUMBER(AI294),ISNUMBER($J$138),$J$138&gt;=-1),AI294+AI294*$J$138-IF(AND($J$134="Cash payout",$J$138&gt;=0),AI294*$J$138,0)+X295,"")</x:f>
        <x:v>21354352.540251307</x:v>
      </x:c>
      <x:c r="AJ295" s="412" t="n">
        <x:f>IF(AND(ISNUMBER(AI294),ISNUMBER($J$138),$J$138&gt;=-1),AJ294+IF(AND($J$134="Cash payout",$J$138&gt;=0),AI294*$J$138,0),"")</x:f>
        <x:v>0</x:v>
      </x:c>
      <x:c r="AK295" s="412" t="n">
        <x:f>IF(ISNUMBER(AK294),AK294+X295,"")</x:f>
        <x:v>208898.25271554862</x:v>
      </x:c>
      <x:c r="AL295" s="412" t="n">
        <x:f>IF(AND(ISNUMBER(AI295),ISNUMBER(AJ295),ISNUMBER(AK295)),AI295+AJ295-AK295,"")</x:f>
        <x:v>21145454.287535757</x:v>
      </x:c>
      <x:c r="AM295" s="416" t="n">
        <x:f>IF(AND(AK295&gt;0,ISNUMBER(AL295)),AL295/AK295,"")</x:f>
        <x:v>101.22370107292845</x:v>
      </x:c>
    </x:row>
    <x:row r="296" ht="24" customHeight="1">
      <x:c r="A296" s="419" t="n">
        <x:f>96</x:f>
        <x:v>96</x:v>
      </x:c>
      <x:c r="B296" s="414" t="n">
        <x:v>0</x:v>
      </x:c>
      <x:c r="C296" s="412" t="n">
        <x:f>IF(AND(ISNUMBER($H$17),ISNUMBER($J$73),$J$73&gt;-1,$J$73&lt;=5),$H$17*(1+$J$73)^(96-1),"")</x:f>
        <x:v>3237888.103173958</x:v>
      </x:c>
      <x:c r="D296" s="412" t="n">
        <x:f>IF(AND(ISNUMBER($H$18),ISNUMBER($J$74),$J$74&gt;-1,$J$74&lt;=5),$H$18*(1+$J$74)^(96-1),"")</x:f>
        <x:v>497344.823115992</x:v>
      </x:c>
      <x:c r="E296" s="412" t="n">
        <x:f>IF(AND(ISNUMBER($H$22),ISNUMBER($J$74),$J$74&gt;-1,$J$74&lt;=5),$H$22*(1+$J$74)^(96-1),"")</x:f>
        <x:v>0</x:v>
      </x:c>
      <x:c r="F296" s="412" t="n">
        <x:f>IF(AND(ISNUMBER(C296),ISNUMBER(D296)),C296-D296,"")</x:f>
        <x:v>2740543.2800579662</x:v>
      </x:c>
      <x:c r="G296" s="412" t="n">
        <x:f>IF(AND(ISNUMBER(F296),ISNUMBER(E296)),F296-E296,"")</x:f>
        <x:v>2740543.2800579662</x:v>
      </x:c>
      <x:c r="H296" s="412" t="n">
        <x:f>IF(COUNT(M1541:M1552)=12,SUM(M1541:M1552),"")</x:f>
        <x:v>0</x:v>
      </x:c>
      <x:c r="I296" s="412" t="n">
        <x:f>SUM(E1541:E1552)</x:f>
        <x:v>0</x:v>
      </x:c>
      <x:c r="J296" s="412" t="n">
        <x:f>SUM(F1541:F1552)</x:f>
        <x:v>0</x:v>
      </x:c>
      <x:c r="K296" s="412" t="n">
        <x:f>SUM(G1541:G1552)</x:f>
        <x:v>0</x:v>
      </x:c>
      <x:c r="L296" s="412" t="n">
        <x:f>IF(AND(ISNUMBER(G296),ISNUMBER(H296),ISNUMBER(J296),ISNUMBER(K296)),G296-H296-B296-J296-K296,"")</x:f>
        <x:v>2740543.2800579662</x:v>
      </x:c>
      <x:c r="M296" s="412" t="n">
        <x:f>IF(ISNUMBER(N1552),N1552,"")</x:f>
        <x:v>0</x:v>
      </x:c>
      <x:c r="N296" s="412" t="n">
        <x:f>IF(ISNUMBER($J$77),IF(AND($J$77&gt;0,$J$77&lt;=1,ISNUMBER($H$17),ISNUMBER($H$18),ISNUMBER($J$73),$J$73&gt;-1,$J$73&lt;=5,ISNUMBER($J$74),$J$74&gt;-1,$J$74&lt;=5),($H$17*(1+$J$73)^96-$H$18*(1+$J$74)^96)/$J$77,""),IF(AND($J$77="",ISNUMBER($B$15),$B$15&gt;0,ISNUMBER($J$72),$J$72&gt;-1,$J$72&lt;=5),$B$15*(1+$J$72)^96,""))</x:f>
        <x:v>41013249.30687014</x:v>
      </x:c>
      <x:c r="O296" s="412" t="n">
        <x:f>IF(AND(ISNUMBER(N296),ISNUMBER(M296)),N296*(1-$J$75)-M296,"")</x:f>
        <x:v>41013249.30687014</x:v>
      </x:c>
      <x:c r="P296" s="412" t="n">
        <x:f>IF(AND(ISNUMBER(P295),ISNUMBER(L296)),P295+L296,"")</x:f>
        <x:v>64474982.82850726</x:v>
      </x:c>
      <x:c r="Q296" s="412" t="n">
        <x:f>IF(AND(ISNUMBER(Q295),ISNUMBER(L296)),Q295+MAX(0,-L296),"")</x:f>
        <x:v>208898.25271554862</x:v>
      </x:c>
      <x:c r="R296" s="412" t="n">
        <x:f>IF(AND(ISNUMBER(R295),ISNUMBER(L296)),R295+MAX(0,L296),"")</x:f>
        <x:v>64493881.08122282</x:v>
      </x:c>
      <x:c r="S296" s="412" t="n">
        <x:f>IF(AND(ISNUMBER(Q295),ISNUMBER(L296),ISNUMBER(O296)),Q295+MAX(0,-(L296+O296)),"")</x:f>
        <x:v>208898.25271554862</x:v>
      </x:c>
      <x:c r="T296" s="412" t="n">
        <x:f>IF(AND(ISNUMBER(R295),ISNUMBER(L296),ISNUMBER(O296)),R295+MAX(0,L296+O296),"")</x:f>
        <x:v>105507130.38809296</x:v>
      </x:c>
      <x:c r="U296" s="412" t="n">
        <x:f>IF(AND(ISNUMBER(O296),ISNUMBER(P296),ISNUMBER($E$18)),O296+P296-$E$18,"")</x:f>
        <x:v>105298232.1353774</x:v>
      </x:c>
      <x:c r="V296" s="416" t="n">
        <x:f>IF(AND(S296&gt;0,ISNUMBER(U296)),U296/S296,"")</x:f>
        <x:v>504.06468587728835</x:v>
      </x:c>
      <x:c r="W296" s="418" t="n">
        <x:f>IF(AND(S296&gt;0,ISNUMBER(T296)),T296/S296,"")</x:f>
        <x:v>505.06468587728835</x:v>
      </x:c>
      <x:c r="X296" s="412" t="n">
        <x:f>IF($B$136="No",0,IF(AND(ISNUMBER(L296),OR(96&lt;&gt;$B$134,ISNUMBER(O296))),MAX(0,-(L296+IF(96=$B$134,O296,0))),0))</x:f>
        <x:v>0</x:v>
      </x:c>
      <x:c r="Y296" s="412" t="n">
        <x:f>IF(AND(ISNUMBER(Y295),ISNUMBER($D$138),$D$138&gt;=-1),Y295+Y295*$D$138-0+X296,"")</x:f>
        <x:v>333702770.2415817</x:v>
      </x:c>
      <x:c r="Z296" s="412" t="n">
        <x:f>IF(AND(ISNUMBER(Y295),ISNUMBER($D$138),$D$138&gt;=-1),Z295+0,"")</x:f>
        <x:v>0</x:v>
      </x:c>
      <x:c r="AA296" s="412" t="n">
        <x:f>IF(ISNUMBER(AA295),AA295+X296,"")</x:f>
        <x:v>208898.25271554862</x:v>
      </x:c>
      <x:c r="AB296" s="412" t="n">
        <x:f>IF(AND(ISNUMBER(Y296),ISNUMBER(Z296),ISNUMBER(AA296)),Y296+Z296-AA296,"")</x:f>
        <x:v>333493871.98886615</x:v>
      </x:c>
      <x:c r="AC296" s="416" t="n">
        <x:f>IF(AND(AA296&gt;0,ISNUMBER(AB296)),AB296/AA296,"")</x:f>
        <x:v>1596.4416535497603</x:v>
      </x:c>
      <x:c r="AD296" s="412" t="n">
        <x:f>IF(AND(ISNUMBER(AD295),ISNUMBER($G$138),$G$138&gt;=0),AD295+AD295*$G$138-IF(AND($J$134="Cash payout",$G$138&gt;=0),AD295*$G$138,0)+X296,"")</x:f>
        <x:v>22422070.167263873</x:v>
      </x:c>
      <x:c r="AE296" s="412" t="n">
        <x:f>IF(AND(ISNUMBER(AD295),ISNUMBER($G$138),$G$138&gt;=0),AE295+IF(AND($J$134="Cash payout",$G$138&gt;=0),AD295*$G$138,0),"")</x:f>
        <x:v>0</x:v>
      </x:c>
      <x:c r="AF296" s="412" t="n">
        <x:f>IF(ISNUMBER(AF295),AF295+X296,"")</x:f>
        <x:v>208898.25271554862</x:v>
      </x:c>
      <x:c r="AG296" s="412" t="n">
        <x:f>IF(AND(ISNUMBER(AD296),ISNUMBER(AE296),ISNUMBER(AF296)),AD296+AE296-AF296,"")</x:f>
        <x:v>22213171.914548323</x:v>
      </x:c>
      <x:c r="AH296" s="416" t="n">
        <x:f>IF(AND(AF296&gt;0,ISNUMBER(AG296)),AG296/AF296,"")</x:f>
        <x:v>106.33488612657487</x:v>
      </x:c>
      <x:c r="AI296" s="412" t="n">
        <x:f>IF(AND(ISNUMBER(AI295),ISNUMBER($J$138),$J$138&gt;=-1),AI295+AI295*$J$138-IF(AND($J$134="Cash payout",$J$138&gt;=0),AI295*$J$138,0)+X296,"")</x:f>
        <x:v>22422070.167263873</x:v>
      </x:c>
      <x:c r="AJ296" s="412" t="n">
        <x:f>IF(AND(ISNUMBER(AI295),ISNUMBER($J$138),$J$138&gt;=-1),AJ295+IF(AND($J$134="Cash payout",$J$138&gt;=0),AI295*$J$138,0),"")</x:f>
        <x:v>0</x:v>
      </x:c>
      <x:c r="AK296" s="412" t="n">
        <x:f>IF(ISNUMBER(AK295),AK295+X296,"")</x:f>
        <x:v>208898.25271554862</x:v>
      </x:c>
      <x:c r="AL296" s="412" t="n">
        <x:f>IF(AND(ISNUMBER(AI296),ISNUMBER(AJ296),ISNUMBER(AK296)),AI296+AJ296-AK296,"")</x:f>
        <x:v>22213171.914548323</x:v>
      </x:c>
      <x:c r="AM296" s="416" t="n">
        <x:f>IF(AND(AK296&gt;0,ISNUMBER(AL296)),AL296/AK296,"")</x:f>
        <x:v>106.33488612657487</x:v>
      </x:c>
    </x:row>
    <x:row r="297" ht="24" customHeight="1">
      <x:c r="A297" s="419" t="n">
        <x:f>97</x:f>
        <x:v>97</x:v>
      </x:c>
      <x:c r="B297" s="414" t="n">
        <x:v>0</x:v>
      </x:c>
      <x:c r="C297" s="412" t="n">
        <x:f>IF(AND(ISNUMBER($H$17),ISNUMBER($J$73),$J$73&gt;-1,$J$73&lt;=5),$H$17*(1+$J$73)^(97-1),"")</x:f>
        <x:v>3367403.6273009162</x:v>
      </x:c>
      <x:c r="D297" s="412" t="n">
        <x:f>IF(AND(ISNUMBER($H$18),ISNUMBER($J$74),$J$74&gt;-1,$J$74&lt;=5),$H$18*(1+$J$74)^(97-1),"")</x:f>
        <x:v>512265.1678094718</x:v>
      </x:c>
      <x:c r="E297" s="412" t="n">
        <x:f>IF(AND(ISNUMBER($H$22),ISNUMBER($J$74),$J$74&gt;-1,$J$74&lt;=5),$H$22*(1+$J$74)^(97-1),"")</x:f>
        <x:v>0</x:v>
      </x:c>
      <x:c r="F297" s="412" t="n">
        <x:f>IF(AND(ISNUMBER(C297),ISNUMBER(D297)),C297-D297,"")</x:f>
        <x:v>2855138.4594914443</x:v>
      </x:c>
      <x:c r="G297" s="412" t="n">
        <x:f>IF(AND(ISNUMBER(F297),ISNUMBER(E297)),F297-E297,"")</x:f>
        <x:v>2855138.4594914443</x:v>
      </x:c>
      <x:c r="H297" s="412" t="n">
        <x:f>IF(COUNT(M1553:M1564)=12,SUM(M1553:M1564),"")</x:f>
        <x:v>0</x:v>
      </x:c>
      <x:c r="I297" s="412" t="n">
        <x:f>SUM(E1553:E1564)</x:f>
        <x:v>0</x:v>
      </x:c>
      <x:c r="J297" s="412" t="n">
        <x:f>SUM(F1553:F1564)</x:f>
        <x:v>0</x:v>
      </x:c>
      <x:c r="K297" s="412" t="n">
        <x:f>SUM(G1553:G1564)</x:f>
        <x:v>0</x:v>
      </x:c>
      <x:c r="L297" s="412" t="n">
        <x:f>IF(AND(ISNUMBER(G297),ISNUMBER(H297),ISNUMBER(J297),ISNUMBER(K297)),G297-H297-B297-J297-K297,"")</x:f>
        <x:v>2855138.4594914443</x:v>
      </x:c>
      <x:c r="M297" s="412" t="n">
        <x:f>IF(ISNUMBER(N1564),N1564,"")</x:f>
        <x:v>0</x:v>
      </x:c>
      <x:c r="N297" s="412" t="n">
        <x:f>IF(ISNUMBER($J$77),IF(AND($J$77&gt;0,$J$77&lt;=1,ISNUMBER($H$17),ISNUMBER($H$18),ISNUMBER($J$73),$J$73&gt;-1,$J$73&lt;=5,ISNUMBER($J$74),$J$74&gt;-1,$J$74&lt;=5),($H$17*(1+$J$73)^97-$H$18*(1+$J$74)^97)/$J$77,""),IF(AND($J$77="",ISNUMBER($B$15),$B$15&gt;0,ISNUMBER($J$72),$J$72&gt;-1,$J$72&lt;=5),$B$15*(1+$J$72)^97,""))</x:f>
        <x:v>42653779.27914495</x:v>
      </x:c>
      <x:c r="O297" s="412" t="n">
        <x:f>IF(AND(ISNUMBER(N297),ISNUMBER(M297)),N297*(1-$J$75)-M297,"")</x:f>
        <x:v>42653779.27914495</x:v>
      </x:c>
      <x:c r="P297" s="412" t="n">
        <x:f>IF(AND(ISNUMBER(P296),ISNUMBER(L297)),P296+L297,"")</x:f>
        <x:v>67330121.2879987</x:v>
      </x:c>
      <x:c r="Q297" s="412" t="n">
        <x:f>IF(AND(ISNUMBER(Q296),ISNUMBER(L297)),Q296+MAX(0,-L297),"")</x:f>
        <x:v>208898.25271554862</x:v>
      </x:c>
      <x:c r="R297" s="412" t="n">
        <x:f>IF(AND(ISNUMBER(R296),ISNUMBER(L297)),R296+MAX(0,L297),"")</x:f>
        <x:v>67349019.54071426</x:v>
      </x:c>
      <x:c r="S297" s="412" t="n">
        <x:f>IF(AND(ISNUMBER(Q296),ISNUMBER(L297),ISNUMBER(O297)),Q296+MAX(0,-(L297+O297)),"")</x:f>
        <x:v>208898.25271554862</x:v>
      </x:c>
      <x:c r="T297" s="412" t="n">
        <x:f>IF(AND(ISNUMBER(R296),ISNUMBER(L297),ISNUMBER(O297)),R296+MAX(0,L297+O297),"")</x:f>
        <x:v>110002798.8198592</x:v>
      </x:c>
      <x:c r="U297" s="412" t="n">
        <x:f>IF(AND(ISNUMBER(O297),ISNUMBER(P297),ISNUMBER($E$18)),O297+P297-$E$18,"")</x:f>
        <x:v>109793900.56714365</x:v>
      </x:c>
      <x:c r="V297" s="416" t="n">
        <x:f>IF(AND(S297&gt;0,ISNUMBER(U297)),U297/S297,"")</x:f>
        <x:v>525.5855381262915</x:v>
      </x:c>
      <x:c r="W297" s="418" t="n">
        <x:f>IF(AND(S297&gt;0,ISNUMBER(T297)),T297/S297,"")</x:f>
        <x:v>526.5855381262916</x:v>
      </x:c>
      <x:c r="X297" s="412" t="n">
        <x:f>IF($B$136="No",0,IF(AND(ISNUMBER(L297),OR(97&lt;&gt;$B$134,ISNUMBER(O297))),MAX(0,-(L297+IF(97=$B$134,O297,0))),0))</x:f>
        <x:v>0</x:v>
      </x:c>
      <x:c r="Y297" s="412" t="n">
        <x:f>IF(AND(ISNUMBER(Y296),ISNUMBER($D$138),$D$138&gt;=-1),Y296+Y296*$D$138-0+X297,"")</x:f>
        <x:v>360398991.8609082</x:v>
      </x:c>
      <x:c r="Z297" s="412" t="n">
        <x:f>IF(AND(ISNUMBER(Y296),ISNUMBER($D$138),$D$138&gt;=-1),Z296+0,"")</x:f>
        <x:v>0</x:v>
      </x:c>
      <x:c r="AA297" s="412" t="n">
        <x:f>IF(ISNUMBER(AA296),AA296+X297,"")</x:f>
        <x:v>208898.25271554862</x:v>
      </x:c>
      <x:c r="AB297" s="412" t="n">
        <x:f>IF(AND(ISNUMBER(Y297),ISNUMBER(Z297),ISNUMBER(AA297)),Y297+Z297-AA297,"")</x:f>
        <x:v>360190093.6081927</x:v>
      </x:c>
      <x:c r="AC297" s="416" t="n">
        <x:f>IF(AND(AA297&gt;0,ISNUMBER(AB297)),AB297/AA297,"")</x:f>
        <x:v>1724.236985833741</x:v>
      </x:c>
      <x:c r="AD297" s="412" t="n">
        <x:f>IF(AND(ISNUMBER(AD296),ISNUMBER($G$138),$G$138&gt;=0),AD296+AD296*$G$138-IF(AND($J$134="Cash payout",$G$138&gt;=0),AD296*$G$138,0)+X297,"")</x:f>
        <x:v>23543173.675627068</x:v>
      </x:c>
      <x:c r="AE297" s="412" t="n">
        <x:f>IF(AND(ISNUMBER(AD296),ISNUMBER($G$138),$G$138&gt;=0),AE296+IF(AND($J$134="Cash payout",$G$138&gt;=0),AD296*$G$138,0),"")</x:f>
        <x:v>0</x:v>
      </x:c>
      <x:c r="AF297" s="412" t="n">
        <x:f>IF(ISNUMBER(AF296),AF296+X297,"")</x:f>
        <x:v>208898.25271554862</x:v>
      </x:c>
      <x:c r="AG297" s="412" t="n">
        <x:f>IF(AND(ISNUMBER(AD297),ISNUMBER(AE297),ISNUMBER(AF297)),AD297+AE297-AF297,"")</x:f>
        <x:v>23334275.422911517</x:v>
      </x:c>
      <x:c r="AH297" s="416" t="n">
        <x:f>IF(AND(AF297&gt;0,ISNUMBER(AG297)),AG297/AF297,"")</x:f>
        <x:v>111.70163043290363</x:v>
      </x:c>
      <x:c r="AI297" s="412" t="n">
        <x:f>IF(AND(ISNUMBER(AI296),ISNUMBER($J$138),$J$138&gt;=-1),AI296+AI296*$J$138-IF(AND($J$134="Cash payout",$J$138&gt;=0),AI296*$J$138,0)+X297,"")</x:f>
        <x:v>23543173.675627068</x:v>
      </x:c>
      <x:c r="AJ297" s="412" t="n">
        <x:f>IF(AND(ISNUMBER(AI296),ISNUMBER($J$138),$J$138&gt;=-1),AJ296+IF(AND($J$134="Cash payout",$J$138&gt;=0),AI296*$J$138,0),"")</x:f>
        <x:v>0</x:v>
      </x:c>
      <x:c r="AK297" s="412" t="n">
        <x:f>IF(ISNUMBER(AK296),AK296+X297,"")</x:f>
        <x:v>208898.25271554862</x:v>
      </x:c>
      <x:c r="AL297" s="412" t="n">
        <x:f>IF(AND(ISNUMBER(AI297),ISNUMBER(AJ297),ISNUMBER(AK297)),AI297+AJ297-AK297,"")</x:f>
        <x:v>23334275.422911517</x:v>
      </x:c>
      <x:c r="AM297" s="416" t="n">
        <x:f>IF(AND(AK297&gt;0,ISNUMBER(AL297)),AL297/AK297,"")</x:f>
        <x:v>111.70163043290363</x:v>
      </x:c>
    </x:row>
    <x:row r="298" ht="24" customHeight="1">
      <x:c r="A298" s="419" t="n">
        <x:f>98</x:f>
        <x:v>98</x:v>
      </x:c>
      <x:c r="B298" s="414" t="n">
        <x:v>0</x:v>
      </x:c>
      <x:c r="C298" s="412" t="n">
        <x:f>IF(AND(ISNUMBER($H$17),ISNUMBER($J$73),$J$73&gt;-1,$J$73&lt;=5),$H$17*(1+$J$73)^(98-1),"")</x:f>
        <x:v>3502099.7723929537</x:v>
      </x:c>
      <x:c r="D298" s="412" t="n">
        <x:f>IF(AND(ISNUMBER($H$18),ISNUMBER($J$74),$J$74&gt;-1,$J$74&lt;=5),$H$18*(1+$J$74)^(98-1),"")</x:f>
        <x:v>527633.1228437559</x:v>
      </x:c>
      <x:c r="E298" s="412" t="n">
        <x:f>IF(AND(ISNUMBER($H$22),ISNUMBER($J$74),$J$74&gt;-1,$J$74&lt;=5),$H$22*(1+$J$74)^(98-1),"")</x:f>
        <x:v>0</x:v>
      </x:c>
      <x:c r="F298" s="412" t="n">
        <x:f>IF(AND(ISNUMBER(C298),ISNUMBER(D298)),C298-D298,"")</x:f>
        <x:v>2974466.649549198</x:v>
      </x:c>
      <x:c r="G298" s="412" t="n">
        <x:f>IF(AND(ISNUMBER(F298),ISNUMBER(E298)),F298-E298,"")</x:f>
        <x:v>2974466.649549198</x:v>
      </x:c>
      <x:c r="H298" s="412" t="n">
        <x:f>IF(COUNT(M1565:M1576)=12,SUM(M1565:M1576),"")</x:f>
        <x:v>0</x:v>
      </x:c>
      <x:c r="I298" s="412" t="n">
        <x:f>SUM(E1565:E1576)</x:f>
        <x:v>0</x:v>
      </x:c>
      <x:c r="J298" s="412" t="n">
        <x:f>SUM(F1565:F1576)</x:f>
        <x:v>0</x:v>
      </x:c>
      <x:c r="K298" s="412" t="n">
        <x:f>SUM(G1565:G1576)</x:f>
        <x:v>0</x:v>
      </x:c>
      <x:c r="L298" s="412" t="n">
        <x:f>IF(AND(ISNUMBER(G298),ISNUMBER(H298),ISNUMBER(J298),ISNUMBER(K298)),G298-H298-B298-J298-K298,"")</x:f>
        <x:v>2974466.649549198</x:v>
      </x:c>
      <x:c r="M298" s="412" t="n">
        <x:f>IF(ISNUMBER(N1576),N1576,"")</x:f>
        <x:v>0</x:v>
      </x:c>
      <x:c r="N298" s="412" t="n">
        <x:f>IF(ISNUMBER($J$77),IF(AND($J$77&gt;0,$J$77&lt;=1,ISNUMBER($H$17),ISNUMBER($H$18),ISNUMBER($J$73),$J$73&gt;-1,$J$73&lt;=5,ISNUMBER($J$74),$J$74&gt;-1,$J$74&lt;=5),($H$17*(1+$J$73)^98-$H$18*(1+$J$74)^98)/$J$77,""),IF(AND($J$77="",ISNUMBER($B$15),$B$15&gt;0,ISNUMBER($J$72),$J$72&gt;-1,$J$72&lt;=5),$B$15*(1+$J$72)^98,""))</x:f>
        <x:v>44359930.450310744</x:v>
      </x:c>
      <x:c r="O298" s="412" t="n">
        <x:f>IF(AND(ISNUMBER(N298),ISNUMBER(M298)),N298*(1-$J$75)-M298,"")</x:f>
        <x:v>44359930.450310744</x:v>
      </x:c>
      <x:c r="P298" s="412" t="n">
        <x:f>IF(AND(ISNUMBER(P297),ISNUMBER(L298)),P297+L298,"")</x:f>
        <x:v>70304587.9375479</x:v>
      </x:c>
      <x:c r="Q298" s="412" t="n">
        <x:f>IF(AND(ISNUMBER(Q297),ISNUMBER(L298)),Q297+MAX(0,-L298),"")</x:f>
        <x:v>208898.25271554862</x:v>
      </x:c>
      <x:c r="R298" s="412" t="n">
        <x:f>IF(AND(ISNUMBER(R297),ISNUMBER(L298)),R297+MAX(0,L298),"")</x:f>
        <x:v>70323486.19026347</x:v>
      </x:c>
      <x:c r="S298" s="412" t="n">
        <x:f>IF(AND(ISNUMBER(Q297),ISNUMBER(L298),ISNUMBER(O298)),Q297+MAX(0,-(L298+O298)),"")</x:f>
        <x:v>208898.25271554862</x:v>
      </x:c>
      <x:c r="T298" s="412" t="n">
        <x:f>IF(AND(ISNUMBER(R297),ISNUMBER(L298),ISNUMBER(O298)),R297+MAX(0,L298+O298),"")</x:f>
        <x:v>114683416.64057422</x:v>
      </x:c>
      <x:c r="U298" s="412" t="n">
        <x:f>IF(AND(ISNUMBER(O298),ISNUMBER(P298),ISNUMBER($E$18)),O298+P298-$E$18,"")</x:f>
        <x:v>114474518.38785866</x:v>
      </x:c>
      <x:c r="V298" s="416" t="n">
        <x:f>IF(AND(S298&gt;0,ISNUMBER(U298)),U298/S298,"")</x:f>
        <x:v>547.9917466985024</x:v>
      </x:c>
      <x:c r="W298" s="418" t="n">
        <x:f>IF(AND(S298&gt;0,ISNUMBER(T298)),T298/S298,"")</x:f>
        <x:v>548.9917466985024</x:v>
      </x:c>
      <x:c r="X298" s="412" t="n">
        <x:f>IF($B$136="No",0,IF(AND(ISNUMBER(L298),OR(98&lt;&gt;$B$134,ISNUMBER(O298))),MAX(0,-(L298+IF(98=$B$134,O298,0))),0))</x:f>
        <x:v>0</x:v>
      </x:c>
      <x:c r="Y298" s="412" t="n">
        <x:f>IF(AND(ISNUMBER(Y297),ISNUMBER($D$138),$D$138&gt;=-1),Y297+Y297*$D$138-0+X298,"")</x:f>
        <x:v>389230911.2097809</x:v>
      </x:c>
      <x:c r="Z298" s="412" t="n">
        <x:f>IF(AND(ISNUMBER(Y297),ISNUMBER($D$138),$D$138&gt;=-1),Z297+0,"")</x:f>
        <x:v>0</x:v>
      </x:c>
      <x:c r="AA298" s="412" t="n">
        <x:f>IF(ISNUMBER(AA297),AA297+X298,"")</x:f>
        <x:v>208898.25271554862</x:v>
      </x:c>
      <x:c r="AB298" s="412" t="n">
        <x:f>IF(AND(ISNUMBER(Y298),ISNUMBER(Z298),ISNUMBER(AA298)),Y298+Z298-AA298,"")</x:f>
        <x:v>389022012.95706534</x:v>
      </x:c>
      <x:c r="AC298" s="416" t="n">
        <x:f>IF(AND(AA298&gt;0,ISNUMBER(AB298)),AB298/AA298,"")</x:f>
        <x:v>1862.2559447004405</x:v>
      </x:c>
      <x:c r="AD298" s="412" t="n">
        <x:f>IF(AND(ISNUMBER(AD297),ISNUMBER($G$138),$G$138&gt;=0),AD297+AD297*$G$138-IF(AND($J$134="Cash payout",$G$138&gt;=0),AD297*$G$138,0)+X298,"")</x:f>
        <x:v>24720332.35940842</x:v>
      </x:c>
      <x:c r="AE298" s="412" t="n">
        <x:f>IF(AND(ISNUMBER(AD297),ISNUMBER($G$138),$G$138&gt;=0),AE297+IF(AND($J$134="Cash payout",$G$138&gt;=0),AD297*$G$138,0),"")</x:f>
        <x:v>0</x:v>
      </x:c>
      <x:c r="AF298" s="412" t="n">
        <x:f>IF(ISNUMBER(AF297),AF297+X298,"")</x:f>
        <x:v>208898.25271554862</x:v>
      </x:c>
      <x:c r="AG298" s="412" t="n">
        <x:f>IF(AND(ISNUMBER(AD298),ISNUMBER(AE298),ISNUMBER(AF298)),AD298+AE298-AF298,"")</x:f>
        <x:v>24511434.10669287</x:v>
      </x:c>
      <x:c r="AH298" s="416" t="n">
        <x:f>IF(AND(AF298&gt;0,ISNUMBER(AG298)),AG298/AF298,"")</x:f>
        <x:v>117.3367119545488</x:v>
      </x:c>
      <x:c r="AI298" s="412" t="n">
        <x:f>IF(AND(ISNUMBER(AI297),ISNUMBER($J$138),$J$138&gt;=-1),AI297+AI297*$J$138-IF(AND($J$134="Cash payout",$J$138&gt;=0),AI297*$J$138,0)+X298,"")</x:f>
        <x:v>24720332.35940842</x:v>
      </x:c>
      <x:c r="AJ298" s="412" t="n">
        <x:f>IF(AND(ISNUMBER(AI297),ISNUMBER($J$138),$J$138&gt;=-1),AJ297+IF(AND($J$134="Cash payout",$J$138&gt;=0),AI297*$J$138,0),"")</x:f>
        <x:v>0</x:v>
      </x:c>
      <x:c r="AK298" s="412" t="n">
        <x:f>IF(ISNUMBER(AK297),AK297+X298,"")</x:f>
        <x:v>208898.25271554862</x:v>
      </x:c>
      <x:c r="AL298" s="412" t="n">
        <x:f>IF(AND(ISNUMBER(AI298),ISNUMBER(AJ298),ISNUMBER(AK298)),AI298+AJ298-AK298,"")</x:f>
        <x:v>24511434.10669287</x:v>
      </x:c>
      <x:c r="AM298" s="416" t="n">
        <x:f>IF(AND(AK298&gt;0,ISNUMBER(AL298)),AL298/AK298,"")</x:f>
        <x:v>117.3367119545488</x:v>
      </x:c>
    </x:row>
    <x:row r="299" ht="24" customHeight="1">
      <x:c r="A299" s="419" t="n">
        <x:f>99</x:f>
        <x:v>99</x:v>
      </x:c>
      <x:c r="B299" s="414" t="n">
        <x:v>0</x:v>
      </x:c>
      <x:c r="C299" s="412" t="n">
        <x:f>IF(AND(ISNUMBER($H$17),ISNUMBER($J$73),$J$73&gt;-1,$J$73&lt;=5),$H$17*(1+$J$73)^(99-1),"")</x:f>
        <x:v>3642183.7632886716</x:v>
      </x:c>
      <x:c r="D299" s="412" t="n">
        <x:f>IF(AND(ISNUMBER($H$18),ISNUMBER($J$74),$J$74&gt;-1,$J$74&lt;=5),$H$18*(1+$J$74)^(99-1),"")</x:f>
        <x:v>543462.1165290687</x:v>
      </x:c>
      <x:c r="E299" s="412" t="n">
        <x:f>IF(AND(ISNUMBER($H$22),ISNUMBER($J$74),$J$74&gt;-1,$J$74&lt;=5),$H$22*(1+$J$74)^(99-1),"")</x:f>
        <x:v>0</x:v>
      </x:c>
      <x:c r="F299" s="412" t="n">
        <x:f>IF(AND(ISNUMBER(C299),ISNUMBER(D299)),C299-D299,"")</x:f>
        <x:v>3098721.646759603</x:v>
      </x:c>
      <x:c r="G299" s="412" t="n">
        <x:f>IF(AND(ISNUMBER(F299),ISNUMBER(E299)),F299-E299,"")</x:f>
        <x:v>3098721.646759603</x:v>
      </x:c>
      <x:c r="H299" s="412" t="n">
        <x:f>IF(COUNT(M1577:M1588)=12,SUM(M1577:M1588),"")</x:f>
        <x:v>0</x:v>
      </x:c>
      <x:c r="I299" s="412" t="n">
        <x:f>SUM(E1577:E1588)</x:f>
        <x:v>0</x:v>
      </x:c>
      <x:c r="J299" s="412" t="n">
        <x:f>SUM(F1577:F1588)</x:f>
        <x:v>0</x:v>
      </x:c>
      <x:c r="K299" s="412" t="n">
        <x:f>SUM(G1577:G1588)</x:f>
        <x:v>0</x:v>
      </x:c>
      <x:c r="L299" s="412" t="n">
        <x:f>IF(AND(ISNUMBER(G299),ISNUMBER(H299),ISNUMBER(J299),ISNUMBER(K299)),G299-H299-B299-J299-K299,"")</x:f>
        <x:v>3098721.646759603</x:v>
      </x:c>
      <x:c r="M299" s="412" t="n">
        <x:f>IF(ISNUMBER(N1588),N1588,"")</x:f>
        <x:v>0</x:v>
      </x:c>
      <x:c r="N299" s="412" t="n">
        <x:f>IF(ISNUMBER($J$77),IF(AND($J$77&gt;0,$J$77&lt;=1,ISNUMBER($H$17),ISNUMBER($H$18),ISNUMBER($J$73),$J$73&gt;-1,$J$73&lt;=5,ISNUMBER($J$74),$J$74&gt;-1,$J$74&lt;=5),($H$17*(1+$J$73)^99-$H$18*(1+$J$74)^99)/$J$77,""),IF(AND($J$77="",ISNUMBER($B$15),$B$15&gt;0,ISNUMBER($J$72),$J$72&gt;-1,$J$72&lt;=5),$B$15*(1+$J$72)^99,""))</x:f>
        <x:v>46134327.668323174</x:v>
      </x:c>
      <x:c r="O299" s="412" t="n">
        <x:f>IF(AND(ISNUMBER(N299),ISNUMBER(M299)),N299*(1-$J$75)-M299,"")</x:f>
        <x:v>46134327.668323174</x:v>
      </x:c>
      <x:c r="P299" s="412" t="n">
        <x:f>IF(AND(ISNUMBER(P298),ISNUMBER(L299)),P298+L299,"")</x:f>
        <x:v>73403309.5843075</x:v>
      </x:c>
      <x:c r="Q299" s="412" t="n">
        <x:f>IF(AND(ISNUMBER(Q298),ISNUMBER(L299)),Q298+MAX(0,-L299),"")</x:f>
        <x:v>208898.25271554862</x:v>
      </x:c>
      <x:c r="R299" s="412" t="n">
        <x:f>IF(AND(ISNUMBER(R298),ISNUMBER(L299)),R298+MAX(0,L299),"")</x:f>
        <x:v>73422207.83702306</x:v>
      </x:c>
      <x:c r="S299" s="412" t="n">
        <x:f>IF(AND(ISNUMBER(Q298),ISNUMBER(L299),ISNUMBER(O299)),Q298+MAX(0,-(L299+O299)),"")</x:f>
        <x:v>208898.25271554862</x:v>
      </x:c>
      <x:c r="T299" s="412" t="n">
        <x:f>IF(AND(ISNUMBER(R298),ISNUMBER(L299),ISNUMBER(O299)),R298+MAX(0,L299+O299),"")</x:f>
        <x:v>119556535.50534624</x:v>
      </x:c>
      <x:c r="U299" s="412" t="n">
        <x:f>IF(AND(ISNUMBER(O299),ISNUMBER(P299),ISNUMBER($E$18)),O299+P299-$E$18,"")</x:f>
        <x:v>119347637.25263068</x:v>
      </x:c>
      <x:c r="V299" s="416" t="n">
        <x:f>IF(AND(S299&gt;0,ISNUMBER(U299)),U299/S299,"")</x:f>
        <x:v>571.3194615138466</x:v>
      </x:c>
      <x:c r="W299" s="418" t="n">
        <x:f>IF(AND(S299&gt;0,ISNUMBER(T299)),T299/S299,"")</x:f>
        <x:v>572.3194615138467</x:v>
      </x:c>
      <x:c r="X299" s="412" t="n">
        <x:f>IF($B$136="No",0,IF(AND(ISNUMBER(L299),OR(99&lt;&gt;$B$134,ISNUMBER(O299))),MAX(0,-(L299+IF(99=$B$134,O299,0))),0))</x:f>
        <x:v>0</x:v>
      </x:c>
      <x:c r="Y299" s="412" t="n">
        <x:f>IF(AND(ISNUMBER(Y298),ISNUMBER($D$138),$D$138&gt;=-1),Y298+Y298*$D$138-0+X299,"")</x:f>
        <x:v>420369384.1065633</x:v>
      </x:c>
      <x:c r="Z299" s="412" t="n">
        <x:f>IF(AND(ISNUMBER(Y298),ISNUMBER($D$138),$D$138&gt;=-1),Z298+0,"")</x:f>
        <x:v>0</x:v>
      </x:c>
      <x:c r="AA299" s="412" t="n">
        <x:f>IF(ISNUMBER(AA298),AA298+X299,"")</x:f>
        <x:v>208898.25271554862</x:v>
      </x:c>
      <x:c r="AB299" s="412" t="n">
        <x:f>IF(AND(ISNUMBER(Y299),ISNUMBER(Z299),ISNUMBER(AA299)),Y299+Z299-AA299,"")</x:f>
        <x:v>420160485.8538478</x:v>
      </x:c>
      <x:c r="AC299" s="416" t="n">
        <x:f>IF(AND(AA299&gt;0,ISNUMBER(AB299)),AB299/AA299,"")</x:f>
        <x:v>2011.3164202764756</x:v>
      </x:c>
      <x:c r="AD299" s="412" t="n">
        <x:f>IF(AND(ISNUMBER(AD298),ISNUMBER($G$138),$G$138&gt;=0),AD298+AD298*$G$138-IF(AND($J$134="Cash payout",$G$138&gt;=0),AD298*$G$138,0)+X299,"")</x:f>
        <x:v>25956348.97737884</x:v>
      </x:c>
      <x:c r="AE299" s="412" t="n">
        <x:f>IF(AND(ISNUMBER(AD298),ISNUMBER($G$138),$G$138&gt;=0),AE298+IF(AND($J$134="Cash payout",$G$138&gt;=0),AD298*$G$138,0),"")</x:f>
        <x:v>0</x:v>
      </x:c>
      <x:c r="AF299" s="412" t="n">
        <x:f>IF(ISNUMBER(AF298),AF298+X299,"")</x:f>
        <x:v>208898.25271554862</x:v>
      </x:c>
      <x:c r="AG299" s="412" t="n">
        <x:f>IF(AND(ISNUMBER(AD299),ISNUMBER(AE299),ISNUMBER(AF299)),AD299+AE299-AF299,"")</x:f>
        <x:v>25747450.72466329</x:v>
      </x:c>
      <x:c r="AH299" s="416" t="n">
        <x:f>IF(AND(AF299&gt;0,ISNUMBER(AG299)),AG299/AF299,"")</x:f>
        <x:v>123.25354755227625</x:v>
      </x:c>
      <x:c r="AI299" s="412" t="n">
        <x:f>IF(AND(ISNUMBER(AI298),ISNUMBER($J$138),$J$138&gt;=-1),AI298+AI298*$J$138-IF(AND($J$134="Cash payout",$J$138&gt;=0),AI298*$J$138,0)+X299,"")</x:f>
        <x:v>25956348.97737884</x:v>
      </x:c>
      <x:c r="AJ299" s="412" t="n">
        <x:f>IF(AND(ISNUMBER(AI298),ISNUMBER($J$138),$J$138&gt;=-1),AJ298+IF(AND($J$134="Cash payout",$J$138&gt;=0),AI298*$J$138,0),"")</x:f>
        <x:v>0</x:v>
      </x:c>
      <x:c r="AK299" s="412" t="n">
        <x:f>IF(ISNUMBER(AK298),AK298+X299,"")</x:f>
        <x:v>208898.25271554862</x:v>
      </x:c>
      <x:c r="AL299" s="412" t="n">
        <x:f>IF(AND(ISNUMBER(AI299),ISNUMBER(AJ299),ISNUMBER(AK299)),AI299+AJ299-AK299,"")</x:f>
        <x:v>25747450.72466329</x:v>
      </x:c>
      <x:c r="AM299" s="416" t="n">
        <x:f>IF(AND(AK299&gt;0,ISNUMBER(AL299)),AL299/AK299,"")</x:f>
        <x:v>123.25354755227625</x:v>
      </x:c>
    </x:row>
    <x:row r="300" ht="24" customHeight="1">
      <x:c r="A300" s="419" t="n">
        <x:f>100</x:f>
        <x:v>100</x:v>
      </x:c>
      <x:c r="B300" s="414" t="n">
        <x:v>0</x:v>
      </x:c>
      <x:c r="C300" s="412" t="n">
        <x:f>IF(AND(ISNUMBER($H$17),ISNUMBER($J$73),$J$73&gt;-1,$J$73&lt;=5),$H$17*(1+$J$73)^(100-1),"")</x:f>
        <x:v>3787871.113820219</x:v>
      </x:c>
      <x:c r="D300" s="412" t="n">
        <x:f>IF(AND(ISNUMBER($H$18),ISNUMBER($J$74),$J$74&gt;-1,$J$74&lt;=5),$H$18*(1+$J$74)^(100-1),"")</x:f>
        <x:v>559765.9800249407</x:v>
      </x:c>
      <x:c r="E300" s="412" t="n">
        <x:f>IF(AND(ISNUMBER($H$22),ISNUMBER($J$74),$J$74&gt;-1,$J$74&lt;=5),$H$22*(1+$J$74)^(100-1),"")</x:f>
        <x:v>0</x:v>
      </x:c>
      <x:c r="F300" s="412" t="n">
        <x:f>IF(AND(ISNUMBER(C300),ISNUMBER(D300)),C300-D300,"")</x:f>
        <x:v>3228105.133795278</x:v>
      </x:c>
      <x:c r="G300" s="412" t="n">
        <x:f>IF(AND(ISNUMBER(F300),ISNUMBER(E300)),F300-E300,"")</x:f>
        <x:v>3228105.133795278</x:v>
      </x:c>
      <x:c r="H300" s="412" t="n">
        <x:f>IF(COUNT(M1589:M1600)=12,SUM(M1589:M1600),"")</x:f>
        <x:v>0</x:v>
      </x:c>
      <x:c r="I300" s="412" t="n">
        <x:f>SUM(E1589:E1600)</x:f>
        <x:v>0</x:v>
      </x:c>
      <x:c r="J300" s="412" t="n">
        <x:f>SUM(F1589:F1600)</x:f>
        <x:v>0</x:v>
      </x:c>
      <x:c r="K300" s="412" t="n">
        <x:f>SUM(G1589:G1600)</x:f>
        <x:v>0</x:v>
      </x:c>
      <x:c r="L300" s="412" t="n">
        <x:f>IF(AND(ISNUMBER(G300),ISNUMBER(H300),ISNUMBER(J300),ISNUMBER(K300)),G300-H300-B300-J300-K300,"")</x:f>
        <x:v>3228105.133795278</x:v>
      </x:c>
      <x:c r="M300" s="412" t="n">
        <x:f>IF(ISNUMBER(N1600),N1600,"")</x:f>
        <x:v>0</x:v>
      </x:c>
      <x:c r="N300" s="412" t="n">
        <x:f>IF(ISNUMBER($J$77),IF(AND($J$77&gt;0,$J$77&lt;=1,ISNUMBER($H$17),ISNUMBER($H$18),ISNUMBER($J$73),$J$73&gt;-1,$J$73&lt;=5,ISNUMBER($J$74),$J$74&gt;-1,$J$74&lt;=5),($H$17*(1+$J$73)^100-$H$18*(1+$J$74)^100)/$J$77,""),IF(AND($J$77="",ISNUMBER($B$15),$B$15&gt;0,ISNUMBER($J$72),$J$72&gt;-1,$J$72&lt;=5),$B$15*(1+$J$72)^100,""))</x:f>
        <x:v>47979700.77505611</x:v>
      </x:c>
      <x:c r="O300" s="412" t="n">
        <x:f>IF(AND(ISNUMBER(N300),ISNUMBER(M300)),N300*(1-$J$75)-M300,"")</x:f>
        <x:v>47979700.77505611</x:v>
      </x:c>
      <x:c r="P300" s="412" t="n">
        <x:f>IF(AND(ISNUMBER(P299),ISNUMBER(L300)),P299+L300,"")</x:f>
        <x:v>76631414.71810278</x:v>
      </x:c>
      <x:c r="Q300" s="412" t="n">
        <x:f>IF(AND(ISNUMBER(Q299),ISNUMBER(L300)),Q299+MAX(0,-L300),"")</x:f>
        <x:v>208898.25271554862</x:v>
      </x:c>
      <x:c r="R300" s="412" t="n">
        <x:f>IF(AND(ISNUMBER(R299),ISNUMBER(L300)),R299+MAX(0,L300),"")</x:f>
        <x:v>76650312.97081834</x:v>
      </x:c>
      <x:c r="S300" s="412" t="n">
        <x:f>IF(AND(ISNUMBER(Q299),ISNUMBER(L300),ISNUMBER(O300)),Q299+MAX(0,-(L300+O300)),"")</x:f>
        <x:v>208898.25271554862</x:v>
      </x:c>
      <x:c r="T300" s="412" t="n">
        <x:f>IF(AND(ISNUMBER(R299),ISNUMBER(L300),ISNUMBER(O300)),R299+MAX(0,L300+O300),"")</x:f>
        <x:v>124630013.74587445</x:v>
      </x:c>
      <x:c r="U300" s="412" t="n">
        <x:f>IF(AND(ISNUMBER(O300),ISNUMBER(P300),ISNUMBER($E$18)),O300+P300-$E$18,"")</x:f>
        <x:v>124421115.49315889</x:v>
      </x:c>
      <x:c r="V300" s="416" t="n">
        <x:f>IF(AND(S300&gt;0,ISNUMBER(U300)),U300/S300,"")</x:f>
        <x:v>595.606300559057</x:v>
      </x:c>
      <x:c r="W300" s="418" t="n">
        <x:f>IF(AND(S300&gt;0,ISNUMBER(T300)),T300/S300,"")</x:f>
        <x:v>596.606300559057</x:v>
      </x:c>
      <x:c r="X300" s="412" t="n">
        <x:f>IF($B$136="No",0,IF(AND(ISNUMBER(L300),OR(100&lt;&gt;$B$134,ISNUMBER(O300))),MAX(0,-(L300+IF(100=$B$134,O300,0))),0))</x:f>
        <x:v>0</x:v>
      </x:c>
      <x:c r="Y300" s="412" t="n">
        <x:f>IF(AND(ISNUMBER(Y299),ISNUMBER($D$138),$D$138&gt;=-1),Y299+Y299*$D$138-0+X300,"")</x:f>
        <x:v>453998934.8350884</x:v>
      </x:c>
      <x:c r="Z300" s="412" t="n">
        <x:f>IF(AND(ISNUMBER(Y299),ISNUMBER($D$138),$D$138&gt;=-1),Z299+0,"")</x:f>
        <x:v>0</x:v>
      </x:c>
      <x:c r="AA300" s="412" t="n">
        <x:f>IF(ISNUMBER(AA299),AA299+X300,"")</x:f>
        <x:v>208898.25271554862</x:v>
      </x:c>
      <x:c r="AB300" s="412" t="n">
        <x:f>IF(AND(ISNUMBER(Y300),ISNUMBER(Z300),ISNUMBER(AA300)),Y300+Z300-AA300,"")</x:f>
        <x:v>453790036.58237284</x:v>
      </x:c>
      <x:c r="AC300" s="416" t="n">
        <x:f>IF(AND(AA300&gt;0,ISNUMBER(AB300)),AB300/AA300,"")</x:f>
        <x:v>2172.3017338985937</x:v>
      </x:c>
      <x:c r="AD300" s="412" t="n">
        <x:f>IF(AND(ISNUMBER(AD299),ISNUMBER($G$138),$G$138&gt;=0),AD299+AD299*$G$138-IF(AND($J$134="Cash payout",$G$138&gt;=0),AD299*$G$138,0)+X300,"")</x:f>
        <x:v>27254166.426247783</x:v>
      </x:c>
      <x:c r="AE300" s="412" t="n">
        <x:f>IF(AND(ISNUMBER(AD299),ISNUMBER($G$138),$G$138&gt;=0),AE299+IF(AND($J$134="Cash payout",$G$138&gt;=0),AD299*$G$138,0),"")</x:f>
        <x:v>0</x:v>
      </x:c>
      <x:c r="AF300" s="412" t="n">
        <x:f>IF(ISNUMBER(AF299),AF299+X300,"")</x:f>
        <x:v>208898.25271554862</x:v>
      </x:c>
      <x:c r="AG300" s="412" t="n">
        <x:f>IF(AND(ISNUMBER(AD300),ISNUMBER(AE300),ISNUMBER(AF300)),AD300+AE300-AF300,"")</x:f>
        <x:v>27045268.173532233</x:v>
      </x:c>
      <x:c r="AH300" s="416" t="n">
        <x:f>IF(AND(AF300&gt;0,ISNUMBER(AG300)),AG300/AF300,"")</x:f>
        <x:v>129.46622492989005</x:v>
      </x:c>
      <x:c r="AI300" s="412" t="n">
        <x:f>IF(AND(ISNUMBER(AI299),ISNUMBER($J$138),$J$138&gt;=-1),AI299+AI299*$J$138-IF(AND($J$134="Cash payout",$J$138&gt;=0),AI299*$J$138,0)+X300,"")</x:f>
        <x:v>27254166.426247783</x:v>
      </x:c>
      <x:c r="AJ300" s="412" t="n">
        <x:f>IF(AND(ISNUMBER(AI299),ISNUMBER($J$138),$J$138&gt;=-1),AJ299+IF(AND($J$134="Cash payout",$J$138&gt;=0),AI299*$J$138,0),"")</x:f>
        <x:v>0</x:v>
      </x:c>
      <x:c r="AK300" s="412" t="n">
        <x:f>IF(ISNUMBER(AK299),AK299+X300,"")</x:f>
        <x:v>208898.25271554862</x:v>
      </x:c>
      <x:c r="AL300" s="412" t="n">
        <x:f>IF(AND(ISNUMBER(AI300),ISNUMBER(AJ300),ISNUMBER(AK300)),AI300+AJ300-AK300,"")</x:f>
        <x:v>27045268.173532233</x:v>
      </x:c>
      <x:c r="AM300" s="416" t="n">
        <x:f>IF(AND(AK300&gt;0,ISNUMBER(AL300)),AL300/AK300,"")</x:f>
        <x:v>129.46622492989005</x:v>
      </x:c>
    </x:row>
    <x:row r="320" ht="32" customHeight="1">
      <x:c r="A320" s="428" t="str">
        <x:v>MONTHLY LOAN LEDGER · PRIMARY &amp; ADDITIONAL PURCHASE LOAN</x:v>
      </x:c>
      <x:c r="B320" s="429"/>
      <x:c r="C320" s="429"/>
      <x:c r="D320" s="429"/>
      <x:c r="E320" s="429"/>
      <x:c r="F320" s="429"/>
      <x:c r="G320" s="429"/>
      <x:c r="H320" s="429"/>
      <x:c r="I320" s="429"/>
      <x:c r="J320" s="429"/>
      <x:c r="K320" s="429"/>
      <x:c r="L320" s="430"/>
      <x:c r="M320" s="254"/>
      <x:c r="N320" s="254"/>
    </x:row>
    <x:row r="321" ht="24" customHeight="1">
      <x:c r="A321" s="404" t="str">
        <x:v>The primary loan amortizes monthly until paid or matured. Column E shows the balloon due before any chosen resolution. Column F records a cash payoff; refinancing keeps the principal and charges cash fees in G. An unresolved maturity freezes the known balance and leaves subsequent scheduled payments unavailable.</x:v>
      </x:c>
      <x:c r="B321" s="406"/>
      <x:c r="C321" s="406"/>
      <x:c r="D321" s="406"/>
      <x:c r="E321" s="406"/>
      <x:c r="F321" s="406"/>
      <x:c r="G321" s="406"/>
      <x:c r="H321" s="406"/>
      <x:c r="I321" s="406"/>
      <x:c r="J321" s="406"/>
      <x:c r="K321" s="406"/>
      <x:c r="L321" s="406"/>
      <x:c r="M321" s="254"/>
      <x:c r="N321" s="254"/>
    </x:row>
    <x:row r="322" ht="24" customHeight="1">
      <x:c r="A322" s="406"/>
      <x:c r="B322" s="406"/>
      <x:c r="C322" s="406"/>
      <x:c r="D322" s="406"/>
      <x:c r="E322" s="406"/>
      <x:c r="F322" s="406"/>
      <x:c r="G322" s="406"/>
      <x:c r="H322" s="406"/>
      <x:c r="I322" s="406"/>
      <x:c r="J322" s="406"/>
      <x:c r="K322" s="406"/>
      <x:c r="L322" s="406"/>
      <x:c r="M322" s="254"/>
      <x:c r="N322" s="254"/>
    </x:row>
    <x:row r="323" ht="24" customHeight="1">
      <x:c r="A323" s="406"/>
      <x:c r="B323" s="406"/>
      <x:c r="C323" s="406"/>
      <x:c r="D323" s="406"/>
      <x:c r="E323" s="406"/>
      <x:c r="F323" s="406"/>
      <x:c r="G323" s="406"/>
      <x:c r="H323" s="406"/>
      <x:c r="I323" s="406"/>
      <x:c r="J323" s="406"/>
      <x:c r="K323" s="406"/>
      <x:c r="L323" s="406"/>
      <x:c r="M323" s="254"/>
      <x:c r="N323" s="254"/>
    </x:row>
    <x:row r="324" ht="22" customHeight="1">
      <x:c r="A324" s="254"/>
      <x:c r="B324" s="254"/>
      <x:c r="C324" s="254"/>
      <x:c r="D324" s="254"/>
      <x:c r="E324" s="254"/>
      <x:c r="F324" s="254"/>
      <x:c r="G324" s="254"/>
      <x:c r="H324" s="254"/>
      <x:c r="I324" s="254"/>
      <x:c r="J324" s="254"/>
      <x:c r="K324" s="254"/>
      <x:c r="L324" s="254"/>
      <x:c r="M324" s="254"/>
      <x:c r="N324" s="254"/>
    </x:row>
    <x:row r="325" ht="22" customHeight="1">
      <x:c r="A325" s="254"/>
      <x:c r="B325" s="254"/>
      <x:c r="C325" s="254"/>
      <x:c r="D325" s="254"/>
      <x:c r="E325" s="254"/>
      <x:c r="F325" s="254"/>
      <x:c r="G325" s="254"/>
      <x:c r="H325" s="254"/>
      <x:c r="I325" s="254"/>
      <x:c r="J325" s="254"/>
      <x:c r="K325" s="254"/>
      <x:c r="L325" s="254"/>
      <x:c r="M325" s="254"/>
      <x:c r="N325" s="254"/>
    </x:row>
    <x:row r="326" ht="22" customHeight="1">
      <x:c r="A326" s="254"/>
      <x:c r="B326" s="254"/>
      <x:c r="C326" s="254"/>
      <x:c r="D326" s="254"/>
      <x:c r="E326" s="254"/>
      <x:c r="F326" s="254"/>
      <x:c r="G326" s="254"/>
      <x:c r="H326" s="254"/>
      <x:c r="I326" s="254"/>
      <x:c r="J326" s="254"/>
      <x:c r="K326" s="254"/>
      <x:c r="L326" s="254"/>
      <x:c r="M326" s="254"/>
      <x:c r="N326" s="254"/>
    </x:row>
    <x:row r="327" ht="22" customHeight="1">
      <x:c r="A327" s="254"/>
      <x:c r="B327" s="254"/>
      <x:c r="C327" s="254"/>
      <x:c r="D327" s="254"/>
      <x:c r="E327" s="254"/>
      <x:c r="F327" s="254"/>
      <x:c r="G327" s="254"/>
      <x:c r="H327" s="254"/>
      <x:c r="I327" s="254"/>
      <x:c r="J327" s="254"/>
      <x:c r="K327" s="254"/>
      <x:c r="L327" s="254"/>
      <x:c r="M327" s="254"/>
      <x:c r="N327" s="254"/>
    </x:row>
    <x:row r="328" ht="22" customHeight="1">
      <x:c r="A328" s="254"/>
      <x:c r="B328" s="254"/>
      <x:c r="C328" s="254"/>
      <x:c r="D328" s="254"/>
      <x:c r="E328" s="254"/>
      <x:c r="F328" s="254"/>
      <x:c r="G328" s="254"/>
      <x:c r="H328" s="254"/>
      <x:c r="I328" s="254"/>
      <x:c r="J328" s="254"/>
      <x:c r="K328" s="254"/>
      <x:c r="L328" s="254"/>
      <x:c r="M328" s="254"/>
      <x:c r="N328" s="254"/>
    </x:row>
    <x:row r="329" ht="22" customHeight="1">
      <x:c r="A329" s="254"/>
      <x:c r="B329" s="254"/>
      <x:c r="C329" s="254"/>
      <x:c r="D329" s="254"/>
      <x:c r="E329" s="254"/>
      <x:c r="F329" s="254"/>
      <x:c r="G329" s="254"/>
      <x:c r="H329" s="254"/>
      <x:c r="I329" s="254"/>
      <x:c r="J329" s="254"/>
      <x:c r="K329" s="254"/>
      <x:c r="L329" s="254"/>
      <x:c r="M329" s="254"/>
      <x:c r="N329" s="254"/>
    </x:row>
    <x:row r="330" ht="22" customHeight="1">
      <x:c r="A330" s="254"/>
      <x:c r="B330" s="254"/>
      <x:c r="C330" s="254"/>
      <x:c r="D330" s="254"/>
      <x:c r="E330" s="254"/>
      <x:c r="F330" s="254"/>
      <x:c r="G330" s="254"/>
      <x:c r="H330" s="254"/>
      <x:c r="I330" s="254"/>
      <x:c r="J330" s="254"/>
      <x:c r="K330" s="254"/>
      <x:c r="L330" s="254"/>
      <x:c r="M330" s="254"/>
      <x:c r="N330" s="254"/>
    </x:row>
    <x:row r="331" ht="22" customHeight="1">
      <x:c r="A331" s="254"/>
      <x:c r="B331" s="254"/>
      <x:c r="C331" s="254"/>
      <x:c r="D331" s="254"/>
      <x:c r="E331" s="254"/>
      <x:c r="F331" s="254"/>
      <x:c r="G331" s="254"/>
      <x:c r="H331" s="254"/>
      <x:c r="I331" s="254"/>
      <x:c r="J331" s="254"/>
      <x:c r="K331" s="254"/>
      <x:c r="L331" s="254"/>
      <x:c r="M331" s="254"/>
      <x:c r="N331" s="254"/>
    </x:row>
    <x:row r="332" ht="22" customHeight="1">
      <x:c r="A332" s="254"/>
      <x:c r="B332" s="254"/>
      <x:c r="C332" s="254"/>
      <x:c r="D332" s="254"/>
      <x:c r="E332" s="254"/>
      <x:c r="F332" s="254"/>
      <x:c r="G332" s="254"/>
      <x:c r="H332" s="254"/>
      <x:c r="I332" s="254"/>
      <x:c r="J332" s="254"/>
      <x:c r="K332" s="254"/>
      <x:c r="L332" s="254"/>
      <x:c r="M332" s="254"/>
      <x:c r="N332" s="254"/>
    </x:row>
    <x:row r="333" ht="22" customHeight="1">
      <x:c r="A333" s="254"/>
      <x:c r="B333" s="254"/>
      <x:c r="C333" s="254"/>
      <x:c r="D333" s="254"/>
      <x:c r="E333" s="254"/>
      <x:c r="F333" s="254"/>
      <x:c r="G333" s="254"/>
      <x:c r="H333" s="254"/>
      <x:c r="I333" s="254"/>
      <x:c r="J333" s="254"/>
      <x:c r="K333" s="254"/>
      <x:c r="L333" s="254"/>
      <x:c r="M333" s="254"/>
      <x:c r="N333" s="254"/>
    </x:row>
    <x:row r="334" ht="22" customHeight="1">
      <x:c r="A334" s="254"/>
      <x:c r="B334" s="254"/>
      <x:c r="C334" s="254"/>
      <x:c r="D334" s="254"/>
      <x:c r="E334" s="254"/>
      <x:c r="F334" s="254"/>
      <x:c r="G334" s="254"/>
      <x:c r="H334" s="254"/>
      <x:c r="I334" s="254"/>
      <x:c r="J334" s="254"/>
      <x:c r="K334" s="254"/>
      <x:c r="L334" s="254"/>
      <x:c r="M334" s="254"/>
      <x:c r="N334" s="254"/>
    </x:row>
    <x:row r="335" ht="22" customHeight="1">
      <x:c r="A335" s="254"/>
      <x:c r="B335" s="254"/>
      <x:c r="C335" s="254"/>
      <x:c r="D335" s="254"/>
      <x:c r="E335" s="254"/>
      <x:c r="F335" s="254"/>
      <x:c r="G335" s="254"/>
      <x:c r="H335" s="254"/>
      <x:c r="I335" s="254"/>
      <x:c r="J335" s="254"/>
      <x:c r="K335" s="254"/>
      <x:c r="L335" s="254"/>
      <x:c r="M335" s="254"/>
      <x:c r="N335" s="254"/>
    </x:row>
    <x:row r="336" ht="22" customHeight="1">
      <x:c r="A336" s="254"/>
      <x:c r="B336" s="254"/>
      <x:c r="C336" s="254"/>
      <x:c r="D336" s="254"/>
      <x:c r="E336" s="254"/>
      <x:c r="F336" s="254"/>
      <x:c r="G336" s="254"/>
      <x:c r="H336" s="254"/>
      <x:c r="I336" s="254"/>
      <x:c r="J336" s="254"/>
      <x:c r="K336" s="254"/>
      <x:c r="L336" s="254"/>
      <x:c r="M336" s="254"/>
      <x:c r="N336" s="254"/>
    </x:row>
    <x:row r="337" ht="22" customHeight="1">
      <x:c r="A337" s="254"/>
      <x:c r="B337" s="254"/>
      <x:c r="C337" s="254"/>
      <x:c r="D337" s="254"/>
      <x:c r="E337" s="254"/>
      <x:c r="F337" s="254"/>
      <x:c r="G337" s="254"/>
      <x:c r="H337" s="254"/>
      <x:c r="I337" s="254"/>
      <x:c r="J337" s="254"/>
      <x:c r="K337" s="254"/>
      <x:c r="L337" s="254"/>
      <x:c r="M337" s="254"/>
      <x:c r="N337" s="254"/>
    </x:row>
    <x:row r="338" ht="22" customHeight="1">
      <x:c r="A338" s="254"/>
      <x:c r="B338" s="254"/>
      <x:c r="C338" s="254"/>
      <x:c r="D338" s="254"/>
      <x:c r="E338" s="254"/>
      <x:c r="F338" s="254"/>
      <x:c r="G338" s="254"/>
      <x:c r="H338" s="254"/>
      <x:c r="I338" s="254"/>
      <x:c r="J338" s="254"/>
      <x:c r="K338" s="254"/>
      <x:c r="L338" s="254"/>
      <x:c r="M338" s="254"/>
      <x:c r="N338" s="254"/>
    </x:row>
    <x:row r="339" ht="22" customHeight="1">
      <x:c r="A339" s="254"/>
      <x:c r="B339" s="254"/>
      <x:c r="C339" s="254"/>
      <x:c r="D339" s="254"/>
      <x:c r="E339" s="254"/>
      <x:c r="F339" s="254"/>
      <x:c r="G339" s="254"/>
      <x:c r="H339" s="254"/>
      <x:c r="I339" s="254"/>
      <x:c r="J339" s="254"/>
      <x:c r="K339" s="254"/>
      <x:c r="L339" s="254"/>
      <x:c r="M339" s="254"/>
      <x:c r="N339" s="254"/>
    </x:row>
    <x:row r="340" ht="22" customHeight="1">
      <x:c r="A340" s="254"/>
      <x:c r="B340" s="254"/>
      <x:c r="C340" s="254"/>
      <x:c r="D340" s="254"/>
      <x:c r="E340" s="254"/>
      <x:c r="F340" s="254"/>
      <x:c r="G340" s="254"/>
      <x:c r="H340" s="254"/>
      <x:c r="I340" s="254"/>
      <x:c r="J340" s="254"/>
      <x:c r="K340" s="254"/>
      <x:c r="L340" s="254"/>
      <x:c r="M340" s="254"/>
      <x:c r="N340" s="254"/>
    </x:row>
    <x:row r="341" ht="22" customHeight="1">
      <x:c r="A341" s="254"/>
      <x:c r="B341" s="254"/>
      <x:c r="C341" s="254"/>
      <x:c r="D341" s="254"/>
      <x:c r="E341" s="254"/>
      <x:c r="F341" s="254"/>
      <x:c r="G341" s="254"/>
      <x:c r="H341" s="254"/>
      <x:c r="I341" s="254"/>
      <x:c r="J341" s="254"/>
      <x:c r="K341" s="254"/>
      <x:c r="L341" s="254"/>
      <x:c r="M341" s="254"/>
      <x:c r="N341" s="254"/>
    </x:row>
    <x:row r="342" ht="22" customHeight="1">
      <x:c r="A342" s="254"/>
      <x:c r="B342" s="254"/>
      <x:c r="C342" s="254"/>
      <x:c r="D342" s="254"/>
      <x:c r="E342" s="254"/>
      <x:c r="F342" s="254"/>
      <x:c r="G342" s="254"/>
      <x:c r="H342" s="254"/>
      <x:c r="I342" s="254"/>
      <x:c r="J342" s="254"/>
      <x:c r="K342" s="254"/>
      <x:c r="L342" s="254"/>
      <x:c r="M342" s="254"/>
      <x:c r="N342" s="254"/>
    </x:row>
    <x:row r="343" ht="22" customHeight="1">
      <x:c r="A343" s="254"/>
      <x:c r="B343" s="254"/>
      <x:c r="C343" s="254"/>
      <x:c r="D343" s="254"/>
      <x:c r="E343" s="254"/>
      <x:c r="F343" s="254"/>
      <x:c r="G343" s="254"/>
      <x:c r="H343" s="254"/>
      <x:c r="I343" s="254"/>
      <x:c r="J343" s="254"/>
      <x:c r="K343" s="254"/>
      <x:c r="L343" s="254"/>
      <x:c r="M343" s="254"/>
      <x:c r="N343" s="254"/>
    </x:row>
    <x:row r="344" ht="22" customHeight="1">
      <x:c r="A344" s="254"/>
      <x:c r="B344" s="254"/>
      <x:c r="C344" s="254"/>
      <x:c r="D344" s="254"/>
      <x:c r="E344" s="254"/>
      <x:c r="F344" s="254"/>
      <x:c r="G344" s="254"/>
      <x:c r="H344" s="254"/>
      <x:c r="I344" s="254"/>
      <x:c r="J344" s="254"/>
      <x:c r="K344" s="254"/>
      <x:c r="L344" s="254"/>
      <x:c r="M344" s="254"/>
      <x:c r="N344" s="254"/>
    </x:row>
    <x:row r="345" ht="22" customHeight="1">
      <x:c r="A345" s="254"/>
      <x:c r="B345" s="254"/>
      <x:c r="C345" s="254"/>
      <x:c r="D345" s="254"/>
      <x:c r="E345" s="254"/>
      <x:c r="F345" s="254"/>
      <x:c r="G345" s="254"/>
      <x:c r="H345" s="254"/>
      <x:c r="I345" s="254"/>
      <x:c r="J345" s="254"/>
      <x:c r="K345" s="254"/>
      <x:c r="L345" s="254"/>
      <x:c r="M345" s="254"/>
      <x:c r="N345" s="254"/>
    </x:row>
    <x:row r="346" ht="22" customHeight="1">
      <x:c r="A346" s="254"/>
      <x:c r="B346" s="254"/>
      <x:c r="C346" s="254"/>
      <x:c r="D346" s="254"/>
      <x:c r="E346" s="254"/>
      <x:c r="F346" s="254"/>
      <x:c r="G346" s="254"/>
      <x:c r="H346" s="254"/>
      <x:c r="I346" s="254"/>
      <x:c r="J346" s="254"/>
      <x:c r="K346" s="254"/>
      <x:c r="L346" s="254"/>
      <x:c r="M346" s="254"/>
      <x:c r="N346" s="254"/>
    </x:row>
    <x:row r="347" ht="22" customHeight="1">
      <x:c r="A347" s="254"/>
      <x:c r="B347" s="254"/>
      <x:c r="C347" s="254"/>
      <x:c r="D347" s="254"/>
      <x:c r="E347" s="254"/>
      <x:c r="F347" s="254"/>
      <x:c r="G347" s="254"/>
      <x:c r="H347" s="254"/>
      <x:c r="I347" s="254"/>
      <x:c r="J347" s="254"/>
      <x:c r="K347" s="254"/>
      <x:c r="L347" s="254"/>
      <x:c r="M347" s="254"/>
      <x:c r="N347" s="254"/>
    </x:row>
    <x:row r="348" ht="22" customHeight="1">
      <x:c r="A348" s="254"/>
      <x:c r="B348" s="254"/>
      <x:c r="C348" s="254"/>
      <x:c r="D348" s="254"/>
      <x:c r="E348" s="254"/>
      <x:c r="F348" s="254"/>
      <x:c r="G348" s="254"/>
      <x:c r="H348" s="254"/>
      <x:c r="I348" s="254"/>
      <x:c r="J348" s="254"/>
      <x:c r="K348" s="254"/>
      <x:c r="L348" s="254"/>
      <x:c r="M348" s="254"/>
      <x:c r="N348" s="254"/>
    </x:row>
    <x:row r="349" ht="22" customHeight="1">
      <x:c r="A349" s="254"/>
      <x:c r="B349" s="254"/>
      <x:c r="C349" s="254"/>
      <x:c r="D349" s="254"/>
      <x:c r="E349" s="254"/>
      <x:c r="F349" s="254"/>
      <x:c r="G349" s="254"/>
      <x:c r="H349" s="254"/>
      <x:c r="I349" s="254"/>
      <x:c r="J349" s="254"/>
      <x:c r="K349" s="254"/>
      <x:c r="L349" s="254"/>
      <x:c r="M349" s="254"/>
      <x:c r="N349" s="254"/>
    </x:row>
    <x:row r="350" ht="22" customHeight="1">
      <x:c r="A350" s="254"/>
      <x:c r="B350" s="254"/>
      <x:c r="C350" s="254"/>
      <x:c r="D350" s="254"/>
      <x:c r="E350" s="254"/>
      <x:c r="F350" s="254"/>
      <x:c r="G350" s="254"/>
      <x:c r="H350" s="254"/>
      <x:c r="I350" s="254"/>
      <x:c r="J350" s="254"/>
      <x:c r="K350" s="254"/>
      <x:c r="L350" s="254"/>
      <x:c r="M350" s="254"/>
      <x:c r="N350" s="254"/>
    </x:row>
    <x:row r="351" ht="22" customHeight="1">
      <x:c r="A351" s="254"/>
      <x:c r="B351" s="254"/>
      <x:c r="C351" s="254"/>
      <x:c r="D351" s="254"/>
      <x:c r="E351" s="254"/>
      <x:c r="F351" s="254"/>
      <x:c r="G351" s="254"/>
      <x:c r="H351" s="254"/>
      <x:c r="I351" s="254"/>
      <x:c r="J351" s="254"/>
      <x:c r="K351" s="254"/>
      <x:c r="L351" s="254"/>
      <x:c r="M351" s="254"/>
      <x:c r="N351" s="254"/>
    </x:row>
    <x:row r="352" ht="22" customHeight="1">
      <x:c r="A352" s="254"/>
      <x:c r="B352" s="254"/>
      <x:c r="C352" s="254"/>
      <x:c r="D352" s="254"/>
      <x:c r="E352" s="254"/>
      <x:c r="F352" s="254"/>
      <x:c r="G352" s="254"/>
      <x:c r="H352" s="254"/>
      <x:c r="I352" s="254"/>
      <x:c r="J352" s="254"/>
      <x:c r="K352" s="254"/>
      <x:c r="L352" s="254"/>
      <x:c r="M352" s="254"/>
      <x:c r="N352" s="254"/>
    </x:row>
    <x:row r="353" ht="22" customHeight="1">
      <x:c r="A353" s="254"/>
      <x:c r="B353" s="254"/>
      <x:c r="C353" s="254"/>
      <x:c r="D353" s="254"/>
      <x:c r="E353" s="254"/>
      <x:c r="F353" s="254"/>
      <x:c r="G353" s="254"/>
      <x:c r="H353" s="254"/>
      <x:c r="I353" s="254"/>
      <x:c r="J353" s="254"/>
      <x:c r="K353" s="254"/>
      <x:c r="L353" s="254"/>
      <x:c r="M353" s="254"/>
      <x:c r="N353" s="254"/>
    </x:row>
    <x:row r="354" ht="22" customHeight="1">
      <x:c r="A354" s="254"/>
      <x:c r="B354" s="254"/>
      <x:c r="C354" s="254"/>
      <x:c r="D354" s="254"/>
      <x:c r="E354" s="254"/>
      <x:c r="F354" s="254"/>
      <x:c r="G354" s="254"/>
      <x:c r="H354" s="254"/>
      <x:c r="I354" s="254"/>
      <x:c r="J354" s="254"/>
      <x:c r="K354" s="254"/>
      <x:c r="L354" s="254"/>
      <x:c r="M354" s="254"/>
      <x:c r="N354" s="254"/>
    </x:row>
    <x:row r="355" ht="22" customHeight="1">
      <x:c r="A355" s="254"/>
      <x:c r="B355" s="254"/>
      <x:c r="C355" s="254"/>
      <x:c r="D355" s="254"/>
      <x:c r="E355" s="254"/>
      <x:c r="F355" s="254"/>
      <x:c r="G355" s="254"/>
      <x:c r="H355" s="254"/>
      <x:c r="I355" s="254"/>
      <x:c r="J355" s="254"/>
      <x:c r="K355" s="254"/>
      <x:c r="L355" s="254"/>
      <x:c r="M355" s="254"/>
      <x:c r="N355" s="254"/>
    </x:row>
    <x:row r="356" ht="22" customHeight="1">
      <x:c r="A356" s="254"/>
      <x:c r="B356" s="254"/>
      <x:c r="C356" s="254"/>
      <x:c r="D356" s="254"/>
      <x:c r="E356" s="254"/>
      <x:c r="F356" s="254"/>
      <x:c r="G356" s="254"/>
      <x:c r="H356" s="254"/>
      <x:c r="I356" s="254"/>
      <x:c r="J356" s="254"/>
      <x:c r="K356" s="254"/>
      <x:c r="L356" s="254"/>
      <x:c r="M356" s="254"/>
      <x:c r="N356" s="254"/>
    </x:row>
    <x:row r="357" ht="22" customHeight="1">
      <x:c r="A357" s="254"/>
      <x:c r="B357" s="254"/>
      <x:c r="C357" s="254"/>
      <x:c r="D357" s="254"/>
      <x:c r="E357" s="254"/>
      <x:c r="F357" s="254"/>
      <x:c r="G357" s="254"/>
      <x:c r="H357" s="254"/>
      <x:c r="I357" s="254"/>
      <x:c r="J357" s="254"/>
      <x:c r="K357" s="254"/>
      <x:c r="L357" s="254"/>
      <x:c r="M357" s="254"/>
      <x:c r="N357" s="254"/>
    </x:row>
    <x:row r="358" ht="22" customHeight="1">
      <x:c r="A358" s="254"/>
      <x:c r="B358" s="254"/>
      <x:c r="C358" s="254"/>
      <x:c r="D358" s="254"/>
      <x:c r="E358" s="254"/>
      <x:c r="F358" s="254"/>
      <x:c r="G358" s="254"/>
      <x:c r="H358" s="254"/>
      <x:c r="I358" s="254"/>
      <x:c r="J358" s="254"/>
      <x:c r="K358" s="254"/>
      <x:c r="L358" s="254"/>
      <x:c r="M358" s="254"/>
      <x:c r="N358" s="254"/>
    </x:row>
    <x:row r="359" ht="22" customHeight="1">
      <x:c r="A359" s="254"/>
      <x:c r="B359" s="254"/>
      <x:c r="C359" s="254"/>
      <x:c r="D359" s="254"/>
      <x:c r="E359" s="254"/>
      <x:c r="F359" s="254"/>
      <x:c r="G359" s="254"/>
      <x:c r="H359" s="254"/>
      <x:c r="I359" s="254"/>
      <x:c r="J359" s="254"/>
      <x:c r="K359" s="254"/>
      <x:c r="L359" s="254"/>
      <x:c r="M359" s="254"/>
      <x:c r="N359" s="254"/>
    </x:row>
    <x:row r="360" ht="22" customHeight="1">
      <x:c r="A360" s="254"/>
      <x:c r="B360" s="254"/>
      <x:c r="C360" s="254"/>
      <x:c r="D360" s="254"/>
      <x:c r="E360" s="254"/>
      <x:c r="F360" s="254"/>
      <x:c r="G360" s="254"/>
      <x:c r="H360" s="254"/>
      <x:c r="I360" s="254"/>
      <x:c r="J360" s="254"/>
      <x:c r="K360" s="254"/>
      <x:c r="L360" s="254"/>
      <x:c r="M360" s="254"/>
      <x:c r="N360" s="254"/>
    </x:row>
    <x:row r="361" ht="22" customHeight="1">
      <x:c r="A361" s="254"/>
      <x:c r="B361" s="254"/>
      <x:c r="C361" s="254"/>
      <x:c r="D361" s="254"/>
      <x:c r="E361" s="254"/>
      <x:c r="F361" s="254"/>
      <x:c r="G361" s="254"/>
      <x:c r="H361" s="254"/>
      <x:c r="I361" s="254"/>
      <x:c r="J361" s="254"/>
      <x:c r="K361" s="254"/>
      <x:c r="L361" s="254"/>
      <x:c r="M361" s="254"/>
      <x:c r="N361" s="254"/>
    </x:row>
    <x:row r="362" ht="22" customHeight="1">
      <x:c r="A362" s="254"/>
      <x:c r="B362" s="254"/>
      <x:c r="C362" s="254"/>
      <x:c r="D362" s="254"/>
      <x:c r="E362" s="254"/>
      <x:c r="F362" s="254"/>
      <x:c r="G362" s="254"/>
      <x:c r="H362" s="254"/>
      <x:c r="I362" s="254"/>
      <x:c r="J362" s="254"/>
      <x:c r="K362" s="254"/>
      <x:c r="L362" s="254"/>
      <x:c r="M362" s="254"/>
      <x:c r="N362" s="254"/>
    </x:row>
    <x:row r="363" ht="22" customHeight="1">
      <x:c r="A363" s="254"/>
      <x:c r="B363" s="254"/>
      <x:c r="C363" s="254"/>
      <x:c r="D363" s="254"/>
      <x:c r="E363" s="254"/>
      <x:c r="F363" s="254"/>
      <x:c r="G363" s="254"/>
      <x:c r="H363" s="254"/>
      <x:c r="I363" s="254"/>
      <x:c r="J363" s="254"/>
      <x:c r="K363" s="254"/>
      <x:c r="L363" s="254"/>
      <x:c r="M363" s="254"/>
      <x:c r="N363" s="254"/>
    </x:row>
    <x:row r="364" ht="22" customHeight="1">
      <x:c r="A364" s="254"/>
      <x:c r="B364" s="254"/>
      <x:c r="C364" s="254"/>
      <x:c r="D364" s="254"/>
      <x:c r="E364" s="254"/>
      <x:c r="F364" s="254"/>
      <x:c r="G364" s="254"/>
      <x:c r="H364" s="254"/>
      <x:c r="I364" s="254"/>
      <x:c r="J364" s="254"/>
      <x:c r="K364" s="254"/>
      <x:c r="L364" s="254"/>
      <x:c r="M364" s="254"/>
      <x:c r="N364" s="254"/>
    </x:row>
    <x:row r="365" ht="22" customHeight="1">
      <x:c r="A365" s="254"/>
      <x:c r="B365" s="254"/>
      <x:c r="C365" s="254"/>
      <x:c r="D365" s="254"/>
      <x:c r="E365" s="254"/>
      <x:c r="F365" s="254"/>
      <x:c r="G365" s="254"/>
      <x:c r="H365" s="254"/>
      <x:c r="I365" s="254"/>
      <x:c r="J365" s="254"/>
      <x:c r="K365" s="254"/>
      <x:c r="L365" s="254"/>
      <x:c r="M365" s="254"/>
      <x:c r="N365" s="254"/>
    </x:row>
    <x:row r="366" ht="22" customHeight="1">
      <x:c r="A366" s="254"/>
      <x:c r="B366" s="254"/>
      <x:c r="C366" s="254"/>
      <x:c r="D366" s="254"/>
      <x:c r="E366" s="254"/>
      <x:c r="F366" s="254"/>
      <x:c r="G366" s="254"/>
      <x:c r="H366" s="254"/>
      <x:c r="I366" s="254"/>
      <x:c r="J366" s="254"/>
      <x:c r="K366" s="254"/>
      <x:c r="L366" s="254"/>
      <x:c r="M366" s="254"/>
      <x:c r="N366" s="254"/>
    </x:row>
    <x:row r="367" ht="22" customHeight="1">
      <x:c r="A367" s="254"/>
      <x:c r="B367" s="254"/>
      <x:c r="C367" s="254"/>
      <x:c r="D367" s="254"/>
      <x:c r="E367" s="254"/>
      <x:c r="F367" s="254"/>
      <x:c r="G367" s="254"/>
      <x:c r="H367" s="254"/>
      <x:c r="I367" s="254"/>
      <x:c r="J367" s="254"/>
      <x:c r="K367" s="254"/>
      <x:c r="L367" s="254"/>
      <x:c r="M367" s="254"/>
      <x:c r="N367" s="254"/>
    </x:row>
    <x:row r="368" ht="22" customHeight="1">
      <x:c r="A368" s="254"/>
      <x:c r="B368" s="254"/>
      <x:c r="C368" s="254"/>
      <x:c r="D368" s="254"/>
      <x:c r="E368" s="254"/>
      <x:c r="F368" s="254"/>
      <x:c r="G368" s="254"/>
      <x:c r="H368" s="254"/>
      <x:c r="I368" s="254"/>
      <x:c r="J368" s="254"/>
      <x:c r="K368" s="254"/>
      <x:c r="L368" s="254"/>
      <x:c r="M368" s="254"/>
      <x:c r="N368" s="254"/>
    </x:row>
    <x:row r="369" ht="22" customHeight="1">
      <x:c r="A369" s="254"/>
      <x:c r="B369" s="254"/>
      <x:c r="C369" s="254"/>
      <x:c r="D369" s="254"/>
      <x:c r="E369" s="254"/>
      <x:c r="F369" s="254"/>
      <x:c r="G369" s="254"/>
      <x:c r="H369" s="254"/>
      <x:c r="I369" s="254"/>
      <x:c r="J369" s="254"/>
      <x:c r="K369" s="254"/>
      <x:c r="L369" s="254"/>
      <x:c r="M369" s="254"/>
      <x:c r="N369" s="254"/>
    </x:row>
    <x:row r="370" ht="22" customHeight="1">
      <x:c r="A370" s="254"/>
      <x:c r="B370" s="254"/>
      <x:c r="C370" s="254"/>
      <x:c r="D370" s="254"/>
      <x:c r="E370" s="254"/>
      <x:c r="F370" s="254"/>
      <x:c r="G370" s="254"/>
      <x:c r="H370" s="254"/>
      <x:c r="I370" s="254"/>
      <x:c r="J370" s="254"/>
      <x:c r="K370" s="254"/>
      <x:c r="L370" s="254"/>
      <x:c r="M370" s="254"/>
      <x:c r="N370" s="254"/>
    </x:row>
    <x:row r="371" ht="22" customHeight="1">
      <x:c r="A371" s="254"/>
      <x:c r="B371" s="254"/>
      <x:c r="C371" s="254"/>
      <x:c r="D371" s="254"/>
      <x:c r="E371" s="254"/>
      <x:c r="F371" s="254"/>
      <x:c r="G371" s="254"/>
      <x:c r="H371" s="254"/>
      <x:c r="I371" s="254"/>
      <x:c r="J371" s="254"/>
      <x:c r="K371" s="254"/>
      <x:c r="L371" s="254"/>
      <x:c r="M371" s="254"/>
      <x:c r="N371" s="254"/>
    </x:row>
    <x:row r="372" ht="22" customHeight="1">
      <x:c r="A372" s="254"/>
      <x:c r="B372" s="254"/>
      <x:c r="C372" s="254"/>
      <x:c r="D372" s="254"/>
      <x:c r="E372" s="254"/>
      <x:c r="F372" s="254"/>
      <x:c r="G372" s="254"/>
      <x:c r="H372" s="254"/>
      <x:c r="I372" s="254"/>
      <x:c r="J372" s="254"/>
      <x:c r="K372" s="254"/>
      <x:c r="L372" s="254"/>
      <x:c r="M372" s="254"/>
      <x:c r="N372" s="254"/>
    </x:row>
    <x:row r="373" ht="22" customHeight="1">
      <x:c r="A373" s="254"/>
      <x:c r="B373" s="254"/>
      <x:c r="C373" s="254"/>
      <x:c r="D373" s="254"/>
      <x:c r="E373" s="254"/>
      <x:c r="F373" s="254"/>
      <x:c r="G373" s="254"/>
      <x:c r="H373" s="254"/>
      <x:c r="I373" s="254"/>
      <x:c r="J373" s="254"/>
      <x:c r="K373" s="254"/>
      <x:c r="L373" s="254"/>
      <x:c r="M373" s="254"/>
      <x:c r="N373" s="254"/>
    </x:row>
    <x:row r="374" ht="22" customHeight="1">
      <x:c r="A374" s="254"/>
      <x:c r="B374" s="254"/>
      <x:c r="C374" s="254"/>
      <x:c r="D374" s="254"/>
      <x:c r="E374" s="254"/>
      <x:c r="F374" s="254"/>
      <x:c r="G374" s="254"/>
      <x:c r="H374" s="254"/>
      <x:c r="I374" s="254"/>
      <x:c r="J374" s="254"/>
      <x:c r="K374" s="254"/>
      <x:c r="L374" s="254"/>
      <x:c r="M374" s="254"/>
      <x:c r="N374" s="254"/>
    </x:row>
    <x:row r="375" ht="22" customHeight="1">
      <x:c r="A375" s="254"/>
      <x:c r="B375" s="254"/>
      <x:c r="C375" s="254"/>
      <x:c r="D375" s="254"/>
      <x:c r="E375" s="254"/>
      <x:c r="F375" s="254"/>
      <x:c r="G375" s="254"/>
      <x:c r="H375" s="254"/>
      <x:c r="I375" s="254"/>
      <x:c r="J375" s="254"/>
      <x:c r="K375" s="254"/>
      <x:c r="L375" s="254"/>
      <x:c r="M375" s="254"/>
      <x:c r="N375" s="254"/>
    </x:row>
    <x:row r="376" ht="22" customHeight="1">
      <x:c r="A376" s="254"/>
      <x:c r="B376" s="254"/>
      <x:c r="C376" s="254"/>
      <x:c r="D376" s="254"/>
      <x:c r="E376" s="254"/>
      <x:c r="F376" s="254"/>
      <x:c r="G376" s="254"/>
      <x:c r="H376" s="254"/>
      <x:c r="I376" s="254"/>
      <x:c r="J376" s="254"/>
      <x:c r="K376" s="254"/>
      <x:c r="L376" s="254"/>
      <x:c r="M376" s="254"/>
      <x:c r="N376" s="254"/>
    </x:row>
    <x:row r="377" ht="22" customHeight="1">
      <x:c r="A377" s="254"/>
      <x:c r="B377" s="254"/>
      <x:c r="C377" s="254"/>
      <x:c r="D377" s="254"/>
      <x:c r="E377" s="254"/>
      <x:c r="F377" s="254"/>
      <x:c r="G377" s="254"/>
      <x:c r="H377" s="254"/>
      <x:c r="I377" s="254"/>
      <x:c r="J377" s="254"/>
      <x:c r="K377" s="254"/>
      <x:c r="L377" s="254"/>
      <x:c r="M377" s="254"/>
      <x:c r="N377" s="254"/>
    </x:row>
    <x:row r="378" ht="22" customHeight="1">
      <x:c r="A378" s="254"/>
      <x:c r="B378" s="254"/>
      <x:c r="C378" s="254"/>
      <x:c r="D378" s="254"/>
      <x:c r="E378" s="254"/>
      <x:c r="F378" s="254"/>
      <x:c r="G378" s="254"/>
      <x:c r="H378" s="254"/>
      <x:c r="I378" s="254"/>
      <x:c r="J378" s="254"/>
      <x:c r="K378" s="254"/>
      <x:c r="L378" s="254"/>
      <x:c r="M378" s="254"/>
      <x:c r="N378" s="254"/>
    </x:row>
    <x:row r="379" ht="22" customHeight="1">
      <x:c r="A379" s="254"/>
      <x:c r="B379" s="254"/>
      <x:c r="C379" s="254"/>
      <x:c r="D379" s="254"/>
      <x:c r="E379" s="254"/>
      <x:c r="F379" s="254"/>
      <x:c r="G379" s="254"/>
      <x:c r="H379" s="254"/>
      <x:c r="I379" s="254"/>
      <x:c r="J379" s="254"/>
      <x:c r="K379" s="254"/>
      <x:c r="L379" s="254"/>
      <x:c r="M379" s="254"/>
      <x:c r="N379" s="254"/>
    </x:row>
    <x:row r="380" ht="22" customHeight="1">
      <x:c r="A380" s="254"/>
      <x:c r="B380" s="254"/>
      <x:c r="C380" s="254"/>
      <x:c r="D380" s="254"/>
      <x:c r="E380" s="254"/>
      <x:c r="F380" s="254"/>
      <x:c r="G380" s="254"/>
      <x:c r="H380" s="254"/>
      <x:c r="I380" s="254"/>
      <x:c r="J380" s="254"/>
      <x:c r="K380" s="254"/>
      <x:c r="L380" s="254"/>
      <x:c r="M380" s="254"/>
      <x:c r="N380" s="254"/>
    </x:row>
    <x:row r="381" ht="22" customHeight="1">
      <x:c r="A381" s="254"/>
      <x:c r="B381" s="254"/>
      <x:c r="C381" s="254"/>
      <x:c r="D381" s="254"/>
      <x:c r="E381" s="254"/>
      <x:c r="F381" s="254"/>
      <x:c r="G381" s="254"/>
      <x:c r="H381" s="254"/>
      <x:c r="I381" s="254"/>
      <x:c r="J381" s="254"/>
      <x:c r="K381" s="254"/>
      <x:c r="L381" s="254"/>
      <x:c r="M381" s="254"/>
      <x:c r="N381" s="254"/>
    </x:row>
    <x:row r="382" ht="22" customHeight="1">
      <x:c r="A382" s="254"/>
      <x:c r="B382" s="254"/>
      <x:c r="C382" s="254"/>
      <x:c r="D382" s="254"/>
      <x:c r="E382" s="254"/>
      <x:c r="F382" s="254"/>
      <x:c r="G382" s="254"/>
      <x:c r="H382" s="254"/>
      <x:c r="I382" s="254"/>
      <x:c r="J382" s="254"/>
      <x:c r="K382" s="254"/>
      <x:c r="L382" s="254"/>
      <x:c r="M382" s="254"/>
      <x:c r="N382" s="254"/>
    </x:row>
    <x:row r="383" ht="22" customHeight="1">
      <x:c r="A383" s="254"/>
      <x:c r="B383" s="254"/>
      <x:c r="C383" s="254"/>
      <x:c r="D383" s="254"/>
      <x:c r="E383" s="254"/>
      <x:c r="F383" s="254"/>
      <x:c r="G383" s="254"/>
      <x:c r="H383" s="254"/>
      <x:c r="I383" s="254"/>
      <x:c r="J383" s="254"/>
      <x:c r="K383" s="254"/>
      <x:c r="L383" s="254"/>
      <x:c r="M383" s="254"/>
      <x:c r="N383" s="254"/>
    </x:row>
    <x:row r="384" ht="22" customHeight="1">
      <x:c r="A384" s="254"/>
      <x:c r="B384" s="254"/>
      <x:c r="C384" s="254"/>
      <x:c r="D384" s="254"/>
      <x:c r="E384" s="254"/>
      <x:c r="F384" s="254"/>
      <x:c r="G384" s="254"/>
      <x:c r="H384" s="254"/>
      <x:c r="I384" s="254"/>
      <x:c r="J384" s="254"/>
      <x:c r="K384" s="254"/>
      <x:c r="L384" s="254"/>
      <x:c r="M384" s="254"/>
      <x:c r="N384" s="254"/>
    </x:row>
    <x:row r="385" ht="22" customHeight="1">
      <x:c r="A385" s="254"/>
      <x:c r="B385" s="254"/>
      <x:c r="C385" s="254"/>
      <x:c r="D385" s="254"/>
      <x:c r="E385" s="254"/>
      <x:c r="F385" s="254"/>
      <x:c r="G385" s="254"/>
      <x:c r="H385" s="254"/>
      <x:c r="I385" s="254"/>
      <x:c r="J385" s="254"/>
      <x:c r="K385" s="254"/>
      <x:c r="L385" s="254"/>
      <x:c r="M385" s="254"/>
      <x:c r="N385" s="254"/>
    </x:row>
    <x:row r="386" ht="22" customHeight="1">
      <x:c r="A386" s="254"/>
      <x:c r="B386" s="254"/>
      <x:c r="C386" s="254"/>
      <x:c r="D386" s="254"/>
      <x:c r="E386" s="254"/>
      <x:c r="F386" s="254"/>
      <x:c r="G386" s="254"/>
      <x:c r="H386" s="254"/>
      <x:c r="I386" s="254"/>
      <x:c r="J386" s="254"/>
      <x:c r="K386" s="254"/>
      <x:c r="L386" s="254"/>
      <x:c r="M386" s="254"/>
      <x:c r="N386" s="254"/>
    </x:row>
    <x:row r="387" ht="22" customHeight="1">
      <x:c r="A387" s="254"/>
      <x:c r="B387" s="254"/>
      <x:c r="C387" s="254"/>
      <x:c r="D387" s="254"/>
      <x:c r="E387" s="254"/>
      <x:c r="F387" s="254"/>
      <x:c r="G387" s="254"/>
      <x:c r="H387" s="254"/>
      <x:c r="I387" s="254"/>
      <x:c r="J387" s="254"/>
      <x:c r="K387" s="254"/>
      <x:c r="L387" s="254"/>
      <x:c r="M387" s="254"/>
      <x:c r="N387" s="254"/>
    </x:row>
    <x:row r="388" ht="22" customHeight="1">
      <x:c r="A388" s="254"/>
      <x:c r="B388" s="254"/>
      <x:c r="C388" s="254"/>
      <x:c r="D388" s="254"/>
      <x:c r="E388" s="254"/>
      <x:c r="F388" s="254"/>
      <x:c r="G388" s="254"/>
      <x:c r="H388" s="254"/>
      <x:c r="I388" s="254"/>
      <x:c r="J388" s="254"/>
      <x:c r="K388" s="254"/>
      <x:c r="L388" s="254"/>
      <x:c r="M388" s="254"/>
      <x:c r="N388" s="254"/>
    </x:row>
    <x:row r="389" ht="22" customHeight="1">
      <x:c r="A389" s="254"/>
      <x:c r="B389" s="254"/>
      <x:c r="C389" s="254"/>
      <x:c r="D389" s="254"/>
      <x:c r="E389" s="254"/>
      <x:c r="F389" s="254"/>
      <x:c r="G389" s="254"/>
      <x:c r="H389" s="254"/>
      <x:c r="I389" s="254"/>
      <x:c r="J389" s="254"/>
      <x:c r="K389" s="254"/>
      <x:c r="L389" s="254"/>
      <x:c r="M389" s="254"/>
      <x:c r="N389" s="254"/>
    </x:row>
    <x:row r="390" ht="22" customHeight="1">
      <x:c r="A390" s="254"/>
      <x:c r="B390" s="254"/>
      <x:c r="C390" s="254"/>
      <x:c r="D390" s="254"/>
      <x:c r="E390" s="254"/>
      <x:c r="F390" s="254"/>
      <x:c r="G390" s="254"/>
      <x:c r="H390" s="254"/>
      <x:c r="I390" s="254"/>
      <x:c r="J390" s="254"/>
      <x:c r="K390" s="254"/>
      <x:c r="L390" s="254"/>
      <x:c r="M390" s="254"/>
      <x:c r="N390" s="254"/>
    </x:row>
    <x:row r="391" ht="22" customHeight="1">
      <x:c r="A391" s="254"/>
      <x:c r="B391" s="254"/>
      <x:c r="C391" s="254"/>
      <x:c r="D391" s="254"/>
      <x:c r="E391" s="254"/>
      <x:c r="F391" s="254"/>
      <x:c r="G391" s="254"/>
      <x:c r="H391" s="254"/>
      <x:c r="I391" s="254"/>
      <x:c r="J391" s="254"/>
      <x:c r="K391" s="254"/>
      <x:c r="L391" s="254"/>
      <x:c r="M391" s="254"/>
      <x:c r="N391" s="254"/>
    </x:row>
    <x:row r="392" ht="22" customHeight="1">
      <x:c r="A392" s="254"/>
      <x:c r="B392" s="254"/>
      <x:c r="C392" s="254"/>
      <x:c r="D392" s="254"/>
      <x:c r="E392" s="254"/>
      <x:c r="F392" s="254"/>
      <x:c r="G392" s="254"/>
      <x:c r="H392" s="254"/>
      <x:c r="I392" s="254"/>
      <x:c r="J392" s="254"/>
      <x:c r="K392" s="254"/>
      <x:c r="L392" s="254"/>
      <x:c r="M392" s="254"/>
      <x:c r="N392" s="254"/>
    </x:row>
    <x:row r="393" ht="22" customHeight="1">
      <x:c r="A393" s="254"/>
      <x:c r="B393" s="254"/>
      <x:c r="C393" s="254"/>
      <x:c r="D393" s="254"/>
      <x:c r="E393" s="254"/>
      <x:c r="F393" s="254"/>
      <x:c r="G393" s="254"/>
      <x:c r="H393" s="254"/>
      <x:c r="I393" s="254"/>
      <x:c r="J393" s="254"/>
      <x:c r="K393" s="254"/>
      <x:c r="L393" s="254"/>
      <x:c r="M393" s="254"/>
      <x:c r="N393" s="254"/>
    </x:row>
    <x:row r="394" ht="22" customHeight="1">
      <x:c r="A394" s="254"/>
      <x:c r="B394" s="254"/>
      <x:c r="C394" s="254"/>
      <x:c r="D394" s="254"/>
      <x:c r="E394" s="254"/>
      <x:c r="F394" s="254"/>
      <x:c r="G394" s="254"/>
      <x:c r="H394" s="254"/>
      <x:c r="I394" s="254"/>
      <x:c r="J394" s="254"/>
      <x:c r="K394" s="254"/>
      <x:c r="L394" s="254"/>
      <x:c r="M394" s="254"/>
      <x:c r="N394" s="254"/>
    </x:row>
    <x:row r="395" ht="22" customHeight="1">
      <x:c r="A395" s="254"/>
      <x:c r="B395" s="254"/>
      <x:c r="C395" s="254"/>
      <x:c r="D395" s="254"/>
      <x:c r="E395" s="254"/>
      <x:c r="F395" s="254"/>
      <x:c r="G395" s="254"/>
      <x:c r="H395" s="254"/>
      <x:c r="I395" s="254"/>
      <x:c r="J395" s="254"/>
      <x:c r="K395" s="254"/>
      <x:c r="L395" s="254"/>
      <x:c r="M395" s="254"/>
      <x:c r="N395" s="254"/>
    </x:row>
    <x:row r="396" ht="22" customHeight="1">
      <x:c r="A396" s="254"/>
      <x:c r="B396" s="254"/>
      <x:c r="C396" s="254"/>
      <x:c r="D396" s="254"/>
      <x:c r="E396" s="254"/>
      <x:c r="F396" s="254"/>
      <x:c r="G396" s="254"/>
      <x:c r="H396" s="254"/>
      <x:c r="I396" s="254"/>
      <x:c r="J396" s="254"/>
      <x:c r="K396" s="254"/>
      <x:c r="L396" s="254"/>
      <x:c r="M396" s="254"/>
      <x:c r="N396" s="254"/>
    </x:row>
    <x:row r="397" ht="22" customHeight="1">
      <x:c r="A397" s="254"/>
      <x:c r="B397" s="254"/>
      <x:c r="C397" s="254"/>
      <x:c r="D397" s="254"/>
      <x:c r="E397" s="254"/>
      <x:c r="F397" s="254"/>
      <x:c r="G397" s="254"/>
      <x:c r="H397" s="254"/>
      <x:c r="I397" s="254"/>
      <x:c r="J397" s="254"/>
      <x:c r="K397" s="254"/>
      <x:c r="L397" s="254"/>
      <x:c r="M397" s="254"/>
      <x:c r="N397" s="254"/>
    </x:row>
    <x:row r="398" ht="22" customHeight="1">
      <x:c r="A398" s="254"/>
      <x:c r="B398" s="254"/>
      <x:c r="C398" s="254"/>
      <x:c r="D398" s="254"/>
      <x:c r="E398" s="254"/>
      <x:c r="F398" s="254"/>
      <x:c r="G398" s="254"/>
      <x:c r="H398" s="254"/>
      <x:c r="I398" s="254"/>
      <x:c r="J398" s="254"/>
      <x:c r="K398" s="254"/>
      <x:c r="L398" s="254"/>
      <x:c r="M398" s="254"/>
      <x:c r="N398" s="254"/>
    </x:row>
    <x:row r="399" ht="22" customHeight="1">
      <x:c r="A399" s="254"/>
      <x:c r="B399" s="254"/>
      <x:c r="C399" s="254"/>
      <x:c r="D399" s="254"/>
      <x:c r="E399" s="254"/>
      <x:c r="F399" s="254"/>
      <x:c r="G399" s="254"/>
      <x:c r="H399" s="254"/>
      <x:c r="I399" s="254"/>
      <x:c r="J399" s="254"/>
      <x:c r="K399" s="254"/>
      <x:c r="L399" s="254"/>
      <x:c r="M399" s="254"/>
      <x:c r="N399" s="254"/>
    </x:row>
    <x:row r="400" ht="48" customHeight="1">
      <x:c r="A400" s="439" t="str">
        <x:v>Month</x:v>
      </x:c>
      <x:c r="B400" s="439" t="str">
        <x:v>Opening primary</x:v>
      </x:c>
      <x:c r="C400" s="439" t="str">
        <x:v>Annual rate</x:v>
      </x:c>
      <x:c r="D400" s="439" t="str">
        <x:v>Primary P&amp;I</x:v>
      </x:c>
      <x:c r="E400" s="439" t="str">
        <x:v>Balloon due</x:v>
      </x:c>
      <x:c r="F400" s="439" t="str">
        <x:v>Cash balloon paid</x:v>
      </x:c>
      <x:c r="G400" s="439" t="str">
        <x:v>Refinance costs</x:v>
      </x:c>
      <x:c r="H400" s="439" t="str">
        <x:v>Closing primary</x:v>
      </x:c>
      <x:c r="I400" s="439" t="str">
        <x:v>Unresolved</x:v>
      </x:c>
      <x:c r="J400" s="439" t="str">
        <x:v>Opening additional</x:v>
      </x:c>
      <x:c r="K400" s="439" t="str">
        <x:v>Additional P&amp;I</x:v>
      </x:c>
      <x:c r="L400" s="439" t="str">
        <x:v>Closing additional</x:v>
      </x:c>
      <x:c r="M400" s="439" t="str">
        <x:v>Total scheduled P&amp;I</x:v>
      </x:c>
      <x:c r="N400" s="439" t="str">
        <x:v>Total closing debt</x:v>
      </x:c>
    </x:row>
    <x:row r="401" ht="22" customHeight="1">
      <x:c r="A401" s="254" t="n">
        <x:f>1</x:f>
        <x:v>1</x:v>
      </x:c>
      <x:c r="B401" s="440" t="n">
        <x:f>IF(ISNUMBER($E$17),$E$17,"")</x:f>
        <x:v>760000</x:v>
      </x:c>
      <x:c r="C401" s="442" t="n">
        <x:f>IF(ISNUMBER(B401),IF(AND(1&gt;$B$173,$B$78="Refinance",ISNUMBER($B$80),$B$80&gt;=0,$B$80&lt;=1,ROUND($B$81*12,0)&gt;=1,$B$81&lt;=100,SUM($B$82)&gt;=0,SUM($B$82)&lt;=1,SUM($B$83)&gt;=0),$B$80,IF(AND($B$175&gt;0,1&gt;$B$175,ISNUMBER($B$75)),$B$75,$B$61)),"")</x:f>
        <x:v>0.0625</x:v>
      </x:c>
      <x:c r="D401" s="440" t="n">
        <x:f>IF(AND(ISNUMBER(B401),B401=0),0,IF(AND($B$171=1,0=0,ISNUMBER(C401),ISNUMBER(IF(AND(1&lt;=$B$174,1&lt;=$B$173),B401*C401/12,IF(AND(1=$B$173+1,AND(1&gt;$B$173,$B$78="Refinance",ISNUMBER($B$80),$B$80&gt;=0,$B$80&lt;=1,ROUND($B$81*12,0)&gt;=1,$B$81&lt;=100,SUM($B$82)&gt;=0,SUM($B$82)&lt;=1,SUM($B$83)&gt;=0)),IF(B401=0,0,IF(C401=0,B401/ROUND($B$81*12,0),B401*(C401/12)/(1-(1+C401/12)^(-ROUND($B$81*12,0))))),IF(AND(NOT(AND(1&gt;$B$173,$B$78="Refinance",ISNUMBER($B$80),$B$80&gt;=0,$B$80&lt;=1,ROUND($B$81*12,0)&gt;=1,$B$81&lt;=100,SUM($B$82)&gt;=0,SUM($B$82)&lt;=1,SUM($B$83)&gt;=0)),OR(1=1,1=$B$174+1,AND($B$175&gt;0,1=$B$175+1))),IF(AND($B$170=1,$B$66&gt;0,OR($B$175=0,1&lt;=$B$175)),$B$66,IF($B$172-MAX(1-1,$B$174)&gt;0,IF(B401=0,0,IF(C401=0,B401/($B$172-MAX(1-1,$B$174)),B401*(C401/12)/(1-(1+C401/12)^(-($B$172-MAX(1-1,$B$174)))))),"")),0))))),IF(IF(AND(1&lt;=$B$174,1&lt;=$B$173),B401*C401/12,IF(AND(1=$B$173+1,AND(1&gt;$B$173,$B$78="Refinance",ISNUMBER($B$80),$B$80&gt;=0,$B$80&lt;=1,ROUND($B$81*12,0)&gt;=1,$B$81&lt;=100,SUM($B$82)&gt;=0,SUM($B$82)&lt;=1,SUM($B$83)&gt;=0)),IF(B401=0,0,IF(C401=0,B401/ROUND($B$81*12,0),B401*(C401/12)/(1-(1+C401/12)^(-ROUND($B$81*12,0))))),IF(AND(NOT(AND(1&gt;$B$173,$B$78="Refinance",ISNUMBER($B$80),$B$80&gt;=0,$B$80&lt;=1,ROUND($B$81*12,0)&gt;=1,$B$81&lt;=100,SUM($B$82)&gt;=0,SUM($B$82)&lt;=1,SUM($B$83)&gt;=0)),OR(1=1,1=$B$174+1,AND($B$175&gt;0,1=$B$175+1))),IF(AND($B$170=1,$B$66&gt;0,OR($B$175=0,1&lt;=$B$175)),$B$66,IF($B$172-MAX(1-1,$B$174)&gt;0,IF(B401=0,0,IF(C401=0,B401/($B$172-MAX(1-1,$B$174)),B401*(C401/12)/(1-(1+C401/12)^(-($B$172-MAX(1-1,$B$174)))))),"")),0)))+0.0000001&gt;=B401*C401/12,MIN(B401*(1+C401/12),IF(AND(1&lt;=$B$174,1&lt;=$B$173),B401*C401/12,IF(AND(1=$B$173+1,AND(1&gt;$B$173,$B$78="Refinance",ISNUMBER($B$80),$B$80&gt;=0,$B$80&lt;=1,ROUND($B$81*12,0)&gt;=1,$B$81&lt;=100,SUM($B$82)&gt;=0,SUM($B$82)&lt;=1,SUM($B$83)&gt;=0)),IF(B401=0,0,IF(C401=0,B401/ROUND($B$81*12,0),B401*(C401/12)/(1-(1+C401/12)^(-ROUND($B$81*12,0))))),IF(AND(NOT(AND(1&gt;$B$173,$B$78="Refinance",ISNUMBER($B$80),$B$80&gt;=0,$B$80&lt;=1,ROUND($B$81*12,0)&gt;=1,$B$81&lt;=100,SUM($B$82)&gt;=0,SUM($B$82)&lt;=1,SUM($B$83)&gt;=0)),OR(1=1,1=$B$174+1,AND($B$175&gt;0,1=$B$175+1))),IF(AND($B$170=1,$B$66&gt;0,OR($B$175=0,1&lt;=$B$175)),$B$66,IF($B$172-MAX(1-1,$B$174)&gt;0,IF(B401=0,0,IF(C401=0,B401/($B$172-MAX(1-1,$B$174)),B401*(C401/12)/(1-(1+C401/12)^(-($B$172-MAX(1-1,$B$174)))))),"")),0)))),""),""))</x:f>
        <x:v>4679.450723240598</x:v>
      </x:c>
      <x:c r="E401" s="440" t="n">
        <x:f>IF(AND(1=$B$173,ISNUMBER(D401)),IF(MAX(0,B401*(1+C401/12)-D401)&lt;MAX(0.0000001,$E$17*0.00000000001),0,MAX(0,B401*(1+C401/12)-D401)),0)</x:f>
        <x:v>0</x:v>
      </x:c>
      <x:c r="F401" s="440" t="n">
        <x:f>IF($B$78="Cash payoff",E401,0)</x:f>
        <x:v>0</x:v>
      </x:c>
      <x:c r="G401" s="440" t="n">
        <x:f>IF(AND(E401&gt;0,AND($B$78="Refinance",ISNUMBER($B$80),$B$80&gt;=0,$B$80&lt;=1,ROUND($B$81*12,0)&gt;=1,$B$81&lt;=100,SUM($B$82)&gt;=0,SUM($B$82)&lt;=1,SUM($B$83)&gt;=0)),E401*SUM($B$82)+SUM($B$83),0)</x:f>
        <x:v>0</x:v>
      </x:c>
      <x:c r="H401" s="440" t="n">
        <x:f>IF(ISNUMBER(D401),IF(MAX(0,B401*(1+C401/12)-D401-F401)&lt;MAX(0.0000001,$E$17*0.00000000001),0,MAX(0,B401*(1+C401/12)-D401-F401)),IF(AND($B$171=1,0=1),B401,""))</x:f>
        <x:v>759278.8826100926</x:v>
      </x:c>
      <x:c r="I401" s="444" t="n">
        <x:f>IF(OR(0=1,AND(E401&gt;0,$B$78&lt;&gt;"Cash payoff",NOT(AND($B$78="Refinance",ISNUMBER($B$80),$B$80&gt;=0,$B$80&lt;=1,ROUND($B$81*12,0)&gt;=1,$B$81&lt;=100,SUM($B$82)&gt;=0,SUM($B$82)&lt;=1,SUM($B$83)&gt;=0))),AND(ISNUMBER(B401),B401&gt;0,$B$171=1,NOT(ISNUMBER(D401)))),1,0)</x:f>
        <x:v>0</x:v>
      </x:c>
      <x:c r="J401" s="440" t="n">
        <x:f>SUM($B$86)</x:f>
        <x:v>0</x:v>
      </x:c>
      <x:c r="K401" s="440" t="n">
        <x:f>IF(AND(ISNUMBER(J401),J401=0),0,IF(AND($B$176=1,ISNUMBER(J401)),MIN(J401*(1+$B$87/12),IF($B$86=0,0,IF($B$87=0,$B$86/ROUND($B$88*12,0),$B$86*($B$87/12)/(1-(1+$B$87/12)^(-ROUND($B$88*12,0)))))),""))</x:f>
        <x:v>0</x:v>
      </x:c>
      <x:c r="L401" s="440" t="n">
        <x:f>IF(ISNUMBER(K401),IF(MAX(0,J401*(1+SUM($B$87)/12)-K401)&lt;MAX(0.0000001,$B$86*0.00000000001),0,MAX(0,J401*(1+SUM($B$87)/12)-K401)),"")</x:f>
        <x:v>0</x:v>
      </x:c>
      <x:c r="M401" s="440" t="n">
        <x:f>IF(AND(ISNUMBER(D401),ISNUMBER(K401)),D401+K401,"")</x:f>
        <x:v>4679.450723240598</x:v>
      </x:c>
      <x:c r="N401" s="440" t="n">
        <x:f>IF(AND(ISNUMBER(H401),ISNUMBER(L401)),H401+L401,"")</x:f>
        <x:v>759278.8826100926</x:v>
      </x:c>
    </x:row>
    <x:row r="402" ht="22" customHeight="1">
      <x:c r="A402" s="254" t="n">
        <x:f>2</x:f>
        <x:v>2</x:v>
      </x:c>
      <x:c r="B402" s="440" t="n">
        <x:f>IF(ISNUMBER(H401),H401,"")</x:f>
        <x:v>759278.8826100926</x:v>
      </x:c>
      <x:c r="C402" s="442" t="n">
        <x:f>IF(ISNUMBER(B402),IF(AND(2&gt;$B$173,$B$78="Refinance",ISNUMBER($B$80),$B$80&gt;=0,$B$80&lt;=1,ROUND($B$81*12,0)&gt;=1,$B$81&lt;=100,SUM($B$82)&gt;=0,SUM($B$82)&lt;=1,SUM($B$83)&gt;=0),$B$80,IF(AND($B$175&gt;0,2&gt;$B$175,ISNUMBER($B$75)),$B$75,$B$61)),"")</x:f>
        <x:v>0.0625</x:v>
      </x:c>
      <x:c r="D402" s="440" t="n">
        <x:f>IF(AND(ISNUMBER(B402),B402=0),0,IF(AND($B$171=1,I401=0,ISNUMBER(C402),ISNUMBER(IF(AND(2&lt;=$B$174,2&lt;=$B$173),B402*C402/12,IF(AND(2=$B$173+1,AND(2&gt;$B$173,$B$78="Refinance",ISNUMBER($B$80),$B$80&gt;=0,$B$80&lt;=1,ROUND($B$81*12,0)&gt;=1,$B$81&lt;=100,SUM($B$82)&gt;=0,SUM($B$82)&lt;=1,SUM($B$83)&gt;=0)),IF(B402=0,0,IF(C402=0,B402/ROUND($B$81*12,0),B402*(C402/12)/(1-(1+C402/12)^(-ROUND($B$81*12,0))))),IF(AND(NOT(AND(2&gt;$B$173,$B$78="Refinance",ISNUMBER($B$80),$B$80&gt;=0,$B$80&lt;=1,ROUND($B$81*12,0)&gt;=1,$B$81&lt;=100,SUM($B$82)&gt;=0,SUM($B$82)&lt;=1,SUM($B$83)&gt;=0)),OR(2=1,2=$B$174+1,AND($B$175&gt;0,2=$B$175+1))),IF(AND($B$170=1,$B$66&gt;0,OR($B$175=0,2&lt;=$B$175)),$B$66,IF($B$172-MAX(2-1,$B$174)&gt;0,IF(B402=0,0,IF(C402=0,B402/($B$172-MAX(2-1,$B$174)),B402*(C402/12)/(1-(1+C402/12)^(-($B$172-MAX(2-1,$B$174)))))),"")),D401))))),IF(IF(AND(2&lt;=$B$174,2&lt;=$B$173),B402*C402/12,IF(AND(2=$B$173+1,AND(2&gt;$B$173,$B$78="Refinance",ISNUMBER($B$80),$B$80&gt;=0,$B$80&lt;=1,ROUND($B$81*12,0)&gt;=1,$B$81&lt;=100,SUM($B$82)&gt;=0,SUM($B$82)&lt;=1,SUM($B$83)&gt;=0)),IF(B402=0,0,IF(C402=0,B402/ROUND($B$81*12,0),B402*(C402/12)/(1-(1+C402/12)^(-ROUND($B$81*12,0))))),IF(AND(NOT(AND(2&gt;$B$173,$B$78="Refinance",ISNUMBER($B$80),$B$80&gt;=0,$B$80&lt;=1,ROUND($B$81*12,0)&gt;=1,$B$81&lt;=100,SUM($B$82)&gt;=0,SUM($B$82)&lt;=1,SUM($B$83)&gt;=0)),OR(2=1,2=$B$174+1,AND($B$175&gt;0,2=$B$175+1))),IF(AND($B$170=1,$B$66&gt;0,OR($B$175=0,2&lt;=$B$175)),$B$66,IF($B$172-MAX(2-1,$B$174)&gt;0,IF(B402=0,0,IF(C402=0,B402/($B$172-MAX(2-1,$B$174)),B402*(C402/12)/(1-(1+C402/12)^(-($B$172-MAX(2-1,$B$174)))))),"")),D401)))+0.0000001&gt;=B402*C402/12,MIN(B402*(1+C402/12),IF(AND(2&lt;=$B$174,2&lt;=$B$173),B402*C402/12,IF(AND(2=$B$173+1,AND(2&gt;$B$173,$B$78="Refinance",ISNUMBER($B$80),$B$80&gt;=0,$B$80&lt;=1,ROUND($B$81*12,0)&gt;=1,$B$81&lt;=100,SUM($B$82)&gt;=0,SUM($B$82)&lt;=1,SUM($B$83)&gt;=0)),IF(B402=0,0,IF(C402=0,B402/ROUND($B$81*12,0),B402*(C402/12)/(1-(1+C402/12)^(-ROUND($B$81*12,0))))),IF(AND(NOT(AND(2&gt;$B$173,$B$78="Refinance",ISNUMBER($B$80),$B$80&gt;=0,$B$80&lt;=1,ROUND($B$81*12,0)&gt;=1,$B$81&lt;=100,SUM($B$82)&gt;=0,SUM($B$82)&lt;=1,SUM($B$83)&gt;=0)),OR(2=1,2=$B$174+1,AND($B$175&gt;0,2=$B$175+1))),IF(AND($B$170=1,$B$66&gt;0,OR($B$175=0,2&lt;=$B$175)),$B$66,IF($B$172-MAX(2-1,$B$174)&gt;0,IF(B402=0,0,IF(C402=0,B402/($B$172-MAX(2-1,$B$174)),B402*(C402/12)/(1-(1+C402/12)^(-($B$172-MAX(2-1,$B$174)))))),"")),D401)))),""),""))</x:f>
        <x:v>4679.450723240598</x:v>
      </x:c>
      <x:c r="E402" s="440" t="n">
        <x:f>IF(AND(2=$B$173,ISNUMBER(D402)),IF(MAX(0,B402*(1+C402/12)-D402)&lt;MAX(0.0000001,$E$17*0.00000000001),0,MAX(0,B402*(1+C402/12)-D402)),0)</x:f>
        <x:v>0</x:v>
      </x:c>
      <x:c r="F402" s="440" t="n">
        <x:f>IF($B$78="Cash payoff",E402,0)</x:f>
        <x:v>0</x:v>
      </x:c>
      <x:c r="G402" s="440" t="n">
        <x:f>IF(AND(E402&gt;0,AND($B$78="Refinance",ISNUMBER($B$80),$B$80&gt;=0,$B$80&lt;=1,ROUND($B$81*12,0)&gt;=1,$B$81&lt;=100,SUM($B$82)&gt;=0,SUM($B$82)&lt;=1,SUM($B$83)&gt;=0)),E402*SUM($B$82)+SUM($B$83),0)</x:f>
        <x:v>0</x:v>
      </x:c>
      <x:c r="H402" s="440" t="n">
        <x:f>IF(ISNUMBER(D402),IF(MAX(0,B402*(1+C402/12)-D402-F402)&lt;MAX(0.0000001,$E$17*0.00000000001),0,MAX(0,B402*(1+C402/12)-D402-F402)),IF(AND($B$171=1,I401=1),B402,""))</x:f>
        <x:v>758554.0094004462</x:v>
      </x:c>
      <x:c r="I402" s="444" t="n">
        <x:f>IF(OR(I401=1,AND(E402&gt;0,$B$78&lt;&gt;"Cash payoff",NOT(AND($B$78="Refinance",ISNUMBER($B$80),$B$80&gt;=0,$B$80&lt;=1,ROUND($B$81*12,0)&gt;=1,$B$81&lt;=100,SUM($B$82)&gt;=0,SUM($B$82)&lt;=1,SUM($B$83)&gt;=0))),AND(ISNUMBER(B402),B402&gt;0,$B$171=1,NOT(ISNUMBER(D402)))),1,0)</x:f>
        <x:v>0</x:v>
      </x:c>
      <x:c r="J402" s="440" t="n">
        <x:f>IF(ISNUMBER(L401),L401,"")</x:f>
        <x:v>0</x:v>
      </x:c>
      <x:c r="K402" s="440" t="n">
        <x:f>IF(AND(ISNUMBER(J402),J402=0),0,IF(AND($B$176=1,ISNUMBER(J402)),MIN(J402*(1+$B$87/12),IF($B$86=0,0,IF($B$87=0,$B$86/ROUND($B$88*12,0),$B$86*($B$87/12)/(1-(1+$B$87/12)^(-ROUND($B$88*12,0)))))),""))</x:f>
        <x:v>0</x:v>
      </x:c>
      <x:c r="L402" s="440" t="n">
        <x:f>IF(ISNUMBER(K402),IF(MAX(0,J402*(1+SUM($B$87)/12)-K402)&lt;MAX(0.0000001,$B$86*0.00000000001),0,MAX(0,J402*(1+SUM($B$87)/12)-K402)),"")</x:f>
        <x:v>0</x:v>
      </x:c>
      <x:c r="M402" s="440" t="n">
        <x:f>IF(AND(ISNUMBER(D402),ISNUMBER(K402)),D402+K402,"")</x:f>
        <x:v>4679.450723240598</x:v>
      </x:c>
      <x:c r="N402" s="440" t="n">
        <x:f>IF(AND(ISNUMBER(H402),ISNUMBER(L402)),H402+L402,"")</x:f>
        <x:v>758554.0094004462</x:v>
      </x:c>
    </x:row>
    <x:row r="403" ht="22" customHeight="1">
      <x:c r="A403" s="254" t="n">
        <x:f>3</x:f>
        <x:v>3</x:v>
      </x:c>
      <x:c r="B403" s="440" t="n">
        <x:f>IF(ISNUMBER(H402),H402,"")</x:f>
        <x:v>758554.0094004462</x:v>
      </x:c>
      <x:c r="C403" s="442" t="n">
        <x:f>IF(ISNUMBER(B403),IF(AND(3&gt;$B$173,$B$78="Refinance",ISNUMBER($B$80),$B$80&gt;=0,$B$80&lt;=1,ROUND($B$81*12,0)&gt;=1,$B$81&lt;=100,SUM($B$82)&gt;=0,SUM($B$82)&lt;=1,SUM($B$83)&gt;=0),$B$80,IF(AND($B$175&gt;0,3&gt;$B$175,ISNUMBER($B$75)),$B$75,$B$61)),"")</x:f>
        <x:v>0.0625</x:v>
      </x:c>
      <x:c r="D403" s="440" t="n">
        <x:f>IF(AND(ISNUMBER(B403),B403=0),0,IF(AND($B$171=1,I402=0,ISNUMBER(C403),ISNUMBER(IF(AND(3&lt;=$B$174,3&lt;=$B$173),B403*C403/12,IF(AND(3=$B$173+1,AND(3&gt;$B$173,$B$78="Refinance",ISNUMBER($B$80),$B$80&gt;=0,$B$80&lt;=1,ROUND($B$81*12,0)&gt;=1,$B$81&lt;=100,SUM($B$82)&gt;=0,SUM($B$82)&lt;=1,SUM($B$83)&gt;=0)),IF(B403=0,0,IF(C403=0,B403/ROUND($B$81*12,0),B403*(C403/12)/(1-(1+C403/12)^(-ROUND($B$81*12,0))))),IF(AND(NOT(AND(3&gt;$B$173,$B$78="Refinance",ISNUMBER($B$80),$B$80&gt;=0,$B$80&lt;=1,ROUND($B$81*12,0)&gt;=1,$B$81&lt;=100,SUM($B$82)&gt;=0,SUM($B$82)&lt;=1,SUM($B$83)&gt;=0)),OR(3=1,3=$B$174+1,AND($B$175&gt;0,3=$B$175+1))),IF(AND($B$170=1,$B$66&gt;0,OR($B$175=0,3&lt;=$B$175)),$B$66,IF($B$172-MAX(3-1,$B$174)&gt;0,IF(B403=0,0,IF(C403=0,B403/($B$172-MAX(3-1,$B$174)),B403*(C403/12)/(1-(1+C403/12)^(-($B$172-MAX(3-1,$B$174)))))),"")),D402))))),IF(IF(AND(3&lt;=$B$174,3&lt;=$B$173),B403*C403/12,IF(AND(3=$B$173+1,AND(3&gt;$B$173,$B$78="Refinance",ISNUMBER($B$80),$B$80&gt;=0,$B$80&lt;=1,ROUND($B$81*12,0)&gt;=1,$B$81&lt;=100,SUM($B$82)&gt;=0,SUM($B$82)&lt;=1,SUM($B$83)&gt;=0)),IF(B403=0,0,IF(C403=0,B403/ROUND($B$81*12,0),B403*(C403/12)/(1-(1+C403/12)^(-ROUND($B$81*12,0))))),IF(AND(NOT(AND(3&gt;$B$173,$B$78="Refinance",ISNUMBER($B$80),$B$80&gt;=0,$B$80&lt;=1,ROUND($B$81*12,0)&gt;=1,$B$81&lt;=100,SUM($B$82)&gt;=0,SUM($B$82)&lt;=1,SUM($B$83)&gt;=0)),OR(3=1,3=$B$174+1,AND($B$175&gt;0,3=$B$175+1))),IF(AND($B$170=1,$B$66&gt;0,OR($B$175=0,3&lt;=$B$175)),$B$66,IF($B$172-MAX(3-1,$B$174)&gt;0,IF(B403=0,0,IF(C403=0,B403/($B$172-MAX(3-1,$B$174)),B403*(C403/12)/(1-(1+C403/12)^(-($B$172-MAX(3-1,$B$174)))))),"")),D402)))+0.0000001&gt;=B403*C403/12,MIN(B403*(1+C403/12),IF(AND(3&lt;=$B$174,3&lt;=$B$173),B403*C403/12,IF(AND(3=$B$173+1,AND(3&gt;$B$173,$B$78="Refinance",ISNUMBER($B$80),$B$80&gt;=0,$B$80&lt;=1,ROUND($B$81*12,0)&gt;=1,$B$81&lt;=100,SUM($B$82)&gt;=0,SUM($B$82)&lt;=1,SUM($B$83)&gt;=0)),IF(B403=0,0,IF(C403=0,B403/ROUND($B$81*12,0),B403*(C403/12)/(1-(1+C403/12)^(-ROUND($B$81*12,0))))),IF(AND(NOT(AND(3&gt;$B$173,$B$78="Refinance",ISNUMBER($B$80),$B$80&gt;=0,$B$80&lt;=1,ROUND($B$81*12,0)&gt;=1,$B$81&lt;=100,SUM($B$82)&gt;=0,SUM($B$82)&lt;=1,SUM($B$83)&gt;=0)),OR(3=1,3=$B$174+1,AND($B$175&gt;0,3=$B$175+1))),IF(AND($B$170=1,$B$66&gt;0,OR($B$175=0,3&lt;=$B$175)),$B$66,IF($B$172-MAX(3-1,$B$174)&gt;0,IF(B403=0,0,IF(C403=0,B403/($B$172-MAX(3-1,$B$174)),B403*(C403/12)/(1-(1+C403/12)^(-($B$172-MAX(3-1,$B$174)))))),"")),D402)))),""),""))</x:f>
        <x:v>4679.450723240598</x:v>
      </x:c>
      <x:c r="E403" s="440" t="n">
        <x:f>IF(AND(3=$B$173,ISNUMBER(D403)),IF(MAX(0,B403*(1+C403/12)-D403)&lt;MAX(0.0000001,$E$17*0.00000000001),0,MAX(0,B403*(1+C403/12)-D403)),0)</x:f>
        <x:v>0</x:v>
      </x:c>
      <x:c r="F403" s="440" t="n">
        <x:f>IF($B$78="Cash payoff",E403,0)</x:f>
        <x:v>0</x:v>
      </x:c>
      <x:c r="G403" s="440" t="n">
        <x:f>IF(AND(E403&gt;0,AND($B$78="Refinance",ISNUMBER($B$80),$B$80&gt;=0,$B$80&lt;=1,ROUND($B$81*12,0)&gt;=1,$B$81&lt;=100,SUM($B$82)&gt;=0,SUM($B$82)&lt;=1,SUM($B$83)&gt;=0)),E403*SUM($B$82)+SUM($B$83),0)</x:f>
        <x:v>0</x:v>
      </x:c>
      <x:c r="H403" s="440" t="n">
        <x:f>IF(ISNUMBER(D403),IF(MAX(0,B403*(1+C403/12)-D403-F403)&lt;MAX(0.0000001,$E$17*0.00000000001),0,MAX(0,B403*(1+C403/12)-D403-F403)),IF(AND($B$171=1,I402=1),B403,""))</x:f>
        <x:v>757825.3608094995</x:v>
      </x:c>
      <x:c r="I403" s="444" t="n">
        <x:f>IF(OR(I402=1,AND(E403&gt;0,$B$78&lt;&gt;"Cash payoff",NOT(AND($B$78="Refinance",ISNUMBER($B$80),$B$80&gt;=0,$B$80&lt;=1,ROUND($B$81*12,0)&gt;=1,$B$81&lt;=100,SUM($B$82)&gt;=0,SUM($B$82)&lt;=1,SUM($B$83)&gt;=0))),AND(ISNUMBER(B403),B403&gt;0,$B$171=1,NOT(ISNUMBER(D403)))),1,0)</x:f>
        <x:v>0</x:v>
      </x:c>
      <x:c r="J403" s="440" t="n">
        <x:f>IF(ISNUMBER(L402),L402,"")</x:f>
        <x:v>0</x:v>
      </x:c>
      <x:c r="K403" s="440" t="n">
        <x:f>IF(AND(ISNUMBER(J403),J403=0),0,IF(AND($B$176=1,ISNUMBER(J403)),MIN(J403*(1+$B$87/12),IF($B$86=0,0,IF($B$87=0,$B$86/ROUND($B$88*12,0),$B$86*($B$87/12)/(1-(1+$B$87/12)^(-ROUND($B$88*12,0)))))),""))</x:f>
        <x:v>0</x:v>
      </x:c>
      <x:c r="L403" s="440" t="n">
        <x:f>IF(ISNUMBER(K403),IF(MAX(0,J403*(1+SUM($B$87)/12)-K403)&lt;MAX(0.0000001,$B$86*0.00000000001),0,MAX(0,J403*(1+SUM($B$87)/12)-K403)),"")</x:f>
        <x:v>0</x:v>
      </x:c>
      <x:c r="M403" s="440" t="n">
        <x:f>IF(AND(ISNUMBER(D403),ISNUMBER(K403)),D403+K403,"")</x:f>
        <x:v>4679.450723240598</x:v>
      </x:c>
      <x:c r="N403" s="440" t="n">
        <x:f>IF(AND(ISNUMBER(H403),ISNUMBER(L403)),H403+L403,"")</x:f>
        <x:v>757825.3608094995</x:v>
      </x:c>
    </x:row>
    <x:row r="404" ht="22" customHeight="1">
      <x:c r="A404" s="254" t="n">
        <x:f>4</x:f>
        <x:v>4</x:v>
      </x:c>
      <x:c r="B404" s="440" t="n">
        <x:f>IF(ISNUMBER(H403),H403,"")</x:f>
        <x:v>757825.3608094995</x:v>
      </x:c>
      <x:c r="C404" s="442" t="n">
        <x:f>IF(ISNUMBER(B404),IF(AND(4&gt;$B$173,$B$78="Refinance",ISNUMBER($B$80),$B$80&gt;=0,$B$80&lt;=1,ROUND($B$81*12,0)&gt;=1,$B$81&lt;=100,SUM($B$82)&gt;=0,SUM($B$82)&lt;=1,SUM($B$83)&gt;=0),$B$80,IF(AND($B$175&gt;0,4&gt;$B$175,ISNUMBER($B$75)),$B$75,$B$61)),"")</x:f>
        <x:v>0.0625</x:v>
      </x:c>
      <x:c r="D404" s="440" t="n">
        <x:f>IF(AND(ISNUMBER(B404),B404=0),0,IF(AND($B$171=1,I403=0,ISNUMBER(C404),ISNUMBER(IF(AND(4&lt;=$B$174,4&lt;=$B$173),B404*C404/12,IF(AND(4=$B$173+1,AND(4&gt;$B$173,$B$78="Refinance",ISNUMBER($B$80),$B$80&gt;=0,$B$80&lt;=1,ROUND($B$81*12,0)&gt;=1,$B$81&lt;=100,SUM($B$82)&gt;=0,SUM($B$82)&lt;=1,SUM($B$83)&gt;=0)),IF(B404=0,0,IF(C404=0,B404/ROUND($B$81*12,0),B404*(C404/12)/(1-(1+C404/12)^(-ROUND($B$81*12,0))))),IF(AND(NOT(AND(4&gt;$B$173,$B$78="Refinance",ISNUMBER($B$80),$B$80&gt;=0,$B$80&lt;=1,ROUND($B$81*12,0)&gt;=1,$B$81&lt;=100,SUM($B$82)&gt;=0,SUM($B$82)&lt;=1,SUM($B$83)&gt;=0)),OR(4=1,4=$B$174+1,AND($B$175&gt;0,4=$B$175+1))),IF(AND($B$170=1,$B$66&gt;0,OR($B$175=0,4&lt;=$B$175)),$B$66,IF($B$172-MAX(4-1,$B$174)&gt;0,IF(B404=0,0,IF(C404=0,B404/($B$172-MAX(4-1,$B$174)),B404*(C404/12)/(1-(1+C404/12)^(-($B$172-MAX(4-1,$B$174)))))),"")),D403))))),IF(IF(AND(4&lt;=$B$174,4&lt;=$B$173),B404*C404/12,IF(AND(4=$B$173+1,AND(4&gt;$B$173,$B$78="Refinance",ISNUMBER($B$80),$B$80&gt;=0,$B$80&lt;=1,ROUND($B$81*12,0)&gt;=1,$B$81&lt;=100,SUM($B$82)&gt;=0,SUM($B$82)&lt;=1,SUM($B$83)&gt;=0)),IF(B404=0,0,IF(C404=0,B404/ROUND($B$81*12,0),B404*(C404/12)/(1-(1+C404/12)^(-ROUND($B$81*12,0))))),IF(AND(NOT(AND(4&gt;$B$173,$B$78="Refinance",ISNUMBER($B$80),$B$80&gt;=0,$B$80&lt;=1,ROUND($B$81*12,0)&gt;=1,$B$81&lt;=100,SUM($B$82)&gt;=0,SUM($B$82)&lt;=1,SUM($B$83)&gt;=0)),OR(4=1,4=$B$174+1,AND($B$175&gt;0,4=$B$175+1))),IF(AND($B$170=1,$B$66&gt;0,OR($B$175=0,4&lt;=$B$175)),$B$66,IF($B$172-MAX(4-1,$B$174)&gt;0,IF(B404=0,0,IF(C404=0,B404/($B$172-MAX(4-1,$B$174)),B404*(C404/12)/(1-(1+C404/12)^(-($B$172-MAX(4-1,$B$174)))))),"")),D403)))+0.0000001&gt;=B404*C404/12,MIN(B404*(1+C404/12),IF(AND(4&lt;=$B$174,4&lt;=$B$173),B404*C404/12,IF(AND(4=$B$173+1,AND(4&gt;$B$173,$B$78="Refinance",ISNUMBER($B$80),$B$80&gt;=0,$B$80&lt;=1,ROUND($B$81*12,0)&gt;=1,$B$81&lt;=100,SUM($B$82)&gt;=0,SUM($B$82)&lt;=1,SUM($B$83)&gt;=0)),IF(B404=0,0,IF(C404=0,B404/ROUND($B$81*12,0),B404*(C404/12)/(1-(1+C404/12)^(-ROUND($B$81*12,0))))),IF(AND(NOT(AND(4&gt;$B$173,$B$78="Refinance",ISNUMBER($B$80),$B$80&gt;=0,$B$80&lt;=1,ROUND($B$81*12,0)&gt;=1,$B$81&lt;=100,SUM($B$82)&gt;=0,SUM($B$82)&lt;=1,SUM($B$83)&gt;=0)),OR(4=1,4=$B$174+1,AND($B$175&gt;0,4=$B$175+1))),IF(AND($B$170=1,$B$66&gt;0,OR($B$175=0,4&lt;=$B$175)),$B$66,IF($B$172-MAX(4-1,$B$174)&gt;0,IF(B404=0,0,IF(C404=0,B404/($B$172-MAX(4-1,$B$174)),B404*(C404/12)/(1-(1+C404/12)^(-($B$172-MAX(4-1,$B$174)))))),"")),D403)))),""),""))</x:f>
        <x:v>4679.450723240598</x:v>
      </x:c>
      <x:c r="E404" s="440" t="n">
        <x:f>IF(AND(4=$B$173,ISNUMBER(D404)),IF(MAX(0,B404*(1+C404/12)-D404)&lt;MAX(0.0000001,$E$17*0.00000000001),0,MAX(0,B404*(1+C404/12)-D404)),0)</x:f>
        <x:v>0</x:v>
      </x:c>
      <x:c r="F404" s="440" t="n">
        <x:f>IF($B$78="Cash payoff",E404,0)</x:f>
        <x:v>0</x:v>
      </x:c>
      <x:c r="G404" s="440" t="n">
        <x:f>IF(AND(E404&gt;0,AND($B$78="Refinance",ISNUMBER($B$80),$B$80&gt;=0,$B$80&lt;=1,ROUND($B$81*12,0)&gt;=1,$B$81&lt;=100,SUM($B$82)&gt;=0,SUM($B$82)&lt;=1,SUM($B$83)&gt;=0)),E404*SUM($B$82)+SUM($B$83),0)</x:f>
        <x:v>0</x:v>
      </x:c>
      <x:c r="H404" s="440" t="n">
        <x:f>IF(ISNUMBER(D404),IF(MAX(0,B404*(1+C404/12)-D404-F404)&lt;MAX(0.0000001,$E$17*0.00000000001),0,MAX(0,B404*(1+C404/12)-D404-F404)),IF(AND($B$171=1,I403=1),B404,""))</x:f>
        <x:v>757092.9171738083</x:v>
      </x:c>
      <x:c r="I404" s="444" t="n">
        <x:f>IF(OR(I403=1,AND(E404&gt;0,$B$78&lt;&gt;"Cash payoff",NOT(AND($B$78="Refinance",ISNUMBER($B$80),$B$80&gt;=0,$B$80&lt;=1,ROUND($B$81*12,0)&gt;=1,$B$81&lt;=100,SUM($B$82)&gt;=0,SUM($B$82)&lt;=1,SUM($B$83)&gt;=0))),AND(ISNUMBER(B404),B404&gt;0,$B$171=1,NOT(ISNUMBER(D404)))),1,0)</x:f>
        <x:v>0</x:v>
      </x:c>
      <x:c r="J404" s="440" t="n">
        <x:f>IF(ISNUMBER(L403),L403,"")</x:f>
        <x:v>0</x:v>
      </x:c>
      <x:c r="K404" s="440" t="n">
        <x:f>IF(AND(ISNUMBER(J404),J404=0),0,IF(AND($B$176=1,ISNUMBER(J404)),MIN(J404*(1+$B$87/12),IF($B$86=0,0,IF($B$87=0,$B$86/ROUND($B$88*12,0),$B$86*($B$87/12)/(1-(1+$B$87/12)^(-ROUND($B$88*12,0)))))),""))</x:f>
        <x:v>0</x:v>
      </x:c>
      <x:c r="L404" s="440" t="n">
        <x:f>IF(ISNUMBER(K404),IF(MAX(0,J404*(1+SUM($B$87)/12)-K404)&lt;MAX(0.0000001,$B$86*0.00000000001),0,MAX(0,J404*(1+SUM($B$87)/12)-K404)),"")</x:f>
        <x:v>0</x:v>
      </x:c>
      <x:c r="M404" s="440" t="n">
        <x:f>IF(AND(ISNUMBER(D404),ISNUMBER(K404)),D404+K404,"")</x:f>
        <x:v>4679.450723240598</x:v>
      </x:c>
      <x:c r="N404" s="440" t="n">
        <x:f>IF(AND(ISNUMBER(H404),ISNUMBER(L404)),H404+L404,"")</x:f>
        <x:v>757092.9171738083</x:v>
      </x:c>
    </x:row>
    <x:row r="405" ht="22" customHeight="1">
      <x:c r="A405" s="254" t="n">
        <x:f>5</x:f>
        <x:v>5</x:v>
      </x:c>
      <x:c r="B405" s="440" t="n">
        <x:f>IF(ISNUMBER(H404),H404,"")</x:f>
        <x:v>757092.9171738083</x:v>
      </x:c>
      <x:c r="C405" s="442" t="n">
        <x:f>IF(ISNUMBER(B405),IF(AND(5&gt;$B$173,$B$78="Refinance",ISNUMBER($B$80),$B$80&gt;=0,$B$80&lt;=1,ROUND($B$81*12,0)&gt;=1,$B$81&lt;=100,SUM($B$82)&gt;=0,SUM($B$82)&lt;=1,SUM($B$83)&gt;=0),$B$80,IF(AND($B$175&gt;0,5&gt;$B$175,ISNUMBER($B$75)),$B$75,$B$61)),"")</x:f>
        <x:v>0.0625</x:v>
      </x:c>
      <x:c r="D405" s="440" t="n">
        <x:f>IF(AND(ISNUMBER(B405),B405=0),0,IF(AND($B$171=1,I404=0,ISNUMBER(C405),ISNUMBER(IF(AND(5&lt;=$B$174,5&lt;=$B$173),B405*C405/12,IF(AND(5=$B$173+1,AND(5&gt;$B$173,$B$78="Refinance",ISNUMBER($B$80),$B$80&gt;=0,$B$80&lt;=1,ROUND($B$81*12,0)&gt;=1,$B$81&lt;=100,SUM($B$82)&gt;=0,SUM($B$82)&lt;=1,SUM($B$83)&gt;=0)),IF(B405=0,0,IF(C405=0,B405/ROUND($B$81*12,0),B405*(C405/12)/(1-(1+C405/12)^(-ROUND($B$81*12,0))))),IF(AND(NOT(AND(5&gt;$B$173,$B$78="Refinance",ISNUMBER($B$80),$B$80&gt;=0,$B$80&lt;=1,ROUND($B$81*12,0)&gt;=1,$B$81&lt;=100,SUM($B$82)&gt;=0,SUM($B$82)&lt;=1,SUM($B$83)&gt;=0)),OR(5=1,5=$B$174+1,AND($B$175&gt;0,5=$B$175+1))),IF(AND($B$170=1,$B$66&gt;0,OR($B$175=0,5&lt;=$B$175)),$B$66,IF($B$172-MAX(5-1,$B$174)&gt;0,IF(B405=0,0,IF(C405=0,B405/($B$172-MAX(5-1,$B$174)),B405*(C405/12)/(1-(1+C405/12)^(-($B$172-MAX(5-1,$B$174)))))),"")),D404))))),IF(IF(AND(5&lt;=$B$174,5&lt;=$B$173),B405*C405/12,IF(AND(5=$B$173+1,AND(5&gt;$B$173,$B$78="Refinance",ISNUMBER($B$80),$B$80&gt;=0,$B$80&lt;=1,ROUND($B$81*12,0)&gt;=1,$B$81&lt;=100,SUM($B$82)&gt;=0,SUM($B$82)&lt;=1,SUM($B$83)&gt;=0)),IF(B405=0,0,IF(C405=0,B405/ROUND($B$81*12,0),B405*(C405/12)/(1-(1+C405/12)^(-ROUND($B$81*12,0))))),IF(AND(NOT(AND(5&gt;$B$173,$B$78="Refinance",ISNUMBER($B$80),$B$80&gt;=0,$B$80&lt;=1,ROUND($B$81*12,0)&gt;=1,$B$81&lt;=100,SUM($B$82)&gt;=0,SUM($B$82)&lt;=1,SUM($B$83)&gt;=0)),OR(5=1,5=$B$174+1,AND($B$175&gt;0,5=$B$175+1))),IF(AND($B$170=1,$B$66&gt;0,OR($B$175=0,5&lt;=$B$175)),$B$66,IF($B$172-MAX(5-1,$B$174)&gt;0,IF(B405=0,0,IF(C405=0,B405/($B$172-MAX(5-1,$B$174)),B405*(C405/12)/(1-(1+C405/12)^(-($B$172-MAX(5-1,$B$174)))))),"")),D404)))+0.0000001&gt;=B405*C405/12,MIN(B405*(1+C405/12),IF(AND(5&lt;=$B$174,5&lt;=$B$173),B405*C405/12,IF(AND(5=$B$173+1,AND(5&gt;$B$173,$B$78="Refinance",ISNUMBER($B$80),$B$80&gt;=0,$B$80&lt;=1,ROUND($B$81*12,0)&gt;=1,$B$81&lt;=100,SUM($B$82)&gt;=0,SUM($B$82)&lt;=1,SUM($B$83)&gt;=0)),IF(B405=0,0,IF(C405=0,B405/ROUND($B$81*12,0),B405*(C405/12)/(1-(1+C405/12)^(-ROUND($B$81*12,0))))),IF(AND(NOT(AND(5&gt;$B$173,$B$78="Refinance",ISNUMBER($B$80),$B$80&gt;=0,$B$80&lt;=1,ROUND($B$81*12,0)&gt;=1,$B$81&lt;=100,SUM($B$82)&gt;=0,SUM($B$82)&lt;=1,SUM($B$83)&gt;=0)),OR(5=1,5=$B$174+1,AND($B$175&gt;0,5=$B$175+1))),IF(AND($B$170=1,$B$66&gt;0,OR($B$175=0,5&lt;=$B$175)),$B$66,IF($B$172-MAX(5-1,$B$174)&gt;0,IF(B405=0,0,IF(C405=0,B405/($B$172-MAX(5-1,$B$174)),B405*(C405/12)/(1-(1+C405/12)^(-($B$172-MAX(5-1,$B$174)))))),"")),D404)))),""),""))</x:f>
        <x:v>4679.450723240598</x:v>
      </x:c>
      <x:c r="E405" s="440" t="n">
        <x:f>IF(AND(5=$B$173,ISNUMBER(D405)),IF(MAX(0,B405*(1+C405/12)-D405)&lt;MAX(0.0000001,$E$17*0.00000000001),0,MAX(0,B405*(1+C405/12)-D405)),0)</x:f>
        <x:v>0</x:v>
      </x:c>
      <x:c r="F405" s="440" t="n">
        <x:f>IF($B$78="Cash payoff",E405,0)</x:f>
        <x:v>0</x:v>
      </x:c>
      <x:c r="G405" s="440" t="n">
        <x:f>IF(AND(E405&gt;0,AND($B$78="Refinance",ISNUMBER($B$80),$B$80&gt;=0,$B$80&lt;=1,ROUND($B$81*12,0)&gt;=1,$B$81&lt;=100,SUM($B$82)&gt;=0,SUM($B$82)&lt;=1,SUM($B$83)&gt;=0)),E405*SUM($B$82)+SUM($B$83),0)</x:f>
        <x:v>0</x:v>
      </x:c>
      <x:c r="H405" s="440" t="n">
        <x:f>IF(ISNUMBER(D405),IF(MAX(0,B405*(1+C405/12)-D405-F405)&lt;MAX(0.0000001,$E$17*0.00000000001),0,MAX(0,B405*(1+C405/12)-D405-F405)),IF(AND($B$171=1,I404=1),B405,""))</x:f>
        <x:v>756356.6587275146</x:v>
      </x:c>
      <x:c r="I405" s="444" t="n">
        <x:f>IF(OR(I404=1,AND(E405&gt;0,$B$78&lt;&gt;"Cash payoff",NOT(AND($B$78="Refinance",ISNUMBER($B$80),$B$80&gt;=0,$B$80&lt;=1,ROUND($B$81*12,0)&gt;=1,$B$81&lt;=100,SUM($B$82)&gt;=0,SUM($B$82)&lt;=1,SUM($B$83)&gt;=0))),AND(ISNUMBER(B405),B405&gt;0,$B$171=1,NOT(ISNUMBER(D405)))),1,0)</x:f>
        <x:v>0</x:v>
      </x:c>
      <x:c r="J405" s="440" t="n">
        <x:f>IF(ISNUMBER(L404),L404,"")</x:f>
        <x:v>0</x:v>
      </x:c>
      <x:c r="K405" s="440" t="n">
        <x:f>IF(AND(ISNUMBER(J405),J405=0),0,IF(AND($B$176=1,ISNUMBER(J405)),MIN(J405*(1+$B$87/12),IF($B$86=0,0,IF($B$87=0,$B$86/ROUND($B$88*12,0),$B$86*($B$87/12)/(1-(1+$B$87/12)^(-ROUND($B$88*12,0)))))),""))</x:f>
        <x:v>0</x:v>
      </x:c>
      <x:c r="L405" s="440" t="n">
        <x:f>IF(ISNUMBER(K405),IF(MAX(0,J405*(1+SUM($B$87)/12)-K405)&lt;MAX(0.0000001,$B$86*0.00000000001),0,MAX(0,J405*(1+SUM($B$87)/12)-K405)),"")</x:f>
        <x:v>0</x:v>
      </x:c>
      <x:c r="M405" s="440" t="n">
        <x:f>IF(AND(ISNUMBER(D405),ISNUMBER(K405)),D405+K405,"")</x:f>
        <x:v>4679.450723240598</x:v>
      </x:c>
      <x:c r="N405" s="440" t="n">
        <x:f>IF(AND(ISNUMBER(H405),ISNUMBER(L405)),H405+L405,"")</x:f>
        <x:v>756356.6587275146</x:v>
      </x:c>
    </x:row>
    <x:row r="406" ht="22" customHeight="1">
      <x:c r="A406" s="254" t="n">
        <x:f>6</x:f>
        <x:v>6</x:v>
      </x:c>
      <x:c r="B406" s="440" t="n">
        <x:f>IF(ISNUMBER(H405),H405,"")</x:f>
        <x:v>756356.6587275146</x:v>
      </x:c>
      <x:c r="C406" s="442" t="n">
        <x:f>IF(ISNUMBER(B406),IF(AND(6&gt;$B$173,$B$78="Refinance",ISNUMBER($B$80),$B$80&gt;=0,$B$80&lt;=1,ROUND($B$81*12,0)&gt;=1,$B$81&lt;=100,SUM($B$82)&gt;=0,SUM($B$82)&lt;=1,SUM($B$83)&gt;=0),$B$80,IF(AND($B$175&gt;0,6&gt;$B$175,ISNUMBER($B$75)),$B$75,$B$61)),"")</x:f>
        <x:v>0.0625</x:v>
      </x:c>
      <x:c r="D406" s="440" t="n">
        <x:f>IF(AND(ISNUMBER(B406),B406=0),0,IF(AND($B$171=1,I405=0,ISNUMBER(C406),ISNUMBER(IF(AND(6&lt;=$B$174,6&lt;=$B$173),B406*C406/12,IF(AND(6=$B$173+1,AND(6&gt;$B$173,$B$78="Refinance",ISNUMBER($B$80),$B$80&gt;=0,$B$80&lt;=1,ROUND($B$81*12,0)&gt;=1,$B$81&lt;=100,SUM($B$82)&gt;=0,SUM($B$82)&lt;=1,SUM($B$83)&gt;=0)),IF(B406=0,0,IF(C406=0,B406/ROUND($B$81*12,0),B406*(C406/12)/(1-(1+C406/12)^(-ROUND($B$81*12,0))))),IF(AND(NOT(AND(6&gt;$B$173,$B$78="Refinance",ISNUMBER($B$80),$B$80&gt;=0,$B$80&lt;=1,ROUND($B$81*12,0)&gt;=1,$B$81&lt;=100,SUM($B$82)&gt;=0,SUM($B$82)&lt;=1,SUM($B$83)&gt;=0)),OR(6=1,6=$B$174+1,AND($B$175&gt;0,6=$B$175+1))),IF(AND($B$170=1,$B$66&gt;0,OR($B$175=0,6&lt;=$B$175)),$B$66,IF($B$172-MAX(6-1,$B$174)&gt;0,IF(B406=0,0,IF(C406=0,B406/($B$172-MAX(6-1,$B$174)),B406*(C406/12)/(1-(1+C406/12)^(-($B$172-MAX(6-1,$B$174)))))),"")),D405))))),IF(IF(AND(6&lt;=$B$174,6&lt;=$B$173),B406*C406/12,IF(AND(6=$B$173+1,AND(6&gt;$B$173,$B$78="Refinance",ISNUMBER($B$80),$B$80&gt;=0,$B$80&lt;=1,ROUND($B$81*12,0)&gt;=1,$B$81&lt;=100,SUM($B$82)&gt;=0,SUM($B$82)&lt;=1,SUM($B$83)&gt;=0)),IF(B406=0,0,IF(C406=0,B406/ROUND($B$81*12,0),B406*(C406/12)/(1-(1+C406/12)^(-ROUND($B$81*12,0))))),IF(AND(NOT(AND(6&gt;$B$173,$B$78="Refinance",ISNUMBER($B$80),$B$80&gt;=0,$B$80&lt;=1,ROUND($B$81*12,0)&gt;=1,$B$81&lt;=100,SUM($B$82)&gt;=0,SUM($B$82)&lt;=1,SUM($B$83)&gt;=0)),OR(6=1,6=$B$174+1,AND($B$175&gt;0,6=$B$175+1))),IF(AND($B$170=1,$B$66&gt;0,OR($B$175=0,6&lt;=$B$175)),$B$66,IF($B$172-MAX(6-1,$B$174)&gt;0,IF(B406=0,0,IF(C406=0,B406/($B$172-MAX(6-1,$B$174)),B406*(C406/12)/(1-(1+C406/12)^(-($B$172-MAX(6-1,$B$174)))))),"")),D405)))+0.0000001&gt;=B406*C406/12,MIN(B406*(1+C406/12),IF(AND(6&lt;=$B$174,6&lt;=$B$173),B406*C406/12,IF(AND(6=$B$173+1,AND(6&gt;$B$173,$B$78="Refinance",ISNUMBER($B$80),$B$80&gt;=0,$B$80&lt;=1,ROUND($B$81*12,0)&gt;=1,$B$81&lt;=100,SUM($B$82)&gt;=0,SUM($B$82)&lt;=1,SUM($B$83)&gt;=0)),IF(B406=0,0,IF(C406=0,B406/ROUND($B$81*12,0),B406*(C406/12)/(1-(1+C406/12)^(-ROUND($B$81*12,0))))),IF(AND(NOT(AND(6&gt;$B$173,$B$78="Refinance",ISNUMBER($B$80),$B$80&gt;=0,$B$80&lt;=1,ROUND($B$81*12,0)&gt;=1,$B$81&lt;=100,SUM($B$82)&gt;=0,SUM($B$82)&lt;=1,SUM($B$83)&gt;=0)),OR(6=1,6=$B$174+1,AND($B$175&gt;0,6=$B$175+1))),IF(AND($B$170=1,$B$66&gt;0,OR($B$175=0,6&lt;=$B$175)),$B$66,IF($B$172-MAX(6-1,$B$174)&gt;0,IF(B406=0,0,IF(C406=0,B406/($B$172-MAX(6-1,$B$174)),B406*(C406/12)/(1-(1+C406/12)^(-($B$172-MAX(6-1,$B$174)))))),"")),D405)))),""),""))</x:f>
        <x:v>4679.450723240598</x:v>
      </x:c>
      <x:c r="E406" s="440" t="n">
        <x:f>IF(AND(6=$B$173,ISNUMBER(D406)),IF(MAX(0,B406*(1+C406/12)-D406)&lt;MAX(0.0000001,$E$17*0.00000000001),0,MAX(0,B406*(1+C406/12)-D406)),0)</x:f>
        <x:v>0</x:v>
      </x:c>
      <x:c r="F406" s="440" t="n">
        <x:f>IF($B$78="Cash payoff",E406,0)</x:f>
        <x:v>0</x:v>
      </x:c>
      <x:c r="G406" s="440" t="n">
        <x:f>IF(AND(E406&gt;0,AND($B$78="Refinance",ISNUMBER($B$80),$B$80&gt;=0,$B$80&lt;=1,ROUND($B$81*12,0)&gt;=1,$B$81&lt;=100,SUM($B$82)&gt;=0,SUM($B$82)&lt;=1,SUM($B$83)&gt;=0)),E406*SUM($B$82)+SUM($B$83),0)</x:f>
        <x:v>0</x:v>
      </x:c>
      <x:c r="H406" s="440" t="n">
        <x:f>IF(ISNUMBER(D406),IF(MAX(0,B406*(1+C406/12)-D406-F406)&lt;MAX(0.0000001,$E$17*0.00000000001),0,MAX(0,B406*(1+C406/12)-D406-F406)),IF(AND($B$171=1,I405=1),B406,""))</x:f>
        <x:v>755616.565601813</x:v>
      </x:c>
      <x:c r="I406" s="444" t="n">
        <x:f>IF(OR(I405=1,AND(E406&gt;0,$B$78&lt;&gt;"Cash payoff",NOT(AND($B$78="Refinance",ISNUMBER($B$80),$B$80&gt;=0,$B$80&lt;=1,ROUND($B$81*12,0)&gt;=1,$B$81&lt;=100,SUM($B$82)&gt;=0,SUM($B$82)&lt;=1,SUM($B$83)&gt;=0))),AND(ISNUMBER(B406),B406&gt;0,$B$171=1,NOT(ISNUMBER(D406)))),1,0)</x:f>
        <x:v>0</x:v>
      </x:c>
      <x:c r="J406" s="440" t="n">
        <x:f>IF(ISNUMBER(L405),L405,"")</x:f>
        <x:v>0</x:v>
      </x:c>
      <x:c r="K406" s="440" t="n">
        <x:f>IF(AND(ISNUMBER(J406),J406=0),0,IF(AND($B$176=1,ISNUMBER(J406)),MIN(J406*(1+$B$87/12),IF($B$86=0,0,IF($B$87=0,$B$86/ROUND($B$88*12,0),$B$86*($B$87/12)/(1-(1+$B$87/12)^(-ROUND($B$88*12,0)))))),""))</x:f>
        <x:v>0</x:v>
      </x:c>
      <x:c r="L406" s="440" t="n">
        <x:f>IF(ISNUMBER(K406),IF(MAX(0,J406*(1+SUM($B$87)/12)-K406)&lt;MAX(0.0000001,$B$86*0.00000000001),0,MAX(0,J406*(1+SUM($B$87)/12)-K406)),"")</x:f>
        <x:v>0</x:v>
      </x:c>
      <x:c r="M406" s="440" t="n">
        <x:f>IF(AND(ISNUMBER(D406),ISNUMBER(K406)),D406+K406,"")</x:f>
        <x:v>4679.450723240598</x:v>
      </x:c>
      <x:c r="N406" s="440" t="n">
        <x:f>IF(AND(ISNUMBER(H406),ISNUMBER(L406)),H406+L406,"")</x:f>
        <x:v>755616.565601813</x:v>
      </x:c>
    </x:row>
    <x:row r="407" ht="22" customHeight="1">
      <x:c r="A407" s="254" t="n">
        <x:f>7</x:f>
        <x:v>7</x:v>
      </x:c>
      <x:c r="B407" s="440" t="n">
        <x:f>IF(ISNUMBER(H406),H406,"")</x:f>
        <x:v>755616.565601813</x:v>
      </x:c>
      <x:c r="C407" s="442" t="n">
        <x:f>IF(ISNUMBER(B407),IF(AND(7&gt;$B$173,$B$78="Refinance",ISNUMBER($B$80),$B$80&gt;=0,$B$80&lt;=1,ROUND($B$81*12,0)&gt;=1,$B$81&lt;=100,SUM($B$82)&gt;=0,SUM($B$82)&lt;=1,SUM($B$83)&gt;=0),$B$80,IF(AND($B$175&gt;0,7&gt;$B$175,ISNUMBER($B$75)),$B$75,$B$61)),"")</x:f>
        <x:v>0.0625</x:v>
      </x:c>
      <x:c r="D407" s="440" t="n">
        <x:f>IF(AND(ISNUMBER(B407),B407=0),0,IF(AND($B$171=1,I406=0,ISNUMBER(C407),ISNUMBER(IF(AND(7&lt;=$B$174,7&lt;=$B$173),B407*C407/12,IF(AND(7=$B$173+1,AND(7&gt;$B$173,$B$78="Refinance",ISNUMBER($B$80),$B$80&gt;=0,$B$80&lt;=1,ROUND($B$81*12,0)&gt;=1,$B$81&lt;=100,SUM($B$82)&gt;=0,SUM($B$82)&lt;=1,SUM($B$83)&gt;=0)),IF(B407=0,0,IF(C407=0,B407/ROUND($B$81*12,0),B407*(C407/12)/(1-(1+C407/12)^(-ROUND($B$81*12,0))))),IF(AND(NOT(AND(7&gt;$B$173,$B$78="Refinance",ISNUMBER($B$80),$B$80&gt;=0,$B$80&lt;=1,ROUND($B$81*12,0)&gt;=1,$B$81&lt;=100,SUM($B$82)&gt;=0,SUM($B$82)&lt;=1,SUM($B$83)&gt;=0)),OR(7=1,7=$B$174+1,AND($B$175&gt;0,7=$B$175+1))),IF(AND($B$170=1,$B$66&gt;0,OR($B$175=0,7&lt;=$B$175)),$B$66,IF($B$172-MAX(7-1,$B$174)&gt;0,IF(B407=0,0,IF(C407=0,B407/($B$172-MAX(7-1,$B$174)),B407*(C407/12)/(1-(1+C407/12)^(-($B$172-MAX(7-1,$B$174)))))),"")),D406))))),IF(IF(AND(7&lt;=$B$174,7&lt;=$B$173),B407*C407/12,IF(AND(7=$B$173+1,AND(7&gt;$B$173,$B$78="Refinance",ISNUMBER($B$80),$B$80&gt;=0,$B$80&lt;=1,ROUND($B$81*12,0)&gt;=1,$B$81&lt;=100,SUM($B$82)&gt;=0,SUM($B$82)&lt;=1,SUM($B$83)&gt;=0)),IF(B407=0,0,IF(C407=0,B407/ROUND($B$81*12,0),B407*(C407/12)/(1-(1+C407/12)^(-ROUND($B$81*12,0))))),IF(AND(NOT(AND(7&gt;$B$173,$B$78="Refinance",ISNUMBER($B$80),$B$80&gt;=0,$B$80&lt;=1,ROUND($B$81*12,0)&gt;=1,$B$81&lt;=100,SUM($B$82)&gt;=0,SUM($B$82)&lt;=1,SUM($B$83)&gt;=0)),OR(7=1,7=$B$174+1,AND($B$175&gt;0,7=$B$175+1))),IF(AND($B$170=1,$B$66&gt;0,OR($B$175=0,7&lt;=$B$175)),$B$66,IF($B$172-MAX(7-1,$B$174)&gt;0,IF(B407=0,0,IF(C407=0,B407/($B$172-MAX(7-1,$B$174)),B407*(C407/12)/(1-(1+C407/12)^(-($B$172-MAX(7-1,$B$174)))))),"")),D406)))+0.0000001&gt;=B407*C407/12,MIN(B407*(1+C407/12),IF(AND(7&lt;=$B$174,7&lt;=$B$173),B407*C407/12,IF(AND(7=$B$173+1,AND(7&gt;$B$173,$B$78="Refinance",ISNUMBER($B$80),$B$80&gt;=0,$B$80&lt;=1,ROUND($B$81*12,0)&gt;=1,$B$81&lt;=100,SUM($B$82)&gt;=0,SUM($B$82)&lt;=1,SUM($B$83)&gt;=0)),IF(B407=0,0,IF(C407=0,B407/ROUND($B$81*12,0),B407*(C407/12)/(1-(1+C407/12)^(-ROUND($B$81*12,0))))),IF(AND(NOT(AND(7&gt;$B$173,$B$78="Refinance",ISNUMBER($B$80),$B$80&gt;=0,$B$80&lt;=1,ROUND($B$81*12,0)&gt;=1,$B$81&lt;=100,SUM($B$82)&gt;=0,SUM($B$82)&lt;=1,SUM($B$83)&gt;=0)),OR(7=1,7=$B$174+1,AND($B$175&gt;0,7=$B$175+1))),IF(AND($B$170=1,$B$66&gt;0,OR($B$175=0,7&lt;=$B$175)),$B$66,IF($B$172-MAX(7-1,$B$174)&gt;0,IF(B407=0,0,IF(C407=0,B407/($B$172-MAX(7-1,$B$174)),B407*(C407/12)/(1-(1+C407/12)^(-($B$172-MAX(7-1,$B$174)))))),"")),D406)))),""),""))</x:f>
        <x:v>4679.450723240598</x:v>
      </x:c>
      <x:c r="E407" s="440" t="n">
        <x:f>IF(AND(7=$B$173,ISNUMBER(D407)),IF(MAX(0,B407*(1+C407/12)-D407)&lt;MAX(0.0000001,$E$17*0.00000000001),0,MAX(0,B407*(1+C407/12)-D407)),0)</x:f>
        <x:v>0</x:v>
      </x:c>
      <x:c r="F407" s="440" t="n">
        <x:f>IF($B$78="Cash payoff",E407,0)</x:f>
        <x:v>0</x:v>
      </x:c>
      <x:c r="G407" s="440" t="n">
        <x:f>IF(AND(E407&gt;0,AND($B$78="Refinance",ISNUMBER($B$80),$B$80&gt;=0,$B$80&lt;=1,ROUND($B$81*12,0)&gt;=1,$B$81&lt;=100,SUM($B$82)&gt;=0,SUM($B$82)&lt;=1,SUM($B$83)&gt;=0)),E407*SUM($B$82)+SUM($B$83),0)</x:f>
        <x:v>0</x:v>
      </x:c>
      <x:c r="H407" s="440" t="n">
        <x:f>IF(ISNUMBER(D407),IF(MAX(0,B407*(1+C407/12)-D407-F407)&lt;MAX(0.0000001,$E$17*0.00000000001),0,MAX(0,B407*(1+C407/12)-D407-F407)),IF(AND($B$171=1,I406=1),B407,""))</x:f>
        <x:v>754872.6178244151</x:v>
      </x:c>
      <x:c r="I407" s="444" t="n">
        <x:f>IF(OR(I406=1,AND(E407&gt;0,$B$78&lt;&gt;"Cash payoff",NOT(AND($B$78="Refinance",ISNUMBER($B$80),$B$80&gt;=0,$B$80&lt;=1,ROUND($B$81*12,0)&gt;=1,$B$81&lt;=100,SUM($B$82)&gt;=0,SUM($B$82)&lt;=1,SUM($B$83)&gt;=0))),AND(ISNUMBER(B407),B407&gt;0,$B$171=1,NOT(ISNUMBER(D407)))),1,0)</x:f>
        <x:v>0</x:v>
      </x:c>
      <x:c r="J407" s="440" t="n">
        <x:f>IF(ISNUMBER(L406),L406,"")</x:f>
        <x:v>0</x:v>
      </x:c>
      <x:c r="K407" s="440" t="n">
        <x:f>IF(AND(ISNUMBER(J407),J407=0),0,IF(AND($B$176=1,ISNUMBER(J407)),MIN(J407*(1+$B$87/12),IF($B$86=0,0,IF($B$87=0,$B$86/ROUND($B$88*12,0),$B$86*($B$87/12)/(1-(1+$B$87/12)^(-ROUND($B$88*12,0)))))),""))</x:f>
        <x:v>0</x:v>
      </x:c>
      <x:c r="L407" s="440" t="n">
        <x:f>IF(ISNUMBER(K407),IF(MAX(0,J407*(1+SUM($B$87)/12)-K407)&lt;MAX(0.0000001,$B$86*0.00000000001),0,MAX(0,J407*(1+SUM($B$87)/12)-K407)),"")</x:f>
        <x:v>0</x:v>
      </x:c>
      <x:c r="M407" s="440" t="n">
        <x:f>IF(AND(ISNUMBER(D407),ISNUMBER(K407)),D407+K407,"")</x:f>
        <x:v>4679.450723240598</x:v>
      </x:c>
      <x:c r="N407" s="440" t="n">
        <x:f>IF(AND(ISNUMBER(H407),ISNUMBER(L407)),H407+L407,"")</x:f>
        <x:v>754872.6178244151</x:v>
      </x:c>
    </x:row>
    <x:row r="408" ht="22" customHeight="1">
      <x:c r="A408" s="254" t="n">
        <x:f>8</x:f>
        <x:v>8</x:v>
      </x:c>
      <x:c r="B408" s="440" t="n">
        <x:f>IF(ISNUMBER(H407),H407,"")</x:f>
        <x:v>754872.6178244151</x:v>
      </x:c>
      <x:c r="C408" s="442" t="n">
        <x:f>IF(ISNUMBER(B408),IF(AND(8&gt;$B$173,$B$78="Refinance",ISNUMBER($B$80),$B$80&gt;=0,$B$80&lt;=1,ROUND($B$81*12,0)&gt;=1,$B$81&lt;=100,SUM($B$82)&gt;=0,SUM($B$82)&lt;=1,SUM($B$83)&gt;=0),$B$80,IF(AND($B$175&gt;0,8&gt;$B$175,ISNUMBER($B$75)),$B$75,$B$61)),"")</x:f>
        <x:v>0.0625</x:v>
      </x:c>
      <x:c r="D408" s="440" t="n">
        <x:f>IF(AND(ISNUMBER(B408),B408=0),0,IF(AND($B$171=1,I407=0,ISNUMBER(C408),ISNUMBER(IF(AND(8&lt;=$B$174,8&lt;=$B$173),B408*C408/12,IF(AND(8=$B$173+1,AND(8&gt;$B$173,$B$78="Refinance",ISNUMBER($B$80),$B$80&gt;=0,$B$80&lt;=1,ROUND($B$81*12,0)&gt;=1,$B$81&lt;=100,SUM($B$82)&gt;=0,SUM($B$82)&lt;=1,SUM($B$83)&gt;=0)),IF(B408=0,0,IF(C408=0,B408/ROUND($B$81*12,0),B408*(C408/12)/(1-(1+C408/12)^(-ROUND($B$81*12,0))))),IF(AND(NOT(AND(8&gt;$B$173,$B$78="Refinance",ISNUMBER($B$80),$B$80&gt;=0,$B$80&lt;=1,ROUND($B$81*12,0)&gt;=1,$B$81&lt;=100,SUM($B$82)&gt;=0,SUM($B$82)&lt;=1,SUM($B$83)&gt;=0)),OR(8=1,8=$B$174+1,AND($B$175&gt;0,8=$B$175+1))),IF(AND($B$170=1,$B$66&gt;0,OR($B$175=0,8&lt;=$B$175)),$B$66,IF($B$172-MAX(8-1,$B$174)&gt;0,IF(B408=0,0,IF(C408=0,B408/($B$172-MAX(8-1,$B$174)),B408*(C408/12)/(1-(1+C408/12)^(-($B$172-MAX(8-1,$B$174)))))),"")),D407))))),IF(IF(AND(8&lt;=$B$174,8&lt;=$B$173),B408*C408/12,IF(AND(8=$B$173+1,AND(8&gt;$B$173,$B$78="Refinance",ISNUMBER($B$80),$B$80&gt;=0,$B$80&lt;=1,ROUND($B$81*12,0)&gt;=1,$B$81&lt;=100,SUM($B$82)&gt;=0,SUM($B$82)&lt;=1,SUM($B$83)&gt;=0)),IF(B408=0,0,IF(C408=0,B408/ROUND($B$81*12,0),B408*(C408/12)/(1-(1+C408/12)^(-ROUND($B$81*12,0))))),IF(AND(NOT(AND(8&gt;$B$173,$B$78="Refinance",ISNUMBER($B$80),$B$80&gt;=0,$B$80&lt;=1,ROUND($B$81*12,0)&gt;=1,$B$81&lt;=100,SUM($B$82)&gt;=0,SUM($B$82)&lt;=1,SUM($B$83)&gt;=0)),OR(8=1,8=$B$174+1,AND($B$175&gt;0,8=$B$175+1))),IF(AND($B$170=1,$B$66&gt;0,OR($B$175=0,8&lt;=$B$175)),$B$66,IF($B$172-MAX(8-1,$B$174)&gt;0,IF(B408=0,0,IF(C408=0,B408/($B$172-MAX(8-1,$B$174)),B408*(C408/12)/(1-(1+C408/12)^(-($B$172-MAX(8-1,$B$174)))))),"")),D407)))+0.0000001&gt;=B408*C408/12,MIN(B408*(1+C408/12),IF(AND(8&lt;=$B$174,8&lt;=$B$173),B408*C408/12,IF(AND(8=$B$173+1,AND(8&gt;$B$173,$B$78="Refinance",ISNUMBER($B$80),$B$80&gt;=0,$B$80&lt;=1,ROUND($B$81*12,0)&gt;=1,$B$81&lt;=100,SUM($B$82)&gt;=0,SUM($B$82)&lt;=1,SUM($B$83)&gt;=0)),IF(B408=0,0,IF(C408=0,B408/ROUND($B$81*12,0),B408*(C408/12)/(1-(1+C408/12)^(-ROUND($B$81*12,0))))),IF(AND(NOT(AND(8&gt;$B$173,$B$78="Refinance",ISNUMBER($B$80),$B$80&gt;=0,$B$80&lt;=1,ROUND($B$81*12,0)&gt;=1,$B$81&lt;=100,SUM($B$82)&gt;=0,SUM($B$82)&lt;=1,SUM($B$83)&gt;=0)),OR(8=1,8=$B$174+1,AND($B$175&gt;0,8=$B$175+1))),IF(AND($B$170=1,$B$66&gt;0,OR($B$175=0,8&lt;=$B$175)),$B$66,IF($B$172-MAX(8-1,$B$174)&gt;0,IF(B408=0,0,IF(C408=0,B408/($B$172-MAX(8-1,$B$174)),B408*(C408/12)/(1-(1+C408/12)^(-($B$172-MAX(8-1,$B$174)))))),"")),D407)))),""),""))</x:f>
        <x:v>4679.450723240598</x:v>
      </x:c>
      <x:c r="E408" s="440" t="n">
        <x:f>IF(AND(8=$B$173,ISNUMBER(D408)),IF(MAX(0,B408*(1+C408/12)-D408)&lt;MAX(0.0000001,$E$17*0.00000000001),0,MAX(0,B408*(1+C408/12)-D408)),0)</x:f>
        <x:v>0</x:v>
      </x:c>
      <x:c r="F408" s="440" t="n">
        <x:f>IF($B$78="Cash payoff",E408,0)</x:f>
        <x:v>0</x:v>
      </x:c>
      <x:c r="G408" s="440" t="n">
        <x:f>IF(AND(E408&gt;0,AND($B$78="Refinance",ISNUMBER($B$80),$B$80&gt;=0,$B$80&lt;=1,ROUND($B$81*12,0)&gt;=1,$B$81&lt;=100,SUM($B$82)&gt;=0,SUM($B$82)&lt;=1,SUM($B$83)&gt;=0)),E408*SUM($B$82)+SUM($B$83),0)</x:f>
        <x:v>0</x:v>
      </x:c>
      <x:c r="H408" s="440" t="n">
        <x:f>IF(ISNUMBER(D408),IF(MAX(0,B408*(1+C408/12)-D408-F408)&lt;MAX(0.0000001,$E$17*0.00000000001),0,MAX(0,B408*(1+C408/12)-D408-F408)),IF(AND($B$171=1,I407=1),B408,""))</x:f>
        <x:v>754124.7953190099</x:v>
      </x:c>
      <x:c r="I408" s="444" t="n">
        <x:f>IF(OR(I407=1,AND(E408&gt;0,$B$78&lt;&gt;"Cash payoff",NOT(AND($B$78="Refinance",ISNUMBER($B$80),$B$80&gt;=0,$B$80&lt;=1,ROUND($B$81*12,0)&gt;=1,$B$81&lt;=100,SUM($B$82)&gt;=0,SUM($B$82)&lt;=1,SUM($B$83)&gt;=0))),AND(ISNUMBER(B408),B408&gt;0,$B$171=1,NOT(ISNUMBER(D408)))),1,0)</x:f>
        <x:v>0</x:v>
      </x:c>
      <x:c r="J408" s="440" t="n">
        <x:f>IF(ISNUMBER(L407),L407,"")</x:f>
        <x:v>0</x:v>
      </x:c>
      <x:c r="K408" s="440" t="n">
        <x:f>IF(AND(ISNUMBER(J408),J408=0),0,IF(AND($B$176=1,ISNUMBER(J408)),MIN(J408*(1+$B$87/12),IF($B$86=0,0,IF($B$87=0,$B$86/ROUND($B$88*12,0),$B$86*($B$87/12)/(1-(1+$B$87/12)^(-ROUND($B$88*12,0)))))),""))</x:f>
        <x:v>0</x:v>
      </x:c>
      <x:c r="L408" s="440" t="n">
        <x:f>IF(ISNUMBER(K408),IF(MAX(0,J408*(1+SUM($B$87)/12)-K408)&lt;MAX(0.0000001,$B$86*0.00000000001),0,MAX(0,J408*(1+SUM($B$87)/12)-K408)),"")</x:f>
        <x:v>0</x:v>
      </x:c>
      <x:c r="M408" s="440" t="n">
        <x:f>IF(AND(ISNUMBER(D408),ISNUMBER(K408)),D408+K408,"")</x:f>
        <x:v>4679.450723240598</x:v>
      </x:c>
      <x:c r="N408" s="440" t="n">
        <x:f>IF(AND(ISNUMBER(H408),ISNUMBER(L408)),H408+L408,"")</x:f>
        <x:v>754124.7953190099</x:v>
      </x:c>
    </x:row>
    <x:row r="409" ht="22" customHeight="1">
      <x:c r="A409" s="254" t="n">
        <x:f>9</x:f>
        <x:v>9</x:v>
      </x:c>
      <x:c r="B409" s="440" t="n">
        <x:f>IF(ISNUMBER(H408),H408,"")</x:f>
        <x:v>754124.7953190099</x:v>
      </x:c>
      <x:c r="C409" s="442" t="n">
        <x:f>IF(ISNUMBER(B409),IF(AND(9&gt;$B$173,$B$78="Refinance",ISNUMBER($B$80),$B$80&gt;=0,$B$80&lt;=1,ROUND($B$81*12,0)&gt;=1,$B$81&lt;=100,SUM($B$82)&gt;=0,SUM($B$82)&lt;=1,SUM($B$83)&gt;=0),$B$80,IF(AND($B$175&gt;0,9&gt;$B$175,ISNUMBER($B$75)),$B$75,$B$61)),"")</x:f>
        <x:v>0.0625</x:v>
      </x:c>
      <x:c r="D409" s="440" t="n">
        <x:f>IF(AND(ISNUMBER(B409),B409=0),0,IF(AND($B$171=1,I408=0,ISNUMBER(C409),ISNUMBER(IF(AND(9&lt;=$B$174,9&lt;=$B$173),B409*C409/12,IF(AND(9=$B$173+1,AND(9&gt;$B$173,$B$78="Refinance",ISNUMBER($B$80),$B$80&gt;=0,$B$80&lt;=1,ROUND($B$81*12,0)&gt;=1,$B$81&lt;=100,SUM($B$82)&gt;=0,SUM($B$82)&lt;=1,SUM($B$83)&gt;=0)),IF(B409=0,0,IF(C409=0,B409/ROUND($B$81*12,0),B409*(C409/12)/(1-(1+C409/12)^(-ROUND($B$81*12,0))))),IF(AND(NOT(AND(9&gt;$B$173,$B$78="Refinance",ISNUMBER($B$80),$B$80&gt;=0,$B$80&lt;=1,ROUND($B$81*12,0)&gt;=1,$B$81&lt;=100,SUM($B$82)&gt;=0,SUM($B$82)&lt;=1,SUM($B$83)&gt;=0)),OR(9=1,9=$B$174+1,AND($B$175&gt;0,9=$B$175+1))),IF(AND($B$170=1,$B$66&gt;0,OR($B$175=0,9&lt;=$B$175)),$B$66,IF($B$172-MAX(9-1,$B$174)&gt;0,IF(B409=0,0,IF(C409=0,B409/($B$172-MAX(9-1,$B$174)),B409*(C409/12)/(1-(1+C409/12)^(-($B$172-MAX(9-1,$B$174)))))),"")),D408))))),IF(IF(AND(9&lt;=$B$174,9&lt;=$B$173),B409*C409/12,IF(AND(9=$B$173+1,AND(9&gt;$B$173,$B$78="Refinance",ISNUMBER($B$80),$B$80&gt;=0,$B$80&lt;=1,ROUND($B$81*12,0)&gt;=1,$B$81&lt;=100,SUM($B$82)&gt;=0,SUM($B$82)&lt;=1,SUM($B$83)&gt;=0)),IF(B409=0,0,IF(C409=0,B409/ROUND($B$81*12,0),B409*(C409/12)/(1-(1+C409/12)^(-ROUND($B$81*12,0))))),IF(AND(NOT(AND(9&gt;$B$173,$B$78="Refinance",ISNUMBER($B$80),$B$80&gt;=0,$B$80&lt;=1,ROUND($B$81*12,0)&gt;=1,$B$81&lt;=100,SUM($B$82)&gt;=0,SUM($B$82)&lt;=1,SUM($B$83)&gt;=0)),OR(9=1,9=$B$174+1,AND($B$175&gt;0,9=$B$175+1))),IF(AND($B$170=1,$B$66&gt;0,OR($B$175=0,9&lt;=$B$175)),$B$66,IF($B$172-MAX(9-1,$B$174)&gt;0,IF(B409=0,0,IF(C409=0,B409/($B$172-MAX(9-1,$B$174)),B409*(C409/12)/(1-(1+C409/12)^(-($B$172-MAX(9-1,$B$174)))))),"")),D408)))+0.0000001&gt;=B409*C409/12,MIN(B409*(1+C409/12),IF(AND(9&lt;=$B$174,9&lt;=$B$173),B409*C409/12,IF(AND(9=$B$173+1,AND(9&gt;$B$173,$B$78="Refinance",ISNUMBER($B$80),$B$80&gt;=0,$B$80&lt;=1,ROUND($B$81*12,0)&gt;=1,$B$81&lt;=100,SUM($B$82)&gt;=0,SUM($B$82)&lt;=1,SUM($B$83)&gt;=0)),IF(B409=0,0,IF(C409=0,B409/ROUND($B$81*12,0),B409*(C409/12)/(1-(1+C409/12)^(-ROUND($B$81*12,0))))),IF(AND(NOT(AND(9&gt;$B$173,$B$78="Refinance",ISNUMBER($B$80),$B$80&gt;=0,$B$80&lt;=1,ROUND($B$81*12,0)&gt;=1,$B$81&lt;=100,SUM($B$82)&gt;=0,SUM($B$82)&lt;=1,SUM($B$83)&gt;=0)),OR(9=1,9=$B$174+1,AND($B$175&gt;0,9=$B$175+1))),IF(AND($B$170=1,$B$66&gt;0,OR($B$175=0,9&lt;=$B$175)),$B$66,IF($B$172-MAX(9-1,$B$174)&gt;0,IF(B409=0,0,IF(C409=0,B409/($B$172-MAX(9-1,$B$174)),B409*(C409/12)/(1-(1+C409/12)^(-($B$172-MAX(9-1,$B$174)))))),"")),D408)))),""),""))</x:f>
        <x:v>4679.450723240598</x:v>
      </x:c>
      <x:c r="E409" s="440" t="n">
        <x:f>IF(AND(9=$B$173,ISNUMBER(D409)),IF(MAX(0,B409*(1+C409/12)-D409)&lt;MAX(0.0000001,$E$17*0.00000000001),0,MAX(0,B409*(1+C409/12)-D409)),0)</x:f>
        <x:v>0</x:v>
      </x:c>
      <x:c r="F409" s="440" t="n">
        <x:f>IF($B$78="Cash payoff",E409,0)</x:f>
        <x:v>0</x:v>
      </x:c>
      <x:c r="G409" s="440" t="n">
        <x:f>IF(AND(E409&gt;0,AND($B$78="Refinance",ISNUMBER($B$80),$B$80&gt;=0,$B$80&lt;=1,ROUND($B$81*12,0)&gt;=1,$B$81&lt;=100,SUM($B$82)&gt;=0,SUM($B$82)&lt;=1,SUM($B$83)&gt;=0)),E409*SUM($B$82)+SUM($B$83),0)</x:f>
        <x:v>0</x:v>
      </x:c>
      <x:c r="H409" s="440" t="n">
        <x:f>IF(ISNUMBER(D409),IF(MAX(0,B409*(1+C409/12)-D409-F409)&lt;MAX(0.0000001,$E$17*0.00000000001),0,MAX(0,B409*(1+C409/12)-D409-F409)),IF(AND($B$171=1,I408=1),B409,""))</x:f>
        <x:v>753373.0779047224</x:v>
      </x:c>
      <x:c r="I409" s="444" t="n">
        <x:f>IF(OR(I408=1,AND(E409&gt;0,$B$78&lt;&gt;"Cash payoff",NOT(AND($B$78="Refinance",ISNUMBER($B$80),$B$80&gt;=0,$B$80&lt;=1,ROUND($B$81*12,0)&gt;=1,$B$81&lt;=100,SUM($B$82)&gt;=0,SUM($B$82)&lt;=1,SUM($B$83)&gt;=0))),AND(ISNUMBER(B409),B409&gt;0,$B$171=1,NOT(ISNUMBER(D409)))),1,0)</x:f>
        <x:v>0</x:v>
      </x:c>
      <x:c r="J409" s="440" t="n">
        <x:f>IF(ISNUMBER(L408),L408,"")</x:f>
        <x:v>0</x:v>
      </x:c>
      <x:c r="K409" s="440" t="n">
        <x:f>IF(AND(ISNUMBER(J409),J409=0),0,IF(AND($B$176=1,ISNUMBER(J409)),MIN(J409*(1+$B$87/12),IF($B$86=0,0,IF($B$87=0,$B$86/ROUND($B$88*12,0),$B$86*($B$87/12)/(1-(1+$B$87/12)^(-ROUND($B$88*12,0)))))),""))</x:f>
        <x:v>0</x:v>
      </x:c>
      <x:c r="L409" s="440" t="n">
        <x:f>IF(ISNUMBER(K409),IF(MAX(0,J409*(1+SUM($B$87)/12)-K409)&lt;MAX(0.0000001,$B$86*0.00000000001),0,MAX(0,J409*(1+SUM($B$87)/12)-K409)),"")</x:f>
        <x:v>0</x:v>
      </x:c>
      <x:c r="M409" s="440" t="n">
        <x:f>IF(AND(ISNUMBER(D409),ISNUMBER(K409)),D409+K409,"")</x:f>
        <x:v>4679.450723240598</x:v>
      </x:c>
      <x:c r="N409" s="440" t="n">
        <x:f>IF(AND(ISNUMBER(H409),ISNUMBER(L409)),H409+L409,"")</x:f>
        <x:v>753373.0779047224</x:v>
      </x:c>
    </x:row>
    <x:row r="410" ht="22" customHeight="1">
      <x:c r="A410" s="254" t="n">
        <x:f>10</x:f>
        <x:v>10</x:v>
      </x:c>
      <x:c r="B410" s="440" t="n">
        <x:f>IF(ISNUMBER(H409),H409,"")</x:f>
        <x:v>753373.0779047224</x:v>
      </x:c>
      <x:c r="C410" s="442" t="n">
        <x:f>IF(ISNUMBER(B410),IF(AND(10&gt;$B$173,$B$78="Refinance",ISNUMBER($B$80),$B$80&gt;=0,$B$80&lt;=1,ROUND($B$81*12,0)&gt;=1,$B$81&lt;=100,SUM($B$82)&gt;=0,SUM($B$82)&lt;=1,SUM($B$83)&gt;=0),$B$80,IF(AND($B$175&gt;0,10&gt;$B$175,ISNUMBER($B$75)),$B$75,$B$61)),"")</x:f>
        <x:v>0.0625</x:v>
      </x:c>
      <x:c r="D410" s="440" t="n">
        <x:f>IF(AND(ISNUMBER(B410),B410=0),0,IF(AND($B$171=1,I409=0,ISNUMBER(C410),ISNUMBER(IF(AND(10&lt;=$B$174,10&lt;=$B$173),B410*C410/12,IF(AND(10=$B$173+1,AND(10&gt;$B$173,$B$78="Refinance",ISNUMBER($B$80),$B$80&gt;=0,$B$80&lt;=1,ROUND($B$81*12,0)&gt;=1,$B$81&lt;=100,SUM($B$82)&gt;=0,SUM($B$82)&lt;=1,SUM($B$83)&gt;=0)),IF(B410=0,0,IF(C410=0,B410/ROUND($B$81*12,0),B410*(C410/12)/(1-(1+C410/12)^(-ROUND($B$81*12,0))))),IF(AND(NOT(AND(10&gt;$B$173,$B$78="Refinance",ISNUMBER($B$80),$B$80&gt;=0,$B$80&lt;=1,ROUND($B$81*12,0)&gt;=1,$B$81&lt;=100,SUM($B$82)&gt;=0,SUM($B$82)&lt;=1,SUM($B$83)&gt;=0)),OR(10=1,10=$B$174+1,AND($B$175&gt;0,10=$B$175+1))),IF(AND($B$170=1,$B$66&gt;0,OR($B$175=0,10&lt;=$B$175)),$B$66,IF($B$172-MAX(10-1,$B$174)&gt;0,IF(B410=0,0,IF(C410=0,B410/($B$172-MAX(10-1,$B$174)),B410*(C410/12)/(1-(1+C410/12)^(-($B$172-MAX(10-1,$B$174)))))),"")),D409))))),IF(IF(AND(10&lt;=$B$174,10&lt;=$B$173),B410*C410/12,IF(AND(10=$B$173+1,AND(10&gt;$B$173,$B$78="Refinance",ISNUMBER($B$80),$B$80&gt;=0,$B$80&lt;=1,ROUND($B$81*12,0)&gt;=1,$B$81&lt;=100,SUM($B$82)&gt;=0,SUM($B$82)&lt;=1,SUM($B$83)&gt;=0)),IF(B410=0,0,IF(C410=0,B410/ROUND($B$81*12,0),B410*(C410/12)/(1-(1+C410/12)^(-ROUND($B$81*12,0))))),IF(AND(NOT(AND(10&gt;$B$173,$B$78="Refinance",ISNUMBER($B$80),$B$80&gt;=0,$B$80&lt;=1,ROUND($B$81*12,0)&gt;=1,$B$81&lt;=100,SUM($B$82)&gt;=0,SUM($B$82)&lt;=1,SUM($B$83)&gt;=0)),OR(10=1,10=$B$174+1,AND($B$175&gt;0,10=$B$175+1))),IF(AND($B$170=1,$B$66&gt;0,OR($B$175=0,10&lt;=$B$175)),$B$66,IF($B$172-MAX(10-1,$B$174)&gt;0,IF(B410=0,0,IF(C410=0,B410/($B$172-MAX(10-1,$B$174)),B410*(C410/12)/(1-(1+C410/12)^(-($B$172-MAX(10-1,$B$174)))))),"")),D409)))+0.0000001&gt;=B410*C410/12,MIN(B410*(1+C410/12),IF(AND(10&lt;=$B$174,10&lt;=$B$173),B410*C410/12,IF(AND(10=$B$173+1,AND(10&gt;$B$173,$B$78="Refinance",ISNUMBER($B$80),$B$80&gt;=0,$B$80&lt;=1,ROUND($B$81*12,0)&gt;=1,$B$81&lt;=100,SUM($B$82)&gt;=0,SUM($B$82)&lt;=1,SUM($B$83)&gt;=0)),IF(B410=0,0,IF(C410=0,B410/ROUND($B$81*12,0),B410*(C410/12)/(1-(1+C410/12)^(-ROUND($B$81*12,0))))),IF(AND(NOT(AND(10&gt;$B$173,$B$78="Refinance",ISNUMBER($B$80),$B$80&gt;=0,$B$80&lt;=1,ROUND($B$81*12,0)&gt;=1,$B$81&lt;=100,SUM($B$82)&gt;=0,SUM($B$82)&lt;=1,SUM($B$83)&gt;=0)),OR(10=1,10=$B$174+1,AND($B$175&gt;0,10=$B$175+1))),IF(AND($B$170=1,$B$66&gt;0,OR($B$175=0,10&lt;=$B$175)),$B$66,IF($B$172-MAX(10-1,$B$174)&gt;0,IF(B410=0,0,IF(C410=0,B410/($B$172-MAX(10-1,$B$174)),B410*(C410/12)/(1-(1+C410/12)^(-($B$172-MAX(10-1,$B$174)))))),"")),D409)))),""),""))</x:f>
        <x:v>4679.450723240598</x:v>
      </x:c>
      <x:c r="E410" s="440" t="n">
        <x:f>IF(AND(10=$B$173,ISNUMBER(D410)),IF(MAX(0,B410*(1+C410/12)-D410)&lt;MAX(0.0000001,$E$17*0.00000000001),0,MAX(0,B410*(1+C410/12)-D410)),0)</x:f>
        <x:v>0</x:v>
      </x:c>
      <x:c r="F410" s="440" t="n">
        <x:f>IF($B$78="Cash payoff",E410,0)</x:f>
        <x:v>0</x:v>
      </x:c>
      <x:c r="G410" s="440" t="n">
        <x:f>IF(AND(E410&gt;0,AND($B$78="Refinance",ISNUMBER($B$80),$B$80&gt;=0,$B$80&lt;=1,ROUND($B$81*12,0)&gt;=1,$B$81&lt;=100,SUM($B$82)&gt;=0,SUM($B$82)&lt;=1,SUM($B$83)&gt;=0)),E410*SUM($B$82)+SUM($B$83),0)</x:f>
        <x:v>0</x:v>
      </x:c>
      <x:c r="H410" s="440" t="n">
        <x:f>IF(ISNUMBER(D410),IF(MAX(0,B410*(1+C410/12)-D410-F410)&lt;MAX(0.0000001,$E$17*0.00000000001),0,MAX(0,B410*(1+C410/12)-D410-F410)),IF(AND($B$171=1,I409=1),B410,""))</x:f>
        <x:v>752617.4452955688</x:v>
      </x:c>
      <x:c r="I410" s="444" t="n">
        <x:f>IF(OR(I409=1,AND(E410&gt;0,$B$78&lt;&gt;"Cash payoff",NOT(AND($B$78="Refinance",ISNUMBER($B$80),$B$80&gt;=0,$B$80&lt;=1,ROUND($B$81*12,0)&gt;=1,$B$81&lt;=100,SUM($B$82)&gt;=0,SUM($B$82)&lt;=1,SUM($B$83)&gt;=0))),AND(ISNUMBER(B410),B410&gt;0,$B$171=1,NOT(ISNUMBER(D410)))),1,0)</x:f>
        <x:v>0</x:v>
      </x:c>
      <x:c r="J410" s="440" t="n">
        <x:f>IF(ISNUMBER(L409),L409,"")</x:f>
        <x:v>0</x:v>
      </x:c>
      <x:c r="K410" s="440" t="n">
        <x:f>IF(AND(ISNUMBER(J410),J410=0),0,IF(AND($B$176=1,ISNUMBER(J410)),MIN(J410*(1+$B$87/12),IF($B$86=0,0,IF($B$87=0,$B$86/ROUND($B$88*12,0),$B$86*($B$87/12)/(1-(1+$B$87/12)^(-ROUND($B$88*12,0)))))),""))</x:f>
        <x:v>0</x:v>
      </x:c>
      <x:c r="L410" s="440" t="n">
        <x:f>IF(ISNUMBER(K410),IF(MAX(0,J410*(1+SUM($B$87)/12)-K410)&lt;MAX(0.0000001,$B$86*0.00000000001),0,MAX(0,J410*(1+SUM($B$87)/12)-K410)),"")</x:f>
        <x:v>0</x:v>
      </x:c>
      <x:c r="M410" s="440" t="n">
        <x:f>IF(AND(ISNUMBER(D410),ISNUMBER(K410)),D410+K410,"")</x:f>
        <x:v>4679.450723240598</x:v>
      </x:c>
      <x:c r="N410" s="440" t="n">
        <x:f>IF(AND(ISNUMBER(H410),ISNUMBER(L410)),H410+L410,"")</x:f>
        <x:v>752617.4452955688</x:v>
      </x:c>
    </x:row>
    <x:row r="411" ht="22" customHeight="1">
      <x:c r="A411" s="254" t="n">
        <x:f>11</x:f>
        <x:v>11</x:v>
      </x:c>
      <x:c r="B411" s="440" t="n">
        <x:f>IF(ISNUMBER(H410),H410,"")</x:f>
        <x:v>752617.4452955688</x:v>
      </x:c>
      <x:c r="C411" s="442" t="n">
        <x:f>IF(ISNUMBER(B411),IF(AND(11&gt;$B$173,$B$78="Refinance",ISNUMBER($B$80),$B$80&gt;=0,$B$80&lt;=1,ROUND($B$81*12,0)&gt;=1,$B$81&lt;=100,SUM($B$82)&gt;=0,SUM($B$82)&lt;=1,SUM($B$83)&gt;=0),$B$80,IF(AND($B$175&gt;0,11&gt;$B$175,ISNUMBER($B$75)),$B$75,$B$61)),"")</x:f>
        <x:v>0.0625</x:v>
      </x:c>
      <x:c r="D411" s="440" t="n">
        <x:f>IF(AND(ISNUMBER(B411),B411=0),0,IF(AND($B$171=1,I410=0,ISNUMBER(C411),ISNUMBER(IF(AND(11&lt;=$B$174,11&lt;=$B$173),B411*C411/12,IF(AND(11=$B$173+1,AND(11&gt;$B$173,$B$78="Refinance",ISNUMBER($B$80),$B$80&gt;=0,$B$80&lt;=1,ROUND($B$81*12,0)&gt;=1,$B$81&lt;=100,SUM($B$82)&gt;=0,SUM($B$82)&lt;=1,SUM($B$83)&gt;=0)),IF(B411=0,0,IF(C411=0,B411/ROUND($B$81*12,0),B411*(C411/12)/(1-(1+C411/12)^(-ROUND($B$81*12,0))))),IF(AND(NOT(AND(11&gt;$B$173,$B$78="Refinance",ISNUMBER($B$80),$B$80&gt;=0,$B$80&lt;=1,ROUND($B$81*12,0)&gt;=1,$B$81&lt;=100,SUM($B$82)&gt;=0,SUM($B$82)&lt;=1,SUM($B$83)&gt;=0)),OR(11=1,11=$B$174+1,AND($B$175&gt;0,11=$B$175+1))),IF(AND($B$170=1,$B$66&gt;0,OR($B$175=0,11&lt;=$B$175)),$B$66,IF($B$172-MAX(11-1,$B$174)&gt;0,IF(B411=0,0,IF(C411=0,B411/($B$172-MAX(11-1,$B$174)),B411*(C411/12)/(1-(1+C411/12)^(-($B$172-MAX(11-1,$B$174)))))),"")),D410))))),IF(IF(AND(11&lt;=$B$174,11&lt;=$B$173),B411*C411/12,IF(AND(11=$B$173+1,AND(11&gt;$B$173,$B$78="Refinance",ISNUMBER($B$80),$B$80&gt;=0,$B$80&lt;=1,ROUND($B$81*12,0)&gt;=1,$B$81&lt;=100,SUM($B$82)&gt;=0,SUM($B$82)&lt;=1,SUM($B$83)&gt;=0)),IF(B411=0,0,IF(C411=0,B411/ROUND($B$81*12,0),B411*(C411/12)/(1-(1+C411/12)^(-ROUND($B$81*12,0))))),IF(AND(NOT(AND(11&gt;$B$173,$B$78="Refinance",ISNUMBER($B$80),$B$80&gt;=0,$B$80&lt;=1,ROUND($B$81*12,0)&gt;=1,$B$81&lt;=100,SUM($B$82)&gt;=0,SUM($B$82)&lt;=1,SUM($B$83)&gt;=0)),OR(11=1,11=$B$174+1,AND($B$175&gt;0,11=$B$175+1))),IF(AND($B$170=1,$B$66&gt;0,OR($B$175=0,11&lt;=$B$175)),$B$66,IF($B$172-MAX(11-1,$B$174)&gt;0,IF(B411=0,0,IF(C411=0,B411/($B$172-MAX(11-1,$B$174)),B411*(C411/12)/(1-(1+C411/12)^(-($B$172-MAX(11-1,$B$174)))))),"")),D410)))+0.0000001&gt;=B411*C411/12,MIN(B411*(1+C411/12),IF(AND(11&lt;=$B$174,11&lt;=$B$173),B411*C411/12,IF(AND(11=$B$173+1,AND(11&gt;$B$173,$B$78="Refinance",ISNUMBER($B$80),$B$80&gt;=0,$B$80&lt;=1,ROUND($B$81*12,0)&gt;=1,$B$81&lt;=100,SUM($B$82)&gt;=0,SUM($B$82)&lt;=1,SUM($B$83)&gt;=0)),IF(B411=0,0,IF(C411=0,B411/ROUND($B$81*12,0),B411*(C411/12)/(1-(1+C411/12)^(-ROUND($B$81*12,0))))),IF(AND(NOT(AND(11&gt;$B$173,$B$78="Refinance",ISNUMBER($B$80),$B$80&gt;=0,$B$80&lt;=1,ROUND($B$81*12,0)&gt;=1,$B$81&lt;=100,SUM($B$82)&gt;=0,SUM($B$82)&lt;=1,SUM($B$83)&gt;=0)),OR(11=1,11=$B$174+1,AND($B$175&gt;0,11=$B$175+1))),IF(AND($B$170=1,$B$66&gt;0,OR($B$175=0,11&lt;=$B$175)),$B$66,IF($B$172-MAX(11-1,$B$174)&gt;0,IF(B411=0,0,IF(C411=0,B411/($B$172-MAX(11-1,$B$174)),B411*(C411/12)/(1-(1+C411/12)^(-($B$172-MAX(11-1,$B$174)))))),"")),D410)))),""),""))</x:f>
        <x:v>4679.450723240598</x:v>
      </x:c>
      <x:c r="E411" s="440" t="n">
        <x:f>IF(AND(11=$B$173,ISNUMBER(D411)),IF(MAX(0,B411*(1+C411/12)-D411)&lt;MAX(0.0000001,$E$17*0.00000000001),0,MAX(0,B411*(1+C411/12)-D411)),0)</x:f>
        <x:v>0</x:v>
      </x:c>
      <x:c r="F411" s="440" t="n">
        <x:f>IF($B$78="Cash payoff",E411,0)</x:f>
        <x:v>0</x:v>
      </x:c>
      <x:c r="G411" s="440" t="n">
        <x:f>IF(AND(E411&gt;0,AND($B$78="Refinance",ISNUMBER($B$80),$B$80&gt;=0,$B$80&lt;=1,ROUND($B$81*12,0)&gt;=1,$B$81&lt;=100,SUM($B$82)&gt;=0,SUM($B$82)&lt;=1,SUM($B$83)&gt;=0)),E411*SUM($B$82)+SUM($B$83),0)</x:f>
        <x:v>0</x:v>
      </x:c>
      <x:c r="H411" s="440" t="n">
        <x:f>IF(ISNUMBER(D411),IF(MAX(0,B411*(1+C411/12)-D411-F411)&lt;MAX(0.0000001,$E$17*0.00000000001),0,MAX(0,B411*(1+C411/12)-D411-F411)),IF(AND($B$171=1,I410=1),B411,""))</x:f>
        <x:v>751857.8770999092</x:v>
      </x:c>
      <x:c r="I411" s="444" t="n">
        <x:f>IF(OR(I410=1,AND(E411&gt;0,$B$78&lt;&gt;"Cash payoff",NOT(AND($B$78="Refinance",ISNUMBER($B$80),$B$80&gt;=0,$B$80&lt;=1,ROUND($B$81*12,0)&gt;=1,$B$81&lt;=100,SUM($B$82)&gt;=0,SUM($B$82)&lt;=1,SUM($B$83)&gt;=0))),AND(ISNUMBER(B411),B411&gt;0,$B$171=1,NOT(ISNUMBER(D411)))),1,0)</x:f>
        <x:v>0</x:v>
      </x:c>
      <x:c r="J411" s="440" t="n">
        <x:f>IF(ISNUMBER(L410),L410,"")</x:f>
        <x:v>0</x:v>
      </x:c>
      <x:c r="K411" s="440" t="n">
        <x:f>IF(AND(ISNUMBER(J411),J411=0),0,IF(AND($B$176=1,ISNUMBER(J411)),MIN(J411*(1+$B$87/12),IF($B$86=0,0,IF($B$87=0,$B$86/ROUND($B$88*12,0),$B$86*($B$87/12)/(1-(1+$B$87/12)^(-ROUND($B$88*12,0)))))),""))</x:f>
        <x:v>0</x:v>
      </x:c>
      <x:c r="L411" s="440" t="n">
        <x:f>IF(ISNUMBER(K411),IF(MAX(0,J411*(1+SUM($B$87)/12)-K411)&lt;MAX(0.0000001,$B$86*0.00000000001),0,MAX(0,J411*(1+SUM($B$87)/12)-K411)),"")</x:f>
        <x:v>0</x:v>
      </x:c>
      <x:c r="M411" s="440" t="n">
        <x:f>IF(AND(ISNUMBER(D411),ISNUMBER(K411)),D411+K411,"")</x:f>
        <x:v>4679.450723240598</x:v>
      </x:c>
      <x:c r="N411" s="440" t="n">
        <x:f>IF(AND(ISNUMBER(H411),ISNUMBER(L411)),H411+L411,"")</x:f>
        <x:v>751857.8770999092</x:v>
      </x:c>
    </x:row>
    <x:row r="412" ht="22" customHeight="1">
      <x:c r="A412" s="254" t="n">
        <x:f>12</x:f>
        <x:v>12</x:v>
      </x:c>
      <x:c r="B412" s="440" t="n">
        <x:f>IF(ISNUMBER(H411),H411,"")</x:f>
        <x:v>751857.8770999092</x:v>
      </x:c>
      <x:c r="C412" s="442" t="n">
        <x:f>IF(ISNUMBER(B412),IF(AND(12&gt;$B$173,$B$78="Refinance",ISNUMBER($B$80),$B$80&gt;=0,$B$80&lt;=1,ROUND($B$81*12,0)&gt;=1,$B$81&lt;=100,SUM($B$82)&gt;=0,SUM($B$82)&lt;=1,SUM($B$83)&gt;=0),$B$80,IF(AND($B$175&gt;0,12&gt;$B$175,ISNUMBER($B$75)),$B$75,$B$61)),"")</x:f>
        <x:v>0.0625</x:v>
      </x:c>
      <x:c r="D412" s="440" t="n">
        <x:f>IF(AND(ISNUMBER(B412),B412=0),0,IF(AND($B$171=1,I411=0,ISNUMBER(C412),ISNUMBER(IF(AND(12&lt;=$B$174,12&lt;=$B$173),B412*C412/12,IF(AND(12=$B$173+1,AND(12&gt;$B$173,$B$78="Refinance",ISNUMBER($B$80),$B$80&gt;=0,$B$80&lt;=1,ROUND($B$81*12,0)&gt;=1,$B$81&lt;=100,SUM($B$82)&gt;=0,SUM($B$82)&lt;=1,SUM($B$83)&gt;=0)),IF(B412=0,0,IF(C412=0,B412/ROUND($B$81*12,0),B412*(C412/12)/(1-(1+C412/12)^(-ROUND($B$81*12,0))))),IF(AND(NOT(AND(12&gt;$B$173,$B$78="Refinance",ISNUMBER($B$80),$B$80&gt;=0,$B$80&lt;=1,ROUND($B$81*12,0)&gt;=1,$B$81&lt;=100,SUM($B$82)&gt;=0,SUM($B$82)&lt;=1,SUM($B$83)&gt;=0)),OR(12=1,12=$B$174+1,AND($B$175&gt;0,12=$B$175+1))),IF(AND($B$170=1,$B$66&gt;0,OR($B$175=0,12&lt;=$B$175)),$B$66,IF($B$172-MAX(12-1,$B$174)&gt;0,IF(B412=0,0,IF(C412=0,B412/($B$172-MAX(12-1,$B$174)),B412*(C412/12)/(1-(1+C412/12)^(-($B$172-MAX(12-1,$B$174)))))),"")),D411))))),IF(IF(AND(12&lt;=$B$174,12&lt;=$B$173),B412*C412/12,IF(AND(12=$B$173+1,AND(12&gt;$B$173,$B$78="Refinance",ISNUMBER($B$80),$B$80&gt;=0,$B$80&lt;=1,ROUND($B$81*12,0)&gt;=1,$B$81&lt;=100,SUM($B$82)&gt;=0,SUM($B$82)&lt;=1,SUM($B$83)&gt;=0)),IF(B412=0,0,IF(C412=0,B412/ROUND($B$81*12,0),B412*(C412/12)/(1-(1+C412/12)^(-ROUND($B$81*12,0))))),IF(AND(NOT(AND(12&gt;$B$173,$B$78="Refinance",ISNUMBER($B$80),$B$80&gt;=0,$B$80&lt;=1,ROUND($B$81*12,0)&gt;=1,$B$81&lt;=100,SUM($B$82)&gt;=0,SUM($B$82)&lt;=1,SUM($B$83)&gt;=0)),OR(12=1,12=$B$174+1,AND($B$175&gt;0,12=$B$175+1))),IF(AND($B$170=1,$B$66&gt;0,OR($B$175=0,12&lt;=$B$175)),$B$66,IF($B$172-MAX(12-1,$B$174)&gt;0,IF(B412=0,0,IF(C412=0,B412/($B$172-MAX(12-1,$B$174)),B412*(C412/12)/(1-(1+C412/12)^(-($B$172-MAX(12-1,$B$174)))))),"")),D411)))+0.0000001&gt;=B412*C412/12,MIN(B412*(1+C412/12),IF(AND(12&lt;=$B$174,12&lt;=$B$173),B412*C412/12,IF(AND(12=$B$173+1,AND(12&gt;$B$173,$B$78="Refinance",ISNUMBER($B$80),$B$80&gt;=0,$B$80&lt;=1,ROUND($B$81*12,0)&gt;=1,$B$81&lt;=100,SUM($B$82)&gt;=0,SUM($B$82)&lt;=1,SUM($B$83)&gt;=0)),IF(B412=0,0,IF(C412=0,B412/ROUND($B$81*12,0),B412*(C412/12)/(1-(1+C412/12)^(-ROUND($B$81*12,0))))),IF(AND(NOT(AND(12&gt;$B$173,$B$78="Refinance",ISNUMBER($B$80),$B$80&gt;=0,$B$80&lt;=1,ROUND($B$81*12,0)&gt;=1,$B$81&lt;=100,SUM($B$82)&gt;=0,SUM($B$82)&lt;=1,SUM($B$83)&gt;=0)),OR(12=1,12=$B$174+1,AND($B$175&gt;0,12=$B$175+1))),IF(AND($B$170=1,$B$66&gt;0,OR($B$175=0,12&lt;=$B$175)),$B$66,IF($B$172-MAX(12-1,$B$174)&gt;0,IF(B412=0,0,IF(C412=0,B412/($B$172-MAX(12-1,$B$174)),B412*(C412/12)/(1-(1+C412/12)^(-($B$172-MAX(12-1,$B$174)))))),"")),D411)))),""),""))</x:f>
        <x:v>4679.450723240598</x:v>
      </x:c>
      <x:c r="E412" s="440" t="n">
        <x:f>IF(AND(12=$B$173,ISNUMBER(D412)),IF(MAX(0,B412*(1+C412/12)-D412)&lt;MAX(0.0000001,$E$17*0.00000000001),0,MAX(0,B412*(1+C412/12)-D412)),0)</x:f>
        <x:v>0</x:v>
      </x:c>
      <x:c r="F412" s="440" t="n">
        <x:f>IF($B$78="Cash payoff",E412,0)</x:f>
        <x:v>0</x:v>
      </x:c>
      <x:c r="G412" s="440" t="n">
        <x:f>IF(AND(E412&gt;0,AND($B$78="Refinance",ISNUMBER($B$80),$B$80&gt;=0,$B$80&lt;=1,ROUND($B$81*12,0)&gt;=1,$B$81&lt;=100,SUM($B$82)&gt;=0,SUM($B$82)&lt;=1,SUM($B$83)&gt;=0)),E412*SUM($B$82)+SUM($B$83),0)</x:f>
        <x:v>0</x:v>
      </x:c>
      <x:c r="H412" s="440" t="n">
        <x:f>IF(ISNUMBER(D412),IF(MAX(0,B412*(1+C412/12)-D412-F412)&lt;MAX(0.0000001,$E$17*0.00000000001),0,MAX(0,B412*(1+C412/12)-D412-F412)),IF(AND($B$171=1,I411=1),B412,""))</x:f>
        <x:v>751094.3528198972</x:v>
      </x:c>
      <x:c r="I412" s="444" t="n">
        <x:f>IF(OR(I411=1,AND(E412&gt;0,$B$78&lt;&gt;"Cash payoff",NOT(AND($B$78="Refinance",ISNUMBER($B$80),$B$80&gt;=0,$B$80&lt;=1,ROUND($B$81*12,0)&gt;=1,$B$81&lt;=100,SUM($B$82)&gt;=0,SUM($B$82)&lt;=1,SUM($B$83)&gt;=0))),AND(ISNUMBER(B412),B412&gt;0,$B$171=1,NOT(ISNUMBER(D412)))),1,0)</x:f>
        <x:v>0</x:v>
      </x:c>
      <x:c r="J412" s="440" t="n">
        <x:f>IF(ISNUMBER(L411),L411,"")</x:f>
        <x:v>0</x:v>
      </x:c>
      <x:c r="K412" s="440" t="n">
        <x:f>IF(AND(ISNUMBER(J412),J412=0),0,IF(AND($B$176=1,ISNUMBER(J412)),MIN(J412*(1+$B$87/12),IF($B$86=0,0,IF($B$87=0,$B$86/ROUND($B$88*12,0),$B$86*($B$87/12)/(1-(1+$B$87/12)^(-ROUND($B$88*12,0)))))),""))</x:f>
        <x:v>0</x:v>
      </x:c>
      <x:c r="L412" s="440" t="n">
        <x:f>IF(ISNUMBER(K412),IF(MAX(0,J412*(1+SUM($B$87)/12)-K412)&lt;MAX(0.0000001,$B$86*0.00000000001),0,MAX(0,J412*(1+SUM($B$87)/12)-K412)),"")</x:f>
        <x:v>0</x:v>
      </x:c>
      <x:c r="M412" s="440" t="n">
        <x:f>IF(AND(ISNUMBER(D412),ISNUMBER(K412)),D412+K412,"")</x:f>
        <x:v>4679.450723240598</x:v>
      </x:c>
      <x:c r="N412" s="440" t="n">
        <x:f>IF(AND(ISNUMBER(H412),ISNUMBER(L412)),H412+L412,"")</x:f>
        <x:v>751094.3528198972</x:v>
      </x:c>
    </x:row>
    <x:row r="413" ht="22" customHeight="1">
      <x:c r="A413" s="254" t="n">
        <x:f>13</x:f>
        <x:v>13</x:v>
      </x:c>
      <x:c r="B413" s="440" t="n">
        <x:f>IF(ISNUMBER(H412),H412,"")</x:f>
        <x:v>751094.3528198972</x:v>
      </x:c>
      <x:c r="C413" s="442" t="n">
        <x:f>IF(ISNUMBER(B413),IF(AND(13&gt;$B$173,$B$78="Refinance",ISNUMBER($B$80),$B$80&gt;=0,$B$80&lt;=1,ROUND($B$81*12,0)&gt;=1,$B$81&lt;=100,SUM($B$82)&gt;=0,SUM($B$82)&lt;=1,SUM($B$83)&gt;=0),$B$80,IF(AND($B$175&gt;0,13&gt;$B$175,ISNUMBER($B$75)),$B$75,$B$61)),"")</x:f>
        <x:v>0.0625</x:v>
      </x:c>
      <x:c r="D413" s="440" t="n">
        <x:f>IF(AND(ISNUMBER(B413),B413=0),0,IF(AND($B$171=1,I412=0,ISNUMBER(C413),ISNUMBER(IF(AND(13&lt;=$B$174,13&lt;=$B$173),B413*C413/12,IF(AND(13=$B$173+1,AND(13&gt;$B$173,$B$78="Refinance",ISNUMBER($B$80),$B$80&gt;=0,$B$80&lt;=1,ROUND($B$81*12,0)&gt;=1,$B$81&lt;=100,SUM($B$82)&gt;=0,SUM($B$82)&lt;=1,SUM($B$83)&gt;=0)),IF(B413=0,0,IF(C413=0,B413/ROUND($B$81*12,0),B413*(C413/12)/(1-(1+C413/12)^(-ROUND($B$81*12,0))))),IF(AND(NOT(AND(13&gt;$B$173,$B$78="Refinance",ISNUMBER($B$80),$B$80&gt;=0,$B$80&lt;=1,ROUND($B$81*12,0)&gt;=1,$B$81&lt;=100,SUM($B$82)&gt;=0,SUM($B$82)&lt;=1,SUM($B$83)&gt;=0)),OR(13=1,13=$B$174+1,AND($B$175&gt;0,13=$B$175+1))),IF(AND($B$170=1,$B$66&gt;0,OR($B$175=0,13&lt;=$B$175)),$B$66,IF($B$172-MAX(13-1,$B$174)&gt;0,IF(B413=0,0,IF(C413=0,B413/($B$172-MAX(13-1,$B$174)),B413*(C413/12)/(1-(1+C413/12)^(-($B$172-MAX(13-1,$B$174)))))),"")),D412))))),IF(IF(AND(13&lt;=$B$174,13&lt;=$B$173),B413*C413/12,IF(AND(13=$B$173+1,AND(13&gt;$B$173,$B$78="Refinance",ISNUMBER($B$80),$B$80&gt;=0,$B$80&lt;=1,ROUND($B$81*12,0)&gt;=1,$B$81&lt;=100,SUM($B$82)&gt;=0,SUM($B$82)&lt;=1,SUM($B$83)&gt;=0)),IF(B413=0,0,IF(C413=0,B413/ROUND($B$81*12,0),B413*(C413/12)/(1-(1+C413/12)^(-ROUND($B$81*12,0))))),IF(AND(NOT(AND(13&gt;$B$173,$B$78="Refinance",ISNUMBER($B$80),$B$80&gt;=0,$B$80&lt;=1,ROUND($B$81*12,0)&gt;=1,$B$81&lt;=100,SUM($B$82)&gt;=0,SUM($B$82)&lt;=1,SUM($B$83)&gt;=0)),OR(13=1,13=$B$174+1,AND($B$175&gt;0,13=$B$175+1))),IF(AND($B$170=1,$B$66&gt;0,OR($B$175=0,13&lt;=$B$175)),$B$66,IF($B$172-MAX(13-1,$B$174)&gt;0,IF(B413=0,0,IF(C413=0,B413/($B$172-MAX(13-1,$B$174)),B413*(C413/12)/(1-(1+C413/12)^(-($B$172-MAX(13-1,$B$174)))))),"")),D412)))+0.0000001&gt;=B413*C413/12,MIN(B413*(1+C413/12),IF(AND(13&lt;=$B$174,13&lt;=$B$173),B413*C413/12,IF(AND(13=$B$173+1,AND(13&gt;$B$173,$B$78="Refinance",ISNUMBER($B$80),$B$80&gt;=0,$B$80&lt;=1,ROUND($B$81*12,0)&gt;=1,$B$81&lt;=100,SUM($B$82)&gt;=0,SUM($B$82)&lt;=1,SUM($B$83)&gt;=0)),IF(B413=0,0,IF(C413=0,B413/ROUND($B$81*12,0),B413*(C413/12)/(1-(1+C413/12)^(-ROUND($B$81*12,0))))),IF(AND(NOT(AND(13&gt;$B$173,$B$78="Refinance",ISNUMBER($B$80),$B$80&gt;=0,$B$80&lt;=1,ROUND($B$81*12,0)&gt;=1,$B$81&lt;=100,SUM($B$82)&gt;=0,SUM($B$82)&lt;=1,SUM($B$83)&gt;=0)),OR(13=1,13=$B$174+1,AND($B$175&gt;0,13=$B$175+1))),IF(AND($B$170=1,$B$66&gt;0,OR($B$175=0,13&lt;=$B$175)),$B$66,IF($B$172-MAX(13-1,$B$174)&gt;0,IF(B413=0,0,IF(C413=0,B413/($B$172-MAX(13-1,$B$174)),B413*(C413/12)/(1-(1+C413/12)^(-($B$172-MAX(13-1,$B$174)))))),"")),D412)))),""),""))</x:f>
        <x:v>4679.450723240598</x:v>
      </x:c>
      <x:c r="E413" s="440" t="n">
        <x:f>IF(AND(13=$B$173,ISNUMBER(D413)),IF(MAX(0,B413*(1+C413/12)-D413)&lt;MAX(0.0000001,$E$17*0.00000000001),0,MAX(0,B413*(1+C413/12)-D413)),0)</x:f>
        <x:v>0</x:v>
      </x:c>
      <x:c r="F413" s="440" t="n">
        <x:f>IF($B$78="Cash payoff",E413,0)</x:f>
        <x:v>0</x:v>
      </x:c>
      <x:c r="G413" s="440" t="n">
        <x:f>IF(AND(E413&gt;0,AND($B$78="Refinance",ISNUMBER($B$80),$B$80&gt;=0,$B$80&lt;=1,ROUND($B$81*12,0)&gt;=1,$B$81&lt;=100,SUM($B$82)&gt;=0,SUM($B$82)&lt;=1,SUM($B$83)&gt;=0)),E413*SUM($B$82)+SUM($B$83),0)</x:f>
        <x:v>0</x:v>
      </x:c>
      <x:c r="H413" s="440" t="n">
        <x:f>IF(ISNUMBER(D413),IF(MAX(0,B413*(1+C413/12)-D413-F413)&lt;MAX(0.0000001,$E$17*0.00000000001),0,MAX(0,B413*(1+C413/12)-D413-F413)),IF(AND($B$171=1,I412=1),B413,""))</x:f>
        <x:v>750326.8518509269</x:v>
      </x:c>
      <x:c r="I413" s="444" t="n">
        <x:f>IF(OR(I412=1,AND(E413&gt;0,$B$78&lt;&gt;"Cash payoff",NOT(AND($B$78="Refinance",ISNUMBER($B$80),$B$80&gt;=0,$B$80&lt;=1,ROUND($B$81*12,0)&gt;=1,$B$81&lt;=100,SUM($B$82)&gt;=0,SUM($B$82)&lt;=1,SUM($B$83)&gt;=0))),AND(ISNUMBER(B413),B413&gt;0,$B$171=1,NOT(ISNUMBER(D413)))),1,0)</x:f>
        <x:v>0</x:v>
      </x:c>
      <x:c r="J413" s="440" t="n">
        <x:f>IF(ISNUMBER(L412),L412,"")</x:f>
        <x:v>0</x:v>
      </x:c>
      <x:c r="K413" s="440" t="n">
        <x:f>IF(AND(ISNUMBER(J413),J413=0),0,IF(AND($B$176=1,ISNUMBER(J413)),MIN(J413*(1+$B$87/12),IF($B$86=0,0,IF($B$87=0,$B$86/ROUND($B$88*12,0),$B$86*($B$87/12)/(1-(1+$B$87/12)^(-ROUND($B$88*12,0)))))),""))</x:f>
        <x:v>0</x:v>
      </x:c>
      <x:c r="L413" s="440" t="n">
        <x:f>IF(ISNUMBER(K413),IF(MAX(0,J413*(1+SUM($B$87)/12)-K413)&lt;MAX(0.0000001,$B$86*0.00000000001),0,MAX(0,J413*(1+SUM($B$87)/12)-K413)),"")</x:f>
        <x:v>0</x:v>
      </x:c>
      <x:c r="M413" s="440" t="n">
        <x:f>IF(AND(ISNUMBER(D413),ISNUMBER(K413)),D413+K413,"")</x:f>
        <x:v>4679.450723240598</x:v>
      </x:c>
      <x:c r="N413" s="440" t="n">
        <x:f>IF(AND(ISNUMBER(H413),ISNUMBER(L413)),H413+L413,"")</x:f>
        <x:v>750326.8518509269</x:v>
      </x:c>
    </x:row>
    <x:row r="414" ht="22" customHeight="1">
      <x:c r="A414" s="254" t="n">
        <x:f>14</x:f>
        <x:v>14</x:v>
      </x:c>
      <x:c r="B414" s="440" t="n">
        <x:f>IF(ISNUMBER(H413),H413,"")</x:f>
        <x:v>750326.8518509269</x:v>
      </x:c>
      <x:c r="C414" s="442" t="n">
        <x:f>IF(ISNUMBER(B414),IF(AND(14&gt;$B$173,$B$78="Refinance",ISNUMBER($B$80),$B$80&gt;=0,$B$80&lt;=1,ROUND($B$81*12,0)&gt;=1,$B$81&lt;=100,SUM($B$82)&gt;=0,SUM($B$82)&lt;=1,SUM($B$83)&gt;=0),$B$80,IF(AND($B$175&gt;0,14&gt;$B$175,ISNUMBER($B$75)),$B$75,$B$61)),"")</x:f>
        <x:v>0.0625</x:v>
      </x:c>
      <x:c r="D414" s="440" t="n">
        <x:f>IF(AND(ISNUMBER(B414),B414=0),0,IF(AND($B$171=1,I413=0,ISNUMBER(C414),ISNUMBER(IF(AND(14&lt;=$B$174,14&lt;=$B$173),B414*C414/12,IF(AND(14=$B$173+1,AND(14&gt;$B$173,$B$78="Refinance",ISNUMBER($B$80),$B$80&gt;=0,$B$80&lt;=1,ROUND($B$81*12,0)&gt;=1,$B$81&lt;=100,SUM($B$82)&gt;=0,SUM($B$82)&lt;=1,SUM($B$83)&gt;=0)),IF(B414=0,0,IF(C414=0,B414/ROUND($B$81*12,0),B414*(C414/12)/(1-(1+C414/12)^(-ROUND($B$81*12,0))))),IF(AND(NOT(AND(14&gt;$B$173,$B$78="Refinance",ISNUMBER($B$80),$B$80&gt;=0,$B$80&lt;=1,ROUND($B$81*12,0)&gt;=1,$B$81&lt;=100,SUM($B$82)&gt;=0,SUM($B$82)&lt;=1,SUM($B$83)&gt;=0)),OR(14=1,14=$B$174+1,AND($B$175&gt;0,14=$B$175+1))),IF(AND($B$170=1,$B$66&gt;0,OR($B$175=0,14&lt;=$B$175)),$B$66,IF($B$172-MAX(14-1,$B$174)&gt;0,IF(B414=0,0,IF(C414=0,B414/($B$172-MAX(14-1,$B$174)),B414*(C414/12)/(1-(1+C414/12)^(-($B$172-MAX(14-1,$B$174)))))),"")),D413))))),IF(IF(AND(14&lt;=$B$174,14&lt;=$B$173),B414*C414/12,IF(AND(14=$B$173+1,AND(14&gt;$B$173,$B$78="Refinance",ISNUMBER($B$80),$B$80&gt;=0,$B$80&lt;=1,ROUND($B$81*12,0)&gt;=1,$B$81&lt;=100,SUM($B$82)&gt;=0,SUM($B$82)&lt;=1,SUM($B$83)&gt;=0)),IF(B414=0,0,IF(C414=0,B414/ROUND($B$81*12,0),B414*(C414/12)/(1-(1+C414/12)^(-ROUND($B$81*12,0))))),IF(AND(NOT(AND(14&gt;$B$173,$B$78="Refinance",ISNUMBER($B$80),$B$80&gt;=0,$B$80&lt;=1,ROUND($B$81*12,0)&gt;=1,$B$81&lt;=100,SUM($B$82)&gt;=0,SUM($B$82)&lt;=1,SUM($B$83)&gt;=0)),OR(14=1,14=$B$174+1,AND($B$175&gt;0,14=$B$175+1))),IF(AND($B$170=1,$B$66&gt;0,OR($B$175=0,14&lt;=$B$175)),$B$66,IF($B$172-MAX(14-1,$B$174)&gt;0,IF(B414=0,0,IF(C414=0,B414/($B$172-MAX(14-1,$B$174)),B414*(C414/12)/(1-(1+C414/12)^(-($B$172-MAX(14-1,$B$174)))))),"")),D413)))+0.0000001&gt;=B414*C414/12,MIN(B414*(1+C414/12),IF(AND(14&lt;=$B$174,14&lt;=$B$173),B414*C414/12,IF(AND(14=$B$173+1,AND(14&gt;$B$173,$B$78="Refinance",ISNUMBER($B$80),$B$80&gt;=0,$B$80&lt;=1,ROUND($B$81*12,0)&gt;=1,$B$81&lt;=100,SUM($B$82)&gt;=0,SUM($B$82)&lt;=1,SUM($B$83)&gt;=0)),IF(B414=0,0,IF(C414=0,B414/ROUND($B$81*12,0),B414*(C414/12)/(1-(1+C414/12)^(-ROUND($B$81*12,0))))),IF(AND(NOT(AND(14&gt;$B$173,$B$78="Refinance",ISNUMBER($B$80),$B$80&gt;=0,$B$80&lt;=1,ROUND($B$81*12,0)&gt;=1,$B$81&lt;=100,SUM($B$82)&gt;=0,SUM($B$82)&lt;=1,SUM($B$83)&gt;=0)),OR(14=1,14=$B$174+1,AND($B$175&gt;0,14=$B$175+1))),IF(AND($B$170=1,$B$66&gt;0,OR($B$175=0,14&lt;=$B$175)),$B$66,IF($B$172-MAX(14-1,$B$174)&gt;0,IF(B414=0,0,IF(C414=0,B414/($B$172-MAX(14-1,$B$174)),B414*(C414/12)/(1-(1+C414/12)^(-($B$172-MAX(14-1,$B$174)))))),"")),D413)))),""),""))</x:f>
        <x:v>4679.450723240598</x:v>
      </x:c>
      <x:c r="E414" s="440" t="n">
        <x:f>IF(AND(14=$B$173,ISNUMBER(D414)),IF(MAX(0,B414*(1+C414/12)-D414)&lt;MAX(0.0000001,$E$17*0.00000000001),0,MAX(0,B414*(1+C414/12)-D414)),0)</x:f>
        <x:v>0</x:v>
      </x:c>
      <x:c r="F414" s="440" t="n">
        <x:f>IF($B$78="Cash payoff",E414,0)</x:f>
        <x:v>0</x:v>
      </x:c>
      <x:c r="G414" s="440" t="n">
        <x:f>IF(AND(E414&gt;0,AND($B$78="Refinance",ISNUMBER($B$80),$B$80&gt;=0,$B$80&lt;=1,ROUND($B$81*12,0)&gt;=1,$B$81&lt;=100,SUM($B$82)&gt;=0,SUM($B$82)&lt;=1,SUM($B$83)&gt;=0)),E414*SUM($B$82)+SUM($B$83),0)</x:f>
        <x:v>0</x:v>
      </x:c>
      <x:c r="H414" s="440" t="n">
        <x:f>IF(ISNUMBER(D414),IF(MAX(0,B414*(1+C414/12)-D414-F414)&lt;MAX(0.0000001,$E$17*0.00000000001),0,MAX(0,B414*(1+C414/12)-D414-F414)),IF(AND($B$171=1,I413=1),B414,""))</x:f>
        <x:v>749555.3534810764</x:v>
      </x:c>
      <x:c r="I414" s="444" t="n">
        <x:f>IF(OR(I413=1,AND(E414&gt;0,$B$78&lt;&gt;"Cash payoff",NOT(AND($B$78="Refinance",ISNUMBER($B$80),$B$80&gt;=0,$B$80&lt;=1,ROUND($B$81*12,0)&gt;=1,$B$81&lt;=100,SUM($B$82)&gt;=0,SUM($B$82)&lt;=1,SUM($B$83)&gt;=0))),AND(ISNUMBER(B414),B414&gt;0,$B$171=1,NOT(ISNUMBER(D414)))),1,0)</x:f>
        <x:v>0</x:v>
      </x:c>
      <x:c r="J414" s="440" t="n">
        <x:f>IF(ISNUMBER(L413),L413,"")</x:f>
        <x:v>0</x:v>
      </x:c>
      <x:c r="K414" s="440" t="n">
        <x:f>IF(AND(ISNUMBER(J414),J414=0),0,IF(AND($B$176=1,ISNUMBER(J414)),MIN(J414*(1+$B$87/12),IF($B$86=0,0,IF($B$87=0,$B$86/ROUND($B$88*12,0),$B$86*($B$87/12)/(1-(1+$B$87/12)^(-ROUND($B$88*12,0)))))),""))</x:f>
        <x:v>0</x:v>
      </x:c>
      <x:c r="L414" s="440" t="n">
        <x:f>IF(ISNUMBER(K414),IF(MAX(0,J414*(1+SUM($B$87)/12)-K414)&lt;MAX(0.0000001,$B$86*0.00000000001),0,MAX(0,J414*(1+SUM($B$87)/12)-K414)),"")</x:f>
        <x:v>0</x:v>
      </x:c>
      <x:c r="M414" s="440" t="n">
        <x:f>IF(AND(ISNUMBER(D414),ISNUMBER(K414)),D414+K414,"")</x:f>
        <x:v>4679.450723240598</x:v>
      </x:c>
      <x:c r="N414" s="440" t="n">
        <x:f>IF(AND(ISNUMBER(H414),ISNUMBER(L414)),H414+L414,"")</x:f>
        <x:v>749555.3534810764</x:v>
      </x:c>
    </x:row>
    <x:row r="415" ht="22" customHeight="1">
      <x:c r="A415" s="254" t="n">
        <x:f>15</x:f>
        <x:v>15</x:v>
      </x:c>
      <x:c r="B415" s="440" t="n">
        <x:f>IF(ISNUMBER(H414),H414,"")</x:f>
        <x:v>749555.3534810764</x:v>
      </x:c>
      <x:c r="C415" s="442" t="n">
        <x:f>IF(ISNUMBER(B415),IF(AND(15&gt;$B$173,$B$78="Refinance",ISNUMBER($B$80),$B$80&gt;=0,$B$80&lt;=1,ROUND($B$81*12,0)&gt;=1,$B$81&lt;=100,SUM($B$82)&gt;=0,SUM($B$82)&lt;=1,SUM($B$83)&gt;=0),$B$80,IF(AND($B$175&gt;0,15&gt;$B$175,ISNUMBER($B$75)),$B$75,$B$61)),"")</x:f>
        <x:v>0.0625</x:v>
      </x:c>
      <x:c r="D415" s="440" t="n">
        <x:f>IF(AND(ISNUMBER(B415),B415=0),0,IF(AND($B$171=1,I414=0,ISNUMBER(C415),ISNUMBER(IF(AND(15&lt;=$B$174,15&lt;=$B$173),B415*C415/12,IF(AND(15=$B$173+1,AND(15&gt;$B$173,$B$78="Refinance",ISNUMBER($B$80),$B$80&gt;=0,$B$80&lt;=1,ROUND($B$81*12,0)&gt;=1,$B$81&lt;=100,SUM($B$82)&gt;=0,SUM($B$82)&lt;=1,SUM($B$83)&gt;=0)),IF(B415=0,0,IF(C415=0,B415/ROUND($B$81*12,0),B415*(C415/12)/(1-(1+C415/12)^(-ROUND($B$81*12,0))))),IF(AND(NOT(AND(15&gt;$B$173,$B$78="Refinance",ISNUMBER($B$80),$B$80&gt;=0,$B$80&lt;=1,ROUND($B$81*12,0)&gt;=1,$B$81&lt;=100,SUM($B$82)&gt;=0,SUM($B$82)&lt;=1,SUM($B$83)&gt;=0)),OR(15=1,15=$B$174+1,AND($B$175&gt;0,15=$B$175+1))),IF(AND($B$170=1,$B$66&gt;0,OR($B$175=0,15&lt;=$B$175)),$B$66,IF($B$172-MAX(15-1,$B$174)&gt;0,IF(B415=0,0,IF(C415=0,B415/($B$172-MAX(15-1,$B$174)),B415*(C415/12)/(1-(1+C415/12)^(-($B$172-MAX(15-1,$B$174)))))),"")),D414))))),IF(IF(AND(15&lt;=$B$174,15&lt;=$B$173),B415*C415/12,IF(AND(15=$B$173+1,AND(15&gt;$B$173,$B$78="Refinance",ISNUMBER($B$80),$B$80&gt;=0,$B$80&lt;=1,ROUND($B$81*12,0)&gt;=1,$B$81&lt;=100,SUM($B$82)&gt;=0,SUM($B$82)&lt;=1,SUM($B$83)&gt;=0)),IF(B415=0,0,IF(C415=0,B415/ROUND($B$81*12,0),B415*(C415/12)/(1-(1+C415/12)^(-ROUND($B$81*12,0))))),IF(AND(NOT(AND(15&gt;$B$173,$B$78="Refinance",ISNUMBER($B$80),$B$80&gt;=0,$B$80&lt;=1,ROUND($B$81*12,0)&gt;=1,$B$81&lt;=100,SUM($B$82)&gt;=0,SUM($B$82)&lt;=1,SUM($B$83)&gt;=0)),OR(15=1,15=$B$174+1,AND($B$175&gt;0,15=$B$175+1))),IF(AND($B$170=1,$B$66&gt;0,OR($B$175=0,15&lt;=$B$175)),$B$66,IF($B$172-MAX(15-1,$B$174)&gt;0,IF(B415=0,0,IF(C415=0,B415/($B$172-MAX(15-1,$B$174)),B415*(C415/12)/(1-(1+C415/12)^(-($B$172-MAX(15-1,$B$174)))))),"")),D414)))+0.0000001&gt;=B415*C415/12,MIN(B415*(1+C415/12),IF(AND(15&lt;=$B$174,15&lt;=$B$173),B415*C415/12,IF(AND(15=$B$173+1,AND(15&gt;$B$173,$B$78="Refinance",ISNUMBER($B$80),$B$80&gt;=0,$B$80&lt;=1,ROUND($B$81*12,0)&gt;=1,$B$81&lt;=100,SUM($B$82)&gt;=0,SUM($B$82)&lt;=1,SUM($B$83)&gt;=0)),IF(B415=0,0,IF(C415=0,B415/ROUND($B$81*12,0),B415*(C415/12)/(1-(1+C415/12)^(-ROUND($B$81*12,0))))),IF(AND(NOT(AND(15&gt;$B$173,$B$78="Refinance",ISNUMBER($B$80),$B$80&gt;=0,$B$80&lt;=1,ROUND($B$81*12,0)&gt;=1,$B$81&lt;=100,SUM($B$82)&gt;=0,SUM($B$82)&lt;=1,SUM($B$83)&gt;=0)),OR(15=1,15=$B$174+1,AND($B$175&gt;0,15=$B$175+1))),IF(AND($B$170=1,$B$66&gt;0,OR($B$175=0,15&lt;=$B$175)),$B$66,IF($B$172-MAX(15-1,$B$174)&gt;0,IF(B415=0,0,IF(C415=0,B415/($B$172-MAX(15-1,$B$174)),B415*(C415/12)/(1-(1+C415/12)^(-($B$172-MAX(15-1,$B$174)))))),"")),D414)))),""),""))</x:f>
        <x:v>4679.450723240598</x:v>
      </x:c>
      <x:c r="E415" s="440" t="n">
        <x:f>IF(AND(15=$B$173,ISNUMBER(D415)),IF(MAX(0,B415*(1+C415/12)-D415)&lt;MAX(0.0000001,$E$17*0.00000000001),0,MAX(0,B415*(1+C415/12)-D415)),0)</x:f>
        <x:v>0</x:v>
      </x:c>
      <x:c r="F415" s="440" t="n">
        <x:f>IF($B$78="Cash payoff",E415,0)</x:f>
        <x:v>0</x:v>
      </x:c>
      <x:c r="G415" s="440" t="n">
        <x:f>IF(AND(E415&gt;0,AND($B$78="Refinance",ISNUMBER($B$80),$B$80&gt;=0,$B$80&lt;=1,ROUND($B$81*12,0)&gt;=1,$B$81&lt;=100,SUM($B$82)&gt;=0,SUM($B$82)&lt;=1,SUM($B$83)&gt;=0)),E415*SUM($B$82)+SUM($B$83),0)</x:f>
        <x:v>0</x:v>
      </x:c>
      <x:c r="H415" s="440" t="n">
        <x:f>IF(ISNUMBER(D415),IF(MAX(0,B415*(1+C415/12)-D415-F415)&lt;MAX(0.0000001,$E$17*0.00000000001),0,MAX(0,B415*(1+C415/12)-D415-F415)),IF(AND($B$171=1,I414=1),B415,""))</x:f>
        <x:v>748779.8368905497</x:v>
      </x:c>
      <x:c r="I415" s="444" t="n">
        <x:f>IF(OR(I414=1,AND(E415&gt;0,$B$78&lt;&gt;"Cash payoff",NOT(AND($B$78="Refinance",ISNUMBER($B$80),$B$80&gt;=0,$B$80&lt;=1,ROUND($B$81*12,0)&gt;=1,$B$81&lt;=100,SUM($B$82)&gt;=0,SUM($B$82)&lt;=1,SUM($B$83)&gt;=0))),AND(ISNUMBER(B415),B415&gt;0,$B$171=1,NOT(ISNUMBER(D415)))),1,0)</x:f>
        <x:v>0</x:v>
      </x:c>
      <x:c r="J415" s="440" t="n">
        <x:f>IF(ISNUMBER(L414),L414,"")</x:f>
        <x:v>0</x:v>
      </x:c>
      <x:c r="K415" s="440" t="n">
        <x:f>IF(AND(ISNUMBER(J415),J415=0),0,IF(AND($B$176=1,ISNUMBER(J415)),MIN(J415*(1+$B$87/12),IF($B$86=0,0,IF($B$87=0,$B$86/ROUND($B$88*12,0),$B$86*($B$87/12)/(1-(1+$B$87/12)^(-ROUND($B$88*12,0)))))),""))</x:f>
        <x:v>0</x:v>
      </x:c>
      <x:c r="L415" s="440" t="n">
        <x:f>IF(ISNUMBER(K415),IF(MAX(0,J415*(1+SUM($B$87)/12)-K415)&lt;MAX(0.0000001,$B$86*0.00000000001),0,MAX(0,J415*(1+SUM($B$87)/12)-K415)),"")</x:f>
        <x:v>0</x:v>
      </x:c>
      <x:c r="M415" s="440" t="n">
        <x:f>IF(AND(ISNUMBER(D415),ISNUMBER(K415)),D415+K415,"")</x:f>
        <x:v>4679.450723240598</x:v>
      </x:c>
      <x:c r="N415" s="440" t="n">
        <x:f>IF(AND(ISNUMBER(H415),ISNUMBER(L415)),H415+L415,"")</x:f>
        <x:v>748779.8368905497</x:v>
      </x:c>
    </x:row>
    <x:row r="416" ht="22" customHeight="1">
      <x:c r="A416" s="254" t="n">
        <x:f>16</x:f>
        <x:v>16</x:v>
      </x:c>
      <x:c r="B416" s="440" t="n">
        <x:f>IF(ISNUMBER(H415),H415,"")</x:f>
        <x:v>748779.8368905497</x:v>
      </x:c>
      <x:c r="C416" s="442" t="n">
        <x:f>IF(ISNUMBER(B416),IF(AND(16&gt;$B$173,$B$78="Refinance",ISNUMBER($B$80),$B$80&gt;=0,$B$80&lt;=1,ROUND($B$81*12,0)&gt;=1,$B$81&lt;=100,SUM($B$82)&gt;=0,SUM($B$82)&lt;=1,SUM($B$83)&gt;=0),$B$80,IF(AND($B$175&gt;0,16&gt;$B$175,ISNUMBER($B$75)),$B$75,$B$61)),"")</x:f>
        <x:v>0.0625</x:v>
      </x:c>
      <x:c r="D416" s="440" t="n">
        <x:f>IF(AND(ISNUMBER(B416),B416=0),0,IF(AND($B$171=1,I415=0,ISNUMBER(C416),ISNUMBER(IF(AND(16&lt;=$B$174,16&lt;=$B$173),B416*C416/12,IF(AND(16=$B$173+1,AND(16&gt;$B$173,$B$78="Refinance",ISNUMBER($B$80),$B$80&gt;=0,$B$80&lt;=1,ROUND($B$81*12,0)&gt;=1,$B$81&lt;=100,SUM($B$82)&gt;=0,SUM($B$82)&lt;=1,SUM($B$83)&gt;=0)),IF(B416=0,0,IF(C416=0,B416/ROUND($B$81*12,0),B416*(C416/12)/(1-(1+C416/12)^(-ROUND($B$81*12,0))))),IF(AND(NOT(AND(16&gt;$B$173,$B$78="Refinance",ISNUMBER($B$80),$B$80&gt;=0,$B$80&lt;=1,ROUND($B$81*12,0)&gt;=1,$B$81&lt;=100,SUM($B$82)&gt;=0,SUM($B$82)&lt;=1,SUM($B$83)&gt;=0)),OR(16=1,16=$B$174+1,AND($B$175&gt;0,16=$B$175+1))),IF(AND($B$170=1,$B$66&gt;0,OR($B$175=0,16&lt;=$B$175)),$B$66,IF($B$172-MAX(16-1,$B$174)&gt;0,IF(B416=0,0,IF(C416=0,B416/($B$172-MAX(16-1,$B$174)),B416*(C416/12)/(1-(1+C416/12)^(-($B$172-MAX(16-1,$B$174)))))),"")),D415))))),IF(IF(AND(16&lt;=$B$174,16&lt;=$B$173),B416*C416/12,IF(AND(16=$B$173+1,AND(16&gt;$B$173,$B$78="Refinance",ISNUMBER($B$80),$B$80&gt;=0,$B$80&lt;=1,ROUND($B$81*12,0)&gt;=1,$B$81&lt;=100,SUM($B$82)&gt;=0,SUM($B$82)&lt;=1,SUM($B$83)&gt;=0)),IF(B416=0,0,IF(C416=0,B416/ROUND($B$81*12,0),B416*(C416/12)/(1-(1+C416/12)^(-ROUND($B$81*12,0))))),IF(AND(NOT(AND(16&gt;$B$173,$B$78="Refinance",ISNUMBER($B$80),$B$80&gt;=0,$B$80&lt;=1,ROUND($B$81*12,0)&gt;=1,$B$81&lt;=100,SUM($B$82)&gt;=0,SUM($B$82)&lt;=1,SUM($B$83)&gt;=0)),OR(16=1,16=$B$174+1,AND($B$175&gt;0,16=$B$175+1))),IF(AND($B$170=1,$B$66&gt;0,OR($B$175=0,16&lt;=$B$175)),$B$66,IF($B$172-MAX(16-1,$B$174)&gt;0,IF(B416=0,0,IF(C416=0,B416/($B$172-MAX(16-1,$B$174)),B416*(C416/12)/(1-(1+C416/12)^(-($B$172-MAX(16-1,$B$174)))))),"")),D415)))+0.0000001&gt;=B416*C416/12,MIN(B416*(1+C416/12),IF(AND(16&lt;=$B$174,16&lt;=$B$173),B416*C416/12,IF(AND(16=$B$173+1,AND(16&gt;$B$173,$B$78="Refinance",ISNUMBER($B$80),$B$80&gt;=0,$B$80&lt;=1,ROUND($B$81*12,0)&gt;=1,$B$81&lt;=100,SUM($B$82)&gt;=0,SUM($B$82)&lt;=1,SUM($B$83)&gt;=0)),IF(B416=0,0,IF(C416=0,B416/ROUND($B$81*12,0),B416*(C416/12)/(1-(1+C416/12)^(-ROUND($B$81*12,0))))),IF(AND(NOT(AND(16&gt;$B$173,$B$78="Refinance",ISNUMBER($B$80),$B$80&gt;=0,$B$80&lt;=1,ROUND($B$81*12,0)&gt;=1,$B$81&lt;=100,SUM($B$82)&gt;=0,SUM($B$82)&lt;=1,SUM($B$83)&gt;=0)),OR(16=1,16=$B$174+1,AND($B$175&gt;0,16=$B$175+1))),IF(AND($B$170=1,$B$66&gt;0,OR($B$175=0,16&lt;=$B$175)),$B$66,IF($B$172-MAX(16-1,$B$174)&gt;0,IF(B416=0,0,IF(C416=0,B416/($B$172-MAX(16-1,$B$174)),B416*(C416/12)/(1-(1+C416/12)^(-($B$172-MAX(16-1,$B$174)))))),"")),D415)))),""),""))</x:f>
        <x:v>4679.450723240598</x:v>
      </x:c>
      <x:c r="E416" s="440" t="n">
        <x:f>IF(AND(16=$B$173,ISNUMBER(D416)),IF(MAX(0,B416*(1+C416/12)-D416)&lt;MAX(0.0000001,$E$17*0.00000000001),0,MAX(0,B416*(1+C416/12)-D416)),0)</x:f>
        <x:v>0</x:v>
      </x:c>
      <x:c r="F416" s="440" t="n">
        <x:f>IF($B$78="Cash payoff",E416,0)</x:f>
        <x:v>0</x:v>
      </x:c>
      <x:c r="G416" s="440" t="n">
        <x:f>IF(AND(E416&gt;0,AND($B$78="Refinance",ISNUMBER($B$80),$B$80&gt;=0,$B$80&lt;=1,ROUND($B$81*12,0)&gt;=1,$B$81&lt;=100,SUM($B$82)&gt;=0,SUM($B$82)&lt;=1,SUM($B$83)&gt;=0)),E416*SUM($B$82)+SUM($B$83),0)</x:f>
        <x:v>0</x:v>
      </x:c>
      <x:c r="H416" s="440" t="n">
        <x:f>IF(ISNUMBER(D416),IF(MAX(0,B416*(1+C416/12)-D416-F416)&lt;MAX(0.0000001,$E$17*0.00000000001),0,MAX(0,B416*(1+C416/12)-D416-F416)),IF(AND($B$171=1,I415=1),B416,""))</x:f>
        <x:v>748000.281151114</x:v>
      </x:c>
      <x:c r="I416" s="444" t="n">
        <x:f>IF(OR(I415=1,AND(E416&gt;0,$B$78&lt;&gt;"Cash payoff",NOT(AND($B$78="Refinance",ISNUMBER($B$80),$B$80&gt;=0,$B$80&lt;=1,ROUND($B$81*12,0)&gt;=1,$B$81&lt;=100,SUM($B$82)&gt;=0,SUM($B$82)&lt;=1,SUM($B$83)&gt;=0))),AND(ISNUMBER(B416),B416&gt;0,$B$171=1,NOT(ISNUMBER(D416)))),1,0)</x:f>
        <x:v>0</x:v>
      </x:c>
      <x:c r="J416" s="440" t="n">
        <x:f>IF(ISNUMBER(L415),L415,"")</x:f>
        <x:v>0</x:v>
      </x:c>
      <x:c r="K416" s="440" t="n">
        <x:f>IF(AND(ISNUMBER(J416),J416=0),0,IF(AND($B$176=1,ISNUMBER(J416)),MIN(J416*(1+$B$87/12),IF($B$86=0,0,IF($B$87=0,$B$86/ROUND($B$88*12,0),$B$86*($B$87/12)/(1-(1+$B$87/12)^(-ROUND($B$88*12,0)))))),""))</x:f>
        <x:v>0</x:v>
      </x:c>
      <x:c r="L416" s="440" t="n">
        <x:f>IF(ISNUMBER(K416),IF(MAX(0,J416*(1+SUM($B$87)/12)-K416)&lt;MAX(0.0000001,$B$86*0.00000000001),0,MAX(0,J416*(1+SUM($B$87)/12)-K416)),"")</x:f>
        <x:v>0</x:v>
      </x:c>
      <x:c r="M416" s="440" t="n">
        <x:f>IF(AND(ISNUMBER(D416),ISNUMBER(K416)),D416+K416,"")</x:f>
        <x:v>4679.450723240598</x:v>
      </x:c>
      <x:c r="N416" s="440" t="n">
        <x:f>IF(AND(ISNUMBER(H416),ISNUMBER(L416)),H416+L416,"")</x:f>
        <x:v>748000.281151114</x:v>
      </x:c>
    </x:row>
    <x:row r="417" ht="22" customHeight="1">
      <x:c r="A417" s="254" t="n">
        <x:f>17</x:f>
        <x:v>17</x:v>
      </x:c>
      <x:c r="B417" s="440" t="n">
        <x:f>IF(ISNUMBER(H416),H416,"")</x:f>
        <x:v>748000.281151114</x:v>
      </x:c>
      <x:c r="C417" s="442" t="n">
        <x:f>IF(ISNUMBER(B417),IF(AND(17&gt;$B$173,$B$78="Refinance",ISNUMBER($B$80),$B$80&gt;=0,$B$80&lt;=1,ROUND($B$81*12,0)&gt;=1,$B$81&lt;=100,SUM($B$82)&gt;=0,SUM($B$82)&lt;=1,SUM($B$83)&gt;=0),$B$80,IF(AND($B$175&gt;0,17&gt;$B$175,ISNUMBER($B$75)),$B$75,$B$61)),"")</x:f>
        <x:v>0.0625</x:v>
      </x:c>
      <x:c r="D417" s="440" t="n">
        <x:f>IF(AND(ISNUMBER(B417),B417=0),0,IF(AND($B$171=1,I416=0,ISNUMBER(C417),ISNUMBER(IF(AND(17&lt;=$B$174,17&lt;=$B$173),B417*C417/12,IF(AND(17=$B$173+1,AND(17&gt;$B$173,$B$78="Refinance",ISNUMBER($B$80),$B$80&gt;=0,$B$80&lt;=1,ROUND($B$81*12,0)&gt;=1,$B$81&lt;=100,SUM($B$82)&gt;=0,SUM($B$82)&lt;=1,SUM($B$83)&gt;=0)),IF(B417=0,0,IF(C417=0,B417/ROUND($B$81*12,0),B417*(C417/12)/(1-(1+C417/12)^(-ROUND($B$81*12,0))))),IF(AND(NOT(AND(17&gt;$B$173,$B$78="Refinance",ISNUMBER($B$80),$B$80&gt;=0,$B$80&lt;=1,ROUND($B$81*12,0)&gt;=1,$B$81&lt;=100,SUM($B$82)&gt;=0,SUM($B$82)&lt;=1,SUM($B$83)&gt;=0)),OR(17=1,17=$B$174+1,AND($B$175&gt;0,17=$B$175+1))),IF(AND($B$170=1,$B$66&gt;0,OR($B$175=0,17&lt;=$B$175)),$B$66,IF($B$172-MAX(17-1,$B$174)&gt;0,IF(B417=0,0,IF(C417=0,B417/($B$172-MAX(17-1,$B$174)),B417*(C417/12)/(1-(1+C417/12)^(-($B$172-MAX(17-1,$B$174)))))),"")),D416))))),IF(IF(AND(17&lt;=$B$174,17&lt;=$B$173),B417*C417/12,IF(AND(17=$B$173+1,AND(17&gt;$B$173,$B$78="Refinance",ISNUMBER($B$80),$B$80&gt;=0,$B$80&lt;=1,ROUND($B$81*12,0)&gt;=1,$B$81&lt;=100,SUM($B$82)&gt;=0,SUM($B$82)&lt;=1,SUM($B$83)&gt;=0)),IF(B417=0,0,IF(C417=0,B417/ROUND($B$81*12,0),B417*(C417/12)/(1-(1+C417/12)^(-ROUND($B$81*12,0))))),IF(AND(NOT(AND(17&gt;$B$173,$B$78="Refinance",ISNUMBER($B$80),$B$80&gt;=0,$B$80&lt;=1,ROUND($B$81*12,0)&gt;=1,$B$81&lt;=100,SUM($B$82)&gt;=0,SUM($B$82)&lt;=1,SUM($B$83)&gt;=0)),OR(17=1,17=$B$174+1,AND($B$175&gt;0,17=$B$175+1))),IF(AND($B$170=1,$B$66&gt;0,OR($B$175=0,17&lt;=$B$175)),$B$66,IF($B$172-MAX(17-1,$B$174)&gt;0,IF(B417=0,0,IF(C417=0,B417/($B$172-MAX(17-1,$B$174)),B417*(C417/12)/(1-(1+C417/12)^(-($B$172-MAX(17-1,$B$174)))))),"")),D416)))+0.0000001&gt;=B417*C417/12,MIN(B417*(1+C417/12),IF(AND(17&lt;=$B$174,17&lt;=$B$173),B417*C417/12,IF(AND(17=$B$173+1,AND(17&gt;$B$173,$B$78="Refinance",ISNUMBER($B$80),$B$80&gt;=0,$B$80&lt;=1,ROUND($B$81*12,0)&gt;=1,$B$81&lt;=100,SUM($B$82)&gt;=0,SUM($B$82)&lt;=1,SUM($B$83)&gt;=0)),IF(B417=0,0,IF(C417=0,B417/ROUND($B$81*12,0),B417*(C417/12)/(1-(1+C417/12)^(-ROUND($B$81*12,0))))),IF(AND(NOT(AND(17&gt;$B$173,$B$78="Refinance",ISNUMBER($B$80),$B$80&gt;=0,$B$80&lt;=1,ROUND($B$81*12,0)&gt;=1,$B$81&lt;=100,SUM($B$82)&gt;=0,SUM($B$82)&lt;=1,SUM($B$83)&gt;=0)),OR(17=1,17=$B$174+1,AND($B$175&gt;0,17=$B$175+1))),IF(AND($B$170=1,$B$66&gt;0,OR($B$175=0,17&lt;=$B$175)),$B$66,IF($B$172-MAX(17-1,$B$174)&gt;0,IF(B417=0,0,IF(C417=0,B417/($B$172-MAX(17-1,$B$174)),B417*(C417/12)/(1-(1+C417/12)^(-($B$172-MAX(17-1,$B$174)))))),"")),D416)))),""),""))</x:f>
        <x:v>4679.450723240598</x:v>
      </x:c>
      <x:c r="E417" s="440" t="n">
        <x:f>IF(AND(17=$B$173,ISNUMBER(D417)),IF(MAX(0,B417*(1+C417/12)-D417)&lt;MAX(0.0000001,$E$17*0.00000000001),0,MAX(0,B417*(1+C417/12)-D417)),0)</x:f>
        <x:v>0</x:v>
      </x:c>
      <x:c r="F417" s="440" t="n">
        <x:f>IF($B$78="Cash payoff",E417,0)</x:f>
        <x:v>0</x:v>
      </x:c>
      <x:c r="G417" s="440" t="n">
        <x:f>IF(AND(E417&gt;0,AND($B$78="Refinance",ISNUMBER($B$80),$B$80&gt;=0,$B$80&lt;=1,ROUND($B$81*12,0)&gt;=1,$B$81&lt;=100,SUM($B$82)&gt;=0,SUM($B$82)&lt;=1,SUM($B$83)&gt;=0)),E417*SUM($B$82)+SUM($B$83),0)</x:f>
        <x:v>0</x:v>
      </x:c>
      <x:c r="H417" s="440" t="n">
        <x:f>IF(ISNUMBER(D417),IF(MAX(0,B417*(1+C417/12)-D417-F417)&lt;MAX(0.0000001,$E$17*0.00000000001),0,MAX(0,B417*(1+C417/12)-D417-F417)),IF(AND($B$171=1,I416=1),B417,""))</x:f>
        <x:v>747216.6652255354</x:v>
      </x:c>
      <x:c r="I417" s="444" t="n">
        <x:f>IF(OR(I416=1,AND(E417&gt;0,$B$78&lt;&gt;"Cash payoff",NOT(AND($B$78="Refinance",ISNUMBER($B$80),$B$80&gt;=0,$B$80&lt;=1,ROUND($B$81*12,0)&gt;=1,$B$81&lt;=100,SUM($B$82)&gt;=0,SUM($B$82)&lt;=1,SUM($B$83)&gt;=0))),AND(ISNUMBER(B417),B417&gt;0,$B$171=1,NOT(ISNUMBER(D417)))),1,0)</x:f>
        <x:v>0</x:v>
      </x:c>
      <x:c r="J417" s="440" t="n">
        <x:f>IF(ISNUMBER(L416),L416,"")</x:f>
        <x:v>0</x:v>
      </x:c>
      <x:c r="K417" s="440" t="n">
        <x:f>IF(AND(ISNUMBER(J417),J417=0),0,IF(AND($B$176=1,ISNUMBER(J417)),MIN(J417*(1+$B$87/12),IF($B$86=0,0,IF($B$87=0,$B$86/ROUND($B$88*12,0),$B$86*($B$87/12)/(1-(1+$B$87/12)^(-ROUND($B$88*12,0)))))),""))</x:f>
        <x:v>0</x:v>
      </x:c>
      <x:c r="L417" s="440" t="n">
        <x:f>IF(ISNUMBER(K417),IF(MAX(0,J417*(1+SUM($B$87)/12)-K417)&lt;MAX(0.0000001,$B$86*0.00000000001),0,MAX(0,J417*(1+SUM($B$87)/12)-K417)),"")</x:f>
        <x:v>0</x:v>
      </x:c>
      <x:c r="M417" s="440" t="n">
        <x:f>IF(AND(ISNUMBER(D417),ISNUMBER(K417)),D417+K417,"")</x:f>
        <x:v>4679.450723240598</x:v>
      </x:c>
      <x:c r="N417" s="440" t="n">
        <x:f>IF(AND(ISNUMBER(H417),ISNUMBER(L417)),H417+L417,"")</x:f>
        <x:v>747216.6652255354</x:v>
      </x:c>
    </x:row>
    <x:row r="418" ht="22" customHeight="1">
      <x:c r="A418" s="254" t="n">
        <x:f>18</x:f>
        <x:v>18</x:v>
      </x:c>
      <x:c r="B418" s="440" t="n">
        <x:f>IF(ISNUMBER(H417),H417,"")</x:f>
        <x:v>747216.6652255354</x:v>
      </x:c>
      <x:c r="C418" s="442" t="n">
        <x:f>IF(ISNUMBER(B418),IF(AND(18&gt;$B$173,$B$78="Refinance",ISNUMBER($B$80),$B$80&gt;=0,$B$80&lt;=1,ROUND($B$81*12,0)&gt;=1,$B$81&lt;=100,SUM($B$82)&gt;=0,SUM($B$82)&lt;=1,SUM($B$83)&gt;=0),$B$80,IF(AND($B$175&gt;0,18&gt;$B$175,ISNUMBER($B$75)),$B$75,$B$61)),"")</x:f>
        <x:v>0.0625</x:v>
      </x:c>
      <x:c r="D418" s="440" t="n">
        <x:f>IF(AND(ISNUMBER(B418),B418=0),0,IF(AND($B$171=1,I417=0,ISNUMBER(C418),ISNUMBER(IF(AND(18&lt;=$B$174,18&lt;=$B$173),B418*C418/12,IF(AND(18=$B$173+1,AND(18&gt;$B$173,$B$78="Refinance",ISNUMBER($B$80),$B$80&gt;=0,$B$80&lt;=1,ROUND($B$81*12,0)&gt;=1,$B$81&lt;=100,SUM($B$82)&gt;=0,SUM($B$82)&lt;=1,SUM($B$83)&gt;=0)),IF(B418=0,0,IF(C418=0,B418/ROUND($B$81*12,0),B418*(C418/12)/(1-(1+C418/12)^(-ROUND($B$81*12,0))))),IF(AND(NOT(AND(18&gt;$B$173,$B$78="Refinance",ISNUMBER($B$80),$B$80&gt;=0,$B$80&lt;=1,ROUND($B$81*12,0)&gt;=1,$B$81&lt;=100,SUM($B$82)&gt;=0,SUM($B$82)&lt;=1,SUM($B$83)&gt;=0)),OR(18=1,18=$B$174+1,AND($B$175&gt;0,18=$B$175+1))),IF(AND($B$170=1,$B$66&gt;0,OR($B$175=0,18&lt;=$B$175)),$B$66,IF($B$172-MAX(18-1,$B$174)&gt;0,IF(B418=0,0,IF(C418=0,B418/($B$172-MAX(18-1,$B$174)),B418*(C418/12)/(1-(1+C418/12)^(-($B$172-MAX(18-1,$B$174)))))),"")),D417))))),IF(IF(AND(18&lt;=$B$174,18&lt;=$B$173),B418*C418/12,IF(AND(18=$B$173+1,AND(18&gt;$B$173,$B$78="Refinance",ISNUMBER($B$80),$B$80&gt;=0,$B$80&lt;=1,ROUND($B$81*12,0)&gt;=1,$B$81&lt;=100,SUM($B$82)&gt;=0,SUM($B$82)&lt;=1,SUM($B$83)&gt;=0)),IF(B418=0,0,IF(C418=0,B418/ROUND($B$81*12,0),B418*(C418/12)/(1-(1+C418/12)^(-ROUND($B$81*12,0))))),IF(AND(NOT(AND(18&gt;$B$173,$B$78="Refinance",ISNUMBER($B$80),$B$80&gt;=0,$B$80&lt;=1,ROUND($B$81*12,0)&gt;=1,$B$81&lt;=100,SUM($B$82)&gt;=0,SUM($B$82)&lt;=1,SUM($B$83)&gt;=0)),OR(18=1,18=$B$174+1,AND($B$175&gt;0,18=$B$175+1))),IF(AND($B$170=1,$B$66&gt;0,OR($B$175=0,18&lt;=$B$175)),$B$66,IF($B$172-MAX(18-1,$B$174)&gt;0,IF(B418=0,0,IF(C418=0,B418/($B$172-MAX(18-1,$B$174)),B418*(C418/12)/(1-(1+C418/12)^(-($B$172-MAX(18-1,$B$174)))))),"")),D417)))+0.0000001&gt;=B418*C418/12,MIN(B418*(1+C418/12),IF(AND(18&lt;=$B$174,18&lt;=$B$173),B418*C418/12,IF(AND(18=$B$173+1,AND(18&gt;$B$173,$B$78="Refinance",ISNUMBER($B$80),$B$80&gt;=0,$B$80&lt;=1,ROUND($B$81*12,0)&gt;=1,$B$81&lt;=100,SUM($B$82)&gt;=0,SUM($B$82)&lt;=1,SUM($B$83)&gt;=0)),IF(B418=0,0,IF(C418=0,B418/ROUND($B$81*12,0),B418*(C418/12)/(1-(1+C418/12)^(-ROUND($B$81*12,0))))),IF(AND(NOT(AND(18&gt;$B$173,$B$78="Refinance",ISNUMBER($B$80),$B$80&gt;=0,$B$80&lt;=1,ROUND($B$81*12,0)&gt;=1,$B$81&lt;=100,SUM($B$82)&gt;=0,SUM($B$82)&lt;=1,SUM($B$83)&gt;=0)),OR(18=1,18=$B$174+1,AND($B$175&gt;0,18=$B$175+1))),IF(AND($B$170=1,$B$66&gt;0,OR($B$175=0,18&lt;=$B$175)),$B$66,IF($B$172-MAX(18-1,$B$174)&gt;0,IF(B418=0,0,IF(C418=0,B418/($B$172-MAX(18-1,$B$174)),B418*(C418/12)/(1-(1+C418/12)^(-($B$172-MAX(18-1,$B$174)))))),"")),D417)))),""),""))</x:f>
        <x:v>4679.450723240598</x:v>
      </x:c>
      <x:c r="E418" s="440" t="n">
        <x:f>IF(AND(18=$B$173,ISNUMBER(D418)),IF(MAX(0,B418*(1+C418/12)-D418)&lt;MAX(0.0000001,$E$17*0.00000000001),0,MAX(0,B418*(1+C418/12)-D418)),0)</x:f>
        <x:v>0</x:v>
      </x:c>
      <x:c r="F418" s="440" t="n">
        <x:f>IF($B$78="Cash payoff",E418,0)</x:f>
        <x:v>0</x:v>
      </x:c>
      <x:c r="G418" s="440" t="n">
        <x:f>IF(AND(E418&gt;0,AND($B$78="Refinance",ISNUMBER($B$80),$B$80&gt;=0,$B$80&lt;=1,ROUND($B$81*12,0)&gt;=1,$B$81&lt;=100,SUM($B$82)&gt;=0,SUM($B$82)&lt;=1,SUM($B$83)&gt;=0)),E418*SUM($B$82)+SUM($B$83),0)</x:f>
        <x:v>0</x:v>
      </x:c>
      <x:c r="H418" s="440" t="n">
        <x:f>IF(ISNUMBER(D418),IF(MAX(0,B418*(1+C418/12)-D418-F418)&lt;MAX(0.0000001,$E$17*0.00000000001),0,MAX(0,B418*(1+C418/12)-D418-F418)),IF(AND($B$171=1,I417=1),B418,""))</x:f>
        <x:v>746428.967967011</x:v>
      </x:c>
      <x:c r="I418" s="444" t="n">
        <x:f>IF(OR(I417=1,AND(E418&gt;0,$B$78&lt;&gt;"Cash payoff",NOT(AND($B$78="Refinance",ISNUMBER($B$80),$B$80&gt;=0,$B$80&lt;=1,ROUND($B$81*12,0)&gt;=1,$B$81&lt;=100,SUM($B$82)&gt;=0,SUM($B$82)&lt;=1,SUM($B$83)&gt;=0))),AND(ISNUMBER(B418),B418&gt;0,$B$171=1,NOT(ISNUMBER(D418)))),1,0)</x:f>
        <x:v>0</x:v>
      </x:c>
      <x:c r="J418" s="440" t="n">
        <x:f>IF(ISNUMBER(L417),L417,"")</x:f>
        <x:v>0</x:v>
      </x:c>
      <x:c r="K418" s="440" t="n">
        <x:f>IF(AND(ISNUMBER(J418),J418=0),0,IF(AND($B$176=1,ISNUMBER(J418)),MIN(J418*(1+$B$87/12),IF($B$86=0,0,IF($B$87=0,$B$86/ROUND($B$88*12,0),$B$86*($B$87/12)/(1-(1+$B$87/12)^(-ROUND($B$88*12,0)))))),""))</x:f>
        <x:v>0</x:v>
      </x:c>
      <x:c r="L418" s="440" t="n">
        <x:f>IF(ISNUMBER(K418),IF(MAX(0,J418*(1+SUM($B$87)/12)-K418)&lt;MAX(0.0000001,$B$86*0.00000000001),0,MAX(0,J418*(1+SUM($B$87)/12)-K418)),"")</x:f>
        <x:v>0</x:v>
      </x:c>
      <x:c r="M418" s="440" t="n">
        <x:f>IF(AND(ISNUMBER(D418),ISNUMBER(K418)),D418+K418,"")</x:f>
        <x:v>4679.450723240598</x:v>
      </x:c>
      <x:c r="N418" s="440" t="n">
        <x:f>IF(AND(ISNUMBER(H418),ISNUMBER(L418)),H418+L418,"")</x:f>
        <x:v>746428.967967011</x:v>
      </x:c>
    </x:row>
    <x:row r="419" ht="22" customHeight="1">
      <x:c r="A419" s="254" t="n">
        <x:f>19</x:f>
        <x:v>19</x:v>
      </x:c>
      <x:c r="B419" s="440" t="n">
        <x:f>IF(ISNUMBER(H418),H418,"")</x:f>
        <x:v>746428.967967011</x:v>
      </x:c>
      <x:c r="C419" s="442" t="n">
        <x:f>IF(ISNUMBER(B419),IF(AND(19&gt;$B$173,$B$78="Refinance",ISNUMBER($B$80),$B$80&gt;=0,$B$80&lt;=1,ROUND($B$81*12,0)&gt;=1,$B$81&lt;=100,SUM($B$82)&gt;=0,SUM($B$82)&lt;=1,SUM($B$83)&gt;=0),$B$80,IF(AND($B$175&gt;0,19&gt;$B$175,ISNUMBER($B$75)),$B$75,$B$61)),"")</x:f>
        <x:v>0.0625</x:v>
      </x:c>
      <x:c r="D419" s="440" t="n">
        <x:f>IF(AND(ISNUMBER(B419),B419=0),0,IF(AND($B$171=1,I418=0,ISNUMBER(C419),ISNUMBER(IF(AND(19&lt;=$B$174,19&lt;=$B$173),B419*C419/12,IF(AND(19=$B$173+1,AND(19&gt;$B$173,$B$78="Refinance",ISNUMBER($B$80),$B$80&gt;=0,$B$80&lt;=1,ROUND($B$81*12,0)&gt;=1,$B$81&lt;=100,SUM($B$82)&gt;=0,SUM($B$82)&lt;=1,SUM($B$83)&gt;=0)),IF(B419=0,0,IF(C419=0,B419/ROUND($B$81*12,0),B419*(C419/12)/(1-(1+C419/12)^(-ROUND($B$81*12,0))))),IF(AND(NOT(AND(19&gt;$B$173,$B$78="Refinance",ISNUMBER($B$80),$B$80&gt;=0,$B$80&lt;=1,ROUND($B$81*12,0)&gt;=1,$B$81&lt;=100,SUM($B$82)&gt;=0,SUM($B$82)&lt;=1,SUM($B$83)&gt;=0)),OR(19=1,19=$B$174+1,AND($B$175&gt;0,19=$B$175+1))),IF(AND($B$170=1,$B$66&gt;0,OR($B$175=0,19&lt;=$B$175)),$B$66,IF($B$172-MAX(19-1,$B$174)&gt;0,IF(B419=0,0,IF(C419=0,B419/($B$172-MAX(19-1,$B$174)),B419*(C419/12)/(1-(1+C419/12)^(-($B$172-MAX(19-1,$B$174)))))),"")),D418))))),IF(IF(AND(19&lt;=$B$174,19&lt;=$B$173),B419*C419/12,IF(AND(19=$B$173+1,AND(19&gt;$B$173,$B$78="Refinance",ISNUMBER($B$80),$B$80&gt;=0,$B$80&lt;=1,ROUND($B$81*12,0)&gt;=1,$B$81&lt;=100,SUM($B$82)&gt;=0,SUM($B$82)&lt;=1,SUM($B$83)&gt;=0)),IF(B419=0,0,IF(C419=0,B419/ROUND($B$81*12,0),B419*(C419/12)/(1-(1+C419/12)^(-ROUND($B$81*12,0))))),IF(AND(NOT(AND(19&gt;$B$173,$B$78="Refinance",ISNUMBER($B$80),$B$80&gt;=0,$B$80&lt;=1,ROUND($B$81*12,0)&gt;=1,$B$81&lt;=100,SUM($B$82)&gt;=0,SUM($B$82)&lt;=1,SUM($B$83)&gt;=0)),OR(19=1,19=$B$174+1,AND($B$175&gt;0,19=$B$175+1))),IF(AND($B$170=1,$B$66&gt;0,OR($B$175=0,19&lt;=$B$175)),$B$66,IF($B$172-MAX(19-1,$B$174)&gt;0,IF(B419=0,0,IF(C419=0,B419/($B$172-MAX(19-1,$B$174)),B419*(C419/12)/(1-(1+C419/12)^(-($B$172-MAX(19-1,$B$174)))))),"")),D418)))+0.0000001&gt;=B419*C419/12,MIN(B419*(1+C419/12),IF(AND(19&lt;=$B$174,19&lt;=$B$173),B419*C419/12,IF(AND(19=$B$173+1,AND(19&gt;$B$173,$B$78="Refinance",ISNUMBER($B$80),$B$80&gt;=0,$B$80&lt;=1,ROUND($B$81*12,0)&gt;=1,$B$81&lt;=100,SUM($B$82)&gt;=0,SUM($B$82)&lt;=1,SUM($B$83)&gt;=0)),IF(B419=0,0,IF(C419=0,B419/ROUND($B$81*12,0),B419*(C419/12)/(1-(1+C419/12)^(-ROUND($B$81*12,0))))),IF(AND(NOT(AND(19&gt;$B$173,$B$78="Refinance",ISNUMBER($B$80),$B$80&gt;=0,$B$80&lt;=1,ROUND($B$81*12,0)&gt;=1,$B$81&lt;=100,SUM($B$82)&gt;=0,SUM($B$82)&lt;=1,SUM($B$83)&gt;=0)),OR(19=1,19=$B$174+1,AND($B$175&gt;0,19=$B$175+1))),IF(AND($B$170=1,$B$66&gt;0,OR($B$175=0,19&lt;=$B$175)),$B$66,IF($B$172-MAX(19-1,$B$174)&gt;0,IF(B419=0,0,IF(C419=0,B419/($B$172-MAX(19-1,$B$174)),B419*(C419/12)/(1-(1+C419/12)^(-($B$172-MAX(19-1,$B$174)))))),"")),D418)))),""),""))</x:f>
        <x:v>4679.450723240598</x:v>
      </x:c>
      <x:c r="E419" s="440" t="n">
        <x:f>IF(AND(19=$B$173,ISNUMBER(D419)),IF(MAX(0,B419*(1+C419/12)-D419)&lt;MAX(0.0000001,$E$17*0.00000000001),0,MAX(0,B419*(1+C419/12)-D419)),0)</x:f>
        <x:v>0</x:v>
      </x:c>
      <x:c r="F419" s="440" t="n">
        <x:f>IF($B$78="Cash payoff",E419,0)</x:f>
        <x:v>0</x:v>
      </x:c>
      <x:c r="G419" s="440" t="n">
        <x:f>IF(AND(E419&gt;0,AND($B$78="Refinance",ISNUMBER($B$80),$B$80&gt;=0,$B$80&lt;=1,ROUND($B$81*12,0)&gt;=1,$B$81&lt;=100,SUM($B$82)&gt;=0,SUM($B$82)&lt;=1,SUM($B$83)&gt;=0)),E419*SUM($B$82)+SUM($B$83),0)</x:f>
        <x:v>0</x:v>
      </x:c>
      <x:c r="H419" s="440" t="n">
        <x:f>IF(ISNUMBER(D419),IF(MAX(0,B419*(1+C419/12)-D419-F419)&lt;MAX(0.0000001,$E$17*0.00000000001),0,MAX(0,B419*(1+C419/12)-D419-F419)),IF(AND($B$171=1,I418=1),B419,""))</x:f>
        <x:v>745637.1681185985</x:v>
      </x:c>
      <x:c r="I419" s="444" t="n">
        <x:f>IF(OR(I418=1,AND(E419&gt;0,$B$78&lt;&gt;"Cash payoff",NOT(AND($B$78="Refinance",ISNUMBER($B$80),$B$80&gt;=0,$B$80&lt;=1,ROUND($B$81*12,0)&gt;=1,$B$81&lt;=100,SUM($B$82)&gt;=0,SUM($B$82)&lt;=1,SUM($B$83)&gt;=0))),AND(ISNUMBER(B419),B419&gt;0,$B$171=1,NOT(ISNUMBER(D419)))),1,0)</x:f>
        <x:v>0</x:v>
      </x:c>
      <x:c r="J419" s="440" t="n">
        <x:f>IF(ISNUMBER(L418),L418,"")</x:f>
        <x:v>0</x:v>
      </x:c>
      <x:c r="K419" s="440" t="n">
        <x:f>IF(AND(ISNUMBER(J419),J419=0),0,IF(AND($B$176=1,ISNUMBER(J419)),MIN(J419*(1+$B$87/12),IF($B$86=0,0,IF($B$87=0,$B$86/ROUND($B$88*12,0),$B$86*($B$87/12)/(1-(1+$B$87/12)^(-ROUND($B$88*12,0)))))),""))</x:f>
        <x:v>0</x:v>
      </x:c>
      <x:c r="L419" s="440" t="n">
        <x:f>IF(ISNUMBER(K419),IF(MAX(0,J419*(1+SUM($B$87)/12)-K419)&lt;MAX(0.0000001,$B$86*0.00000000001),0,MAX(0,J419*(1+SUM($B$87)/12)-K419)),"")</x:f>
        <x:v>0</x:v>
      </x:c>
      <x:c r="M419" s="440" t="n">
        <x:f>IF(AND(ISNUMBER(D419),ISNUMBER(K419)),D419+K419,"")</x:f>
        <x:v>4679.450723240598</x:v>
      </x:c>
      <x:c r="N419" s="440" t="n">
        <x:f>IF(AND(ISNUMBER(H419),ISNUMBER(L419)),H419+L419,"")</x:f>
        <x:v>745637.1681185985</x:v>
      </x:c>
    </x:row>
    <x:row r="420" ht="22" customHeight="1">
      <x:c r="A420" s="254" t="n">
        <x:f>20</x:f>
        <x:v>20</x:v>
      </x:c>
      <x:c r="B420" s="440" t="n">
        <x:f>IF(ISNUMBER(H419),H419,"")</x:f>
        <x:v>745637.1681185985</x:v>
      </x:c>
      <x:c r="C420" s="442" t="n">
        <x:f>IF(ISNUMBER(B420),IF(AND(20&gt;$B$173,$B$78="Refinance",ISNUMBER($B$80),$B$80&gt;=0,$B$80&lt;=1,ROUND($B$81*12,0)&gt;=1,$B$81&lt;=100,SUM($B$82)&gt;=0,SUM($B$82)&lt;=1,SUM($B$83)&gt;=0),$B$80,IF(AND($B$175&gt;0,20&gt;$B$175,ISNUMBER($B$75)),$B$75,$B$61)),"")</x:f>
        <x:v>0.0625</x:v>
      </x:c>
      <x:c r="D420" s="440" t="n">
        <x:f>IF(AND(ISNUMBER(B420),B420=0),0,IF(AND($B$171=1,I419=0,ISNUMBER(C420),ISNUMBER(IF(AND(20&lt;=$B$174,20&lt;=$B$173),B420*C420/12,IF(AND(20=$B$173+1,AND(20&gt;$B$173,$B$78="Refinance",ISNUMBER($B$80),$B$80&gt;=0,$B$80&lt;=1,ROUND($B$81*12,0)&gt;=1,$B$81&lt;=100,SUM($B$82)&gt;=0,SUM($B$82)&lt;=1,SUM($B$83)&gt;=0)),IF(B420=0,0,IF(C420=0,B420/ROUND($B$81*12,0),B420*(C420/12)/(1-(1+C420/12)^(-ROUND($B$81*12,0))))),IF(AND(NOT(AND(20&gt;$B$173,$B$78="Refinance",ISNUMBER($B$80),$B$80&gt;=0,$B$80&lt;=1,ROUND($B$81*12,0)&gt;=1,$B$81&lt;=100,SUM($B$82)&gt;=0,SUM($B$82)&lt;=1,SUM($B$83)&gt;=0)),OR(20=1,20=$B$174+1,AND($B$175&gt;0,20=$B$175+1))),IF(AND($B$170=1,$B$66&gt;0,OR($B$175=0,20&lt;=$B$175)),$B$66,IF($B$172-MAX(20-1,$B$174)&gt;0,IF(B420=0,0,IF(C420=0,B420/($B$172-MAX(20-1,$B$174)),B420*(C420/12)/(1-(1+C420/12)^(-($B$172-MAX(20-1,$B$174)))))),"")),D419))))),IF(IF(AND(20&lt;=$B$174,20&lt;=$B$173),B420*C420/12,IF(AND(20=$B$173+1,AND(20&gt;$B$173,$B$78="Refinance",ISNUMBER($B$80),$B$80&gt;=0,$B$80&lt;=1,ROUND($B$81*12,0)&gt;=1,$B$81&lt;=100,SUM($B$82)&gt;=0,SUM($B$82)&lt;=1,SUM($B$83)&gt;=0)),IF(B420=0,0,IF(C420=0,B420/ROUND($B$81*12,0),B420*(C420/12)/(1-(1+C420/12)^(-ROUND($B$81*12,0))))),IF(AND(NOT(AND(20&gt;$B$173,$B$78="Refinance",ISNUMBER($B$80),$B$80&gt;=0,$B$80&lt;=1,ROUND($B$81*12,0)&gt;=1,$B$81&lt;=100,SUM($B$82)&gt;=0,SUM($B$82)&lt;=1,SUM($B$83)&gt;=0)),OR(20=1,20=$B$174+1,AND($B$175&gt;0,20=$B$175+1))),IF(AND($B$170=1,$B$66&gt;0,OR($B$175=0,20&lt;=$B$175)),$B$66,IF($B$172-MAX(20-1,$B$174)&gt;0,IF(B420=0,0,IF(C420=0,B420/($B$172-MAX(20-1,$B$174)),B420*(C420/12)/(1-(1+C420/12)^(-($B$172-MAX(20-1,$B$174)))))),"")),D419)))+0.0000001&gt;=B420*C420/12,MIN(B420*(1+C420/12),IF(AND(20&lt;=$B$174,20&lt;=$B$173),B420*C420/12,IF(AND(20=$B$173+1,AND(20&gt;$B$173,$B$78="Refinance",ISNUMBER($B$80),$B$80&gt;=0,$B$80&lt;=1,ROUND($B$81*12,0)&gt;=1,$B$81&lt;=100,SUM($B$82)&gt;=0,SUM($B$82)&lt;=1,SUM($B$83)&gt;=0)),IF(B420=0,0,IF(C420=0,B420/ROUND($B$81*12,0),B420*(C420/12)/(1-(1+C420/12)^(-ROUND($B$81*12,0))))),IF(AND(NOT(AND(20&gt;$B$173,$B$78="Refinance",ISNUMBER($B$80),$B$80&gt;=0,$B$80&lt;=1,ROUND($B$81*12,0)&gt;=1,$B$81&lt;=100,SUM($B$82)&gt;=0,SUM($B$82)&lt;=1,SUM($B$83)&gt;=0)),OR(20=1,20=$B$174+1,AND($B$175&gt;0,20=$B$175+1))),IF(AND($B$170=1,$B$66&gt;0,OR($B$175=0,20&lt;=$B$175)),$B$66,IF($B$172-MAX(20-1,$B$174)&gt;0,IF(B420=0,0,IF(C420=0,B420/($B$172-MAX(20-1,$B$174)),B420*(C420/12)/(1-(1+C420/12)^(-($B$172-MAX(20-1,$B$174)))))),"")),D419)))),""),""))</x:f>
        <x:v>4679.450723240598</x:v>
      </x:c>
      <x:c r="E420" s="440" t="n">
        <x:f>IF(AND(20=$B$173,ISNUMBER(D420)),IF(MAX(0,B420*(1+C420/12)-D420)&lt;MAX(0.0000001,$E$17*0.00000000001),0,MAX(0,B420*(1+C420/12)-D420)),0)</x:f>
        <x:v>0</x:v>
      </x:c>
      <x:c r="F420" s="440" t="n">
        <x:f>IF($B$78="Cash payoff",E420,0)</x:f>
        <x:v>0</x:v>
      </x:c>
      <x:c r="G420" s="440" t="n">
        <x:f>IF(AND(E420&gt;0,AND($B$78="Refinance",ISNUMBER($B$80),$B$80&gt;=0,$B$80&lt;=1,ROUND($B$81*12,0)&gt;=1,$B$81&lt;=100,SUM($B$82)&gt;=0,SUM($B$82)&lt;=1,SUM($B$83)&gt;=0)),E420*SUM($B$82)+SUM($B$83),0)</x:f>
        <x:v>0</x:v>
      </x:c>
      <x:c r="H420" s="440" t="n">
        <x:f>IF(ISNUMBER(D420),IF(MAX(0,B420*(1+C420/12)-D420-F420)&lt;MAX(0.0000001,$E$17*0.00000000001),0,MAX(0,B420*(1+C420/12)-D420-F420)),IF(AND($B$171=1,I419=1),B420,""))</x:f>
        <x:v>744841.2443126423</x:v>
      </x:c>
      <x:c r="I420" s="444" t="n">
        <x:f>IF(OR(I419=1,AND(E420&gt;0,$B$78&lt;&gt;"Cash payoff",NOT(AND($B$78="Refinance",ISNUMBER($B$80),$B$80&gt;=0,$B$80&lt;=1,ROUND($B$81*12,0)&gt;=1,$B$81&lt;=100,SUM($B$82)&gt;=0,SUM($B$82)&lt;=1,SUM($B$83)&gt;=0))),AND(ISNUMBER(B420),B420&gt;0,$B$171=1,NOT(ISNUMBER(D420)))),1,0)</x:f>
        <x:v>0</x:v>
      </x:c>
      <x:c r="J420" s="440" t="n">
        <x:f>IF(ISNUMBER(L419),L419,"")</x:f>
        <x:v>0</x:v>
      </x:c>
      <x:c r="K420" s="440" t="n">
        <x:f>IF(AND(ISNUMBER(J420),J420=0),0,IF(AND($B$176=1,ISNUMBER(J420)),MIN(J420*(1+$B$87/12),IF($B$86=0,0,IF($B$87=0,$B$86/ROUND($B$88*12,0),$B$86*($B$87/12)/(1-(1+$B$87/12)^(-ROUND($B$88*12,0)))))),""))</x:f>
        <x:v>0</x:v>
      </x:c>
      <x:c r="L420" s="440" t="n">
        <x:f>IF(ISNUMBER(K420),IF(MAX(0,J420*(1+SUM($B$87)/12)-K420)&lt;MAX(0.0000001,$B$86*0.00000000001),0,MAX(0,J420*(1+SUM($B$87)/12)-K420)),"")</x:f>
        <x:v>0</x:v>
      </x:c>
      <x:c r="M420" s="440" t="n">
        <x:f>IF(AND(ISNUMBER(D420),ISNUMBER(K420)),D420+K420,"")</x:f>
        <x:v>4679.450723240598</x:v>
      </x:c>
      <x:c r="N420" s="440" t="n">
        <x:f>IF(AND(ISNUMBER(H420),ISNUMBER(L420)),H420+L420,"")</x:f>
        <x:v>744841.2443126423</x:v>
      </x:c>
    </x:row>
    <x:row r="421" ht="22" customHeight="1">
      <x:c r="A421" s="254" t="n">
        <x:f>21</x:f>
        <x:v>21</x:v>
      </x:c>
      <x:c r="B421" s="440" t="n">
        <x:f>IF(ISNUMBER(H420),H420,"")</x:f>
        <x:v>744841.2443126423</x:v>
      </x:c>
      <x:c r="C421" s="442" t="n">
        <x:f>IF(ISNUMBER(B421),IF(AND(21&gt;$B$173,$B$78="Refinance",ISNUMBER($B$80),$B$80&gt;=0,$B$80&lt;=1,ROUND($B$81*12,0)&gt;=1,$B$81&lt;=100,SUM($B$82)&gt;=0,SUM($B$82)&lt;=1,SUM($B$83)&gt;=0),$B$80,IF(AND($B$175&gt;0,21&gt;$B$175,ISNUMBER($B$75)),$B$75,$B$61)),"")</x:f>
        <x:v>0.0625</x:v>
      </x:c>
      <x:c r="D421" s="440" t="n">
        <x:f>IF(AND(ISNUMBER(B421),B421=0),0,IF(AND($B$171=1,I420=0,ISNUMBER(C421),ISNUMBER(IF(AND(21&lt;=$B$174,21&lt;=$B$173),B421*C421/12,IF(AND(21=$B$173+1,AND(21&gt;$B$173,$B$78="Refinance",ISNUMBER($B$80),$B$80&gt;=0,$B$80&lt;=1,ROUND($B$81*12,0)&gt;=1,$B$81&lt;=100,SUM($B$82)&gt;=0,SUM($B$82)&lt;=1,SUM($B$83)&gt;=0)),IF(B421=0,0,IF(C421=0,B421/ROUND($B$81*12,0),B421*(C421/12)/(1-(1+C421/12)^(-ROUND($B$81*12,0))))),IF(AND(NOT(AND(21&gt;$B$173,$B$78="Refinance",ISNUMBER($B$80),$B$80&gt;=0,$B$80&lt;=1,ROUND($B$81*12,0)&gt;=1,$B$81&lt;=100,SUM($B$82)&gt;=0,SUM($B$82)&lt;=1,SUM($B$83)&gt;=0)),OR(21=1,21=$B$174+1,AND($B$175&gt;0,21=$B$175+1))),IF(AND($B$170=1,$B$66&gt;0,OR($B$175=0,21&lt;=$B$175)),$B$66,IF($B$172-MAX(21-1,$B$174)&gt;0,IF(B421=0,0,IF(C421=0,B421/($B$172-MAX(21-1,$B$174)),B421*(C421/12)/(1-(1+C421/12)^(-($B$172-MAX(21-1,$B$174)))))),"")),D420))))),IF(IF(AND(21&lt;=$B$174,21&lt;=$B$173),B421*C421/12,IF(AND(21=$B$173+1,AND(21&gt;$B$173,$B$78="Refinance",ISNUMBER($B$80),$B$80&gt;=0,$B$80&lt;=1,ROUND($B$81*12,0)&gt;=1,$B$81&lt;=100,SUM($B$82)&gt;=0,SUM($B$82)&lt;=1,SUM($B$83)&gt;=0)),IF(B421=0,0,IF(C421=0,B421/ROUND($B$81*12,0),B421*(C421/12)/(1-(1+C421/12)^(-ROUND($B$81*12,0))))),IF(AND(NOT(AND(21&gt;$B$173,$B$78="Refinance",ISNUMBER($B$80),$B$80&gt;=0,$B$80&lt;=1,ROUND($B$81*12,0)&gt;=1,$B$81&lt;=100,SUM($B$82)&gt;=0,SUM($B$82)&lt;=1,SUM($B$83)&gt;=0)),OR(21=1,21=$B$174+1,AND($B$175&gt;0,21=$B$175+1))),IF(AND($B$170=1,$B$66&gt;0,OR($B$175=0,21&lt;=$B$175)),$B$66,IF($B$172-MAX(21-1,$B$174)&gt;0,IF(B421=0,0,IF(C421=0,B421/($B$172-MAX(21-1,$B$174)),B421*(C421/12)/(1-(1+C421/12)^(-($B$172-MAX(21-1,$B$174)))))),"")),D420)))+0.0000001&gt;=B421*C421/12,MIN(B421*(1+C421/12),IF(AND(21&lt;=$B$174,21&lt;=$B$173),B421*C421/12,IF(AND(21=$B$173+1,AND(21&gt;$B$173,$B$78="Refinance",ISNUMBER($B$80),$B$80&gt;=0,$B$80&lt;=1,ROUND($B$81*12,0)&gt;=1,$B$81&lt;=100,SUM($B$82)&gt;=0,SUM($B$82)&lt;=1,SUM($B$83)&gt;=0)),IF(B421=0,0,IF(C421=0,B421/ROUND($B$81*12,0),B421*(C421/12)/(1-(1+C421/12)^(-ROUND($B$81*12,0))))),IF(AND(NOT(AND(21&gt;$B$173,$B$78="Refinance",ISNUMBER($B$80),$B$80&gt;=0,$B$80&lt;=1,ROUND($B$81*12,0)&gt;=1,$B$81&lt;=100,SUM($B$82)&gt;=0,SUM($B$82)&lt;=1,SUM($B$83)&gt;=0)),OR(21=1,21=$B$174+1,AND($B$175&gt;0,21=$B$175+1))),IF(AND($B$170=1,$B$66&gt;0,OR($B$175=0,21&lt;=$B$175)),$B$66,IF($B$172-MAX(21-1,$B$174)&gt;0,IF(B421=0,0,IF(C421=0,B421/($B$172-MAX(21-1,$B$174)),B421*(C421/12)/(1-(1+C421/12)^(-($B$172-MAX(21-1,$B$174)))))),"")),D420)))),""),""))</x:f>
        <x:v>4679.450723240598</x:v>
      </x:c>
      <x:c r="E421" s="440" t="n">
        <x:f>IF(AND(21=$B$173,ISNUMBER(D421)),IF(MAX(0,B421*(1+C421/12)-D421)&lt;MAX(0.0000001,$E$17*0.00000000001),0,MAX(0,B421*(1+C421/12)-D421)),0)</x:f>
        <x:v>0</x:v>
      </x:c>
      <x:c r="F421" s="440" t="n">
        <x:f>IF($B$78="Cash payoff",E421,0)</x:f>
        <x:v>0</x:v>
      </x:c>
      <x:c r="G421" s="440" t="n">
        <x:f>IF(AND(E421&gt;0,AND($B$78="Refinance",ISNUMBER($B$80),$B$80&gt;=0,$B$80&lt;=1,ROUND($B$81*12,0)&gt;=1,$B$81&lt;=100,SUM($B$82)&gt;=0,SUM($B$82)&lt;=1,SUM($B$83)&gt;=0)),E421*SUM($B$82)+SUM($B$83),0)</x:f>
        <x:v>0</x:v>
      </x:c>
      <x:c r="H421" s="440" t="n">
        <x:f>IF(ISNUMBER(D421),IF(MAX(0,B421*(1+C421/12)-D421-F421)&lt;MAX(0.0000001,$E$17*0.00000000001),0,MAX(0,B421*(1+C421/12)-D421-F421)),IF(AND($B$171=1,I420=1),B421,""))</x:f>
        <x:v>744041.1750701966</x:v>
      </x:c>
      <x:c r="I421" s="444" t="n">
        <x:f>IF(OR(I420=1,AND(E421&gt;0,$B$78&lt;&gt;"Cash payoff",NOT(AND($B$78="Refinance",ISNUMBER($B$80),$B$80&gt;=0,$B$80&lt;=1,ROUND($B$81*12,0)&gt;=1,$B$81&lt;=100,SUM($B$82)&gt;=0,SUM($B$82)&lt;=1,SUM($B$83)&gt;=0))),AND(ISNUMBER(B421),B421&gt;0,$B$171=1,NOT(ISNUMBER(D421)))),1,0)</x:f>
        <x:v>0</x:v>
      </x:c>
      <x:c r="J421" s="440" t="n">
        <x:f>IF(ISNUMBER(L420),L420,"")</x:f>
        <x:v>0</x:v>
      </x:c>
      <x:c r="K421" s="440" t="n">
        <x:f>IF(AND(ISNUMBER(J421),J421=0),0,IF(AND($B$176=1,ISNUMBER(J421)),MIN(J421*(1+$B$87/12),IF($B$86=0,0,IF($B$87=0,$B$86/ROUND($B$88*12,0),$B$86*($B$87/12)/(1-(1+$B$87/12)^(-ROUND($B$88*12,0)))))),""))</x:f>
        <x:v>0</x:v>
      </x:c>
      <x:c r="L421" s="440" t="n">
        <x:f>IF(ISNUMBER(K421),IF(MAX(0,J421*(1+SUM($B$87)/12)-K421)&lt;MAX(0.0000001,$B$86*0.00000000001),0,MAX(0,J421*(1+SUM($B$87)/12)-K421)),"")</x:f>
        <x:v>0</x:v>
      </x:c>
      <x:c r="M421" s="440" t="n">
        <x:f>IF(AND(ISNUMBER(D421),ISNUMBER(K421)),D421+K421,"")</x:f>
        <x:v>4679.450723240598</x:v>
      </x:c>
      <x:c r="N421" s="440" t="n">
        <x:f>IF(AND(ISNUMBER(H421),ISNUMBER(L421)),H421+L421,"")</x:f>
        <x:v>744041.1750701966</x:v>
      </x:c>
    </x:row>
    <x:row r="422" ht="22" customHeight="1">
      <x:c r="A422" s="254" t="n">
        <x:f>22</x:f>
        <x:v>22</x:v>
      </x:c>
      <x:c r="B422" s="440" t="n">
        <x:f>IF(ISNUMBER(H421),H421,"")</x:f>
        <x:v>744041.1750701966</x:v>
      </x:c>
      <x:c r="C422" s="442" t="n">
        <x:f>IF(ISNUMBER(B422),IF(AND(22&gt;$B$173,$B$78="Refinance",ISNUMBER($B$80),$B$80&gt;=0,$B$80&lt;=1,ROUND($B$81*12,0)&gt;=1,$B$81&lt;=100,SUM($B$82)&gt;=0,SUM($B$82)&lt;=1,SUM($B$83)&gt;=0),$B$80,IF(AND($B$175&gt;0,22&gt;$B$175,ISNUMBER($B$75)),$B$75,$B$61)),"")</x:f>
        <x:v>0.0625</x:v>
      </x:c>
      <x:c r="D422" s="440" t="n">
        <x:f>IF(AND(ISNUMBER(B422),B422=0),0,IF(AND($B$171=1,I421=0,ISNUMBER(C422),ISNUMBER(IF(AND(22&lt;=$B$174,22&lt;=$B$173),B422*C422/12,IF(AND(22=$B$173+1,AND(22&gt;$B$173,$B$78="Refinance",ISNUMBER($B$80),$B$80&gt;=0,$B$80&lt;=1,ROUND($B$81*12,0)&gt;=1,$B$81&lt;=100,SUM($B$82)&gt;=0,SUM($B$82)&lt;=1,SUM($B$83)&gt;=0)),IF(B422=0,0,IF(C422=0,B422/ROUND($B$81*12,0),B422*(C422/12)/(1-(1+C422/12)^(-ROUND($B$81*12,0))))),IF(AND(NOT(AND(22&gt;$B$173,$B$78="Refinance",ISNUMBER($B$80),$B$80&gt;=0,$B$80&lt;=1,ROUND($B$81*12,0)&gt;=1,$B$81&lt;=100,SUM($B$82)&gt;=0,SUM($B$82)&lt;=1,SUM($B$83)&gt;=0)),OR(22=1,22=$B$174+1,AND($B$175&gt;0,22=$B$175+1))),IF(AND($B$170=1,$B$66&gt;0,OR($B$175=0,22&lt;=$B$175)),$B$66,IF($B$172-MAX(22-1,$B$174)&gt;0,IF(B422=0,0,IF(C422=0,B422/($B$172-MAX(22-1,$B$174)),B422*(C422/12)/(1-(1+C422/12)^(-($B$172-MAX(22-1,$B$174)))))),"")),D421))))),IF(IF(AND(22&lt;=$B$174,22&lt;=$B$173),B422*C422/12,IF(AND(22=$B$173+1,AND(22&gt;$B$173,$B$78="Refinance",ISNUMBER($B$80),$B$80&gt;=0,$B$80&lt;=1,ROUND($B$81*12,0)&gt;=1,$B$81&lt;=100,SUM($B$82)&gt;=0,SUM($B$82)&lt;=1,SUM($B$83)&gt;=0)),IF(B422=0,0,IF(C422=0,B422/ROUND($B$81*12,0),B422*(C422/12)/(1-(1+C422/12)^(-ROUND($B$81*12,0))))),IF(AND(NOT(AND(22&gt;$B$173,$B$78="Refinance",ISNUMBER($B$80),$B$80&gt;=0,$B$80&lt;=1,ROUND($B$81*12,0)&gt;=1,$B$81&lt;=100,SUM($B$82)&gt;=0,SUM($B$82)&lt;=1,SUM($B$83)&gt;=0)),OR(22=1,22=$B$174+1,AND($B$175&gt;0,22=$B$175+1))),IF(AND($B$170=1,$B$66&gt;0,OR($B$175=0,22&lt;=$B$175)),$B$66,IF($B$172-MAX(22-1,$B$174)&gt;0,IF(B422=0,0,IF(C422=0,B422/($B$172-MAX(22-1,$B$174)),B422*(C422/12)/(1-(1+C422/12)^(-($B$172-MAX(22-1,$B$174)))))),"")),D421)))+0.0000001&gt;=B422*C422/12,MIN(B422*(1+C422/12),IF(AND(22&lt;=$B$174,22&lt;=$B$173),B422*C422/12,IF(AND(22=$B$173+1,AND(22&gt;$B$173,$B$78="Refinance",ISNUMBER($B$80),$B$80&gt;=0,$B$80&lt;=1,ROUND($B$81*12,0)&gt;=1,$B$81&lt;=100,SUM($B$82)&gt;=0,SUM($B$82)&lt;=1,SUM($B$83)&gt;=0)),IF(B422=0,0,IF(C422=0,B422/ROUND($B$81*12,0),B422*(C422/12)/(1-(1+C422/12)^(-ROUND($B$81*12,0))))),IF(AND(NOT(AND(22&gt;$B$173,$B$78="Refinance",ISNUMBER($B$80),$B$80&gt;=0,$B$80&lt;=1,ROUND($B$81*12,0)&gt;=1,$B$81&lt;=100,SUM($B$82)&gt;=0,SUM($B$82)&lt;=1,SUM($B$83)&gt;=0)),OR(22=1,22=$B$174+1,AND($B$175&gt;0,22=$B$175+1))),IF(AND($B$170=1,$B$66&gt;0,OR($B$175=0,22&lt;=$B$175)),$B$66,IF($B$172-MAX(22-1,$B$174)&gt;0,IF(B422=0,0,IF(C422=0,B422/($B$172-MAX(22-1,$B$174)),B422*(C422/12)/(1-(1+C422/12)^(-($B$172-MAX(22-1,$B$174)))))),"")),D421)))),""),""))</x:f>
        <x:v>4679.450723240598</x:v>
      </x:c>
      <x:c r="E422" s="440" t="n">
        <x:f>IF(AND(22=$B$173,ISNUMBER(D422)),IF(MAX(0,B422*(1+C422/12)-D422)&lt;MAX(0.0000001,$E$17*0.00000000001),0,MAX(0,B422*(1+C422/12)-D422)),0)</x:f>
        <x:v>0</x:v>
      </x:c>
      <x:c r="F422" s="440" t="n">
        <x:f>IF($B$78="Cash payoff",E422,0)</x:f>
        <x:v>0</x:v>
      </x:c>
      <x:c r="G422" s="440" t="n">
        <x:f>IF(AND(E422&gt;0,AND($B$78="Refinance",ISNUMBER($B$80),$B$80&gt;=0,$B$80&lt;=1,ROUND($B$81*12,0)&gt;=1,$B$81&lt;=100,SUM($B$82)&gt;=0,SUM($B$82)&lt;=1,SUM($B$83)&gt;=0)),E422*SUM($B$82)+SUM($B$83),0)</x:f>
        <x:v>0</x:v>
      </x:c>
      <x:c r="H422" s="440" t="n">
        <x:f>IF(ISNUMBER(D422),IF(MAX(0,B422*(1+C422/12)-D422-F422)&lt;MAX(0.0000001,$E$17*0.00000000001),0,MAX(0,B422*(1+C422/12)-D422-F422)),IF(AND($B$171=1,I421=1),B422,""))</x:f>
        <x:v>743236.9388004466</x:v>
      </x:c>
      <x:c r="I422" s="444" t="n">
        <x:f>IF(OR(I421=1,AND(E422&gt;0,$B$78&lt;&gt;"Cash payoff",NOT(AND($B$78="Refinance",ISNUMBER($B$80),$B$80&gt;=0,$B$80&lt;=1,ROUND($B$81*12,0)&gt;=1,$B$81&lt;=100,SUM($B$82)&gt;=0,SUM($B$82)&lt;=1,SUM($B$83)&gt;=0))),AND(ISNUMBER(B422),B422&gt;0,$B$171=1,NOT(ISNUMBER(D422)))),1,0)</x:f>
        <x:v>0</x:v>
      </x:c>
      <x:c r="J422" s="440" t="n">
        <x:f>IF(ISNUMBER(L421),L421,"")</x:f>
        <x:v>0</x:v>
      </x:c>
      <x:c r="K422" s="440" t="n">
        <x:f>IF(AND(ISNUMBER(J422),J422=0),0,IF(AND($B$176=1,ISNUMBER(J422)),MIN(J422*(1+$B$87/12),IF($B$86=0,0,IF($B$87=0,$B$86/ROUND($B$88*12,0),$B$86*($B$87/12)/(1-(1+$B$87/12)^(-ROUND($B$88*12,0)))))),""))</x:f>
        <x:v>0</x:v>
      </x:c>
      <x:c r="L422" s="440" t="n">
        <x:f>IF(ISNUMBER(K422),IF(MAX(0,J422*(1+SUM($B$87)/12)-K422)&lt;MAX(0.0000001,$B$86*0.00000000001),0,MAX(0,J422*(1+SUM($B$87)/12)-K422)),"")</x:f>
        <x:v>0</x:v>
      </x:c>
      <x:c r="M422" s="440" t="n">
        <x:f>IF(AND(ISNUMBER(D422),ISNUMBER(K422)),D422+K422,"")</x:f>
        <x:v>4679.450723240598</x:v>
      </x:c>
      <x:c r="N422" s="440" t="n">
        <x:f>IF(AND(ISNUMBER(H422),ISNUMBER(L422)),H422+L422,"")</x:f>
        <x:v>743236.9388004466</x:v>
      </x:c>
    </x:row>
    <x:row r="423" ht="22" customHeight="1">
      <x:c r="A423" s="254" t="n">
        <x:f>23</x:f>
        <x:v>23</x:v>
      </x:c>
      <x:c r="B423" s="440" t="n">
        <x:f>IF(ISNUMBER(H422),H422,"")</x:f>
        <x:v>743236.9388004466</x:v>
      </x:c>
      <x:c r="C423" s="442" t="n">
        <x:f>IF(ISNUMBER(B423),IF(AND(23&gt;$B$173,$B$78="Refinance",ISNUMBER($B$80),$B$80&gt;=0,$B$80&lt;=1,ROUND($B$81*12,0)&gt;=1,$B$81&lt;=100,SUM($B$82)&gt;=0,SUM($B$82)&lt;=1,SUM($B$83)&gt;=0),$B$80,IF(AND($B$175&gt;0,23&gt;$B$175,ISNUMBER($B$75)),$B$75,$B$61)),"")</x:f>
        <x:v>0.0625</x:v>
      </x:c>
      <x:c r="D423" s="440" t="n">
        <x:f>IF(AND(ISNUMBER(B423),B423=0),0,IF(AND($B$171=1,I422=0,ISNUMBER(C423),ISNUMBER(IF(AND(23&lt;=$B$174,23&lt;=$B$173),B423*C423/12,IF(AND(23=$B$173+1,AND(23&gt;$B$173,$B$78="Refinance",ISNUMBER($B$80),$B$80&gt;=0,$B$80&lt;=1,ROUND($B$81*12,0)&gt;=1,$B$81&lt;=100,SUM($B$82)&gt;=0,SUM($B$82)&lt;=1,SUM($B$83)&gt;=0)),IF(B423=0,0,IF(C423=0,B423/ROUND($B$81*12,0),B423*(C423/12)/(1-(1+C423/12)^(-ROUND($B$81*12,0))))),IF(AND(NOT(AND(23&gt;$B$173,$B$78="Refinance",ISNUMBER($B$80),$B$80&gt;=0,$B$80&lt;=1,ROUND($B$81*12,0)&gt;=1,$B$81&lt;=100,SUM($B$82)&gt;=0,SUM($B$82)&lt;=1,SUM($B$83)&gt;=0)),OR(23=1,23=$B$174+1,AND($B$175&gt;0,23=$B$175+1))),IF(AND($B$170=1,$B$66&gt;0,OR($B$175=0,23&lt;=$B$175)),$B$66,IF($B$172-MAX(23-1,$B$174)&gt;0,IF(B423=0,0,IF(C423=0,B423/($B$172-MAX(23-1,$B$174)),B423*(C423/12)/(1-(1+C423/12)^(-($B$172-MAX(23-1,$B$174)))))),"")),D422))))),IF(IF(AND(23&lt;=$B$174,23&lt;=$B$173),B423*C423/12,IF(AND(23=$B$173+1,AND(23&gt;$B$173,$B$78="Refinance",ISNUMBER($B$80),$B$80&gt;=0,$B$80&lt;=1,ROUND($B$81*12,0)&gt;=1,$B$81&lt;=100,SUM($B$82)&gt;=0,SUM($B$82)&lt;=1,SUM($B$83)&gt;=0)),IF(B423=0,0,IF(C423=0,B423/ROUND($B$81*12,0),B423*(C423/12)/(1-(1+C423/12)^(-ROUND($B$81*12,0))))),IF(AND(NOT(AND(23&gt;$B$173,$B$78="Refinance",ISNUMBER($B$80),$B$80&gt;=0,$B$80&lt;=1,ROUND($B$81*12,0)&gt;=1,$B$81&lt;=100,SUM($B$82)&gt;=0,SUM($B$82)&lt;=1,SUM($B$83)&gt;=0)),OR(23=1,23=$B$174+1,AND($B$175&gt;0,23=$B$175+1))),IF(AND($B$170=1,$B$66&gt;0,OR($B$175=0,23&lt;=$B$175)),$B$66,IF($B$172-MAX(23-1,$B$174)&gt;0,IF(B423=0,0,IF(C423=0,B423/($B$172-MAX(23-1,$B$174)),B423*(C423/12)/(1-(1+C423/12)^(-($B$172-MAX(23-1,$B$174)))))),"")),D422)))+0.0000001&gt;=B423*C423/12,MIN(B423*(1+C423/12),IF(AND(23&lt;=$B$174,23&lt;=$B$173),B423*C423/12,IF(AND(23=$B$173+1,AND(23&gt;$B$173,$B$78="Refinance",ISNUMBER($B$80),$B$80&gt;=0,$B$80&lt;=1,ROUND($B$81*12,0)&gt;=1,$B$81&lt;=100,SUM($B$82)&gt;=0,SUM($B$82)&lt;=1,SUM($B$83)&gt;=0)),IF(B423=0,0,IF(C423=0,B423/ROUND($B$81*12,0),B423*(C423/12)/(1-(1+C423/12)^(-ROUND($B$81*12,0))))),IF(AND(NOT(AND(23&gt;$B$173,$B$78="Refinance",ISNUMBER($B$80),$B$80&gt;=0,$B$80&lt;=1,ROUND($B$81*12,0)&gt;=1,$B$81&lt;=100,SUM($B$82)&gt;=0,SUM($B$82)&lt;=1,SUM($B$83)&gt;=0)),OR(23=1,23=$B$174+1,AND($B$175&gt;0,23=$B$175+1))),IF(AND($B$170=1,$B$66&gt;0,OR($B$175=0,23&lt;=$B$175)),$B$66,IF($B$172-MAX(23-1,$B$174)&gt;0,IF(B423=0,0,IF(C423=0,B423/($B$172-MAX(23-1,$B$174)),B423*(C423/12)/(1-(1+C423/12)^(-($B$172-MAX(23-1,$B$174)))))),"")),D422)))),""),""))</x:f>
        <x:v>4679.450723240598</x:v>
      </x:c>
      <x:c r="E423" s="440" t="n">
        <x:f>IF(AND(23=$B$173,ISNUMBER(D423)),IF(MAX(0,B423*(1+C423/12)-D423)&lt;MAX(0.0000001,$E$17*0.00000000001),0,MAX(0,B423*(1+C423/12)-D423)),0)</x:f>
        <x:v>0</x:v>
      </x:c>
      <x:c r="F423" s="440" t="n">
        <x:f>IF($B$78="Cash payoff",E423,0)</x:f>
        <x:v>0</x:v>
      </x:c>
      <x:c r="G423" s="440" t="n">
        <x:f>IF(AND(E423&gt;0,AND($B$78="Refinance",ISNUMBER($B$80),$B$80&gt;=0,$B$80&lt;=1,ROUND($B$81*12,0)&gt;=1,$B$81&lt;=100,SUM($B$82)&gt;=0,SUM($B$82)&lt;=1,SUM($B$83)&gt;=0)),E423*SUM($B$82)+SUM($B$83),0)</x:f>
        <x:v>0</x:v>
      </x:c>
      <x:c r="H423" s="440" t="n">
        <x:f>IF(ISNUMBER(D423),IF(MAX(0,B423*(1+C423/12)-D423-F423)&lt;MAX(0.0000001,$E$17*0.00000000001),0,MAX(0,B423*(1+C423/12)-D423-F423)),IF(AND($B$171=1,I422=1),B423,""))</x:f>
        <x:v>742428.5138001249</x:v>
      </x:c>
      <x:c r="I423" s="444" t="n">
        <x:f>IF(OR(I422=1,AND(E423&gt;0,$B$78&lt;&gt;"Cash payoff",NOT(AND($B$78="Refinance",ISNUMBER($B$80),$B$80&gt;=0,$B$80&lt;=1,ROUND($B$81*12,0)&gt;=1,$B$81&lt;=100,SUM($B$82)&gt;=0,SUM($B$82)&lt;=1,SUM($B$83)&gt;=0))),AND(ISNUMBER(B423),B423&gt;0,$B$171=1,NOT(ISNUMBER(D423)))),1,0)</x:f>
        <x:v>0</x:v>
      </x:c>
      <x:c r="J423" s="440" t="n">
        <x:f>IF(ISNUMBER(L422),L422,"")</x:f>
        <x:v>0</x:v>
      </x:c>
      <x:c r="K423" s="440" t="n">
        <x:f>IF(AND(ISNUMBER(J423),J423=0),0,IF(AND($B$176=1,ISNUMBER(J423)),MIN(J423*(1+$B$87/12),IF($B$86=0,0,IF($B$87=0,$B$86/ROUND($B$88*12,0),$B$86*($B$87/12)/(1-(1+$B$87/12)^(-ROUND($B$88*12,0)))))),""))</x:f>
        <x:v>0</x:v>
      </x:c>
      <x:c r="L423" s="440" t="n">
        <x:f>IF(ISNUMBER(K423),IF(MAX(0,J423*(1+SUM($B$87)/12)-K423)&lt;MAX(0.0000001,$B$86*0.00000000001),0,MAX(0,J423*(1+SUM($B$87)/12)-K423)),"")</x:f>
        <x:v>0</x:v>
      </x:c>
      <x:c r="M423" s="440" t="n">
        <x:f>IF(AND(ISNUMBER(D423),ISNUMBER(K423)),D423+K423,"")</x:f>
        <x:v>4679.450723240598</x:v>
      </x:c>
      <x:c r="N423" s="440" t="n">
        <x:f>IF(AND(ISNUMBER(H423),ISNUMBER(L423)),H423+L423,"")</x:f>
        <x:v>742428.5138001249</x:v>
      </x:c>
    </x:row>
    <x:row r="424" ht="22" customHeight="1">
      <x:c r="A424" s="254" t="n">
        <x:f>24</x:f>
        <x:v>24</x:v>
      </x:c>
      <x:c r="B424" s="440" t="n">
        <x:f>IF(ISNUMBER(H423),H423,"")</x:f>
        <x:v>742428.5138001249</x:v>
      </x:c>
      <x:c r="C424" s="442" t="n">
        <x:f>IF(ISNUMBER(B424),IF(AND(24&gt;$B$173,$B$78="Refinance",ISNUMBER($B$80),$B$80&gt;=0,$B$80&lt;=1,ROUND($B$81*12,0)&gt;=1,$B$81&lt;=100,SUM($B$82)&gt;=0,SUM($B$82)&lt;=1,SUM($B$83)&gt;=0),$B$80,IF(AND($B$175&gt;0,24&gt;$B$175,ISNUMBER($B$75)),$B$75,$B$61)),"")</x:f>
        <x:v>0.0625</x:v>
      </x:c>
      <x:c r="D424" s="440" t="n">
        <x:f>IF(AND(ISNUMBER(B424),B424=0),0,IF(AND($B$171=1,I423=0,ISNUMBER(C424),ISNUMBER(IF(AND(24&lt;=$B$174,24&lt;=$B$173),B424*C424/12,IF(AND(24=$B$173+1,AND(24&gt;$B$173,$B$78="Refinance",ISNUMBER($B$80),$B$80&gt;=0,$B$80&lt;=1,ROUND($B$81*12,0)&gt;=1,$B$81&lt;=100,SUM($B$82)&gt;=0,SUM($B$82)&lt;=1,SUM($B$83)&gt;=0)),IF(B424=0,0,IF(C424=0,B424/ROUND($B$81*12,0),B424*(C424/12)/(1-(1+C424/12)^(-ROUND($B$81*12,0))))),IF(AND(NOT(AND(24&gt;$B$173,$B$78="Refinance",ISNUMBER($B$80),$B$80&gt;=0,$B$80&lt;=1,ROUND($B$81*12,0)&gt;=1,$B$81&lt;=100,SUM($B$82)&gt;=0,SUM($B$82)&lt;=1,SUM($B$83)&gt;=0)),OR(24=1,24=$B$174+1,AND($B$175&gt;0,24=$B$175+1))),IF(AND($B$170=1,$B$66&gt;0,OR($B$175=0,24&lt;=$B$175)),$B$66,IF($B$172-MAX(24-1,$B$174)&gt;0,IF(B424=0,0,IF(C424=0,B424/($B$172-MAX(24-1,$B$174)),B424*(C424/12)/(1-(1+C424/12)^(-($B$172-MAX(24-1,$B$174)))))),"")),D423))))),IF(IF(AND(24&lt;=$B$174,24&lt;=$B$173),B424*C424/12,IF(AND(24=$B$173+1,AND(24&gt;$B$173,$B$78="Refinance",ISNUMBER($B$80),$B$80&gt;=0,$B$80&lt;=1,ROUND($B$81*12,0)&gt;=1,$B$81&lt;=100,SUM($B$82)&gt;=0,SUM($B$82)&lt;=1,SUM($B$83)&gt;=0)),IF(B424=0,0,IF(C424=0,B424/ROUND($B$81*12,0),B424*(C424/12)/(1-(1+C424/12)^(-ROUND($B$81*12,0))))),IF(AND(NOT(AND(24&gt;$B$173,$B$78="Refinance",ISNUMBER($B$80),$B$80&gt;=0,$B$80&lt;=1,ROUND($B$81*12,0)&gt;=1,$B$81&lt;=100,SUM($B$82)&gt;=0,SUM($B$82)&lt;=1,SUM($B$83)&gt;=0)),OR(24=1,24=$B$174+1,AND($B$175&gt;0,24=$B$175+1))),IF(AND($B$170=1,$B$66&gt;0,OR($B$175=0,24&lt;=$B$175)),$B$66,IF($B$172-MAX(24-1,$B$174)&gt;0,IF(B424=0,0,IF(C424=0,B424/($B$172-MAX(24-1,$B$174)),B424*(C424/12)/(1-(1+C424/12)^(-($B$172-MAX(24-1,$B$174)))))),"")),D423)))+0.0000001&gt;=B424*C424/12,MIN(B424*(1+C424/12),IF(AND(24&lt;=$B$174,24&lt;=$B$173),B424*C424/12,IF(AND(24=$B$173+1,AND(24&gt;$B$173,$B$78="Refinance",ISNUMBER($B$80),$B$80&gt;=0,$B$80&lt;=1,ROUND($B$81*12,0)&gt;=1,$B$81&lt;=100,SUM($B$82)&gt;=0,SUM($B$82)&lt;=1,SUM($B$83)&gt;=0)),IF(B424=0,0,IF(C424=0,B424/ROUND($B$81*12,0),B424*(C424/12)/(1-(1+C424/12)^(-ROUND($B$81*12,0))))),IF(AND(NOT(AND(24&gt;$B$173,$B$78="Refinance",ISNUMBER($B$80),$B$80&gt;=0,$B$80&lt;=1,ROUND($B$81*12,0)&gt;=1,$B$81&lt;=100,SUM($B$82)&gt;=0,SUM($B$82)&lt;=1,SUM($B$83)&gt;=0)),OR(24=1,24=$B$174+1,AND($B$175&gt;0,24=$B$175+1))),IF(AND($B$170=1,$B$66&gt;0,OR($B$175=0,24&lt;=$B$175)),$B$66,IF($B$172-MAX(24-1,$B$174)&gt;0,IF(B424=0,0,IF(C424=0,B424/($B$172-MAX(24-1,$B$174)),B424*(C424/12)/(1-(1+C424/12)^(-($B$172-MAX(24-1,$B$174)))))),"")),D423)))),""),""))</x:f>
        <x:v>4679.450723240598</x:v>
      </x:c>
      <x:c r="E424" s="440" t="n">
        <x:f>IF(AND(24=$B$173,ISNUMBER(D424)),IF(MAX(0,B424*(1+C424/12)-D424)&lt;MAX(0.0000001,$E$17*0.00000000001),0,MAX(0,B424*(1+C424/12)-D424)),0)</x:f>
        <x:v>0</x:v>
      </x:c>
      <x:c r="F424" s="440" t="n">
        <x:f>IF($B$78="Cash payoff",E424,0)</x:f>
        <x:v>0</x:v>
      </x:c>
      <x:c r="G424" s="440" t="n">
        <x:f>IF(AND(E424&gt;0,AND($B$78="Refinance",ISNUMBER($B$80),$B$80&gt;=0,$B$80&lt;=1,ROUND($B$81*12,0)&gt;=1,$B$81&lt;=100,SUM($B$82)&gt;=0,SUM($B$82)&lt;=1,SUM($B$83)&gt;=0)),E424*SUM($B$82)+SUM($B$83),0)</x:f>
        <x:v>0</x:v>
      </x:c>
      <x:c r="H424" s="440" t="n">
        <x:f>IF(ISNUMBER(D424),IF(MAX(0,B424*(1+C424/12)-D424-F424)&lt;MAX(0.0000001,$E$17*0.00000000001),0,MAX(0,B424*(1+C424/12)-D424-F424)),IF(AND($B$171=1,I423=1),B424,""))</x:f>
        <x:v>741615.8782529265</x:v>
      </x:c>
      <x:c r="I424" s="444" t="n">
        <x:f>IF(OR(I423=1,AND(E424&gt;0,$B$78&lt;&gt;"Cash payoff",NOT(AND($B$78="Refinance",ISNUMBER($B$80),$B$80&gt;=0,$B$80&lt;=1,ROUND($B$81*12,0)&gt;=1,$B$81&lt;=100,SUM($B$82)&gt;=0,SUM($B$82)&lt;=1,SUM($B$83)&gt;=0))),AND(ISNUMBER(B424),B424&gt;0,$B$171=1,NOT(ISNUMBER(D424)))),1,0)</x:f>
        <x:v>0</x:v>
      </x:c>
      <x:c r="J424" s="440" t="n">
        <x:f>IF(ISNUMBER(L423),L423,"")</x:f>
        <x:v>0</x:v>
      </x:c>
      <x:c r="K424" s="440" t="n">
        <x:f>IF(AND(ISNUMBER(J424),J424=0),0,IF(AND($B$176=1,ISNUMBER(J424)),MIN(J424*(1+$B$87/12),IF($B$86=0,0,IF($B$87=0,$B$86/ROUND($B$88*12,0),$B$86*($B$87/12)/(1-(1+$B$87/12)^(-ROUND($B$88*12,0)))))),""))</x:f>
        <x:v>0</x:v>
      </x:c>
      <x:c r="L424" s="440" t="n">
        <x:f>IF(ISNUMBER(K424),IF(MAX(0,J424*(1+SUM($B$87)/12)-K424)&lt;MAX(0.0000001,$B$86*0.00000000001),0,MAX(0,J424*(1+SUM($B$87)/12)-K424)),"")</x:f>
        <x:v>0</x:v>
      </x:c>
      <x:c r="M424" s="440" t="n">
        <x:f>IF(AND(ISNUMBER(D424),ISNUMBER(K424)),D424+K424,"")</x:f>
        <x:v>4679.450723240598</x:v>
      </x:c>
      <x:c r="N424" s="440" t="n">
        <x:f>IF(AND(ISNUMBER(H424),ISNUMBER(L424)),H424+L424,"")</x:f>
        <x:v>741615.8782529265</x:v>
      </x:c>
    </x:row>
    <x:row r="425" ht="22" customHeight="1">
      <x:c r="A425" s="254" t="n">
        <x:f>25</x:f>
        <x:v>25</x:v>
      </x:c>
      <x:c r="B425" s="440" t="n">
        <x:f>IF(ISNUMBER(H424),H424,"")</x:f>
        <x:v>741615.8782529265</x:v>
      </x:c>
      <x:c r="C425" s="442" t="n">
        <x:f>IF(ISNUMBER(B425),IF(AND(25&gt;$B$173,$B$78="Refinance",ISNUMBER($B$80),$B$80&gt;=0,$B$80&lt;=1,ROUND($B$81*12,0)&gt;=1,$B$81&lt;=100,SUM($B$82)&gt;=0,SUM($B$82)&lt;=1,SUM($B$83)&gt;=0),$B$80,IF(AND($B$175&gt;0,25&gt;$B$175,ISNUMBER($B$75)),$B$75,$B$61)),"")</x:f>
        <x:v>0.0625</x:v>
      </x:c>
      <x:c r="D425" s="440" t="n">
        <x:f>IF(AND(ISNUMBER(B425),B425=0),0,IF(AND($B$171=1,I424=0,ISNUMBER(C425),ISNUMBER(IF(AND(25&lt;=$B$174,25&lt;=$B$173),B425*C425/12,IF(AND(25=$B$173+1,AND(25&gt;$B$173,$B$78="Refinance",ISNUMBER($B$80),$B$80&gt;=0,$B$80&lt;=1,ROUND($B$81*12,0)&gt;=1,$B$81&lt;=100,SUM($B$82)&gt;=0,SUM($B$82)&lt;=1,SUM($B$83)&gt;=0)),IF(B425=0,0,IF(C425=0,B425/ROUND($B$81*12,0),B425*(C425/12)/(1-(1+C425/12)^(-ROUND($B$81*12,0))))),IF(AND(NOT(AND(25&gt;$B$173,$B$78="Refinance",ISNUMBER($B$80),$B$80&gt;=0,$B$80&lt;=1,ROUND($B$81*12,0)&gt;=1,$B$81&lt;=100,SUM($B$82)&gt;=0,SUM($B$82)&lt;=1,SUM($B$83)&gt;=0)),OR(25=1,25=$B$174+1,AND($B$175&gt;0,25=$B$175+1))),IF(AND($B$170=1,$B$66&gt;0,OR($B$175=0,25&lt;=$B$175)),$B$66,IF($B$172-MAX(25-1,$B$174)&gt;0,IF(B425=0,0,IF(C425=0,B425/($B$172-MAX(25-1,$B$174)),B425*(C425/12)/(1-(1+C425/12)^(-($B$172-MAX(25-1,$B$174)))))),"")),D424))))),IF(IF(AND(25&lt;=$B$174,25&lt;=$B$173),B425*C425/12,IF(AND(25=$B$173+1,AND(25&gt;$B$173,$B$78="Refinance",ISNUMBER($B$80),$B$80&gt;=0,$B$80&lt;=1,ROUND($B$81*12,0)&gt;=1,$B$81&lt;=100,SUM($B$82)&gt;=0,SUM($B$82)&lt;=1,SUM($B$83)&gt;=0)),IF(B425=0,0,IF(C425=0,B425/ROUND($B$81*12,0),B425*(C425/12)/(1-(1+C425/12)^(-ROUND($B$81*12,0))))),IF(AND(NOT(AND(25&gt;$B$173,$B$78="Refinance",ISNUMBER($B$80),$B$80&gt;=0,$B$80&lt;=1,ROUND($B$81*12,0)&gt;=1,$B$81&lt;=100,SUM($B$82)&gt;=0,SUM($B$82)&lt;=1,SUM($B$83)&gt;=0)),OR(25=1,25=$B$174+1,AND($B$175&gt;0,25=$B$175+1))),IF(AND($B$170=1,$B$66&gt;0,OR($B$175=0,25&lt;=$B$175)),$B$66,IF($B$172-MAX(25-1,$B$174)&gt;0,IF(B425=0,0,IF(C425=0,B425/($B$172-MAX(25-1,$B$174)),B425*(C425/12)/(1-(1+C425/12)^(-($B$172-MAX(25-1,$B$174)))))),"")),D424)))+0.0000001&gt;=B425*C425/12,MIN(B425*(1+C425/12),IF(AND(25&lt;=$B$174,25&lt;=$B$173),B425*C425/12,IF(AND(25=$B$173+1,AND(25&gt;$B$173,$B$78="Refinance",ISNUMBER($B$80),$B$80&gt;=0,$B$80&lt;=1,ROUND($B$81*12,0)&gt;=1,$B$81&lt;=100,SUM($B$82)&gt;=0,SUM($B$82)&lt;=1,SUM($B$83)&gt;=0)),IF(B425=0,0,IF(C425=0,B425/ROUND($B$81*12,0),B425*(C425/12)/(1-(1+C425/12)^(-ROUND($B$81*12,0))))),IF(AND(NOT(AND(25&gt;$B$173,$B$78="Refinance",ISNUMBER($B$80),$B$80&gt;=0,$B$80&lt;=1,ROUND($B$81*12,0)&gt;=1,$B$81&lt;=100,SUM($B$82)&gt;=0,SUM($B$82)&lt;=1,SUM($B$83)&gt;=0)),OR(25=1,25=$B$174+1,AND($B$175&gt;0,25=$B$175+1))),IF(AND($B$170=1,$B$66&gt;0,OR($B$175=0,25&lt;=$B$175)),$B$66,IF($B$172-MAX(25-1,$B$174)&gt;0,IF(B425=0,0,IF(C425=0,B425/($B$172-MAX(25-1,$B$174)),B425*(C425/12)/(1-(1+C425/12)^(-($B$172-MAX(25-1,$B$174)))))),"")),D424)))),""),""))</x:f>
        <x:v>4679.450723240598</x:v>
      </x:c>
      <x:c r="E425" s="440" t="n">
        <x:f>IF(AND(25=$B$173,ISNUMBER(D425)),IF(MAX(0,B425*(1+C425/12)-D425)&lt;MAX(0.0000001,$E$17*0.00000000001),0,MAX(0,B425*(1+C425/12)-D425)),0)</x:f>
        <x:v>0</x:v>
      </x:c>
      <x:c r="F425" s="440" t="n">
        <x:f>IF($B$78="Cash payoff",E425,0)</x:f>
        <x:v>0</x:v>
      </x:c>
      <x:c r="G425" s="440" t="n">
        <x:f>IF(AND(E425&gt;0,AND($B$78="Refinance",ISNUMBER($B$80),$B$80&gt;=0,$B$80&lt;=1,ROUND($B$81*12,0)&gt;=1,$B$81&lt;=100,SUM($B$82)&gt;=0,SUM($B$82)&lt;=1,SUM($B$83)&gt;=0)),E425*SUM($B$82)+SUM($B$83),0)</x:f>
        <x:v>0</x:v>
      </x:c>
      <x:c r="H425" s="440" t="n">
        <x:f>IF(ISNUMBER(D425),IF(MAX(0,B425*(1+C425/12)-D425-F425)&lt;MAX(0.0000001,$E$17*0.00000000001),0,MAX(0,B425*(1+C425/12)-D425-F425)),IF(AND($B$171=1,I424=1),B425,""))</x:f>
        <x:v>740799.0102289198</x:v>
      </x:c>
      <x:c r="I425" s="444" t="n">
        <x:f>IF(OR(I424=1,AND(E425&gt;0,$B$78&lt;&gt;"Cash payoff",NOT(AND($B$78="Refinance",ISNUMBER($B$80),$B$80&gt;=0,$B$80&lt;=1,ROUND($B$81*12,0)&gt;=1,$B$81&lt;=100,SUM($B$82)&gt;=0,SUM($B$82)&lt;=1,SUM($B$83)&gt;=0))),AND(ISNUMBER(B425),B425&gt;0,$B$171=1,NOT(ISNUMBER(D425)))),1,0)</x:f>
        <x:v>0</x:v>
      </x:c>
      <x:c r="J425" s="440" t="n">
        <x:f>IF(ISNUMBER(L424),L424,"")</x:f>
        <x:v>0</x:v>
      </x:c>
      <x:c r="K425" s="440" t="n">
        <x:f>IF(AND(ISNUMBER(J425),J425=0),0,IF(AND($B$176=1,ISNUMBER(J425)),MIN(J425*(1+$B$87/12),IF($B$86=0,0,IF($B$87=0,$B$86/ROUND($B$88*12,0),$B$86*($B$87/12)/(1-(1+$B$87/12)^(-ROUND($B$88*12,0)))))),""))</x:f>
        <x:v>0</x:v>
      </x:c>
      <x:c r="L425" s="440" t="n">
        <x:f>IF(ISNUMBER(K425),IF(MAX(0,J425*(1+SUM($B$87)/12)-K425)&lt;MAX(0.0000001,$B$86*0.00000000001),0,MAX(0,J425*(1+SUM($B$87)/12)-K425)),"")</x:f>
        <x:v>0</x:v>
      </x:c>
      <x:c r="M425" s="440" t="n">
        <x:f>IF(AND(ISNUMBER(D425),ISNUMBER(K425)),D425+K425,"")</x:f>
        <x:v>4679.450723240598</x:v>
      </x:c>
      <x:c r="N425" s="440" t="n">
        <x:f>IF(AND(ISNUMBER(H425),ISNUMBER(L425)),H425+L425,"")</x:f>
        <x:v>740799.0102289198</x:v>
      </x:c>
    </x:row>
    <x:row r="426" ht="22" customHeight="1">
      <x:c r="A426" s="254" t="n">
        <x:f>26</x:f>
        <x:v>26</x:v>
      </x:c>
      <x:c r="B426" s="440" t="n">
        <x:f>IF(ISNUMBER(H425),H425,"")</x:f>
        <x:v>740799.0102289198</x:v>
      </x:c>
      <x:c r="C426" s="442" t="n">
        <x:f>IF(ISNUMBER(B426),IF(AND(26&gt;$B$173,$B$78="Refinance",ISNUMBER($B$80),$B$80&gt;=0,$B$80&lt;=1,ROUND($B$81*12,0)&gt;=1,$B$81&lt;=100,SUM($B$82)&gt;=0,SUM($B$82)&lt;=1,SUM($B$83)&gt;=0),$B$80,IF(AND($B$175&gt;0,26&gt;$B$175,ISNUMBER($B$75)),$B$75,$B$61)),"")</x:f>
        <x:v>0.0625</x:v>
      </x:c>
      <x:c r="D426" s="440" t="n">
        <x:f>IF(AND(ISNUMBER(B426),B426=0),0,IF(AND($B$171=1,I425=0,ISNUMBER(C426),ISNUMBER(IF(AND(26&lt;=$B$174,26&lt;=$B$173),B426*C426/12,IF(AND(26=$B$173+1,AND(26&gt;$B$173,$B$78="Refinance",ISNUMBER($B$80),$B$80&gt;=0,$B$80&lt;=1,ROUND($B$81*12,0)&gt;=1,$B$81&lt;=100,SUM($B$82)&gt;=0,SUM($B$82)&lt;=1,SUM($B$83)&gt;=0)),IF(B426=0,0,IF(C426=0,B426/ROUND($B$81*12,0),B426*(C426/12)/(1-(1+C426/12)^(-ROUND($B$81*12,0))))),IF(AND(NOT(AND(26&gt;$B$173,$B$78="Refinance",ISNUMBER($B$80),$B$80&gt;=0,$B$80&lt;=1,ROUND($B$81*12,0)&gt;=1,$B$81&lt;=100,SUM($B$82)&gt;=0,SUM($B$82)&lt;=1,SUM($B$83)&gt;=0)),OR(26=1,26=$B$174+1,AND($B$175&gt;0,26=$B$175+1))),IF(AND($B$170=1,$B$66&gt;0,OR($B$175=0,26&lt;=$B$175)),$B$66,IF($B$172-MAX(26-1,$B$174)&gt;0,IF(B426=0,0,IF(C426=0,B426/($B$172-MAX(26-1,$B$174)),B426*(C426/12)/(1-(1+C426/12)^(-($B$172-MAX(26-1,$B$174)))))),"")),D425))))),IF(IF(AND(26&lt;=$B$174,26&lt;=$B$173),B426*C426/12,IF(AND(26=$B$173+1,AND(26&gt;$B$173,$B$78="Refinance",ISNUMBER($B$80),$B$80&gt;=0,$B$80&lt;=1,ROUND($B$81*12,0)&gt;=1,$B$81&lt;=100,SUM($B$82)&gt;=0,SUM($B$82)&lt;=1,SUM($B$83)&gt;=0)),IF(B426=0,0,IF(C426=0,B426/ROUND($B$81*12,0),B426*(C426/12)/(1-(1+C426/12)^(-ROUND($B$81*12,0))))),IF(AND(NOT(AND(26&gt;$B$173,$B$78="Refinance",ISNUMBER($B$80),$B$80&gt;=0,$B$80&lt;=1,ROUND($B$81*12,0)&gt;=1,$B$81&lt;=100,SUM($B$82)&gt;=0,SUM($B$82)&lt;=1,SUM($B$83)&gt;=0)),OR(26=1,26=$B$174+1,AND($B$175&gt;0,26=$B$175+1))),IF(AND($B$170=1,$B$66&gt;0,OR($B$175=0,26&lt;=$B$175)),$B$66,IF($B$172-MAX(26-1,$B$174)&gt;0,IF(B426=0,0,IF(C426=0,B426/($B$172-MAX(26-1,$B$174)),B426*(C426/12)/(1-(1+C426/12)^(-($B$172-MAX(26-1,$B$174)))))),"")),D425)))+0.0000001&gt;=B426*C426/12,MIN(B426*(1+C426/12),IF(AND(26&lt;=$B$174,26&lt;=$B$173),B426*C426/12,IF(AND(26=$B$173+1,AND(26&gt;$B$173,$B$78="Refinance",ISNUMBER($B$80),$B$80&gt;=0,$B$80&lt;=1,ROUND($B$81*12,0)&gt;=1,$B$81&lt;=100,SUM($B$82)&gt;=0,SUM($B$82)&lt;=1,SUM($B$83)&gt;=0)),IF(B426=0,0,IF(C426=0,B426/ROUND($B$81*12,0),B426*(C426/12)/(1-(1+C426/12)^(-ROUND($B$81*12,0))))),IF(AND(NOT(AND(26&gt;$B$173,$B$78="Refinance",ISNUMBER($B$80),$B$80&gt;=0,$B$80&lt;=1,ROUND($B$81*12,0)&gt;=1,$B$81&lt;=100,SUM($B$82)&gt;=0,SUM($B$82)&lt;=1,SUM($B$83)&gt;=0)),OR(26=1,26=$B$174+1,AND($B$175&gt;0,26=$B$175+1))),IF(AND($B$170=1,$B$66&gt;0,OR($B$175=0,26&lt;=$B$175)),$B$66,IF($B$172-MAX(26-1,$B$174)&gt;0,IF(B426=0,0,IF(C426=0,B426/($B$172-MAX(26-1,$B$174)),B426*(C426/12)/(1-(1+C426/12)^(-($B$172-MAX(26-1,$B$174)))))),"")),D425)))),""),""))</x:f>
        <x:v>4679.450723240598</x:v>
      </x:c>
      <x:c r="E426" s="440" t="n">
        <x:f>IF(AND(26=$B$173,ISNUMBER(D426)),IF(MAX(0,B426*(1+C426/12)-D426)&lt;MAX(0.0000001,$E$17*0.00000000001),0,MAX(0,B426*(1+C426/12)-D426)),0)</x:f>
        <x:v>0</x:v>
      </x:c>
      <x:c r="F426" s="440" t="n">
        <x:f>IF($B$78="Cash payoff",E426,0)</x:f>
        <x:v>0</x:v>
      </x:c>
      <x:c r="G426" s="440" t="n">
        <x:f>IF(AND(E426&gt;0,AND($B$78="Refinance",ISNUMBER($B$80),$B$80&gt;=0,$B$80&lt;=1,ROUND($B$81*12,0)&gt;=1,$B$81&lt;=100,SUM($B$82)&gt;=0,SUM($B$82)&lt;=1,SUM($B$83)&gt;=0)),E426*SUM($B$82)+SUM($B$83),0)</x:f>
        <x:v>0</x:v>
      </x:c>
      <x:c r="H426" s="440" t="n">
        <x:f>IF(ISNUMBER(D426),IF(MAX(0,B426*(1+C426/12)-D426-F426)&lt;MAX(0.0000001,$E$17*0.00000000001),0,MAX(0,B426*(1+C426/12)-D426-F426)),IF(AND($B$171=1,I425=1),B426,""))</x:f>
        <x:v>739977.8876839548</x:v>
      </x:c>
      <x:c r="I426" s="444" t="n">
        <x:f>IF(OR(I425=1,AND(E426&gt;0,$B$78&lt;&gt;"Cash payoff",NOT(AND($B$78="Refinance",ISNUMBER($B$80),$B$80&gt;=0,$B$80&lt;=1,ROUND($B$81*12,0)&gt;=1,$B$81&lt;=100,SUM($B$82)&gt;=0,SUM($B$82)&lt;=1,SUM($B$83)&gt;=0))),AND(ISNUMBER(B426),B426&gt;0,$B$171=1,NOT(ISNUMBER(D426)))),1,0)</x:f>
        <x:v>0</x:v>
      </x:c>
      <x:c r="J426" s="440" t="n">
        <x:f>IF(ISNUMBER(L425),L425,"")</x:f>
        <x:v>0</x:v>
      </x:c>
      <x:c r="K426" s="440" t="n">
        <x:f>IF(AND(ISNUMBER(J426),J426=0),0,IF(AND($B$176=1,ISNUMBER(J426)),MIN(J426*(1+$B$87/12),IF($B$86=0,0,IF($B$87=0,$B$86/ROUND($B$88*12,0),$B$86*($B$87/12)/(1-(1+$B$87/12)^(-ROUND($B$88*12,0)))))),""))</x:f>
        <x:v>0</x:v>
      </x:c>
      <x:c r="L426" s="440" t="n">
        <x:f>IF(ISNUMBER(K426),IF(MAX(0,J426*(1+SUM($B$87)/12)-K426)&lt;MAX(0.0000001,$B$86*0.00000000001),0,MAX(0,J426*(1+SUM($B$87)/12)-K426)),"")</x:f>
        <x:v>0</x:v>
      </x:c>
      <x:c r="M426" s="440" t="n">
        <x:f>IF(AND(ISNUMBER(D426),ISNUMBER(K426)),D426+K426,"")</x:f>
        <x:v>4679.450723240598</x:v>
      </x:c>
      <x:c r="N426" s="440" t="n">
        <x:f>IF(AND(ISNUMBER(H426),ISNUMBER(L426)),H426+L426,"")</x:f>
        <x:v>739977.8876839548</x:v>
      </x:c>
    </x:row>
    <x:row r="427" ht="22" customHeight="1">
      <x:c r="A427" s="254" t="n">
        <x:f>27</x:f>
        <x:v>27</x:v>
      </x:c>
      <x:c r="B427" s="440" t="n">
        <x:f>IF(ISNUMBER(H426),H426,"")</x:f>
        <x:v>739977.8876839548</x:v>
      </x:c>
      <x:c r="C427" s="442" t="n">
        <x:f>IF(ISNUMBER(B427),IF(AND(27&gt;$B$173,$B$78="Refinance",ISNUMBER($B$80),$B$80&gt;=0,$B$80&lt;=1,ROUND($B$81*12,0)&gt;=1,$B$81&lt;=100,SUM($B$82)&gt;=0,SUM($B$82)&lt;=1,SUM($B$83)&gt;=0),$B$80,IF(AND($B$175&gt;0,27&gt;$B$175,ISNUMBER($B$75)),$B$75,$B$61)),"")</x:f>
        <x:v>0.0625</x:v>
      </x:c>
      <x:c r="D427" s="440" t="n">
        <x:f>IF(AND(ISNUMBER(B427),B427=0),0,IF(AND($B$171=1,I426=0,ISNUMBER(C427),ISNUMBER(IF(AND(27&lt;=$B$174,27&lt;=$B$173),B427*C427/12,IF(AND(27=$B$173+1,AND(27&gt;$B$173,$B$78="Refinance",ISNUMBER($B$80),$B$80&gt;=0,$B$80&lt;=1,ROUND($B$81*12,0)&gt;=1,$B$81&lt;=100,SUM($B$82)&gt;=0,SUM($B$82)&lt;=1,SUM($B$83)&gt;=0)),IF(B427=0,0,IF(C427=0,B427/ROUND($B$81*12,0),B427*(C427/12)/(1-(1+C427/12)^(-ROUND($B$81*12,0))))),IF(AND(NOT(AND(27&gt;$B$173,$B$78="Refinance",ISNUMBER($B$80),$B$80&gt;=0,$B$80&lt;=1,ROUND($B$81*12,0)&gt;=1,$B$81&lt;=100,SUM($B$82)&gt;=0,SUM($B$82)&lt;=1,SUM($B$83)&gt;=0)),OR(27=1,27=$B$174+1,AND($B$175&gt;0,27=$B$175+1))),IF(AND($B$170=1,$B$66&gt;0,OR($B$175=0,27&lt;=$B$175)),$B$66,IF($B$172-MAX(27-1,$B$174)&gt;0,IF(B427=0,0,IF(C427=0,B427/($B$172-MAX(27-1,$B$174)),B427*(C427/12)/(1-(1+C427/12)^(-($B$172-MAX(27-1,$B$174)))))),"")),D426))))),IF(IF(AND(27&lt;=$B$174,27&lt;=$B$173),B427*C427/12,IF(AND(27=$B$173+1,AND(27&gt;$B$173,$B$78="Refinance",ISNUMBER($B$80),$B$80&gt;=0,$B$80&lt;=1,ROUND($B$81*12,0)&gt;=1,$B$81&lt;=100,SUM($B$82)&gt;=0,SUM($B$82)&lt;=1,SUM($B$83)&gt;=0)),IF(B427=0,0,IF(C427=0,B427/ROUND($B$81*12,0),B427*(C427/12)/(1-(1+C427/12)^(-ROUND($B$81*12,0))))),IF(AND(NOT(AND(27&gt;$B$173,$B$78="Refinance",ISNUMBER($B$80),$B$80&gt;=0,$B$80&lt;=1,ROUND($B$81*12,0)&gt;=1,$B$81&lt;=100,SUM($B$82)&gt;=0,SUM($B$82)&lt;=1,SUM($B$83)&gt;=0)),OR(27=1,27=$B$174+1,AND($B$175&gt;0,27=$B$175+1))),IF(AND($B$170=1,$B$66&gt;0,OR($B$175=0,27&lt;=$B$175)),$B$66,IF($B$172-MAX(27-1,$B$174)&gt;0,IF(B427=0,0,IF(C427=0,B427/($B$172-MAX(27-1,$B$174)),B427*(C427/12)/(1-(1+C427/12)^(-($B$172-MAX(27-1,$B$174)))))),"")),D426)))+0.0000001&gt;=B427*C427/12,MIN(B427*(1+C427/12),IF(AND(27&lt;=$B$174,27&lt;=$B$173),B427*C427/12,IF(AND(27=$B$173+1,AND(27&gt;$B$173,$B$78="Refinance",ISNUMBER($B$80),$B$80&gt;=0,$B$80&lt;=1,ROUND($B$81*12,0)&gt;=1,$B$81&lt;=100,SUM($B$82)&gt;=0,SUM($B$82)&lt;=1,SUM($B$83)&gt;=0)),IF(B427=0,0,IF(C427=0,B427/ROUND($B$81*12,0),B427*(C427/12)/(1-(1+C427/12)^(-ROUND($B$81*12,0))))),IF(AND(NOT(AND(27&gt;$B$173,$B$78="Refinance",ISNUMBER($B$80),$B$80&gt;=0,$B$80&lt;=1,ROUND($B$81*12,0)&gt;=1,$B$81&lt;=100,SUM($B$82)&gt;=0,SUM($B$82)&lt;=1,SUM($B$83)&gt;=0)),OR(27=1,27=$B$174+1,AND($B$175&gt;0,27=$B$175+1))),IF(AND($B$170=1,$B$66&gt;0,OR($B$175=0,27&lt;=$B$175)),$B$66,IF($B$172-MAX(27-1,$B$174)&gt;0,IF(B427=0,0,IF(C427=0,B427/($B$172-MAX(27-1,$B$174)),B427*(C427/12)/(1-(1+C427/12)^(-($B$172-MAX(27-1,$B$174)))))),"")),D426)))),""),""))</x:f>
        <x:v>4679.450723240598</x:v>
      </x:c>
      <x:c r="E427" s="440" t="n">
        <x:f>IF(AND(27=$B$173,ISNUMBER(D427)),IF(MAX(0,B427*(1+C427/12)-D427)&lt;MAX(0.0000001,$E$17*0.00000000001),0,MAX(0,B427*(1+C427/12)-D427)),0)</x:f>
        <x:v>0</x:v>
      </x:c>
      <x:c r="F427" s="440" t="n">
        <x:f>IF($B$78="Cash payoff",E427,0)</x:f>
        <x:v>0</x:v>
      </x:c>
      <x:c r="G427" s="440" t="n">
        <x:f>IF(AND(E427&gt;0,AND($B$78="Refinance",ISNUMBER($B$80),$B$80&gt;=0,$B$80&lt;=1,ROUND($B$81*12,0)&gt;=1,$B$81&lt;=100,SUM($B$82)&gt;=0,SUM($B$82)&lt;=1,SUM($B$83)&gt;=0)),E427*SUM($B$82)+SUM($B$83),0)</x:f>
        <x:v>0</x:v>
      </x:c>
      <x:c r="H427" s="440" t="n">
        <x:f>IF(ISNUMBER(D427),IF(MAX(0,B427*(1+C427/12)-D427-F427)&lt;MAX(0.0000001,$E$17*0.00000000001),0,MAX(0,B427*(1+C427/12)-D427-F427)),IF(AND($B$171=1,I426=1),B427,""))</x:f>
        <x:v>739152.488459068</x:v>
      </x:c>
      <x:c r="I427" s="444" t="n">
        <x:f>IF(OR(I426=1,AND(E427&gt;0,$B$78&lt;&gt;"Cash payoff",NOT(AND($B$78="Refinance",ISNUMBER($B$80),$B$80&gt;=0,$B$80&lt;=1,ROUND($B$81*12,0)&gt;=1,$B$81&lt;=100,SUM($B$82)&gt;=0,SUM($B$82)&lt;=1,SUM($B$83)&gt;=0))),AND(ISNUMBER(B427),B427&gt;0,$B$171=1,NOT(ISNUMBER(D427)))),1,0)</x:f>
        <x:v>0</x:v>
      </x:c>
      <x:c r="J427" s="440" t="n">
        <x:f>IF(ISNUMBER(L426),L426,"")</x:f>
        <x:v>0</x:v>
      </x:c>
      <x:c r="K427" s="440" t="n">
        <x:f>IF(AND(ISNUMBER(J427),J427=0),0,IF(AND($B$176=1,ISNUMBER(J427)),MIN(J427*(1+$B$87/12),IF($B$86=0,0,IF($B$87=0,$B$86/ROUND($B$88*12,0),$B$86*($B$87/12)/(1-(1+$B$87/12)^(-ROUND($B$88*12,0)))))),""))</x:f>
        <x:v>0</x:v>
      </x:c>
      <x:c r="L427" s="440" t="n">
        <x:f>IF(ISNUMBER(K427),IF(MAX(0,J427*(1+SUM($B$87)/12)-K427)&lt;MAX(0.0000001,$B$86*0.00000000001),0,MAX(0,J427*(1+SUM($B$87)/12)-K427)),"")</x:f>
        <x:v>0</x:v>
      </x:c>
      <x:c r="M427" s="440" t="n">
        <x:f>IF(AND(ISNUMBER(D427),ISNUMBER(K427)),D427+K427,"")</x:f>
        <x:v>4679.450723240598</x:v>
      </x:c>
      <x:c r="N427" s="440" t="n">
        <x:f>IF(AND(ISNUMBER(H427),ISNUMBER(L427)),H427+L427,"")</x:f>
        <x:v>739152.488459068</x:v>
      </x:c>
    </x:row>
    <x:row r="428" ht="22" customHeight="1">
      <x:c r="A428" s="254" t="n">
        <x:f>28</x:f>
        <x:v>28</x:v>
      </x:c>
      <x:c r="B428" s="440" t="n">
        <x:f>IF(ISNUMBER(H427),H427,"")</x:f>
        <x:v>739152.488459068</x:v>
      </x:c>
      <x:c r="C428" s="442" t="n">
        <x:f>IF(ISNUMBER(B428),IF(AND(28&gt;$B$173,$B$78="Refinance",ISNUMBER($B$80),$B$80&gt;=0,$B$80&lt;=1,ROUND($B$81*12,0)&gt;=1,$B$81&lt;=100,SUM($B$82)&gt;=0,SUM($B$82)&lt;=1,SUM($B$83)&gt;=0),$B$80,IF(AND($B$175&gt;0,28&gt;$B$175,ISNUMBER($B$75)),$B$75,$B$61)),"")</x:f>
        <x:v>0.0625</x:v>
      </x:c>
      <x:c r="D428" s="440" t="n">
        <x:f>IF(AND(ISNUMBER(B428),B428=0),0,IF(AND($B$171=1,I427=0,ISNUMBER(C428),ISNUMBER(IF(AND(28&lt;=$B$174,28&lt;=$B$173),B428*C428/12,IF(AND(28=$B$173+1,AND(28&gt;$B$173,$B$78="Refinance",ISNUMBER($B$80),$B$80&gt;=0,$B$80&lt;=1,ROUND($B$81*12,0)&gt;=1,$B$81&lt;=100,SUM($B$82)&gt;=0,SUM($B$82)&lt;=1,SUM($B$83)&gt;=0)),IF(B428=0,0,IF(C428=0,B428/ROUND($B$81*12,0),B428*(C428/12)/(1-(1+C428/12)^(-ROUND($B$81*12,0))))),IF(AND(NOT(AND(28&gt;$B$173,$B$78="Refinance",ISNUMBER($B$80),$B$80&gt;=0,$B$80&lt;=1,ROUND($B$81*12,0)&gt;=1,$B$81&lt;=100,SUM($B$82)&gt;=0,SUM($B$82)&lt;=1,SUM($B$83)&gt;=0)),OR(28=1,28=$B$174+1,AND($B$175&gt;0,28=$B$175+1))),IF(AND($B$170=1,$B$66&gt;0,OR($B$175=0,28&lt;=$B$175)),$B$66,IF($B$172-MAX(28-1,$B$174)&gt;0,IF(B428=0,0,IF(C428=0,B428/($B$172-MAX(28-1,$B$174)),B428*(C428/12)/(1-(1+C428/12)^(-($B$172-MAX(28-1,$B$174)))))),"")),D427))))),IF(IF(AND(28&lt;=$B$174,28&lt;=$B$173),B428*C428/12,IF(AND(28=$B$173+1,AND(28&gt;$B$173,$B$78="Refinance",ISNUMBER($B$80),$B$80&gt;=0,$B$80&lt;=1,ROUND($B$81*12,0)&gt;=1,$B$81&lt;=100,SUM($B$82)&gt;=0,SUM($B$82)&lt;=1,SUM($B$83)&gt;=0)),IF(B428=0,0,IF(C428=0,B428/ROUND($B$81*12,0),B428*(C428/12)/(1-(1+C428/12)^(-ROUND($B$81*12,0))))),IF(AND(NOT(AND(28&gt;$B$173,$B$78="Refinance",ISNUMBER($B$80),$B$80&gt;=0,$B$80&lt;=1,ROUND($B$81*12,0)&gt;=1,$B$81&lt;=100,SUM($B$82)&gt;=0,SUM($B$82)&lt;=1,SUM($B$83)&gt;=0)),OR(28=1,28=$B$174+1,AND($B$175&gt;0,28=$B$175+1))),IF(AND($B$170=1,$B$66&gt;0,OR($B$175=0,28&lt;=$B$175)),$B$66,IF($B$172-MAX(28-1,$B$174)&gt;0,IF(B428=0,0,IF(C428=0,B428/($B$172-MAX(28-1,$B$174)),B428*(C428/12)/(1-(1+C428/12)^(-($B$172-MAX(28-1,$B$174)))))),"")),D427)))+0.0000001&gt;=B428*C428/12,MIN(B428*(1+C428/12),IF(AND(28&lt;=$B$174,28&lt;=$B$173),B428*C428/12,IF(AND(28=$B$173+1,AND(28&gt;$B$173,$B$78="Refinance",ISNUMBER($B$80),$B$80&gt;=0,$B$80&lt;=1,ROUND($B$81*12,0)&gt;=1,$B$81&lt;=100,SUM($B$82)&gt;=0,SUM($B$82)&lt;=1,SUM($B$83)&gt;=0)),IF(B428=0,0,IF(C428=0,B428/ROUND($B$81*12,0),B428*(C428/12)/(1-(1+C428/12)^(-ROUND($B$81*12,0))))),IF(AND(NOT(AND(28&gt;$B$173,$B$78="Refinance",ISNUMBER($B$80),$B$80&gt;=0,$B$80&lt;=1,ROUND($B$81*12,0)&gt;=1,$B$81&lt;=100,SUM($B$82)&gt;=0,SUM($B$82)&lt;=1,SUM($B$83)&gt;=0)),OR(28=1,28=$B$174+1,AND($B$175&gt;0,28=$B$175+1))),IF(AND($B$170=1,$B$66&gt;0,OR($B$175=0,28&lt;=$B$175)),$B$66,IF($B$172-MAX(28-1,$B$174)&gt;0,IF(B428=0,0,IF(C428=0,B428/($B$172-MAX(28-1,$B$174)),B428*(C428/12)/(1-(1+C428/12)^(-($B$172-MAX(28-1,$B$174)))))),"")),D427)))),""),""))</x:f>
        <x:v>4679.450723240598</x:v>
      </x:c>
      <x:c r="E428" s="440" t="n">
        <x:f>IF(AND(28=$B$173,ISNUMBER(D428)),IF(MAX(0,B428*(1+C428/12)-D428)&lt;MAX(0.0000001,$E$17*0.00000000001),0,MAX(0,B428*(1+C428/12)-D428)),0)</x:f>
        <x:v>0</x:v>
      </x:c>
      <x:c r="F428" s="440" t="n">
        <x:f>IF($B$78="Cash payoff",E428,0)</x:f>
        <x:v>0</x:v>
      </x:c>
      <x:c r="G428" s="440" t="n">
        <x:f>IF(AND(E428&gt;0,AND($B$78="Refinance",ISNUMBER($B$80),$B$80&gt;=0,$B$80&lt;=1,ROUND($B$81*12,0)&gt;=1,$B$81&lt;=100,SUM($B$82)&gt;=0,SUM($B$82)&lt;=1,SUM($B$83)&gt;=0)),E428*SUM($B$82)+SUM($B$83),0)</x:f>
        <x:v>0</x:v>
      </x:c>
      <x:c r="H428" s="440" t="n">
        <x:f>IF(ISNUMBER(D428),IF(MAX(0,B428*(1+C428/12)-D428-F428)&lt;MAX(0.0000001,$E$17*0.00000000001),0,MAX(0,B428*(1+C428/12)-D428-F428)),IF(AND($B$171=1,I427=1),B428,""))</x:f>
        <x:v>738322.7902798849</x:v>
      </x:c>
      <x:c r="I428" s="444" t="n">
        <x:f>IF(OR(I427=1,AND(E428&gt;0,$B$78&lt;&gt;"Cash payoff",NOT(AND($B$78="Refinance",ISNUMBER($B$80),$B$80&gt;=0,$B$80&lt;=1,ROUND($B$81*12,0)&gt;=1,$B$81&lt;=100,SUM($B$82)&gt;=0,SUM($B$82)&lt;=1,SUM($B$83)&gt;=0))),AND(ISNUMBER(B428),B428&gt;0,$B$171=1,NOT(ISNUMBER(D428)))),1,0)</x:f>
        <x:v>0</x:v>
      </x:c>
      <x:c r="J428" s="440" t="n">
        <x:f>IF(ISNUMBER(L427),L427,"")</x:f>
        <x:v>0</x:v>
      </x:c>
      <x:c r="K428" s="440" t="n">
        <x:f>IF(AND(ISNUMBER(J428),J428=0),0,IF(AND($B$176=1,ISNUMBER(J428)),MIN(J428*(1+$B$87/12),IF($B$86=0,0,IF($B$87=0,$B$86/ROUND($B$88*12,0),$B$86*($B$87/12)/(1-(1+$B$87/12)^(-ROUND($B$88*12,0)))))),""))</x:f>
        <x:v>0</x:v>
      </x:c>
      <x:c r="L428" s="440" t="n">
        <x:f>IF(ISNUMBER(K428),IF(MAX(0,J428*(1+SUM($B$87)/12)-K428)&lt;MAX(0.0000001,$B$86*0.00000000001),0,MAX(0,J428*(1+SUM($B$87)/12)-K428)),"")</x:f>
        <x:v>0</x:v>
      </x:c>
      <x:c r="M428" s="440" t="n">
        <x:f>IF(AND(ISNUMBER(D428),ISNUMBER(K428)),D428+K428,"")</x:f>
        <x:v>4679.450723240598</x:v>
      </x:c>
      <x:c r="N428" s="440" t="n">
        <x:f>IF(AND(ISNUMBER(H428),ISNUMBER(L428)),H428+L428,"")</x:f>
        <x:v>738322.7902798849</x:v>
      </x:c>
    </x:row>
    <x:row r="429" ht="22" customHeight="1">
      <x:c r="A429" s="254" t="n">
        <x:f>29</x:f>
        <x:v>29</x:v>
      </x:c>
      <x:c r="B429" s="440" t="n">
        <x:f>IF(ISNUMBER(H428),H428,"")</x:f>
        <x:v>738322.7902798849</x:v>
      </x:c>
      <x:c r="C429" s="442" t="n">
        <x:f>IF(ISNUMBER(B429),IF(AND(29&gt;$B$173,$B$78="Refinance",ISNUMBER($B$80),$B$80&gt;=0,$B$80&lt;=1,ROUND($B$81*12,0)&gt;=1,$B$81&lt;=100,SUM($B$82)&gt;=0,SUM($B$82)&lt;=1,SUM($B$83)&gt;=0),$B$80,IF(AND($B$175&gt;0,29&gt;$B$175,ISNUMBER($B$75)),$B$75,$B$61)),"")</x:f>
        <x:v>0.0625</x:v>
      </x:c>
      <x:c r="D429" s="440" t="n">
        <x:f>IF(AND(ISNUMBER(B429),B429=0),0,IF(AND($B$171=1,I428=0,ISNUMBER(C429),ISNUMBER(IF(AND(29&lt;=$B$174,29&lt;=$B$173),B429*C429/12,IF(AND(29=$B$173+1,AND(29&gt;$B$173,$B$78="Refinance",ISNUMBER($B$80),$B$80&gt;=0,$B$80&lt;=1,ROUND($B$81*12,0)&gt;=1,$B$81&lt;=100,SUM($B$82)&gt;=0,SUM($B$82)&lt;=1,SUM($B$83)&gt;=0)),IF(B429=0,0,IF(C429=0,B429/ROUND($B$81*12,0),B429*(C429/12)/(1-(1+C429/12)^(-ROUND($B$81*12,0))))),IF(AND(NOT(AND(29&gt;$B$173,$B$78="Refinance",ISNUMBER($B$80),$B$80&gt;=0,$B$80&lt;=1,ROUND($B$81*12,0)&gt;=1,$B$81&lt;=100,SUM($B$82)&gt;=0,SUM($B$82)&lt;=1,SUM($B$83)&gt;=0)),OR(29=1,29=$B$174+1,AND($B$175&gt;0,29=$B$175+1))),IF(AND($B$170=1,$B$66&gt;0,OR($B$175=0,29&lt;=$B$175)),$B$66,IF($B$172-MAX(29-1,$B$174)&gt;0,IF(B429=0,0,IF(C429=0,B429/($B$172-MAX(29-1,$B$174)),B429*(C429/12)/(1-(1+C429/12)^(-($B$172-MAX(29-1,$B$174)))))),"")),D428))))),IF(IF(AND(29&lt;=$B$174,29&lt;=$B$173),B429*C429/12,IF(AND(29=$B$173+1,AND(29&gt;$B$173,$B$78="Refinance",ISNUMBER($B$80),$B$80&gt;=0,$B$80&lt;=1,ROUND($B$81*12,0)&gt;=1,$B$81&lt;=100,SUM($B$82)&gt;=0,SUM($B$82)&lt;=1,SUM($B$83)&gt;=0)),IF(B429=0,0,IF(C429=0,B429/ROUND($B$81*12,0),B429*(C429/12)/(1-(1+C429/12)^(-ROUND($B$81*12,0))))),IF(AND(NOT(AND(29&gt;$B$173,$B$78="Refinance",ISNUMBER($B$80),$B$80&gt;=0,$B$80&lt;=1,ROUND($B$81*12,0)&gt;=1,$B$81&lt;=100,SUM($B$82)&gt;=0,SUM($B$82)&lt;=1,SUM($B$83)&gt;=0)),OR(29=1,29=$B$174+1,AND($B$175&gt;0,29=$B$175+1))),IF(AND($B$170=1,$B$66&gt;0,OR($B$175=0,29&lt;=$B$175)),$B$66,IF($B$172-MAX(29-1,$B$174)&gt;0,IF(B429=0,0,IF(C429=0,B429/($B$172-MAX(29-1,$B$174)),B429*(C429/12)/(1-(1+C429/12)^(-($B$172-MAX(29-1,$B$174)))))),"")),D428)))+0.0000001&gt;=B429*C429/12,MIN(B429*(1+C429/12),IF(AND(29&lt;=$B$174,29&lt;=$B$173),B429*C429/12,IF(AND(29=$B$173+1,AND(29&gt;$B$173,$B$78="Refinance",ISNUMBER($B$80),$B$80&gt;=0,$B$80&lt;=1,ROUND($B$81*12,0)&gt;=1,$B$81&lt;=100,SUM($B$82)&gt;=0,SUM($B$82)&lt;=1,SUM($B$83)&gt;=0)),IF(B429=0,0,IF(C429=0,B429/ROUND($B$81*12,0),B429*(C429/12)/(1-(1+C429/12)^(-ROUND($B$81*12,0))))),IF(AND(NOT(AND(29&gt;$B$173,$B$78="Refinance",ISNUMBER($B$80),$B$80&gt;=0,$B$80&lt;=1,ROUND($B$81*12,0)&gt;=1,$B$81&lt;=100,SUM($B$82)&gt;=0,SUM($B$82)&lt;=1,SUM($B$83)&gt;=0)),OR(29=1,29=$B$174+1,AND($B$175&gt;0,29=$B$175+1))),IF(AND($B$170=1,$B$66&gt;0,OR($B$175=0,29&lt;=$B$175)),$B$66,IF($B$172-MAX(29-1,$B$174)&gt;0,IF(B429=0,0,IF(C429=0,B429/($B$172-MAX(29-1,$B$174)),B429*(C429/12)/(1-(1+C429/12)^(-($B$172-MAX(29-1,$B$174)))))),"")),D428)))),""),""))</x:f>
        <x:v>4679.450723240598</x:v>
      </x:c>
      <x:c r="E429" s="440" t="n">
        <x:f>IF(AND(29=$B$173,ISNUMBER(D429)),IF(MAX(0,B429*(1+C429/12)-D429)&lt;MAX(0.0000001,$E$17*0.00000000001),0,MAX(0,B429*(1+C429/12)-D429)),0)</x:f>
        <x:v>0</x:v>
      </x:c>
      <x:c r="F429" s="440" t="n">
        <x:f>IF($B$78="Cash payoff",E429,0)</x:f>
        <x:v>0</x:v>
      </x:c>
      <x:c r="G429" s="440" t="n">
        <x:f>IF(AND(E429&gt;0,AND($B$78="Refinance",ISNUMBER($B$80),$B$80&gt;=0,$B$80&lt;=1,ROUND($B$81*12,0)&gt;=1,$B$81&lt;=100,SUM($B$82)&gt;=0,SUM($B$82)&lt;=1,SUM($B$83)&gt;=0)),E429*SUM($B$82)+SUM($B$83),0)</x:f>
        <x:v>0</x:v>
      </x:c>
      <x:c r="H429" s="440" t="n">
        <x:f>IF(ISNUMBER(D429),IF(MAX(0,B429*(1+C429/12)-D429-F429)&lt;MAX(0.0000001,$E$17*0.00000000001),0,MAX(0,B429*(1+C429/12)-D429-F429)),IF(AND($B$171=1,I428=1),B429,""))</x:f>
        <x:v>737488.7707560187</x:v>
      </x:c>
      <x:c r="I429" s="444" t="n">
        <x:f>IF(OR(I428=1,AND(E429&gt;0,$B$78&lt;&gt;"Cash payoff",NOT(AND($B$78="Refinance",ISNUMBER($B$80),$B$80&gt;=0,$B$80&lt;=1,ROUND($B$81*12,0)&gt;=1,$B$81&lt;=100,SUM($B$82)&gt;=0,SUM($B$82)&lt;=1,SUM($B$83)&gt;=0))),AND(ISNUMBER(B429),B429&gt;0,$B$171=1,NOT(ISNUMBER(D429)))),1,0)</x:f>
        <x:v>0</x:v>
      </x:c>
      <x:c r="J429" s="440" t="n">
        <x:f>IF(ISNUMBER(L428),L428,"")</x:f>
        <x:v>0</x:v>
      </x:c>
      <x:c r="K429" s="440" t="n">
        <x:f>IF(AND(ISNUMBER(J429),J429=0),0,IF(AND($B$176=1,ISNUMBER(J429)),MIN(J429*(1+$B$87/12),IF($B$86=0,0,IF($B$87=0,$B$86/ROUND($B$88*12,0),$B$86*($B$87/12)/(1-(1+$B$87/12)^(-ROUND($B$88*12,0)))))),""))</x:f>
        <x:v>0</x:v>
      </x:c>
      <x:c r="L429" s="440" t="n">
        <x:f>IF(ISNUMBER(K429),IF(MAX(0,J429*(1+SUM($B$87)/12)-K429)&lt;MAX(0.0000001,$B$86*0.00000000001),0,MAX(0,J429*(1+SUM($B$87)/12)-K429)),"")</x:f>
        <x:v>0</x:v>
      </x:c>
      <x:c r="M429" s="440" t="n">
        <x:f>IF(AND(ISNUMBER(D429),ISNUMBER(K429)),D429+K429,"")</x:f>
        <x:v>4679.450723240598</x:v>
      </x:c>
      <x:c r="N429" s="440" t="n">
        <x:f>IF(AND(ISNUMBER(H429),ISNUMBER(L429)),H429+L429,"")</x:f>
        <x:v>737488.7707560187</x:v>
      </x:c>
    </x:row>
    <x:row r="430" ht="22" customHeight="1">
      <x:c r="A430" s="254" t="n">
        <x:f>30</x:f>
        <x:v>30</x:v>
      </x:c>
      <x:c r="B430" s="440" t="n">
        <x:f>IF(ISNUMBER(H429),H429,"")</x:f>
        <x:v>737488.7707560187</x:v>
      </x:c>
      <x:c r="C430" s="442" t="n">
        <x:f>IF(ISNUMBER(B430),IF(AND(30&gt;$B$173,$B$78="Refinance",ISNUMBER($B$80),$B$80&gt;=0,$B$80&lt;=1,ROUND($B$81*12,0)&gt;=1,$B$81&lt;=100,SUM($B$82)&gt;=0,SUM($B$82)&lt;=1,SUM($B$83)&gt;=0),$B$80,IF(AND($B$175&gt;0,30&gt;$B$175,ISNUMBER($B$75)),$B$75,$B$61)),"")</x:f>
        <x:v>0.0625</x:v>
      </x:c>
      <x:c r="D430" s="440" t="n">
        <x:f>IF(AND(ISNUMBER(B430),B430=0),0,IF(AND($B$171=1,I429=0,ISNUMBER(C430),ISNUMBER(IF(AND(30&lt;=$B$174,30&lt;=$B$173),B430*C430/12,IF(AND(30=$B$173+1,AND(30&gt;$B$173,$B$78="Refinance",ISNUMBER($B$80),$B$80&gt;=0,$B$80&lt;=1,ROUND($B$81*12,0)&gt;=1,$B$81&lt;=100,SUM($B$82)&gt;=0,SUM($B$82)&lt;=1,SUM($B$83)&gt;=0)),IF(B430=0,0,IF(C430=0,B430/ROUND($B$81*12,0),B430*(C430/12)/(1-(1+C430/12)^(-ROUND($B$81*12,0))))),IF(AND(NOT(AND(30&gt;$B$173,$B$78="Refinance",ISNUMBER($B$80),$B$80&gt;=0,$B$80&lt;=1,ROUND($B$81*12,0)&gt;=1,$B$81&lt;=100,SUM($B$82)&gt;=0,SUM($B$82)&lt;=1,SUM($B$83)&gt;=0)),OR(30=1,30=$B$174+1,AND($B$175&gt;0,30=$B$175+1))),IF(AND($B$170=1,$B$66&gt;0,OR($B$175=0,30&lt;=$B$175)),$B$66,IF($B$172-MAX(30-1,$B$174)&gt;0,IF(B430=0,0,IF(C430=0,B430/($B$172-MAX(30-1,$B$174)),B430*(C430/12)/(1-(1+C430/12)^(-($B$172-MAX(30-1,$B$174)))))),"")),D429))))),IF(IF(AND(30&lt;=$B$174,30&lt;=$B$173),B430*C430/12,IF(AND(30=$B$173+1,AND(30&gt;$B$173,$B$78="Refinance",ISNUMBER($B$80),$B$80&gt;=0,$B$80&lt;=1,ROUND($B$81*12,0)&gt;=1,$B$81&lt;=100,SUM($B$82)&gt;=0,SUM($B$82)&lt;=1,SUM($B$83)&gt;=0)),IF(B430=0,0,IF(C430=0,B430/ROUND($B$81*12,0),B430*(C430/12)/(1-(1+C430/12)^(-ROUND($B$81*12,0))))),IF(AND(NOT(AND(30&gt;$B$173,$B$78="Refinance",ISNUMBER($B$80),$B$80&gt;=0,$B$80&lt;=1,ROUND($B$81*12,0)&gt;=1,$B$81&lt;=100,SUM($B$82)&gt;=0,SUM($B$82)&lt;=1,SUM($B$83)&gt;=0)),OR(30=1,30=$B$174+1,AND($B$175&gt;0,30=$B$175+1))),IF(AND($B$170=1,$B$66&gt;0,OR($B$175=0,30&lt;=$B$175)),$B$66,IF($B$172-MAX(30-1,$B$174)&gt;0,IF(B430=0,0,IF(C430=0,B430/($B$172-MAX(30-1,$B$174)),B430*(C430/12)/(1-(1+C430/12)^(-($B$172-MAX(30-1,$B$174)))))),"")),D429)))+0.0000001&gt;=B430*C430/12,MIN(B430*(1+C430/12),IF(AND(30&lt;=$B$174,30&lt;=$B$173),B430*C430/12,IF(AND(30=$B$173+1,AND(30&gt;$B$173,$B$78="Refinance",ISNUMBER($B$80),$B$80&gt;=0,$B$80&lt;=1,ROUND($B$81*12,0)&gt;=1,$B$81&lt;=100,SUM($B$82)&gt;=0,SUM($B$82)&lt;=1,SUM($B$83)&gt;=0)),IF(B430=0,0,IF(C430=0,B430/ROUND($B$81*12,0),B430*(C430/12)/(1-(1+C430/12)^(-ROUND($B$81*12,0))))),IF(AND(NOT(AND(30&gt;$B$173,$B$78="Refinance",ISNUMBER($B$80),$B$80&gt;=0,$B$80&lt;=1,ROUND($B$81*12,0)&gt;=1,$B$81&lt;=100,SUM($B$82)&gt;=0,SUM($B$82)&lt;=1,SUM($B$83)&gt;=0)),OR(30=1,30=$B$174+1,AND($B$175&gt;0,30=$B$175+1))),IF(AND($B$170=1,$B$66&gt;0,OR($B$175=0,30&lt;=$B$175)),$B$66,IF($B$172-MAX(30-1,$B$174)&gt;0,IF(B430=0,0,IF(C430=0,B430/($B$172-MAX(30-1,$B$174)),B430*(C430/12)/(1-(1+C430/12)^(-($B$172-MAX(30-1,$B$174)))))),"")),D429)))),""),""))</x:f>
        <x:v>4679.450723240598</x:v>
      </x:c>
      <x:c r="E430" s="440" t="n">
        <x:f>IF(AND(30=$B$173,ISNUMBER(D430)),IF(MAX(0,B430*(1+C430/12)-D430)&lt;MAX(0.0000001,$E$17*0.00000000001),0,MAX(0,B430*(1+C430/12)-D430)),0)</x:f>
        <x:v>0</x:v>
      </x:c>
      <x:c r="F430" s="440" t="n">
        <x:f>IF($B$78="Cash payoff",E430,0)</x:f>
        <x:v>0</x:v>
      </x:c>
      <x:c r="G430" s="440" t="n">
        <x:f>IF(AND(E430&gt;0,AND($B$78="Refinance",ISNUMBER($B$80),$B$80&gt;=0,$B$80&lt;=1,ROUND($B$81*12,0)&gt;=1,$B$81&lt;=100,SUM($B$82)&gt;=0,SUM($B$82)&lt;=1,SUM($B$83)&gt;=0)),E430*SUM($B$82)+SUM($B$83),0)</x:f>
        <x:v>0</x:v>
      </x:c>
      <x:c r="H430" s="440" t="n">
        <x:f>IF(ISNUMBER(D430),IF(MAX(0,B430*(1+C430/12)-D430-F430)&lt;MAX(0.0000001,$E$17*0.00000000001),0,MAX(0,B430*(1+C430/12)-D430-F430)),IF(AND($B$171=1,I429=1),B430,""))</x:f>
        <x:v>736650.4073804657</x:v>
      </x:c>
      <x:c r="I430" s="444" t="n">
        <x:f>IF(OR(I429=1,AND(E430&gt;0,$B$78&lt;&gt;"Cash payoff",NOT(AND($B$78="Refinance",ISNUMBER($B$80),$B$80&gt;=0,$B$80&lt;=1,ROUND($B$81*12,0)&gt;=1,$B$81&lt;=100,SUM($B$82)&gt;=0,SUM($B$82)&lt;=1,SUM($B$83)&gt;=0))),AND(ISNUMBER(B430),B430&gt;0,$B$171=1,NOT(ISNUMBER(D430)))),1,0)</x:f>
        <x:v>0</x:v>
      </x:c>
      <x:c r="J430" s="440" t="n">
        <x:f>IF(ISNUMBER(L429),L429,"")</x:f>
        <x:v>0</x:v>
      </x:c>
      <x:c r="K430" s="440" t="n">
        <x:f>IF(AND(ISNUMBER(J430),J430=0),0,IF(AND($B$176=1,ISNUMBER(J430)),MIN(J430*(1+$B$87/12),IF($B$86=0,0,IF($B$87=0,$B$86/ROUND($B$88*12,0),$B$86*($B$87/12)/(1-(1+$B$87/12)^(-ROUND($B$88*12,0)))))),""))</x:f>
        <x:v>0</x:v>
      </x:c>
      <x:c r="L430" s="440" t="n">
        <x:f>IF(ISNUMBER(K430),IF(MAX(0,J430*(1+SUM($B$87)/12)-K430)&lt;MAX(0.0000001,$B$86*0.00000000001),0,MAX(0,J430*(1+SUM($B$87)/12)-K430)),"")</x:f>
        <x:v>0</x:v>
      </x:c>
      <x:c r="M430" s="440" t="n">
        <x:f>IF(AND(ISNUMBER(D430),ISNUMBER(K430)),D430+K430,"")</x:f>
        <x:v>4679.450723240598</x:v>
      </x:c>
      <x:c r="N430" s="440" t="n">
        <x:f>IF(AND(ISNUMBER(H430),ISNUMBER(L430)),H430+L430,"")</x:f>
        <x:v>736650.4073804657</x:v>
      </x:c>
    </x:row>
    <x:row r="431" ht="22" customHeight="1">
      <x:c r="A431" s="254" t="n">
        <x:f>31</x:f>
        <x:v>31</x:v>
      </x:c>
      <x:c r="B431" s="440" t="n">
        <x:f>IF(ISNUMBER(H430),H430,"")</x:f>
        <x:v>736650.4073804657</x:v>
      </x:c>
      <x:c r="C431" s="442" t="n">
        <x:f>IF(ISNUMBER(B431),IF(AND(31&gt;$B$173,$B$78="Refinance",ISNUMBER($B$80),$B$80&gt;=0,$B$80&lt;=1,ROUND($B$81*12,0)&gt;=1,$B$81&lt;=100,SUM($B$82)&gt;=0,SUM($B$82)&lt;=1,SUM($B$83)&gt;=0),$B$80,IF(AND($B$175&gt;0,31&gt;$B$175,ISNUMBER($B$75)),$B$75,$B$61)),"")</x:f>
        <x:v>0.0625</x:v>
      </x:c>
      <x:c r="D431" s="440" t="n">
        <x:f>IF(AND(ISNUMBER(B431),B431=0),0,IF(AND($B$171=1,I430=0,ISNUMBER(C431),ISNUMBER(IF(AND(31&lt;=$B$174,31&lt;=$B$173),B431*C431/12,IF(AND(31=$B$173+1,AND(31&gt;$B$173,$B$78="Refinance",ISNUMBER($B$80),$B$80&gt;=0,$B$80&lt;=1,ROUND($B$81*12,0)&gt;=1,$B$81&lt;=100,SUM($B$82)&gt;=0,SUM($B$82)&lt;=1,SUM($B$83)&gt;=0)),IF(B431=0,0,IF(C431=0,B431/ROUND($B$81*12,0),B431*(C431/12)/(1-(1+C431/12)^(-ROUND($B$81*12,0))))),IF(AND(NOT(AND(31&gt;$B$173,$B$78="Refinance",ISNUMBER($B$80),$B$80&gt;=0,$B$80&lt;=1,ROUND($B$81*12,0)&gt;=1,$B$81&lt;=100,SUM($B$82)&gt;=0,SUM($B$82)&lt;=1,SUM($B$83)&gt;=0)),OR(31=1,31=$B$174+1,AND($B$175&gt;0,31=$B$175+1))),IF(AND($B$170=1,$B$66&gt;0,OR($B$175=0,31&lt;=$B$175)),$B$66,IF($B$172-MAX(31-1,$B$174)&gt;0,IF(B431=0,0,IF(C431=0,B431/($B$172-MAX(31-1,$B$174)),B431*(C431/12)/(1-(1+C431/12)^(-($B$172-MAX(31-1,$B$174)))))),"")),D430))))),IF(IF(AND(31&lt;=$B$174,31&lt;=$B$173),B431*C431/12,IF(AND(31=$B$173+1,AND(31&gt;$B$173,$B$78="Refinance",ISNUMBER($B$80),$B$80&gt;=0,$B$80&lt;=1,ROUND($B$81*12,0)&gt;=1,$B$81&lt;=100,SUM($B$82)&gt;=0,SUM($B$82)&lt;=1,SUM($B$83)&gt;=0)),IF(B431=0,0,IF(C431=0,B431/ROUND($B$81*12,0),B431*(C431/12)/(1-(1+C431/12)^(-ROUND($B$81*12,0))))),IF(AND(NOT(AND(31&gt;$B$173,$B$78="Refinance",ISNUMBER($B$80),$B$80&gt;=0,$B$80&lt;=1,ROUND($B$81*12,0)&gt;=1,$B$81&lt;=100,SUM($B$82)&gt;=0,SUM($B$82)&lt;=1,SUM($B$83)&gt;=0)),OR(31=1,31=$B$174+1,AND($B$175&gt;0,31=$B$175+1))),IF(AND($B$170=1,$B$66&gt;0,OR($B$175=0,31&lt;=$B$175)),$B$66,IF($B$172-MAX(31-1,$B$174)&gt;0,IF(B431=0,0,IF(C431=0,B431/($B$172-MAX(31-1,$B$174)),B431*(C431/12)/(1-(1+C431/12)^(-($B$172-MAX(31-1,$B$174)))))),"")),D430)))+0.0000001&gt;=B431*C431/12,MIN(B431*(1+C431/12),IF(AND(31&lt;=$B$174,31&lt;=$B$173),B431*C431/12,IF(AND(31=$B$173+1,AND(31&gt;$B$173,$B$78="Refinance",ISNUMBER($B$80),$B$80&gt;=0,$B$80&lt;=1,ROUND($B$81*12,0)&gt;=1,$B$81&lt;=100,SUM($B$82)&gt;=0,SUM($B$82)&lt;=1,SUM($B$83)&gt;=0)),IF(B431=0,0,IF(C431=0,B431/ROUND($B$81*12,0),B431*(C431/12)/(1-(1+C431/12)^(-ROUND($B$81*12,0))))),IF(AND(NOT(AND(31&gt;$B$173,$B$78="Refinance",ISNUMBER($B$80),$B$80&gt;=0,$B$80&lt;=1,ROUND($B$81*12,0)&gt;=1,$B$81&lt;=100,SUM($B$82)&gt;=0,SUM($B$82)&lt;=1,SUM($B$83)&gt;=0)),OR(31=1,31=$B$174+1,AND($B$175&gt;0,31=$B$175+1))),IF(AND($B$170=1,$B$66&gt;0,OR($B$175=0,31&lt;=$B$175)),$B$66,IF($B$172-MAX(31-1,$B$174)&gt;0,IF(B431=0,0,IF(C431=0,B431/($B$172-MAX(31-1,$B$174)),B431*(C431/12)/(1-(1+C431/12)^(-($B$172-MAX(31-1,$B$174)))))),"")),D430)))),""),""))</x:f>
        <x:v>4679.450723240598</x:v>
      </x:c>
      <x:c r="E431" s="440" t="n">
        <x:f>IF(AND(31=$B$173,ISNUMBER(D431)),IF(MAX(0,B431*(1+C431/12)-D431)&lt;MAX(0.0000001,$E$17*0.00000000001),0,MAX(0,B431*(1+C431/12)-D431)),0)</x:f>
        <x:v>0</x:v>
      </x:c>
      <x:c r="F431" s="440" t="n">
        <x:f>IF($B$78="Cash payoff",E431,0)</x:f>
        <x:v>0</x:v>
      </x:c>
      <x:c r="G431" s="440" t="n">
        <x:f>IF(AND(E431&gt;0,AND($B$78="Refinance",ISNUMBER($B$80),$B$80&gt;=0,$B$80&lt;=1,ROUND($B$81*12,0)&gt;=1,$B$81&lt;=100,SUM($B$82)&gt;=0,SUM($B$82)&lt;=1,SUM($B$83)&gt;=0)),E431*SUM($B$82)+SUM($B$83),0)</x:f>
        <x:v>0</x:v>
      </x:c>
      <x:c r="H431" s="440" t="n">
        <x:f>IF(ISNUMBER(D431),IF(MAX(0,B431*(1+C431/12)-D431-F431)&lt;MAX(0.0000001,$E$17*0.00000000001),0,MAX(0,B431*(1+C431/12)-D431-F431)),IF(AND($B$171=1,I430=1),B431,""))</x:f>
        <x:v>735807.6775289982</x:v>
      </x:c>
      <x:c r="I431" s="444" t="n">
        <x:f>IF(OR(I430=1,AND(E431&gt;0,$B$78&lt;&gt;"Cash payoff",NOT(AND($B$78="Refinance",ISNUMBER($B$80),$B$80&gt;=0,$B$80&lt;=1,ROUND($B$81*12,0)&gt;=1,$B$81&lt;=100,SUM($B$82)&gt;=0,SUM($B$82)&lt;=1,SUM($B$83)&gt;=0))),AND(ISNUMBER(B431),B431&gt;0,$B$171=1,NOT(ISNUMBER(D431)))),1,0)</x:f>
        <x:v>0</x:v>
      </x:c>
      <x:c r="J431" s="440" t="n">
        <x:f>IF(ISNUMBER(L430),L430,"")</x:f>
        <x:v>0</x:v>
      </x:c>
      <x:c r="K431" s="440" t="n">
        <x:f>IF(AND(ISNUMBER(J431),J431=0),0,IF(AND($B$176=1,ISNUMBER(J431)),MIN(J431*(1+$B$87/12),IF($B$86=0,0,IF($B$87=0,$B$86/ROUND($B$88*12,0),$B$86*($B$87/12)/(1-(1+$B$87/12)^(-ROUND($B$88*12,0)))))),""))</x:f>
        <x:v>0</x:v>
      </x:c>
      <x:c r="L431" s="440" t="n">
        <x:f>IF(ISNUMBER(K431),IF(MAX(0,J431*(1+SUM($B$87)/12)-K431)&lt;MAX(0.0000001,$B$86*0.00000000001),0,MAX(0,J431*(1+SUM($B$87)/12)-K431)),"")</x:f>
        <x:v>0</x:v>
      </x:c>
      <x:c r="M431" s="440" t="n">
        <x:f>IF(AND(ISNUMBER(D431),ISNUMBER(K431)),D431+K431,"")</x:f>
        <x:v>4679.450723240598</x:v>
      </x:c>
      <x:c r="N431" s="440" t="n">
        <x:f>IF(AND(ISNUMBER(H431),ISNUMBER(L431)),H431+L431,"")</x:f>
        <x:v>735807.6775289982</x:v>
      </x:c>
    </x:row>
    <x:row r="432" ht="22" customHeight="1">
      <x:c r="A432" s="254" t="n">
        <x:f>32</x:f>
        <x:v>32</x:v>
      </x:c>
      <x:c r="B432" s="440" t="n">
        <x:f>IF(ISNUMBER(H431),H431,"")</x:f>
        <x:v>735807.6775289982</x:v>
      </x:c>
      <x:c r="C432" s="442" t="n">
        <x:f>IF(ISNUMBER(B432),IF(AND(32&gt;$B$173,$B$78="Refinance",ISNUMBER($B$80),$B$80&gt;=0,$B$80&lt;=1,ROUND($B$81*12,0)&gt;=1,$B$81&lt;=100,SUM($B$82)&gt;=0,SUM($B$82)&lt;=1,SUM($B$83)&gt;=0),$B$80,IF(AND($B$175&gt;0,32&gt;$B$175,ISNUMBER($B$75)),$B$75,$B$61)),"")</x:f>
        <x:v>0.0625</x:v>
      </x:c>
      <x:c r="D432" s="440" t="n">
        <x:f>IF(AND(ISNUMBER(B432),B432=0),0,IF(AND($B$171=1,I431=0,ISNUMBER(C432),ISNUMBER(IF(AND(32&lt;=$B$174,32&lt;=$B$173),B432*C432/12,IF(AND(32=$B$173+1,AND(32&gt;$B$173,$B$78="Refinance",ISNUMBER($B$80),$B$80&gt;=0,$B$80&lt;=1,ROUND($B$81*12,0)&gt;=1,$B$81&lt;=100,SUM($B$82)&gt;=0,SUM($B$82)&lt;=1,SUM($B$83)&gt;=0)),IF(B432=0,0,IF(C432=0,B432/ROUND($B$81*12,0),B432*(C432/12)/(1-(1+C432/12)^(-ROUND($B$81*12,0))))),IF(AND(NOT(AND(32&gt;$B$173,$B$78="Refinance",ISNUMBER($B$80),$B$80&gt;=0,$B$80&lt;=1,ROUND($B$81*12,0)&gt;=1,$B$81&lt;=100,SUM($B$82)&gt;=0,SUM($B$82)&lt;=1,SUM($B$83)&gt;=0)),OR(32=1,32=$B$174+1,AND($B$175&gt;0,32=$B$175+1))),IF(AND($B$170=1,$B$66&gt;0,OR($B$175=0,32&lt;=$B$175)),$B$66,IF($B$172-MAX(32-1,$B$174)&gt;0,IF(B432=0,0,IF(C432=0,B432/($B$172-MAX(32-1,$B$174)),B432*(C432/12)/(1-(1+C432/12)^(-($B$172-MAX(32-1,$B$174)))))),"")),D431))))),IF(IF(AND(32&lt;=$B$174,32&lt;=$B$173),B432*C432/12,IF(AND(32=$B$173+1,AND(32&gt;$B$173,$B$78="Refinance",ISNUMBER($B$80),$B$80&gt;=0,$B$80&lt;=1,ROUND($B$81*12,0)&gt;=1,$B$81&lt;=100,SUM($B$82)&gt;=0,SUM($B$82)&lt;=1,SUM($B$83)&gt;=0)),IF(B432=0,0,IF(C432=0,B432/ROUND($B$81*12,0),B432*(C432/12)/(1-(1+C432/12)^(-ROUND($B$81*12,0))))),IF(AND(NOT(AND(32&gt;$B$173,$B$78="Refinance",ISNUMBER($B$80),$B$80&gt;=0,$B$80&lt;=1,ROUND($B$81*12,0)&gt;=1,$B$81&lt;=100,SUM($B$82)&gt;=0,SUM($B$82)&lt;=1,SUM($B$83)&gt;=0)),OR(32=1,32=$B$174+1,AND($B$175&gt;0,32=$B$175+1))),IF(AND($B$170=1,$B$66&gt;0,OR($B$175=0,32&lt;=$B$175)),$B$66,IF($B$172-MAX(32-1,$B$174)&gt;0,IF(B432=0,0,IF(C432=0,B432/($B$172-MAX(32-1,$B$174)),B432*(C432/12)/(1-(1+C432/12)^(-($B$172-MAX(32-1,$B$174)))))),"")),D431)))+0.0000001&gt;=B432*C432/12,MIN(B432*(1+C432/12),IF(AND(32&lt;=$B$174,32&lt;=$B$173),B432*C432/12,IF(AND(32=$B$173+1,AND(32&gt;$B$173,$B$78="Refinance",ISNUMBER($B$80),$B$80&gt;=0,$B$80&lt;=1,ROUND($B$81*12,0)&gt;=1,$B$81&lt;=100,SUM($B$82)&gt;=0,SUM($B$82)&lt;=1,SUM($B$83)&gt;=0)),IF(B432=0,0,IF(C432=0,B432/ROUND($B$81*12,0),B432*(C432/12)/(1-(1+C432/12)^(-ROUND($B$81*12,0))))),IF(AND(NOT(AND(32&gt;$B$173,$B$78="Refinance",ISNUMBER($B$80),$B$80&gt;=0,$B$80&lt;=1,ROUND($B$81*12,0)&gt;=1,$B$81&lt;=100,SUM($B$82)&gt;=0,SUM($B$82)&lt;=1,SUM($B$83)&gt;=0)),OR(32=1,32=$B$174+1,AND($B$175&gt;0,32=$B$175+1))),IF(AND($B$170=1,$B$66&gt;0,OR($B$175=0,32&lt;=$B$175)),$B$66,IF($B$172-MAX(32-1,$B$174)&gt;0,IF(B432=0,0,IF(C432=0,B432/($B$172-MAX(32-1,$B$174)),B432*(C432/12)/(1-(1+C432/12)^(-($B$172-MAX(32-1,$B$174)))))),"")),D431)))),""),""))</x:f>
        <x:v>4679.450723240598</x:v>
      </x:c>
      <x:c r="E432" s="440" t="n">
        <x:f>IF(AND(32=$B$173,ISNUMBER(D432)),IF(MAX(0,B432*(1+C432/12)-D432)&lt;MAX(0.0000001,$E$17*0.00000000001),0,MAX(0,B432*(1+C432/12)-D432)),0)</x:f>
        <x:v>0</x:v>
      </x:c>
      <x:c r="F432" s="440" t="n">
        <x:f>IF($B$78="Cash payoff",E432,0)</x:f>
        <x:v>0</x:v>
      </x:c>
      <x:c r="G432" s="440" t="n">
        <x:f>IF(AND(E432&gt;0,AND($B$78="Refinance",ISNUMBER($B$80),$B$80&gt;=0,$B$80&lt;=1,ROUND($B$81*12,0)&gt;=1,$B$81&lt;=100,SUM($B$82)&gt;=0,SUM($B$82)&lt;=1,SUM($B$83)&gt;=0)),E432*SUM($B$82)+SUM($B$83),0)</x:f>
        <x:v>0</x:v>
      </x:c>
      <x:c r="H432" s="440" t="n">
        <x:f>IF(ISNUMBER(D432),IF(MAX(0,B432*(1+C432/12)-D432-F432)&lt;MAX(0.0000001,$E$17*0.00000000001),0,MAX(0,B432*(1+C432/12)-D432-F432)),IF(AND($B$171=1,I431=1),B432,""))</x:f>
        <x:v>734960.5584595544</x:v>
      </x:c>
      <x:c r="I432" s="444" t="n">
        <x:f>IF(OR(I431=1,AND(E432&gt;0,$B$78&lt;&gt;"Cash payoff",NOT(AND($B$78="Refinance",ISNUMBER($B$80),$B$80&gt;=0,$B$80&lt;=1,ROUND($B$81*12,0)&gt;=1,$B$81&lt;=100,SUM($B$82)&gt;=0,SUM($B$82)&lt;=1,SUM($B$83)&gt;=0))),AND(ISNUMBER(B432),B432&gt;0,$B$171=1,NOT(ISNUMBER(D432)))),1,0)</x:f>
        <x:v>0</x:v>
      </x:c>
      <x:c r="J432" s="440" t="n">
        <x:f>IF(ISNUMBER(L431),L431,"")</x:f>
        <x:v>0</x:v>
      </x:c>
      <x:c r="K432" s="440" t="n">
        <x:f>IF(AND(ISNUMBER(J432),J432=0),0,IF(AND($B$176=1,ISNUMBER(J432)),MIN(J432*(1+$B$87/12),IF($B$86=0,0,IF($B$87=0,$B$86/ROUND($B$88*12,0),$B$86*($B$87/12)/(1-(1+$B$87/12)^(-ROUND($B$88*12,0)))))),""))</x:f>
        <x:v>0</x:v>
      </x:c>
      <x:c r="L432" s="440" t="n">
        <x:f>IF(ISNUMBER(K432),IF(MAX(0,J432*(1+SUM($B$87)/12)-K432)&lt;MAX(0.0000001,$B$86*0.00000000001),0,MAX(0,J432*(1+SUM($B$87)/12)-K432)),"")</x:f>
        <x:v>0</x:v>
      </x:c>
      <x:c r="M432" s="440" t="n">
        <x:f>IF(AND(ISNUMBER(D432),ISNUMBER(K432)),D432+K432,"")</x:f>
        <x:v>4679.450723240598</x:v>
      </x:c>
      <x:c r="N432" s="440" t="n">
        <x:f>IF(AND(ISNUMBER(H432),ISNUMBER(L432)),H432+L432,"")</x:f>
        <x:v>734960.5584595544</x:v>
      </x:c>
    </x:row>
    <x:row r="433" ht="22" customHeight="1">
      <x:c r="A433" s="254" t="n">
        <x:f>33</x:f>
        <x:v>33</x:v>
      </x:c>
      <x:c r="B433" s="440" t="n">
        <x:f>IF(ISNUMBER(H432),H432,"")</x:f>
        <x:v>734960.5584595544</x:v>
      </x:c>
      <x:c r="C433" s="442" t="n">
        <x:f>IF(ISNUMBER(B433),IF(AND(33&gt;$B$173,$B$78="Refinance",ISNUMBER($B$80),$B$80&gt;=0,$B$80&lt;=1,ROUND($B$81*12,0)&gt;=1,$B$81&lt;=100,SUM($B$82)&gt;=0,SUM($B$82)&lt;=1,SUM($B$83)&gt;=0),$B$80,IF(AND($B$175&gt;0,33&gt;$B$175,ISNUMBER($B$75)),$B$75,$B$61)),"")</x:f>
        <x:v>0.0625</x:v>
      </x:c>
      <x:c r="D433" s="440" t="n">
        <x:f>IF(AND(ISNUMBER(B433),B433=0),0,IF(AND($B$171=1,I432=0,ISNUMBER(C433),ISNUMBER(IF(AND(33&lt;=$B$174,33&lt;=$B$173),B433*C433/12,IF(AND(33=$B$173+1,AND(33&gt;$B$173,$B$78="Refinance",ISNUMBER($B$80),$B$80&gt;=0,$B$80&lt;=1,ROUND($B$81*12,0)&gt;=1,$B$81&lt;=100,SUM($B$82)&gt;=0,SUM($B$82)&lt;=1,SUM($B$83)&gt;=0)),IF(B433=0,0,IF(C433=0,B433/ROUND($B$81*12,0),B433*(C433/12)/(1-(1+C433/12)^(-ROUND($B$81*12,0))))),IF(AND(NOT(AND(33&gt;$B$173,$B$78="Refinance",ISNUMBER($B$80),$B$80&gt;=0,$B$80&lt;=1,ROUND($B$81*12,0)&gt;=1,$B$81&lt;=100,SUM($B$82)&gt;=0,SUM($B$82)&lt;=1,SUM($B$83)&gt;=0)),OR(33=1,33=$B$174+1,AND($B$175&gt;0,33=$B$175+1))),IF(AND($B$170=1,$B$66&gt;0,OR($B$175=0,33&lt;=$B$175)),$B$66,IF($B$172-MAX(33-1,$B$174)&gt;0,IF(B433=0,0,IF(C433=0,B433/($B$172-MAX(33-1,$B$174)),B433*(C433/12)/(1-(1+C433/12)^(-($B$172-MAX(33-1,$B$174)))))),"")),D432))))),IF(IF(AND(33&lt;=$B$174,33&lt;=$B$173),B433*C433/12,IF(AND(33=$B$173+1,AND(33&gt;$B$173,$B$78="Refinance",ISNUMBER($B$80),$B$80&gt;=0,$B$80&lt;=1,ROUND($B$81*12,0)&gt;=1,$B$81&lt;=100,SUM($B$82)&gt;=0,SUM($B$82)&lt;=1,SUM($B$83)&gt;=0)),IF(B433=0,0,IF(C433=0,B433/ROUND($B$81*12,0),B433*(C433/12)/(1-(1+C433/12)^(-ROUND($B$81*12,0))))),IF(AND(NOT(AND(33&gt;$B$173,$B$78="Refinance",ISNUMBER($B$80),$B$80&gt;=0,$B$80&lt;=1,ROUND($B$81*12,0)&gt;=1,$B$81&lt;=100,SUM($B$82)&gt;=0,SUM($B$82)&lt;=1,SUM($B$83)&gt;=0)),OR(33=1,33=$B$174+1,AND($B$175&gt;0,33=$B$175+1))),IF(AND($B$170=1,$B$66&gt;0,OR($B$175=0,33&lt;=$B$175)),$B$66,IF($B$172-MAX(33-1,$B$174)&gt;0,IF(B433=0,0,IF(C433=0,B433/($B$172-MAX(33-1,$B$174)),B433*(C433/12)/(1-(1+C433/12)^(-($B$172-MAX(33-1,$B$174)))))),"")),D432)))+0.0000001&gt;=B433*C433/12,MIN(B433*(1+C433/12),IF(AND(33&lt;=$B$174,33&lt;=$B$173),B433*C433/12,IF(AND(33=$B$173+1,AND(33&gt;$B$173,$B$78="Refinance",ISNUMBER($B$80),$B$80&gt;=0,$B$80&lt;=1,ROUND($B$81*12,0)&gt;=1,$B$81&lt;=100,SUM($B$82)&gt;=0,SUM($B$82)&lt;=1,SUM($B$83)&gt;=0)),IF(B433=0,0,IF(C433=0,B433/ROUND($B$81*12,0),B433*(C433/12)/(1-(1+C433/12)^(-ROUND($B$81*12,0))))),IF(AND(NOT(AND(33&gt;$B$173,$B$78="Refinance",ISNUMBER($B$80),$B$80&gt;=0,$B$80&lt;=1,ROUND($B$81*12,0)&gt;=1,$B$81&lt;=100,SUM($B$82)&gt;=0,SUM($B$82)&lt;=1,SUM($B$83)&gt;=0)),OR(33=1,33=$B$174+1,AND($B$175&gt;0,33=$B$175+1))),IF(AND($B$170=1,$B$66&gt;0,OR($B$175=0,33&lt;=$B$175)),$B$66,IF($B$172-MAX(33-1,$B$174)&gt;0,IF(B433=0,0,IF(C433=0,B433/($B$172-MAX(33-1,$B$174)),B433*(C433/12)/(1-(1+C433/12)^(-($B$172-MAX(33-1,$B$174)))))),"")),D432)))),""),""))</x:f>
        <x:v>4679.450723240598</x:v>
      </x:c>
      <x:c r="E433" s="440" t="n">
        <x:f>IF(AND(33=$B$173,ISNUMBER(D433)),IF(MAX(0,B433*(1+C433/12)-D433)&lt;MAX(0.0000001,$E$17*0.00000000001),0,MAX(0,B433*(1+C433/12)-D433)),0)</x:f>
        <x:v>0</x:v>
      </x:c>
      <x:c r="F433" s="440" t="n">
        <x:f>IF($B$78="Cash payoff",E433,0)</x:f>
        <x:v>0</x:v>
      </x:c>
      <x:c r="G433" s="440" t="n">
        <x:f>IF(AND(E433&gt;0,AND($B$78="Refinance",ISNUMBER($B$80),$B$80&gt;=0,$B$80&lt;=1,ROUND($B$81*12,0)&gt;=1,$B$81&lt;=100,SUM($B$82)&gt;=0,SUM($B$82)&lt;=1,SUM($B$83)&gt;=0)),E433*SUM($B$82)+SUM($B$83),0)</x:f>
        <x:v>0</x:v>
      </x:c>
      <x:c r="H433" s="440" t="n">
        <x:f>IF(ISNUMBER(D433),IF(MAX(0,B433*(1+C433/12)-D433-F433)&lt;MAX(0.0000001,$E$17*0.00000000001),0,MAX(0,B433*(1+C433/12)-D433-F433)),IF(AND($B$171=1,I432=1),B433,""))</x:f>
        <x:v>734109.0273116239</x:v>
      </x:c>
      <x:c r="I433" s="444" t="n">
        <x:f>IF(OR(I432=1,AND(E433&gt;0,$B$78&lt;&gt;"Cash payoff",NOT(AND($B$78="Refinance",ISNUMBER($B$80),$B$80&gt;=0,$B$80&lt;=1,ROUND($B$81*12,0)&gt;=1,$B$81&lt;=100,SUM($B$82)&gt;=0,SUM($B$82)&lt;=1,SUM($B$83)&gt;=0))),AND(ISNUMBER(B433),B433&gt;0,$B$171=1,NOT(ISNUMBER(D433)))),1,0)</x:f>
        <x:v>0</x:v>
      </x:c>
      <x:c r="J433" s="440" t="n">
        <x:f>IF(ISNUMBER(L432),L432,"")</x:f>
        <x:v>0</x:v>
      </x:c>
      <x:c r="K433" s="440" t="n">
        <x:f>IF(AND(ISNUMBER(J433),J433=0),0,IF(AND($B$176=1,ISNUMBER(J433)),MIN(J433*(1+$B$87/12),IF($B$86=0,0,IF($B$87=0,$B$86/ROUND($B$88*12,0),$B$86*($B$87/12)/(1-(1+$B$87/12)^(-ROUND($B$88*12,0)))))),""))</x:f>
        <x:v>0</x:v>
      </x:c>
      <x:c r="L433" s="440" t="n">
        <x:f>IF(ISNUMBER(K433),IF(MAX(0,J433*(1+SUM($B$87)/12)-K433)&lt;MAX(0.0000001,$B$86*0.00000000001),0,MAX(0,J433*(1+SUM($B$87)/12)-K433)),"")</x:f>
        <x:v>0</x:v>
      </x:c>
      <x:c r="M433" s="440" t="n">
        <x:f>IF(AND(ISNUMBER(D433),ISNUMBER(K433)),D433+K433,"")</x:f>
        <x:v>4679.450723240598</x:v>
      </x:c>
      <x:c r="N433" s="440" t="n">
        <x:f>IF(AND(ISNUMBER(H433),ISNUMBER(L433)),H433+L433,"")</x:f>
        <x:v>734109.0273116239</x:v>
      </x:c>
    </x:row>
    <x:row r="434" ht="22" customHeight="1">
      <x:c r="A434" s="254" t="n">
        <x:f>34</x:f>
        <x:v>34</x:v>
      </x:c>
      <x:c r="B434" s="440" t="n">
        <x:f>IF(ISNUMBER(H433),H433,"")</x:f>
        <x:v>734109.0273116239</x:v>
      </x:c>
      <x:c r="C434" s="442" t="n">
        <x:f>IF(ISNUMBER(B434),IF(AND(34&gt;$B$173,$B$78="Refinance",ISNUMBER($B$80),$B$80&gt;=0,$B$80&lt;=1,ROUND($B$81*12,0)&gt;=1,$B$81&lt;=100,SUM($B$82)&gt;=0,SUM($B$82)&lt;=1,SUM($B$83)&gt;=0),$B$80,IF(AND($B$175&gt;0,34&gt;$B$175,ISNUMBER($B$75)),$B$75,$B$61)),"")</x:f>
        <x:v>0.0625</x:v>
      </x:c>
      <x:c r="D434" s="440" t="n">
        <x:f>IF(AND(ISNUMBER(B434),B434=0),0,IF(AND($B$171=1,I433=0,ISNUMBER(C434),ISNUMBER(IF(AND(34&lt;=$B$174,34&lt;=$B$173),B434*C434/12,IF(AND(34=$B$173+1,AND(34&gt;$B$173,$B$78="Refinance",ISNUMBER($B$80),$B$80&gt;=0,$B$80&lt;=1,ROUND($B$81*12,0)&gt;=1,$B$81&lt;=100,SUM($B$82)&gt;=0,SUM($B$82)&lt;=1,SUM($B$83)&gt;=0)),IF(B434=0,0,IF(C434=0,B434/ROUND($B$81*12,0),B434*(C434/12)/(1-(1+C434/12)^(-ROUND($B$81*12,0))))),IF(AND(NOT(AND(34&gt;$B$173,$B$78="Refinance",ISNUMBER($B$80),$B$80&gt;=0,$B$80&lt;=1,ROUND($B$81*12,0)&gt;=1,$B$81&lt;=100,SUM($B$82)&gt;=0,SUM($B$82)&lt;=1,SUM($B$83)&gt;=0)),OR(34=1,34=$B$174+1,AND($B$175&gt;0,34=$B$175+1))),IF(AND($B$170=1,$B$66&gt;0,OR($B$175=0,34&lt;=$B$175)),$B$66,IF($B$172-MAX(34-1,$B$174)&gt;0,IF(B434=0,0,IF(C434=0,B434/($B$172-MAX(34-1,$B$174)),B434*(C434/12)/(1-(1+C434/12)^(-($B$172-MAX(34-1,$B$174)))))),"")),D433))))),IF(IF(AND(34&lt;=$B$174,34&lt;=$B$173),B434*C434/12,IF(AND(34=$B$173+1,AND(34&gt;$B$173,$B$78="Refinance",ISNUMBER($B$80),$B$80&gt;=0,$B$80&lt;=1,ROUND($B$81*12,0)&gt;=1,$B$81&lt;=100,SUM($B$82)&gt;=0,SUM($B$82)&lt;=1,SUM($B$83)&gt;=0)),IF(B434=0,0,IF(C434=0,B434/ROUND($B$81*12,0),B434*(C434/12)/(1-(1+C434/12)^(-ROUND($B$81*12,0))))),IF(AND(NOT(AND(34&gt;$B$173,$B$78="Refinance",ISNUMBER($B$80),$B$80&gt;=0,$B$80&lt;=1,ROUND($B$81*12,0)&gt;=1,$B$81&lt;=100,SUM($B$82)&gt;=0,SUM($B$82)&lt;=1,SUM($B$83)&gt;=0)),OR(34=1,34=$B$174+1,AND($B$175&gt;0,34=$B$175+1))),IF(AND($B$170=1,$B$66&gt;0,OR($B$175=0,34&lt;=$B$175)),$B$66,IF($B$172-MAX(34-1,$B$174)&gt;0,IF(B434=0,0,IF(C434=0,B434/($B$172-MAX(34-1,$B$174)),B434*(C434/12)/(1-(1+C434/12)^(-($B$172-MAX(34-1,$B$174)))))),"")),D433)))+0.0000001&gt;=B434*C434/12,MIN(B434*(1+C434/12),IF(AND(34&lt;=$B$174,34&lt;=$B$173),B434*C434/12,IF(AND(34=$B$173+1,AND(34&gt;$B$173,$B$78="Refinance",ISNUMBER($B$80),$B$80&gt;=0,$B$80&lt;=1,ROUND($B$81*12,0)&gt;=1,$B$81&lt;=100,SUM($B$82)&gt;=0,SUM($B$82)&lt;=1,SUM($B$83)&gt;=0)),IF(B434=0,0,IF(C434=0,B434/ROUND($B$81*12,0),B434*(C434/12)/(1-(1+C434/12)^(-ROUND($B$81*12,0))))),IF(AND(NOT(AND(34&gt;$B$173,$B$78="Refinance",ISNUMBER($B$80),$B$80&gt;=0,$B$80&lt;=1,ROUND($B$81*12,0)&gt;=1,$B$81&lt;=100,SUM($B$82)&gt;=0,SUM($B$82)&lt;=1,SUM($B$83)&gt;=0)),OR(34=1,34=$B$174+1,AND($B$175&gt;0,34=$B$175+1))),IF(AND($B$170=1,$B$66&gt;0,OR($B$175=0,34&lt;=$B$175)),$B$66,IF($B$172-MAX(34-1,$B$174)&gt;0,IF(B434=0,0,IF(C434=0,B434/($B$172-MAX(34-1,$B$174)),B434*(C434/12)/(1-(1+C434/12)^(-($B$172-MAX(34-1,$B$174)))))),"")),D433)))),""),""))</x:f>
        <x:v>4679.450723240598</x:v>
      </x:c>
      <x:c r="E434" s="440" t="n">
        <x:f>IF(AND(34=$B$173,ISNUMBER(D434)),IF(MAX(0,B434*(1+C434/12)-D434)&lt;MAX(0.0000001,$E$17*0.00000000001),0,MAX(0,B434*(1+C434/12)-D434)),0)</x:f>
        <x:v>0</x:v>
      </x:c>
      <x:c r="F434" s="440" t="n">
        <x:f>IF($B$78="Cash payoff",E434,0)</x:f>
        <x:v>0</x:v>
      </x:c>
      <x:c r="G434" s="440" t="n">
        <x:f>IF(AND(E434&gt;0,AND($B$78="Refinance",ISNUMBER($B$80),$B$80&gt;=0,$B$80&lt;=1,ROUND($B$81*12,0)&gt;=1,$B$81&lt;=100,SUM($B$82)&gt;=0,SUM($B$82)&lt;=1,SUM($B$83)&gt;=0)),E434*SUM($B$82)+SUM($B$83),0)</x:f>
        <x:v>0</x:v>
      </x:c>
      <x:c r="H434" s="440" t="n">
        <x:f>IF(ISNUMBER(D434),IF(MAX(0,B434*(1+C434/12)-D434-F434)&lt;MAX(0.0000001,$E$17*0.00000000001),0,MAX(0,B434*(1+C434/12)-D434-F434)),IF(AND($B$171=1,I433=1),B434,""))</x:f>
        <x:v>733253.0611056313</x:v>
      </x:c>
      <x:c r="I434" s="444" t="n">
        <x:f>IF(OR(I433=1,AND(E434&gt;0,$B$78&lt;&gt;"Cash payoff",NOT(AND($B$78="Refinance",ISNUMBER($B$80),$B$80&gt;=0,$B$80&lt;=1,ROUND($B$81*12,0)&gt;=1,$B$81&lt;=100,SUM($B$82)&gt;=0,SUM($B$82)&lt;=1,SUM($B$83)&gt;=0))),AND(ISNUMBER(B434),B434&gt;0,$B$171=1,NOT(ISNUMBER(D434)))),1,0)</x:f>
        <x:v>0</x:v>
      </x:c>
      <x:c r="J434" s="440" t="n">
        <x:f>IF(ISNUMBER(L433),L433,"")</x:f>
        <x:v>0</x:v>
      </x:c>
      <x:c r="K434" s="440" t="n">
        <x:f>IF(AND(ISNUMBER(J434),J434=0),0,IF(AND($B$176=1,ISNUMBER(J434)),MIN(J434*(1+$B$87/12),IF($B$86=0,0,IF($B$87=0,$B$86/ROUND($B$88*12,0),$B$86*($B$87/12)/(1-(1+$B$87/12)^(-ROUND($B$88*12,0)))))),""))</x:f>
        <x:v>0</x:v>
      </x:c>
      <x:c r="L434" s="440" t="n">
        <x:f>IF(ISNUMBER(K434),IF(MAX(0,J434*(1+SUM($B$87)/12)-K434)&lt;MAX(0.0000001,$B$86*0.00000000001),0,MAX(0,J434*(1+SUM($B$87)/12)-K434)),"")</x:f>
        <x:v>0</x:v>
      </x:c>
      <x:c r="M434" s="440" t="n">
        <x:f>IF(AND(ISNUMBER(D434),ISNUMBER(K434)),D434+K434,"")</x:f>
        <x:v>4679.450723240598</x:v>
      </x:c>
      <x:c r="N434" s="440" t="n">
        <x:f>IF(AND(ISNUMBER(H434),ISNUMBER(L434)),H434+L434,"")</x:f>
        <x:v>733253.0611056313</x:v>
      </x:c>
    </x:row>
    <x:row r="435" ht="22" customHeight="1">
      <x:c r="A435" s="254" t="n">
        <x:f>35</x:f>
        <x:v>35</x:v>
      </x:c>
      <x:c r="B435" s="440" t="n">
        <x:f>IF(ISNUMBER(H434),H434,"")</x:f>
        <x:v>733253.0611056313</x:v>
      </x:c>
      <x:c r="C435" s="442" t="n">
        <x:f>IF(ISNUMBER(B435),IF(AND(35&gt;$B$173,$B$78="Refinance",ISNUMBER($B$80),$B$80&gt;=0,$B$80&lt;=1,ROUND($B$81*12,0)&gt;=1,$B$81&lt;=100,SUM($B$82)&gt;=0,SUM($B$82)&lt;=1,SUM($B$83)&gt;=0),$B$80,IF(AND($B$175&gt;0,35&gt;$B$175,ISNUMBER($B$75)),$B$75,$B$61)),"")</x:f>
        <x:v>0.0625</x:v>
      </x:c>
      <x:c r="D435" s="440" t="n">
        <x:f>IF(AND(ISNUMBER(B435),B435=0),0,IF(AND($B$171=1,I434=0,ISNUMBER(C435),ISNUMBER(IF(AND(35&lt;=$B$174,35&lt;=$B$173),B435*C435/12,IF(AND(35=$B$173+1,AND(35&gt;$B$173,$B$78="Refinance",ISNUMBER($B$80),$B$80&gt;=0,$B$80&lt;=1,ROUND($B$81*12,0)&gt;=1,$B$81&lt;=100,SUM($B$82)&gt;=0,SUM($B$82)&lt;=1,SUM($B$83)&gt;=0)),IF(B435=0,0,IF(C435=0,B435/ROUND($B$81*12,0),B435*(C435/12)/(1-(1+C435/12)^(-ROUND($B$81*12,0))))),IF(AND(NOT(AND(35&gt;$B$173,$B$78="Refinance",ISNUMBER($B$80),$B$80&gt;=0,$B$80&lt;=1,ROUND($B$81*12,0)&gt;=1,$B$81&lt;=100,SUM($B$82)&gt;=0,SUM($B$82)&lt;=1,SUM($B$83)&gt;=0)),OR(35=1,35=$B$174+1,AND($B$175&gt;0,35=$B$175+1))),IF(AND($B$170=1,$B$66&gt;0,OR($B$175=0,35&lt;=$B$175)),$B$66,IF($B$172-MAX(35-1,$B$174)&gt;0,IF(B435=0,0,IF(C435=0,B435/($B$172-MAX(35-1,$B$174)),B435*(C435/12)/(1-(1+C435/12)^(-($B$172-MAX(35-1,$B$174)))))),"")),D434))))),IF(IF(AND(35&lt;=$B$174,35&lt;=$B$173),B435*C435/12,IF(AND(35=$B$173+1,AND(35&gt;$B$173,$B$78="Refinance",ISNUMBER($B$80),$B$80&gt;=0,$B$80&lt;=1,ROUND($B$81*12,0)&gt;=1,$B$81&lt;=100,SUM($B$82)&gt;=0,SUM($B$82)&lt;=1,SUM($B$83)&gt;=0)),IF(B435=0,0,IF(C435=0,B435/ROUND($B$81*12,0),B435*(C435/12)/(1-(1+C435/12)^(-ROUND($B$81*12,0))))),IF(AND(NOT(AND(35&gt;$B$173,$B$78="Refinance",ISNUMBER($B$80),$B$80&gt;=0,$B$80&lt;=1,ROUND($B$81*12,0)&gt;=1,$B$81&lt;=100,SUM($B$82)&gt;=0,SUM($B$82)&lt;=1,SUM($B$83)&gt;=0)),OR(35=1,35=$B$174+1,AND($B$175&gt;0,35=$B$175+1))),IF(AND($B$170=1,$B$66&gt;0,OR($B$175=0,35&lt;=$B$175)),$B$66,IF($B$172-MAX(35-1,$B$174)&gt;0,IF(B435=0,0,IF(C435=0,B435/($B$172-MAX(35-1,$B$174)),B435*(C435/12)/(1-(1+C435/12)^(-($B$172-MAX(35-1,$B$174)))))),"")),D434)))+0.0000001&gt;=B435*C435/12,MIN(B435*(1+C435/12),IF(AND(35&lt;=$B$174,35&lt;=$B$173),B435*C435/12,IF(AND(35=$B$173+1,AND(35&gt;$B$173,$B$78="Refinance",ISNUMBER($B$80),$B$80&gt;=0,$B$80&lt;=1,ROUND($B$81*12,0)&gt;=1,$B$81&lt;=100,SUM($B$82)&gt;=0,SUM($B$82)&lt;=1,SUM($B$83)&gt;=0)),IF(B435=0,0,IF(C435=0,B435/ROUND($B$81*12,0),B435*(C435/12)/(1-(1+C435/12)^(-ROUND($B$81*12,0))))),IF(AND(NOT(AND(35&gt;$B$173,$B$78="Refinance",ISNUMBER($B$80),$B$80&gt;=0,$B$80&lt;=1,ROUND($B$81*12,0)&gt;=1,$B$81&lt;=100,SUM($B$82)&gt;=0,SUM($B$82)&lt;=1,SUM($B$83)&gt;=0)),OR(35=1,35=$B$174+1,AND($B$175&gt;0,35=$B$175+1))),IF(AND($B$170=1,$B$66&gt;0,OR($B$175=0,35&lt;=$B$175)),$B$66,IF($B$172-MAX(35-1,$B$174)&gt;0,IF(B435=0,0,IF(C435=0,B435/($B$172-MAX(35-1,$B$174)),B435*(C435/12)/(1-(1+C435/12)^(-($B$172-MAX(35-1,$B$174)))))),"")),D434)))),""),""))</x:f>
        <x:v>4679.450723240598</x:v>
      </x:c>
      <x:c r="E435" s="440" t="n">
        <x:f>IF(AND(35=$B$173,ISNUMBER(D435)),IF(MAX(0,B435*(1+C435/12)-D435)&lt;MAX(0.0000001,$E$17*0.00000000001),0,MAX(0,B435*(1+C435/12)-D435)),0)</x:f>
        <x:v>0</x:v>
      </x:c>
      <x:c r="F435" s="440" t="n">
        <x:f>IF($B$78="Cash payoff",E435,0)</x:f>
        <x:v>0</x:v>
      </x:c>
      <x:c r="G435" s="440" t="n">
        <x:f>IF(AND(E435&gt;0,AND($B$78="Refinance",ISNUMBER($B$80),$B$80&gt;=0,$B$80&lt;=1,ROUND($B$81*12,0)&gt;=1,$B$81&lt;=100,SUM($B$82)&gt;=0,SUM($B$82)&lt;=1,SUM($B$83)&gt;=0)),E435*SUM($B$82)+SUM($B$83),0)</x:f>
        <x:v>0</x:v>
      </x:c>
      <x:c r="H435" s="440" t="n">
        <x:f>IF(ISNUMBER(D435),IF(MAX(0,B435*(1+C435/12)-D435-F435)&lt;MAX(0.0000001,$E$17*0.00000000001),0,MAX(0,B435*(1+C435/12)-D435-F435)),IF(AND($B$171=1,I434=1),B435,""))</x:f>
        <x:v>732392.6367423158</x:v>
      </x:c>
      <x:c r="I435" s="444" t="n">
        <x:f>IF(OR(I434=1,AND(E435&gt;0,$B$78&lt;&gt;"Cash payoff",NOT(AND($B$78="Refinance",ISNUMBER($B$80),$B$80&gt;=0,$B$80&lt;=1,ROUND($B$81*12,0)&gt;=1,$B$81&lt;=100,SUM($B$82)&gt;=0,SUM($B$82)&lt;=1,SUM($B$83)&gt;=0))),AND(ISNUMBER(B435),B435&gt;0,$B$171=1,NOT(ISNUMBER(D435)))),1,0)</x:f>
        <x:v>0</x:v>
      </x:c>
      <x:c r="J435" s="440" t="n">
        <x:f>IF(ISNUMBER(L434),L434,"")</x:f>
        <x:v>0</x:v>
      </x:c>
      <x:c r="K435" s="440" t="n">
        <x:f>IF(AND(ISNUMBER(J435),J435=0),0,IF(AND($B$176=1,ISNUMBER(J435)),MIN(J435*(1+$B$87/12),IF($B$86=0,0,IF($B$87=0,$B$86/ROUND($B$88*12,0),$B$86*($B$87/12)/(1-(1+$B$87/12)^(-ROUND($B$88*12,0)))))),""))</x:f>
        <x:v>0</x:v>
      </x:c>
      <x:c r="L435" s="440" t="n">
        <x:f>IF(ISNUMBER(K435),IF(MAX(0,J435*(1+SUM($B$87)/12)-K435)&lt;MAX(0.0000001,$B$86*0.00000000001),0,MAX(0,J435*(1+SUM($B$87)/12)-K435)),"")</x:f>
        <x:v>0</x:v>
      </x:c>
      <x:c r="M435" s="440" t="n">
        <x:f>IF(AND(ISNUMBER(D435),ISNUMBER(K435)),D435+K435,"")</x:f>
        <x:v>4679.450723240598</x:v>
      </x:c>
      <x:c r="N435" s="440" t="n">
        <x:f>IF(AND(ISNUMBER(H435),ISNUMBER(L435)),H435+L435,"")</x:f>
        <x:v>732392.6367423158</x:v>
      </x:c>
    </x:row>
    <x:row r="436" ht="22" customHeight="1">
      <x:c r="A436" s="254" t="n">
        <x:f>36</x:f>
        <x:v>36</x:v>
      </x:c>
      <x:c r="B436" s="440" t="n">
        <x:f>IF(ISNUMBER(H435),H435,"")</x:f>
        <x:v>732392.6367423158</x:v>
      </x:c>
      <x:c r="C436" s="442" t="n">
        <x:f>IF(ISNUMBER(B436),IF(AND(36&gt;$B$173,$B$78="Refinance",ISNUMBER($B$80),$B$80&gt;=0,$B$80&lt;=1,ROUND($B$81*12,0)&gt;=1,$B$81&lt;=100,SUM($B$82)&gt;=0,SUM($B$82)&lt;=1,SUM($B$83)&gt;=0),$B$80,IF(AND($B$175&gt;0,36&gt;$B$175,ISNUMBER($B$75)),$B$75,$B$61)),"")</x:f>
        <x:v>0.0625</x:v>
      </x:c>
      <x:c r="D436" s="440" t="n">
        <x:f>IF(AND(ISNUMBER(B436),B436=0),0,IF(AND($B$171=1,I435=0,ISNUMBER(C436),ISNUMBER(IF(AND(36&lt;=$B$174,36&lt;=$B$173),B436*C436/12,IF(AND(36=$B$173+1,AND(36&gt;$B$173,$B$78="Refinance",ISNUMBER($B$80),$B$80&gt;=0,$B$80&lt;=1,ROUND($B$81*12,0)&gt;=1,$B$81&lt;=100,SUM($B$82)&gt;=0,SUM($B$82)&lt;=1,SUM($B$83)&gt;=0)),IF(B436=0,0,IF(C436=0,B436/ROUND($B$81*12,0),B436*(C436/12)/(1-(1+C436/12)^(-ROUND($B$81*12,0))))),IF(AND(NOT(AND(36&gt;$B$173,$B$78="Refinance",ISNUMBER($B$80),$B$80&gt;=0,$B$80&lt;=1,ROUND($B$81*12,0)&gt;=1,$B$81&lt;=100,SUM($B$82)&gt;=0,SUM($B$82)&lt;=1,SUM($B$83)&gt;=0)),OR(36=1,36=$B$174+1,AND($B$175&gt;0,36=$B$175+1))),IF(AND($B$170=1,$B$66&gt;0,OR($B$175=0,36&lt;=$B$175)),$B$66,IF($B$172-MAX(36-1,$B$174)&gt;0,IF(B436=0,0,IF(C436=0,B436/($B$172-MAX(36-1,$B$174)),B436*(C436/12)/(1-(1+C436/12)^(-($B$172-MAX(36-1,$B$174)))))),"")),D435))))),IF(IF(AND(36&lt;=$B$174,36&lt;=$B$173),B436*C436/12,IF(AND(36=$B$173+1,AND(36&gt;$B$173,$B$78="Refinance",ISNUMBER($B$80),$B$80&gt;=0,$B$80&lt;=1,ROUND($B$81*12,0)&gt;=1,$B$81&lt;=100,SUM($B$82)&gt;=0,SUM($B$82)&lt;=1,SUM($B$83)&gt;=0)),IF(B436=0,0,IF(C436=0,B436/ROUND($B$81*12,0),B436*(C436/12)/(1-(1+C436/12)^(-ROUND($B$81*12,0))))),IF(AND(NOT(AND(36&gt;$B$173,$B$78="Refinance",ISNUMBER($B$80),$B$80&gt;=0,$B$80&lt;=1,ROUND($B$81*12,0)&gt;=1,$B$81&lt;=100,SUM($B$82)&gt;=0,SUM($B$82)&lt;=1,SUM($B$83)&gt;=0)),OR(36=1,36=$B$174+1,AND($B$175&gt;0,36=$B$175+1))),IF(AND($B$170=1,$B$66&gt;0,OR($B$175=0,36&lt;=$B$175)),$B$66,IF($B$172-MAX(36-1,$B$174)&gt;0,IF(B436=0,0,IF(C436=0,B436/($B$172-MAX(36-1,$B$174)),B436*(C436/12)/(1-(1+C436/12)^(-($B$172-MAX(36-1,$B$174)))))),"")),D435)))+0.0000001&gt;=B436*C436/12,MIN(B436*(1+C436/12),IF(AND(36&lt;=$B$174,36&lt;=$B$173),B436*C436/12,IF(AND(36=$B$173+1,AND(36&gt;$B$173,$B$78="Refinance",ISNUMBER($B$80),$B$80&gt;=0,$B$80&lt;=1,ROUND($B$81*12,0)&gt;=1,$B$81&lt;=100,SUM($B$82)&gt;=0,SUM($B$82)&lt;=1,SUM($B$83)&gt;=0)),IF(B436=0,0,IF(C436=0,B436/ROUND($B$81*12,0),B436*(C436/12)/(1-(1+C436/12)^(-ROUND($B$81*12,0))))),IF(AND(NOT(AND(36&gt;$B$173,$B$78="Refinance",ISNUMBER($B$80),$B$80&gt;=0,$B$80&lt;=1,ROUND($B$81*12,0)&gt;=1,$B$81&lt;=100,SUM($B$82)&gt;=0,SUM($B$82)&lt;=1,SUM($B$83)&gt;=0)),OR(36=1,36=$B$174+1,AND($B$175&gt;0,36=$B$175+1))),IF(AND($B$170=1,$B$66&gt;0,OR($B$175=0,36&lt;=$B$175)),$B$66,IF($B$172-MAX(36-1,$B$174)&gt;0,IF(B436=0,0,IF(C436=0,B436/($B$172-MAX(36-1,$B$174)),B436*(C436/12)/(1-(1+C436/12)^(-($B$172-MAX(36-1,$B$174)))))),"")),D435)))),""),""))</x:f>
        <x:v>4679.450723240598</x:v>
      </x:c>
      <x:c r="E436" s="440" t="n">
        <x:f>IF(AND(36=$B$173,ISNUMBER(D436)),IF(MAX(0,B436*(1+C436/12)-D436)&lt;MAX(0.0000001,$E$17*0.00000000001),0,MAX(0,B436*(1+C436/12)-D436)),0)</x:f>
        <x:v>0</x:v>
      </x:c>
      <x:c r="F436" s="440" t="n">
        <x:f>IF($B$78="Cash payoff",E436,0)</x:f>
        <x:v>0</x:v>
      </x:c>
      <x:c r="G436" s="440" t="n">
        <x:f>IF(AND(E436&gt;0,AND($B$78="Refinance",ISNUMBER($B$80),$B$80&gt;=0,$B$80&lt;=1,ROUND($B$81*12,0)&gt;=1,$B$81&lt;=100,SUM($B$82)&gt;=0,SUM($B$82)&lt;=1,SUM($B$83)&gt;=0)),E436*SUM($B$82)+SUM($B$83),0)</x:f>
        <x:v>0</x:v>
      </x:c>
      <x:c r="H436" s="440" t="n">
        <x:f>IF(ISNUMBER(D436),IF(MAX(0,B436*(1+C436/12)-D436-F436)&lt;MAX(0.0000001,$E$17*0.00000000001),0,MAX(0,B436*(1+C436/12)-D436-F436)),IF(AND($B$171=1,I435=1),B436,""))</x:f>
        <x:v>731527.7310021081</x:v>
      </x:c>
      <x:c r="I436" s="444" t="n">
        <x:f>IF(OR(I435=1,AND(E436&gt;0,$B$78&lt;&gt;"Cash payoff",NOT(AND($B$78="Refinance",ISNUMBER($B$80),$B$80&gt;=0,$B$80&lt;=1,ROUND($B$81*12,0)&gt;=1,$B$81&lt;=100,SUM($B$82)&gt;=0,SUM($B$82)&lt;=1,SUM($B$83)&gt;=0))),AND(ISNUMBER(B436),B436&gt;0,$B$171=1,NOT(ISNUMBER(D436)))),1,0)</x:f>
        <x:v>0</x:v>
      </x:c>
      <x:c r="J436" s="440" t="n">
        <x:f>IF(ISNUMBER(L435),L435,"")</x:f>
        <x:v>0</x:v>
      </x:c>
      <x:c r="K436" s="440" t="n">
        <x:f>IF(AND(ISNUMBER(J436),J436=0),0,IF(AND($B$176=1,ISNUMBER(J436)),MIN(J436*(1+$B$87/12),IF($B$86=0,0,IF($B$87=0,$B$86/ROUND($B$88*12,0),$B$86*($B$87/12)/(1-(1+$B$87/12)^(-ROUND($B$88*12,0)))))),""))</x:f>
        <x:v>0</x:v>
      </x:c>
      <x:c r="L436" s="440" t="n">
        <x:f>IF(ISNUMBER(K436),IF(MAX(0,J436*(1+SUM($B$87)/12)-K436)&lt;MAX(0.0000001,$B$86*0.00000000001),0,MAX(0,J436*(1+SUM($B$87)/12)-K436)),"")</x:f>
        <x:v>0</x:v>
      </x:c>
      <x:c r="M436" s="440" t="n">
        <x:f>IF(AND(ISNUMBER(D436),ISNUMBER(K436)),D436+K436,"")</x:f>
        <x:v>4679.450723240598</x:v>
      </x:c>
      <x:c r="N436" s="440" t="n">
        <x:f>IF(AND(ISNUMBER(H436),ISNUMBER(L436)),H436+L436,"")</x:f>
        <x:v>731527.7310021081</x:v>
      </x:c>
    </x:row>
    <x:row r="437" ht="22" customHeight="1">
      <x:c r="A437" s="254" t="n">
        <x:f>37</x:f>
        <x:v>37</x:v>
      </x:c>
      <x:c r="B437" s="440" t="n">
        <x:f>IF(ISNUMBER(H436),H436,"")</x:f>
        <x:v>731527.7310021081</x:v>
      </x:c>
      <x:c r="C437" s="442" t="n">
        <x:f>IF(ISNUMBER(B437),IF(AND(37&gt;$B$173,$B$78="Refinance",ISNUMBER($B$80),$B$80&gt;=0,$B$80&lt;=1,ROUND($B$81*12,0)&gt;=1,$B$81&lt;=100,SUM($B$82)&gt;=0,SUM($B$82)&lt;=1,SUM($B$83)&gt;=0),$B$80,IF(AND($B$175&gt;0,37&gt;$B$175,ISNUMBER($B$75)),$B$75,$B$61)),"")</x:f>
        <x:v>0.0625</x:v>
      </x:c>
      <x:c r="D437" s="440" t="n">
        <x:f>IF(AND(ISNUMBER(B437),B437=0),0,IF(AND($B$171=1,I436=0,ISNUMBER(C437),ISNUMBER(IF(AND(37&lt;=$B$174,37&lt;=$B$173),B437*C437/12,IF(AND(37=$B$173+1,AND(37&gt;$B$173,$B$78="Refinance",ISNUMBER($B$80),$B$80&gt;=0,$B$80&lt;=1,ROUND($B$81*12,0)&gt;=1,$B$81&lt;=100,SUM($B$82)&gt;=0,SUM($B$82)&lt;=1,SUM($B$83)&gt;=0)),IF(B437=0,0,IF(C437=0,B437/ROUND($B$81*12,0),B437*(C437/12)/(1-(1+C437/12)^(-ROUND($B$81*12,0))))),IF(AND(NOT(AND(37&gt;$B$173,$B$78="Refinance",ISNUMBER($B$80),$B$80&gt;=0,$B$80&lt;=1,ROUND($B$81*12,0)&gt;=1,$B$81&lt;=100,SUM($B$82)&gt;=0,SUM($B$82)&lt;=1,SUM($B$83)&gt;=0)),OR(37=1,37=$B$174+1,AND($B$175&gt;0,37=$B$175+1))),IF(AND($B$170=1,$B$66&gt;0,OR($B$175=0,37&lt;=$B$175)),$B$66,IF($B$172-MAX(37-1,$B$174)&gt;0,IF(B437=0,0,IF(C437=0,B437/($B$172-MAX(37-1,$B$174)),B437*(C437/12)/(1-(1+C437/12)^(-($B$172-MAX(37-1,$B$174)))))),"")),D436))))),IF(IF(AND(37&lt;=$B$174,37&lt;=$B$173),B437*C437/12,IF(AND(37=$B$173+1,AND(37&gt;$B$173,$B$78="Refinance",ISNUMBER($B$80),$B$80&gt;=0,$B$80&lt;=1,ROUND($B$81*12,0)&gt;=1,$B$81&lt;=100,SUM($B$82)&gt;=0,SUM($B$82)&lt;=1,SUM($B$83)&gt;=0)),IF(B437=0,0,IF(C437=0,B437/ROUND($B$81*12,0),B437*(C437/12)/(1-(1+C437/12)^(-ROUND($B$81*12,0))))),IF(AND(NOT(AND(37&gt;$B$173,$B$78="Refinance",ISNUMBER($B$80),$B$80&gt;=0,$B$80&lt;=1,ROUND($B$81*12,0)&gt;=1,$B$81&lt;=100,SUM($B$82)&gt;=0,SUM($B$82)&lt;=1,SUM($B$83)&gt;=0)),OR(37=1,37=$B$174+1,AND($B$175&gt;0,37=$B$175+1))),IF(AND($B$170=1,$B$66&gt;0,OR($B$175=0,37&lt;=$B$175)),$B$66,IF($B$172-MAX(37-1,$B$174)&gt;0,IF(B437=0,0,IF(C437=0,B437/($B$172-MAX(37-1,$B$174)),B437*(C437/12)/(1-(1+C437/12)^(-($B$172-MAX(37-1,$B$174)))))),"")),D436)))+0.0000001&gt;=B437*C437/12,MIN(B437*(1+C437/12),IF(AND(37&lt;=$B$174,37&lt;=$B$173),B437*C437/12,IF(AND(37=$B$173+1,AND(37&gt;$B$173,$B$78="Refinance",ISNUMBER($B$80),$B$80&gt;=0,$B$80&lt;=1,ROUND($B$81*12,0)&gt;=1,$B$81&lt;=100,SUM($B$82)&gt;=0,SUM($B$82)&lt;=1,SUM($B$83)&gt;=0)),IF(B437=0,0,IF(C437=0,B437/ROUND($B$81*12,0),B437*(C437/12)/(1-(1+C437/12)^(-ROUND($B$81*12,0))))),IF(AND(NOT(AND(37&gt;$B$173,$B$78="Refinance",ISNUMBER($B$80),$B$80&gt;=0,$B$80&lt;=1,ROUND($B$81*12,0)&gt;=1,$B$81&lt;=100,SUM($B$82)&gt;=0,SUM($B$82)&lt;=1,SUM($B$83)&gt;=0)),OR(37=1,37=$B$174+1,AND($B$175&gt;0,37=$B$175+1))),IF(AND($B$170=1,$B$66&gt;0,OR($B$175=0,37&lt;=$B$175)),$B$66,IF($B$172-MAX(37-1,$B$174)&gt;0,IF(B437=0,0,IF(C437=0,B437/($B$172-MAX(37-1,$B$174)),B437*(C437/12)/(1-(1+C437/12)^(-($B$172-MAX(37-1,$B$174)))))),"")),D436)))),""),""))</x:f>
        <x:v>4679.450723240598</x:v>
      </x:c>
      <x:c r="E437" s="440" t="n">
        <x:f>IF(AND(37=$B$173,ISNUMBER(D437)),IF(MAX(0,B437*(1+C437/12)-D437)&lt;MAX(0.0000001,$E$17*0.00000000001),0,MAX(0,B437*(1+C437/12)-D437)),0)</x:f>
        <x:v>0</x:v>
      </x:c>
      <x:c r="F437" s="440" t="n">
        <x:f>IF($B$78="Cash payoff",E437,0)</x:f>
        <x:v>0</x:v>
      </x:c>
      <x:c r="G437" s="440" t="n">
        <x:f>IF(AND(E437&gt;0,AND($B$78="Refinance",ISNUMBER($B$80),$B$80&gt;=0,$B$80&lt;=1,ROUND($B$81*12,0)&gt;=1,$B$81&lt;=100,SUM($B$82)&gt;=0,SUM($B$82)&lt;=1,SUM($B$83)&gt;=0)),E437*SUM($B$82)+SUM($B$83),0)</x:f>
        <x:v>0</x:v>
      </x:c>
      <x:c r="H437" s="440" t="n">
        <x:f>IF(ISNUMBER(D437),IF(MAX(0,B437*(1+C437/12)-D437-F437)&lt;MAX(0.0000001,$E$17*0.00000000001),0,MAX(0,B437*(1+C437/12)-D437-F437)),IF(AND($B$171=1,I436=1),B437,""))</x:f>
        <x:v>730658.3205445034</x:v>
      </x:c>
      <x:c r="I437" s="444" t="n">
        <x:f>IF(OR(I436=1,AND(E437&gt;0,$B$78&lt;&gt;"Cash payoff",NOT(AND($B$78="Refinance",ISNUMBER($B$80),$B$80&gt;=0,$B$80&lt;=1,ROUND($B$81*12,0)&gt;=1,$B$81&lt;=100,SUM($B$82)&gt;=0,SUM($B$82)&lt;=1,SUM($B$83)&gt;=0))),AND(ISNUMBER(B437),B437&gt;0,$B$171=1,NOT(ISNUMBER(D437)))),1,0)</x:f>
        <x:v>0</x:v>
      </x:c>
      <x:c r="J437" s="440" t="n">
        <x:f>IF(ISNUMBER(L436),L436,"")</x:f>
        <x:v>0</x:v>
      </x:c>
      <x:c r="K437" s="440" t="n">
        <x:f>IF(AND(ISNUMBER(J437),J437=0),0,IF(AND($B$176=1,ISNUMBER(J437)),MIN(J437*(1+$B$87/12),IF($B$86=0,0,IF($B$87=0,$B$86/ROUND($B$88*12,0),$B$86*($B$87/12)/(1-(1+$B$87/12)^(-ROUND($B$88*12,0)))))),""))</x:f>
        <x:v>0</x:v>
      </x:c>
      <x:c r="L437" s="440" t="n">
        <x:f>IF(ISNUMBER(K437),IF(MAX(0,J437*(1+SUM($B$87)/12)-K437)&lt;MAX(0.0000001,$B$86*0.00000000001),0,MAX(0,J437*(1+SUM($B$87)/12)-K437)),"")</x:f>
        <x:v>0</x:v>
      </x:c>
      <x:c r="M437" s="440" t="n">
        <x:f>IF(AND(ISNUMBER(D437),ISNUMBER(K437)),D437+K437,"")</x:f>
        <x:v>4679.450723240598</x:v>
      </x:c>
      <x:c r="N437" s="440" t="n">
        <x:f>IF(AND(ISNUMBER(H437),ISNUMBER(L437)),H437+L437,"")</x:f>
        <x:v>730658.3205445034</x:v>
      </x:c>
    </x:row>
    <x:row r="438" ht="22" customHeight="1">
      <x:c r="A438" s="254" t="n">
        <x:f>38</x:f>
        <x:v>38</x:v>
      </x:c>
      <x:c r="B438" s="440" t="n">
        <x:f>IF(ISNUMBER(H437),H437,"")</x:f>
        <x:v>730658.3205445034</x:v>
      </x:c>
      <x:c r="C438" s="442" t="n">
        <x:f>IF(ISNUMBER(B438),IF(AND(38&gt;$B$173,$B$78="Refinance",ISNUMBER($B$80),$B$80&gt;=0,$B$80&lt;=1,ROUND($B$81*12,0)&gt;=1,$B$81&lt;=100,SUM($B$82)&gt;=0,SUM($B$82)&lt;=1,SUM($B$83)&gt;=0),$B$80,IF(AND($B$175&gt;0,38&gt;$B$175,ISNUMBER($B$75)),$B$75,$B$61)),"")</x:f>
        <x:v>0.0625</x:v>
      </x:c>
      <x:c r="D438" s="440" t="n">
        <x:f>IF(AND(ISNUMBER(B438),B438=0),0,IF(AND($B$171=1,I437=0,ISNUMBER(C438),ISNUMBER(IF(AND(38&lt;=$B$174,38&lt;=$B$173),B438*C438/12,IF(AND(38=$B$173+1,AND(38&gt;$B$173,$B$78="Refinance",ISNUMBER($B$80),$B$80&gt;=0,$B$80&lt;=1,ROUND($B$81*12,0)&gt;=1,$B$81&lt;=100,SUM($B$82)&gt;=0,SUM($B$82)&lt;=1,SUM($B$83)&gt;=0)),IF(B438=0,0,IF(C438=0,B438/ROUND($B$81*12,0),B438*(C438/12)/(1-(1+C438/12)^(-ROUND($B$81*12,0))))),IF(AND(NOT(AND(38&gt;$B$173,$B$78="Refinance",ISNUMBER($B$80),$B$80&gt;=0,$B$80&lt;=1,ROUND($B$81*12,0)&gt;=1,$B$81&lt;=100,SUM($B$82)&gt;=0,SUM($B$82)&lt;=1,SUM($B$83)&gt;=0)),OR(38=1,38=$B$174+1,AND($B$175&gt;0,38=$B$175+1))),IF(AND($B$170=1,$B$66&gt;0,OR($B$175=0,38&lt;=$B$175)),$B$66,IF($B$172-MAX(38-1,$B$174)&gt;0,IF(B438=0,0,IF(C438=0,B438/($B$172-MAX(38-1,$B$174)),B438*(C438/12)/(1-(1+C438/12)^(-($B$172-MAX(38-1,$B$174)))))),"")),D437))))),IF(IF(AND(38&lt;=$B$174,38&lt;=$B$173),B438*C438/12,IF(AND(38=$B$173+1,AND(38&gt;$B$173,$B$78="Refinance",ISNUMBER($B$80),$B$80&gt;=0,$B$80&lt;=1,ROUND($B$81*12,0)&gt;=1,$B$81&lt;=100,SUM($B$82)&gt;=0,SUM($B$82)&lt;=1,SUM($B$83)&gt;=0)),IF(B438=0,0,IF(C438=0,B438/ROUND($B$81*12,0),B438*(C438/12)/(1-(1+C438/12)^(-ROUND($B$81*12,0))))),IF(AND(NOT(AND(38&gt;$B$173,$B$78="Refinance",ISNUMBER($B$80),$B$80&gt;=0,$B$80&lt;=1,ROUND($B$81*12,0)&gt;=1,$B$81&lt;=100,SUM($B$82)&gt;=0,SUM($B$82)&lt;=1,SUM($B$83)&gt;=0)),OR(38=1,38=$B$174+1,AND($B$175&gt;0,38=$B$175+1))),IF(AND($B$170=1,$B$66&gt;0,OR($B$175=0,38&lt;=$B$175)),$B$66,IF($B$172-MAX(38-1,$B$174)&gt;0,IF(B438=0,0,IF(C438=0,B438/($B$172-MAX(38-1,$B$174)),B438*(C438/12)/(1-(1+C438/12)^(-($B$172-MAX(38-1,$B$174)))))),"")),D437)))+0.0000001&gt;=B438*C438/12,MIN(B438*(1+C438/12),IF(AND(38&lt;=$B$174,38&lt;=$B$173),B438*C438/12,IF(AND(38=$B$173+1,AND(38&gt;$B$173,$B$78="Refinance",ISNUMBER($B$80),$B$80&gt;=0,$B$80&lt;=1,ROUND($B$81*12,0)&gt;=1,$B$81&lt;=100,SUM($B$82)&gt;=0,SUM($B$82)&lt;=1,SUM($B$83)&gt;=0)),IF(B438=0,0,IF(C438=0,B438/ROUND($B$81*12,0),B438*(C438/12)/(1-(1+C438/12)^(-ROUND($B$81*12,0))))),IF(AND(NOT(AND(38&gt;$B$173,$B$78="Refinance",ISNUMBER($B$80),$B$80&gt;=0,$B$80&lt;=1,ROUND($B$81*12,0)&gt;=1,$B$81&lt;=100,SUM($B$82)&gt;=0,SUM($B$82)&lt;=1,SUM($B$83)&gt;=0)),OR(38=1,38=$B$174+1,AND($B$175&gt;0,38=$B$175+1))),IF(AND($B$170=1,$B$66&gt;0,OR($B$175=0,38&lt;=$B$175)),$B$66,IF($B$172-MAX(38-1,$B$174)&gt;0,IF(B438=0,0,IF(C438=0,B438/($B$172-MAX(38-1,$B$174)),B438*(C438/12)/(1-(1+C438/12)^(-($B$172-MAX(38-1,$B$174)))))),"")),D437)))),""),""))</x:f>
        <x:v>4679.450723240598</x:v>
      </x:c>
      <x:c r="E438" s="440" t="n">
        <x:f>IF(AND(38=$B$173,ISNUMBER(D438)),IF(MAX(0,B438*(1+C438/12)-D438)&lt;MAX(0.0000001,$E$17*0.00000000001),0,MAX(0,B438*(1+C438/12)-D438)),0)</x:f>
        <x:v>0</x:v>
      </x:c>
      <x:c r="F438" s="440" t="n">
        <x:f>IF($B$78="Cash payoff",E438,0)</x:f>
        <x:v>0</x:v>
      </x:c>
      <x:c r="G438" s="440" t="n">
        <x:f>IF(AND(E438&gt;0,AND($B$78="Refinance",ISNUMBER($B$80),$B$80&gt;=0,$B$80&lt;=1,ROUND($B$81*12,0)&gt;=1,$B$81&lt;=100,SUM($B$82)&gt;=0,SUM($B$82)&lt;=1,SUM($B$83)&gt;=0)),E438*SUM($B$82)+SUM($B$83),0)</x:f>
        <x:v>0</x:v>
      </x:c>
      <x:c r="H438" s="440" t="n">
        <x:f>IF(ISNUMBER(D438),IF(MAX(0,B438*(1+C438/12)-D438-F438)&lt;MAX(0.0000001,$E$17*0.00000000001),0,MAX(0,B438*(1+C438/12)-D438-F438)),IF(AND($B$171=1,I437=1),B438,""))</x:f>
        <x:v>729784.381907432</x:v>
      </x:c>
      <x:c r="I438" s="444" t="n">
        <x:f>IF(OR(I437=1,AND(E438&gt;0,$B$78&lt;&gt;"Cash payoff",NOT(AND($B$78="Refinance",ISNUMBER($B$80),$B$80&gt;=0,$B$80&lt;=1,ROUND($B$81*12,0)&gt;=1,$B$81&lt;=100,SUM($B$82)&gt;=0,SUM($B$82)&lt;=1,SUM($B$83)&gt;=0))),AND(ISNUMBER(B438),B438&gt;0,$B$171=1,NOT(ISNUMBER(D438)))),1,0)</x:f>
        <x:v>0</x:v>
      </x:c>
      <x:c r="J438" s="440" t="n">
        <x:f>IF(ISNUMBER(L437),L437,"")</x:f>
        <x:v>0</x:v>
      </x:c>
      <x:c r="K438" s="440" t="n">
        <x:f>IF(AND(ISNUMBER(J438),J438=0),0,IF(AND($B$176=1,ISNUMBER(J438)),MIN(J438*(1+$B$87/12),IF($B$86=0,0,IF($B$87=0,$B$86/ROUND($B$88*12,0),$B$86*($B$87/12)/(1-(1+$B$87/12)^(-ROUND($B$88*12,0)))))),""))</x:f>
        <x:v>0</x:v>
      </x:c>
      <x:c r="L438" s="440" t="n">
        <x:f>IF(ISNUMBER(K438),IF(MAX(0,J438*(1+SUM($B$87)/12)-K438)&lt;MAX(0.0000001,$B$86*0.00000000001),0,MAX(0,J438*(1+SUM($B$87)/12)-K438)),"")</x:f>
        <x:v>0</x:v>
      </x:c>
      <x:c r="M438" s="440" t="n">
        <x:f>IF(AND(ISNUMBER(D438),ISNUMBER(K438)),D438+K438,"")</x:f>
        <x:v>4679.450723240598</x:v>
      </x:c>
      <x:c r="N438" s="440" t="n">
        <x:f>IF(AND(ISNUMBER(H438),ISNUMBER(L438)),H438+L438,"")</x:f>
        <x:v>729784.381907432</x:v>
      </x:c>
    </x:row>
    <x:row r="439" ht="22" customHeight="1">
      <x:c r="A439" s="254" t="n">
        <x:f>39</x:f>
        <x:v>39</x:v>
      </x:c>
      <x:c r="B439" s="440" t="n">
        <x:f>IF(ISNUMBER(H438),H438,"")</x:f>
        <x:v>729784.381907432</x:v>
      </x:c>
      <x:c r="C439" s="442" t="n">
        <x:f>IF(ISNUMBER(B439),IF(AND(39&gt;$B$173,$B$78="Refinance",ISNUMBER($B$80),$B$80&gt;=0,$B$80&lt;=1,ROUND($B$81*12,0)&gt;=1,$B$81&lt;=100,SUM($B$82)&gt;=0,SUM($B$82)&lt;=1,SUM($B$83)&gt;=0),$B$80,IF(AND($B$175&gt;0,39&gt;$B$175,ISNUMBER($B$75)),$B$75,$B$61)),"")</x:f>
        <x:v>0.0625</x:v>
      </x:c>
      <x:c r="D439" s="440" t="n">
        <x:f>IF(AND(ISNUMBER(B439),B439=0),0,IF(AND($B$171=1,I438=0,ISNUMBER(C439),ISNUMBER(IF(AND(39&lt;=$B$174,39&lt;=$B$173),B439*C439/12,IF(AND(39=$B$173+1,AND(39&gt;$B$173,$B$78="Refinance",ISNUMBER($B$80),$B$80&gt;=0,$B$80&lt;=1,ROUND($B$81*12,0)&gt;=1,$B$81&lt;=100,SUM($B$82)&gt;=0,SUM($B$82)&lt;=1,SUM($B$83)&gt;=0)),IF(B439=0,0,IF(C439=0,B439/ROUND($B$81*12,0),B439*(C439/12)/(1-(1+C439/12)^(-ROUND($B$81*12,0))))),IF(AND(NOT(AND(39&gt;$B$173,$B$78="Refinance",ISNUMBER($B$80),$B$80&gt;=0,$B$80&lt;=1,ROUND($B$81*12,0)&gt;=1,$B$81&lt;=100,SUM($B$82)&gt;=0,SUM($B$82)&lt;=1,SUM($B$83)&gt;=0)),OR(39=1,39=$B$174+1,AND($B$175&gt;0,39=$B$175+1))),IF(AND($B$170=1,$B$66&gt;0,OR($B$175=0,39&lt;=$B$175)),$B$66,IF($B$172-MAX(39-1,$B$174)&gt;0,IF(B439=0,0,IF(C439=0,B439/($B$172-MAX(39-1,$B$174)),B439*(C439/12)/(1-(1+C439/12)^(-($B$172-MAX(39-1,$B$174)))))),"")),D438))))),IF(IF(AND(39&lt;=$B$174,39&lt;=$B$173),B439*C439/12,IF(AND(39=$B$173+1,AND(39&gt;$B$173,$B$78="Refinance",ISNUMBER($B$80),$B$80&gt;=0,$B$80&lt;=1,ROUND($B$81*12,0)&gt;=1,$B$81&lt;=100,SUM($B$82)&gt;=0,SUM($B$82)&lt;=1,SUM($B$83)&gt;=0)),IF(B439=0,0,IF(C439=0,B439/ROUND($B$81*12,0),B439*(C439/12)/(1-(1+C439/12)^(-ROUND($B$81*12,0))))),IF(AND(NOT(AND(39&gt;$B$173,$B$78="Refinance",ISNUMBER($B$80),$B$80&gt;=0,$B$80&lt;=1,ROUND($B$81*12,0)&gt;=1,$B$81&lt;=100,SUM($B$82)&gt;=0,SUM($B$82)&lt;=1,SUM($B$83)&gt;=0)),OR(39=1,39=$B$174+1,AND($B$175&gt;0,39=$B$175+1))),IF(AND($B$170=1,$B$66&gt;0,OR($B$175=0,39&lt;=$B$175)),$B$66,IF($B$172-MAX(39-1,$B$174)&gt;0,IF(B439=0,0,IF(C439=0,B439/($B$172-MAX(39-1,$B$174)),B439*(C439/12)/(1-(1+C439/12)^(-($B$172-MAX(39-1,$B$174)))))),"")),D438)))+0.0000001&gt;=B439*C439/12,MIN(B439*(1+C439/12),IF(AND(39&lt;=$B$174,39&lt;=$B$173),B439*C439/12,IF(AND(39=$B$173+1,AND(39&gt;$B$173,$B$78="Refinance",ISNUMBER($B$80),$B$80&gt;=0,$B$80&lt;=1,ROUND($B$81*12,0)&gt;=1,$B$81&lt;=100,SUM($B$82)&gt;=0,SUM($B$82)&lt;=1,SUM($B$83)&gt;=0)),IF(B439=0,0,IF(C439=0,B439/ROUND($B$81*12,0),B439*(C439/12)/(1-(1+C439/12)^(-ROUND($B$81*12,0))))),IF(AND(NOT(AND(39&gt;$B$173,$B$78="Refinance",ISNUMBER($B$80),$B$80&gt;=0,$B$80&lt;=1,ROUND($B$81*12,0)&gt;=1,$B$81&lt;=100,SUM($B$82)&gt;=0,SUM($B$82)&lt;=1,SUM($B$83)&gt;=0)),OR(39=1,39=$B$174+1,AND($B$175&gt;0,39=$B$175+1))),IF(AND($B$170=1,$B$66&gt;0,OR($B$175=0,39&lt;=$B$175)),$B$66,IF($B$172-MAX(39-1,$B$174)&gt;0,IF(B439=0,0,IF(C439=0,B439/($B$172-MAX(39-1,$B$174)),B439*(C439/12)/(1-(1+C439/12)^(-($B$172-MAX(39-1,$B$174)))))),"")),D438)))),""),""))</x:f>
        <x:v>4679.450723240598</x:v>
      </x:c>
      <x:c r="E439" s="440" t="n">
        <x:f>IF(AND(39=$B$173,ISNUMBER(D439)),IF(MAX(0,B439*(1+C439/12)-D439)&lt;MAX(0.0000001,$E$17*0.00000000001),0,MAX(0,B439*(1+C439/12)-D439)),0)</x:f>
        <x:v>0</x:v>
      </x:c>
      <x:c r="F439" s="440" t="n">
        <x:f>IF($B$78="Cash payoff",E439,0)</x:f>
        <x:v>0</x:v>
      </x:c>
      <x:c r="G439" s="440" t="n">
        <x:f>IF(AND(E439&gt;0,AND($B$78="Refinance",ISNUMBER($B$80),$B$80&gt;=0,$B$80&lt;=1,ROUND($B$81*12,0)&gt;=1,$B$81&lt;=100,SUM($B$82)&gt;=0,SUM($B$82)&lt;=1,SUM($B$83)&gt;=0)),E439*SUM($B$82)+SUM($B$83),0)</x:f>
        <x:v>0</x:v>
      </x:c>
      <x:c r="H439" s="440" t="n">
        <x:f>IF(ISNUMBER(D439),IF(MAX(0,B439*(1+C439/12)-D439-F439)&lt;MAX(0.0000001,$E$17*0.00000000001),0,MAX(0,B439*(1+C439/12)-D439-F439)),IF(AND($B$171=1,I438=1),B439,""))</x:f>
        <x:v>728905.8915066258</x:v>
      </x:c>
      <x:c r="I439" s="444" t="n">
        <x:f>IF(OR(I438=1,AND(E439&gt;0,$B$78&lt;&gt;"Cash payoff",NOT(AND($B$78="Refinance",ISNUMBER($B$80),$B$80&gt;=0,$B$80&lt;=1,ROUND($B$81*12,0)&gt;=1,$B$81&lt;=100,SUM($B$82)&gt;=0,SUM($B$82)&lt;=1,SUM($B$83)&gt;=0))),AND(ISNUMBER(B439),B439&gt;0,$B$171=1,NOT(ISNUMBER(D439)))),1,0)</x:f>
        <x:v>0</x:v>
      </x:c>
      <x:c r="J439" s="440" t="n">
        <x:f>IF(ISNUMBER(L438),L438,"")</x:f>
        <x:v>0</x:v>
      </x:c>
      <x:c r="K439" s="440" t="n">
        <x:f>IF(AND(ISNUMBER(J439),J439=0),0,IF(AND($B$176=1,ISNUMBER(J439)),MIN(J439*(1+$B$87/12),IF($B$86=0,0,IF($B$87=0,$B$86/ROUND($B$88*12,0),$B$86*($B$87/12)/(1-(1+$B$87/12)^(-ROUND($B$88*12,0)))))),""))</x:f>
        <x:v>0</x:v>
      </x:c>
      <x:c r="L439" s="440" t="n">
        <x:f>IF(ISNUMBER(K439),IF(MAX(0,J439*(1+SUM($B$87)/12)-K439)&lt;MAX(0.0000001,$B$86*0.00000000001),0,MAX(0,J439*(1+SUM($B$87)/12)-K439)),"")</x:f>
        <x:v>0</x:v>
      </x:c>
      <x:c r="M439" s="440" t="n">
        <x:f>IF(AND(ISNUMBER(D439),ISNUMBER(K439)),D439+K439,"")</x:f>
        <x:v>4679.450723240598</x:v>
      </x:c>
      <x:c r="N439" s="440" t="n">
        <x:f>IF(AND(ISNUMBER(H439),ISNUMBER(L439)),H439+L439,"")</x:f>
        <x:v>728905.8915066258</x:v>
      </x:c>
    </x:row>
    <x:row r="440" ht="22" customHeight="1">
      <x:c r="A440" s="254" t="n">
        <x:f>40</x:f>
        <x:v>40</x:v>
      </x:c>
      <x:c r="B440" s="440" t="n">
        <x:f>IF(ISNUMBER(H439),H439,"")</x:f>
        <x:v>728905.8915066258</x:v>
      </x:c>
      <x:c r="C440" s="442" t="n">
        <x:f>IF(ISNUMBER(B440),IF(AND(40&gt;$B$173,$B$78="Refinance",ISNUMBER($B$80),$B$80&gt;=0,$B$80&lt;=1,ROUND($B$81*12,0)&gt;=1,$B$81&lt;=100,SUM($B$82)&gt;=0,SUM($B$82)&lt;=1,SUM($B$83)&gt;=0),$B$80,IF(AND($B$175&gt;0,40&gt;$B$175,ISNUMBER($B$75)),$B$75,$B$61)),"")</x:f>
        <x:v>0.0625</x:v>
      </x:c>
      <x:c r="D440" s="440" t="n">
        <x:f>IF(AND(ISNUMBER(B440),B440=0),0,IF(AND($B$171=1,I439=0,ISNUMBER(C440),ISNUMBER(IF(AND(40&lt;=$B$174,40&lt;=$B$173),B440*C440/12,IF(AND(40=$B$173+1,AND(40&gt;$B$173,$B$78="Refinance",ISNUMBER($B$80),$B$80&gt;=0,$B$80&lt;=1,ROUND($B$81*12,0)&gt;=1,$B$81&lt;=100,SUM($B$82)&gt;=0,SUM($B$82)&lt;=1,SUM($B$83)&gt;=0)),IF(B440=0,0,IF(C440=0,B440/ROUND($B$81*12,0),B440*(C440/12)/(1-(1+C440/12)^(-ROUND($B$81*12,0))))),IF(AND(NOT(AND(40&gt;$B$173,$B$78="Refinance",ISNUMBER($B$80),$B$80&gt;=0,$B$80&lt;=1,ROUND($B$81*12,0)&gt;=1,$B$81&lt;=100,SUM($B$82)&gt;=0,SUM($B$82)&lt;=1,SUM($B$83)&gt;=0)),OR(40=1,40=$B$174+1,AND($B$175&gt;0,40=$B$175+1))),IF(AND($B$170=1,$B$66&gt;0,OR($B$175=0,40&lt;=$B$175)),$B$66,IF($B$172-MAX(40-1,$B$174)&gt;0,IF(B440=0,0,IF(C440=0,B440/($B$172-MAX(40-1,$B$174)),B440*(C440/12)/(1-(1+C440/12)^(-($B$172-MAX(40-1,$B$174)))))),"")),D439))))),IF(IF(AND(40&lt;=$B$174,40&lt;=$B$173),B440*C440/12,IF(AND(40=$B$173+1,AND(40&gt;$B$173,$B$78="Refinance",ISNUMBER($B$80),$B$80&gt;=0,$B$80&lt;=1,ROUND($B$81*12,0)&gt;=1,$B$81&lt;=100,SUM($B$82)&gt;=0,SUM($B$82)&lt;=1,SUM($B$83)&gt;=0)),IF(B440=0,0,IF(C440=0,B440/ROUND($B$81*12,0),B440*(C440/12)/(1-(1+C440/12)^(-ROUND($B$81*12,0))))),IF(AND(NOT(AND(40&gt;$B$173,$B$78="Refinance",ISNUMBER($B$80),$B$80&gt;=0,$B$80&lt;=1,ROUND($B$81*12,0)&gt;=1,$B$81&lt;=100,SUM($B$82)&gt;=0,SUM($B$82)&lt;=1,SUM($B$83)&gt;=0)),OR(40=1,40=$B$174+1,AND($B$175&gt;0,40=$B$175+1))),IF(AND($B$170=1,$B$66&gt;0,OR($B$175=0,40&lt;=$B$175)),$B$66,IF($B$172-MAX(40-1,$B$174)&gt;0,IF(B440=0,0,IF(C440=0,B440/($B$172-MAX(40-1,$B$174)),B440*(C440/12)/(1-(1+C440/12)^(-($B$172-MAX(40-1,$B$174)))))),"")),D439)))+0.0000001&gt;=B440*C440/12,MIN(B440*(1+C440/12),IF(AND(40&lt;=$B$174,40&lt;=$B$173),B440*C440/12,IF(AND(40=$B$173+1,AND(40&gt;$B$173,$B$78="Refinance",ISNUMBER($B$80),$B$80&gt;=0,$B$80&lt;=1,ROUND($B$81*12,0)&gt;=1,$B$81&lt;=100,SUM($B$82)&gt;=0,SUM($B$82)&lt;=1,SUM($B$83)&gt;=0)),IF(B440=0,0,IF(C440=0,B440/ROUND($B$81*12,0),B440*(C440/12)/(1-(1+C440/12)^(-ROUND($B$81*12,0))))),IF(AND(NOT(AND(40&gt;$B$173,$B$78="Refinance",ISNUMBER($B$80),$B$80&gt;=0,$B$80&lt;=1,ROUND($B$81*12,0)&gt;=1,$B$81&lt;=100,SUM($B$82)&gt;=0,SUM($B$82)&lt;=1,SUM($B$83)&gt;=0)),OR(40=1,40=$B$174+1,AND($B$175&gt;0,40=$B$175+1))),IF(AND($B$170=1,$B$66&gt;0,OR($B$175=0,40&lt;=$B$175)),$B$66,IF($B$172-MAX(40-1,$B$174)&gt;0,IF(B440=0,0,IF(C440=0,B440/($B$172-MAX(40-1,$B$174)),B440*(C440/12)/(1-(1+C440/12)^(-($B$172-MAX(40-1,$B$174)))))),"")),D439)))),""),""))</x:f>
        <x:v>4679.450723240598</x:v>
      </x:c>
      <x:c r="E440" s="440" t="n">
        <x:f>IF(AND(40=$B$173,ISNUMBER(D440)),IF(MAX(0,B440*(1+C440/12)-D440)&lt;MAX(0.0000001,$E$17*0.00000000001),0,MAX(0,B440*(1+C440/12)-D440)),0)</x:f>
        <x:v>0</x:v>
      </x:c>
      <x:c r="F440" s="440" t="n">
        <x:f>IF($B$78="Cash payoff",E440,0)</x:f>
        <x:v>0</x:v>
      </x:c>
      <x:c r="G440" s="440" t="n">
        <x:f>IF(AND(E440&gt;0,AND($B$78="Refinance",ISNUMBER($B$80),$B$80&gt;=0,$B$80&lt;=1,ROUND($B$81*12,0)&gt;=1,$B$81&lt;=100,SUM($B$82)&gt;=0,SUM($B$82)&lt;=1,SUM($B$83)&gt;=0)),E440*SUM($B$82)+SUM($B$83),0)</x:f>
        <x:v>0</x:v>
      </x:c>
      <x:c r="H440" s="440" t="n">
        <x:f>IF(ISNUMBER(D440),IF(MAX(0,B440*(1+C440/12)-D440-F440)&lt;MAX(0.0000001,$E$17*0.00000000001),0,MAX(0,B440*(1+C440/12)-D440-F440)),IF(AND($B$171=1,I439=1),B440,""))</x:f>
        <x:v>728022.8256349821</x:v>
      </x:c>
      <x:c r="I440" s="444" t="n">
        <x:f>IF(OR(I439=1,AND(E440&gt;0,$B$78&lt;&gt;"Cash payoff",NOT(AND($B$78="Refinance",ISNUMBER($B$80),$B$80&gt;=0,$B$80&lt;=1,ROUND($B$81*12,0)&gt;=1,$B$81&lt;=100,SUM($B$82)&gt;=0,SUM($B$82)&lt;=1,SUM($B$83)&gt;=0))),AND(ISNUMBER(B440),B440&gt;0,$B$171=1,NOT(ISNUMBER(D440)))),1,0)</x:f>
        <x:v>0</x:v>
      </x:c>
      <x:c r="J440" s="440" t="n">
        <x:f>IF(ISNUMBER(L439),L439,"")</x:f>
        <x:v>0</x:v>
      </x:c>
      <x:c r="K440" s="440" t="n">
        <x:f>IF(AND(ISNUMBER(J440),J440=0),0,IF(AND($B$176=1,ISNUMBER(J440)),MIN(J440*(1+$B$87/12),IF($B$86=0,0,IF($B$87=0,$B$86/ROUND($B$88*12,0),$B$86*($B$87/12)/(1-(1+$B$87/12)^(-ROUND($B$88*12,0)))))),""))</x:f>
        <x:v>0</x:v>
      </x:c>
      <x:c r="L440" s="440" t="n">
        <x:f>IF(ISNUMBER(K440),IF(MAX(0,J440*(1+SUM($B$87)/12)-K440)&lt;MAX(0.0000001,$B$86*0.00000000001),0,MAX(0,J440*(1+SUM($B$87)/12)-K440)),"")</x:f>
        <x:v>0</x:v>
      </x:c>
      <x:c r="M440" s="440" t="n">
        <x:f>IF(AND(ISNUMBER(D440),ISNUMBER(K440)),D440+K440,"")</x:f>
        <x:v>4679.450723240598</x:v>
      </x:c>
      <x:c r="N440" s="440" t="n">
        <x:f>IF(AND(ISNUMBER(H440),ISNUMBER(L440)),H440+L440,"")</x:f>
        <x:v>728022.8256349821</x:v>
      </x:c>
    </x:row>
    <x:row r="441" ht="22" customHeight="1">
      <x:c r="A441" s="254" t="n">
        <x:f>41</x:f>
        <x:v>41</x:v>
      </x:c>
      <x:c r="B441" s="440" t="n">
        <x:f>IF(ISNUMBER(H440),H440,"")</x:f>
        <x:v>728022.8256349821</x:v>
      </x:c>
      <x:c r="C441" s="442" t="n">
        <x:f>IF(ISNUMBER(B441),IF(AND(41&gt;$B$173,$B$78="Refinance",ISNUMBER($B$80),$B$80&gt;=0,$B$80&lt;=1,ROUND($B$81*12,0)&gt;=1,$B$81&lt;=100,SUM($B$82)&gt;=0,SUM($B$82)&lt;=1,SUM($B$83)&gt;=0),$B$80,IF(AND($B$175&gt;0,41&gt;$B$175,ISNUMBER($B$75)),$B$75,$B$61)),"")</x:f>
        <x:v>0.0625</x:v>
      </x:c>
      <x:c r="D441" s="440" t="n">
        <x:f>IF(AND(ISNUMBER(B441),B441=0),0,IF(AND($B$171=1,I440=0,ISNUMBER(C441),ISNUMBER(IF(AND(41&lt;=$B$174,41&lt;=$B$173),B441*C441/12,IF(AND(41=$B$173+1,AND(41&gt;$B$173,$B$78="Refinance",ISNUMBER($B$80),$B$80&gt;=0,$B$80&lt;=1,ROUND($B$81*12,0)&gt;=1,$B$81&lt;=100,SUM($B$82)&gt;=0,SUM($B$82)&lt;=1,SUM($B$83)&gt;=0)),IF(B441=0,0,IF(C441=0,B441/ROUND($B$81*12,0),B441*(C441/12)/(1-(1+C441/12)^(-ROUND($B$81*12,0))))),IF(AND(NOT(AND(41&gt;$B$173,$B$78="Refinance",ISNUMBER($B$80),$B$80&gt;=0,$B$80&lt;=1,ROUND($B$81*12,0)&gt;=1,$B$81&lt;=100,SUM($B$82)&gt;=0,SUM($B$82)&lt;=1,SUM($B$83)&gt;=0)),OR(41=1,41=$B$174+1,AND($B$175&gt;0,41=$B$175+1))),IF(AND($B$170=1,$B$66&gt;0,OR($B$175=0,41&lt;=$B$175)),$B$66,IF($B$172-MAX(41-1,$B$174)&gt;0,IF(B441=0,0,IF(C441=0,B441/($B$172-MAX(41-1,$B$174)),B441*(C441/12)/(1-(1+C441/12)^(-($B$172-MAX(41-1,$B$174)))))),"")),D440))))),IF(IF(AND(41&lt;=$B$174,41&lt;=$B$173),B441*C441/12,IF(AND(41=$B$173+1,AND(41&gt;$B$173,$B$78="Refinance",ISNUMBER($B$80),$B$80&gt;=0,$B$80&lt;=1,ROUND($B$81*12,0)&gt;=1,$B$81&lt;=100,SUM($B$82)&gt;=0,SUM($B$82)&lt;=1,SUM($B$83)&gt;=0)),IF(B441=0,0,IF(C441=0,B441/ROUND($B$81*12,0),B441*(C441/12)/(1-(1+C441/12)^(-ROUND($B$81*12,0))))),IF(AND(NOT(AND(41&gt;$B$173,$B$78="Refinance",ISNUMBER($B$80),$B$80&gt;=0,$B$80&lt;=1,ROUND($B$81*12,0)&gt;=1,$B$81&lt;=100,SUM($B$82)&gt;=0,SUM($B$82)&lt;=1,SUM($B$83)&gt;=0)),OR(41=1,41=$B$174+1,AND($B$175&gt;0,41=$B$175+1))),IF(AND($B$170=1,$B$66&gt;0,OR($B$175=0,41&lt;=$B$175)),$B$66,IF($B$172-MAX(41-1,$B$174)&gt;0,IF(B441=0,0,IF(C441=0,B441/($B$172-MAX(41-1,$B$174)),B441*(C441/12)/(1-(1+C441/12)^(-($B$172-MAX(41-1,$B$174)))))),"")),D440)))+0.0000001&gt;=B441*C441/12,MIN(B441*(1+C441/12),IF(AND(41&lt;=$B$174,41&lt;=$B$173),B441*C441/12,IF(AND(41=$B$173+1,AND(41&gt;$B$173,$B$78="Refinance",ISNUMBER($B$80),$B$80&gt;=0,$B$80&lt;=1,ROUND($B$81*12,0)&gt;=1,$B$81&lt;=100,SUM($B$82)&gt;=0,SUM($B$82)&lt;=1,SUM($B$83)&gt;=0)),IF(B441=0,0,IF(C441=0,B441/ROUND($B$81*12,0),B441*(C441/12)/(1-(1+C441/12)^(-ROUND($B$81*12,0))))),IF(AND(NOT(AND(41&gt;$B$173,$B$78="Refinance",ISNUMBER($B$80),$B$80&gt;=0,$B$80&lt;=1,ROUND($B$81*12,0)&gt;=1,$B$81&lt;=100,SUM($B$82)&gt;=0,SUM($B$82)&lt;=1,SUM($B$83)&gt;=0)),OR(41=1,41=$B$174+1,AND($B$175&gt;0,41=$B$175+1))),IF(AND($B$170=1,$B$66&gt;0,OR($B$175=0,41&lt;=$B$175)),$B$66,IF($B$172-MAX(41-1,$B$174)&gt;0,IF(B441=0,0,IF(C441=0,B441/($B$172-MAX(41-1,$B$174)),B441*(C441/12)/(1-(1+C441/12)^(-($B$172-MAX(41-1,$B$174)))))),"")),D440)))),""),""))</x:f>
        <x:v>4679.450723240598</x:v>
      </x:c>
      <x:c r="E441" s="440" t="n">
        <x:f>IF(AND(41=$B$173,ISNUMBER(D441)),IF(MAX(0,B441*(1+C441/12)-D441)&lt;MAX(0.0000001,$E$17*0.00000000001),0,MAX(0,B441*(1+C441/12)-D441)),0)</x:f>
        <x:v>0</x:v>
      </x:c>
      <x:c r="F441" s="440" t="n">
        <x:f>IF($B$78="Cash payoff",E441,0)</x:f>
        <x:v>0</x:v>
      </x:c>
      <x:c r="G441" s="440" t="n">
        <x:f>IF(AND(E441&gt;0,AND($B$78="Refinance",ISNUMBER($B$80),$B$80&gt;=0,$B$80&lt;=1,ROUND($B$81*12,0)&gt;=1,$B$81&lt;=100,SUM($B$82)&gt;=0,SUM($B$82)&lt;=1,SUM($B$83)&gt;=0)),E441*SUM($B$82)+SUM($B$83),0)</x:f>
        <x:v>0</x:v>
      </x:c>
      <x:c r="H441" s="440" t="n">
        <x:f>IF(ISNUMBER(D441),IF(MAX(0,B441*(1+C441/12)-D441-F441)&lt;MAX(0.0000001,$E$17*0.00000000001),0,MAX(0,B441*(1+C441/12)-D441-F441)),IF(AND($B$171=1,I440=1),B441,""))</x:f>
        <x:v>727135.1604619236</x:v>
      </x:c>
      <x:c r="I441" s="444" t="n">
        <x:f>IF(OR(I440=1,AND(E441&gt;0,$B$78&lt;&gt;"Cash payoff",NOT(AND($B$78="Refinance",ISNUMBER($B$80),$B$80&gt;=0,$B$80&lt;=1,ROUND($B$81*12,0)&gt;=1,$B$81&lt;=100,SUM($B$82)&gt;=0,SUM($B$82)&lt;=1,SUM($B$83)&gt;=0))),AND(ISNUMBER(B441),B441&gt;0,$B$171=1,NOT(ISNUMBER(D441)))),1,0)</x:f>
        <x:v>0</x:v>
      </x:c>
      <x:c r="J441" s="440" t="n">
        <x:f>IF(ISNUMBER(L440),L440,"")</x:f>
        <x:v>0</x:v>
      </x:c>
      <x:c r="K441" s="440" t="n">
        <x:f>IF(AND(ISNUMBER(J441),J441=0),0,IF(AND($B$176=1,ISNUMBER(J441)),MIN(J441*(1+$B$87/12),IF($B$86=0,0,IF($B$87=0,$B$86/ROUND($B$88*12,0),$B$86*($B$87/12)/(1-(1+$B$87/12)^(-ROUND($B$88*12,0)))))),""))</x:f>
        <x:v>0</x:v>
      </x:c>
      <x:c r="L441" s="440" t="n">
        <x:f>IF(ISNUMBER(K441),IF(MAX(0,J441*(1+SUM($B$87)/12)-K441)&lt;MAX(0.0000001,$B$86*0.00000000001),0,MAX(0,J441*(1+SUM($B$87)/12)-K441)),"")</x:f>
        <x:v>0</x:v>
      </x:c>
      <x:c r="M441" s="440" t="n">
        <x:f>IF(AND(ISNUMBER(D441),ISNUMBER(K441)),D441+K441,"")</x:f>
        <x:v>4679.450723240598</x:v>
      </x:c>
      <x:c r="N441" s="440" t="n">
        <x:f>IF(AND(ISNUMBER(H441),ISNUMBER(L441)),H441+L441,"")</x:f>
        <x:v>727135.1604619236</x:v>
      </x:c>
    </x:row>
    <x:row r="442" ht="22" customHeight="1">
      <x:c r="A442" s="254" t="n">
        <x:f>42</x:f>
        <x:v>42</x:v>
      </x:c>
      <x:c r="B442" s="440" t="n">
        <x:f>IF(ISNUMBER(H441),H441,"")</x:f>
        <x:v>727135.1604619236</x:v>
      </x:c>
      <x:c r="C442" s="442" t="n">
        <x:f>IF(ISNUMBER(B442),IF(AND(42&gt;$B$173,$B$78="Refinance",ISNUMBER($B$80),$B$80&gt;=0,$B$80&lt;=1,ROUND($B$81*12,0)&gt;=1,$B$81&lt;=100,SUM($B$82)&gt;=0,SUM($B$82)&lt;=1,SUM($B$83)&gt;=0),$B$80,IF(AND($B$175&gt;0,42&gt;$B$175,ISNUMBER($B$75)),$B$75,$B$61)),"")</x:f>
        <x:v>0.0625</x:v>
      </x:c>
      <x:c r="D442" s="440" t="n">
        <x:f>IF(AND(ISNUMBER(B442),B442=0),0,IF(AND($B$171=1,I441=0,ISNUMBER(C442),ISNUMBER(IF(AND(42&lt;=$B$174,42&lt;=$B$173),B442*C442/12,IF(AND(42=$B$173+1,AND(42&gt;$B$173,$B$78="Refinance",ISNUMBER($B$80),$B$80&gt;=0,$B$80&lt;=1,ROUND($B$81*12,0)&gt;=1,$B$81&lt;=100,SUM($B$82)&gt;=0,SUM($B$82)&lt;=1,SUM($B$83)&gt;=0)),IF(B442=0,0,IF(C442=0,B442/ROUND($B$81*12,0),B442*(C442/12)/(1-(1+C442/12)^(-ROUND($B$81*12,0))))),IF(AND(NOT(AND(42&gt;$B$173,$B$78="Refinance",ISNUMBER($B$80),$B$80&gt;=0,$B$80&lt;=1,ROUND($B$81*12,0)&gt;=1,$B$81&lt;=100,SUM($B$82)&gt;=0,SUM($B$82)&lt;=1,SUM($B$83)&gt;=0)),OR(42=1,42=$B$174+1,AND($B$175&gt;0,42=$B$175+1))),IF(AND($B$170=1,$B$66&gt;0,OR($B$175=0,42&lt;=$B$175)),$B$66,IF($B$172-MAX(42-1,$B$174)&gt;0,IF(B442=0,0,IF(C442=0,B442/($B$172-MAX(42-1,$B$174)),B442*(C442/12)/(1-(1+C442/12)^(-($B$172-MAX(42-1,$B$174)))))),"")),D441))))),IF(IF(AND(42&lt;=$B$174,42&lt;=$B$173),B442*C442/12,IF(AND(42=$B$173+1,AND(42&gt;$B$173,$B$78="Refinance",ISNUMBER($B$80),$B$80&gt;=0,$B$80&lt;=1,ROUND($B$81*12,0)&gt;=1,$B$81&lt;=100,SUM($B$82)&gt;=0,SUM($B$82)&lt;=1,SUM($B$83)&gt;=0)),IF(B442=0,0,IF(C442=0,B442/ROUND($B$81*12,0),B442*(C442/12)/(1-(1+C442/12)^(-ROUND($B$81*12,0))))),IF(AND(NOT(AND(42&gt;$B$173,$B$78="Refinance",ISNUMBER($B$80),$B$80&gt;=0,$B$80&lt;=1,ROUND($B$81*12,0)&gt;=1,$B$81&lt;=100,SUM($B$82)&gt;=0,SUM($B$82)&lt;=1,SUM($B$83)&gt;=0)),OR(42=1,42=$B$174+1,AND($B$175&gt;0,42=$B$175+1))),IF(AND($B$170=1,$B$66&gt;0,OR($B$175=0,42&lt;=$B$175)),$B$66,IF($B$172-MAX(42-1,$B$174)&gt;0,IF(B442=0,0,IF(C442=0,B442/($B$172-MAX(42-1,$B$174)),B442*(C442/12)/(1-(1+C442/12)^(-($B$172-MAX(42-1,$B$174)))))),"")),D441)))+0.0000001&gt;=B442*C442/12,MIN(B442*(1+C442/12),IF(AND(42&lt;=$B$174,42&lt;=$B$173),B442*C442/12,IF(AND(42=$B$173+1,AND(42&gt;$B$173,$B$78="Refinance",ISNUMBER($B$80),$B$80&gt;=0,$B$80&lt;=1,ROUND($B$81*12,0)&gt;=1,$B$81&lt;=100,SUM($B$82)&gt;=0,SUM($B$82)&lt;=1,SUM($B$83)&gt;=0)),IF(B442=0,0,IF(C442=0,B442/ROUND($B$81*12,0),B442*(C442/12)/(1-(1+C442/12)^(-ROUND($B$81*12,0))))),IF(AND(NOT(AND(42&gt;$B$173,$B$78="Refinance",ISNUMBER($B$80),$B$80&gt;=0,$B$80&lt;=1,ROUND($B$81*12,0)&gt;=1,$B$81&lt;=100,SUM($B$82)&gt;=0,SUM($B$82)&lt;=1,SUM($B$83)&gt;=0)),OR(42=1,42=$B$174+1,AND($B$175&gt;0,42=$B$175+1))),IF(AND($B$170=1,$B$66&gt;0,OR($B$175=0,42&lt;=$B$175)),$B$66,IF($B$172-MAX(42-1,$B$174)&gt;0,IF(B442=0,0,IF(C442=0,B442/($B$172-MAX(42-1,$B$174)),B442*(C442/12)/(1-(1+C442/12)^(-($B$172-MAX(42-1,$B$174)))))),"")),D441)))),""),""))</x:f>
        <x:v>4679.450723240598</x:v>
      </x:c>
      <x:c r="E442" s="440" t="n">
        <x:f>IF(AND(42=$B$173,ISNUMBER(D442)),IF(MAX(0,B442*(1+C442/12)-D442)&lt;MAX(0.0000001,$E$17*0.00000000001),0,MAX(0,B442*(1+C442/12)-D442)),0)</x:f>
        <x:v>0</x:v>
      </x:c>
      <x:c r="F442" s="440" t="n">
        <x:f>IF($B$78="Cash payoff",E442,0)</x:f>
        <x:v>0</x:v>
      </x:c>
      <x:c r="G442" s="440" t="n">
        <x:f>IF(AND(E442&gt;0,AND($B$78="Refinance",ISNUMBER($B$80),$B$80&gt;=0,$B$80&lt;=1,ROUND($B$81*12,0)&gt;=1,$B$81&lt;=100,SUM($B$82)&gt;=0,SUM($B$82)&lt;=1,SUM($B$83)&gt;=0)),E442*SUM($B$82)+SUM($B$83),0)</x:f>
        <x:v>0</x:v>
      </x:c>
      <x:c r="H442" s="440" t="n">
        <x:f>IF(ISNUMBER(D442),IF(MAX(0,B442*(1+C442/12)-D442-F442)&lt;MAX(0.0000001,$E$17*0.00000000001),0,MAX(0,B442*(1+C442/12)-D442-F442)),IF(AND($B$171=1,I441=1),B442,""))</x:f>
        <x:v>726242.8720327554</x:v>
      </x:c>
      <x:c r="I442" s="444" t="n">
        <x:f>IF(OR(I441=1,AND(E442&gt;0,$B$78&lt;&gt;"Cash payoff",NOT(AND($B$78="Refinance",ISNUMBER($B$80),$B$80&gt;=0,$B$80&lt;=1,ROUND($B$81*12,0)&gt;=1,$B$81&lt;=100,SUM($B$82)&gt;=0,SUM($B$82)&lt;=1,SUM($B$83)&gt;=0))),AND(ISNUMBER(B442),B442&gt;0,$B$171=1,NOT(ISNUMBER(D442)))),1,0)</x:f>
        <x:v>0</x:v>
      </x:c>
      <x:c r="J442" s="440" t="n">
        <x:f>IF(ISNUMBER(L441),L441,"")</x:f>
        <x:v>0</x:v>
      </x:c>
      <x:c r="K442" s="440" t="n">
        <x:f>IF(AND(ISNUMBER(J442),J442=0),0,IF(AND($B$176=1,ISNUMBER(J442)),MIN(J442*(1+$B$87/12),IF($B$86=0,0,IF($B$87=0,$B$86/ROUND($B$88*12,0),$B$86*($B$87/12)/(1-(1+$B$87/12)^(-ROUND($B$88*12,0)))))),""))</x:f>
        <x:v>0</x:v>
      </x:c>
      <x:c r="L442" s="440" t="n">
        <x:f>IF(ISNUMBER(K442),IF(MAX(0,J442*(1+SUM($B$87)/12)-K442)&lt;MAX(0.0000001,$B$86*0.00000000001),0,MAX(0,J442*(1+SUM($B$87)/12)-K442)),"")</x:f>
        <x:v>0</x:v>
      </x:c>
      <x:c r="M442" s="440" t="n">
        <x:f>IF(AND(ISNUMBER(D442),ISNUMBER(K442)),D442+K442,"")</x:f>
        <x:v>4679.450723240598</x:v>
      </x:c>
      <x:c r="N442" s="440" t="n">
        <x:f>IF(AND(ISNUMBER(H442),ISNUMBER(L442)),H442+L442,"")</x:f>
        <x:v>726242.8720327554</x:v>
      </x:c>
    </x:row>
    <x:row r="443" ht="22" customHeight="1">
      <x:c r="A443" s="254" t="n">
        <x:f>43</x:f>
        <x:v>43</x:v>
      </x:c>
      <x:c r="B443" s="440" t="n">
        <x:f>IF(ISNUMBER(H442),H442,"")</x:f>
        <x:v>726242.8720327554</x:v>
      </x:c>
      <x:c r="C443" s="442" t="n">
        <x:f>IF(ISNUMBER(B443),IF(AND(43&gt;$B$173,$B$78="Refinance",ISNUMBER($B$80),$B$80&gt;=0,$B$80&lt;=1,ROUND($B$81*12,0)&gt;=1,$B$81&lt;=100,SUM($B$82)&gt;=0,SUM($B$82)&lt;=1,SUM($B$83)&gt;=0),$B$80,IF(AND($B$175&gt;0,43&gt;$B$175,ISNUMBER($B$75)),$B$75,$B$61)),"")</x:f>
        <x:v>0.0625</x:v>
      </x:c>
      <x:c r="D443" s="440" t="n">
        <x:f>IF(AND(ISNUMBER(B443),B443=0),0,IF(AND($B$171=1,I442=0,ISNUMBER(C443),ISNUMBER(IF(AND(43&lt;=$B$174,43&lt;=$B$173),B443*C443/12,IF(AND(43=$B$173+1,AND(43&gt;$B$173,$B$78="Refinance",ISNUMBER($B$80),$B$80&gt;=0,$B$80&lt;=1,ROUND($B$81*12,0)&gt;=1,$B$81&lt;=100,SUM($B$82)&gt;=0,SUM($B$82)&lt;=1,SUM($B$83)&gt;=0)),IF(B443=0,0,IF(C443=0,B443/ROUND($B$81*12,0),B443*(C443/12)/(1-(1+C443/12)^(-ROUND($B$81*12,0))))),IF(AND(NOT(AND(43&gt;$B$173,$B$78="Refinance",ISNUMBER($B$80),$B$80&gt;=0,$B$80&lt;=1,ROUND($B$81*12,0)&gt;=1,$B$81&lt;=100,SUM($B$82)&gt;=0,SUM($B$82)&lt;=1,SUM($B$83)&gt;=0)),OR(43=1,43=$B$174+1,AND($B$175&gt;0,43=$B$175+1))),IF(AND($B$170=1,$B$66&gt;0,OR($B$175=0,43&lt;=$B$175)),$B$66,IF($B$172-MAX(43-1,$B$174)&gt;0,IF(B443=0,0,IF(C443=0,B443/($B$172-MAX(43-1,$B$174)),B443*(C443/12)/(1-(1+C443/12)^(-($B$172-MAX(43-1,$B$174)))))),"")),D442))))),IF(IF(AND(43&lt;=$B$174,43&lt;=$B$173),B443*C443/12,IF(AND(43=$B$173+1,AND(43&gt;$B$173,$B$78="Refinance",ISNUMBER($B$80),$B$80&gt;=0,$B$80&lt;=1,ROUND($B$81*12,0)&gt;=1,$B$81&lt;=100,SUM($B$82)&gt;=0,SUM($B$82)&lt;=1,SUM($B$83)&gt;=0)),IF(B443=0,0,IF(C443=0,B443/ROUND($B$81*12,0),B443*(C443/12)/(1-(1+C443/12)^(-ROUND($B$81*12,0))))),IF(AND(NOT(AND(43&gt;$B$173,$B$78="Refinance",ISNUMBER($B$80),$B$80&gt;=0,$B$80&lt;=1,ROUND($B$81*12,0)&gt;=1,$B$81&lt;=100,SUM($B$82)&gt;=0,SUM($B$82)&lt;=1,SUM($B$83)&gt;=0)),OR(43=1,43=$B$174+1,AND($B$175&gt;0,43=$B$175+1))),IF(AND($B$170=1,$B$66&gt;0,OR($B$175=0,43&lt;=$B$175)),$B$66,IF($B$172-MAX(43-1,$B$174)&gt;0,IF(B443=0,0,IF(C443=0,B443/($B$172-MAX(43-1,$B$174)),B443*(C443/12)/(1-(1+C443/12)^(-($B$172-MAX(43-1,$B$174)))))),"")),D442)))+0.0000001&gt;=B443*C443/12,MIN(B443*(1+C443/12),IF(AND(43&lt;=$B$174,43&lt;=$B$173),B443*C443/12,IF(AND(43=$B$173+1,AND(43&gt;$B$173,$B$78="Refinance",ISNUMBER($B$80),$B$80&gt;=0,$B$80&lt;=1,ROUND($B$81*12,0)&gt;=1,$B$81&lt;=100,SUM($B$82)&gt;=0,SUM($B$82)&lt;=1,SUM($B$83)&gt;=0)),IF(B443=0,0,IF(C443=0,B443/ROUND($B$81*12,0),B443*(C443/12)/(1-(1+C443/12)^(-ROUND($B$81*12,0))))),IF(AND(NOT(AND(43&gt;$B$173,$B$78="Refinance",ISNUMBER($B$80),$B$80&gt;=0,$B$80&lt;=1,ROUND($B$81*12,0)&gt;=1,$B$81&lt;=100,SUM($B$82)&gt;=0,SUM($B$82)&lt;=1,SUM($B$83)&gt;=0)),OR(43=1,43=$B$174+1,AND($B$175&gt;0,43=$B$175+1))),IF(AND($B$170=1,$B$66&gt;0,OR($B$175=0,43&lt;=$B$175)),$B$66,IF($B$172-MAX(43-1,$B$174)&gt;0,IF(B443=0,0,IF(C443=0,B443/($B$172-MAX(43-1,$B$174)),B443*(C443/12)/(1-(1+C443/12)^(-($B$172-MAX(43-1,$B$174)))))),"")),D442)))),""),""))</x:f>
        <x:v>4679.450723240598</x:v>
      </x:c>
      <x:c r="E443" s="440" t="n">
        <x:f>IF(AND(43=$B$173,ISNUMBER(D443)),IF(MAX(0,B443*(1+C443/12)-D443)&lt;MAX(0.0000001,$E$17*0.00000000001),0,MAX(0,B443*(1+C443/12)-D443)),0)</x:f>
        <x:v>0</x:v>
      </x:c>
      <x:c r="F443" s="440" t="n">
        <x:f>IF($B$78="Cash payoff",E443,0)</x:f>
        <x:v>0</x:v>
      </x:c>
      <x:c r="G443" s="440" t="n">
        <x:f>IF(AND(E443&gt;0,AND($B$78="Refinance",ISNUMBER($B$80),$B$80&gt;=0,$B$80&lt;=1,ROUND($B$81*12,0)&gt;=1,$B$81&lt;=100,SUM($B$82)&gt;=0,SUM($B$82)&lt;=1,SUM($B$83)&gt;=0)),E443*SUM($B$82)+SUM($B$83),0)</x:f>
        <x:v>0</x:v>
      </x:c>
      <x:c r="H443" s="440" t="n">
        <x:f>IF(ISNUMBER(D443),IF(MAX(0,B443*(1+C443/12)-D443-F443)&lt;MAX(0.0000001,$E$17*0.00000000001),0,MAX(0,B443*(1+C443/12)-D443-F443)),IF(AND($B$171=1,I442=1),B443,""))</x:f>
        <x:v>725345.9362680187</x:v>
      </x:c>
      <x:c r="I443" s="444" t="n">
        <x:f>IF(OR(I442=1,AND(E443&gt;0,$B$78&lt;&gt;"Cash payoff",NOT(AND($B$78="Refinance",ISNUMBER($B$80),$B$80&gt;=0,$B$80&lt;=1,ROUND($B$81*12,0)&gt;=1,$B$81&lt;=100,SUM($B$82)&gt;=0,SUM($B$82)&lt;=1,SUM($B$83)&gt;=0))),AND(ISNUMBER(B443),B443&gt;0,$B$171=1,NOT(ISNUMBER(D443)))),1,0)</x:f>
        <x:v>0</x:v>
      </x:c>
      <x:c r="J443" s="440" t="n">
        <x:f>IF(ISNUMBER(L442),L442,"")</x:f>
        <x:v>0</x:v>
      </x:c>
      <x:c r="K443" s="440" t="n">
        <x:f>IF(AND(ISNUMBER(J443),J443=0),0,IF(AND($B$176=1,ISNUMBER(J443)),MIN(J443*(1+$B$87/12),IF($B$86=0,0,IF($B$87=0,$B$86/ROUND($B$88*12,0),$B$86*($B$87/12)/(1-(1+$B$87/12)^(-ROUND($B$88*12,0)))))),""))</x:f>
        <x:v>0</x:v>
      </x:c>
      <x:c r="L443" s="440" t="n">
        <x:f>IF(ISNUMBER(K443),IF(MAX(0,J443*(1+SUM($B$87)/12)-K443)&lt;MAX(0.0000001,$B$86*0.00000000001),0,MAX(0,J443*(1+SUM($B$87)/12)-K443)),"")</x:f>
        <x:v>0</x:v>
      </x:c>
      <x:c r="M443" s="440" t="n">
        <x:f>IF(AND(ISNUMBER(D443),ISNUMBER(K443)),D443+K443,"")</x:f>
        <x:v>4679.450723240598</x:v>
      </x:c>
      <x:c r="N443" s="440" t="n">
        <x:f>IF(AND(ISNUMBER(H443),ISNUMBER(L443)),H443+L443,"")</x:f>
        <x:v>725345.9362680187</x:v>
      </x:c>
    </x:row>
    <x:row r="444" ht="22" customHeight="1">
      <x:c r="A444" s="254" t="n">
        <x:f>44</x:f>
        <x:v>44</x:v>
      </x:c>
      <x:c r="B444" s="440" t="n">
        <x:f>IF(ISNUMBER(H443),H443,"")</x:f>
        <x:v>725345.9362680187</x:v>
      </x:c>
      <x:c r="C444" s="442" t="n">
        <x:f>IF(ISNUMBER(B444),IF(AND(44&gt;$B$173,$B$78="Refinance",ISNUMBER($B$80),$B$80&gt;=0,$B$80&lt;=1,ROUND($B$81*12,0)&gt;=1,$B$81&lt;=100,SUM($B$82)&gt;=0,SUM($B$82)&lt;=1,SUM($B$83)&gt;=0),$B$80,IF(AND($B$175&gt;0,44&gt;$B$175,ISNUMBER($B$75)),$B$75,$B$61)),"")</x:f>
        <x:v>0.0625</x:v>
      </x:c>
      <x:c r="D444" s="440" t="n">
        <x:f>IF(AND(ISNUMBER(B444),B444=0),0,IF(AND($B$171=1,I443=0,ISNUMBER(C444),ISNUMBER(IF(AND(44&lt;=$B$174,44&lt;=$B$173),B444*C444/12,IF(AND(44=$B$173+1,AND(44&gt;$B$173,$B$78="Refinance",ISNUMBER($B$80),$B$80&gt;=0,$B$80&lt;=1,ROUND($B$81*12,0)&gt;=1,$B$81&lt;=100,SUM($B$82)&gt;=0,SUM($B$82)&lt;=1,SUM($B$83)&gt;=0)),IF(B444=0,0,IF(C444=0,B444/ROUND($B$81*12,0),B444*(C444/12)/(1-(1+C444/12)^(-ROUND($B$81*12,0))))),IF(AND(NOT(AND(44&gt;$B$173,$B$78="Refinance",ISNUMBER($B$80),$B$80&gt;=0,$B$80&lt;=1,ROUND($B$81*12,0)&gt;=1,$B$81&lt;=100,SUM($B$82)&gt;=0,SUM($B$82)&lt;=1,SUM($B$83)&gt;=0)),OR(44=1,44=$B$174+1,AND($B$175&gt;0,44=$B$175+1))),IF(AND($B$170=1,$B$66&gt;0,OR($B$175=0,44&lt;=$B$175)),$B$66,IF($B$172-MAX(44-1,$B$174)&gt;0,IF(B444=0,0,IF(C444=0,B444/($B$172-MAX(44-1,$B$174)),B444*(C444/12)/(1-(1+C444/12)^(-($B$172-MAX(44-1,$B$174)))))),"")),D443))))),IF(IF(AND(44&lt;=$B$174,44&lt;=$B$173),B444*C444/12,IF(AND(44=$B$173+1,AND(44&gt;$B$173,$B$78="Refinance",ISNUMBER($B$80),$B$80&gt;=0,$B$80&lt;=1,ROUND($B$81*12,0)&gt;=1,$B$81&lt;=100,SUM($B$82)&gt;=0,SUM($B$82)&lt;=1,SUM($B$83)&gt;=0)),IF(B444=0,0,IF(C444=0,B444/ROUND($B$81*12,0),B444*(C444/12)/(1-(1+C444/12)^(-ROUND($B$81*12,0))))),IF(AND(NOT(AND(44&gt;$B$173,$B$78="Refinance",ISNUMBER($B$80),$B$80&gt;=0,$B$80&lt;=1,ROUND($B$81*12,0)&gt;=1,$B$81&lt;=100,SUM($B$82)&gt;=0,SUM($B$82)&lt;=1,SUM($B$83)&gt;=0)),OR(44=1,44=$B$174+1,AND($B$175&gt;0,44=$B$175+1))),IF(AND($B$170=1,$B$66&gt;0,OR($B$175=0,44&lt;=$B$175)),$B$66,IF($B$172-MAX(44-1,$B$174)&gt;0,IF(B444=0,0,IF(C444=0,B444/($B$172-MAX(44-1,$B$174)),B444*(C444/12)/(1-(1+C444/12)^(-($B$172-MAX(44-1,$B$174)))))),"")),D443)))+0.0000001&gt;=B444*C444/12,MIN(B444*(1+C444/12),IF(AND(44&lt;=$B$174,44&lt;=$B$173),B444*C444/12,IF(AND(44=$B$173+1,AND(44&gt;$B$173,$B$78="Refinance",ISNUMBER($B$80),$B$80&gt;=0,$B$80&lt;=1,ROUND($B$81*12,0)&gt;=1,$B$81&lt;=100,SUM($B$82)&gt;=0,SUM($B$82)&lt;=1,SUM($B$83)&gt;=0)),IF(B444=0,0,IF(C444=0,B444/ROUND($B$81*12,0),B444*(C444/12)/(1-(1+C444/12)^(-ROUND($B$81*12,0))))),IF(AND(NOT(AND(44&gt;$B$173,$B$78="Refinance",ISNUMBER($B$80),$B$80&gt;=0,$B$80&lt;=1,ROUND($B$81*12,0)&gt;=1,$B$81&lt;=100,SUM($B$82)&gt;=0,SUM($B$82)&lt;=1,SUM($B$83)&gt;=0)),OR(44=1,44=$B$174+1,AND($B$175&gt;0,44=$B$175+1))),IF(AND($B$170=1,$B$66&gt;0,OR($B$175=0,44&lt;=$B$175)),$B$66,IF($B$172-MAX(44-1,$B$174)&gt;0,IF(B444=0,0,IF(C444=0,B444/($B$172-MAX(44-1,$B$174)),B444*(C444/12)/(1-(1+C444/12)^(-($B$172-MAX(44-1,$B$174)))))),"")),D443)))),""),""))</x:f>
        <x:v>4679.450723240598</x:v>
      </x:c>
      <x:c r="E444" s="440" t="n">
        <x:f>IF(AND(44=$B$173,ISNUMBER(D444)),IF(MAX(0,B444*(1+C444/12)-D444)&lt;MAX(0.0000001,$E$17*0.00000000001),0,MAX(0,B444*(1+C444/12)-D444)),0)</x:f>
        <x:v>0</x:v>
      </x:c>
      <x:c r="F444" s="440" t="n">
        <x:f>IF($B$78="Cash payoff",E444,0)</x:f>
        <x:v>0</x:v>
      </x:c>
      <x:c r="G444" s="440" t="n">
        <x:f>IF(AND(E444&gt;0,AND($B$78="Refinance",ISNUMBER($B$80),$B$80&gt;=0,$B$80&lt;=1,ROUND($B$81*12,0)&gt;=1,$B$81&lt;=100,SUM($B$82)&gt;=0,SUM($B$82)&lt;=1,SUM($B$83)&gt;=0)),E444*SUM($B$82)+SUM($B$83),0)</x:f>
        <x:v>0</x:v>
      </x:c>
      <x:c r="H444" s="440" t="n">
        <x:f>IF(ISNUMBER(D444),IF(MAX(0,B444*(1+C444/12)-D444-F444)&lt;MAX(0.0000001,$E$17*0.00000000001),0,MAX(0,B444*(1+C444/12)-D444-F444)),IF(AND($B$171=1,I443=1),B444,""))</x:f>
        <x:v>724444.3289628406</x:v>
      </x:c>
      <x:c r="I444" s="444" t="n">
        <x:f>IF(OR(I443=1,AND(E444&gt;0,$B$78&lt;&gt;"Cash payoff",NOT(AND($B$78="Refinance",ISNUMBER($B$80),$B$80&gt;=0,$B$80&lt;=1,ROUND($B$81*12,0)&gt;=1,$B$81&lt;=100,SUM($B$82)&gt;=0,SUM($B$82)&lt;=1,SUM($B$83)&gt;=0))),AND(ISNUMBER(B444),B444&gt;0,$B$171=1,NOT(ISNUMBER(D444)))),1,0)</x:f>
        <x:v>0</x:v>
      </x:c>
      <x:c r="J444" s="440" t="n">
        <x:f>IF(ISNUMBER(L443),L443,"")</x:f>
        <x:v>0</x:v>
      </x:c>
      <x:c r="K444" s="440" t="n">
        <x:f>IF(AND(ISNUMBER(J444),J444=0),0,IF(AND($B$176=1,ISNUMBER(J444)),MIN(J444*(1+$B$87/12),IF($B$86=0,0,IF($B$87=0,$B$86/ROUND($B$88*12,0),$B$86*($B$87/12)/(1-(1+$B$87/12)^(-ROUND($B$88*12,0)))))),""))</x:f>
        <x:v>0</x:v>
      </x:c>
      <x:c r="L444" s="440" t="n">
        <x:f>IF(ISNUMBER(K444),IF(MAX(0,J444*(1+SUM($B$87)/12)-K444)&lt;MAX(0.0000001,$B$86*0.00000000001),0,MAX(0,J444*(1+SUM($B$87)/12)-K444)),"")</x:f>
        <x:v>0</x:v>
      </x:c>
      <x:c r="M444" s="440" t="n">
        <x:f>IF(AND(ISNUMBER(D444),ISNUMBER(K444)),D444+K444,"")</x:f>
        <x:v>4679.450723240598</x:v>
      </x:c>
      <x:c r="N444" s="440" t="n">
        <x:f>IF(AND(ISNUMBER(H444),ISNUMBER(L444)),H444+L444,"")</x:f>
        <x:v>724444.3289628406</x:v>
      </x:c>
    </x:row>
    <x:row r="445" ht="22" customHeight="1">
      <x:c r="A445" s="254" t="n">
        <x:f>45</x:f>
        <x:v>45</x:v>
      </x:c>
      <x:c r="B445" s="440" t="n">
        <x:f>IF(ISNUMBER(H444),H444,"")</x:f>
        <x:v>724444.3289628406</x:v>
      </x:c>
      <x:c r="C445" s="442" t="n">
        <x:f>IF(ISNUMBER(B445),IF(AND(45&gt;$B$173,$B$78="Refinance",ISNUMBER($B$80),$B$80&gt;=0,$B$80&lt;=1,ROUND($B$81*12,0)&gt;=1,$B$81&lt;=100,SUM($B$82)&gt;=0,SUM($B$82)&lt;=1,SUM($B$83)&gt;=0),$B$80,IF(AND($B$175&gt;0,45&gt;$B$175,ISNUMBER($B$75)),$B$75,$B$61)),"")</x:f>
        <x:v>0.0625</x:v>
      </x:c>
      <x:c r="D445" s="440" t="n">
        <x:f>IF(AND(ISNUMBER(B445),B445=0),0,IF(AND($B$171=1,I444=0,ISNUMBER(C445),ISNUMBER(IF(AND(45&lt;=$B$174,45&lt;=$B$173),B445*C445/12,IF(AND(45=$B$173+1,AND(45&gt;$B$173,$B$78="Refinance",ISNUMBER($B$80),$B$80&gt;=0,$B$80&lt;=1,ROUND($B$81*12,0)&gt;=1,$B$81&lt;=100,SUM($B$82)&gt;=0,SUM($B$82)&lt;=1,SUM($B$83)&gt;=0)),IF(B445=0,0,IF(C445=0,B445/ROUND($B$81*12,0),B445*(C445/12)/(1-(1+C445/12)^(-ROUND($B$81*12,0))))),IF(AND(NOT(AND(45&gt;$B$173,$B$78="Refinance",ISNUMBER($B$80),$B$80&gt;=0,$B$80&lt;=1,ROUND($B$81*12,0)&gt;=1,$B$81&lt;=100,SUM($B$82)&gt;=0,SUM($B$82)&lt;=1,SUM($B$83)&gt;=0)),OR(45=1,45=$B$174+1,AND($B$175&gt;0,45=$B$175+1))),IF(AND($B$170=1,$B$66&gt;0,OR($B$175=0,45&lt;=$B$175)),$B$66,IF($B$172-MAX(45-1,$B$174)&gt;0,IF(B445=0,0,IF(C445=0,B445/($B$172-MAX(45-1,$B$174)),B445*(C445/12)/(1-(1+C445/12)^(-($B$172-MAX(45-1,$B$174)))))),"")),D444))))),IF(IF(AND(45&lt;=$B$174,45&lt;=$B$173),B445*C445/12,IF(AND(45=$B$173+1,AND(45&gt;$B$173,$B$78="Refinance",ISNUMBER($B$80),$B$80&gt;=0,$B$80&lt;=1,ROUND($B$81*12,0)&gt;=1,$B$81&lt;=100,SUM($B$82)&gt;=0,SUM($B$82)&lt;=1,SUM($B$83)&gt;=0)),IF(B445=0,0,IF(C445=0,B445/ROUND($B$81*12,0),B445*(C445/12)/(1-(1+C445/12)^(-ROUND($B$81*12,0))))),IF(AND(NOT(AND(45&gt;$B$173,$B$78="Refinance",ISNUMBER($B$80),$B$80&gt;=0,$B$80&lt;=1,ROUND($B$81*12,0)&gt;=1,$B$81&lt;=100,SUM($B$82)&gt;=0,SUM($B$82)&lt;=1,SUM($B$83)&gt;=0)),OR(45=1,45=$B$174+1,AND($B$175&gt;0,45=$B$175+1))),IF(AND($B$170=1,$B$66&gt;0,OR($B$175=0,45&lt;=$B$175)),$B$66,IF($B$172-MAX(45-1,$B$174)&gt;0,IF(B445=0,0,IF(C445=0,B445/($B$172-MAX(45-1,$B$174)),B445*(C445/12)/(1-(1+C445/12)^(-($B$172-MAX(45-1,$B$174)))))),"")),D444)))+0.0000001&gt;=B445*C445/12,MIN(B445*(1+C445/12),IF(AND(45&lt;=$B$174,45&lt;=$B$173),B445*C445/12,IF(AND(45=$B$173+1,AND(45&gt;$B$173,$B$78="Refinance",ISNUMBER($B$80),$B$80&gt;=0,$B$80&lt;=1,ROUND($B$81*12,0)&gt;=1,$B$81&lt;=100,SUM($B$82)&gt;=0,SUM($B$82)&lt;=1,SUM($B$83)&gt;=0)),IF(B445=0,0,IF(C445=0,B445/ROUND($B$81*12,0),B445*(C445/12)/(1-(1+C445/12)^(-ROUND($B$81*12,0))))),IF(AND(NOT(AND(45&gt;$B$173,$B$78="Refinance",ISNUMBER($B$80),$B$80&gt;=0,$B$80&lt;=1,ROUND($B$81*12,0)&gt;=1,$B$81&lt;=100,SUM($B$82)&gt;=0,SUM($B$82)&lt;=1,SUM($B$83)&gt;=0)),OR(45=1,45=$B$174+1,AND($B$175&gt;0,45=$B$175+1))),IF(AND($B$170=1,$B$66&gt;0,OR($B$175=0,45&lt;=$B$175)),$B$66,IF($B$172-MAX(45-1,$B$174)&gt;0,IF(B445=0,0,IF(C445=0,B445/($B$172-MAX(45-1,$B$174)),B445*(C445/12)/(1-(1+C445/12)^(-($B$172-MAX(45-1,$B$174)))))),"")),D444)))),""),""))</x:f>
        <x:v>4679.450723240598</x:v>
      </x:c>
      <x:c r="E445" s="440" t="n">
        <x:f>IF(AND(45=$B$173,ISNUMBER(D445)),IF(MAX(0,B445*(1+C445/12)-D445)&lt;MAX(0.0000001,$E$17*0.00000000001),0,MAX(0,B445*(1+C445/12)-D445)),0)</x:f>
        <x:v>0</x:v>
      </x:c>
      <x:c r="F445" s="440" t="n">
        <x:f>IF($B$78="Cash payoff",E445,0)</x:f>
        <x:v>0</x:v>
      </x:c>
      <x:c r="G445" s="440" t="n">
        <x:f>IF(AND(E445&gt;0,AND($B$78="Refinance",ISNUMBER($B$80),$B$80&gt;=0,$B$80&lt;=1,ROUND($B$81*12,0)&gt;=1,$B$81&lt;=100,SUM($B$82)&gt;=0,SUM($B$82)&lt;=1,SUM($B$83)&gt;=0)),E445*SUM($B$82)+SUM($B$83),0)</x:f>
        <x:v>0</x:v>
      </x:c>
      <x:c r="H445" s="440" t="n">
        <x:f>IF(ISNUMBER(D445),IF(MAX(0,B445*(1+C445/12)-D445-F445)&lt;MAX(0.0000001,$E$17*0.00000000001),0,MAX(0,B445*(1+C445/12)-D445-F445)),IF(AND($B$171=1,I444=1),B445,""))</x:f>
        <x:v>723538.0257862814</x:v>
      </x:c>
      <x:c r="I445" s="444" t="n">
        <x:f>IF(OR(I444=1,AND(E445&gt;0,$B$78&lt;&gt;"Cash payoff",NOT(AND($B$78="Refinance",ISNUMBER($B$80),$B$80&gt;=0,$B$80&lt;=1,ROUND($B$81*12,0)&gt;=1,$B$81&lt;=100,SUM($B$82)&gt;=0,SUM($B$82)&lt;=1,SUM($B$83)&gt;=0))),AND(ISNUMBER(B445),B445&gt;0,$B$171=1,NOT(ISNUMBER(D445)))),1,0)</x:f>
        <x:v>0</x:v>
      </x:c>
      <x:c r="J445" s="440" t="n">
        <x:f>IF(ISNUMBER(L444),L444,"")</x:f>
        <x:v>0</x:v>
      </x:c>
      <x:c r="K445" s="440" t="n">
        <x:f>IF(AND(ISNUMBER(J445),J445=0),0,IF(AND($B$176=1,ISNUMBER(J445)),MIN(J445*(1+$B$87/12),IF($B$86=0,0,IF($B$87=0,$B$86/ROUND($B$88*12,0),$B$86*($B$87/12)/(1-(1+$B$87/12)^(-ROUND($B$88*12,0)))))),""))</x:f>
        <x:v>0</x:v>
      </x:c>
      <x:c r="L445" s="440" t="n">
        <x:f>IF(ISNUMBER(K445),IF(MAX(0,J445*(1+SUM($B$87)/12)-K445)&lt;MAX(0.0000001,$B$86*0.00000000001),0,MAX(0,J445*(1+SUM($B$87)/12)-K445)),"")</x:f>
        <x:v>0</x:v>
      </x:c>
      <x:c r="M445" s="440" t="n">
        <x:f>IF(AND(ISNUMBER(D445),ISNUMBER(K445)),D445+K445,"")</x:f>
        <x:v>4679.450723240598</x:v>
      </x:c>
      <x:c r="N445" s="440" t="n">
        <x:f>IF(AND(ISNUMBER(H445),ISNUMBER(L445)),H445+L445,"")</x:f>
        <x:v>723538.0257862814</x:v>
      </x:c>
    </x:row>
    <x:row r="446" ht="22" customHeight="1">
      <x:c r="A446" s="254" t="n">
        <x:f>46</x:f>
        <x:v>46</x:v>
      </x:c>
      <x:c r="B446" s="440" t="n">
        <x:f>IF(ISNUMBER(H445),H445,"")</x:f>
        <x:v>723538.0257862814</x:v>
      </x:c>
      <x:c r="C446" s="442" t="n">
        <x:f>IF(ISNUMBER(B446),IF(AND(46&gt;$B$173,$B$78="Refinance",ISNUMBER($B$80),$B$80&gt;=0,$B$80&lt;=1,ROUND($B$81*12,0)&gt;=1,$B$81&lt;=100,SUM($B$82)&gt;=0,SUM($B$82)&lt;=1,SUM($B$83)&gt;=0),$B$80,IF(AND($B$175&gt;0,46&gt;$B$175,ISNUMBER($B$75)),$B$75,$B$61)),"")</x:f>
        <x:v>0.0625</x:v>
      </x:c>
      <x:c r="D446" s="440" t="n">
        <x:f>IF(AND(ISNUMBER(B446),B446=0),0,IF(AND($B$171=1,I445=0,ISNUMBER(C446),ISNUMBER(IF(AND(46&lt;=$B$174,46&lt;=$B$173),B446*C446/12,IF(AND(46=$B$173+1,AND(46&gt;$B$173,$B$78="Refinance",ISNUMBER($B$80),$B$80&gt;=0,$B$80&lt;=1,ROUND($B$81*12,0)&gt;=1,$B$81&lt;=100,SUM($B$82)&gt;=0,SUM($B$82)&lt;=1,SUM($B$83)&gt;=0)),IF(B446=0,0,IF(C446=0,B446/ROUND($B$81*12,0),B446*(C446/12)/(1-(1+C446/12)^(-ROUND($B$81*12,0))))),IF(AND(NOT(AND(46&gt;$B$173,$B$78="Refinance",ISNUMBER($B$80),$B$80&gt;=0,$B$80&lt;=1,ROUND($B$81*12,0)&gt;=1,$B$81&lt;=100,SUM($B$82)&gt;=0,SUM($B$82)&lt;=1,SUM($B$83)&gt;=0)),OR(46=1,46=$B$174+1,AND($B$175&gt;0,46=$B$175+1))),IF(AND($B$170=1,$B$66&gt;0,OR($B$175=0,46&lt;=$B$175)),$B$66,IF($B$172-MAX(46-1,$B$174)&gt;0,IF(B446=0,0,IF(C446=0,B446/($B$172-MAX(46-1,$B$174)),B446*(C446/12)/(1-(1+C446/12)^(-($B$172-MAX(46-1,$B$174)))))),"")),D445))))),IF(IF(AND(46&lt;=$B$174,46&lt;=$B$173),B446*C446/12,IF(AND(46=$B$173+1,AND(46&gt;$B$173,$B$78="Refinance",ISNUMBER($B$80),$B$80&gt;=0,$B$80&lt;=1,ROUND($B$81*12,0)&gt;=1,$B$81&lt;=100,SUM($B$82)&gt;=0,SUM($B$82)&lt;=1,SUM($B$83)&gt;=0)),IF(B446=0,0,IF(C446=0,B446/ROUND($B$81*12,0),B446*(C446/12)/(1-(1+C446/12)^(-ROUND($B$81*12,0))))),IF(AND(NOT(AND(46&gt;$B$173,$B$78="Refinance",ISNUMBER($B$80),$B$80&gt;=0,$B$80&lt;=1,ROUND($B$81*12,0)&gt;=1,$B$81&lt;=100,SUM($B$82)&gt;=0,SUM($B$82)&lt;=1,SUM($B$83)&gt;=0)),OR(46=1,46=$B$174+1,AND($B$175&gt;0,46=$B$175+1))),IF(AND($B$170=1,$B$66&gt;0,OR($B$175=0,46&lt;=$B$175)),$B$66,IF($B$172-MAX(46-1,$B$174)&gt;0,IF(B446=0,0,IF(C446=0,B446/($B$172-MAX(46-1,$B$174)),B446*(C446/12)/(1-(1+C446/12)^(-($B$172-MAX(46-1,$B$174)))))),"")),D445)))+0.0000001&gt;=B446*C446/12,MIN(B446*(1+C446/12),IF(AND(46&lt;=$B$174,46&lt;=$B$173),B446*C446/12,IF(AND(46=$B$173+1,AND(46&gt;$B$173,$B$78="Refinance",ISNUMBER($B$80),$B$80&gt;=0,$B$80&lt;=1,ROUND($B$81*12,0)&gt;=1,$B$81&lt;=100,SUM($B$82)&gt;=0,SUM($B$82)&lt;=1,SUM($B$83)&gt;=0)),IF(B446=0,0,IF(C446=0,B446/ROUND($B$81*12,0),B446*(C446/12)/(1-(1+C446/12)^(-ROUND($B$81*12,0))))),IF(AND(NOT(AND(46&gt;$B$173,$B$78="Refinance",ISNUMBER($B$80),$B$80&gt;=0,$B$80&lt;=1,ROUND($B$81*12,0)&gt;=1,$B$81&lt;=100,SUM($B$82)&gt;=0,SUM($B$82)&lt;=1,SUM($B$83)&gt;=0)),OR(46=1,46=$B$174+1,AND($B$175&gt;0,46=$B$175+1))),IF(AND($B$170=1,$B$66&gt;0,OR($B$175=0,46&lt;=$B$175)),$B$66,IF($B$172-MAX(46-1,$B$174)&gt;0,IF(B446=0,0,IF(C446=0,B446/($B$172-MAX(46-1,$B$174)),B446*(C446/12)/(1-(1+C446/12)^(-($B$172-MAX(46-1,$B$174)))))),"")),D445)))),""),""))</x:f>
        <x:v>4679.450723240598</x:v>
      </x:c>
      <x:c r="E446" s="440" t="n">
        <x:f>IF(AND(46=$B$173,ISNUMBER(D446)),IF(MAX(0,B446*(1+C446/12)-D446)&lt;MAX(0.0000001,$E$17*0.00000000001),0,MAX(0,B446*(1+C446/12)-D446)),0)</x:f>
        <x:v>0</x:v>
      </x:c>
      <x:c r="F446" s="440" t="n">
        <x:f>IF($B$78="Cash payoff",E446,0)</x:f>
        <x:v>0</x:v>
      </x:c>
      <x:c r="G446" s="440" t="n">
        <x:f>IF(AND(E446&gt;0,AND($B$78="Refinance",ISNUMBER($B$80),$B$80&gt;=0,$B$80&lt;=1,ROUND($B$81*12,0)&gt;=1,$B$81&lt;=100,SUM($B$82)&gt;=0,SUM($B$82)&lt;=1,SUM($B$83)&gt;=0)),E446*SUM($B$82)+SUM($B$83),0)</x:f>
        <x:v>0</x:v>
      </x:c>
      <x:c r="H446" s="440" t="n">
        <x:f>IF(ISNUMBER(D446),IF(MAX(0,B446*(1+C446/12)-D446-F446)&lt;MAX(0.0000001,$E$17*0.00000000001),0,MAX(0,B446*(1+C446/12)-D446-F446)),IF(AND($B$171=1,I445=1),B446,""))</x:f>
        <x:v>722627.0022806777</x:v>
      </x:c>
      <x:c r="I446" s="444" t="n">
        <x:f>IF(OR(I445=1,AND(E446&gt;0,$B$78&lt;&gt;"Cash payoff",NOT(AND($B$78="Refinance",ISNUMBER($B$80),$B$80&gt;=0,$B$80&lt;=1,ROUND($B$81*12,0)&gt;=1,$B$81&lt;=100,SUM($B$82)&gt;=0,SUM($B$82)&lt;=1,SUM($B$83)&gt;=0))),AND(ISNUMBER(B446),B446&gt;0,$B$171=1,NOT(ISNUMBER(D446)))),1,0)</x:f>
        <x:v>0</x:v>
      </x:c>
      <x:c r="J446" s="440" t="n">
        <x:f>IF(ISNUMBER(L445),L445,"")</x:f>
        <x:v>0</x:v>
      </x:c>
      <x:c r="K446" s="440" t="n">
        <x:f>IF(AND(ISNUMBER(J446),J446=0),0,IF(AND($B$176=1,ISNUMBER(J446)),MIN(J446*(1+$B$87/12),IF($B$86=0,0,IF($B$87=0,$B$86/ROUND($B$88*12,0),$B$86*($B$87/12)/(1-(1+$B$87/12)^(-ROUND($B$88*12,0)))))),""))</x:f>
        <x:v>0</x:v>
      </x:c>
      <x:c r="L446" s="440" t="n">
        <x:f>IF(ISNUMBER(K446),IF(MAX(0,J446*(1+SUM($B$87)/12)-K446)&lt;MAX(0.0000001,$B$86*0.00000000001),0,MAX(0,J446*(1+SUM($B$87)/12)-K446)),"")</x:f>
        <x:v>0</x:v>
      </x:c>
      <x:c r="M446" s="440" t="n">
        <x:f>IF(AND(ISNUMBER(D446),ISNUMBER(K446)),D446+K446,"")</x:f>
        <x:v>4679.450723240598</x:v>
      </x:c>
      <x:c r="N446" s="440" t="n">
        <x:f>IF(AND(ISNUMBER(H446),ISNUMBER(L446)),H446+L446,"")</x:f>
        <x:v>722627.0022806777</x:v>
      </x:c>
    </x:row>
    <x:row r="447" ht="22" customHeight="1">
      <x:c r="A447" s="254" t="n">
        <x:f>47</x:f>
        <x:v>47</x:v>
      </x:c>
      <x:c r="B447" s="440" t="n">
        <x:f>IF(ISNUMBER(H446),H446,"")</x:f>
        <x:v>722627.0022806777</x:v>
      </x:c>
      <x:c r="C447" s="442" t="n">
        <x:f>IF(ISNUMBER(B447),IF(AND(47&gt;$B$173,$B$78="Refinance",ISNUMBER($B$80),$B$80&gt;=0,$B$80&lt;=1,ROUND($B$81*12,0)&gt;=1,$B$81&lt;=100,SUM($B$82)&gt;=0,SUM($B$82)&lt;=1,SUM($B$83)&gt;=0),$B$80,IF(AND($B$175&gt;0,47&gt;$B$175,ISNUMBER($B$75)),$B$75,$B$61)),"")</x:f>
        <x:v>0.0625</x:v>
      </x:c>
      <x:c r="D447" s="440" t="n">
        <x:f>IF(AND(ISNUMBER(B447),B447=0),0,IF(AND($B$171=1,I446=0,ISNUMBER(C447),ISNUMBER(IF(AND(47&lt;=$B$174,47&lt;=$B$173),B447*C447/12,IF(AND(47=$B$173+1,AND(47&gt;$B$173,$B$78="Refinance",ISNUMBER($B$80),$B$80&gt;=0,$B$80&lt;=1,ROUND($B$81*12,0)&gt;=1,$B$81&lt;=100,SUM($B$82)&gt;=0,SUM($B$82)&lt;=1,SUM($B$83)&gt;=0)),IF(B447=0,0,IF(C447=0,B447/ROUND($B$81*12,0),B447*(C447/12)/(1-(1+C447/12)^(-ROUND($B$81*12,0))))),IF(AND(NOT(AND(47&gt;$B$173,$B$78="Refinance",ISNUMBER($B$80),$B$80&gt;=0,$B$80&lt;=1,ROUND($B$81*12,0)&gt;=1,$B$81&lt;=100,SUM($B$82)&gt;=0,SUM($B$82)&lt;=1,SUM($B$83)&gt;=0)),OR(47=1,47=$B$174+1,AND($B$175&gt;0,47=$B$175+1))),IF(AND($B$170=1,$B$66&gt;0,OR($B$175=0,47&lt;=$B$175)),$B$66,IF($B$172-MAX(47-1,$B$174)&gt;0,IF(B447=0,0,IF(C447=0,B447/($B$172-MAX(47-1,$B$174)),B447*(C447/12)/(1-(1+C447/12)^(-($B$172-MAX(47-1,$B$174)))))),"")),D446))))),IF(IF(AND(47&lt;=$B$174,47&lt;=$B$173),B447*C447/12,IF(AND(47=$B$173+1,AND(47&gt;$B$173,$B$78="Refinance",ISNUMBER($B$80),$B$80&gt;=0,$B$80&lt;=1,ROUND($B$81*12,0)&gt;=1,$B$81&lt;=100,SUM($B$82)&gt;=0,SUM($B$82)&lt;=1,SUM($B$83)&gt;=0)),IF(B447=0,0,IF(C447=0,B447/ROUND($B$81*12,0),B447*(C447/12)/(1-(1+C447/12)^(-ROUND($B$81*12,0))))),IF(AND(NOT(AND(47&gt;$B$173,$B$78="Refinance",ISNUMBER($B$80),$B$80&gt;=0,$B$80&lt;=1,ROUND($B$81*12,0)&gt;=1,$B$81&lt;=100,SUM($B$82)&gt;=0,SUM($B$82)&lt;=1,SUM($B$83)&gt;=0)),OR(47=1,47=$B$174+1,AND($B$175&gt;0,47=$B$175+1))),IF(AND($B$170=1,$B$66&gt;0,OR($B$175=0,47&lt;=$B$175)),$B$66,IF($B$172-MAX(47-1,$B$174)&gt;0,IF(B447=0,0,IF(C447=0,B447/($B$172-MAX(47-1,$B$174)),B447*(C447/12)/(1-(1+C447/12)^(-($B$172-MAX(47-1,$B$174)))))),"")),D446)))+0.0000001&gt;=B447*C447/12,MIN(B447*(1+C447/12),IF(AND(47&lt;=$B$174,47&lt;=$B$173),B447*C447/12,IF(AND(47=$B$173+1,AND(47&gt;$B$173,$B$78="Refinance",ISNUMBER($B$80),$B$80&gt;=0,$B$80&lt;=1,ROUND($B$81*12,0)&gt;=1,$B$81&lt;=100,SUM($B$82)&gt;=0,SUM($B$82)&lt;=1,SUM($B$83)&gt;=0)),IF(B447=0,0,IF(C447=0,B447/ROUND($B$81*12,0),B447*(C447/12)/(1-(1+C447/12)^(-ROUND($B$81*12,0))))),IF(AND(NOT(AND(47&gt;$B$173,$B$78="Refinance",ISNUMBER($B$80),$B$80&gt;=0,$B$80&lt;=1,ROUND($B$81*12,0)&gt;=1,$B$81&lt;=100,SUM($B$82)&gt;=0,SUM($B$82)&lt;=1,SUM($B$83)&gt;=0)),OR(47=1,47=$B$174+1,AND($B$175&gt;0,47=$B$175+1))),IF(AND($B$170=1,$B$66&gt;0,OR($B$175=0,47&lt;=$B$175)),$B$66,IF($B$172-MAX(47-1,$B$174)&gt;0,IF(B447=0,0,IF(C447=0,B447/($B$172-MAX(47-1,$B$174)),B447*(C447/12)/(1-(1+C447/12)^(-($B$172-MAX(47-1,$B$174)))))),"")),D446)))),""),""))</x:f>
        <x:v>4679.450723240598</x:v>
      </x:c>
      <x:c r="E447" s="440" t="n">
        <x:f>IF(AND(47=$B$173,ISNUMBER(D447)),IF(MAX(0,B447*(1+C447/12)-D447)&lt;MAX(0.0000001,$E$17*0.00000000001),0,MAX(0,B447*(1+C447/12)-D447)),0)</x:f>
        <x:v>0</x:v>
      </x:c>
      <x:c r="F447" s="440" t="n">
        <x:f>IF($B$78="Cash payoff",E447,0)</x:f>
        <x:v>0</x:v>
      </x:c>
      <x:c r="G447" s="440" t="n">
        <x:f>IF(AND(E447&gt;0,AND($B$78="Refinance",ISNUMBER($B$80),$B$80&gt;=0,$B$80&lt;=1,ROUND($B$81*12,0)&gt;=1,$B$81&lt;=100,SUM($B$82)&gt;=0,SUM($B$82)&lt;=1,SUM($B$83)&gt;=0)),E447*SUM($B$82)+SUM($B$83),0)</x:f>
        <x:v>0</x:v>
      </x:c>
      <x:c r="H447" s="440" t="n">
        <x:f>IF(ISNUMBER(D447),IF(MAX(0,B447*(1+C447/12)-D447-F447)&lt;MAX(0.0000001,$E$17*0.00000000001),0,MAX(0,B447*(1+C447/12)-D447-F447)),IF(AND($B$171=1,I446=1),B447,""))</x:f>
        <x:v>721711.2338609822</x:v>
      </x:c>
      <x:c r="I447" s="444" t="n">
        <x:f>IF(OR(I446=1,AND(E447&gt;0,$B$78&lt;&gt;"Cash payoff",NOT(AND($B$78="Refinance",ISNUMBER($B$80),$B$80&gt;=0,$B$80&lt;=1,ROUND($B$81*12,0)&gt;=1,$B$81&lt;=100,SUM($B$82)&gt;=0,SUM($B$82)&lt;=1,SUM($B$83)&gt;=0))),AND(ISNUMBER(B447),B447&gt;0,$B$171=1,NOT(ISNUMBER(D447)))),1,0)</x:f>
        <x:v>0</x:v>
      </x:c>
      <x:c r="J447" s="440" t="n">
        <x:f>IF(ISNUMBER(L446),L446,"")</x:f>
        <x:v>0</x:v>
      </x:c>
      <x:c r="K447" s="440" t="n">
        <x:f>IF(AND(ISNUMBER(J447),J447=0),0,IF(AND($B$176=1,ISNUMBER(J447)),MIN(J447*(1+$B$87/12),IF($B$86=0,0,IF($B$87=0,$B$86/ROUND($B$88*12,0),$B$86*($B$87/12)/(1-(1+$B$87/12)^(-ROUND($B$88*12,0)))))),""))</x:f>
        <x:v>0</x:v>
      </x:c>
      <x:c r="L447" s="440" t="n">
        <x:f>IF(ISNUMBER(K447),IF(MAX(0,J447*(1+SUM($B$87)/12)-K447)&lt;MAX(0.0000001,$B$86*0.00000000001),0,MAX(0,J447*(1+SUM($B$87)/12)-K447)),"")</x:f>
        <x:v>0</x:v>
      </x:c>
      <x:c r="M447" s="440" t="n">
        <x:f>IF(AND(ISNUMBER(D447),ISNUMBER(K447)),D447+K447,"")</x:f>
        <x:v>4679.450723240598</x:v>
      </x:c>
      <x:c r="N447" s="440" t="n">
        <x:f>IF(AND(ISNUMBER(H447),ISNUMBER(L447)),H447+L447,"")</x:f>
        <x:v>721711.2338609822</x:v>
      </x:c>
    </x:row>
    <x:row r="448" ht="22" customHeight="1">
      <x:c r="A448" s="254" t="n">
        <x:f>48</x:f>
        <x:v>48</x:v>
      </x:c>
      <x:c r="B448" s="440" t="n">
        <x:f>IF(ISNUMBER(H447),H447,"")</x:f>
        <x:v>721711.2338609822</x:v>
      </x:c>
      <x:c r="C448" s="442" t="n">
        <x:f>IF(ISNUMBER(B448),IF(AND(48&gt;$B$173,$B$78="Refinance",ISNUMBER($B$80),$B$80&gt;=0,$B$80&lt;=1,ROUND($B$81*12,0)&gt;=1,$B$81&lt;=100,SUM($B$82)&gt;=0,SUM($B$82)&lt;=1,SUM($B$83)&gt;=0),$B$80,IF(AND($B$175&gt;0,48&gt;$B$175,ISNUMBER($B$75)),$B$75,$B$61)),"")</x:f>
        <x:v>0.0625</x:v>
      </x:c>
      <x:c r="D448" s="440" t="n">
        <x:f>IF(AND(ISNUMBER(B448),B448=0),0,IF(AND($B$171=1,I447=0,ISNUMBER(C448),ISNUMBER(IF(AND(48&lt;=$B$174,48&lt;=$B$173),B448*C448/12,IF(AND(48=$B$173+1,AND(48&gt;$B$173,$B$78="Refinance",ISNUMBER($B$80),$B$80&gt;=0,$B$80&lt;=1,ROUND($B$81*12,0)&gt;=1,$B$81&lt;=100,SUM($B$82)&gt;=0,SUM($B$82)&lt;=1,SUM($B$83)&gt;=0)),IF(B448=0,0,IF(C448=0,B448/ROUND($B$81*12,0),B448*(C448/12)/(1-(1+C448/12)^(-ROUND($B$81*12,0))))),IF(AND(NOT(AND(48&gt;$B$173,$B$78="Refinance",ISNUMBER($B$80),$B$80&gt;=0,$B$80&lt;=1,ROUND($B$81*12,0)&gt;=1,$B$81&lt;=100,SUM($B$82)&gt;=0,SUM($B$82)&lt;=1,SUM($B$83)&gt;=0)),OR(48=1,48=$B$174+1,AND($B$175&gt;0,48=$B$175+1))),IF(AND($B$170=1,$B$66&gt;0,OR($B$175=0,48&lt;=$B$175)),$B$66,IF($B$172-MAX(48-1,$B$174)&gt;0,IF(B448=0,0,IF(C448=0,B448/($B$172-MAX(48-1,$B$174)),B448*(C448/12)/(1-(1+C448/12)^(-($B$172-MAX(48-1,$B$174)))))),"")),D447))))),IF(IF(AND(48&lt;=$B$174,48&lt;=$B$173),B448*C448/12,IF(AND(48=$B$173+1,AND(48&gt;$B$173,$B$78="Refinance",ISNUMBER($B$80),$B$80&gt;=0,$B$80&lt;=1,ROUND($B$81*12,0)&gt;=1,$B$81&lt;=100,SUM($B$82)&gt;=0,SUM($B$82)&lt;=1,SUM($B$83)&gt;=0)),IF(B448=0,0,IF(C448=0,B448/ROUND($B$81*12,0),B448*(C448/12)/(1-(1+C448/12)^(-ROUND($B$81*12,0))))),IF(AND(NOT(AND(48&gt;$B$173,$B$78="Refinance",ISNUMBER($B$80),$B$80&gt;=0,$B$80&lt;=1,ROUND($B$81*12,0)&gt;=1,$B$81&lt;=100,SUM($B$82)&gt;=0,SUM($B$82)&lt;=1,SUM($B$83)&gt;=0)),OR(48=1,48=$B$174+1,AND($B$175&gt;0,48=$B$175+1))),IF(AND($B$170=1,$B$66&gt;0,OR($B$175=0,48&lt;=$B$175)),$B$66,IF($B$172-MAX(48-1,$B$174)&gt;0,IF(B448=0,0,IF(C448=0,B448/($B$172-MAX(48-1,$B$174)),B448*(C448/12)/(1-(1+C448/12)^(-($B$172-MAX(48-1,$B$174)))))),"")),D447)))+0.0000001&gt;=B448*C448/12,MIN(B448*(1+C448/12),IF(AND(48&lt;=$B$174,48&lt;=$B$173),B448*C448/12,IF(AND(48=$B$173+1,AND(48&gt;$B$173,$B$78="Refinance",ISNUMBER($B$80),$B$80&gt;=0,$B$80&lt;=1,ROUND($B$81*12,0)&gt;=1,$B$81&lt;=100,SUM($B$82)&gt;=0,SUM($B$82)&lt;=1,SUM($B$83)&gt;=0)),IF(B448=0,0,IF(C448=0,B448/ROUND($B$81*12,0),B448*(C448/12)/(1-(1+C448/12)^(-ROUND($B$81*12,0))))),IF(AND(NOT(AND(48&gt;$B$173,$B$78="Refinance",ISNUMBER($B$80),$B$80&gt;=0,$B$80&lt;=1,ROUND($B$81*12,0)&gt;=1,$B$81&lt;=100,SUM($B$82)&gt;=0,SUM($B$82)&lt;=1,SUM($B$83)&gt;=0)),OR(48=1,48=$B$174+1,AND($B$175&gt;0,48=$B$175+1))),IF(AND($B$170=1,$B$66&gt;0,OR($B$175=0,48&lt;=$B$175)),$B$66,IF($B$172-MAX(48-1,$B$174)&gt;0,IF(B448=0,0,IF(C448=0,B448/($B$172-MAX(48-1,$B$174)),B448*(C448/12)/(1-(1+C448/12)^(-($B$172-MAX(48-1,$B$174)))))),"")),D447)))),""),""))</x:f>
        <x:v>4679.450723240598</x:v>
      </x:c>
      <x:c r="E448" s="440" t="n">
        <x:f>IF(AND(48=$B$173,ISNUMBER(D448)),IF(MAX(0,B448*(1+C448/12)-D448)&lt;MAX(0.0000001,$E$17*0.00000000001),0,MAX(0,B448*(1+C448/12)-D448)),0)</x:f>
        <x:v>0</x:v>
      </x:c>
      <x:c r="F448" s="440" t="n">
        <x:f>IF($B$78="Cash payoff",E448,0)</x:f>
        <x:v>0</x:v>
      </x:c>
      <x:c r="G448" s="440" t="n">
        <x:f>IF(AND(E448&gt;0,AND($B$78="Refinance",ISNUMBER($B$80),$B$80&gt;=0,$B$80&lt;=1,ROUND($B$81*12,0)&gt;=1,$B$81&lt;=100,SUM($B$82)&gt;=0,SUM($B$82)&lt;=1,SUM($B$83)&gt;=0)),E448*SUM($B$82)+SUM($B$83),0)</x:f>
        <x:v>0</x:v>
      </x:c>
      <x:c r="H448" s="440" t="n">
        <x:f>IF(ISNUMBER(D448),IF(MAX(0,B448*(1+C448/12)-D448-F448)&lt;MAX(0.0000001,$E$17*0.00000000001),0,MAX(0,B448*(1+C448/12)-D448-F448)),IF(AND($B$171=1,I447=1),B448,""))</x:f>
        <x:v>720790.6958141008</x:v>
      </x:c>
      <x:c r="I448" s="444" t="n">
        <x:f>IF(OR(I447=1,AND(E448&gt;0,$B$78&lt;&gt;"Cash payoff",NOT(AND($B$78="Refinance",ISNUMBER($B$80),$B$80&gt;=0,$B$80&lt;=1,ROUND($B$81*12,0)&gt;=1,$B$81&lt;=100,SUM($B$82)&gt;=0,SUM($B$82)&lt;=1,SUM($B$83)&gt;=0))),AND(ISNUMBER(B448),B448&gt;0,$B$171=1,NOT(ISNUMBER(D448)))),1,0)</x:f>
        <x:v>0</x:v>
      </x:c>
      <x:c r="J448" s="440" t="n">
        <x:f>IF(ISNUMBER(L447),L447,"")</x:f>
        <x:v>0</x:v>
      </x:c>
      <x:c r="K448" s="440" t="n">
        <x:f>IF(AND(ISNUMBER(J448),J448=0),0,IF(AND($B$176=1,ISNUMBER(J448)),MIN(J448*(1+$B$87/12),IF($B$86=0,0,IF($B$87=0,$B$86/ROUND($B$88*12,0),$B$86*($B$87/12)/(1-(1+$B$87/12)^(-ROUND($B$88*12,0)))))),""))</x:f>
        <x:v>0</x:v>
      </x:c>
      <x:c r="L448" s="440" t="n">
        <x:f>IF(ISNUMBER(K448),IF(MAX(0,J448*(1+SUM($B$87)/12)-K448)&lt;MAX(0.0000001,$B$86*0.00000000001),0,MAX(0,J448*(1+SUM($B$87)/12)-K448)),"")</x:f>
        <x:v>0</x:v>
      </x:c>
      <x:c r="M448" s="440" t="n">
        <x:f>IF(AND(ISNUMBER(D448),ISNUMBER(K448)),D448+K448,"")</x:f>
        <x:v>4679.450723240598</x:v>
      </x:c>
      <x:c r="N448" s="440" t="n">
        <x:f>IF(AND(ISNUMBER(H448),ISNUMBER(L448)),H448+L448,"")</x:f>
        <x:v>720790.6958141008</x:v>
      </x:c>
    </x:row>
    <x:row r="449" ht="22" customHeight="1">
      <x:c r="A449" s="254" t="n">
        <x:f>49</x:f>
        <x:v>49</x:v>
      </x:c>
      <x:c r="B449" s="440" t="n">
        <x:f>IF(ISNUMBER(H448),H448,"")</x:f>
        <x:v>720790.6958141008</x:v>
      </x:c>
      <x:c r="C449" s="442" t="n">
        <x:f>IF(ISNUMBER(B449),IF(AND(49&gt;$B$173,$B$78="Refinance",ISNUMBER($B$80),$B$80&gt;=0,$B$80&lt;=1,ROUND($B$81*12,0)&gt;=1,$B$81&lt;=100,SUM($B$82)&gt;=0,SUM($B$82)&lt;=1,SUM($B$83)&gt;=0),$B$80,IF(AND($B$175&gt;0,49&gt;$B$175,ISNUMBER($B$75)),$B$75,$B$61)),"")</x:f>
        <x:v>0.0625</x:v>
      </x:c>
      <x:c r="D449" s="440" t="n">
        <x:f>IF(AND(ISNUMBER(B449),B449=0),0,IF(AND($B$171=1,I448=0,ISNUMBER(C449),ISNUMBER(IF(AND(49&lt;=$B$174,49&lt;=$B$173),B449*C449/12,IF(AND(49=$B$173+1,AND(49&gt;$B$173,$B$78="Refinance",ISNUMBER($B$80),$B$80&gt;=0,$B$80&lt;=1,ROUND($B$81*12,0)&gt;=1,$B$81&lt;=100,SUM($B$82)&gt;=0,SUM($B$82)&lt;=1,SUM($B$83)&gt;=0)),IF(B449=0,0,IF(C449=0,B449/ROUND($B$81*12,0),B449*(C449/12)/(1-(1+C449/12)^(-ROUND($B$81*12,0))))),IF(AND(NOT(AND(49&gt;$B$173,$B$78="Refinance",ISNUMBER($B$80),$B$80&gt;=0,$B$80&lt;=1,ROUND($B$81*12,0)&gt;=1,$B$81&lt;=100,SUM($B$82)&gt;=0,SUM($B$82)&lt;=1,SUM($B$83)&gt;=0)),OR(49=1,49=$B$174+1,AND($B$175&gt;0,49=$B$175+1))),IF(AND($B$170=1,$B$66&gt;0,OR($B$175=0,49&lt;=$B$175)),$B$66,IF($B$172-MAX(49-1,$B$174)&gt;0,IF(B449=0,0,IF(C449=0,B449/($B$172-MAX(49-1,$B$174)),B449*(C449/12)/(1-(1+C449/12)^(-($B$172-MAX(49-1,$B$174)))))),"")),D448))))),IF(IF(AND(49&lt;=$B$174,49&lt;=$B$173),B449*C449/12,IF(AND(49=$B$173+1,AND(49&gt;$B$173,$B$78="Refinance",ISNUMBER($B$80),$B$80&gt;=0,$B$80&lt;=1,ROUND($B$81*12,0)&gt;=1,$B$81&lt;=100,SUM($B$82)&gt;=0,SUM($B$82)&lt;=1,SUM($B$83)&gt;=0)),IF(B449=0,0,IF(C449=0,B449/ROUND($B$81*12,0),B449*(C449/12)/(1-(1+C449/12)^(-ROUND($B$81*12,0))))),IF(AND(NOT(AND(49&gt;$B$173,$B$78="Refinance",ISNUMBER($B$80),$B$80&gt;=0,$B$80&lt;=1,ROUND($B$81*12,0)&gt;=1,$B$81&lt;=100,SUM($B$82)&gt;=0,SUM($B$82)&lt;=1,SUM($B$83)&gt;=0)),OR(49=1,49=$B$174+1,AND($B$175&gt;0,49=$B$175+1))),IF(AND($B$170=1,$B$66&gt;0,OR($B$175=0,49&lt;=$B$175)),$B$66,IF($B$172-MAX(49-1,$B$174)&gt;0,IF(B449=0,0,IF(C449=0,B449/($B$172-MAX(49-1,$B$174)),B449*(C449/12)/(1-(1+C449/12)^(-($B$172-MAX(49-1,$B$174)))))),"")),D448)))+0.0000001&gt;=B449*C449/12,MIN(B449*(1+C449/12),IF(AND(49&lt;=$B$174,49&lt;=$B$173),B449*C449/12,IF(AND(49=$B$173+1,AND(49&gt;$B$173,$B$78="Refinance",ISNUMBER($B$80),$B$80&gt;=0,$B$80&lt;=1,ROUND($B$81*12,0)&gt;=1,$B$81&lt;=100,SUM($B$82)&gt;=0,SUM($B$82)&lt;=1,SUM($B$83)&gt;=0)),IF(B449=0,0,IF(C449=0,B449/ROUND($B$81*12,0),B449*(C449/12)/(1-(1+C449/12)^(-ROUND($B$81*12,0))))),IF(AND(NOT(AND(49&gt;$B$173,$B$78="Refinance",ISNUMBER($B$80),$B$80&gt;=0,$B$80&lt;=1,ROUND($B$81*12,0)&gt;=1,$B$81&lt;=100,SUM($B$82)&gt;=0,SUM($B$82)&lt;=1,SUM($B$83)&gt;=0)),OR(49=1,49=$B$174+1,AND($B$175&gt;0,49=$B$175+1))),IF(AND($B$170=1,$B$66&gt;0,OR($B$175=0,49&lt;=$B$175)),$B$66,IF($B$172-MAX(49-1,$B$174)&gt;0,IF(B449=0,0,IF(C449=0,B449/($B$172-MAX(49-1,$B$174)),B449*(C449/12)/(1-(1+C449/12)^(-($B$172-MAX(49-1,$B$174)))))),"")),D448)))),""),""))</x:f>
        <x:v>4679.450723240598</x:v>
      </x:c>
      <x:c r="E449" s="440" t="n">
        <x:f>IF(AND(49=$B$173,ISNUMBER(D449)),IF(MAX(0,B449*(1+C449/12)-D449)&lt;MAX(0.0000001,$E$17*0.00000000001),0,MAX(0,B449*(1+C449/12)-D449)),0)</x:f>
        <x:v>0</x:v>
      </x:c>
      <x:c r="F449" s="440" t="n">
        <x:f>IF($B$78="Cash payoff",E449,0)</x:f>
        <x:v>0</x:v>
      </x:c>
      <x:c r="G449" s="440" t="n">
        <x:f>IF(AND(E449&gt;0,AND($B$78="Refinance",ISNUMBER($B$80),$B$80&gt;=0,$B$80&lt;=1,ROUND($B$81*12,0)&gt;=1,$B$81&lt;=100,SUM($B$82)&gt;=0,SUM($B$82)&lt;=1,SUM($B$83)&gt;=0)),E449*SUM($B$82)+SUM($B$83),0)</x:f>
        <x:v>0</x:v>
      </x:c>
      <x:c r="H449" s="440" t="n">
        <x:f>IF(ISNUMBER(D449),IF(MAX(0,B449*(1+C449/12)-D449-F449)&lt;MAX(0.0000001,$E$17*0.00000000001),0,MAX(0,B449*(1+C449/12)-D449-F449)),IF(AND($B$171=1,I448=1),B449,""))</x:f>
        <x:v>719865.3632982252</x:v>
      </x:c>
      <x:c r="I449" s="444" t="n">
        <x:f>IF(OR(I448=1,AND(E449&gt;0,$B$78&lt;&gt;"Cash payoff",NOT(AND($B$78="Refinance",ISNUMBER($B$80),$B$80&gt;=0,$B$80&lt;=1,ROUND($B$81*12,0)&gt;=1,$B$81&lt;=100,SUM($B$82)&gt;=0,SUM($B$82)&lt;=1,SUM($B$83)&gt;=0))),AND(ISNUMBER(B449),B449&gt;0,$B$171=1,NOT(ISNUMBER(D449)))),1,0)</x:f>
        <x:v>0</x:v>
      </x:c>
      <x:c r="J449" s="440" t="n">
        <x:f>IF(ISNUMBER(L448),L448,"")</x:f>
        <x:v>0</x:v>
      </x:c>
      <x:c r="K449" s="440" t="n">
        <x:f>IF(AND(ISNUMBER(J449),J449=0),0,IF(AND($B$176=1,ISNUMBER(J449)),MIN(J449*(1+$B$87/12),IF($B$86=0,0,IF($B$87=0,$B$86/ROUND($B$88*12,0),$B$86*($B$87/12)/(1-(1+$B$87/12)^(-ROUND($B$88*12,0)))))),""))</x:f>
        <x:v>0</x:v>
      </x:c>
      <x:c r="L449" s="440" t="n">
        <x:f>IF(ISNUMBER(K449),IF(MAX(0,J449*(1+SUM($B$87)/12)-K449)&lt;MAX(0.0000001,$B$86*0.00000000001),0,MAX(0,J449*(1+SUM($B$87)/12)-K449)),"")</x:f>
        <x:v>0</x:v>
      </x:c>
      <x:c r="M449" s="440" t="n">
        <x:f>IF(AND(ISNUMBER(D449),ISNUMBER(K449)),D449+K449,"")</x:f>
        <x:v>4679.450723240598</x:v>
      </x:c>
      <x:c r="N449" s="440" t="n">
        <x:f>IF(AND(ISNUMBER(H449),ISNUMBER(L449)),H449+L449,"")</x:f>
        <x:v>719865.3632982252</x:v>
      </x:c>
    </x:row>
    <x:row r="450" ht="22" customHeight="1">
      <x:c r="A450" s="254" t="n">
        <x:f>50</x:f>
        <x:v>50</x:v>
      </x:c>
      <x:c r="B450" s="440" t="n">
        <x:f>IF(ISNUMBER(H449),H449,"")</x:f>
        <x:v>719865.3632982252</x:v>
      </x:c>
      <x:c r="C450" s="442" t="n">
        <x:f>IF(ISNUMBER(B450),IF(AND(50&gt;$B$173,$B$78="Refinance",ISNUMBER($B$80),$B$80&gt;=0,$B$80&lt;=1,ROUND($B$81*12,0)&gt;=1,$B$81&lt;=100,SUM($B$82)&gt;=0,SUM($B$82)&lt;=1,SUM($B$83)&gt;=0),$B$80,IF(AND($B$175&gt;0,50&gt;$B$175,ISNUMBER($B$75)),$B$75,$B$61)),"")</x:f>
        <x:v>0.0625</x:v>
      </x:c>
      <x:c r="D450" s="440" t="n">
        <x:f>IF(AND(ISNUMBER(B450),B450=0),0,IF(AND($B$171=1,I449=0,ISNUMBER(C450),ISNUMBER(IF(AND(50&lt;=$B$174,50&lt;=$B$173),B450*C450/12,IF(AND(50=$B$173+1,AND(50&gt;$B$173,$B$78="Refinance",ISNUMBER($B$80),$B$80&gt;=0,$B$80&lt;=1,ROUND($B$81*12,0)&gt;=1,$B$81&lt;=100,SUM($B$82)&gt;=0,SUM($B$82)&lt;=1,SUM($B$83)&gt;=0)),IF(B450=0,0,IF(C450=0,B450/ROUND($B$81*12,0),B450*(C450/12)/(1-(1+C450/12)^(-ROUND($B$81*12,0))))),IF(AND(NOT(AND(50&gt;$B$173,$B$78="Refinance",ISNUMBER($B$80),$B$80&gt;=0,$B$80&lt;=1,ROUND($B$81*12,0)&gt;=1,$B$81&lt;=100,SUM($B$82)&gt;=0,SUM($B$82)&lt;=1,SUM($B$83)&gt;=0)),OR(50=1,50=$B$174+1,AND($B$175&gt;0,50=$B$175+1))),IF(AND($B$170=1,$B$66&gt;0,OR($B$175=0,50&lt;=$B$175)),$B$66,IF($B$172-MAX(50-1,$B$174)&gt;0,IF(B450=0,0,IF(C450=0,B450/($B$172-MAX(50-1,$B$174)),B450*(C450/12)/(1-(1+C450/12)^(-($B$172-MAX(50-1,$B$174)))))),"")),D449))))),IF(IF(AND(50&lt;=$B$174,50&lt;=$B$173),B450*C450/12,IF(AND(50=$B$173+1,AND(50&gt;$B$173,$B$78="Refinance",ISNUMBER($B$80),$B$80&gt;=0,$B$80&lt;=1,ROUND($B$81*12,0)&gt;=1,$B$81&lt;=100,SUM($B$82)&gt;=0,SUM($B$82)&lt;=1,SUM($B$83)&gt;=0)),IF(B450=0,0,IF(C450=0,B450/ROUND($B$81*12,0),B450*(C450/12)/(1-(1+C450/12)^(-ROUND($B$81*12,0))))),IF(AND(NOT(AND(50&gt;$B$173,$B$78="Refinance",ISNUMBER($B$80),$B$80&gt;=0,$B$80&lt;=1,ROUND($B$81*12,0)&gt;=1,$B$81&lt;=100,SUM($B$82)&gt;=0,SUM($B$82)&lt;=1,SUM($B$83)&gt;=0)),OR(50=1,50=$B$174+1,AND($B$175&gt;0,50=$B$175+1))),IF(AND($B$170=1,$B$66&gt;0,OR($B$175=0,50&lt;=$B$175)),$B$66,IF($B$172-MAX(50-1,$B$174)&gt;0,IF(B450=0,0,IF(C450=0,B450/($B$172-MAX(50-1,$B$174)),B450*(C450/12)/(1-(1+C450/12)^(-($B$172-MAX(50-1,$B$174)))))),"")),D449)))+0.0000001&gt;=B450*C450/12,MIN(B450*(1+C450/12),IF(AND(50&lt;=$B$174,50&lt;=$B$173),B450*C450/12,IF(AND(50=$B$173+1,AND(50&gt;$B$173,$B$78="Refinance",ISNUMBER($B$80),$B$80&gt;=0,$B$80&lt;=1,ROUND($B$81*12,0)&gt;=1,$B$81&lt;=100,SUM($B$82)&gt;=0,SUM($B$82)&lt;=1,SUM($B$83)&gt;=0)),IF(B450=0,0,IF(C450=0,B450/ROUND($B$81*12,0),B450*(C450/12)/(1-(1+C450/12)^(-ROUND($B$81*12,0))))),IF(AND(NOT(AND(50&gt;$B$173,$B$78="Refinance",ISNUMBER($B$80),$B$80&gt;=0,$B$80&lt;=1,ROUND($B$81*12,0)&gt;=1,$B$81&lt;=100,SUM($B$82)&gt;=0,SUM($B$82)&lt;=1,SUM($B$83)&gt;=0)),OR(50=1,50=$B$174+1,AND($B$175&gt;0,50=$B$175+1))),IF(AND($B$170=1,$B$66&gt;0,OR($B$175=0,50&lt;=$B$175)),$B$66,IF($B$172-MAX(50-1,$B$174)&gt;0,IF(B450=0,0,IF(C450=0,B450/($B$172-MAX(50-1,$B$174)),B450*(C450/12)/(1-(1+C450/12)^(-($B$172-MAX(50-1,$B$174)))))),"")),D449)))),""),""))</x:f>
        <x:v>4679.450723240598</x:v>
      </x:c>
      <x:c r="E450" s="440" t="n">
        <x:f>IF(AND(50=$B$173,ISNUMBER(D450)),IF(MAX(0,B450*(1+C450/12)-D450)&lt;MAX(0.0000001,$E$17*0.00000000001),0,MAX(0,B450*(1+C450/12)-D450)),0)</x:f>
        <x:v>0</x:v>
      </x:c>
      <x:c r="F450" s="440" t="n">
        <x:f>IF($B$78="Cash payoff",E450,0)</x:f>
        <x:v>0</x:v>
      </x:c>
      <x:c r="G450" s="440" t="n">
        <x:f>IF(AND(E450&gt;0,AND($B$78="Refinance",ISNUMBER($B$80),$B$80&gt;=0,$B$80&lt;=1,ROUND($B$81*12,0)&gt;=1,$B$81&lt;=100,SUM($B$82)&gt;=0,SUM($B$82)&lt;=1,SUM($B$83)&gt;=0)),E450*SUM($B$82)+SUM($B$83),0)</x:f>
        <x:v>0</x:v>
      </x:c>
      <x:c r="H450" s="440" t="n">
        <x:f>IF(ISNUMBER(D450),IF(MAX(0,B450*(1+C450/12)-D450-F450)&lt;MAX(0.0000001,$E$17*0.00000000001),0,MAX(0,B450*(1+C450/12)-D450-F450)),IF(AND($B$171=1,I449=1),B450,""))</x:f>
        <x:v>718935.2113421628</x:v>
      </x:c>
      <x:c r="I450" s="444" t="n">
        <x:f>IF(OR(I449=1,AND(E450&gt;0,$B$78&lt;&gt;"Cash payoff",NOT(AND($B$78="Refinance",ISNUMBER($B$80),$B$80&gt;=0,$B$80&lt;=1,ROUND($B$81*12,0)&gt;=1,$B$81&lt;=100,SUM($B$82)&gt;=0,SUM($B$82)&lt;=1,SUM($B$83)&gt;=0))),AND(ISNUMBER(B450),B450&gt;0,$B$171=1,NOT(ISNUMBER(D450)))),1,0)</x:f>
        <x:v>0</x:v>
      </x:c>
      <x:c r="J450" s="440" t="n">
        <x:f>IF(ISNUMBER(L449),L449,"")</x:f>
        <x:v>0</x:v>
      </x:c>
      <x:c r="K450" s="440" t="n">
        <x:f>IF(AND(ISNUMBER(J450),J450=0),0,IF(AND($B$176=1,ISNUMBER(J450)),MIN(J450*(1+$B$87/12),IF($B$86=0,0,IF($B$87=0,$B$86/ROUND($B$88*12,0),$B$86*($B$87/12)/(1-(1+$B$87/12)^(-ROUND($B$88*12,0)))))),""))</x:f>
        <x:v>0</x:v>
      </x:c>
      <x:c r="L450" s="440" t="n">
        <x:f>IF(ISNUMBER(K450),IF(MAX(0,J450*(1+SUM($B$87)/12)-K450)&lt;MAX(0.0000001,$B$86*0.00000000001),0,MAX(0,J450*(1+SUM($B$87)/12)-K450)),"")</x:f>
        <x:v>0</x:v>
      </x:c>
      <x:c r="M450" s="440" t="n">
        <x:f>IF(AND(ISNUMBER(D450),ISNUMBER(K450)),D450+K450,"")</x:f>
        <x:v>4679.450723240598</x:v>
      </x:c>
      <x:c r="N450" s="440" t="n">
        <x:f>IF(AND(ISNUMBER(H450),ISNUMBER(L450)),H450+L450,"")</x:f>
        <x:v>718935.2113421628</x:v>
      </x:c>
    </x:row>
    <x:row r="451" ht="22" customHeight="1">
      <x:c r="A451" s="254" t="n">
        <x:f>51</x:f>
        <x:v>51</x:v>
      </x:c>
      <x:c r="B451" s="440" t="n">
        <x:f>IF(ISNUMBER(H450),H450,"")</x:f>
        <x:v>718935.2113421628</x:v>
      </x:c>
      <x:c r="C451" s="442" t="n">
        <x:f>IF(ISNUMBER(B451),IF(AND(51&gt;$B$173,$B$78="Refinance",ISNUMBER($B$80),$B$80&gt;=0,$B$80&lt;=1,ROUND($B$81*12,0)&gt;=1,$B$81&lt;=100,SUM($B$82)&gt;=0,SUM($B$82)&lt;=1,SUM($B$83)&gt;=0),$B$80,IF(AND($B$175&gt;0,51&gt;$B$175,ISNUMBER($B$75)),$B$75,$B$61)),"")</x:f>
        <x:v>0.0625</x:v>
      </x:c>
      <x:c r="D451" s="440" t="n">
        <x:f>IF(AND(ISNUMBER(B451),B451=0),0,IF(AND($B$171=1,I450=0,ISNUMBER(C451),ISNUMBER(IF(AND(51&lt;=$B$174,51&lt;=$B$173),B451*C451/12,IF(AND(51=$B$173+1,AND(51&gt;$B$173,$B$78="Refinance",ISNUMBER($B$80),$B$80&gt;=0,$B$80&lt;=1,ROUND($B$81*12,0)&gt;=1,$B$81&lt;=100,SUM($B$82)&gt;=0,SUM($B$82)&lt;=1,SUM($B$83)&gt;=0)),IF(B451=0,0,IF(C451=0,B451/ROUND($B$81*12,0),B451*(C451/12)/(1-(1+C451/12)^(-ROUND($B$81*12,0))))),IF(AND(NOT(AND(51&gt;$B$173,$B$78="Refinance",ISNUMBER($B$80),$B$80&gt;=0,$B$80&lt;=1,ROUND($B$81*12,0)&gt;=1,$B$81&lt;=100,SUM($B$82)&gt;=0,SUM($B$82)&lt;=1,SUM($B$83)&gt;=0)),OR(51=1,51=$B$174+1,AND($B$175&gt;0,51=$B$175+1))),IF(AND($B$170=1,$B$66&gt;0,OR($B$175=0,51&lt;=$B$175)),$B$66,IF($B$172-MAX(51-1,$B$174)&gt;0,IF(B451=0,0,IF(C451=0,B451/($B$172-MAX(51-1,$B$174)),B451*(C451/12)/(1-(1+C451/12)^(-($B$172-MAX(51-1,$B$174)))))),"")),D450))))),IF(IF(AND(51&lt;=$B$174,51&lt;=$B$173),B451*C451/12,IF(AND(51=$B$173+1,AND(51&gt;$B$173,$B$78="Refinance",ISNUMBER($B$80),$B$80&gt;=0,$B$80&lt;=1,ROUND($B$81*12,0)&gt;=1,$B$81&lt;=100,SUM($B$82)&gt;=0,SUM($B$82)&lt;=1,SUM($B$83)&gt;=0)),IF(B451=0,0,IF(C451=0,B451/ROUND($B$81*12,0),B451*(C451/12)/(1-(1+C451/12)^(-ROUND($B$81*12,0))))),IF(AND(NOT(AND(51&gt;$B$173,$B$78="Refinance",ISNUMBER($B$80),$B$80&gt;=0,$B$80&lt;=1,ROUND($B$81*12,0)&gt;=1,$B$81&lt;=100,SUM($B$82)&gt;=0,SUM($B$82)&lt;=1,SUM($B$83)&gt;=0)),OR(51=1,51=$B$174+1,AND($B$175&gt;0,51=$B$175+1))),IF(AND($B$170=1,$B$66&gt;0,OR($B$175=0,51&lt;=$B$175)),$B$66,IF($B$172-MAX(51-1,$B$174)&gt;0,IF(B451=0,0,IF(C451=0,B451/($B$172-MAX(51-1,$B$174)),B451*(C451/12)/(1-(1+C451/12)^(-($B$172-MAX(51-1,$B$174)))))),"")),D450)))+0.0000001&gt;=B451*C451/12,MIN(B451*(1+C451/12),IF(AND(51&lt;=$B$174,51&lt;=$B$173),B451*C451/12,IF(AND(51=$B$173+1,AND(51&gt;$B$173,$B$78="Refinance",ISNUMBER($B$80),$B$80&gt;=0,$B$80&lt;=1,ROUND($B$81*12,0)&gt;=1,$B$81&lt;=100,SUM($B$82)&gt;=0,SUM($B$82)&lt;=1,SUM($B$83)&gt;=0)),IF(B451=0,0,IF(C451=0,B451/ROUND($B$81*12,0),B451*(C451/12)/(1-(1+C451/12)^(-ROUND($B$81*12,0))))),IF(AND(NOT(AND(51&gt;$B$173,$B$78="Refinance",ISNUMBER($B$80),$B$80&gt;=0,$B$80&lt;=1,ROUND($B$81*12,0)&gt;=1,$B$81&lt;=100,SUM($B$82)&gt;=0,SUM($B$82)&lt;=1,SUM($B$83)&gt;=0)),OR(51=1,51=$B$174+1,AND($B$175&gt;0,51=$B$175+1))),IF(AND($B$170=1,$B$66&gt;0,OR($B$175=0,51&lt;=$B$175)),$B$66,IF($B$172-MAX(51-1,$B$174)&gt;0,IF(B451=0,0,IF(C451=0,B451/($B$172-MAX(51-1,$B$174)),B451*(C451/12)/(1-(1+C451/12)^(-($B$172-MAX(51-1,$B$174)))))),"")),D450)))),""),""))</x:f>
        <x:v>4679.450723240598</x:v>
      </x:c>
      <x:c r="E451" s="440" t="n">
        <x:f>IF(AND(51=$B$173,ISNUMBER(D451)),IF(MAX(0,B451*(1+C451/12)-D451)&lt;MAX(0.0000001,$E$17*0.00000000001),0,MAX(0,B451*(1+C451/12)-D451)),0)</x:f>
        <x:v>0</x:v>
      </x:c>
      <x:c r="F451" s="440" t="n">
        <x:f>IF($B$78="Cash payoff",E451,0)</x:f>
        <x:v>0</x:v>
      </x:c>
      <x:c r="G451" s="440" t="n">
        <x:f>IF(AND(E451&gt;0,AND($B$78="Refinance",ISNUMBER($B$80),$B$80&gt;=0,$B$80&lt;=1,ROUND($B$81*12,0)&gt;=1,$B$81&lt;=100,SUM($B$82)&gt;=0,SUM($B$82)&lt;=1,SUM($B$83)&gt;=0)),E451*SUM($B$82)+SUM($B$83),0)</x:f>
        <x:v>0</x:v>
      </x:c>
      <x:c r="H451" s="440" t="n">
        <x:f>IF(ISNUMBER(D451),IF(MAX(0,B451*(1+C451/12)-D451-F451)&lt;MAX(0.0000001,$E$17*0.00000000001),0,MAX(0,B451*(1+C451/12)-D451-F451)),IF(AND($B$171=1,I450=1),B451,""))</x:f>
        <x:v>718000.2148446626</x:v>
      </x:c>
      <x:c r="I451" s="444" t="n">
        <x:f>IF(OR(I450=1,AND(E451&gt;0,$B$78&lt;&gt;"Cash payoff",NOT(AND($B$78="Refinance",ISNUMBER($B$80),$B$80&gt;=0,$B$80&lt;=1,ROUND($B$81*12,0)&gt;=1,$B$81&lt;=100,SUM($B$82)&gt;=0,SUM($B$82)&lt;=1,SUM($B$83)&gt;=0))),AND(ISNUMBER(B451),B451&gt;0,$B$171=1,NOT(ISNUMBER(D451)))),1,0)</x:f>
        <x:v>0</x:v>
      </x:c>
      <x:c r="J451" s="440" t="n">
        <x:f>IF(ISNUMBER(L450),L450,"")</x:f>
        <x:v>0</x:v>
      </x:c>
      <x:c r="K451" s="440" t="n">
        <x:f>IF(AND(ISNUMBER(J451),J451=0),0,IF(AND($B$176=1,ISNUMBER(J451)),MIN(J451*(1+$B$87/12),IF($B$86=0,0,IF($B$87=0,$B$86/ROUND($B$88*12,0),$B$86*($B$87/12)/(1-(1+$B$87/12)^(-ROUND($B$88*12,0)))))),""))</x:f>
        <x:v>0</x:v>
      </x:c>
      <x:c r="L451" s="440" t="n">
        <x:f>IF(ISNUMBER(K451),IF(MAX(0,J451*(1+SUM($B$87)/12)-K451)&lt;MAX(0.0000001,$B$86*0.00000000001),0,MAX(0,J451*(1+SUM($B$87)/12)-K451)),"")</x:f>
        <x:v>0</x:v>
      </x:c>
      <x:c r="M451" s="440" t="n">
        <x:f>IF(AND(ISNUMBER(D451),ISNUMBER(K451)),D451+K451,"")</x:f>
        <x:v>4679.450723240598</x:v>
      </x:c>
      <x:c r="N451" s="440" t="n">
        <x:f>IF(AND(ISNUMBER(H451),ISNUMBER(L451)),H451+L451,"")</x:f>
        <x:v>718000.2148446626</x:v>
      </x:c>
    </x:row>
    <x:row r="452" ht="22" customHeight="1">
      <x:c r="A452" s="254" t="n">
        <x:f>52</x:f>
        <x:v>52</x:v>
      </x:c>
      <x:c r="B452" s="440" t="n">
        <x:f>IF(ISNUMBER(H451),H451,"")</x:f>
        <x:v>718000.2148446626</x:v>
      </x:c>
      <x:c r="C452" s="442" t="n">
        <x:f>IF(ISNUMBER(B452),IF(AND(52&gt;$B$173,$B$78="Refinance",ISNUMBER($B$80),$B$80&gt;=0,$B$80&lt;=1,ROUND($B$81*12,0)&gt;=1,$B$81&lt;=100,SUM($B$82)&gt;=0,SUM($B$82)&lt;=1,SUM($B$83)&gt;=0),$B$80,IF(AND($B$175&gt;0,52&gt;$B$175,ISNUMBER($B$75)),$B$75,$B$61)),"")</x:f>
        <x:v>0.0625</x:v>
      </x:c>
      <x:c r="D452" s="440" t="n">
        <x:f>IF(AND(ISNUMBER(B452),B452=0),0,IF(AND($B$171=1,I451=0,ISNUMBER(C452),ISNUMBER(IF(AND(52&lt;=$B$174,52&lt;=$B$173),B452*C452/12,IF(AND(52=$B$173+1,AND(52&gt;$B$173,$B$78="Refinance",ISNUMBER($B$80),$B$80&gt;=0,$B$80&lt;=1,ROUND($B$81*12,0)&gt;=1,$B$81&lt;=100,SUM($B$82)&gt;=0,SUM($B$82)&lt;=1,SUM($B$83)&gt;=0)),IF(B452=0,0,IF(C452=0,B452/ROUND($B$81*12,0),B452*(C452/12)/(1-(1+C452/12)^(-ROUND($B$81*12,0))))),IF(AND(NOT(AND(52&gt;$B$173,$B$78="Refinance",ISNUMBER($B$80),$B$80&gt;=0,$B$80&lt;=1,ROUND($B$81*12,0)&gt;=1,$B$81&lt;=100,SUM($B$82)&gt;=0,SUM($B$82)&lt;=1,SUM($B$83)&gt;=0)),OR(52=1,52=$B$174+1,AND($B$175&gt;0,52=$B$175+1))),IF(AND($B$170=1,$B$66&gt;0,OR($B$175=0,52&lt;=$B$175)),$B$66,IF($B$172-MAX(52-1,$B$174)&gt;0,IF(B452=0,0,IF(C452=0,B452/($B$172-MAX(52-1,$B$174)),B452*(C452/12)/(1-(1+C452/12)^(-($B$172-MAX(52-1,$B$174)))))),"")),D451))))),IF(IF(AND(52&lt;=$B$174,52&lt;=$B$173),B452*C452/12,IF(AND(52=$B$173+1,AND(52&gt;$B$173,$B$78="Refinance",ISNUMBER($B$80),$B$80&gt;=0,$B$80&lt;=1,ROUND($B$81*12,0)&gt;=1,$B$81&lt;=100,SUM($B$82)&gt;=0,SUM($B$82)&lt;=1,SUM($B$83)&gt;=0)),IF(B452=0,0,IF(C452=0,B452/ROUND($B$81*12,0),B452*(C452/12)/(1-(1+C452/12)^(-ROUND($B$81*12,0))))),IF(AND(NOT(AND(52&gt;$B$173,$B$78="Refinance",ISNUMBER($B$80),$B$80&gt;=0,$B$80&lt;=1,ROUND($B$81*12,0)&gt;=1,$B$81&lt;=100,SUM($B$82)&gt;=0,SUM($B$82)&lt;=1,SUM($B$83)&gt;=0)),OR(52=1,52=$B$174+1,AND($B$175&gt;0,52=$B$175+1))),IF(AND($B$170=1,$B$66&gt;0,OR($B$175=0,52&lt;=$B$175)),$B$66,IF($B$172-MAX(52-1,$B$174)&gt;0,IF(B452=0,0,IF(C452=0,B452/($B$172-MAX(52-1,$B$174)),B452*(C452/12)/(1-(1+C452/12)^(-($B$172-MAX(52-1,$B$174)))))),"")),D451)))+0.0000001&gt;=B452*C452/12,MIN(B452*(1+C452/12),IF(AND(52&lt;=$B$174,52&lt;=$B$173),B452*C452/12,IF(AND(52=$B$173+1,AND(52&gt;$B$173,$B$78="Refinance",ISNUMBER($B$80),$B$80&gt;=0,$B$80&lt;=1,ROUND($B$81*12,0)&gt;=1,$B$81&lt;=100,SUM($B$82)&gt;=0,SUM($B$82)&lt;=1,SUM($B$83)&gt;=0)),IF(B452=0,0,IF(C452=0,B452/ROUND($B$81*12,0),B452*(C452/12)/(1-(1+C452/12)^(-ROUND($B$81*12,0))))),IF(AND(NOT(AND(52&gt;$B$173,$B$78="Refinance",ISNUMBER($B$80),$B$80&gt;=0,$B$80&lt;=1,ROUND($B$81*12,0)&gt;=1,$B$81&lt;=100,SUM($B$82)&gt;=0,SUM($B$82)&lt;=1,SUM($B$83)&gt;=0)),OR(52=1,52=$B$174+1,AND($B$175&gt;0,52=$B$175+1))),IF(AND($B$170=1,$B$66&gt;0,OR($B$175=0,52&lt;=$B$175)),$B$66,IF($B$172-MAX(52-1,$B$174)&gt;0,IF(B452=0,0,IF(C452=0,B452/($B$172-MAX(52-1,$B$174)),B452*(C452/12)/(1-(1+C452/12)^(-($B$172-MAX(52-1,$B$174)))))),"")),D451)))),""),""))</x:f>
        <x:v>4679.450723240598</x:v>
      </x:c>
      <x:c r="E452" s="440" t="n">
        <x:f>IF(AND(52=$B$173,ISNUMBER(D452)),IF(MAX(0,B452*(1+C452/12)-D452)&lt;MAX(0.0000001,$E$17*0.00000000001),0,MAX(0,B452*(1+C452/12)-D452)),0)</x:f>
        <x:v>0</x:v>
      </x:c>
      <x:c r="F452" s="440" t="n">
        <x:f>IF($B$78="Cash payoff",E452,0)</x:f>
        <x:v>0</x:v>
      </x:c>
      <x:c r="G452" s="440" t="n">
        <x:f>IF(AND(E452&gt;0,AND($B$78="Refinance",ISNUMBER($B$80),$B$80&gt;=0,$B$80&lt;=1,ROUND($B$81*12,0)&gt;=1,$B$81&lt;=100,SUM($B$82)&gt;=0,SUM($B$82)&lt;=1,SUM($B$83)&gt;=0)),E452*SUM($B$82)+SUM($B$83),0)</x:f>
        <x:v>0</x:v>
      </x:c>
      <x:c r="H452" s="440" t="n">
        <x:f>IF(ISNUMBER(D452),IF(MAX(0,B452*(1+C452/12)-D452-F452)&lt;MAX(0.0000001,$E$17*0.00000000001),0,MAX(0,B452*(1+C452/12)-D452-F452)),IF(AND($B$171=1,I451=1),B452,""))</x:f>
        <x:v>717060.3485737379</x:v>
      </x:c>
      <x:c r="I452" s="444" t="n">
        <x:f>IF(OR(I451=1,AND(E452&gt;0,$B$78&lt;&gt;"Cash payoff",NOT(AND($B$78="Refinance",ISNUMBER($B$80),$B$80&gt;=0,$B$80&lt;=1,ROUND($B$81*12,0)&gt;=1,$B$81&lt;=100,SUM($B$82)&gt;=0,SUM($B$82)&lt;=1,SUM($B$83)&gt;=0))),AND(ISNUMBER(B452),B452&gt;0,$B$171=1,NOT(ISNUMBER(D452)))),1,0)</x:f>
        <x:v>0</x:v>
      </x:c>
      <x:c r="J452" s="440" t="n">
        <x:f>IF(ISNUMBER(L451),L451,"")</x:f>
        <x:v>0</x:v>
      </x:c>
      <x:c r="K452" s="440" t="n">
        <x:f>IF(AND(ISNUMBER(J452),J452=0),0,IF(AND($B$176=1,ISNUMBER(J452)),MIN(J452*(1+$B$87/12),IF($B$86=0,0,IF($B$87=0,$B$86/ROUND($B$88*12,0),$B$86*($B$87/12)/(1-(1+$B$87/12)^(-ROUND($B$88*12,0)))))),""))</x:f>
        <x:v>0</x:v>
      </x:c>
      <x:c r="L452" s="440" t="n">
        <x:f>IF(ISNUMBER(K452),IF(MAX(0,J452*(1+SUM($B$87)/12)-K452)&lt;MAX(0.0000001,$B$86*0.00000000001),0,MAX(0,J452*(1+SUM($B$87)/12)-K452)),"")</x:f>
        <x:v>0</x:v>
      </x:c>
      <x:c r="M452" s="440" t="n">
        <x:f>IF(AND(ISNUMBER(D452),ISNUMBER(K452)),D452+K452,"")</x:f>
        <x:v>4679.450723240598</x:v>
      </x:c>
      <x:c r="N452" s="440" t="n">
        <x:f>IF(AND(ISNUMBER(H452),ISNUMBER(L452)),H452+L452,"")</x:f>
        <x:v>717060.3485737379</x:v>
      </x:c>
    </x:row>
    <x:row r="453" ht="22" customHeight="1">
      <x:c r="A453" s="254" t="n">
        <x:f>53</x:f>
        <x:v>53</x:v>
      </x:c>
      <x:c r="B453" s="440" t="n">
        <x:f>IF(ISNUMBER(H452),H452,"")</x:f>
        <x:v>717060.3485737379</x:v>
      </x:c>
      <x:c r="C453" s="442" t="n">
        <x:f>IF(ISNUMBER(B453),IF(AND(53&gt;$B$173,$B$78="Refinance",ISNUMBER($B$80),$B$80&gt;=0,$B$80&lt;=1,ROUND($B$81*12,0)&gt;=1,$B$81&lt;=100,SUM($B$82)&gt;=0,SUM($B$82)&lt;=1,SUM($B$83)&gt;=0),$B$80,IF(AND($B$175&gt;0,53&gt;$B$175,ISNUMBER($B$75)),$B$75,$B$61)),"")</x:f>
        <x:v>0.0625</x:v>
      </x:c>
      <x:c r="D453" s="440" t="n">
        <x:f>IF(AND(ISNUMBER(B453),B453=0),0,IF(AND($B$171=1,I452=0,ISNUMBER(C453),ISNUMBER(IF(AND(53&lt;=$B$174,53&lt;=$B$173),B453*C453/12,IF(AND(53=$B$173+1,AND(53&gt;$B$173,$B$78="Refinance",ISNUMBER($B$80),$B$80&gt;=0,$B$80&lt;=1,ROUND($B$81*12,0)&gt;=1,$B$81&lt;=100,SUM($B$82)&gt;=0,SUM($B$82)&lt;=1,SUM($B$83)&gt;=0)),IF(B453=0,0,IF(C453=0,B453/ROUND($B$81*12,0),B453*(C453/12)/(1-(1+C453/12)^(-ROUND($B$81*12,0))))),IF(AND(NOT(AND(53&gt;$B$173,$B$78="Refinance",ISNUMBER($B$80),$B$80&gt;=0,$B$80&lt;=1,ROUND($B$81*12,0)&gt;=1,$B$81&lt;=100,SUM($B$82)&gt;=0,SUM($B$82)&lt;=1,SUM($B$83)&gt;=0)),OR(53=1,53=$B$174+1,AND($B$175&gt;0,53=$B$175+1))),IF(AND($B$170=1,$B$66&gt;0,OR($B$175=0,53&lt;=$B$175)),$B$66,IF($B$172-MAX(53-1,$B$174)&gt;0,IF(B453=0,0,IF(C453=0,B453/($B$172-MAX(53-1,$B$174)),B453*(C453/12)/(1-(1+C453/12)^(-($B$172-MAX(53-1,$B$174)))))),"")),D452))))),IF(IF(AND(53&lt;=$B$174,53&lt;=$B$173),B453*C453/12,IF(AND(53=$B$173+1,AND(53&gt;$B$173,$B$78="Refinance",ISNUMBER($B$80),$B$80&gt;=0,$B$80&lt;=1,ROUND($B$81*12,0)&gt;=1,$B$81&lt;=100,SUM($B$82)&gt;=0,SUM($B$82)&lt;=1,SUM($B$83)&gt;=0)),IF(B453=0,0,IF(C453=0,B453/ROUND($B$81*12,0),B453*(C453/12)/(1-(1+C453/12)^(-ROUND($B$81*12,0))))),IF(AND(NOT(AND(53&gt;$B$173,$B$78="Refinance",ISNUMBER($B$80),$B$80&gt;=0,$B$80&lt;=1,ROUND($B$81*12,0)&gt;=1,$B$81&lt;=100,SUM($B$82)&gt;=0,SUM($B$82)&lt;=1,SUM($B$83)&gt;=0)),OR(53=1,53=$B$174+1,AND($B$175&gt;0,53=$B$175+1))),IF(AND($B$170=1,$B$66&gt;0,OR($B$175=0,53&lt;=$B$175)),$B$66,IF($B$172-MAX(53-1,$B$174)&gt;0,IF(B453=0,0,IF(C453=0,B453/($B$172-MAX(53-1,$B$174)),B453*(C453/12)/(1-(1+C453/12)^(-($B$172-MAX(53-1,$B$174)))))),"")),D452)))+0.0000001&gt;=B453*C453/12,MIN(B453*(1+C453/12),IF(AND(53&lt;=$B$174,53&lt;=$B$173),B453*C453/12,IF(AND(53=$B$173+1,AND(53&gt;$B$173,$B$78="Refinance",ISNUMBER($B$80),$B$80&gt;=0,$B$80&lt;=1,ROUND($B$81*12,0)&gt;=1,$B$81&lt;=100,SUM($B$82)&gt;=0,SUM($B$82)&lt;=1,SUM($B$83)&gt;=0)),IF(B453=0,0,IF(C453=0,B453/ROUND($B$81*12,0),B453*(C453/12)/(1-(1+C453/12)^(-ROUND($B$81*12,0))))),IF(AND(NOT(AND(53&gt;$B$173,$B$78="Refinance",ISNUMBER($B$80),$B$80&gt;=0,$B$80&lt;=1,ROUND($B$81*12,0)&gt;=1,$B$81&lt;=100,SUM($B$82)&gt;=0,SUM($B$82)&lt;=1,SUM($B$83)&gt;=0)),OR(53=1,53=$B$174+1,AND($B$175&gt;0,53=$B$175+1))),IF(AND($B$170=1,$B$66&gt;0,OR($B$175=0,53&lt;=$B$175)),$B$66,IF($B$172-MAX(53-1,$B$174)&gt;0,IF(B453=0,0,IF(C453=0,B453/($B$172-MAX(53-1,$B$174)),B453*(C453/12)/(1-(1+C453/12)^(-($B$172-MAX(53-1,$B$174)))))),"")),D452)))),""),""))</x:f>
        <x:v>4679.450723240598</x:v>
      </x:c>
      <x:c r="E453" s="440" t="n">
        <x:f>IF(AND(53=$B$173,ISNUMBER(D453)),IF(MAX(0,B453*(1+C453/12)-D453)&lt;MAX(0.0000001,$E$17*0.00000000001),0,MAX(0,B453*(1+C453/12)-D453)),0)</x:f>
        <x:v>0</x:v>
      </x:c>
      <x:c r="F453" s="440" t="n">
        <x:f>IF($B$78="Cash payoff",E453,0)</x:f>
        <x:v>0</x:v>
      </x:c>
      <x:c r="G453" s="440" t="n">
        <x:f>IF(AND(E453&gt;0,AND($B$78="Refinance",ISNUMBER($B$80),$B$80&gt;=0,$B$80&lt;=1,ROUND($B$81*12,0)&gt;=1,$B$81&lt;=100,SUM($B$82)&gt;=0,SUM($B$82)&lt;=1,SUM($B$83)&gt;=0)),E453*SUM($B$82)+SUM($B$83),0)</x:f>
        <x:v>0</x:v>
      </x:c>
      <x:c r="H453" s="440" t="n">
        <x:f>IF(ISNUMBER(D453),IF(MAX(0,B453*(1+C453/12)-D453-F453)&lt;MAX(0.0000001,$E$17*0.00000000001),0,MAX(0,B453*(1+C453/12)-D453-F453)),IF(AND($B$171=1,I452=1),B453,""))</x:f>
        <x:v>716115.5871659855</x:v>
      </x:c>
      <x:c r="I453" s="444" t="n">
        <x:f>IF(OR(I452=1,AND(E453&gt;0,$B$78&lt;&gt;"Cash payoff",NOT(AND($B$78="Refinance",ISNUMBER($B$80),$B$80&gt;=0,$B$80&lt;=1,ROUND($B$81*12,0)&gt;=1,$B$81&lt;=100,SUM($B$82)&gt;=0,SUM($B$82)&lt;=1,SUM($B$83)&gt;=0))),AND(ISNUMBER(B453),B453&gt;0,$B$171=1,NOT(ISNUMBER(D453)))),1,0)</x:f>
        <x:v>0</x:v>
      </x:c>
      <x:c r="J453" s="440" t="n">
        <x:f>IF(ISNUMBER(L452),L452,"")</x:f>
        <x:v>0</x:v>
      </x:c>
      <x:c r="K453" s="440" t="n">
        <x:f>IF(AND(ISNUMBER(J453),J453=0),0,IF(AND($B$176=1,ISNUMBER(J453)),MIN(J453*(1+$B$87/12),IF($B$86=0,0,IF($B$87=0,$B$86/ROUND($B$88*12,0),$B$86*($B$87/12)/(1-(1+$B$87/12)^(-ROUND($B$88*12,0)))))),""))</x:f>
        <x:v>0</x:v>
      </x:c>
      <x:c r="L453" s="440" t="n">
        <x:f>IF(ISNUMBER(K453),IF(MAX(0,J453*(1+SUM($B$87)/12)-K453)&lt;MAX(0.0000001,$B$86*0.00000000001),0,MAX(0,J453*(1+SUM($B$87)/12)-K453)),"")</x:f>
        <x:v>0</x:v>
      </x:c>
      <x:c r="M453" s="440" t="n">
        <x:f>IF(AND(ISNUMBER(D453),ISNUMBER(K453)),D453+K453,"")</x:f>
        <x:v>4679.450723240598</x:v>
      </x:c>
      <x:c r="N453" s="440" t="n">
        <x:f>IF(AND(ISNUMBER(H453),ISNUMBER(L453)),H453+L453,"")</x:f>
        <x:v>716115.5871659855</x:v>
      </x:c>
    </x:row>
    <x:row r="454" ht="22" customHeight="1">
      <x:c r="A454" s="254" t="n">
        <x:f>54</x:f>
        <x:v>54</x:v>
      </x:c>
      <x:c r="B454" s="440" t="n">
        <x:f>IF(ISNUMBER(H453),H453,"")</x:f>
        <x:v>716115.5871659855</x:v>
      </x:c>
      <x:c r="C454" s="442" t="n">
        <x:f>IF(ISNUMBER(B454),IF(AND(54&gt;$B$173,$B$78="Refinance",ISNUMBER($B$80),$B$80&gt;=0,$B$80&lt;=1,ROUND($B$81*12,0)&gt;=1,$B$81&lt;=100,SUM($B$82)&gt;=0,SUM($B$82)&lt;=1,SUM($B$83)&gt;=0),$B$80,IF(AND($B$175&gt;0,54&gt;$B$175,ISNUMBER($B$75)),$B$75,$B$61)),"")</x:f>
        <x:v>0.0625</x:v>
      </x:c>
      <x:c r="D454" s="440" t="n">
        <x:f>IF(AND(ISNUMBER(B454),B454=0),0,IF(AND($B$171=1,I453=0,ISNUMBER(C454),ISNUMBER(IF(AND(54&lt;=$B$174,54&lt;=$B$173),B454*C454/12,IF(AND(54=$B$173+1,AND(54&gt;$B$173,$B$78="Refinance",ISNUMBER($B$80),$B$80&gt;=0,$B$80&lt;=1,ROUND($B$81*12,0)&gt;=1,$B$81&lt;=100,SUM($B$82)&gt;=0,SUM($B$82)&lt;=1,SUM($B$83)&gt;=0)),IF(B454=0,0,IF(C454=0,B454/ROUND($B$81*12,0),B454*(C454/12)/(1-(1+C454/12)^(-ROUND($B$81*12,0))))),IF(AND(NOT(AND(54&gt;$B$173,$B$78="Refinance",ISNUMBER($B$80),$B$80&gt;=0,$B$80&lt;=1,ROUND($B$81*12,0)&gt;=1,$B$81&lt;=100,SUM($B$82)&gt;=0,SUM($B$82)&lt;=1,SUM($B$83)&gt;=0)),OR(54=1,54=$B$174+1,AND($B$175&gt;0,54=$B$175+1))),IF(AND($B$170=1,$B$66&gt;0,OR($B$175=0,54&lt;=$B$175)),$B$66,IF($B$172-MAX(54-1,$B$174)&gt;0,IF(B454=0,0,IF(C454=0,B454/($B$172-MAX(54-1,$B$174)),B454*(C454/12)/(1-(1+C454/12)^(-($B$172-MAX(54-1,$B$174)))))),"")),D453))))),IF(IF(AND(54&lt;=$B$174,54&lt;=$B$173),B454*C454/12,IF(AND(54=$B$173+1,AND(54&gt;$B$173,$B$78="Refinance",ISNUMBER($B$80),$B$80&gt;=0,$B$80&lt;=1,ROUND($B$81*12,0)&gt;=1,$B$81&lt;=100,SUM($B$82)&gt;=0,SUM($B$82)&lt;=1,SUM($B$83)&gt;=0)),IF(B454=0,0,IF(C454=0,B454/ROUND($B$81*12,0),B454*(C454/12)/(1-(1+C454/12)^(-ROUND($B$81*12,0))))),IF(AND(NOT(AND(54&gt;$B$173,$B$78="Refinance",ISNUMBER($B$80),$B$80&gt;=0,$B$80&lt;=1,ROUND($B$81*12,0)&gt;=1,$B$81&lt;=100,SUM($B$82)&gt;=0,SUM($B$82)&lt;=1,SUM($B$83)&gt;=0)),OR(54=1,54=$B$174+1,AND($B$175&gt;0,54=$B$175+1))),IF(AND($B$170=1,$B$66&gt;0,OR($B$175=0,54&lt;=$B$175)),$B$66,IF($B$172-MAX(54-1,$B$174)&gt;0,IF(B454=0,0,IF(C454=0,B454/($B$172-MAX(54-1,$B$174)),B454*(C454/12)/(1-(1+C454/12)^(-($B$172-MAX(54-1,$B$174)))))),"")),D453)))+0.0000001&gt;=B454*C454/12,MIN(B454*(1+C454/12),IF(AND(54&lt;=$B$174,54&lt;=$B$173),B454*C454/12,IF(AND(54=$B$173+1,AND(54&gt;$B$173,$B$78="Refinance",ISNUMBER($B$80),$B$80&gt;=0,$B$80&lt;=1,ROUND($B$81*12,0)&gt;=1,$B$81&lt;=100,SUM($B$82)&gt;=0,SUM($B$82)&lt;=1,SUM($B$83)&gt;=0)),IF(B454=0,0,IF(C454=0,B454/ROUND($B$81*12,0),B454*(C454/12)/(1-(1+C454/12)^(-ROUND($B$81*12,0))))),IF(AND(NOT(AND(54&gt;$B$173,$B$78="Refinance",ISNUMBER($B$80),$B$80&gt;=0,$B$80&lt;=1,ROUND($B$81*12,0)&gt;=1,$B$81&lt;=100,SUM($B$82)&gt;=0,SUM($B$82)&lt;=1,SUM($B$83)&gt;=0)),OR(54=1,54=$B$174+1,AND($B$175&gt;0,54=$B$175+1))),IF(AND($B$170=1,$B$66&gt;0,OR($B$175=0,54&lt;=$B$175)),$B$66,IF($B$172-MAX(54-1,$B$174)&gt;0,IF(B454=0,0,IF(C454=0,B454/($B$172-MAX(54-1,$B$174)),B454*(C454/12)/(1-(1+C454/12)^(-($B$172-MAX(54-1,$B$174)))))),"")),D453)))),""),""))</x:f>
        <x:v>4679.450723240598</x:v>
      </x:c>
      <x:c r="E454" s="440" t="n">
        <x:f>IF(AND(54=$B$173,ISNUMBER(D454)),IF(MAX(0,B454*(1+C454/12)-D454)&lt;MAX(0.0000001,$E$17*0.00000000001),0,MAX(0,B454*(1+C454/12)-D454)),0)</x:f>
        <x:v>0</x:v>
      </x:c>
      <x:c r="F454" s="440" t="n">
        <x:f>IF($B$78="Cash payoff",E454,0)</x:f>
        <x:v>0</x:v>
      </x:c>
      <x:c r="G454" s="440" t="n">
        <x:f>IF(AND(E454&gt;0,AND($B$78="Refinance",ISNUMBER($B$80),$B$80&gt;=0,$B$80&lt;=1,ROUND($B$81*12,0)&gt;=1,$B$81&lt;=100,SUM($B$82)&gt;=0,SUM($B$82)&lt;=1,SUM($B$83)&gt;=0)),E454*SUM($B$82)+SUM($B$83),0)</x:f>
        <x:v>0</x:v>
      </x:c>
      <x:c r="H454" s="440" t="n">
        <x:f>IF(ISNUMBER(D454),IF(MAX(0,B454*(1+C454/12)-D454-F454)&lt;MAX(0.0000001,$E$17*0.00000000001),0,MAX(0,B454*(1+C454/12)-D454-F454)),IF(AND($B$171=1,I453=1),B454,""))</x:f>
        <x:v>715165.905125901</x:v>
      </x:c>
      <x:c r="I454" s="444" t="n">
        <x:f>IF(OR(I453=1,AND(E454&gt;0,$B$78&lt;&gt;"Cash payoff",NOT(AND($B$78="Refinance",ISNUMBER($B$80),$B$80&gt;=0,$B$80&lt;=1,ROUND($B$81*12,0)&gt;=1,$B$81&lt;=100,SUM($B$82)&gt;=0,SUM($B$82)&lt;=1,SUM($B$83)&gt;=0))),AND(ISNUMBER(B454),B454&gt;0,$B$171=1,NOT(ISNUMBER(D454)))),1,0)</x:f>
        <x:v>0</x:v>
      </x:c>
      <x:c r="J454" s="440" t="n">
        <x:f>IF(ISNUMBER(L453),L453,"")</x:f>
        <x:v>0</x:v>
      </x:c>
      <x:c r="K454" s="440" t="n">
        <x:f>IF(AND(ISNUMBER(J454),J454=0),0,IF(AND($B$176=1,ISNUMBER(J454)),MIN(J454*(1+$B$87/12),IF($B$86=0,0,IF($B$87=0,$B$86/ROUND($B$88*12,0),$B$86*($B$87/12)/(1-(1+$B$87/12)^(-ROUND($B$88*12,0)))))),""))</x:f>
        <x:v>0</x:v>
      </x:c>
      <x:c r="L454" s="440" t="n">
        <x:f>IF(ISNUMBER(K454),IF(MAX(0,J454*(1+SUM($B$87)/12)-K454)&lt;MAX(0.0000001,$B$86*0.00000000001),0,MAX(0,J454*(1+SUM($B$87)/12)-K454)),"")</x:f>
        <x:v>0</x:v>
      </x:c>
      <x:c r="M454" s="440" t="n">
        <x:f>IF(AND(ISNUMBER(D454),ISNUMBER(K454)),D454+K454,"")</x:f>
        <x:v>4679.450723240598</x:v>
      </x:c>
      <x:c r="N454" s="440" t="n">
        <x:f>IF(AND(ISNUMBER(H454),ISNUMBER(L454)),H454+L454,"")</x:f>
        <x:v>715165.905125901</x:v>
      </x:c>
    </x:row>
    <x:row r="455" ht="22" customHeight="1">
      <x:c r="A455" s="254" t="n">
        <x:f>55</x:f>
        <x:v>55</x:v>
      </x:c>
      <x:c r="B455" s="440" t="n">
        <x:f>IF(ISNUMBER(H454),H454,"")</x:f>
        <x:v>715165.905125901</x:v>
      </x:c>
      <x:c r="C455" s="442" t="n">
        <x:f>IF(ISNUMBER(B455),IF(AND(55&gt;$B$173,$B$78="Refinance",ISNUMBER($B$80),$B$80&gt;=0,$B$80&lt;=1,ROUND($B$81*12,0)&gt;=1,$B$81&lt;=100,SUM($B$82)&gt;=0,SUM($B$82)&lt;=1,SUM($B$83)&gt;=0),$B$80,IF(AND($B$175&gt;0,55&gt;$B$175,ISNUMBER($B$75)),$B$75,$B$61)),"")</x:f>
        <x:v>0.0625</x:v>
      </x:c>
      <x:c r="D455" s="440" t="n">
        <x:f>IF(AND(ISNUMBER(B455),B455=0),0,IF(AND($B$171=1,I454=0,ISNUMBER(C455),ISNUMBER(IF(AND(55&lt;=$B$174,55&lt;=$B$173),B455*C455/12,IF(AND(55=$B$173+1,AND(55&gt;$B$173,$B$78="Refinance",ISNUMBER($B$80),$B$80&gt;=0,$B$80&lt;=1,ROUND($B$81*12,0)&gt;=1,$B$81&lt;=100,SUM($B$82)&gt;=0,SUM($B$82)&lt;=1,SUM($B$83)&gt;=0)),IF(B455=0,0,IF(C455=0,B455/ROUND($B$81*12,0),B455*(C455/12)/(1-(1+C455/12)^(-ROUND($B$81*12,0))))),IF(AND(NOT(AND(55&gt;$B$173,$B$78="Refinance",ISNUMBER($B$80),$B$80&gt;=0,$B$80&lt;=1,ROUND($B$81*12,0)&gt;=1,$B$81&lt;=100,SUM($B$82)&gt;=0,SUM($B$82)&lt;=1,SUM($B$83)&gt;=0)),OR(55=1,55=$B$174+1,AND($B$175&gt;0,55=$B$175+1))),IF(AND($B$170=1,$B$66&gt;0,OR($B$175=0,55&lt;=$B$175)),$B$66,IF($B$172-MAX(55-1,$B$174)&gt;0,IF(B455=0,0,IF(C455=0,B455/($B$172-MAX(55-1,$B$174)),B455*(C455/12)/(1-(1+C455/12)^(-($B$172-MAX(55-1,$B$174)))))),"")),D454))))),IF(IF(AND(55&lt;=$B$174,55&lt;=$B$173),B455*C455/12,IF(AND(55=$B$173+1,AND(55&gt;$B$173,$B$78="Refinance",ISNUMBER($B$80),$B$80&gt;=0,$B$80&lt;=1,ROUND($B$81*12,0)&gt;=1,$B$81&lt;=100,SUM($B$82)&gt;=0,SUM($B$82)&lt;=1,SUM($B$83)&gt;=0)),IF(B455=0,0,IF(C455=0,B455/ROUND($B$81*12,0),B455*(C455/12)/(1-(1+C455/12)^(-ROUND($B$81*12,0))))),IF(AND(NOT(AND(55&gt;$B$173,$B$78="Refinance",ISNUMBER($B$80),$B$80&gt;=0,$B$80&lt;=1,ROUND($B$81*12,0)&gt;=1,$B$81&lt;=100,SUM($B$82)&gt;=0,SUM($B$82)&lt;=1,SUM($B$83)&gt;=0)),OR(55=1,55=$B$174+1,AND($B$175&gt;0,55=$B$175+1))),IF(AND($B$170=1,$B$66&gt;0,OR($B$175=0,55&lt;=$B$175)),$B$66,IF($B$172-MAX(55-1,$B$174)&gt;0,IF(B455=0,0,IF(C455=0,B455/($B$172-MAX(55-1,$B$174)),B455*(C455/12)/(1-(1+C455/12)^(-($B$172-MAX(55-1,$B$174)))))),"")),D454)))+0.0000001&gt;=B455*C455/12,MIN(B455*(1+C455/12),IF(AND(55&lt;=$B$174,55&lt;=$B$173),B455*C455/12,IF(AND(55=$B$173+1,AND(55&gt;$B$173,$B$78="Refinance",ISNUMBER($B$80),$B$80&gt;=0,$B$80&lt;=1,ROUND($B$81*12,0)&gt;=1,$B$81&lt;=100,SUM($B$82)&gt;=0,SUM($B$82)&lt;=1,SUM($B$83)&gt;=0)),IF(B455=0,0,IF(C455=0,B455/ROUND($B$81*12,0),B455*(C455/12)/(1-(1+C455/12)^(-ROUND($B$81*12,0))))),IF(AND(NOT(AND(55&gt;$B$173,$B$78="Refinance",ISNUMBER($B$80),$B$80&gt;=0,$B$80&lt;=1,ROUND($B$81*12,0)&gt;=1,$B$81&lt;=100,SUM($B$82)&gt;=0,SUM($B$82)&lt;=1,SUM($B$83)&gt;=0)),OR(55=1,55=$B$174+1,AND($B$175&gt;0,55=$B$175+1))),IF(AND($B$170=1,$B$66&gt;0,OR($B$175=0,55&lt;=$B$175)),$B$66,IF($B$172-MAX(55-1,$B$174)&gt;0,IF(B455=0,0,IF(C455=0,B455/($B$172-MAX(55-1,$B$174)),B455*(C455/12)/(1-(1+C455/12)^(-($B$172-MAX(55-1,$B$174)))))),"")),D454)))),""),""))</x:f>
        <x:v>4679.450723240598</x:v>
      </x:c>
      <x:c r="E455" s="440" t="n">
        <x:f>IF(AND(55=$B$173,ISNUMBER(D455)),IF(MAX(0,B455*(1+C455/12)-D455)&lt;MAX(0.0000001,$E$17*0.00000000001),0,MAX(0,B455*(1+C455/12)-D455)),0)</x:f>
        <x:v>0</x:v>
      </x:c>
      <x:c r="F455" s="440" t="n">
        <x:f>IF($B$78="Cash payoff",E455,0)</x:f>
        <x:v>0</x:v>
      </x:c>
      <x:c r="G455" s="440" t="n">
        <x:f>IF(AND(E455&gt;0,AND($B$78="Refinance",ISNUMBER($B$80),$B$80&gt;=0,$B$80&lt;=1,ROUND($B$81*12,0)&gt;=1,$B$81&lt;=100,SUM($B$82)&gt;=0,SUM($B$82)&lt;=1,SUM($B$83)&gt;=0)),E455*SUM($B$82)+SUM($B$83),0)</x:f>
        <x:v>0</x:v>
      </x:c>
      <x:c r="H455" s="440" t="n">
        <x:f>IF(ISNUMBER(D455),IF(MAX(0,B455*(1+C455/12)-D455-F455)&lt;MAX(0.0000001,$E$17*0.00000000001),0,MAX(0,B455*(1+C455/12)-D455-F455)),IF(AND($B$171=1,I454=1),B455,""))</x:f>
        <x:v>714211.2768251911</x:v>
      </x:c>
      <x:c r="I455" s="444" t="n">
        <x:f>IF(OR(I454=1,AND(E455&gt;0,$B$78&lt;&gt;"Cash payoff",NOT(AND($B$78="Refinance",ISNUMBER($B$80),$B$80&gt;=0,$B$80&lt;=1,ROUND($B$81*12,0)&gt;=1,$B$81&lt;=100,SUM($B$82)&gt;=0,SUM($B$82)&lt;=1,SUM($B$83)&gt;=0))),AND(ISNUMBER(B455),B455&gt;0,$B$171=1,NOT(ISNUMBER(D455)))),1,0)</x:f>
        <x:v>0</x:v>
      </x:c>
      <x:c r="J455" s="440" t="n">
        <x:f>IF(ISNUMBER(L454),L454,"")</x:f>
        <x:v>0</x:v>
      </x:c>
      <x:c r="K455" s="440" t="n">
        <x:f>IF(AND(ISNUMBER(J455),J455=0),0,IF(AND($B$176=1,ISNUMBER(J455)),MIN(J455*(1+$B$87/12),IF($B$86=0,0,IF($B$87=0,$B$86/ROUND($B$88*12,0),$B$86*($B$87/12)/(1-(1+$B$87/12)^(-ROUND($B$88*12,0)))))),""))</x:f>
        <x:v>0</x:v>
      </x:c>
      <x:c r="L455" s="440" t="n">
        <x:f>IF(ISNUMBER(K455),IF(MAX(0,J455*(1+SUM($B$87)/12)-K455)&lt;MAX(0.0000001,$B$86*0.00000000001),0,MAX(0,J455*(1+SUM($B$87)/12)-K455)),"")</x:f>
        <x:v>0</x:v>
      </x:c>
      <x:c r="M455" s="440" t="n">
        <x:f>IF(AND(ISNUMBER(D455),ISNUMBER(K455)),D455+K455,"")</x:f>
        <x:v>4679.450723240598</x:v>
      </x:c>
      <x:c r="N455" s="440" t="n">
        <x:f>IF(AND(ISNUMBER(H455),ISNUMBER(L455)),H455+L455,"")</x:f>
        <x:v>714211.2768251911</x:v>
      </x:c>
    </x:row>
    <x:row r="456" ht="22" customHeight="1">
      <x:c r="A456" s="254" t="n">
        <x:f>56</x:f>
        <x:v>56</x:v>
      </x:c>
      <x:c r="B456" s="440" t="n">
        <x:f>IF(ISNUMBER(H455),H455,"")</x:f>
        <x:v>714211.2768251911</x:v>
      </x:c>
      <x:c r="C456" s="442" t="n">
        <x:f>IF(ISNUMBER(B456),IF(AND(56&gt;$B$173,$B$78="Refinance",ISNUMBER($B$80),$B$80&gt;=0,$B$80&lt;=1,ROUND($B$81*12,0)&gt;=1,$B$81&lt;=100,SUM($B$82)&gt;=0,SUM($B$82)&lt;=1,SUM($B$83)&gt;=0),$B$80,IF(AND($B$175&gt;0,56&gt;$B$175,ISNUMBER($B$75)),$B$75,$B$61)),"")</x:f>
        <x:v>0.0625</x:v>
      </x:c>
      <x:c r="D456" s="440" t="n">
        <x:f>IF(AND(ISNUMBER(B456),B456=0),0,IF(AND($B$171=1,I455=0,ISNUMBER(C456),ISNUMBER(IF(AND(56&lt;=$B$174,56&lt;=$B$173),B456*C456/12,IF(AND(56=$B$173+1,AND(56&gt;$B$173,$B$78="Refinance",ISNUMBER($B$80),$B$80&gt;=0,$B$80&lt;=1,ROUND($B$81*12,0)&gt;=1,$B$81&lt;=100,SUM($B$82)&gt;=0,SUM($B$82)&lt;=1,SUM($B$83)&gt;=0)),IF(B456=0,0,IF(C456=0,B456/ROUND($B$81*12,0),B456*(C456/12)/(1-(1+C456/12)^(-ROUND($B$81*12,0))))),IF(AND(NOT(AND(56&gt;$B$173,$B$78="Refinance",ISNUMBER($B$80),$B$80&gt;=0,$B$80&lt;=1,ROUND($B$81*12,0)&gt;=1,$B$81&lt;=100,SUM($B$82)&gt;=0,SUM($B$82)&lt;=1,SUM($B$83)&gt;=0)),OR(56=1,56=$B$174+1,AND($B$175&gt;0,56=$B$175+1))),IF(AND($B$170=1,$B$66&gt;0,OR($B$175=0,56&lt;=$B$175)),$B$66,IF($B$172-MAX(56-1,$B$174)&gt;0,IF(B456=0,0,IF(C456=0,B456/($B$172-MAX(56-1,$B$174)),B456*(C456/12)/(1-(1+C456/12)^(-($B$172-MAX(56-1,$B$174)))))),"")),D455))))),IF(IF(AND(56&lt;=$B$174,56&lt;=$B$173),B456*C456/12,IF(AND(56=$B$173+1,AND(56&gt;$B$173,$B$78="Refinance",ISNUMBER($B$80),$B$80&gt;=0,$B$80&lt;=1,ROUND($B$81*12,0)&gt;=1,$B$81&lt;=100,SUM($B$82)&gt;=0,SUM($B$82)&lt;=1,SUM($B$83)&gt;=0)),IF(B456=0,0,IF(C456=0,B456/ROUND($B$81*12,0),B456*(C456/12)/(1-(1+C456/12)^(-ROUND($B$81*12,0))))),IF(AND(NOT(AND(56&gt;$B$173,$B$78="Refinance",ISNUMBER($B$80),$B$80&gt;=0,$B$80&lt;=1,ROUND($B$81*12,0)&gt;=1,$B$81&lt;=100,SUM($B$82)&gt;=0,SUM($B$82)&lt;=1,SUM($B$83)&gt;=0)),OR(56=1,56=$B$174+1,AND($B$175&gt;0,56=$B$175+1))),IF(AND($B$170=1,$B$66&gt;0,OR($B$175=0,56&lt;=$B$175)),$B$66,IF($B$172-MAX(56-1,$B$174)&gt;0,IF(B456=0,0,IF(C456=0,B456/($B$172-MAX(56-1,$B$174)),B456*(C456/12)/(1-(1+C456/12)^(-($B$172-MAX(56-1,$B$174)))))),"")),D455)))+0.0000001&gt;=B456*C456/12,MIN(B456*(1+C456/12),IF(AND(56&lt;=$B$174,56&lt;=$B$173),B456*C456/12,IF(AND(56=$B$173+1,AND(56&gt;$B$173,$B$78="Refinance",ISNUMBER($B$80),$B$80&gt;=0,$B$80&lt;=1,ROUND($B$81*12,0)&gt;=1,$B$81&lt;=100,SUM($B$82)&gt;=0,SUM($B$82)&lt;=1,SUM($B$83)&gt;=0)),IF(B456=0,0,IF(C456=0,B456/ROUND($B$81*12,0),B456*(C456/12)/(1-(1+C456/12)^(-ROUND($B$81*12,0))))),IF(AND(NOT(AND(56&gt;$B$173,$B$78="Refinance",ISNUMBER($B$80),$B$80&gt;=0,$B$80&lt;=1,ROUND($B$81*12,0)&gt;=1,$B$81&lt;=100,SUM($B$82)&gt;=0,SUM($B$82)&lt;=1,SUM($B$83)&gt;=0)),OR(56=1,56=$B$174+1,AND($B$175&gt;0,56=$B$175+1))),IF(AND($B$170=1,$B$66&gt;0,OR($B$175=0,56&lt;=$B$175)),$B$66,IF($B$172-MAX(56-1,$B$174)&gt;0,IF(B456=0,0,IF(C456=0,B456/($B$172-MAX(56-1,$B$174)),B456*(C456/12)/(1-(1+C456/12)^(-($B$172-MAX(56-1,$B$174)))))),"")),D455)))),""),""))</x:f>
        <x:v>4679.450723240598</x:v>
      </x:c>
      <x:c r="E456" s="440" t="n">
        <x:f>IF(AND(56=$B$173,ISNUMBER(D456)),IF(MAX(0,B456*(1+C456/12)-D456)&lt;MAX(0.0000001,$E$17*0.00000000001),0,MAX(0,B456*(1+C456/12)-D456)),0)</x:f>
        <x:v>0</x:v>
      </x:c>
      <x:c r="F456" s="440" t="n">
        <x:f>IF($B$78="Cash payoff",E456,0)</x:f>
        <x:v>0</x:v>
      </x:c>
      <x:c r="G456" s="440" t="n">
        <x:f>IF(AND(E456&gt;0,AND($B$78="Refinance",ISNUMBER($B$80),$B$80&gt;=0,$B$80&lt;=1,ROUND($B$81*12,0)&gt;=1,$B$81&lt;=100,SUM($B$82)&gt;=0,SUM($B$82)&lt;=1,SUM($B$83)&gt;=0)),E456*SUM($B$82)+SUM($B$83),0)</x:f>
        <x:v>0</x:v>
      </x:c>
      <x:c r="H456" s="440" t="n">
        <x:f>IF(ISNUMBER(D456),IF(MAX(0,B456*(1+C456/12)-D456-F456)&lt;MAX(0.0000001,$E$17*0.00000000001),0,MAX(0,B456*(1+C456/12)-D456-F456)),IF(AND($B$171=1,I455=1),B456,""))</x:f>
        <x:v>713251.6765020817</x:v>
      </x:c>
      <x:c r="I456" s="444" t="n">
        <x:f>IF(OR(I455=1,AND(E456&gt;0,$B$78&lt;&gt;"Cash payoff",NOT(AND($B$78="Refinance",ISNUMBER($B$80),$B$80&gt;=0,$B$80&lt;=1,ROUND($B$81*12,0)&gt;=1,$B$81&lt;=100,SUM($B$82)&gt;=0,SUM($B$82)&lt;=1,SUM($B$83)&gt;=0))),AND(ISNUMBER(B456),B456&gt;0,$B$171=1,NOT(ISNUMBER(D456)))),1,0)</x:f>
        <x:v>0</x:v>
      </x:c>
      <x:c r="J456" s="440" t="n">
        <x:f>IF(ISNUMBER(L455),L455,"")</x:f>
        <x:v>0</x:v>
      </x:c>
      <x:c r="K456" s="440" t="n">
        <x:f>IF(AND(ISNUMBER(J456),J456=0),0,IF(AND($B$176=1,ISNUMBER(J456)),MIN(J456*(1+$B$87/12),IF($B$86=0,0,IF($B$87=0,$B$86/ROUND($B$88*12,0),$B$86*($B$87/12)/(1-(1+$B$87/12)^(-ROUND($B$88*12,0)))))),""))</x:f>
        <x:v>0</x:v>
      </x:c>
      <x:c r="L456" s="440" t="n">
        <x:f>IF(ISNUMBER(K456),IF(MAX(0,J456*(1+SUM($B$87)/12)-K456)&lt;MAX(0.0000001,$B$86*0.00000000001),0,MAX(0,J456*(1+SUM($B$87)/12)-K456)),"")</x:f>
        <x:v>0</x:v>
      </x:c>
      <x:c r="M456" s="440" t="n">
        <x:f>IF(AND(ISNUMBER(D456),ISNUMBER(K456)),D456+K456,"")</x:f>
        <x:v>4679.450723240598</x:v>
      </x:c>
      <x:c r="N456" s="440" t="n">
        <x:f>IF(AND(ISNUMBER(H456),ISNUMBER(L456)),H456+L456,"")</x:f>
        <x:v>713251.6765020817</x:v>
      </x:c>
    </x:row>
    <x:row r="457" ht="22" customHeight="1">
      <x:c r="A457" s="254" t="n">
        <x:f>57</x:f>
        <x:v>57</x:v>
      </x:c>
      <x:c r="B457" s="440" t="n">
        <x:f>IF(ISNUMBER(H456),H456,"")</x:f>
        <x:v>713251.6765020817</x:v>
      </x:c>
      <x:c r="C457" s="442" t="n">
        <x:f>IF(ISNUMBER(B457),IF(AND(57&gt;$B$173,$B$78="Refinance",ISNUMBER($B$80),$B$80&gt;=0,$B$80&lt;=1,ROUND($B$81*12,0)&gt;=1,$B$81&lt;=100,SUM($B$82)&gt;=0,SUM($B$82)&lt;=1,SUM($B$83)&gt;=0),$B$80,IF(AND($B$175&gt;0,57&gt;$B$175,ISNUMBER($B$75)),$B$75,$B$61)),"")</x:f>
        <x:v>0.0625</x:v>
      </x:c>
      <x:c r="D457" s="440" t="n">
        <x:f>IF(AND(ISNUMBER(B457),B457=0),0,IF(AND($B$171=1,I456=0,ISNUMBER(C457),ISNUMBER(IF(AND(57&lt;=$B$174,57&lt;=$B$173),B457*C457/12,IF(AND(57=$B$173+1,AND(57&gt;$B$173,$B$78="Refinance",ISNUMBER($B$80),$B$80&gt;=0,$B$80&lt;=1,ROUND($B$81*12,0)&gt;=1,$B$81&lt;=100,SUM($B$82)&gt;=0,SUM($B$82)&lt;=1,SUM($B$83)&gt;=0)),IF(B457=0,0,IF(C457=0,B457/ROUND($B$81*12,0),B457*(C457/12)/(1-(1+C457/12)^(-ROUND($B$81*12,0))))),IF(AND(NOT(AND(57&gt;$B$173,$B$78="Refinance",ISNUMBER($B$80),$B$80&gt;=0,$B$80&lt;=1,ROUND($B$81*12,0)&gt;=1,$B$81&lt;=100,SUM($B$82)&gt;=0,SUM($B$82)&lt;=1,SUM($B$83)&gt;=0)),OR(57=1,57=$B$174+1,AND($B$175&gt;0,57=$B$175+1))),IF(AND($B$170=1,$B$66&gt;0,OR($B$175=0,57&lt;=$B$175)),$B$66,IF($B$172-MAX(57-1,$B$174)&gt;0,IF(B457=0,0,IF(C457=0,B457/($B$172-MAX(57-1,$B$174)),B457*(C457/12)/(1-(1+C457/12)^(-($B$172-MAX(57-1,$B$174)))))),"")),D456))))),IF(IF(AND(57&lt;=$B$174,57&lt;=$B$173),B457*C457/12,IF(AND(57=$B$173+1,AND(57&gt;$B$173,$B$78="Refinance",ISNUMBER($B$80),$B$80&gt;=0,$B$80&lt;=1,ROUND($B$81*12,0)&gt;=1,$B$81&lt;=100,SUM($B$82)&gt;=0,SUM($B$82)&lt;=1,SUM($B$83)&gt;=0)),IF(B457=0,0,IF(C457=0,B457/ROUND($B$81*12,0),B457*(C457/12)/(1-(1+C457/12)^(-ROUND($B$81*12,0))))),IF(AND(NOT(AND(57&gt;$B$173,$B$78="Refinance",ISNUMBER($B$80),$B$80&gt;=0,$B$80&lt;=1,ROUND($B$81*12,0)&gt;=1,$B$81&lt;=100,SUM($B$82)&gt;=0,SUM($B$82)&lt;=1,SUM($B$83)&gt;=0)),OR(57=1,57=$B$174+1,AND($B$175&gt;0,57=$B$175+1))),IF(AND($B$170=1,$B$66&gt;0,OR($B$175=0,57&lt;=$B$175)),$B$66,IF($B$172-MAX(57-1,$B$174)&gt;0,IF(B457=0,0,IF(C457=0,B457/($B$172-MAX(57-1,$B$174)),B457*(C457/12)/(1-(1+C457/12)^(-($B$172-MAX(57-1,$B$174)))))),"")),D456)))+0.0000001&gt;=B457*C457/12,MIN(B457*(1+C457/12),IF(AND(57&lt;=$B$174,57&lt;=$B$173),B457*C457/12,IF(AND(57=$B$173+1,AND(57&gt;$B$173,$B$78="Refinance",ISNUMBER($B$80),$B$80&gt;=0,$B$80&lt;=1,ROUND($B$81*12,0)&gt;=1,$B$81&lt;=100,SUM($B$82)&gt;=0,SUM($B$82)&lt;=1,SUM($B$83)&gt;=0)),IF(B457=0,0,IF(C457=0,B457/ROUND($B$81*12,0),B457*(C457/12)/(1-(1+C457/12)^(-ROUND($B$81*12,0))))),IF(AND(NOT(AND(57&gt;$B$173,$B$78="Refinance",ISNUMBER($B$80),$B$80&gt;=0,$B$80&lt;=1,ROUND($B$81*12,0)&gt;=1,$B$81&lt;=100,SUM($B$82)&gt;=0,SUM($B$82)&lt;=1,SUM($B$83)&gt;=0)),OR(57=1,57=$B$174+1,AND($B$175&gt;0,57=$B$175+1))),IF(AND($B$170=1,$B$66&gt;0,OR($B$175=0,57&lt;=$B$175)),$B$66,IF($B$172-MAX(57-1,$B$174)&gt;0,IF(B457=0,0,IF(C457=0,B457/($B$172-MAX(57-1,$B$174)),B457*(C457/12)/(1-(1+C457/12)^(-($B$172-MAX(57-1,$B$174)))))),"")),D456)))),""),""))</x:f>
        <x:v>4679.450723240598</x:v>
      </x:c>
      <x:c r="E457" s="440" t="n">
        <x:f>IF(AND(57=$B$173,ISNUMBER(D457)),IF(MAX(0,B457*(1+C457/12)-D457)&lt;MAX(0.0000001,$E$17*0.00000000001),0,MAX(0,B457*(1+C457/12)-D457)),0)</x:f>
        <x:v>0</x:v>
      </x:c>
      <x:c r="F457" s="440" t="n">
        <x:f>IF($B$78="Cash payoff",E457,0)</x:f>
        <x:v>0</x:v>
      </x:c>
      <x:c r="G457" s="440" t="n">
        <x:f>IF(AND(E457&gt;0,AND($B$78="Refinance",ISNUMBER($B$80),$B$80&gt;=0,$B$80&lt;=1,ROUND($B$81*12,0)&gt;=1,$B$81&lt;=100,SUM($B$82)&gt;=0,SUM($B$82)&lt;=1,SUM($B$83)&gt;=0)),E457*SUM($B$82)+SUM($B$83),0)</x:f>
        <x:v>0</x:v>
      </x:c>
      <x:c r="H457" s="440" t="n">
        <x:f>IF(ISNUMBER(D457),IF(MAX(0,B457*(1+C457/12)-D457-F457)&lt;MAX(0.0000001,$E$17*0.00000000001),0,MAX(0,B457*(1+C457/12)-D457-F457)),IF(AND($B$171=1,I456=1),B457,""))</x:f>
        <x:v>712287.0782606227</x:v>
      </x:c>
      <x:c r="I457" s="444" t="n">
        <x:f>IF(OR(I456=1,AND(E457&gt;0,$B$78&lt;&gt;"Cash payoff",NOT(AND($B$78="Refinance",ISNUMBER($B$80),$B$80&gt;=0,$B$80&lt;=1,ROUND($B$81*12,0)&gt;=1,$B$81&lt;=100,SUM($B$82)&gt;=0,SUM($B$82)&lt;=1,SUM($B$83)&gt;=0))),AND(ISNUMBER(B457),B457&gt;0,$B$171=1,NOT(ISNUMBER(D457)))),1,0)</x:f>
        <x:v>0</x:v>
      </x:c>
      <x:c r="J457" s="440" t="n">
        <x:f>IF(ISNUMBER(L456),L456,"")</x:f>
        <x:v>0</x:v>
      </x:c>
      <x:c r="K457" s="440" t="n">
        <x:f>IF(AND(ISNUMBER(J457),J457=0),0,IF(AND($B$176=1,ISNUMBER(J457)),MIN(J457*(1+$B$87/12),IF($B$86=0,0,IF($B$87=0,$B$86/ROUND($B$88*12,0),$B$86*($B$87/12)/(1-(1+$B$87/12)^(-ROUND($B$88*12,0)))))),""))</x:f>
        <x:v>0</x:v>
      </x:c>
      <x:c r="L457" s="440" t="n">
        <x:f>IF(ISNUMBER(K457),IF(MAX(0,J457*(1+SUM($B$87)/12)-K457)&lt;MAX(0.0000001,$B$86*0.00000000001),0,MAX(0,J457*(1+SUM($B$87)/12)-K457)),"")</x:f>
        <x:v>0</x:v>
      </x:c>
      <x:c r="M457" s="440" t="n">
        <x:f>IF(AND(ISNUMBER(D457),ISNUMBER(K457)),D457+K457,"")</x:f>
        <x:v>4679.450723240598</x:v>
      </x:c>
      <x:c r="N457" s="440" t="n">
        <x:f>IF(AND(ISNUMBER(H457),ISNUMBER(L457)),H457+L457,"")</x:f>
        <x:v>712287.0782606227</x:v>
      </x:c>
    </x:row>
    <x:row r="458" ht="22" customHeight="1">
      <x:c r="A458" s="254" t="n">
        <x:f>58</x:f>
        <x:v>58</x:v>
      </x:c>
      <x:c r="B458" s="440" t="n">
        <x:f>IF(ISNUMBER(H457),H457,"")</x:f>
        <x:v>712287.0782606227</x:v>
      </x:c>
      <x:c r="C458" s="442" t="n">
        <x:f>IF(ISNUMBER(B458),IF(AND(58&gt;$B$173,$B$78="Refinance",ISNUMBER($B$80),$B$80&gt;=0,$B$80&lt;=1,ROUND($B$81*12,0)&gt;=1,$B$81&lt;=100,SUM($B$82)&gt;=0,SUM($B$82)&lt;=1,SUM($B$83)&gt;=0),$B$80,IF(AND($B$175&gt;0,58&gt;$B$175,ISNUMBER($B$75)),$B$75,$B$61)),"")</x:f>
        <x:v>0.0625</x:v>
      </x:c>
      <x:c r="D458" s="440" t="n">
        <x:f>IF(AND(ISNUMBER(B458),B458=0),0,IF(AND($B$171=1,I457=0,ISNUMBER(C458),ISNUMBER(IF(AND(58&lt;=$B$174,58&lt;=$B$173),B458*C458/12,IF(AND(58=$B$173+1,AND(58&gt;$B$173,$B$78="Refinance",ISNUMBER($B$80),$B$80&gt;=0,$B$80&lt;=1,ROUND($B$81*12,0)&gt;=1,$B$81&lt;=100,SUM($B$82)&gt;=0,SUM($B$82)&lt;=1,SUM($B$83)&gt;=0)),IF(B458=0,0,IF(C458=0,B458/ROUND($B$81*12,0),B458*(C458/12)/(1-(1+C458/12)^(-ROUND($B$81*12,0))))),IF(AND(NOT(AND(58&gt;$B$173,$B$78="Refinance",ISNUMBER($B$80),$B$80&gt;=0,$B$80&lt;=1,ROUND($B$81*12,0)&gt;=1,$B$81&lt;=100,SUM($B$82)&gt;=0,SUM($B$82)&lt;=1,SUM($B$83)&gt;=0)),OR(58=1,58=$B$174+1,AND($B$175&gt;0,58=$B$175+1))),IF(AND($B$170=1,$B$66&gt;0,OR($B$175=0,58&lt;=$B$175)),$B$66,IF($B$172-MAX(58-1,$B$174)&gt;0,IF(B458=0,0,IF(C458=0,B458/($B$172-MAX(58-1,$B$174)),B458*(C458/12)/(1-(1+C458/12)^(-($B$172-MAX(58-1,$B$174)))))),"")),D457))))),IF(IF(AND(58&lt;=$B$174,58&lt;=$B$173),B458*C458/12,IF(AND(58=$B$173+1,AND(58&gt;$B$173,$B$78="Refinance",ISNUMBER($B$80),$B$80&gt;=0,$B$80&lt;=1,ROUND($B$81*12,0)&gt;=1,$B$81&lt;=100,SUM($B$82)&gt;=0,SUM($B$82)&lt;=1,SUM($B$83)&gt;=0)),IF(B458=0,0,IF(C458=0,B458/ROUND($B$81*12,0),B458*(C458/12)/(1-(1+C458/12)^(-ROUND($B$81*12,0))))),IF(AND(NOT(AND(58&gt;$B$173,$B$78="Refinance",ISNUMBER($B$80),$B$80&gt;=0,$B$80&lt;=1,ROUND($B$81*12,0)&gt;=1,$B$81&lt;=100,SUM($B$82)&gt;=0,SUM($B$82)&lt;=1,SUM($B$83)&gt;=0)),OR(58=1,58=$B$174+1,AND($B$175&gt;0,58=$B$175+1))),IF(AND($B$170=1,$B$66&gt;0,OR($B$175=0,58&lt;=$B$175)),$B$66,IF($B$172-MAX(58-1,$B$174)&gt;0,IF(B458=0,0,IF(C458=0,B458/($B$172-MAX(58-1,$B$174)),B458*(C458/12)/(1-(1+C458/12)^(-($B$172-MAX(58-1,$B$174)))))),"")),D457)))+0.0000001&gt;=B458*C458/12,MIN(B458*(1+C458/12),IF(AND(58&lt;=$B$174,58&lt;=$B$173),B458*C458/12,IF(AND(58=$B$173+1,AND(58&gt;$B$173,$B$78="Refinance",ISNUMBER($B$80),$B$80&gt;=0,$B$80&lt;=1,ROUND($B$81*12,0)&gt;=1,$B$81&lt;=100,SUM($B$82)&gt;=0,SUM($B$82)&lt;=1,SUM($B$83)&gt;=0)),IF(B458=0,0,IF(C458=0,B458/ROUND($B$81*12,0),B458*(C458/12)/(1-(1+C458/12)^(-ROUND($B$81*12,0))))),IF(AND(NOT(AND(58&gt;$B$173,$B$78="Refinance",ISNUMBER($B$80),$B$80&gt;=0,$B$80&lt;=1,ROUND($B$81*12,0)&gt;=1,$B$81&lt;=100,SUM($B$82)&gt;=0,SUM($B$82)&lt;=1,SUM($B$83)&gt;=0)),OR(58=1,58=$B$174+1,AND($B$175&gt;0,58=$B$175+1))),IF(AND($B$170=1,$B$66&gt;0,OR($B$175=0,58&lt;=$B$175)),$B$66,IF($B$172-MAX(58-1,$B$174)&gt;0,IF(B458=0,0,IF(C458=0,B458/($B$172-MAX(58-1,$B$174)),B458*(C458/12)/(1-(1+C458/12)^(-($B$172-MAX(58-1,$B$174)))))),"")),D457)))),""),""))</x:f>
        <x:v>4679.450723240598</x:v>
      </x:c>
      <x:c r="E458" s="440" t="n">
        <x:f>IF(AND(58=$B$173,ISNUMBER(D458)),IF(MAX(0,B458*(1+C458/12)-D458)&lt;MAX(0.0000001,$E$17*0.00000000001),0,MAX(0,B458*(1+C458/12)-D458)),0)</x:f>
        <x:v>0</x:v>
      </x:c>
      <x:c r="F458" s="440" t="n">
        <x:f>IF($B$78="Cash payoff",E458,0)</x:f>
        <x:v>0</x:v>
      </x:c>
      <x:c r="G458" s="440" t="n">
        <x:f>IF(AND(E458&gt;0,AND($B$78="Refinance",ISNUMBER($B$80),$B$80&gt;=0,$B$80&lt;=1,ROUND($B$81*12,0)&gt;=1,$B$81&lt;=100,SUM($B$82)&gt;=0,SUM($B$82)&lt;=1,SUM($B$83)&gt;=0)),E458*SUM($B$82)+SUM($B$83),0)</x:f>
        <x:v>0</x:v>
      </x:c>
      <x:c r="H458" s="440" t="n">
        <x:f>IF(ISNUMBER(D458),IF(MAX(0,B458*(1+C458/12)-D458-F458)&lt;MAX(0.0000001,$E$17*0.00000000001),0,MAX(0,B458*(1+C458/12)-D458-F458)),IF(AND($B$171=1,I457=1),B458,""))</x:f>
        <x:v>711317.4560699895</x:v>
      </x:c>
      <x:c r="I458" s="444" t="n">
        <x:f>IF(OR(I457=1,AND(E458&gt;0,$B$78&lt;&gt;"Cash payoff",NOT(AND($B$78="Refinance",ISNUMBER($B$80),$B$80&gt;=0,$B$80&lt;=1,ROUND($B$81*12,0)&gt;=1,$B$81&lt;=100,SUM($B$82)&gt;=0,SUM($B$82)&lt;=1,SUM($B$83)&gt;=0))),AND(ISNUMBER(B458),B458&gt;0,$B$171=1,NOT(ISNUMBER(D458)))),1,0)</x:f>
        <x:v>0</x:v>
      </x:c>
      <x:c r="J458" s="440" t="n">
        <x:f>IF(ISNUMBER(L457),L457,"")</x:f>
        <x:v>0</x:v>
      </x:c>
      <x:c r="K458" s="440" t="n">
        <x:f>IF(AND(ISNUMBER(J458),J458=0),0,IF(AND($B$176=1,ISNUMBER(J458)),MIN(J458*(1+$B$87/12),IF($B$86=0,0,IF($B$87=0,$B$86/ROUND($B$88*12,0),$B$86*($B$87/12)/(1-(1+$B$87/12)^(-ROUND($B$88*12,0)))))),""))</x:f>
        <x:v>0</x:v>
      </x:c>
      <x:c r="L458" s="440" t="n">
        <x:f>IF(ISNUMBER(K458),IF(MAX(0,J458*(1+SUM($B$87)/12)-K458)&lt;MAX(0.0000001,$B$86*0.00000000001),0,MAX(0,J458*(1+SUM($B$87)/12)-K458)),"")</x:f>
        <x:v>0</x:v>
      </x:c>
      <x:c r="M458" s="440" t="n">
        <x:f>IF(AND(ISNUMBER(D458),ISNUMBER(K458)),D458+K458,"")</x:f>
        <x:v>4679.450723240598</x:v>
      </x:c>
      <x:c r="N458" s="440" t="n">
        <x:f>IF(AND(ISNUMBER(H458),ISNUMBER(L458)),H458+L458,"")</x:f>
        <x:v>711317.4560699895</x:v>
      </x:c>
    </x:row>
    <x:row r="459" ht="22" customHeight="1">
      <x:c r="A459" s="254" t="n">
        <x:f>59</x:f>
        <x:v>59</x:v>
      </x:c>
      <x:c r="B459" s="440" t="n">
        <x:f>IF(ISNUMBER(H458),H458,"")</x:f>
        <x:v>711317.4560699895</x:v>
      </x:c>
      <x:c r="C459" s="442" t="n">
        <x:f>IF(ISNUMBER(B459),IF(AND(59&gt;$B$173,$B$78="Refinance",ISNUMBER($B$80),$B$80&gt;=0,$B$80&lt;=1,ROUND($B$81*12,0)&gt;=1,$B$81&lt;=100,SUM($B$82)&gt;=0,SUM($B$82)&lt;=1,SUM($B$83)&gt;=0),$B$80,IF(AND($B$175&gt;0,59&gt;$B$175,ISNUMBER($B$75)),$B$75,$B$61)),"")</x:f>
        <x:v>0.0625</x:v>
      </x:c>
      <x:c r="D459" s="440" t="n">
        <x:f>IF(AND(ISNUMBER(B459),B459=0),0,IF(AND($B$171=1,I458=0,ISNUMBER(C459),ISNUMBER(IF(AND(59&lt;=$B$174,59&lt;=$B$173),B459*C459/12,IF(AND(59=$B$173+1,AND(59&gt;$B$173,$B$78="Refinance",ISNUMBER($B$80),$B$80&gt;=0,$B$80&lt;=1,ROUND($B$81*12,0)&gt;=1,$B$81&lt;=100,SUM($B$82)&gt;=0,SUM($B$82)&lt;=1,SUM($B$83)&gt;=0)),IF(B459=0,0,IF(C459=0,B459/ROUND($B$81*12,0),B459*(C459/12)/(1-(1+C459/12)^(-ROUND($B$81*12,0))))),IF(AND(NOT(AND(59&gt;$B$173,$B$78="Refinance",ISNUMBER($B$80),$B$80&gt;=0,$B$80&lt;=1,ROUND($B$81*12,0)&gt;=1,$B$81&lt;=100,SUM($B$82)&gt;=0,SUM($B$82)&lt;=1,SUM($B$83)&gt;=0)),OR(59=1,59=$B$174+1,AND($B$175&gt;0,59=$B$175+1))),IF(AND($B$170=1,$B$66&gt;0,OR($B$175=0,59&lt;=$B$175)),$B$66,IF($B$172-MAX(59-1,$B$174)&gt;0,IF(B459=0,0,IF(C459=0,B459/($B$172-MAX(59-1,$B$174)),B459*(C459/12)/(1-(1+C459/12)^(-($B$172-MAX(59-1,$B$174)))))),"")),D458))))),IF(IF(AND(59&lt;=$B$174,59&lt;=$B$173),B459*C459/12,IF(AND(59=$B$173+1,AND(59&gt;$B$173,$B$78="Refinance",ISNUMBER($B$80),$B$80&gt;=0,$B$80&lt;=1,ROUND($B$81*12,0)&gt;=1,$B$81&lt;=100,SUM($B$82)&gt;=0,SUM($B$82)&lt;=1,SUM($B$83)&gt;=0)),IF(B459=0,0,IF(C459=0,B459/ROUND($B$81*12,0),B459*(C459/12)/(1-(1+C459/12)^(-ROUND($B$81*12,0))))),IF(AND(NOT(AND(59&gt;$B$173,$B$78="Refinance",ISNUMBER($B$80),$B$80&gt;=0,$B$80&lt;=1,ROUND($B$81*12,0)&gt;=1,$B$81&lt;=100,SUM($B$82)&gt;=0,SUM($B$82)&lt;=1,SUM($B$83)&gt;=0)),OR(59=1,59=$B$174+1,AND($B$175&gt;0,59=$B$175+1))),IF(AND($B$170=1,$B$66&gt;0,OR($B$175=0,59&lt;=$B$175)),$B$66,IF($B$172-MAX(59-1,$B$174)&gt;0,IF(B459=0,0,IF(C459=0,B459/($B$172-MAX(59-1,$B$174)),B459*(C459/12)/(1-(1+C459/12)^(-($B$172-MAX(59-1,$B$174)))))),"")),D458)))+0.0000001&gt;=B459*C459/12,MIN(B459*(1+C459/12),IF(AND(59&lt;=$B$174,59&lt;=$B$173),B459*C459/12,IF(AND(59=$B$173+1,AND(59&gt;$B$173,$B$78="Refinance",ISNUMBER($B$80),$B$80&gt;=0,$B$80&lt;=1,ROUND($B$81*12,0)&gt;=1,$B$81&lt;=100,SUM($B$82)&gt;=0,SUM($B$82)&lt;=1,SUM($B$83)&gt;=0)),IF(B459=0,0,IF(C459=0,B459/ROUND($B$81*12,0),B459*(C459/12)/(1-(1+C459/12)^(-ROUND($B$81*12,0))))),IF(AND(NOT(AND(59&gt;$B$173,$B$78="Refinance",ISNUMBER($B$80),$B$80&gt;=0,$B$80&lt;=1,ROUND($B$81*12,0)&gt;=1,$B$81&lt;=100,SUM($B$82)&gt;=0,SUM($B$82)&lt;=1,SUM($B$83)&gt;=0)),OR(59=1,59=$B$174+1,AND($B$175&gt;0,59=$B$175+1))),IF(AND($B$170=1,$B$66&gt;0,OR($B$175=0,59&lt;=$B$175)),$B$66,IF($B$172-MAX(59-1,$B$174)&gt;0,IF(B459=0,0,IF(C459=0,B459/($B$172-MAX(59-1,$B$174)),B459*(C459/12)/(1-(1+C459/12)^(-($B$172-MAX(59-1,$B$174)))))),"")),D458)))),""),""))</x:f>
        <x:v>4679.450723240598</x:v>
      </x:c>
      <x:c r="E459" s="440" t="n">
        <x:f>IF(AND(59=$B$173,ISNUMBER(D459)),IF(MAX(0,B459*(1+C459/12)-D459)&lt;MAX(0.0000001,$E$17*0.00000000001),0,MAX(0,B459*(1+C459/12)-D459)),0)</x:f>
        <x:v>0</x:v>
      </x:c>
      <x:c r="F459" s="440" t="n">
        <x:f>IF($B$78="Cash payoff",E459,0)</x:f>
        <x:v>0</x:v>
      </x:c>
      <x:c r="G459" s="440" t="n">
        <x:f>IF(AND(E459&gt;0,AND($B$78="Refinance",ISNUMBER($B$80),$B$80&gt;=0,$B$80&lt;=1,ROUND($B$81*12,0)&gt;=1,$B$81&lt;=100,SUM($B$82)&gt;=0,SUM($B$82)&lt;=1,SUM($B$83)&gt;=0)),E459*SUM($B$82)+SUM($B$83),0)</x:f>
        <x:v>0</x:v>
      </x:c>
      <x:c r="H459" s="440" t="n">
        <x:f>IF(ISNUMBER(D459),IF(MAX(0,B459*(1+C459/12)-D459-F459)&lt;MAX(0.0000001,$E$17*0.00000000001),0,MAX(0,B459*(1+C459/12)-D459-F459)),IF(AND($B$171=1,I458=1),B459,""))</x:f>
        <x:v>710342.78376378</x:v>
      </x:c>
      <x:c r="I459" s="444" t="n">
        <x:f>IF(OR(I458=1,AND(E459&gt;0,$B$78&lt;&gt;"Cash payoff",NOT(AND($B$78="Refinance",ISNUMBER($B$80),$B$80&gt;=0,$B$80&lt;=1,ROUND($B$81*12,0)&gt;=1,$B$81&lt;=100,SUM($B$82)&gt;=0,SUM($B$82)&lt;=1,SUM($B$83)&gt;=0))),AND(ISNUMBER(B459),B459&gt;0,$B$171=1,NOT(ISNUMBER(D459)))),1,0)</x:f>
        <x:v>0</x:v>
      </x:c>
      <x:c r="J459" s="440" t="n">
        <x:f>IF(ISNUMBER(L458),L458,"")</x:f>
        <x:v>0</x:v>
      </x:c>
      <x:c r="K459" s="440" t="n">
        <x:f>IF(AND(ISNUMBER(J459),J459=0),0,IF(AND($B$176=1,ISNUMBER(J459)),MIN(J459*(1+$B$87/12),IF($B$86=0,0,IF($B$87=0,$B$86/ROUND($B$88*12,0),$B$86*($B$87/12)/(1-(1+$B$87/12)^(-ROUND($B$88*12,0)))))),""))</x:f>
        <x:v>0</x:v>
      </x:c>
      <x:c r="L459" s="440" t="n">
        <x:f>IF(ISNUMBER(K459),IF(MAX(0,J459*(1+SUM($B$87)/12)-K459)&lt;MAX(0.0000001,$B$86*0.00000000001),0,MAX(0,J459*(1+SUM($B$87)/12)-K459)),"")</x:f>
        <x:v>0</x:v>
      </x:c>
      <x:c r="M459" s="440" t="n">
        <x:f>IF(AND(ISNUMBER(D459),ISNUMBER(K459)),D459+K459,"")</x:f>
        <x:v>4679.450723240598</x:v>
      </x:c>
      <x:c r="N459" s="440" t="n">
        <x:f>IF(AND(ISNUMBER(H459),ISNUMBER(L459)),H459+L459,"")</x:f>
        <x:v>710342.78376378</x:v>
      </x:c>
    </x:row>
    <x:row r="460" ht="22" customHeight="1">
      <x:c r="A460" s="254" t="n">
        <x:f>60</x:f>
        <x:v>60</x:v>
      </x:c>
      <x:c r="B460" s="440" t="n">
        <x:f>IF(ISNUMBER(H459),H459,"")</x:f>
        <x:v>710342.78376378</x:v>
      </x:c>
      <x:c r="C460" s="442" t="n">
        <x:f>IF(ISNUMBER(B460),IF(AND(60&gt;$B$173,$B$78="Refinance",ISNUMBER($B$80),$B$80&gt;=0,$B$80&lt;=1,ROUND($B$81*12,0)&gt;=1,$B$81&lt;=100,SUM($B$82)&gt;=0,SUM($B$82)&lt;=1,SUM($B$83)&gt;=0),$B$80,IF(AND($B$175&gt;0,60&gt;$B$175,ISNUMBER($B$75)),$B$75,$B$61)),"")</x:f>
        <x:v>0.0625</x:v>
      </x:c>
      <x:c r="D460" s="440" t="n">
        <x:f>IF(AND(ISNUMBER(B460),B460=0),0,IF(AND($B$171=1,I459=0,ISNUMBER(C460),ISNUMBER(IF(AND(60&lt;=$B$174,60&lt;=$B$173),B460*C460/12,IF(AND(60=$B$173+1,AND(60&gt;$B$173,$B$78="Refinance",ISNUMBER($B$80),$B$80&gt;=0,$B$80&lt;=1,ROUND($B$81*12,0)&gt;=1,$B$81&lt;=100,SUM($B$82)&gt;=0,SUM($B$82)&lt;=1,SUM($B$83)&gt;=0)),IF(B460=0,0,IF(C460=0,B460/ROUND($B$81*12,0),B460*(C460/12)/(1-(1+C460/12)^(-ROUND($B$81*12,0))))),IF(AND(NOT(AND(60&gt;$B$173,$B$78="Refinance",ISNUMBER($B$80),$B$80&gt;=0,$B$80&lt;=1,ROUND($B$81*12,0)&gt;=1,$B$81&lt;=100,SUM($B$82)&gt;=0,SUM($B$82)&lt;=1,SUM($B$83)&gt;=0)),OR(60=1,60=$B$174+1,AND($B$175&gt;0,60=$B$175+1))),IF(AND($B$170=1,$B$66&gt;0,OR($B$175=0,60&lt;=$B$175)),$B$66,IF($B$172-MAX(60-1,$B$174)&gt;0,IF(B460=0,0,IF(C460=0,B460/($B$172-MAX(60-1,$B$174)),B460*(C460/12)/(1-(1+C460/12)^(-($B$172-MAX(60-1,$B$174)))))),"")),D459))))),IF(IF(AND(60&lt;=$B$174,60&lt;=$B$173),B460*C460/12,IF(AND(60=$B$173+1,AND(60&gt;$B$173,$B$78="Refinance",ISNUMBER($B$80),$B$80&gt;=0,$B$80&lt;=1,ROUND($B$81*12,0)&gt;=1,$B$81&lt;=100,SUM($B$82)&gt;=0,SUM($B$82)&lt;=1,SUM($B$83)&gt;=0)),IF(B460=0,0,IF(C460=0,B460/ROUND($B$81*12,0),B460*(C460/12)/(1-(1+C460/12)^(-ROUND($B$81*12,0))))),IF(AND(NOT(AND(60&gt;$B$173,$B$78="Refinance",ISNUMBER($B$80),$B$80&gt;=0,$B$80&lt;=1,ROUND($B$81*12,0)&gt;=1,$B$81&lt;=100,SUM($B$82)&gt;=0,SUM($B$82)&lt;=1,SUM($B$83)&gt;=0)),OR(60=1,60=$B$174+1,AND($B$175&gt;0,60=$B$175+1))),IF(AND($B$170=1,$B$66&gt;0,OR($B$175=0,60&lt;=$B$175)),$B$66,IF($B$172-MAX(60-1,$B$174)&gt;0,IF(B460=0,0,IF(C460=0,B460/($B$172-MAX(60-1,$B$174)),B460*(C460/12)/(1-(1+C460/12)^(-($B$172-MAX(60-1,$B$174)))))),"")),D459)))+0.0000001&gt;=B460*C460/12,MIN(B460*(1+C460/12),IF(AND(60&lt;=$B$174,60&lt;=$B$173),B460*C460/12,IF(AND(60=$B$173+1,AND(60&gt;$B$173,$B$78="Refinance",ISNUMBER($B$80),$B$80&gt;=0,$B$80&lt;=1,ROUND($B$81*12,0)&gt;=1,$B$81&lt;=100,SUM($B$82)&gt;=0,SUM($B$82)&lt;=1,SUM($B$83)&gt;=0)),IF(B460=0,0,IF(C460=0,B460/ROUND($B$81*12,0),B460*(C460/12)/(1-(1+C460/12)^(-ROUND($B$81*12,0))))),IF(AND(NOT(AND(60&gt;$B$173,$B$78="Refinance",ISNUMBER($B$80),$B$80&gt;=0,$B$80&lt;=1,ROUND($B$81*12,0)&gt;=1,$B$81&lt;=100,SUM($B$82)&gt;=0,SUM($B$82)&lt;=1,SUM($B$83)&gt;=0)),OR(60=1,60=$B$174+1,AND($B$175&gt;0,60=$B$175+1))),IF(AND($B$170=1,$B$66&gt;0,OR($B$175=0,60&lt;=$B$175)),$B$66,IF($B$172-MAX(60-1,$B$174)&gt;0,IF(B460=0,0,IF(C460=0,B460/($B$172-MAX(60-1,$B$174)),B460*(C460/12)/(1-(1+C460/12)^(-($B$172-MAX(60-1,$B$174)))))),"")),D459)))),""),""))</x:f>
        <x:v>4679.450723240598</x:v>
      </x:c>
      <x:c r="E460" s="440" t="n">
        <x:f>IF(AND(60=$B$173,ISNUMBER(D460)),IF(MAX(0,B460*(1+C460/12)-D460)&lt;MAX(0.0000001,$E$17*0.00000000001),0,MAX(0,B460*(1+C460/12)-D460)),0)</x:f>
        <x:v>0</x:v>
      </x:c>
      <x:c r="F460" s="440" t="n">
        <x:f>IF($B$78="Cash payoff",E460,0)</x:f>
        <x:v>0</x:v>
      </x:c>
      <x:c r="G460" s="440" t="n">
        <x:f>IF(AND(E460&gt;0,AND($B$78="Refinance",ISNUMBER($B$80),$B$80&gt;=0,$B$80&lt;=1,ROUND($B$81*12,0)&gt;=1,$B$81&lt;=100,SUM($B$82)&gt;=0,SUM($B$82)&lt;=1,SUM($B$83)&gt;=0)),E460*SUM($B$82)+SUM($B$83),0)</x:f>
        <x:v>0</x:v>
      </x:c>
      <x:c r="H460" s="440" t="n">
        <x:f>IF(ISNUMBER(D460),IF(MAX(0,B460*(1+C460/12)-D460-F460)&lt;MAX(0.0000001,$E$17*0.00000000001),0,MAX(0,B460*(1+C460/12)-D460-F460)),IF(AND($B$171=1,I459=1),B460,""))</x:f>
        <x:v>709363.0350393091</x:v>
      </x:c>
      <x:c r="I460" s="444" t="n">
        <x:f>IF(OR(I459=1,AND(E460&gt;0,$B$78&lt;&gt;"Cash payoff",NOT(AND($B$78="Refinance",ISNUMBER($B$80),$B$80&gt;=0,$B$80&lt;=1,ROUND($B$81*12,0)&gt;=1,$B$81&lt;=100,SUM($B$82)&gt;=0,SUM($B$82)&lt;=1,SUM($B$83)&gt;=0))),AND(ISNUMBER(B460),B460&gt;0,$B$171=1,NOT(ISNUMBER(D460)))),1,0)</x:f>
        <x:v>0</x:v>
      </x:c>
      <x:c r="J460" s="440" t="n">
        <x:f>IF(ISNUMBER(L459),L459,"")</x:f>
        <x:v>0</x:v>
      </x:c>
      <x:c r="K460" s="440" t="n">
        <x:f>IF(AND(ISNUMBER(J460),J460=0),0,IF(AND($B$176=1,ISNUMBER(J460)),MIN(J460*(1+$B$87/12),IF($B$86=0,0,IF($B$87=0,$B$86/ROUND($B$88*12,0),$B$86*($B$87/12)/(1-(1+$B$87/12)^(-ROUND($B$88*12,0)))))),""))</x:f>
        <x:v>0</x:v>
      </x:c>
      <x:c r="L460" s="440" t="n">
        <x:f>IF(ISNUMBER(K460),IF(MAX(0,J460*(1+SUM($B$87)/12)-K460)&lt;MAX(0.0000001,$B$86*0.00000000001),0,MAX(0,J460*(1+SUM($B$87)/12)-K460)),"")</x:f>
        <x:v>0</x:v>
      </x:c>
      <x:c r="M460" s="440" t="n">
        <x:f>IF(AND(ISNUMBER(D460),ISNUMBER(K460)),D460+K460,"")</x:f>
        <x:v>4679.450723240598</x:v>
      </x:c>
      <x:c r="N460" s="440" t="n">
        <x:f>IF(AND(ISNUMBER(H460),ISNUMBER(L460)),H460+L460,"")</x:f>
        <x:v>709363.0350393091</x:v>
      </x:c>
    </x:row>
    <x:row r="461" ht="22" customHeight="1">
      <x:c r="A461" s="254" t="n">
        <x:f>61</x:f>
        <x:v>61</x:v>
      </x:c>
      <x:c r="B461" s="440" t="n">
        <x:f>IF(ISNUMBER(H460),H460,"")</x:f>
        <x:v>709363.0350393091</x:v>
      </x:c>
      <x:c r="C461" s="442" t="n">
        <x:f>IF(ISNUMBER(B461),IF(AND(61&gt;$B$173,$B$78="Refinance",ISNUMBER($B$80),$B$80&gt;=0,$B$80&lt;=1,ROUND($B$81*12,0)&gt;=1,$B$81&lt;=100,SUM($B$82)&gt;=0,SUM($B$82)&lt;=1,SUM($B$83)&gt;=0),$B$80,IF(AND($B$175&gt;0,61&gt;$B$175,ISNUMBER($B$75)),$B$75,$B$61)),"")</x:f>
        <x:v>0.0625</x:v>
      </x:c>
      <x:c r="D461" s="440" t="n">
        <x:f>IF(AND(ISNUMBER(B461),B461=0),0,IF(AND($B$171=1,I460=0,ISNUMBER(C461),ISNUMBER(IF(AND(61&lt;=$B$174,61&lt;=$B$173),B461*C461/12,IF(AND(61=$B$173+1,AND(61&gt;$B$173,$B$78="Refinance",ISNUMBER($B$80),$B$80&gt;=0,$B$80&lt;=1,ROUND($B$81*12,0)&gt;=1,$B$81&lt;=100,SUM($B$82)&gt;=0,SUM($B$82)&lt;=1,SUM($B$83)&gt;=0)),IF(B461=0,0,IF(C461=0,B461/ROUND($B$81*12,0),B461*(C461/12)/(1-(1+C461/12)^(-ROUND($B$81*12,0))))),IF(AND(NOT(AND(61&gt;$B$173,$B$78="Refinance",ISNUMBER($B$80),$B$80&gt;=0,$B$80&lt;=1,ROUND($B$81*12,0)&gt;=1,$B$81&lt;=100,SUM($B$82)&gt;=0,SUM($B$82)&lt;=1,SUM($B$83)&gt;=0)),OR(61=1,61=$B$174+1,AND($B$175&gt;0,61=$B$175+1))),IF(AND($B$170=1,$B$66&gt;0,OR($B$175=0,61&lt;=$B$175)),$B$66,IF($B$172-MAX(61-1,$B$174)&gt;0,IF(B461=0,0,IF(C461=0,B461/($B$172-MAX(61-1,$B$174)),B461*(C461/12)/(1-(1+C461/12)^(-($B$172-MAX(61-1,$B$174)))))),"")),D460))))),IF(IF(AND(61&lt;=$B$174,61&lt;=$B$173),B461*C461/12,IF(AND(61=$B$173+1,AND(61&gt;$B$173,$B$78="Refinance",ISNUMBER($B$80),$B$80&gt;=0,$B$80&lt;=1,ROUND($B$81*12,0)&gt;=1,$B$81&lt;=100,SUM($B$82)&gt;=0,SUM($B$82)&lt;=1,SUM($B$83)&gt;=0)),IF(B461=0,0,IF(C461=0,B461/ROUND($B$81*12,0),B461*(C461/12)/(1-(1+C461/12)^(-ROUND($B$81*12,0))))),IF(AND(NOT(AND(61&gt;$B$173,$B$78="Refinance",ISNUMBER($B$80),$B$80&gt;=0,$B$80&lt;=1,ROUND($B$81*12,0)&gt;=1,$B$81&lt;=100,SUM($B$82)&gt;=0,SUM($B$82)&lt;=1,SUM($B$83)&gt;=0)),OR(61=1,61=$B$174+1,AND($B$175&gt;0,61=$B$175+1))),IF(AND($B$170=1,$B$66&gt;0,OR($B$175=0,61&lt;=$B$175)),$B$66,IF($B$172-MAX(61-1,$B$174)&gt;0,IF(B461=0,0,IF(C461=0,B461/($B$172-MAX(61-1,$B$174)),B461*(C461/12)/(1-(1+C461/12)^(-($B$172-MAX(61-1,$B$174)))))),"")),D460)))+0.0000001&gt;=B461*C461/12,MIN(B461*(1+C461/12),IF(AND(61&lt;=$B$174,61&lt;=$B$173),B461*C461/12,IF(AND(61=$B$173+1,AND(61&gt;$B$173,$B$78="Refinance",ISNUMBER($B$80),$B$80&gt;=0,$B$80&lt;=1,ROUND($B$81*12,0)&gt;=1,$B$81&lt;=100,SUM($B$82)&gt;=0,SUM($B$82)&lt;=1,SUM($B$83)&gt;=0)),IF(B461=0,0,IF(C461=0,B461/ROUND($B$81*12,0),B461*(C461/12)/(1-(1+C461/12)^(-ROUND($B$81*12,0))))),IF(AND(NOT(AND(61&gt;$B$173,$B$78="Refinance",ISNUMBER($B$80),$B$80&gt;=0,$B$80&lt;=1,ROUND($B$81*12,0)&gt;=1,$B$81&lt;=100,SUM($B$82)&gt;=0,SUM($B$82)&lt;=1,SUM($B$83)&gt;=0)),OR(61=1,61=$B$174+1,AND($B$175&gt;0,61=$B$175+1))),IF(AND($B$170=1,$B$66&gt;0,OR($B$175=0,61&lt;=$B$175)),$B$66,IF($B$172-MAX(61-1,$B$174)&gt;0,IF(B461=0,0,IF(C461=0,B461/($B$172-MAX(61-1,$B$174)),B461*(C461/12)/(1-(1+C461/12)^(-($B$172-MAX(61-1,$B$174)))))),"")),D460)))),""),""))</x:f>
        <x:v>4679.450723240598</x:v>
      </x:c>
      <x:c r="E461" s="440" t="n">
        <x:f>IF(AND(61=$B$173,ISNUMBER(D461)),IF(MAX(0,B461*(1+C461/12)-D461)&lt;MAX(0.0000001,$E$17*0.00000000001),0,MAX(0,B461*(1+C461/12)-D461)),0)</x:f>
        <x:v>0</x:v>
      </x:c>
      <x:c r="F461" s="440" t="n">
        <x:f>IF($B$78="Cash payoff",E461,0)</x:f>
        <x:v>0</x:v>
      </x:c>
      <x:c r="G461" s="440" t="n">
        <x:f>IF(AND(E461&gt;0,AND($B$78="Refinance",ISNUMBER($B$80),$B$80&gt;=0,$B$80&lt;=1,ROUND($B$81*12,0)&gt;=1,$B$81&lt;=100,SUM($B$82)&gt;=0,SUM($B$82)&lt;=1,SUM($B$83)&gt;=0)),E461*SUM($B$82)+SUM($B$83),0)</x:f>
        <x:v>0</x:v>
      </x:c>
      <x:c r="H461" s="440" t="n">
        <x:f>IF(ISNUMBER(D461),IF(MAX(0,B461*(1+C461/12)-D461-F461)&lt;MAX(0.0000001,$E$17*0.00000000001),0,MAX(0,B461*(1+C461/12)-D461-F461)),IF(AND($B$171=1,I460=1),B461,""))</x:f>
        <x:v>708378.1834568981</x:v>
      </x:c>
      <x:c r="I461" s="444" t="n">
        <x:f>IF(OR(I460=1,AND(E461&gt;0,$B$78&lt;&gt;"Cash payoff",NOT(AND($B$78="Refinance",ISNUMBER($B$80),$B$80&gt;=0,$B$80&lt;=1,ROUND($B$81*12,0)&gt;=1,$B$81&lt;=100,SUM($B$82)&gt;=0,SUM($B$82)&lt;=1,SUM($B$83)&gt;=0))),AND(ISNUMBER(B461),B461&gt;0,$B$171=1,NOT(ISNUMBER(D461)))),1,0)</x:f>
        <x:v>0</x:v>
      </x:c>
      <x:c r="J461" s="440" t="n">
        <x:f>IF(ISNUMBER(L460),L460,"")</x:f>
        <x:v>0</x:v>
      </x:c>
      <x:c r="K461" s="440" t="n">
        <x:f>IF(AND(ISNUMBER(J461),J461=0),0,IF(AND($B$176=1,ISNUMBER(J461)),MIN(J461*(1+$B$87/12),IF($B$86=0,0,IF($B$87=0,$B$86/ROUND($B$88*12,0),$B$86*($B$87/12)/(1-(1+$B$87/12)^(-ROUND($B$88*12,0)))))),""))</x:f>
        <x:v>0</x:v>
      </x:c>
      <x:c r="L461" s="440" t="n">
        <x:f>IF(ISNUMBER(K461),IF(MAX(0,J461*(1+SUM($B$87)/12)-K461)&lt;MAX(0.0000001,$B$86*0.00000000001),0,MAX(0,J461*(1+SUM($B$87)/12)-K461)),"")</x:f>
        <x:v>0</x:v>
      </x:c>
      <x:c r="M461" s="440" t="n">
        <x:f>IF(AND(ISNUMBER(D461),ISNUMBER(K461)),D461+K461,"")</x:f>
        <x:v>4679.450723240598</x:v>
      </x:c>
      <x:c r="N461" s="440" t="n">
        <x:f>IF(AND(ISNUMBER(H461),ISNUMBER(L461)),H461+L461,"")</x:f>
        <x:v>708378.1834568981</x:v>
      </x:c>
    </x:row>
    <x:row r="462" ht="22" customHeight="1">
      <x:c r="A462" s="254" t="n">
        <x:f>62</x:f>
        <x:v>62</x:v>
      </x:c>
      <x:c r="B462" s="440" t="n">
        <x:f>IF(ISNUMBER(H461),H461,"")</x:f>
        <x:v>708378.1834568981</x:v>
      </x:c>
      <x:c r="C462" s="442" t="n">
        <x:f>IF(ISNUMBER(B462),IF(AND(62&gt;$B$173,$B$78="Refinance",ISNUMBER($B$80),$B$80&gt;=0,$B$80&lt;=1,ROUND($B$81*12,0)&gt;=1,$B$81&lt;=100,SUM($B$82)&gt;=0,SUM($B$82)&lt;=1,SUM($B$83)&gt;=0),$B$80,IF(AND($B$175&gt;0,62&gt;$B$175,ISNUMBER($B$75)),$B$75,$B$61)),"")</x:f>
        <x:v>0.0625</x:v>
      </x:c>
      <x:c r="D462" s="440" t="n">
        <x:f>IF(AND(ISNUMBER(B462),B462=0),0,IF(AND($B$171=1,I461=0,ISNUMBER(C462),ISNUMBER(IF(AND(62&lt;=$B$174,62&lt;=$B$173),B462*C462/12,IF(AND(62=$B$173+1,AND(62&gt;$B$173,$B$78="Refinance",ISNUMBER($B$80),$B$80&gt;=0,$B$80&lt;=1,ROUND($B$81*12,0)&gt;=1,$B$81&lt;=100,SUM($B$82)&gt;=0,SUM($B$82)&lt;=1,SUM($B$83)&gt;=0)),IF(B462=0,0,IF(C462=0,B462/ROUND($B$81*12,0),B462*(C462/12)/(1-(1+C462/12)^(-ROUND($B$81*12,0))))),IF(AND(NOT(AND(62&gt;$B$173,$B$78="Refinance",ISNUMBER($B$80),$B$80&gt;=0,$B$80&lt;=1,ROUND($B$81*12,0)&gt;=1,$B$81&lt;=100,SUM($B$82)&gt;=0,SUM($B$82)&lt;=1,SUM($B$83)&gt;=0)),OR(62=1,62=$B$174+1,AND($B$175&gt;0,62=$B$175+1))),IF(AND($B$170=1,$B$66&gt;0,OR($B$175=0,62&lt;=$B$175)),$B$66,IF($B$172-MAX(62-1,$B$174)&gt;0,IF(B462=0,0,IF(C462=0,B462/($B$172-MAX(62-1,$B$174)),B462*(C462/12)/(1-(1+C462/12)^(-($B$172-MAX(62-1,$B$174)))))),"")),D461))))),IF(IF(AND(62&lt;=$B$174,62&lt;=$B$173),B462*C462/12,IF(AND(62=$B$173+1,AND(62&gt;$B$173,$B$78="Refinance",ISNUMBER($B$80),$B$80&gt;=0,$B$80&lt;=1,ROUND($B$81*12,0)&gt;=1,$B$81&lt;=100,SUM($B$82)&gt;=0,SUM($B$82)&lt;=1,SUM($B$83)&gt;=0)),IF(B462=0,0,IF(C462=0,B462/ROUND($B$81*12,0),B462*(C462/12)/(1-(1+C462/12)^(-ROUND($B$81*12,0))))),IF(AND(NOT(AND(62&gt;$B$173,$B$78="Refinance",ISNUMBER($B$80),$B$80&gt;=0,$B$80&lt;=1,ROUND($B$81*12,0)&gt;=1,$B$81&lt;=100,SUM($B$82)&gt;=0,SUM($B$82)&lt;=1,SUM($B$83)&gt;=0)),OR(62=1,62=$B$174+1,AND($B$175&gt;0,62=$B$175+1))),IF(AND($B$170=1,$B$66&gt;0,OR($B$175=0,62&lt;=$B$175)),$B$66,IF($B$172-MAX(62-1,$B$174)&gt;0,IF(B462=0,0,IF(C462=0,B462/($B$172-MAX(62-1,$B$174)),B462*(C462/12)/(1-(1+C462/12)^(-($B$172-MAX(62-1,$B$174)))))),"")),D461)))+0.0000001&gt;=B462*C462/12,MIN(B462*(1+C462/12),IF(AND(62&lt;=$B$174,62&lt;=$B$173),B462*C462/12,IF(AND(62=$B$173+1,AND(62&gt;$B$173,$B$78="Refinance",ISNUMBER($B$80),$B$80&gt;=0,$B$80&lt;=1,ROUND($B$81*12,0)&gt;=1,$B$81&lt;=100,SUM($B$82)&gt;=0,SUM($B$82)&lt;=1,SUM($B$83)&gt;=0)),IF(B462=0,0,IF(C462=0,B462/ROUND($B$81*12,0),B462*(C462/12)/(1-(1+C462/12)^(-ROUND($B$81*12,0))))),IF(AND(NOT(AND(62&gt;$B$173,$B$78="Refinance",ISNUMBER($B$80),$B$80&gt;=0,$B$80&lt;=1,ROUND($B$81*12,0)&gt;=1,$B$81&lt;=100,SUM($B$82)&gt;=0,SUM($B$82)&lt;=1,SUM($B$83)&gt;=0)),OR(62=1,62=$B$174+1,AND($B$175&gt;0,62=$B$175+1))),IF(AND($B$170=1,$B$66&gt;0,OR($B$175=0,62&lt;=$B$175)),$B$66,IF($B$172-MAX(62-1,$B$174)&gt;0,IF(B462=0,0,IF(C462=0,B462/($B$172-MAX(62-1,$B$174)),B462*(C462/12)/(1-(1+C462/12)^(-($B$172-MAX(62-1,$B$174)))))),"")),D461)))),""),""))</x:f>
        <x:v>4679.450723240598</x:v>
      </x:c>
      <x:c r="E462" s="440" t="n">
        <x:f>IF(AND(62=$B$173,ISNUMBER(D462)),IF(MAX(0,B462*(1+C462/12)-D462)&lt;MAX(0.0000001,$E$17*0.00000000001),0,MAX(0,B462*(1+C462/12)-D462)),0)</x:f>
        <x:v>0</x:v>
      </x:c>
      <x:c r="F462" s="440" t="n">
        <x:f>IF($B$78="Cash payoff",E462,0)</x:f>
        <x:v>0</x:v>
      </x:c>
      <x:c r="G462" s="440" t="n">
        <x:f>IF(AND(E462&gt;0,AND($B$78="Refinance",ISNUMBER($B$80),$B$80&gt;=0,$B$80&lt;=1,ROUND($B$81*12,0)&gt;=1,$B$81&lt;=100,SUM($B$82)&gt;=0,SUM($B$82)&lt;=1,SUM($B$83)&gt;=0)),E462*SUM($B$82)+SUM($B$83),0)</x:f>
        <x:v>0</x:v>
      </x:c>
      <x:c r="H462" s="440" t="n">
        <x:f>IF(ISNUMBER(D462),IF(MAX(0,B462*(1+C462/12)-D462-F462)&lt;MAX(0.0000001,$E$17*0.00000000001),0,MAX(0,B462*(1+C462/12)-D462-F462)),IF(AND($B$171=1,I461=1),B462,""))</x:f>
        <x:v>707388.2024391621</x:v>
      </x:c>
      <x:c r="I462" s="444" t="n">
        <x:f>IF(OR(I461=1,AND(E462&gt;0,$B$78&lt;&gt;"Cash payoff",NOT(AND($B$78="Refinance",ISNUMBER($B$80),$B$80&gt;=0,$B$80&lt;=1,ROUND($B$81*12,0)&gt;=1,$B$81&lt;=100,SUM($B$82)&gt;=0,SUM($B$82)&lt;=1,SUM($B$83)&gt;=0))),AND(ISNUMBER(B462),B462&gt;0,$B$171=1,NOT(ISNUMBER(D462)))),1,0)</x:f>
        <x:v>0</x:v>
      </x:c>
      <x:c r="J462" s="440" t="n">
        <x:f>IF(ISNUMBER(L461),L461,"")</x:f>
        <x:v>0</x:v>
      </x:c>
      <x:c r="K462" s="440" t="n">
        <x:f>IF(AND(ISNUMBER(J462),J462=0),0,IF(AND($B$176=1,ISNUMBER(J462)),MIN(J462*(1+$B$87/12),IF($B$86=0,0,IF($B$87=0,$B$86/ROUND($B$88*12,0),$B$86*($B$87/12)/(1-(1+$B$87/12)^(-ROUND($B$88*12,0)))))),""))</x:f>
        <x:v>0</x:v>
      </x:c>
      <x:c r="L462" s="440" t="n">
        <x:f>IF(ISNUMBER(K462),IF(MAX(0,J462*(1+SUM($B$87)/12)-K462)&lt;MAX(0.0000001,$B$86*0.00000000001),0,MAX(0,J462*(1+SUM($B$87)/12)-K462)),"")</x:f>
        <x:v>0</x:v>
      </x:c>
      <x:c r="M462" s="440" t="n">
        <x:f>IF(AND(ISNUMBER(D462),ISNUMBER(K462)),D462+K462,"")</x:f>
        <x:v>4679.450723240598</x:v>
      </x:c>
      <x:c r="N462" s="440" t="n">
        <x:f>IF(AND(ISNUMBER(H462),ISNUMBER(L462)),H462+L462,"")</x:f>
        <x:v>707388.2024391621</x:v>
      </x:c>
    </x:row>
    <x:row r="463" ht="22" customHeight="1">
      <x:c r="A463" s="254" t="n">
        <x:f>63</x:f>
        <x:v>63</x:v>
      </x:c>
      <x:c r="B463" s="440" t="n">
        <x:f>IF(ISNUMBER(H462),H462,"")</x:f>
        <x:v>707388.2024391621</x:v>
      </x:c>
      <x:c r="C463" s="442" t="n">
        <x:f>IF(ISNUMBER(B463),IF(AND(63&gt;$B$173,$B$78="Refinance",ISNUMBER($B$80),$B$80&gt;=0,$B$80&lt;=1,ROUND($B$81*12,0)&gt;=1,$B$81&lt;=100,SUM($B$82)&gt;=0,SUM($B$82)&lt;=1,SUM($B$83)&gt;=0),$B$80,IF(AND($B$175&gt;0,63&gt;$B$175,ISNUMBER($B$75)),$B$75,$B$61)),"")</x:f>
        <x:v>0.0625</x:v>
      </x:c>
      <x:c r="D463" s="440" t="n">
        <x:f>IF(AND(ISNUMBER(B463),B463=0),0,IF(AND($B$171=1,I462=0,ISNUMBER(C463),ISNUMBER(IF(AND(63&lt;=$B$174,63&lt;=$B$173),B463*C463/12,IF(AND(63=$B$173+1,AND(63&gt;$B$173,$B$78="Refinance",ISNUMBER($B$80),$B$80&gt;=0,$B$80&lt;=1,ROUND($B$81*12,0)&gt;=1,$B$81&lt;=100,SUM($B$82)&gt;=0,SUM($B$82)&lt;=1,SUM($B$83)&gt;=0)),IF(B463=0,0,IF(C463=0,B463/ROUND($B$81*12,0),B463*(C463/12)/(1-(1+C463/12)^(-ROUND($B$81*12,0))))),IF(AND(NOT(AND(63&gt;$B$173,$B$78="Refinance",ISNUMBER($B$80),$B$80&gt;=0,$B$80&lt;=1,ROUND($B$81*12,0)&gt;=1,$B$81&lt;=100,SUM($B$82)&gt;=0,SUM($B$82)&lt;=1,SUM($B$83)&gt;=0)),OR(63=1,63=$B$174+1,AND($B$175&gt;0,63=$B$175+1))),IF(AND($B$170=1,$B$66&gt;0,OR($B$175=0,63&lt;=$B$175)),$B$66,IF($B$172-MAX(63-1,$B$174)&gt;0,IF(B463=0,0,IF(C463=0,B463/($B$172-MAX(63-1,$B$174)),B463*(C463/12)/(1-(1+C463/12)^(-($B$172-MAX(63-1,$B$174)))))),"")),D462))))),IF(IF(AND(63&lt;=$B$174,63&lt;=$B$173),B463*C463/12,IF(AND(63=$B$173+1,AND(63&gt;$B$173,$B$78="Refinance",ISNUMBER($B$80),$B$80&gt;=0,$B$80&lt;=1,ROUND($B$81*12,0)&gt;=1,$B$81&lt;=100,SUM($B$82)&gt;=0,SUM($B$82)&lt;=1,SUM($B$83)&gt;=0)),IF(B463=0,0,IF(C463=0,B463/ROUND($B$81*12,0),B463*(C463/12)/(1-(1+C463/12)^(-ROUND($B$81*12,0))))),IF(AND(NOT(AND(63&gt;$B$173,$B$78="Refinance",ISNUMBER($B$80),$B$80&gt;=0,$B$80&lt;=1,ROUND($B$81*12,0)&gt;=1,$B$81&lt;=100,SUM($B$82)&gt;=0,SUM($B$82)&lt;=1,SUM($B$83)&gt;=0)),OR(63=1,63=$B$174+1,AND($B$175&gt;0,63=$B$175+1))),IF(AND($B$170=1,$B$66&gt;0,OR($B$175=0,63&lt;=$B$175)),$B$66,IF($B$172-MAX(63-1,$B$174)&gt;0,IF(B463=0,0,IF(C463=0,B463/($B$172-MAX(63-1,$B$174)),B463*(C463/12)/(1-(1+C463/12)^(-($B$172-MAX(63-1,$B$174)))))),"")),D462)))+0.0000001&gt;=B463*C463/12,MIN(B463*(1+C463/12),IF(AND(63&lt;=$B$174,63&lt;=$B$173),B463*C463/12,IF(AND(63=$B$173+1,AND(63&gt;$B$173,$B$78="Refinance",ISNUMBER($B$80),$B$80&gt;=0,$B$80&lt;=1,ROUND($B$81*12,0)&gt;=1,$B$81&lt;=100,SUM($B$82)&gt;=0,SUM($B$82)&lt;=1,SUM($B$83)&gt;=0)),IF(B463=0,0,IF(C463=0,B463/ROUND($B$81*12,0),B463*(C463/12)/(1-(1+C463/12)^(-ROUND($B$81*12,0))))),IF(AND(NOT(AND(63&gt;$B$173,$B$78="Refinance",ISNUMBER($B$80),$B$80&gt;=0,$B$80&lt;=1,ROUND($B$81*12,0)&gt;=1,$B$81&lt;=100,SUM($B$82)&gt;=0,SUM($B$82)&lt;=1,SUM($B$83)&gt;=0)),OR(63=1,63=$B$174+1,AND($B$175&gt;0,63=$B$175+1))),IF(AND($B$170=1,$B$66&gt;0,OR($B$175=0,63&lt;=$B$175)),$B$66,IF($B$172-MAX(63-1,$B$174)&gt;0,IF(B463=0,0,IF(C463=0,B463/($B$172-MAX(63-1,$B$174)),B463*(C463/12)/(1-(1+C463/12)^(-($B$172-MAX(63-1,$B$174)))))),"")),D462)))),""),""))</x:f>
        <x:v>4679.450723240598</x:v>
      </x:c>
      <x:c r="E463" s="440" t="n">
        <x:f>IF(AND(63=$B$173,ISNUMBER(D463)),IF(MAX(0,B463*(1+C463/12)-D463)&lt;MAX(0.0000001,$E$17*0.00000000001),0,MAX(0,B463*(1+C463/12)-D463)),0)</x:f>
        <x:v>0</x:v>
      </x:c>
      <x:c r="F463" s="440" t="n">
        <x:f>IF($B$78="Cash payoff",E463,0)</x:f>
        <x:v>0</x:v>
      </x:c>
      <x:c r="G463" s="440" t="n">
        <x:f>IF(AND(E463&gt;0,AND($B$78="Refinance",ISNUMBER($B$80),$B$80&gt;=0,$B$80&lt;=1,ROUND($B$81*12,0)&gt;=1,$B$81&lt;=100,SUM($B$82)&gt;=0,SUM($B$82)&lt;=1,SUM($B$83)&gt;=0)),E463*SUM($B$82)+SUM($B$83),0)</x:f>
        <x:v>0</x:v>
      </x:c>
      <x:c r="H463" s="440" t="n">
        <x:f>IF(ISNUMBER(D463),IF(MAX(0,B463*(1+C463/12)-D463-F463)&lt;MAX(0.0000001,$E$17*0.00000000001),0,MAX(0,B463*(1+C463/12)-D463-F463)),IF(AND($B$171=1,I462=1),B463,""))</x:f>
        <x:v>706393.065270292</x:v>
      </x:c>
      <x:c r="I463" s="444" t="n">
        <x:f>IF(OR(I462=1,AND(E463&gt;0,$B$78&lt;&gt;"Cash payoff",NOT(AND($B$78="Refinance",ISNUMBER($B$80),$B$80&gt;=0,$B$80&lt;=1,ROUND($B$81*12,0)&gt;=1,$B$81&lt;=100,SUM($B$82)&gt;=0,SUM($B$82)&lt;=1,SUM($B$83)&gt;=0))),AND(ISNUMBER(B463),B463&gt;0,$B$171=1,NOT(ISNUMBER(D463)))),1,0)</x:f>
        <x:v>0</x:v>
      </x:c>
      <x:c r="J463" s="440" t="n">
        <x:f>IF(ISNUMBER(L462),L462,"")</x:f>
        <x:v>0</x:v>
      </x:c>
      <x:c r="K463" s="440" t="n">
        <x:f>IF(AND(ISNUMBER(J463),J463=0),0,IF(AND($B$176=1,ISNUMBER(J463)),MIN(J463*(1+$B$87/12),IF($B$86=0,0,IF($B$87=0,$B$86/ROUND($B$88*12,0),$B$86*($B$87/12)/(1-(1+$B$87/12)^(-ROUND($B$88*12,0)))))),""))</x:f>
        <x:v>0</x:v>
      </x:c>
      <x:c r="L463" s="440" t="n">
        <x:f>IF(ISNUMBER(K463),IF(MAX(0,J463*(1+SUM($B$87)/12)-K463)&lt;MAX(0.0000001,$B$86*0.00000000001),0,MAX(0,J463*(1+SUM($B$87)/12)-K463)),"")</x:f>
        <x:v>0</x:v>
      </x:c>
      <x:c r="M463" s="440" t="n">
        <x:f>IF(AND(ISNUMBER(D463),ISNUMBER(K463)),D463+K463,"")</x:f>
        <x:v>4679.450723240598</x:v>
      </x:c>
      <x:c r="N463" s="440" t="n">
        <x:f>IF(AND(ISNUMBER(H463),ISNUMBER(L463)),H463+L463,"")</x:f>
        <x:v>706393.065270292</x:v>
      </x:c>
    </x:row>
    <x:row r="464" ht="22" customHeight="1">
      <x:c r="A464" s="254" t="n">
        <x:f>64</x:f>
        <x:v>64</x:v>
      </x:c>
      <x:c r="B464" s="440" t="n">
        <x:f>IF(ISNUMBER(H463),H463,"")</x:f>
        <x:v>706393.065270292</x:v>
      </x:c>
      <x:c r="C464" s="442" t="n">
        <x:f>IF(ISNUMBER(B464),IF(AND(64&gt;$B$173,$B$78="Refinance",ISNUMBER($B$80),$B$80&gt;=0,$B$80&lt;=1,ROUND($B$81*12,0)&gt;=1,$B$81&lt;=100,SUM($B$82)&gt;=0,SUM($B$82)&lt;=1,SUM($B$83)&gt;=0),$B$80,IF(AND($B$175&gt;0,64&gt;$B$175,ISNUMBER($B$75)),$B$75,$B$61)),"")</x:f>
        <x:v>0.0625</x:v>
      </x:c>
      <x:c r="D464" s="440" t="n">
        <x:f>IF(AND(ISNUMBER(B464),B464=0),0,IF(AND($B$171=1,I463=0,ISNUMBER(C464),ISNUMBER(IF(AND(64&lt;=$B$174,64&lt;=$B$173),B464*C464/12,IF(AND(64=$B$173+1,AND(64&gt;$B$173,$B$78="Refinance",ISNUMBER($B$80),$B$80&gt;=0,$B$80&lt;=1,ROUND($B$81*12,0)&gt;=1,$B$81&lt;=100,SUM($B$82)&gt;=0,SUM($B$82)&lt;=1,SUM($B$83)&gt;=0)),IF(B464=0,0,IF(C464=0,B464/ROUND($B$81*12,0),B464*(C464/12)/(1-(1+C464/12)^(-ROUND($B$81*12,0))))),IF(AND(NOT(AND(64&gt;$B$173,$B$78="Refinance",ISNUMBER($B$80),$B$80&gt;=0,$B$80&lt;=1,ROUND($B$81*12,0)&gt;=1,$B$81&lt;=100,SUM($B$82)&gt;=0,SUM($B$82)&lt;=1,SUM($B$83)&gt;=0)),OR(64=1,64=$B$174+1,AND($B$175&gt;0,64=$B$175+1))),IF(AND($B$170=1,$B$66&gt;0,OR($B$175=0,64&lt;=$B$175)),$B$66,IF($B$172-MAX(64-1,$B$174)&gt;0,IF(B464=0,0,IF(C464=0,B464/($B$172-MAX(64-1,$B$174)),B464*(C464/12)/(1-(1+C464/12)^(-($B$172-MAX(64-1,$B$174)))))),"")),D463))))),IF(IF(AND(64&lt;=$B$174,64&lt;=$B$173),B464*C464/12,IF(AND(64=$B$173+1,AND(64&gt;$B$173,$B$78="Refinance",ISNUMBER($B$80),$B$80&gt;=0,$B$80&lt;=1,ROUND($B$81*12,0)&gt;=1,$B$81&lt;=100,SUM($B$82)&gt;=0,SUM($B$82)&lt;=1,SUM($B$83)&gt;=0)),IF(B464=0,0,IF(C464=0,B464/ROUND($B$81*12,0),B464*(C464/12)/(1-(1+C464/12)^(-ROUND($B$81*12,0))))),IF(AND(NOT(AND(64&gt;$B$173,$B$78="Refinance",ISNUMBER($B$80),$B$80&gt;=0,$B$80&lt;=1,ROUND($B$81*12,0)&gt;=1,$B$81&lt;=100,SUM($B$82)&gt;=0,SUM($B$82)&lt;=1,SUM($B$83)&gt;=0)),OR(64=1,64=$B$174+1,AND($B$175&gt;0,64=$B$175+1))),IF(AND($B$170=1,$B$66&gt;0,OR($B$175=0,64&lt;=$B$175)),$B$66,IF($B$172-MAX(64-1,$B$174)&gt;0,IF(B464=0,0,IF(C464=0,B464/($B$172-MAX(64-1,$B$174)),B464*(C464/12)/(1-(1+C464/12)^(-($B$172-MAX(64-1,$B$174)))))),"")),D463)))+0.0000001&gt;=B464*C464/12,MIN(B464*(1+C464/12),IF(AND(64&lt;=$B$174,64&lt;=$B$173),B464*C464/12,IF(AND(64=$B$173+1,AND(64&gt;$B$173,$B$78="Refinance",ISNUMBER($B$80),$B$80&gt;=0,$B$80&lt;=1,ROUND($B$81*12,0)&gt;=1,$B$81&lt;=100,SUM($B$82)&gt;=0,SUM($B$82)&lt;=1,SUM($B$83)&gt;=0)),IF(B464=0,0,IF(C464=0,B464/ROUND($B$81*12,0),B464*(C464/12)/(1-(1+C464/12)^(-ROUND($B$81*12,0))))),IF(AND(NOT(AND(64&gt;$B$173,$B$78="Refinance",ISNUMBER($B$80),$B$80&gt;=0,$B$80&lt;=1,ROUND($B$81*12,0)&gt;=1,$B$81&lt;=100,SUM($B$82)&gt;=0,SUM($B$82)&lt;=1,SUM($B$83)&gt;=0)),OR(64=1,64=$B$174+1,AND($B$175&gt;0,64=$B$175+1))),IF(AND($B$170=1,$B$66&gt;0,OR($B$175=0,64&lt;=$B$175)),$B$66,IF($B$172-MAX(64-1,$B$174)&gt;0,IF(B464=0,0,IF(C464=0,B464/($B$172-MAX(64-1,$B$174)),B464*(C464/12)/(1-(1+C464/12)^(-($B$172-MAX(64-1,$B$174)))))),"")),D463)))),""),""))</x:f>
        <x:v>4679.450723240598</x:v>
      </x:c>
      <x:c r="E464" s="440" t="n">
        <x:f>IF(AND(64=$B$173,ISNUMBER(D464)),IF(MAX(0,B464*(1+C464/12)-D464)&lt;MAX(0.0000001,$E$17*0.00000000001),0,MAX(0,B464*(1+C464/12)-D464)),0)</x:f>
        <x:v>0</x:v>
      </x:c>
      <x:c r="F464" s="440" t="n">
        <x:f>IF($B$78="Cash payoff",E464,0)</x:f>
        <x:v>0</x:v>
      </x:c>
      <x:c r="G464" s="440" t="n">
        <x:f>IF(AND(E464&gt;0,AND($B$78="Refinance",ISNUMBER($B$80),$B$80&gt;=0,$B$80&lt;=1,ROUND($B$81*12,0)&gt;=1,$B$81&lt;=100,SUM($B$82)&gt;=0,SUM($B$82)&lt;=1,SUM($B$83)&gt;=0)),E464*SUM($B$82)+SUM($B$83),0)</x:f>
        <x:v>0</x:v>
      </x:c>
      <x:c r="H464" s="440" t="n">
        <x:f>IF(ISNUMBER(D464),IF(MAX(0,B464*(1+C464/12)-D464-F464)&lt;MAX(0.0000001,$E$17*0.00000000001),0,MAX(0,B464*(1+C464/12)-D464-F464)),IF(AND($B$171=1,I463=1),B464,""))</x:f>
        <x:v>705392.7450953341</x:v>
      </x:c>
      <x:c r="I464" s="444" t="n">
        <x:f>IF(OR(I463=1,AND(E464&gt;0,$B$78&lt;&gt;"Cash payoff",NOT(AND($B$78="Refinance",ISNUMBER($B$80),$B$80&gt;=0,$B$80&lt;=1,ROUND($B$81*12,0)&gt;=1,$B$81&lt;=100,SUM($B$82)&gt;=0,SUM($B$82)&lt;=1,SUM($B$83)&gt;=0))),AND(ISNUMBER(B464),B464&gt;0,$B$171=1,NOT(ISNUMBER(D464)))),1,0)</x:f>
        <x:v>0</x:v>
      </x:c>
      <x:c r="J464" s="440" t="n">
        <x:f>IF(ISNUMBER(L463),L463,"")</x:f>
        <x:v>0</x:v>
      </x:c>
      <x:c r="K464" s="440" t="n">
        <x:f>IF(AND(ISNUMBER(J464),J464=0),0,IF(AND($B$176=1,ISNUMBER(J464)),MIN(J464*(1+$B$87/12),IF($B$86=0,0,IF($B$87=0,$B$86/ROUND($B$88*12,0),$B$86*($B$87/12)/(1-(1+$B$87/12)^(-ROUND($B$88*12,0)))))),""))</x:f>
        <x:v>0</x:v>
      </x:c>
      <x:c r="L464" s="440" t="n">
        <x:f>IF(ISNUMBER(K464),IF(MAX(0,J464*(1+SUM($B$87)/12)-K464)&lt;MAX(0.0000001,$B$86*0.00000000001),0,MAX(0,J464*(1+SUM($B$87)/12)-K464)),"")</x:f>
        <x:v>0</x:v>
      </x:c>
      <x:c r="M464" s="440" t="n">
        <x:f>IF(AND(ISNUMBER(D464),ISNUMBER(K464)),D464+K464,"")</x:f>
        <x:v>4679.450723240598</x:v>
      </x:c>
      <x:c r="N464" s="440" t="n">
        <x:f>IF(AND(ISNUMBER(H464),ISNUMBER(L464)),H464+L464,"")</x:f>
        <x:v>705392.7450953341</x:v>
      </x:c>
    </x:row>
    <x:row r="465" ht="22" customHeight="1">
      <x:c r="A465" s="254" t="n">
        <x:f>65</x:f>
        <x:v>65</x:v>
      </x:c>
      <x:c r="B465" s="440" t="n">
        <x:f>IF(ISNUMBER(H464),H464,"")</x:f>
        <x:v>705392.7450953341</x:v>
      </x:c>
      <x:c r="C465" s="442" t="n">
        <x:f>IF(ISNUMBER(B465),IF(AND(65&gt;$B$173,$B$78="Refinance",ISNUMBER($B$80),$B$80&gt;=0,$B$80&lt;=1,ROUND($B$81*12,0)&gt;=1,$B$81&lt;=100,SUM($B$82)&gt;=0,SUM($B$82)&lt;=1,SUM($B$83)&gt;=0),$B$80,IF(AND($B$175&gt;0,65&gt;$B$175,ISNUMBER($B$75)),$B$75,$B$61)),"")</x:f>
        <x:v>0.0625</x:v>
      </x:c>
      <x:c r="D465" s="440" t="n">
        <x:f>IF(AND(ISNUMBER(B465),B465=0),0,IF(AND($B$171=1,I464=0,ISNUMBER(C465),ISNUMBER(IF(AND(65&lt;=$B$174,65&lt;=$B$173),B465*C465/12,IF(AND(65=$B$173+1,AND(65&gt;$B$173,$B$78="Refinance",ISNUMBER($B$80),$B$80&gt;=0,$B$80&lt;=1,ROUND($B$81*12,0)&gt;=1,$B$81&lt;=100,SUM($B$82)&gt;=0,SUM($B$82)&lt;=1,SUM($B$83)&gt;=0)),IF(B465=0,0,IF(C465=0,B465/ROUND($B$81*12,0),B465*(C465/12)/(1-(1+C465/12)^(-ROUND($B$81*12,0))))),IF(AND(NOT(AND(65&gt;$B$173,$B$78="Refinance",ISNUMBER($B$80),$B$80&gt;=0,$B$80&lt;=1,ROUND($B$81*12,0)&gt;=1,$B$81&lt;=100,SUM($B$82)&gt;=0,SUM($B$82)&lt;=1,SUM($B$83)&gt;=0)),OR(65=1,65=$B$174+1,AND($B$175&gt;0,65=$B$175+1))),IF(AND($B$170=1,$B$66&gt;0,OR($B$175=0,65&lt;=$B$175)),$B$66,IF($B$172-MAX(65-1,$B$174)&gt;0,IF(B465=0,0,IF(C465=0,B465/($B$172-MAX(65-1,$B$174)),B465*(C465/12)/(1-(1+C465/12)^(-($B$172-MAX(65-1,$B$174)))))),"")),D464))))),IF(IF(AND(65&lt;=$B$174,65&lt;=$B$173),B465*C465/12,IF(AND(65=$B$173+1,AND(65&gt;$B$173,$B$78="Refinance",ISNUMBER($B$80),$B$80&gt;=0,$B$80&lt;=1,ROUND($B$81*12,0)&gt;=1,$B$81&lt;=100,SUM($B$82)&gt;=0,SUM($B$82)&lt;=1,SUM($B$83)&gt;=0)),IF(B465=0,0,IF(C465=0,B465/ROUND($B$81*12,0),B465*(C465/12)/(1-(1+C465/12)^(-ROUND($B$81*12,0))))),IF(AND(NOT(AND(65&gt;$B$173,$B$78="Refinance",ISNUMBER($B$80),$B$80&gt;=0,$B$80&lt;=1,ROUND($B$81*12,0)&gt;=1,$B$81&lt;=100,SUM($B$82)&gt;=0,SUM($B$82)&lt;=1,SUM($B$83)&gt;=0)),OR(65=1,65=$B$174+1,AND($B$175&gt;0,65=$B$175+1))),IF(AND($B$170=1,$B$66&gt;0,OR($B$175=0,65&lt;=$B$175)),$B$66,IF($B$172-MAX(65-1,$B$174)&gt;0,IF(B465=0,0,IF(C465=0,B465/($B$172-MAX(65-1,$B$174)),B465*(C465/12)/(1-(1+C465/12)^(-($B$172-MAX(65-1,$B$174)))))),"")),D464)))+0.0000001&gt;=B465*C465/12,MIN(B465*(1+C465/12),IF(AND(65&lt;=$B$174,65&lt;=$B$173),B465*C465/12,IF(AND(65=$B$173+1,AND(65&gt;$B$173,$B$78="Refinance",ISNUMBER($B$80),$B$80&gt;=0,$B$80&lt;=1,ROUND($B$81*12,0)&gt;=1,$B$81&lt;=100,SUM($B$82)&gt;=0,SUM($B$82)&lt;=1,SUM($B$83)&gt;=0)),IF(B465=0,0,IF(C465=0,B465/ROUND($B$81*12,0),B465*(C465/12)/(1-(1+C465/12)^(-ROUND($B$81*12,0))))),IF(AND(NOT(AND(65&gt;$B$173,$B$78="Refinance",ISNUMBER($B$80),$B$80&gt;=0,$B$80&lt;=1,ROUND($B$81*12,0)&gt;=1,$B$81&lt;=100,SUM($B$82)&gt;=0,SUM($B$82)&lt;=1,SUM($B$83)&gt;=0)),OR(65=1,65=$B$174+1,AND($B$175&gt;0,65=$B$175+1))),IF(AND($B$170=1,$B$66&gt;0,OR($B$175=0,65&lt;=$B$175)),$B$66,IF($B$172-MAX(65-1,$B$174)&gt;0,IF(B465=0,0,IF(C465=0,B465/($B$172-MAX(65-1,$B$174)),B465*(C465/12)/(1-(1+C465/12)^(-($B$172-MAX(65-1,$B$174)))))),"")),D464)))),""),""))</x:f>
        <x:v>4679.450723240598</x:v>
      </x:c>
      <x:c r="E465" s="440" t="n">
        <x:f>IF(AND(65=$B$173,ISNUMBER(D465)),IF(MAX(0,B465*(1+C465/12)-D465)&lt;MAX(0.0000001,$E$17*0.00000000001),0,MAX(0,B465*(1+C465/12)-D465)),0)</x:f>
        <x:v>0</x:v>
      </x:c>
      <x:c r="F465" s="440" t="n">
        <x:f>IF($B$78="Cash payoff",E465,0)</x:f>
        <x:v>0</x:v>
      </x:c>
      <x:c r="G465" s="440" t="n">
        <x:f>IF(AND(E465&gt;0,AND($B$78="Refinance",ISNUMBER($B$80),$B$80&gt;=0,$B$80&lt;=1,ROUND($B$81*12,0)&gt;=1,$B$81&lt;=100,SUM($B$82)&gt;=0,SUM($B$82)&lt;=1,SUM($B$83)&gt;=0)),E465*SUM($B$82)+SUM($B$83),0)</x:f>
        <x:v>0</x:v>
      </x:c>
      <x:c r="H465" s="440" t="n">
        <x:f>IF(ISNUMBER(D465),IF(MAX(0,B465*(1+C465/12)-D465-F465)&lt;MAX(0.0000001,$E$17*0.00000000001),0,MAX(0,B465*(1+C465/12)-D465-F465)),IF(AND($B$171=1,I464=1),B465,""))</x:f>
        <x:v>704387.214919465</x:v>
      </x:c>
      <x:c r="I465" s="444" t="n">
        <x:f>IF(OR(I464=1,AND(E465&gt;0,$B$78&lt;&gt;"Cash payoff",NOT(AND($B$78="Refinance",ISNUMBER($B$80),$B$80&gt;=0,$B$80&lt;=1,ROUND($B$81*12,0)&gt;=1,$B$81&lt;=100,SUM($B$82)&gt;=0,SUM($B$82)&lt;=1,SUM($B$83)&gt;=0))),AND(ISNUMBER(B465),B465&gt;0,$B$171=1,NOT(ISNUMBER(D465)))),1,0)</x:f>
        <x:v>0</x:v>
      </x:c>
      <x:c r="J465" s="440" t="n">
        <x:f>IF(ISNUMBER(L464),L464,"")</x:f>
        <x:v>0</x:v>
      </x:c>
      <x:c r="K465" s="440" t="n">
        <x:f>IF(AND(ISNUMBER(J465),J465=0),0,IF(AND($B$176=1,ISNUMBER(J465)),MIN(J465*(1+$B$87/12),IF($B$86=0,0,IF($B$87=0,$B$86/ROUND($B$88*12,0),$B$86*($B$87/12)/(1-(1+$B$87/12)^(-ROUND($B$88*12,0)))))),""))</x:f>
        <x:v>0</x:v>
      </x:c>
      <x:c r="L465" s="440" t="n">
        <x:f>IF(ISNUMBER(K465),IF(MAX(0,J465*(1+SUM($B$87)/12)-K465)&lt;MAX(0.0000001,$B$86*0.00000000001),0,MAX(0,J465*(1+SUM($B$87)/12)-K465)),"")</x:f>
        <x:v>0</x:v>
      </x:c>
      <x:c r="M465" s="440" t="n">
        <x:f>IF(AND(ISNUMBER(D465),ISNUMBER(K465)),D465+K465,"")</x:f>
        <x:v>4679.450723240598</x:v>
      </x:c>
      <x:c r="N465" s="440" t="n">
        <x:f>IF(AND(ISNUMBER(H465),ISNUMBER(L465)),H465+L465,"")</x:f>
        <x:v>704387.214919465</x:v>
      </x:c>
    </x:row>
    <x:row r="466" ht="22" customHeight="1">
      <x:c r="A466" s="254" t="n">
        <x:f>66</x:f>
        <x:v>66</x:v>
      </x:c>
      <x:c r="B466" s="440" t="n">
        <x:f>IF(ISNUMBER(H465),H465,"")</x:f>
        <x:v>704387.214919465</x:v>
      </x:c>
      <x:c r="C466" s="442" t="n">
        <x:f>IF(ISNUMBER(B466),IF(AND(66&gt;$B$173,$B$78="Refinance",ISNUMBER($B$80),$B$80&gt;=0,$B$80&lt;=1,ROUND($B$81*12,0)&gt;=1,$B$81&lt;=100,SUM($B$82)&gt;=0,SUM($B$82)&lt;=1,SUM($B$83)&gt;=0),$B$80,IF(AND($B$175&gt;0,66&gt;$B$175,ISNUMBER($B$75)),$B$75,$B$61)),"")</x:f>
        <x:v>0.0625</x:v>
      </x:c>
      <x:c r="D466" s="440" t="n">
        <x:f>IF(AND(ISNUMBER(B466),B466=0),0,IF(AND($B$171=1,I465=0,ISNUMBER(C466),ISNUMBER(IF(AND(66&lt;=$B$174,66&lt;=$B$173),B466*C466/12,IF(AND(66=$B$173+1,AND(66&gt;$B$173,$B$78="Refinance",ISNUMBER($B$80),$B$80&gt;=0,$B$80&lt;=1,ROUND($B$81*12,0)&gt;=1,$B$81&lt;=100,SUM($B$82)&gt;=0,SUM($B$82)&lt;=1,SUM($B$83)&gt;=0)),IF(B466=0,0,IF(C466=0,B466/ROUND($B$81*12,0),B466*(C466/12)/(1-(1+C466/12)^(-ROUND($B$81*12,0))))),IF(AND(NOT(AND(66&gt;$B$173,$B$78="Refinance",ISNUMBER($B$80),$B$80&gt;=0,$B$80&lt;=1,ROUND($B$81*12,0)&gt;=1,$B$81&lt;=100,SUM($B$82)&gt;=0,SUM($B$82)&lt;=1,SUM($B$83)&gt;=0)),OR(66=1,66=$B$174+1,AND($B$175&gt;0,66=$B$175+1))),IF(AND($B$170=1,$B$66&gt;0,OR($B$175=0,66&lt;=$B$175)),$B$66,IF($B$172-MAX(66-1,$B$174)&gt;0,IF(B466=0,0,IF(C466=0,B466/($B$172-MAX(66-1,$B$174)),B466*(C466/12)/(1-(1+C466/12)^(-($B$172-MAX(66-1,$B$174)))))),"")),D465))))),IF(IF(AND(66&lt;=$B$174,66&lt;=$B$173),B466*C466/12,IF(AND(66=$B$173+1,AND(66&gt;$B$173,$B$78="Refinance",ISNUMBER($B$80),$B$80&gt;=0,$B$80&lt;=1,ROUND($B$81*12,0)&gt;=1,$B$81&lt;=100,SUM($B$82)&gt;=0,SUM($B$82)&lt;=1,SUM($B$83)&gt;=0)),IF(B466=0,0,IF(C466=0,B466/ROUND($B$81*12,0),B466*(C466/12)/(1-(1+C466/12)^(-ROUND($B$81*12,0))))),IF(AND(NOT(AND(66&gt;$B$173,$B$78="Refinance",ISNUMBER($B$80),$B$80&gt;=0,$B$80&lt;=1,ROUND($B$81*12,0)&gt;=1,$B$81&lt;=100,SUM($B$82)&gt;=0,SUM($B$82)&lt;=1,SUM($B$83)&gt;=0)),OR(66=1,66=$B$174+1,AND($B$175&gt;0,66=$B$175+1))),IF(AND($B$170=1,$B$66&gt;0,OR($B$175=0,66&lt;=$B$175)),$B$66,IF($B$172-MAX(66-1,$B$174)&gt;0,IF(B466=0,0,IF(C466=0,B466/($B$172-MAX(66-1,$B$174)),B466*(C466/12)/(1-(1+C466/12)^(-($B$172-MAX(66-1,$B$174)))))),"")),D465)))+0.0000001&gt;=B466*C466/12,MIN(B466*(1+C466/12),IF(AND(66&lt;=$B$174,66&lt;=$B$173),B466*C466/12,IF(AND(66=$B$173+1,AND(66&gt;$B$173,$B$78="Refinance",ISNUMBER($B$80),$B$80&gt;=0,$B$80&lt;=1,ROUND($B$81*12,0)&gt;=1,$B$81&lt;=100,SUM($B$82)&gt;=0,SUM($B$82)&lt;=1,SUM($B$83)&gt;=0)),IF(B466=0,0,IF(C466=0,B466/ROUND($B$81*12,0),B466*(C466/12)/(1-(1+C466/12)^(-ROUND($B$81*12,0))))),IF(AND(NOT(AND(66&gt;$B$173,$B$78="Refinance",ISNUMBER($B$80),$B$80&gt;=0,$B$80&lt;=1,ROUND($B$81*12,0)&gt;=1,$B$81&lt;=100,SUM($B$82)&gt;=0,SUM($B$82)&lt;=1,SUM($B$83)&gt;=0)),OR(66=1,66=$B$174+1,AND($B$175&gt;0,66=$B$175+1))),IF(AND($B$170=1,$B$66&gt;0,OR($B$175=0,66&lt;=$B$175)),$B$66,IF($B$172-MAX(66-1,$B$174)&gt;0,IF(B466=0,0,IF(C466=0,B466/($B$172-MAX(66-1,$B$174)),B466*(C466/12)/(1-(1+C466/12)^(-($B$172-MAX(66-1,$B$174)))))),"")),D465)))),""),""))</x:f>
        <x:v>4679.450723240598</x:v>
      </x:c>
      <x:c r="E466" s="440" t="n">
        <x:f>IF(AND(66=$B$173,ISNUMBER(D466)),IF(MAX(0,B466*(1+C466/12)-D466)&lt;MAX(0.0000001,$E$17*0.00000000001),0,MAX(0,B466*(1+C466/12)-D466)),0)</x:f>
        <x:v>0</x:v>
      </x:c>
      <x:c r="F466" s="440" t="n">
        <x:f>IF($B$78="Cash payoff",E466,0)</x:f>
        <x:v>0</x:v>
      </x:c>
      <x:c r="G466" s="440" t="n">
        <x:f>IF(AND(E466&gt;0,AND($B$78="Refinance",ISNUMBER($B$80),$B$80&gt;=0,$B$80&lt;=1,ROUND($B$81*12,0)&gt;=1,$B$81&lt;=100,SUM($B$82)&gt;=0,SUM($B$82)&lt;=1,SUM($B$83)&gt;=0)),E466*SUM($B$82)+SUM($B$83),0)</x:f>
        <x:v>0</x:v>
      </x:c>
      <x:c r="H466" s="440" t="n">
        <x:f>IF(ISNUMBER(D466),IF(MAX(0,B466*(1+C466/12)-D466-F466)&lt;MAX(0.0000001,$E$17*0.00000000001),0,MAX(0,B466*(1+C466/12)-D466-F466)),IF(AND($B$171=1,I465=1),B466,""))</x:f>
        <x:v>703376.4476072632</x:v>
      </x:c>
      <x:c r="I466" s="444" t="n">
        <x:f>IF(OR(I465=1,AND(E466&gt;0,$B$78&lt;&gt;"Cash payoff",NOT(AND($B$78="Refinance",ISNUMBER($B$80),$B$80&gt;=0,$B$80&lt;=1,ROUND($B$81*12,0)&gt;=1,$B$81&lt;=100,SUM($B$82)&gt;=0,SUM($B$82)&lt;=1,SUM($B$83)&gt;=0))),AND(ISNUMBER(B466),B466&gt;0,$B$171=1,NOT(ISNUMBER(D466)))),1,0)</x:f>
        <x:v>0</x:v>
      </x:c>
      <x:c r="J466" s="440" t="n">
        <x:f>IF(ISNUMBER(L465),L465,"")</x:f>
        <x:v>0</x:v>
      </x:c>
      <x:c r="K466" s="440" t="n">
        <x:f>IF(AND(ISNUMBER(J466),J466=0),0,IF(AND($B$176=1,ISNUMBER(J466)),MIN(J466*(1+$B$87/12),IF($B$86=0,0,IF($B$87=0,$B$86/ROUND($B$88*12,0),$B$86*($B$87/12)/(1-(1+$B$87/12)^(-ROUND($B$88*12,0)))))),""))</x:f>
        <x:v>0</x:v>
      </x:c>
      <x:c r="L466" s="440" t="n">
        <x:f>IF(ISNUMBER(K466),IF(MAX(0,J466*(1+SUM($B$87)/12)-K466)&lt;MAX(0.0000001,$B$86*0.00000000001),0,MAX(0,J466*(1+SUM($B$87)/12)-K466)),"")</x:f>
        <x:v>0</x:v>
      </x:c>
      <x:c r="M466" s="440" t="n">
        <x:f>IF(AND(ISNUMBER(D466),ISNUMBER(K466)),D466+K466,"")</x:f>
        <x:v>4679.450723240598</x:v>
      </x:c>
      <x:c r="N466" s="440" t="n">
        <x:f>IF(AND(ISNUMBER(H466),ISNUMBER(L466)),H466+L466,"")</x:f>
        <x:v>703376.4476072632</x:v>
      </x:c>
    </x:row>
    <x:row r="467" ht="22" customHeight="1">
      <x:c r="A467" s="254" t="n">
        <x:f>67</x:f>
        <x:v>67</x:v>
      </x:c>
      <x:c r="B467" s="440" t="n">
        <x:f>IF(ISNUMBER(H466),H466,"")</x:f>
        <x:v>703376.4476072632</x:v>
      </x:c>
      <x:c r="C467" s="442" t="n">
        <x:f>IF(ISNUMBER(B467),IF(AND(67&gt;$B$173,$B$78="Refinance",ISNUMBER($B$80),$B$80&gt;=0,$B$80&lt;=1,ROUND($B$81*12,0)&gt;=1,$B$81&lt;=100,SUM($B$82)&gt;=0,SUM($B$82)&lt;=1,SUM($B$83)&gt;=0),$B$80,IF(AND($B$175&gt;0,67&gt;$B$175,ISNUMBER($B$75)),$B$75,$B$61)),"")</x:f>
        <x:v>0.0625</x:v>
      </x:c>
      <x:c r="D467" s="440" t="n">
        <x:f>IF(AND(ISNUMBER(B467),B467=0),0,IF(AND($B$171=1,I466=0,ISNUMBER(C467),ISNUMBER(IF(AND(67&lt;=$B$174,67&lt;=$B$173),B467*C467/12,IF(AND(67=$B$173+1,AND(67&gt;$B$173,$B$78="Refinance",ISNUMBER($B$80),$B$80&gt;=0,$B$80&lt;=1,ROUND($B$81*12,0)&gt;=1,$B$81&lt;=100,SUM($B$82)&gt;=0,SUM($B$82)&lt;=1,SUM($B$83)&gt;=0)),IF(B467=0,0,IF(C467=0,B467/ROUND($B$81*12,0),B467*(C467/12)/(1-(1+C467/12)^(-ROUND($B$81*12,0))))),IF(AND(NOT(AND(67&gt;$B$173,$B$78="Refinance",ISNUMBER($B$80),$B$80&gt;=0,$B$80&lt;=1,ROUND($B$81*12,0)&gt;=1,$B$81&lt;=100,SUM($B$82)&gt;=0,SUM($B$82)&lt;=1,SUM($B$83)&gt;=0)),OR(67=1,67=$B$174+1,AND($B$175&gt;0,67=$B$175+1))),IF(AND($B$170=1,$B$66&gt;0,OR($B$175=0,67&lt;=$B$175)),$B$66,IF($B$172-MAX(67-1,$B$174)&gt;0,IF(B467=0,0,IF(C467=0,B467/($B$172-MAX(67-1,$B$174)),B467*(C467/12)/(1-(1+C467/12)^(-($B$172-MAX(67-1,$B$174)))))),"")),D466))))),IF(IF(AND(67&lt;=$B$174,67&lt;=$B$173),B467*C467/12,IF(AND(67=$B$173+1,AND(67&gt;$B$173,$B$78="Refinance",ISNUMBER($B$80),$B$80&gt;=0,$B$80&lt;=1,ROUND($B$81*12,0)&gt;=1,$B$81&lt;=100,SUM($B$82)&gt;=0,SUM($B$82)&lt;=1,SUM($B$83)&gt;=0)),IF(B467=0,0,IF(C467=0,B467/ROUND($B$81*12,0),B467*(C467/12)/(1-(1+C467/12)^(-ROUND($B$81*12,0))))),IF(AND(NOT(AND(67&gt;$B$173,$B$78="Refinance",ISNUMBER($B$80),$B$80&gt;=0,$B$80&lt;=1,ROUND($B$81*12,0)&gt;=1,$B$81&lt;=100,SUM($B$82)&gt;=0,SUM($B$82)&lt;=1,SUM($B$83)&gt;=0)),OR(67=1,67=$B$174+1,AND($B$175&gt;0,67=$B$175+1))),IF(AND($B$170=1,$B$66&gt;0,OR($B$175=0,67&lt;=$B$175)),$B$66,IF($B$172-MAX(67-1,$B$174)&gt;0,IF(B467=0,0,IF(C467=0,B467/($B$172-MAX(67-1,$B$174)),B467*(C467/12)/(1-(1+C467/12)^(-($B$172-MAX(67-1,$B$174)))))),"")),D466)))+0.0000001&gt;=B467*C467/12,MIN(B467*(1+C467/12),IF(AND(67&lt;=$B$174,67&lt;=$B$173),B467*C467/12,IF(AND(67=$B$173+1,AND(67&gt;$B$173,$B$78="Refinance",ISNUMBER($B$80),$B$80&gt;=0,$B$80&lt;=1,ROUND($B$81*12,0)&gt;=1,$B$81&lt;=100,SUM($B$82)&gt;=0,SUM($B$82)&lt;=1,SUM($B$83)&gt;=0)),IF(B467=0,0,IF(C467=0,B467/ROUND($B$81*12,0),B467*(C467/12)/(1-(1+C467/12)^(-ROUND($B$81*12,0))))),IF(AND(NOT(AND(67&gt;$B$173,$B$78="Refinance",ISNUMBER($B$80),$B$80&gt;=0,$B$80&lt;=1,ROUND($B$81*12,0)&gt;=1,$B$81&lt;=100,SUM($B$82)&gt;=0,SUM($B$82)&lt;=1,SUM($B$83)&gt;=0)),OR(67=1,67=$B$174+1,AND($B$175&gt;0,67=$B$175+1))),IF(AND($B$170=1,$B$66&gt;0,OR($B$175=0,67&lt;=$B$175)),$B$66,IF($B$172-MAX(67-1,$B$174)&gt;0,IF(B467=0,0,IF(C467=0,B467/($B$172-MAX(67-1,$B$174)),B467*(C467/12)/(1-(1+C467/12)^(-($B$172-MAX(67-1,$B$174)))))),"")),D466)))),""),""))</x:f>
        <x:v>4679.450723240598</x:v>
      </x:c>
      <x:c r="E467" s="440" t="n">
        <x:f>IF(AND(67=$B$173,ISNUMBER(D467)),IF(MAX(0,B467*(1+C467/12)-D467)&lt;MAX(0.0000001,$E$17*0.00000000001),0,MAX(0,B467*(1+C467/12)-D467)),0)</x:f>
        <x:v>0</x:v>
      </x:c>
      <x:c r="F467" s="440" t="n">
        <x:f>IF($B$78="Cash payoff",E467,0)</x:f>
        <x:v>0</x:v>
      </x:c>
      <x:c r="G467" s="440" t="n">
        <x:f>IF(AND(E467&gt;0,AND($B$78="Refinance",ISNUMBER($B$80),$B$80&gt;=0,$B$80&lt;=1,ROUND($B$81*12,0)&gt;=1,$B$81&lt;=100,SUM($B$82)&gt;=0,SUM($B$82)&lt;=1,SUM($B$83)&gt;=0)),E467*SUM($B$82)+SUM($B$83),0)</x:f>
        <x:v>0</x:v>
      </x:c>
      <x:c r="H467" s="440" t="n">
        <x:f>IF(ISNUMBER(D467),IF(MAX(0,B467*(1+C467/12)-D467-F467)&lt;MAX(0.0000001,$E$17*0.00000000001),0,MAX(0,B467*(1+C467/12)-D467-F467)),IF(AND($B$171=1,I466=1),B467,""))</x:f>
        <x:v>702360.4158819771</x:v>
      </x:c>
      <x:c r="I467" s="444" t="n">
        <x:f>IF(OR(I466=1,AND(E467&gt;0,$B$78&lt;&gt;"Cash payoff",NOT(AND($B$78="Refinance",ISNUMBER($B$80),$B$80&gt;=0,$B$80&lt;=1,ROUND($B$81*12,0)&gt;=1,$B$81&lt;=100,SUM($B$82)&gt;=0,SUM($B$82)&lt;=1,SUM($B$83)&gt;=0))),AND(ISNUMBER(B467),B467&gt;0,$B$171=1,NOT(ISNUMBER(D467)))),1,0)</x:f>
        <x:v>0</x:v>
      </x:c>
      <x:c r="J467" s="440" t="n">
        <x:f>IF(ISNUMBER(L466),L466,"")</x:f>
        <x:v>0</x:v>
      </x:c>
      <x:c r="K467" s="440" t="n">
        <x:f>IF(AND(ISNUMBER(J467),J467=0),0,IF(AND($B$176=1,ISNUMBER(J467)),MIN(J467*(1+$B$87/12),IF($B$86=0,0,IF($B$87=0,$B$86/ROUND($B$88*12,0),$B$86*($B$87/12)/(1-(1+$B$87/12)^(-ROUND($B$88*12,0)))))),""))</x:f>
        <x:v>0</x:v>
      </x:c>
      <x:c r="L467" s="440" t="n">
        <x:f>IF(ISNUMBER(K467),IF(MAX(0,J467*(1+SUM($B$87)/12)-K467)&lt;MAX(0.0000001,$B$86*0.00000000001),0,MAX(0,J467*(1+SUM($B$87)/12)-K467)),"")</x:f>
        <x:v>0</x:v>
      </x:c>
      <x:c r="M467" s="440" t="n">
        <x:f>IF(AND(ISNUMBER(D467),ISNUMBER(K467)),D467+K467,"")</x:f>
        <x:v>4679.450723240598</x:v>
      </x:c>
      <x:c r="N467" s="440" t="n">
        <x:f>IF(AND(ISNUMBER(H467),ISNUMBER(L467)),H467+L467,"")</x:f>
        <x:v>702360.4158819771</x:v>
      </x:c>
    </x:row>
    <x:row r="468" ht="22" customHeight="1">
      <x:c r="A468" s="254" t="n">
        <x:f>68</x:f>
        <x:v>68</x:v>
      </x:c>
      <x:c r="B468" s="440" t="n">
        <x:f>IF(ISNUMBER(H467),H467,"")</x:f>
        <x:v>702360.4158819771</x:v>
      </x:c>
      <x:c r="C468" s="442" t="n">
        <x:f>IF(ISNUMBER(B468),IF(AND(68&gt;$B$173,$B$78="Refinance",ISNUMBER($B$80),$B$80&gt;=0,$B$80&lt;=1,ROUND($B$81*12,0)&gt;=1,$B$81&lt;=100,SUM($B$82)&gt;=0,SUM($B$82)&lt;=1,SUM($B$83)&gt;=0),$B$80,IF(AND($B$175&gt;0,68&gt;$B$175,ISNUMBER($B$75)),$B$75,$B$61)),"")</x:f>
        <x:v>0.0625</x:v>
      </x:c>
      <x:c r="D468" s="440" t="n">
        <x:f>IF(AND(ISNUMBER(B468),B468=0),0,IF(AND($B$171=1,I467=0,ISNUMBER(C468),ISNUMBER(IF(AND(68&lt;=$B$174,68&lt;=$B$173),B468*C468/12,IF(AND(68=$B$173+1,AND(68&gt;$B$173,$B$78="Refinance",ISNUMBER($B$80),$B$80&gt;=0,$B$80&lt;=1,ROUND($B$81*12,0)&gt;=1,$B$81&lt;=100,SUM($B$82)&gt;=0,SUM($B$82)&lt;=1,SUM($B$83)&gt;=0)),IF(B468=0,0,IF(C468=0,B468/ROUND($B$81*12,0),B468*(C468/12)/(1-(1+C468/12)^(-ROUND($B$81*12,0))))),IF(AND(NOT(AND(68&gt;$B$173,$B$78="Refinance",ISNUMBER($B$80),$B$80&gt;=0,$B$80&lt;=1,ROUND($B$81*12,0)&gt;=1,$B$81&lt;=100,SUM($B$82)&gt;=0,SUM($B$82)&lt;=1,SUM($B$83)&gt;=0)),OR(68=1,68=$B$174+1,AND($B$175&gt;0,68=$B$175+1))),IF(AND($B$170=1,$B$66&gt;0,OR($B$175=0,68&lt;=$B$175)),$B$66,IF($B$172-MAX(68-1,$B$174)&gt;0,IF(B468=0,0,IF(C468=0,B468/($B$172-MAX(68-1,$B$174)),B468*(C468/12)/(1-(1+C468/12)^(-($B$172-MAX(68-1,$B$174)))))),"")),D467))))),IF(IF(AND(68&lt;=$B$174,68&lt;=$B$173),B468*C468/12,IF(AND(68=$B$173+1,AND(68&gt;$B$173,$B$78="Refinance",ISNUMBER($B$80),$B$80&gt;=0,$B$80&lt;=1,ROUND($B$81*12,0)&gt;=1,$B$81&lt;=100,SUM($B$82)&gt;=0,SUM($B$82)&lt;=1,SUM($B$83)&gt;=0)),IF(B468=0,0,IF(C468=0,B468/ROUND($B$81*12,0),B468*(C468/12)/(1-(1+C468/12)^(-ROUND($B$81*12,0))))),IF(AND(NOT(AND(68&gt;$B$173,$B$78="Refinance",ISNUMBER($B$80),$B$80&gt;=0,$B$80&lt;=1,ROUND($B$81*12,0)&gt;=1,$B$81&lt;=100,SUM($B$82)&gt;=0,SUM($B$82)&lt;=1,SUM($B$83)&gt;=0)),OR(68=1,68=$B$174+1,AND($B$175&gt;0,68=$B$175+1))),IF(AND($B$170=1,$B$66&gt;0,OR($B$175=0,68&lt;=$B$175)),$B$66,IF($B$172-MAX(68-1,$B$174)&gt;0,IF(B468=0,0,IF(C468=0,B468/($B$172-MAX(68-1,$B$174)),B468*(C468/12)/(1-(1+C468/12)^(-($B$172-MAX(68-1,$B$174)))))),"")),D467)))+0.0000001&gt;=B468*C468/12,MIN(B468*(1+C468/12),IF(AND(68&lt;=$B$174,68&lt;=$B$173),B468*C468/12,IF(AND(68=$B$173+1,AND(68&gt;$B$173,$B$78="Refinance",ISNUMBER($B$80),$B$80&gt;=0,$B$80&lt;=1,ROUND($B$81*12,0)&gt;=1,$B$81&lt;=100,SUM($B$82)&gt;=0,SUM($B$82)&lt;=1,SUM($B$83)&gt;=0)),IF(B468=0,0,IF(C468=0,B468/ROUND($B$81*12,0),B468*(C468/12)/(1-(1+C468/12)^(-ROUND($B$81*12,0))))),IF(AND(NOT(AND(68&gt;$B$173,$B$78="Refinance",ISNUMBER($B$80),$B$80&gt;=0,$B$80&lt;=1,ROUND($B$81*12,0)&gt;=1,$B$81&lt;=100,SUM($B$82)&gt;=0,SUM($B$82)&lt;=1,SUM($B$83)&gt;=0)),OR(68=1,68=$B$174+1,AND($B$175&gt;0,68=$B$175+1))),IF(AND($B$170=1,$B$66&gt;0,OR($B$175=0,68&lt;=$B$175)),$B$66,IF($B$172-MAX(68-1,$B$174)&gt;0,IF(B468=0,0,IF(C468=0,B468/($B$172-MAX(68-1,$B$174)),B468*(C468/12)/(1-(1+C468/12)^(-($B$172-MAX(68-1,$B$174)))))),"")),D467)))),""),""))</x:f>
        <x:v>4679.450723240598</x:v>
      </x:c>
      <x:c r="E468" s="440" t="n">
        <x:f>IF(AND(68=$B$173,ISNUMBER(D468)),IF(MAX(0,B468*(1+C468/12)-D468)&lt;MAX(0.0000001,$E$17*0.00000000001),0,MAX(0,B468*(1+C468/12)-D468)),0)</x:f>
        <x:v>0</x:v>
      </x:c>
      <x:c r="F468" s="440" t="n">
        <x:f>IF($B$78="Cash payoff",E468,0)</x:f>
        <x:v>0</x:v>
      </x:c>
      <x:c r="G468" s="440" t="n">
        <x:f>IF(AND(E468&gt;0,AND($B$78="Refinance",ISNUMBER($B$80),$B$80&gt;=0,$B$80&lt;=1,ROUND($B$81*12,0)&gt;=1,$B$81&lt;=100,SUM($B$82)&gt;=0,SUM($B$82)&lt;=1,SUM($B$83)&gt;=0)),E468*SUM($B$82)+SUM($B$83),0)</x:f>
        <x:v>0</x:v>
      </x:c>
      <x:c r="H468" s="440" t="n">
        <x:f>IF(ISNUMBER(D468),IF(MAX(0,B468*(1+C468/12)-D468-F468)&lt;MAX(0.0000001,$E$17*0.00000000001),0,MAX(0,B468*(1+C468/12)-D468-F468)),IF(AND($B$171=1,I467=1),B468,""))</x:f>
        <x:v>701339.0923247883</x:v>
      </x:c>
      <x:c r="I468" s="444" t="n">
        <x:f>IF(OR(I467=1,AND(E468&gt;0,$B$78&lt;&gt;"Cash payoff",NOT(AND($B$78="Refinance",ISNUMBER($B$80),$B$80&gt;=0,$B$80&lt;=1,ROUND($B$81*12,0)&gt;=1,$B$81&lt;=100,SUM($B$82)&gt;=0,SUM($B$82)&lt;=1,SUM($B$83)&gt;=0))),AND(ISNUMBER(B468),B468&gt;0,$B$171=1,NOT(ISNUMBER(D468)))),1,0)</x:f>
        <x:v>0</x:v>
      </x:c>
      <x:c r="J468" s="440" t="n">
        <x:f>IF(ISNUMBER(L467),L467,"")</x:f>
        <x:v>0</x:v>
      </x:c>
      <x:c r="K468" s="440" t="n">
        <x:f>IF(AND(ISNUMBER(J468),J468=0),0,IF(AND($B$176=1,ISNUMBER(J468)),MIN(J468*(1+$B$87/12),IF($B$86=0,0,IF($B$87=0,$B$86/ROUND($B$88*12,0),$B$86*($B$87/12)/(1-(1+$B$87/12)^(-ROUND($B$88*12,0)))))),""))</x:f>
        <x:v>0</x:v>
      </x:c>
      <x:c r="L468" s="440" t="n">
        <x:f>IF(ISNUMBER(K468),IF(MAX(0,J468*(1+SUM($B$87)/12)-K468)&lt;MAX(0.0000001,$B$86*0.00000000001),0,MAX(0,J468*(1+SUM($B$87)/12)-K468)),"")</x:f>
        <x:v>0</x:v>
      </x:c>
      <x:c r="M468" s="440" t="n">
        <x:f>IF(AND(ISNUMBER(D468),ISNUMBER(K468)),D468+K468,"")</x:f>
        <x:v>4679.450723240598</x:v>
      </x:c>
      <x:c r="N468" s="440" t="n">
        <x:f>IF(AND(ISNUMBER(H468),ISNUMBER(L468)),H468+L468,"")</x:f>
        <x:v>701339.0923247883</x:v>
      </x:c>
    </x:row>
    <x:row r="469" ht="22" customHeight="1">
      <x:c r="A469" s="254" t="n">
        <x:f>69</x:f>
        <x:v>69</x:v>
      </x:c>
      <x:c r="B469" s="440" t="n">
        <x:f>IF(ISNUMBER(H468),H468,"")</x:f>
        <x:v>701339.0923247883</x:v>
      </x:c>
      <x:c r="C469" s="442" t="n">
        <x:f>IF(ISNUMBER(B469),IF(AND(69&gt;$B$173,$B$78="Refinance",ISNUMBER($B$80),$B$80&gt;=0,$B$80&lt;=1,ROUND($B$81*12,0)&gt;=1,$B$81&lt;=100,SUM($B$82)&gt;=0,SUM($B$82)&lt;=1,SUM($B$83)&gt;=0),$B$80,IF(AND($B$175&gt;0,69&gt;$B$175,ISNUMBER($B$75)),$B$75,$B$61)),"")</x:f>
        <x:v>0.0625</x:v>
      </x:c>
      <x:c r="D469" s="440" t="n">
        <x:f>IF(AND(ISNUMBER(B469),B469=0),0,IF(AND($B$171=1,I468=0,ISNUMBER(C469),ISNUMBER(IF(AND(69&lt;=$B$174,69&lt;=$B$173),B469*C469/12,IF(AND(69=$B$173+1,AND(69&gt;$B$173,$B$78="Refinance",ISNUMBER($B$80),$B$80&gt;=0,$B$80&lt;=1,ROUND($B$81*12,0)&gt;=1,$B$81&lt;=100,SUM($B$82)&gt;=0,SUM($B$82)&lt;=1,SUM($B$83)&gt;=0)),IF(B469=0,0,IF(C469=0,B469/ROUND($B$81*12,0),B469*(C469/12)/(1-(1+C469/12)^(-ROUND($B$81*12,0))))),IF(AND(NOT(AND(69&gt;$B$173,$B$78="Refinance",ISNUMBER($B$80),$B$80&gt;=0,$B$80&lt;=1,ROUND($B$81*12,0)&gt;=1,$B$81&lt;=100,SUM($B$82)&gt;=0,SUM($B$82)&lt;=1,SUM($B$83)&gt;=0)),OR(69=1,69=$B$174+1,AND($B$175&gt;0,69=$B$175+1))),IF(AND($B$170=1,$B$66&gt;0,OR($B$175=0,69&lt;=$B$175)),$B$66,IF($B$172-MAX(69-1,$B$174)&gt;0,IF(B469=0,0,IF(C469=0,B469/($B$172-MAX(69-1,$B$174)),B469*(C469/12)/(1-(1+C469/12)^(-($B$172-MAX(69-1,$B$174)))))),"")),D468))))),IF(IF(AND(69&lt;=$B$174,69&lt;=$B$173),B469*C469/12,IF(AND(69=$B$173+1,AND(69&gt;$B$173,$B$78="Refinance",ISNUMBER($B$80),$B$80&gt;=0,$B$80&lt;=1,ROUND($B$81*12,0)&gt;=1,$B$81&lt;=100,SUM($B$82)&gt;=0,SUM($B$82)&lt;=1,SUM($B$83)&gt;=0)),IF(B469=0,0,IF(C469=0,B469/ROUND($B$81*12,0),B469*(C469/12)/(1-(1+C469/12)^(-ROUND($B$81*12,0))))),IF(AND(NOT(AND(69&gt;$B$173,$B$78="Refinance",ISNUMBER($B$80),$B$80&gt;=0,$B$80&lt;=1,ROUND($B$81*12,0)&gt;=1,$B$81&lt;=100,SUM($B$82)&gt;=0,SUM($B$82)&lt;=1,SUM($B$83)&gt;=0)),OR(69=1,69=$B$174+1,AND($B$175&gt;0,69=$B$175+1))),IF(AND($B$170=1,$B$66&gt;0,OR($B$175=0,69&lt;=$B$175)),$B$66,IF($B$172-MAX(69-1,$B$174)&gt;0,IF(B469=0,0,IF(C469=0,B469/($B$172-MAX(69-1,$B$174)),B469*(C469/12)/(1-(1+C469/12)^(-($B$172-MAX(69-1,$B$174)))))),"")),D468)))+0.0000001&gt;=B469*C469/12,MIN(B469*(1+C469/12),IF(AND(69&lt;=$B$174,69&lt;=$B$173),B469*C469/12,IF(AND(69=$B$173+1,AND(69&gt;$B$173,$B$78="Refinance",ISNUMBER($B$80),$B$80&gt;=0,$B$80&lt;=1,ROUND($B$81*12,0)&gt;=1,$B$81&lt;=100,SUM($B$82)&gt;=0,SUM($B$82)&lt;=1,SUM($B$83)&gt;=0)),IF(B469=0,0,IF(C469=0,B469/ROUND($B$81*12,0),B469*(C469/12)/(1-(1+C469/12)^(-ROUND($B$81*12,0))))),IF(AND(NOT(AND(69&gt;$B$173,$B$78="Refinance",ISNUMBER($B$80),$B$80&gt;=0,$B$80&lt;=1,ROUND($B$81*12,0)&gt;=1,$B$81&lt;=100,SUM($B$82)&gt;=0,SUM($B$82)&lt;=1,SUM($B$83)&gt;=0)),OR(69=1,69=$B$174+1,AND($B$175&gt;0,69=$B$175+1))),IF(AND($B$170=1,$B$66&gt;0,OR($B$175=0,69&lt;=$B$175)),$B$66,IF($B$172-MAX(69-1,$B$174)&gt;0,IF(B469=0,0,IF(C469=0,B469/($B$172-MAX(69-1,$B$174)),B469*(C469/12)/(1-(1+C469/12)^(-($B$172-MAX(69-1,$B$174)))))),"")),D468)))),""),""))</x:f>
        <x:v>4679.450723240598</x:v>
      </x:c>
      <x:c r="E469" s="440" t="n">
        <x:f>IF(AND(69=$B$173,ISNUMBER(D469)),IF(MAX(0,B469*(1+C469/12)-D469)&lt;MAX(0.0000001,$E$17*0.00000000001),0,MAX(0,B469*(1+C469/12)-D469)),0)</x:f>
        <x:v>0</x:v>
      </x:c>
      <x:c r="F469" s="440" t="n">
        <x:f>IF($B$78="Cash payoff",E469,0)</x:f>
        <x:v>0</x:v>
      </x:c>
      <x:c r="G469" s="440" t="n">
        <x:f>IF(AND(E469&gt;0,AND($B$78="Refinance",ISNUMBER($B$80),$B$80&gt;=0,$B$80&lt;=1,ROUND($B$81*12,0)&gt;=1,$B$81&lt;=100,SUM($B$82)&gt;=0,SUM($B$82)&lt;=1,SUM($B$83)&gt;=0)),E469*SUM($B$82)+SUM($B$83),0)</x:f>
        <x:v>0</x:v>
      </x:c>
      <x:c r="H469" s="440" t="n">
        <x:f>IF(ISNUMBER(D469),IF(MAX(0,B469*(1+C469/12)-D469-F469)&lt;MAX(0.0000001,$E$17*0.00000000001),0,MAX(0,B469*(1+C469/12)-D469-F469)),IF(AND($B$171=1,I468=1),B469,""))</x:f>
        <x:v>700312.4493740726</x:v>
      </x:c>
      <x:c r="I469" s="444" t="n">
        <x:f>IF(OR(I468=1,AND(E469&gt;0,$B$78&lt;&gt;"Cash payoff",NOT(AND($B$78="Refinance",ISNUMBER($B$80),$B$80&gt;=0,$B$80&lt;=1,ROUND($B$81*12,0)&gt;=1,$B$81&lt;=100,SUM($B$82)&gt;=0,SUM($B$82)&lt;=1,SUM($B$83)&gt;=0))),AND(ISNUMBER(B469),B469&gt;0,$B$171=1,NOT(ISNUMBER(D469)))),1,0)</x:f>
        <x:v>0</x:v>
      </x:c>
      <x:c r="J469" s="440" t="n">
        <x:f>IF(ISNUMBER(L468),L468,"")</x:f>
        <x:v>0</x:v>
      </x:c>
      <x:c r="K469" s="440" t="n">
        <x:f>IF(AND(ISNUMBER(J469),J469=0),0,IF(AND($B$176=1,ISNUMBER(J469)),MIN(J469*(1+$B$87/12),IF($B$86=0,0,IF($B$87=0,$B$86/ROUND($B$88*12,0),$B$86*($B$87/12)/(1-(1+$B$87/12)^(-ROUND($B$88*12,0)))))),""))</x:f>
        <x:v>0</x:v>
      </x:c>
      <x:c r="L469" s="440" t="n">
        <x:f>IF(ISNUMBER(K469),IF(MAX(0,J469*(1+SUM($B$87)/12)-K469)&lt;MAX(0.0000001,$B$86*0.00000000001),0,MAX(0,J469*(1+SUM($B$87)/12)-K469)),"")</x:f>
        <x:v>0</x:v>
      </x:c>
      <x:c r="M469" s="440" t="n">
        <x:f>IF(AND(ISNUMBER(D469),ISNUMBER(K469)),D469+K469,"")</x:f>
        <x:v>4679.450723240598</x:v>
      </x:c>
      <x:c r="N469" s="440" t="n">
        <x:f>IF(AND(ISNUMBER(H469),ISNUMBER(L469)),H469+L469,"")</x:f>
        <x:v>700312.4493740726</x:v>
      </x:c>
    </x:row>
    <x:row r="470" ht="22" customHeight="1">
      <x:c r="A470" s="254" t="n">
        <x:f>70</x:f>
        <x:v>70</x:v>
      </x:c>
      <x:c r="B470" s="440" t="n">
        <x:f>IF(ISNUMBER(H469),H469,"")</x:f>
        <x:v>700312.4493740726</x:v>
      </x:c>
      <x:c r="C470" s="442" t="n">
        <x:f>IF(ISNUMBER(B470),IF(AND(70&gt;$B$173,$B$78="Refinance",ISNUMBER($B$80),$B$80&gt;=0,$B$80&lt;=1,ROUND($B$81*12,0)&gt;=1,$B$81&lt;=100,SUM($B$82)&gt;=0,SUM($B$82)&lt;=1,SUM($B$83)&gt;=0),$B$80,IF(AND($B$175&gt;0,70&gt;$B$175,ISNUMBER($B$75)),$B$75,$B$61)),"")</x:f>
        <x:v>0.0625</x:v>
      </x:c>
      <x:c r="D470" s="440" t="n">
        <x:f>IF(AND(ISNUMBER(B470),B470=0),0,IF(AND($B$171=1,I469=0,ISNUMBER(C470),ISNUMBER(IF(AND(70&lt;=$B$174,70&lt;=$B$173),B470*C470/12,IF(AND(70=$B$173+1,AND(70&gt;$B$173,$B$78="Refinance",ISNUMBER($B$80),$B$80&gt;=0,$B$80&lt;=1,ROUND($B$81*12,0)&gt;=1,$B$81&lt;=100,SUM($B$82)&gt;=0,SUM($B$82)&lt;=1,SUM($B$83)&gt;=0)),IF(B470=0,0,IF(C470=0,B470/ROUND($B$81*12,0),B470*(C470/12)/(1-(1+C470/12)^(-ROUND($B$81*12,0))))),IF(AND(NOT(AND(70&gt;$B$173,$B$78="Refinance",ISNUMBER($B$80),$B$80&gt;=0,$B$80&lt;=1,ROUND($B$81*12,0)&gt;=1,$B$81&lt;=100,SUM($B$82)&gt;=0,SUM($B$82)&lt;=1,SUM($B$83)&gt;=0)),OR(70=1,70=$B$174+1,AND($B$175&gt;0,70=$B$175+1))),IF(AND($B$170=1,$B$66&gt;0,OR($B$175=0,70&lt;=$B$175)),$B$66,IF($B$172-MAX(70-1,$B$174)&gt;0,IF(B470=0,0,IF(C470=0,B470/($B$172-MAX(70-1,$B$174)),B470*(C470/12)/(1-(1+C470/12)^(-($B$172-MAX(70-1,$B$174)))))),"")),D469))))),IF(IF(AND(70&lt;=$B$174,70&lt;=$B$173),B470*C470/12,IF(AND(70=$B$173+1,AND(70&gt;$B$173,$B$78="Refinance",ISNUMBER($B$80),$B$80&gt;=0,$B$80&lt;=1,ROUND($B$81*12,0)&gt;=1,$B$81&lt;=100,SUM($B$82)&gt;=0,SUM($B$82)&lt;=1,SUM($B$83)&gt;=0)),IF(B470=0,0,IF(C470=0,B470/ROUND($B$81*12,0),B470*(C470/12)/(1-(1+C470/12)^(-ROUND($B$81*12,0))))),IF(AND(NOT(AND(70&gt;$B$173,$B$78="Refinance",ISNUMBER($B$80),$B$80&gt;=0,$B$80&lt;=1,ROUND($B$81*12,0)&gt;=1,$B$81&lt;=100,SUM($B$82)&gt;=0,SUM($B$82)&lt;=1,SUM($B$83)&gt;=0)),OR(70=1,70=$B$174+1,AND($B$175&gt;0,70=$B$175+1))),IF(AND($B$170=1,$B$66&gt;0,OR($B$175=0,70&lt;=$B$175)),$B$66,IF($B$172-MAX(70-1,$B$174)&gt;0,IF(B470=0,0,IF(C470=0,B470/($B$172-MAX(70-1,$B$174)),B470*(C470/12)/(1-(1+C470/12)^(-($B$172-MAX(70-1,$B$174)))))),"")),D469)))+0.0000001&gt;=B470*C470/12,MIN(B470*(1+C470/12),IF(AND(70&lt;=$B$174,70&lt;=$B$173),B470*C470/12,IF(AND(70=$B$173+1,AND(70&gt;$B$173,$B$78="Refinance",ISNUMBER($B$80),$B$80&gt;=0,$B$80&lt;=1,ROUND($B$81*12,0)&gt;=1,$B$81&lt;=100,SUM($B$82)&gt;=0,SUM($B$82)&lt;=1,SUM($B$83)&gt;=0)),IF(B470=0,0,IF(C470=0,B470/ROUND($B$81*12,0),B470*(C470/12)/(1-(1+C470/12)^(-ROUND($B$81*12,0))))),IF(AND(NOT(AND(70&gt;$B$173,$B$78="Refinance",ISNUMBER($B$80),$B$80&gt;=0,$B$80&lt;=1,ROUND($B$81*12,0)&gt;=1,$B$81&lt;=100,SUM($B$82)&gt;=0,SUM($B$82)&lt;=1,SUM($B$83)&gt;=0)),OR(70=1,70=$B$174+1,AND($B$175&gt;0,70=$B$175+1))),IF(AND($B$170=1,$B$66&gt;0,OR($B$175=0,70&lt;=$B$175)),$B$66,IF($B$172-MAX(70-1,$B$174)&gt;0,IF(B470=0,0,IF(C470=0,B470/($B$172-MAX(70-1,$B$174)),B470*(C470/12)/(1-(1+C470/12)^(-($B$172-MAX(70-1,$B$174)))))),"")),D469)))),""),""))</x:f>
        <x:v>4679.450723240598</x:v>
      </x:c>
      <x:c r="E470" s="440" t="n">
        <x:f>IF(AND(70=$B$173,ISNUMBER(D470)),IF(MAX(0,B470*(1+C470/12)-D470)&lt;MAX(0.0000001,$E$17*0.00000000001),0,MAX(0,B470*(1+C470/12)-D470)),0)</x:f>
        <x:v>0</x:v>
      </x:c>
      <x:c r="F470" s="440" t="n">
        <x:f>IF($B$78="Cash payoff",E470,0)</x:f>
        <x:v>0</x:v>
      </x:c>
      <x:c r="G470" s="440" t="n">
        <x:f>IF(AND(E470&gt;0,AND($B$78="Refinance",ISNUMBER($B$80),$B$80&gt;=0,$B$80&lt;=1,ROUND($B$81*12,0)&gt;=1,$B$81&lt;=100,SUM($B$82)&gt;=0,SUM($B$82)&lt;=1,SUM($B$83)&gt;=0)),E470*SUM($B$82)+SUM($B$83),0)</x:f>
        <x:v>0</x:v>
      </x:c>
      <x:c r="H470" s="440" t="n">
        <x:f>IF(ISNUMBER(D470),IF(MAX(0,B470*(1+C470/12)-D470-F470)&lt;MAX(0.0000001,$E$17*0.00000000001),0,MAX(0,B470*(1+C470/12)-D470-F470)),IF(AND($B$171=1,I469=1),B470,""))</x:f>
        <x:v>699280.4593246552</x:v>
      </x:c>
      <x:c r="I470" s="444" t="n">
        <x:f>IF(OR(I469=1,AND(E470&gt;0,$B$78&lt;&gt;"Cash payoff",NOT(AND($B$78="Refinance",ISNUMBER($B$80),$B$80&gt;=0,$B$80&lt;=1,ROUND($B$81*12,0)&gt;=1,$B$81&lt;=100,SUM($B$82)&gt;=0,SUM($B$82)&lt;=1,SUM($B$83)&gt;=0))),AND(ISNUMBER(B470),B470&gt;0,$B$171=1,NOT(ISNUMBER(D470)))),1,0)</x:f>
        <x:v>0</x:v>
      </x:c>
      <x:c r="J470" s="440" t="n">
        <x:f>IF(ISNUMBER(L469),L469,"")</x:f>
        <x:v>0</x:v>
      </x:c>
      <x:c r="K470" s="440" t="n">
        <x:f>IF(AND(ISNUMBER(J470),J470=0),0,IF(AND($B$176=1,ISNUMBER(J470)),MIN(J470*(1+$B$87/12),IF($B$86=0,0,IF($B$87=0,$B$86/ROUND($B$88*12,0),$B$86*($B$87/12)/(1-(1+$B$87/12)^(-ROUND($B$88*12,0)))))),""))</x:f>
        <x:v>0</x:v>
      </x:c>
      <x:c r="L470" s="440" t="n">
        <x:f>IF(ISNUMBER(K470),IF(MAX(0,J470*(1+SUM($B$87)/12)-K470)&lt;MAX(0.0000001,$B$86*0.00000000001),0,MAX(0,J470*(1+SUM($B$87)/12)-K470)),"")</x:f>
        <x:v>0</x:v>
      </x:c>
      <x:c r="M470" s="440" t="n">
        <x:f>IF(AND(ISNUMBER(D470),ISNUMBER(K470)),D470+K470,"")</x:f>
        <x:v>4679.450723240598</x:v>
      </x:c>
      <x:c r="N470" s="440" t="n">
        <x:f>IF(AND(ISNUMBER(H470),ISNUMBER(L470)),H470+L470,"")</x:f>
        <x:v>699280.4593246552</x:v>
      </x:c>
    </x:row>
    <x:row r="471" ht="22" customHeight="1">
      <x:c r="A471" s="254" t="n">
        <x:f>71</x:f>
        <x:v>71</x:v>
      </x:c>
      <x:c r="B471" s="440" t="n">
        <x:f>IF(ISNUMBER(H470),H470,"")</x:f>
        <x:v>699280.4593246552</x:v>
      </x:c>
      <x:c r="C471" s="442" t="n">
        <x:f>IF(ISNUMBER(B471),IF(AND(71&gt;$B$173,$B$78="Refinance",ISNUMBER($B$80),$B$80&gt;=0,$B$80&lt;=1,ROUND($B$81*12,0)&gt;=1,$B$81&lt;=100,SUM($B$82)&gt;=0,SUM($B$82)&lt;=1,SUM($B$83)&gt;=0),$B$80,IF(AND($B$175&gt;0,71&gt;$B$175,ISNUMBER($B$75)),$B$75,$B$61)),"")</x:f>
        <x:v>0.0625</x:v>
      </x:c>
      <x:c r="D471" s="440" t="n">
        <x:f>IF(AND(ISNUMBER(B471),B471=0),0,IF(AND($B$171=1,I470=0,ISNUMBER(C471),ISNUMBER(IF(AND(71&lt;=$B$174,71&lt;=$B$173),B471*C471/12,IF(AND(71=$B$173+1,AND(71&gt;$B$173,$B$78="Refinance",ISNUMBER($B$80),$B$80&gt;=0,$B$80&lt;=1,ROUND($B$81*12,0)&gt;=1,$B$81&lt;=100,SUM($B$82)&gt;=0,SUM($B$82)&lt;=1,SUM($B$83)&gt;=0)),IF(B471=0,0,IF(C471=0,B471/ROUND($B$81*12,0),B471*(C471/12)/(1-(1+C471/12)^(-ROUND($B$81*12,0))))),IF(AND(NOT(AND(71&gt;$B$173,$B$78="Refinance",ISNUMBER($B$80),$B$80&gt;=0,$B$80&lt;=1,ROUND($B$81*12,0)&gt;=1,$B$81&lt;=100,SUM($B$82)&gt;=0,SUM($B$82)&lt;=1,SUM($B$83)&gt;=0)),OR(71=1,71=$B$174+1,AND($B$175&gt;0,71=$B$175+1))),IF(AND($B$170=1,$B$66&gt;0,OR($B$175=0,71&lt;=$B$175)),$B$66,IF($B$172-MAX(71-1,$B$174)&gt;0,IF(B471=0,0,IF(C471=0,B471/($B$172-MAX(71-1,$B$174)),B471*(C471/12)/(1-(1+C471/12)^(-($B$172-MAX(71-1,$B$174)))))),"")),D470))))),IF(IF(AND(71&lt;=$B$174,71&lt;=$B$173),B471*C471/12,IF(AND(71=$B$173+1,AND(71&gt;$B$173,$B$78="Refinance",ISNUMBER($B$80),$B$80&gt;=0,$B$80&lt;=1,ROUND($B$81*12,0)&gt;=1,$B$81&lt;=100,SUM($B$82)&gt;=0,SUM($B$82)&lt;=1,SUM($B$83)&gt;=0)),IF(B471=0,0,IF(C471=0,B471/ROUND($B$81*12,0),B471*(C471/12)/(1-(1+C471/12)^(-ROUND($B$81*12,0))))),IF(AND(NOT(AND(71&gt;$B$173,$B$78="Refinance",ISNUMBER($B$80),$B$80&gt;=0,$B$80&lt;=1,ROUND($B$81*12,0)&gt;=1,$B$81&lt;=100,SUM($B$82)&gt;=0,SUM($B$82)&lt;=1,SUM($B$83)&gt;=0)),OR(71=1,71=$B$174+1,AND($B$175&gt;0,71=$B$175+1))),IF(AND($B$170=1,$B$66&gt;0,OR($B$175=0,71&lt;=$B$175)),$B$66,IF($B$172-MAX(71-1,$B$174)&gt;0,IF(B471=0,0,IF(C471=0,B471/($B$172-MAX(71-1,$B$174)),B471*(C471/12)/(1-(1+C471/12)^(-($B$172-MAX(71-1,$B$174)))))),"")),D470)))+0.0000001&gt;=B471*C471/12,MIN(B471*(1+C471/12),IF(AND(71&lt;=$B$174,71&lt;=$B$173),B471*C471/12,IF(AND(71=$B$173+1,AND(71&gt;$B$173,$B$78="Refinance",ISNUMBER($B$80),$B$80&gt;=0,$B$80&lt;=1,ROUND($B$81*12,0)&gt;=1,$B$81&lt;=100,SUM($B$82)&gt;=0,SUM($B$82)&lt;=1,SUM($B$83)&gt;=0)),IF(B471=0,0,IF(C471=0,B471/ROUND($B$81*12,0),B471*(C471/12)/(1-(1+C471/12)^(-ROUND($B$81*12,0))))),IF(AND(NOT(AND(71&gt;$B$173,$B$78="Refinance",ISNUMBER($B$80),$B$80&gt;=0,$B$80&lt;=1,ROUND($B$81*12,0)&gt;=1,$B$81&lt;=100,SUM($B$82)&gt;=0,SUM($B$82)&lt;=1,SUM($B$83)&gt;=0)),OR(71=1,71=$B$174+1,AND($B$175&gt;0,71=$B$175+1))),IF(AND($B$170=1,$B$66&gt;0,OR($B$175=0,71&lt;=$B$175)),$B$66,IF($B$172-MAX(71-1,$B$174)&gt;0,IF(B471=0,0,IF(C471=0,B471/($B$172-MAX(71-1,$B$174)),B471*(C471/12)/(1-(1+C471/12)^(-($B$172-MAX(71-1,$B$174)))))),"")),D470)))),""),""))</x:f>
        <x:v>4679.450723240598</x:v>
      </x:c>
      <x:c r="E471" s="440" t="n">
        <x:f>IF(AND(71=$B$173,ISNUMBER(D471)),IF(MAX(0,B471*(1+C471/12)-D471)&lt;MAX(0.0000001,$E$17*0.00000000001),0,MAX(0,B471*(1+C471/12)-D471)),0)</x:f>
        <x:v>0</x:v>
      </x:c>
      <x:c r="F471" s="440" t="n">
        <x:f>IF($B$78="Cash payoff",E471,0)</x:f>
        <x:v>0</x:v>
      </x:c>
      <x:c r="G471" s="440" t="n">
        <x:f>IF(AND(E471&gt;0,AND($B$78="Refinance",ISNUMBER($B$80),$B$80&gt;=0,$B$80&lt;=1,ROUND($B$81*12,0)&gt;=1,$B$81&lt;=100,SUM($B$82)&gt;=0,SUM($B$82)&lt;=1,SUM($B$83)&gt;=0)),E471*SUM($B$82)+SUM($B$83),0)</x:f>
        <x:v>0</x:v>
      </x:c>
      <x:c r="H471" s="440" t="n">
        <x:f>IF(ISNUMBER(D471),IF(MAX(0,B471*(1+C471/12)-D471-F471)&lt;MAX(0.0000001,$E$17*0.00000000001),0,MAX(0,B471*(1+C471/12)-D471-F471)),IF(AND($B$171=1,I470=1),B471,""))</x:f>
        <x:v>698243.0943270638</x:v>
      </x:c>
      <x:c r="I471" s="444" t="n">
        <x:f>IF(OR(I470=1,AND(E471&gt;0,$B$78&lt;&gt;"Cash payoff",NOT(AND($B$78="Refinance",ISNUMBER($B$80),$B$80&gt;=0,$B$80&lt;=1,ROUND($B$81*12,0)&gt;=1,$B$81&lt;=100,SUM($B$82)&gt;=0,SUM($B$82)&lt;=1,SUM($B$83)&gt;=0))),AND(ISNUMBER(B471),B471&gt;0,$B$171=1,NOT(ISNUMBER(D471)))),1,0)</x:f>
        <x:v>0</x:v>
      </x:c>
      <x:c r="J471" s="440" t="n">
        <x:f>IF(ISNUMBER(L470),L470,"")</x:f>
        <x:v>0</x:v>
      </x:c>
      <x:c r="K471" s="440" t="n">
        <x:f>IF(AND(ISNUMBER(J471),J471=0),0,IF(AND($B$176=1,ISNUMBER(J471)),MIN(J471*(1+$B$87/12),IF($B$86=0,0,IF($B$87=0,$B$86/ROUND($B$88*12,0),$B$86*($B$87/12)/(1-(1+$B$87/12)^(-ROUND($B$88*12,0)))))),""))</x:f>
        <x:v>0</x:v>
      </x:c>
      <x:c r="L471" s="440" t="n">
        <x:f>IF(ISNUMBER(K471),IF(MAX(0,J471*(1+SUM($B$87)/12)-K471)&lt;MAX(0.0000001,$B$86*0.00000000001),0,MAX(0,J471*(1+SUM($B$87)/12)-K471)),"")</x:f>
        <x:v>0</x:v>
      </x:c>
      <x:c r="M471" s="440" t="n">
        <x:f>IF(AND(ISNUMBER(D471),ISNUMBER(K471)),D471+K471,"")</x:f>
        <x:v>4679.450723240598</x:v>
      </x:c>
      <x:c r="N471" s="440" t="n">
        <x:f>IF(AND(ISNUMBER(H471),ISNUMBER(L471)),H471+L471,"")</x:f>
        <x:v>698243.0943270638</x:v>
      </x:c>
    </x:row>
    <x:row r="472" ht="22" customHeight="1">
      <x:c r="A472" s="254" t="n">
        <x:f>72</x:f>
        <x:v>72</x:v>
      </x:c>
      <x:c r="B472" s="440" t="n">
        <x:f>IF(ISNUMBER(H471),H471,"")</x:f>
        <x:v>698243.0943270638</x:v>
      </x:c>
      <x:c r="C472" s="442" t="n">
        <x:f>IF(ISNUMBER(B472),IF(AND(72&gt;$B$173,$B$78="Refinance",ISNUMBER($B$80),$B$80&gt;=0,$B$80&lt;=1,ROUND($B$81*12,0)&gt;=1,$B$81&lt;=100,SUM($B$82)&gt;=0,SUM($B$82)&lt;=1,SUM($B$83)&gt;=0),$B$80,IF(AND($B$175&gt;0,72&gt;$B$175,ISNUMBER($B$75)),$B$75,$B$61)),"")</x:f>
        <x:v>0.0625</x:v>
      </x:c>
      <x:c r="D472" s="440" t="n">
        <x:f>IF(AND(ISNUMBER(B472),B472=0),0,IF(AND($B$171=1,I471=0,ISNUMBER(C472),ISNUMBER(IF(AND(72&lt;=$B$174,72&lt;=$B$173),B472*C472/12,IF(AND(72=$B$173+1,AND(72&gt;$B$173,$B$78="Refinance",ISNUMBER($B$80),$B$80&gt;=0,$B$80&lt;=1,ROUND($B$81*12,0)&gt;=1,$B$81&lt;=100,SUM($B$82)&gt;=0,SUM($B$82)&lt;=1,SUM($B$83)&gt;=0)),IF(B472=0,0,IF(C472=0,B472/ROUND($B$81*12,0),B472*(C472/12)/(1-(1+C472/12)^(-ROUND($B$81*12,0))))),IF(AND(NOT(AND(72&gt;$B$173,$B$78="Refinance",ISNUMBER($B$80),$B$80&gt;=0,$B$80&lt;=1,ROUND($B$81*12,0)&gt;=1,$B$81&lt;=100,SUM($B$82)&gt;=0,SUM($B$82)&lt;=1,SUM($B$83)&gt;=0)),OR(72=1,72=$B$174+1,AND($B$175&gt;0,72=$B$175+1))),IF(AND($B$170=1,$B$66&gt;0,OR($B$175=0,72&lt;=$B$175)),$B$66,IF($B$172-MAX(72-1,$B$174)&gt;0,IF(B472=0,0,IF(C472=0,B472/($B$172-MAX(72-1,$B$174)),B472*(C472/12)/(1-(1+C472/12)^(-($B$172-MAX(72-1,$B$174)))))),"")),D471))))),IF(IF(AND(72&lt;=$B$174,72&lt;=$B$173),B472*C472/12,IF(AND(72=$B$173+1,AND(72&gt;$B$173,$B$78="Refinance",ISNUMBER($B$80),$B$80&gt;=0,$B$80&lt;=1,ROUND($B$81*12,0)&gt;=1,$B$81&lt;=100,SUM($B$82)&gt;=0,SUM($B$82)&lt;=1,SUM($B$83)&gt;=0)),IF(B472=0,0,IF(C472=0,B472/ROUND($B$81*12,0),B472*(C472/12)/(1-(1+C472/12)^(-ROUND($B$81*12,0))))),IF(AND(NOT(AND(72&gt;$B$173,$B$78="Refinance",ISNUMBER($B$80),$B$80&gt;=0,$B$80&lt;=1,ROUND($B$81*12,0)&gt;=1,$B$81&lt;=100,SUM($B$82)&gt;=0,SUM($B$82)&lt;=1,SUM($B$83)&gt;=0)),OR(72=1,72=$B$174+1,AND($B$175&gt;0,72=$B$175+1))),IF(AND($B$170=1,$B$66&gt;0,OR($B$175=0,72&lt;=$B$175)),$B$66,IF($B$172-MAX(72-1,$B$174)&gt;0,IF(B472=0,0,IF(C472=0,B472/($B$172-MAX(72-1,$B$174)),B472*(C472/12)/(1-(1+C472/12)^(-($B$172-MAX(72-1,$B$174)))))),"")),D471)))+0.0000001&gt;=B472*C472/12,MIN(B472*(1+C472/12),IF(AND(72&lt;=$B$174,72&lt;=$B$173),B472*C472/12,IF(AND(72=$B$173+1,AND(72&gt;$B$173,$B$78="Refinance",ISNUMBER($B$80),$B$80&gt;=0,$B$80&lt;=1,ROUND($B$81*12,0)&gt;=1,$B$81&lt;=100,SUM($B$82)&gt;=0,SUM($B$82)&lt;=1,SUM($B$83)&gt;=0)),IF(B472=0,0,IF(C472=0,B472/ROUND($B$81*12,0),B472*(C472/12)/(1-(1+C472/12)^(-ROUND($B$81*12,0))))),IF(AND(NOT(AND(72&gt;$B$173,$B$78="Refinance",ISNUMBER($B$80),$B$80&gt;=0,$B$80&lt;=1,ROUND($B$81*12,0)&gt;=1,$B$81&lt;=100,SUM($B$82)&gt;=0,SUM($B$82)&lt;=1,SUM($B$83)&gt;=0)),OR(72=1,72=$B$174+1,AND($B$175&gt;0,72=$B$175+1))),IF(AND($B$170=1,$B$66&gt;0,OR($B$175=0,72&lt;=$B$175)),$B$66,IF($B$172-MAX(72-1,$B$174)&gt;0,IF(B472=0,0,IF(C472=0,B472/($B$172-MAX(72-1,$B$174)),B472*(C472/12)/(1-(1+C472/12)^(-($B$172-MAX(72-1,$B$174)))))),"")),D471)))),""),""))</x:f>
        <x:v>4679.450723240598</x:v>
      </x:c>
      <x:c r="E472" s="440" t="n">
        <x:f>IF(AND(72=$B$173,ISNUMBER(D472)),IF(MAX(0,B472*(1+C472/12)-D472)&lt;MAX(0.0000001,$E$17*0.00000000001),0,MAX(0,B472*(1+C472/12)-D472)),0)</x:f>
        <x:v>0</x:v>
      </x:c>
      <x:c r="F472" s="440" t="n">
        <x:f>IF($B$78="Cash payoff",E472,0)</x:f>
        <x:v>0</x:v>
      </x:c>
      <x:c r="G472" s="440" t="n">
        <x:f>IF(AND(E472&gt;0,AND($B$78="Refinance",ISNUMBER($B$80),$B$80&gt;=0,$B$80&lt;=1,ROUND($B$81*12,0)&gt;=1,$B$81&lt;=100,SUM($B$82)&gt;=0,SUM($B$82)&lt;=1,SUM($B$83)&gt;=0)),E472*SUM($B$82)+SUM($B$83),0)</x:f>
        <x:v>0</x:v>
      </x:c>
      <x:c r="H472" s="440" t="n">
        <x:f>IF(ISNUMBER(D472),IF(MAX(0,B472*(1+C472/12)-D472-F472)&lt;MAX(0.0000001,$E$17*0.00000000001),0,MAX(0,B472*(1+C472/12)-D472-F472)),IF(AND($B$171=1,I471=1),B472,""))</x:f>
        <x:v>697200.3263867765</x:v>
      </x:c>
      <x:c r="I472" s="444" t="n">
        <x:f>IF(OR(I471=1,AND(E472&gt;0,$B$78&lt;&gt;"Cash payoff",NOT(AND($B$78="Refinance",ISNUMBER($B$80),$B$80&gt;=0,$B$80&lt;=1,ROUND($B$81*12,0)&gt;=1,$B$81&lt;=100,SUM($B$82)&gt;=0,SUM($B$82)&lt;=1,SUM($B$83)&gt;=0))),AND(ISNUMBER(B472),B472&gt;0,$B$171=1,NOT(ISNUMBER(D472)))),1,0)</x:f>
        <x:v>0</x:v>
      </x:c>
      <x:c r="J472" s="440" t="n">
        <x:f>IF(ISNUMBER(L471),L471,"")</x:f>
        <x:v>0</x:v>
      </x:c>
      <x:c r="K472" s="440" t="n">
        <x:f>IF(AND(ISNUMBER(J472),J472=0),0,IF(AND($B$176=1,ISNUMBER(J472)),MIN(J472*(1+$B$87/12),IF($B$86=0,0,IF($B$87=0,$B$86/ROUND($B$88*12,0),$B$86*($B$87/12)/(1-(1+$B$87/12)^(-ROUND($B$88*12,0)))))),""))</x:f>
        <x:v>0</x:v>
      </x:c>
      <x:c r="L472" s="440" t="n">
        <x:f>IF(ISNUMBER(K472),IF(MAX(0,J472*(1+SUM($B$87)/12)-K472)&lt;MAX(0.0000001,$B$86*0.00000000001),0,MAX(0,J472*(1+SUM($B$87)/12)-K472)),"")</x:f>
        <x:v>0</x:v>
      </x:c>
      <x:c r="M472" s="440" t="n">
        <x:f>IF(AND(ISNUMBER(D472),ISNUMBER(K472)),D472+K472,"")</x:f>
        <x:v>4679.450723240598</x:v>
      </x:c>
      <x:c r="N472" s="440" t="n">
        <x:f>IF(AND(ISNUMBER(H472),ISNUMBER(L472)),H472+L472,"")</x:f>
        <x:v>697200.3263867765</x:v>
      </x:c>
    </x:row>
    <x:row r="473" ht="22" customHeight="1">
      <x:c r="A473" s="254" t="n">
        <x:f>73</x:f>
        <x:v>73</x:v>
      </x:c>
      <x:c r="B473" s="440" t="n">
        <x:f>IF(ISNUMBER(H472),H472,"")</x:f>
        <x:v>697200.3263867765</x:v>
      </x:c>
      <x:c r="C473" s="442" t="n">
        <x:f>IF(ISNUMBER(B473),IF(AND(73&gt;$B$173,$B$78="Refinance",ISNUMBER($B$80),$B$80&gt;=0,$B$80&lt;=1,ROUND($B$81*12,0)&gt;=1,$B$81&lt;=100,SUM($B$82)&gt;=0,SUM($B$82)&lt;=1,SUM($B$83)&gt;=0),$B$80,IF(AND($B$175&gt;0,73&gt;$B$175,ISNUMBER($B$75)),$B$75,$B$61)),"")</x:f>
        <x:v>0.0625</x:v>
      </x:c>
      <x:c r="D473" s="440" t="n">
        <x:f>IF(AND(ISNUMBER(B473),B473=0),0,IF(AND($B$171=1,I472=0,ISNUMBER(C473),ISNUMBER(IF(AND(73&lt;=$B$174,73&lt;=$B$173),B473*C473/12,IF(AND(73=$B$173+1,AND(73&gt;$B$173,$B$78="Refinance",ISNUMBER($B$80),$B$80&gt;=0,$B$80&lt;=1,ROUND($B$81*12,0)&gt;=1,$B$81&lt;=100,SUM($B$82)&gt;=0,SUM($B$82)&lt;=1,SUM($B$83)&gt;=0)),IF(B473=0,0,IF(C473=0,B473/ROUND($B$81*12,0),B473*(C473/12)/(1-(1+C473/12)^(-ROUND($B$81*12,0))))),IF(AND(NOT(AND(73&gt;$B$173,$B$78="Refinance",ISNUMBER($B$80),$B$80&gt;=0,$B$80&lt;=1,ROUND($B$81*12,0)&gt;=1,$B$81&lt;=100,SUM($B$82)&gt;=0,SUM($B$82)&lt;=1,SUM($B$83)&gt;=0)),OR(73=1,73=$B$174+1,AND($B$175&gt;0,73=$B$175+1))),IF(AND($B$170=1,$B$66&gt;0,OR($B$175=0,73&lt;=$B$175)),$B$66,IF($B$172-MAX(73-1,$B$174)&gt;0,IF(B473=0,0,IF(C473=0,B473/($B$172-MAX(73-1,$B$174)),B473*(C473/12)/(1-(1+C473/12)^(-($B$172-MAX(73-1,$B$174)))))),"")),D472))))),IF(IF(AND(73&lt;=$B$174,73&lt;=$B$173),B473*C473/12,IF(AND(73=$B$173+1,AND(73&gt;$B$173,$B$78="Refinance",ISNUMBER($B$80),$B$80&gt;=0,$B$80&lt;=1,ROUND($B$81*12,0)&gt;=1,$B$81&lt;=100,SUM($B$82)&gt;=0,SUM($B$82)&lt;=1,SUM($B$83)&gt;=0)),IF(B473=0,0,IF(C473=0,B473/ROUND($B$81*12,0),B473*(C473/12)/(1-(1+C473/12)^(-ROUND($B$81*12,0))))),IF(AND(NOT(AND(73&gt;$B$173,$B$78="Refinance",ISNUMBER($B$80),$B$80&gt;=0,$B$80&lt;=1,ROUND($B$81*12,0)&gt;=1,$B$81&lt;=100,SUM($B$82)&gt;=0,SUM($B$82)&lt;=1,SUM($B$83)&gt;=0)),OR(73=1,73=$B$174+1,AND($B$175&gt;0,73=$B$175+1))),IF(AND($B$170=1,$B$66&gt;0,OR($B$175=0,73&lt;=$B$175)),$B$66,IF($B$172-MAX(73-1,$B$174)&gt;0,IF(B473=0,0,IF(C473=0,B473/($B$172-MAX(73-1,$B$174)),B473*(C473/12)/(1-(1+C473/12)^(-($B$172-MAX(73-1,$B$174)))))),"")),D472)))+0.0000001&gt;=B473*C473/12,MIN(B473*(1+C473/12),IF(AND(73&lt;=$B$174,73&lt;=$B$173),B473*C473/12,IF(AND(73=$B$173+1,AND(73&gt;$B$173,$B$78="Refinance",ISNUMBER($B$80),$B$80&gt;=0,$B$80&lt;=1,ROUND($B$81*12,0)&gt;=1,$B$81&lt;=100,SUM($B$82)&gt;=0,SUM($B$82)&lt;=1,SUM($B$83)&gt;=0)),IF(B473=0,0,IF(C473=0,B473/ROUND($B$81*12,0),B473*(C473/12)/(1-(1+C473/12)^(-ROUND($B$81*12,0))))),IF(AND(NOT(AND(73&gt;$B$173,$B$78="Refinance",ISNUMBER($B$80),$B$80&gt;=0,$B$80&lt;=1,ROUND($B$81*12,0)&gt;=1,$B$81&lt;=100,SUM($B$82)&gt;=0,SUM($B$82)&lt;=1,SUM($B$83)&gt;=0)),OR(73=1,73=$B$174+1,AND($B$175&gt;0,73=$B$175+1))),IF(AND($B$170=1,$B$66&gt;0,OR($B$175=0,73&lt;=$B$175)),$B$66,IF($B$172-MAX(73-1,$B$174)&gt;0,IF(B473=0,0,IF(C473=0,B473/($B$172-MAX(73-1,$B$174)),B473*(C473/12)/(1-(1+C473/12)^(-($B$172-MAX(73-1,$B$174)))))),"")),D472)))),""),""))</x:f>
        <x:v>4679.450723240598</x:v>
      </x:c>
      <x:c r="E473" s="440" t="n">
        <x:f>IF(AND(73=$B$173,ISNUMBER(D473)),IF(MAX(0,B473*(1+C473/12)-D473)&lt;MAX(0.0000001,$E$17*0.00000000001),0,MAX(0,B473*(1+C473/12)-D473)),0)</x:f>
        <x:v>0</x:v>
      </x:c>
      <x:c r="F473" s="440" t="n">
        <x:f>IF($B$78="Cash payoff",E473,0)</x:f>
        <x:v>0</x:v>
      </x:c>
      <x:c r="G473" s="440" t="n">
        <x:f>IF(AND(E473&gt;0,AND($B$78="Refinance",ISNUMBER($B$80),$B$80&gt;=0,$B$80&lt;=1,ROUND($B$81*12,0)&gt;=1,$B$81&lt;=100,SUM($B$82)&gt;=0,SUM($B$82)&lt;=1,SUM($B$83)&gt;=0)),E473*SUM($B$82)+SUM($B$83),0)</x:f>
        <x:v>0</x:v>
      </x:c>
      <x:c r="H473" s="440" t="n">
        <x:f>IF(ISNUMBER(D473),IF(MAX(0,B473*(1+C473/12)-D473-F473)&lt;MAX(0.0000001,$E$17*0.00000000001),0,MAX(0,B473*(1+C473/12)-D473-F473)),IF(AND($B$171=1,I472=1),B473,""))</x:f>
        <x:v>696152.127363467</x:v>
      </x:c>
      <x:c r="I473" s="444" t="n">
        <x:f>IF(OR(I472=1,AND(E473&gt;0,$B$78&lt;&gt;"Cash payoff",NOT(AND($B$78="Refinance",ISNUMBER($B$80),$B$80&gt;=0,$B$80&lt;=1,ROUND($B$81*12,0)&gt;=1,$B$81&lt;=100,SUM($B$82)&gt;=0,SUM($B$82)&lt;=1,SUM($B$83)&gt;=0))),AND(ISNUMBER(B473),B473&gt;0,$B$171=1,NOT(ISNUMBER(D473)))),1,0)</x:f>
        <x:v>0</x:v>
      </x:c>
      <x:c r="J473" s="440" t="n">
        <x:f>IF(ISNUMBER(L472),L472,"")</x:f>
        <x:v>0</x:v>
      </x:c>
      <x:c r="K473" s="440" t="n">
        <x:f>IF(AND(ISNUMBER(J473),J473=0),0,IF(AND($B$176=1,ISNUMBER(J473)),MIN(J473*(1+$B$87/12),IF($B$86=0,0,IF($B$87=0,$B$86/ROUND($B$88*12,0),$B$86*($B$87/12)/(1-(1+$B$87/12)^(-ROUND($B$88*12,0)))))),""))</x:f>
        <x:v>0</x:v>
      </x:c>
      <x:c r="L473" s="440" t="n">
        <x:f>IF(ISNUMBER(K473),IF(MAX(0,J473*(1+SUM($B$87)/12)-K473)&lt;MAX(0.0000001,$B$86*0.00000000001),0,MAX(0,J473*(1+SUM($B$87)/12)-K473)),"")</x:f>
        <x:v>0</x:v>
      </x:c>
      <x:c r="M473" s="440" t="n">
        <x:f>IF(AND(ISNUMBER(D473),ISNUMBER(K473)),D473+K473,"")</x:f>
        <x:v>4679.450723240598</x:v>
      </x:c>
      <x:c r="N473" s="440" t="n">
        <x:f>IF(AND(ISNUMBER(H473),ISNUMBER(L473)),H473+L473,"")</x:f>
        <x:v>696152.127363467</x:v>
      </x:c>
    </x:row>
    <x:row r="474" ht="22" customHeight="1">
      <x:c r="A474" s="254" t="n">
        <x:f>74</x:f>
        <x:v>74</x:v>
      </x:c>
      <x:c r="B474" s="440" t="n">
        <x:f>IF(ISNUMBER(H473),H473,"")</x:f>
        <x:v>696152.127363467</x:v>
      </x:c>
      <x:c r="C474" s="442" t="n">
        <x:f>IF(ISNUMBER(B474),IF(AND(74&gt;$B$173,$B$78="Refinance",ISNUMBER($B$80),$B$80&gt;=0,$B$80&lt;=1,ROUND($B$81*12,0)&gt;=1,$B$81&lt;=100,SUM($B$82)&gt;=0,SUM($B$82)&lt;=1,SUM($B$83)&gt;=0),$B$80,IF(AND($B$175&gt;0,74&gt;$B$175,ISNUMBER($B$75)),$B$75,$B$61)),"")</x:f>
        <x:v>0.0625</x:v>
      </x:c>
      <x:c r="D474" s="440" t="n">
        <x:f>IF(AND(ISNUMBER(B474),B474=0),0,IF(AND($B$171=1,I473=0,ISNUMBER(C474),ISNUMBER(IF(AND(74&lt;=$B$174,74&lt;=$B$173),B474*C474/12,IF(AND(74=$B$173+1,AND(74&gt;$B$173,$B$78="Refinance",ISNUMBER($B$80),$B$80&gt;=0,$B$80&lt;=1,ROUND($B$81*12,0)&gt;=1,$B$81&lt;=100,SUM($B$82)&gt;=0,SUM($B$82)&lt;=1,SUM($B$83)&gt;=0)),IF(B474=0,0,IF(C474=0,B474/ROUND($B$81*12,0),B474*(C474/12)/(1-(1+C474/12)^(-ROUND($B$81*12,0))))),IF(AND(NOT(AND(74&gt;$B$173,$B$78="Refinance",ISNUMBER($B$80),$B$80&gt;=0,$B$80&lt;=1,ROUND($B$81*12,0)&gt;=1,$B$81&lt;=100,SUM($B$82)&gt;=0,SUM($B$82)&lt;=1,SUM($B$83)&gt;=0)),OR(74=1,74=$B$174+1,AND($B$175&gt;0,74=$B$175+1))),IF(AND($B$170=1,$B$66&gt;0,OR($B$175=0,74&lt;=$B$175)),$B$66,IF($B$172-MAX(74-1,$B$174)&gt;0,IF(B474=0,0,IF(C474=0,B474/($B$172-MAX(74-1,$B$174)),B474*(C474/12)/(1-(1+C474/12)^(-($B$172-MAX(74-1,$B$174)))))),"")),D473))))),IF(IF(AND(74&lt;=$B$174,74&lt;=$B$173),B474*C474/12,IF(AND(74=$B$173+1,AND(74&gt;$B$173,$B$78="Refinance",ISNUMBER($B$80),$B$80&gt;=0,$B$80&lt;=1,ROUND($B$81*12,0)&gt;=1,$B$81&lt;=100,SUM($B$82)&gt;=0,SUM($B$82)&lt;=1,SUM($B$83)&gt;=0)),IF(B474=0,0,IF(C474=0,B474/ROUND($B$81*12,0),B474*(C474/12)/(1-(1+C474/12)^(-ROUND($B$81*12,0))))),IF(AND(NOT(AND(74&gt;$B$173,$B$78="Refinance",ISNUMBER($B$80),$B$80&gt;=0,$B$80&lt;=1,ROUND($B$81*12,0)&gt;=1,$B$81&lt;=100,SUM($B$82)&gt;=0,SUM($B$82)&lt;=1,SUM($B$83)&gt;=0)),OR(74=1,74=$B$174+1,AND($B$175&gt;0,74=$B$175+1))),IF(AND($B$170=1,$B$66&gt;0,OR($B$175=0,74&lt;=$B$175)),$B$66,IF($B$172-MAX(74-1,$B$174)&gt;0,IF(B474=0,0,IF(C474=0,B474/($B$172-MAX(74-1,$B$174)),B474*(C474/12)/(1-(1+C474/12)^(-($B$172-MAX(74-1,$B$174)))))),"")),D473)))+0.0000001&gt;=B474*C474/12,MIN(B474*(1+C474/12),IF(AND(74&lt;=$B$174,74&lt;=$B$173),B474*C474/12,IF(AND(74=$B$173+1,AND(74&gt;$B$173,$B$78="Refinance",ISNUMBER($B$80),$B$80&gt;=0,$B$80&lt;=1,ROUND($B$81*12,0)&gt;=1,$B$81&lt;=100,SUM($B$82)&gt;=0,SUM($B$82)&lt;=1,SUM($B$83)&gt;=0)),IF(B474=0,0,IF(C474=0,B474/ROUND($B$81*12,0),B474*(C474/12)/(1-(1+C474/12)^(-ROUND($B$81*12,0))))),IF(AND(NOT(AND(74&gt;$B$173,$B$78="Refinance",ISNUMBER($B$80),$B$80&gt;=0,$B$80&lt;=1,ROUND($B$81*12,0)&gt;=1,$B$81&lt;=100,SUM($B$82)&gt;=0,SUM($B$82)&lt;=1,SUM($B$83)&gt;=0)),OR(74=1,74=$B$174+1,AND($B$175&gt;0,74=$B$175+1))),IF(AND($B$170=1,$B$66&gt;0,OR($B$175=0,74&lt;=$B$175)),$B$66,IF($B$172-MAX(74-1,$B$174)&gt;0,IF(B474=0,0,IF(C474=0,B474/($B$172-MAX(74-1,$B$174)),B474*(C474/12)/(1-(1+C474/12)^(-($B$172-MAX(74-1,$B$174)))))),"")),D473)))),""),""))</x:f>
        <x:v>4679.450723240598</x:v>
      </x:c>
      <x:c r="E474" s="440" t="n">
        <x:f>IF(AND(74=$B$173,ISNUMBER(D474)),IF(MAX(0,B474*(1+C474/12)-D474)&lt;MAX(0.0000001,$E$17*0.00000000001),0,MAX(0,B474*(1+C474/12)-D474)),0)</x:f>
        <x:v>0</x:v>
      </x:c>
      <x:c r="F474" s="440" t="n">
        <x:f>IF($B$78="Cash payoff",E474,0)</x:f>
        <x:v>0</x:v>
      </x:c>
      <x:c r="G474" s="440" t="n">
        <x:f>IF(AND(E474&gt;0,AND($B$78="Refinance",ISNUMBER($B$80),$B$80&gt;=0,$B$80&lt;=1,ROUND($B$81*12,0)&gt;=1,$B$81&lt;=100,SUM($B$82)&gt;=0,SUM($B$82)&lt;=1,SUM($B$83)&gt;=0)),E474*SUM($B$82)+SUM($B$83),0)</x:f>
        <x:v>0</x:v>
      </x:c>
      <x:c r="H474" s="440" t="n">
        <x:f>IF(ISNUMBER(D474),IF(MAX(0,B474*(1+C474/12)-D474-F474)&lt;MAX(0.0000001,$E$17*0.00000000001),0,MAX(0,B474*(1+C474/12)-D474-F474)),IF(AND($B$171=1,I473=1),B474,""))</x:f>
        <x:v>695098.4689702444</x:v>
      </x:c>
      <x:c r="I474" s="444" t="n">
        <x:f>IF(OR(I473=1,AND(E474&gt;0,$B$78&lt;&gt;"Cash payoff",NOT(AND($B$78="Refinance",ISNUMBER($B$80),$B$80&gt;=0,$B$80&lt;=1,ROUND($B$81*12,0)&gt;=1,$B$81&lt;=100,SUM($B$82)&gt;=0,SUM($B$82)&lt;=1,SUM($B$83)&gt;=0))),AND(ISNUMBER(B474),B474&gt;0,$B$171=1,NOT(ISNUMBER(D474)))),1,0)</x:f>
        <x:v>0</x:v>
      </x:c>
      <x:c r="J474" s="440" t="n">
        <x:f>IF(ISNUMBER(L473),L473,"")</x:f>
        <x:v>0</x:v>
      </x:c>
      <x:c r="K474" s="440" t="n">
        <x:f>IF(AND(ISNUMBER(J474),J474=0),0,IF(AND($B$176=1,ISNUMBER(J474)),MIN(J474*(1+$B$87/12),IF($B$86=0,0,IF($B$87=0,$B$86/ROUND($B$88*12,0),$B$86*($B$87/12)/(1-(1+$B$87/12)^(-ROUND($B$88*12,0)))))),""))</x:f>
        <x:v>0</x:v>
      </x:c>
      <x:c r="L474" s="440" t="n">
        <x:f>IF(ISNUMBER(K474),IF(MAX(0,J474*(1+SUM($B$87)/12)-K474)&lt;MAX(0.0000001,$B$86*0.00000000001),0,MAX(0,J474*(1+SUM($B$87)/12)-K474)),"")</x:f>
        <x:v>0</x:v>
      </x:c>
      <x:c r="M474" s="440" t="n">
        <x:f>IF(AND(ISNUMBER(D474),ISNUMBER(K474)),D474+K474,"")</x:f>
        <x:v>4679.450723240598</x:v>
      </x:c>
      <x:c r="N474" s="440" t="n">
        <x:f>IF(AND(ISNUMBER(H474),ISNUMBER(L474)),H474+L474,"")</x:f>
        <x:v>695098.4689702444</x:v>
      </x:c>
    </x:row>
    <x:row r="475" ht="22" customHeight="1">
      <x:c r="A475" s="254" t="n">
        <x:f>75</x:f>
        <x:v>75</x:v>
      </x:c>
      <x:c r="B475" s="440" t="n">
        <x:f>IF(ISNUMBER(H474),H474,"")</x:f>
        <x:v>695098.4689702444</x:v>
      </x:c>
      <x:c r="C475" s="442" t="n">
        <x:f>IF(ISNUMBER(B475),IF(AND(75&gt;$B$173,$B$78="Refinance",ISNUMBER($B$80),$B$80&gt;=0,$B$80&lt;=1,ROUND($B$81*12,0)&gt;=1,$B$81&lt;=100,SUM($B$82)&gt;=0,SUM($B$82)&lt;=1,SUM($B$83)&gt;=0),$B$80,IF(AND($B$175&gt;0,75&gt;$B$175,ISNUMBER($B$75)),$B$75,$B$61)),"")</x:f>
        <x:v>0.0625</x:v>
      </x:c>
      <x:c r="D475" s="440" t="n">
        <x:f>IF(AND(ISNUMBER(B475),B475=0),0,IF(AND($B$171=1,I474=0,ISNUMBER(C475),ISNUMBER(IF(AND(75&lt;=$B$174,75&lt;=$B$173),B475*C475/12,IF(AND(75=$B$173+1,AND(75&gt;$B$173,$B$78="Refinance",ISNUMBER($B$80),$B$80&gt;=0,$B$80&lt;=1,ROUND($B$81*12,0)&gt;=1,$B$81&lt;=100,SUM($B$82)&gt;=0,SUM($B$82)&lt;=1,SUM($B$83)&gt;=0)),IF(B475=0,0,IF(C475=0,B475/ROUND($B$81*12,0),B475*(C475/12)/(1-(1+C475/12)^(-ROUND($B$81*12,0))))),IF(AND(NOT(AND(75&gt;$B$173,$B$78="Refinance",ISNUMBER($B$80),$B$80&gt;=0,$B$80&lt;=1,ROUND($B$81*12,0)&gt;=1,$B$81&lt;=100,SUM($B$82)&gt;=0,SUM($B$82)&lt;=1,SUM($B$83)&gt;=0)),OR(75=1,75=$B$174+1,AND($B$175&gt;0,75=$B$175+1))),IF(AND($B$170=1,$B$66&gt;0,OR($B$175=0,75&lt;=$B$175)),$B$66,IF($B$172-MAX(75-1,$B$174)&gt;0,IF(B475=0,0,IF(C475=0,B475/($B$172-MAX(75-1,$B$174)),B475*(C475/12)/(1-(1+C475/12)^(-($B$172-MAX(75-1,$B$174)))))),"")),D474))))),IF(IF(AND(75&lt;=$B$174,75&lt;=$B$173),B475*C475/12,IF(AND(75=$B$173+1,AND(75&gt;$B$173,$B$78="Refinance",ISNUMBER($B$80),$B$80&gt;=0,$B$80&lt;=1,ROUND($B$81*12,0)&gt;=1,$B$81&lt;=100,SUM($B$82)&gt;=0,SUM($B$82)&lt;=1,SUM($B$83)&gt;=0)),IF(B475=0,0,IF(C475=0,B475/ROUND($B$81*12,0),B475*(C475/12)/(1-(1+C475/12)^(-ROUND($B$81*12,0))))),IF(AND(NOT(AND(75&gt;$B$173,$B$78="Refinance",ISNUMBER($B$80),$B$80&gt;=0,$B$80&lt;=1,ROUND($B$81*12,0)&gt;=1,$B$81&lt;=100,SUM($B$82)&gt;=0,SUM($B$82)&lt;=1,SUM($B$83)&gt;=0)),OR(75=1,75=$B$174+1,AND($B$175&gt;0,75=$B$175+1))),IF(AND($B$170=1,$B$66&gt;0,OR($B$175=0,75&lt;=$B$175)),$B$66,IF($B$172-MAX(75-1,$B$174)&gt;0,IF(B475=0,0,IF(C475=0,B475/($B$172-MAX(75-1,$B$174)),B475*(C475/12)/(1-(1+C475/12)^(-($B$172-MAX(75-1,$B$174)))))),"")),D474)))+0.0000001&gt;=B475*C475/12,MIN(B475*(1+C475/12),IF(AND(75&lt;=$B$174,75&lt;=$B$173),B475*C475/12,IF(AND(75=$B$173+1,AND(75&gt;$B$173,$B$78="Refinance",ISNUMBER($B$80),$B$80&gt;=0,$B$80&lt;=1,ROUND($B$81*12,0)&gt;=1,$B$81&lt;=100,SUM($B$82)&gt;=0,SUM($B$82)&lt;=1,SUM($B$83)&gt;=0)),IF(B475=0,0,IF(C475=0,B475/ROUND($B$81*12,0),B475*(C475/12)/(1-(1+C475/12)^(-ROUND($B$81*12,0))))),IF(AND(NOT(AND(75&gt;$B$173,$B$78="Refinance",ISNUMBER($B$80),$B$80&gt;=0,$B$80&lt;=1,ROUND($B$81*12,0)&gt;=1,$B$81&lt;=100,SUM($B$82)&gt;=0,SUM($B$82)&lt;=1,SUM($B$83)&gt;=0)),OR(75=1,75=$B$174+1,AND($B$175&gt;0,75=$B$175+1))),IF(AND($B$170=1,$B$66&gt;0,OR($B$175=0,75&lt;=$B$175)),$B$66,IF($B$172-MAX(75-1,$B$174)&gt;0,IF(B475=0,0,IF(C475=0,B475/($B$172-MAX(75-1,$B$174)),B475*(C475/12)/(1-(1+C475/12)^(-($B$172-MAX(75-1,$B$174)))))),"")),D474)))),""),""))</x:f>
        <x:v>4679.450723240598</x:v>
      </x:c>
      <x:c r="E475" s="440" t="n">
        <x:f>IF(AND(75=$B$173,ISNUMBER(D475)),IF(MAX(0,B475*(1+C475/12)-D475)&lt;MAX(0.0000001,$E$17*0.00000000001),0,MAX(0,B475*(1+C475/12)-D475)),0)</x:f>
        <x:v>0</x:v>
      </x:c>
      <x:c r="F475" s="440" t="n">
        <x:f>IF($B$78="Cash payoff",E475,0)</x:f>
        <x:v>0</x:v>
      </x:c>
      <x:c r="G475" s="440" t="n">
        <x:f>IF(AND(E475&gt;0,AND($B$78="Refinance",ISNUMBER($B$80),$B$80&gt;=0,$B$80&lt;=1,ROUND($B$81*12,0)&gt;=1,$B$81&lt;=100,SUM($B$82)&gt;=0,SUM($B$82)&lt;=1,SUM($B$83)&gt;=0)),E475*SUM($B$82)+SUM($B$83),0)</x:f>
        <x:v>0</x:v>
      </x:c>
      <x:c r="H475" s="440" t="n">
        <x:f>IF(ISNUMBER(D475),IF(MAX(0,B475*(1+C475/12)-D475-F475)&lt;MAX(0.0000001,$E$17*0.00000000001),0,MAX(0,B475*(1+C475/12)-D475-F475)),IF(AND($B$171=1,I474=1),B475,""))</x:f>
        <x:v>694039.3227728904</x:v>
      </x:c>
      <x:c r="I475" s="444" t="n">
        <x:f>IF(OR(I474=1,AND(E475&gt;0,$B$78&lt;&gt;"Cash payoff",NOT(AND($B$78="Refinance",ISNUMBER($B$80),$B$80&gt;=0,$B$80&lt;=1,ROUND($B$81*12,0)&gt;=1,$B$81&lt;=100,SUM($B$82)&gt;=0,SUM($B$82)&lt;=1,SUM($B$83)&gt;=0))),AND(ISNUMBER(B475),B475&gt;0,$B$171=1,NOT(ISNUMBER(D475)))),1,0)</x:f>
        <x:v>0</x:v>
      </x:c>
      <x:c r="J475" s="440" t="n">
        <x:f>IF(ISNUMBER(L474),L474,"")</x:f>
        <x:v>0</x:v>
      </x:c>
      <x:c r="K475" s="440" t="n">
        <x:f>IF(AND(ISNUMBER(J475),J475=0),0,IF(AND($B$176=1,ISNUMBER(J475)),MIN(J475*(1+$B$87/12),IF($B$86=0,0,IF($B$87=0,$B$86/ROUND($B$88*12,0),$B$86*($B$87/12)/(1-(1+$B$87/12)^(-ROUND($B$88*12,0)))))),""))</x:f>
        <x:v>0</x:v>
      </x:c>
      <x:c r="L475" s="440" t="n">
        <x:f>IF(ISNUMBER(K475),IF(MAX(0,J475*(1+SUM($B$87)/12)-K475)&lt;MAX(0.0000001,$B$86*0.00000000001),0,MAX(0,J475*(1+SUM($B$87)/12)-K475)),"")</x:f>
        <x:v>0</x:v>
      </x:c>
      <x:c r="M475" s="440" t="n">
        <x:f>IF(AND(ISNUMBER(D475),ISNUMBER(K475)),D475+K475,"")</x:f>
        <x:v>4679.450723240598</x:v>
      </x:c>
      <x:c r="N475" s="440" t="n">
        <x:f>IF(AND(ISNUMBER(H475),ISNUMBER(L475)),H475+L475,"")</x:f>
        <x:v>694039.3227728904</x:v>
      </x:c>
    </x:row>
    <x:row r="476" ht="22" customHeight="1">
      <x:c r="A476" s="254" t="n">
        <x:f>76</x:f>
        <x:v>76</x:v>
      </x:c>
      <x:c r="B476" s="440" t="n">
        <x:f>IF(ISNUMBER(H475),H475,"")</x:f>
        <x:v>694039.3227728904</x:v>
      </x:c>
      <x:c r="C476" s="442" t="n">
        <x:f>IF(ISNUMBER(B476),IF(AND(76&gt;$B$173,$B$78="Refinance",ISNUMBER($B$80),$B$80&gt;=0,$B$80&lt;=1,ROUND($B$81*12,0)&gt;=1,$B$81&lt;=100,SUM($B$82)&gt;=0,SUM($B$82)&lt;=1,SUM($B$83)&gt;=0),$B$80,IF(AND($B$175&gt;0,76&gt;$B$175,ISNUMBER($B$75)),$B$75,$B$61)),"")</x:f>
        <x:v>0.0625</x:v>
      </x:c>
      <x:c r="D476" s="440" t="n">
        <x:f>IF(AND(ISNUMBER(B476),B476=0),0,IF(AND($B$171=1,I475=0,ISNUMBER(C476),ISNUMBER(IF(AND(76&lt;=$B$174,76&lt;=$B$173),B476*C476/12,IF(AND(76=$B$173+1,AND(76&gt;$B$173,$B$78="Refinance",ISNUMBER($B$80),$B$80&gt;=0,$B$80&lt;=1,ROUND($B$81*12,0)&gt;=1,$B$81&lt;=100,SUM($B$82)&gt;=0,SUM($B$82)&lt;=1,SUM($B$83)&gt;=0)),IF(B476=0,0,IF(C476=0,B476/ROUND($B$81*12,0),B476*(C476/12)/(1-(1+C476/12)^(-ROUND($B$81*12,0))))),IF(AND(NOT(AND(76&gt;$B$173,$B$78="Refinance",ISNUMBER($B$80),$B$80&gt;=0,$B$80&lt;=1,ROUND($B$81*12,0)&gt;=1,$B$81&lt;=100,SUM($B$82)&gt;=0,SUM($B$82)&lt;=1,SUM($B$83)&gt;=0)),OR(76=1,76=$B$174+1,AND($B$175&gt;0,76=$B$175+1))),IF(AND($B$170=1,$B$66&gt;0,OR($B$175=0,76&lt;=$B$175)),$B$66,IF($B$172-MAX(76-1,$B$174)&gt;0,IF(B476=0,0,IF(C476=0,B476/($B$172-MAX(76-1,$B$174)),B476*(C476/12)/(1-(1+C476/12)^(-($B$172-MAX(76-1,$B$174)))))),"")),D475))))),IF(IF(AND(76&lt;=$B$174,76&lt;=$B$173),B476*C476/12,IF(AND(76=$B$173+1,AND(76&gt;$B$173,$B$78="Refinance",ISNUMBER($B$80),$B$80&gt;=0,$B$80&lt;=1,ROUND($B$81*12,0)&gt;=1,$B$81&lt;=100,SUM($B$82)&gt;=0,SUM($B$82)&lt;=1,SUM($B$83)&gt;=0)),IF(B476=0,0,IF(C476=0,B476/ROUND($B$81*12,0),B476*(C476/12)/(1-(1+C476/12)^(-ROUND($B$81*12,0))))),IF(AND(NOT(AND(76&gt;$B$173,$B$78="Refinance",ISNUMBER($B$80),$B$80&gt;=0,$B$80&lt;=1,ROUND($B$81*12,0)&gt;=1,$B$81&lt;=100,SUM($B$82)&gt;=0,SUM($B$82)&lt;=1,SUM($B$83)&gt;=0)),OR(76=1,76=$B$174+1,AND($B$175&gt;0,76=$B$175+1))),IF(AND($B$170=1,$B$66&gt;0,OR($B$175=0,76&lt;=$B$175)),$B$66,IF($B$172-MAX(76-1,$B$174)&gt;0,IF(B476=0,0,IF(C476=0,B476/($B$172-MAX(76-1,$B$174)),B476*(C476/12)/(1-(1+C476/12)^(-($B$172-MAX(76-1,$B$174)))))),"")),D475)))+0.0000001&gt;=B476*C476/12,MIN(B476*(1+C476/12),IF(AND(76&lt;=$B$174,76&lt;=$B$173),B476*C476/12,IF(AND(76=$B$173+1,AND(76&gt;$B$173,$B$78="Refinance",ISNUMBER($B$80),$B$80&gt;=0,$B$80&lt;=1,ROUND($B$81*12,0)&gt;=1,$B$81&lt;=100,SUM($B$82)&gt;=0,SUM($B$82)&lt;=1,SUM($B$83)&gt;=0)),IF(B476=0,0,IF(C476=0,B476/ROUND($B$81*12,0),B476*(C476/12)/(1-(1+C476/12)^(-ROUND($B$81*12,0))))),IF(AND(NOT(AND(76&gt;$B$173,$B$78="Refinance",ISNUMBER($B$80),$B$80&gt;=0,$B$80&lt;=1,ROUND($B$81*12,0)&gt;=1,$B$81&lt;=100,SUM($B$82)&gt;=0,SUM($B$82)&lt;=1,SUM($B$83)&gt;=0)),OR(76=1,76=$B$174+1,AND($B$175&gt;0,76=$B$175+1))),IF(AND($B$170=1,$B$66&gt;0,OR($B$175=0,76&lt;=$B$175)),$B$66,IF($B$172-MAX(76-1,$B$174)&gt;0,IF(B476=0,0,IF(C476=0,B476/($B$172-MAX(76-1,$B$174)),B476*(C476/12)/(1-(1+C476/12)^(-($B$172-MAX(76-1,$B$174)))))),"")),D475)))),""),""))</x:f>
        <x:v>4679.450723240598</x:v>
      </x:c>
      <x:c r="E476" s="440" t="n">
        <x:f>IF(AND(76=$B$173,ISNUMBER(D476)),IF(MAX(0,B476*(1+C476/12)-D476)&lt;MAX(0.0000001,$E$17*0.00000000001),0,MAX(0,B476*(1+C476/12)-D476)),0)</x:f>
        <x:v>0</x:v>
      </x:c>
      <x:c r="F476" s="440" t="n">
        <x:f>IF($B$78="Cash payoff",E476,0)</x:f>
        <x:v>0</x:v>
      </x:c>
      <x:c r="G476" s="440" t="n">
        <x:f>IF(AND(E476&gt;0,AND($B$78="Refinance",ISNUMBER($B$80),$B$80&gt;=0,$B$80&lt;=1,ROUND($B$81*12,0)&gt;=1,$B$81&lt;=100,SUM($B$82)&gt;=0,SUM($B$82)&lt;=1,SUM($B$83)&gt;=0)),E476*SUM($B$82)+SUM($B$83),0)</x:f>
        <x:v>0</x:v>
      </x:c>
      <x:c r="H476" s="440" t="n">
        <x:f>IF(ISNUMBER(D476),IF(MAX(0,B476*(1+C476/12)-D476-F476)&lt;MAX(0.0000001,$E$17*0.00000000001),0,MAX(0,B476*(1+C476/12)-D476-F476)),IF(AND($B$171=1,I475=1),B476,""))</x:f>
        <x:v>692974.6601890919</x:v>
      </x:c>
      <x:c r="I476" s="444" t="n">
        <x:f>IF(OR(I475=1,AND(E476&gt;0,$B$78&lt;&gt;"Cash payoff",NOT(AND($B$78="Refinance",ISNUMBER($B$80),$B$80&gt;=0,$B$80&lt;=1,ROUND($B$81*12,0)&gt;=1,$B$81&lt;=100,SUM($B$82)&gt;=0,SUM($B$82)&lt;=1,SUM($B$83)&gt;=0))),AND(ISNUMBER(B476),B476&gt;0,$B$171=1,NOT(ISNUMBER(D476)))),1,0)</x:f>
        <x:v>0</x:v>
      </x:c>
      <x:c r="J476" s="440" t="n">
        <x:f>IF(ISNUMBER(L475),L475,"")</x:f>
        <x:v>0</x:v>
      </x:c>
      <x:c r="K476" s="440" t="n">
        <x:f>IF(AND(ISNUMBER(J476),J476=0),0,IF(AND($B$176=1,ISNUMBER(J476)),MIN(J476*(1+$B$87/12),IF($B$86=0,0,IF($B$87=0,$B$86/ROUND($B$88*12,0),$B$86*($B$87/12)/(1-(1+$B$87/12)^(-ROUND($B$88*12,0)))))),""))</x:f>
        <x:v>0</x:v>
      </x:c>
      <x:c r="L476" s="440" t="n">
        <x:f>IF(ISNUMBER(K476),IF(MAX(0,J476*(1+SUM($B$87)/12)-K476)&lt;MAX(0.0000001,$B$86*0.00000000001),0,MAX(0,J476*(1+SUM($B$87)/12)-K476)),"")</x:f>
        <x:v>0</x:v>
      </x:c>
      <x:c r="M476" s="440" t="n">
        <x:f>IF(AND(ISNUMBER(D476),ISNUMBER(K476)),D476+K476,"")</x:f>
        <x:v>4679.450723240598</x:v>
      </x:c>
      <x:c r="N476" s="440" t="n">
        <x:f>IF(AND(ISNUMBER(H476),ISNUMBER(L476)),H476+L476,"")</x:f>
        <x:v>692974.6601890919</x:v>
      </x:c>
    </x:row>
    <x:row r="477" ht="22" customHeight="1">
      <x:c r="A477" s="254" t="n">
        <x:f>77</x:f>
        <x:v>77</x:v>
      </x:c>
      <x:c r="B477" s="440" t="n">
        <x:f>IF(ISNUMBER(H476),H476,"")</x:f>
        <x:v>692974.6601890919</x:v>
      </x:c>
      <x:c r="C477" s="442" t="n">
        <x:f>IF(ISNUMBER(B477),IF(AND(77&gt;$B$173,$B$78="Refinance",ISNUMBER($B$80),$B$80&gt;=0,$B$80&lt;=1,ROUND($B$81*12,0)&gt;=1,$B$81&lt;=100,SUM($B$82)&gt;=0,SUM($B$82)&lt;=1,SUM($B$83)&gt;=0),$B$80,IF(AND($B$175&gt;0,77&gt;$B$175,ISNUMBER($B$75)),$B$75,$B$61)),"")</x:f>
        <x:v>0.0625</x:v>
      </x:c>
      <x:c r="D477" s="440" t="n">
        <x:f>IF(AND(ISNUMBER(B477),B477=0),0,IF(AND($B$171=1,I476=0,ISNUMBER(C477),ISNUMBER(IF(AND(77&lt;=$B$174,77&lt;=$B$173),B477*C477/12,IF(AND(77=$B$173+1,AND(77&gt;$B$173,$B$78="Refinance",ISNUMBER($B$80),$B$80&gt;=0,$B$80&lt;=1,ROUND($B$81*12,0)&gt;=1,$B$81&lt;=100,SUM($B$82)&gt;=0,SUM($B$82)&lt;=1,SUM($B$83)&gt;=0)),IF(B477=0,0,IF(C477=0,B477/ROUND($B$81*12,0),B477*(C477/12)/(1-(1+C477/12)^(-ROUND($B$81*12,0))))),IF(AND(NOT(AND(77&gt;$B$173,$B$78="Refinance",ISNUMBER($B$80),$B$80&gt;=0,$B$80&lt;=1,ROUND($B$81*12,0)&gt;=1,$B$81&lt;=100,SUM($B$82)&gt;=0,SUM($B$82)&lt;=1,SUM($B$83)&gt;=0)),OR(77=1,77=$B$174+1,AND($B$175&gt;0,77=$B$175+1))),IF(AND($B$170=1,$B$66&gt;0,OR($B$175=0,77&lt;=$B$175)),$B$66,IF($B$172-MAX(77-1,$B$174)&gt;0,IF(B477=0,0,IF(C477=0,B477/($B$172-MAX(77-1,$B$174)),B477*(C477/12)/(1-(1+C477/12)^(-($B$172-MAX(77-1,$B$174)))))),"")),D476))))),IF(IF(AND(77&lt;=$B$174,77&lt;=$B$173),B477*C477/12,IF(AND(77=$B$173+1,AND(77&gt;$B$173,$B$78="Refinance",ISNUMBER($B$80),$B$80&gt;=0,$B$80&lt;=1,ROUND($B$81*12,0)&gt;=1,$B$81&lt;=100,SUM($B$82)&gt;=0,SUM($B$82)&lt;=1,SUM($B$83)&gt;=0)),IF(B477=0,0,IF(C477=0,B477/ROUND($B$81*12,0),B477*(C477/12)/(1-(1+C477/12)^(-ROUND($B$81*12,0))))),IF(AND(NOT(AND(77&gt;$B$173,$B$78="Refinance",ISNUMBER($B$80),$B$80&gt;=0,$B$80&lt;=1,ROUND($B$81*12,0)&gt;=1,$B$81&lt;=100,SUM($B$82)&gt;=0,SUM($B$82)&lt;=1,SUM($B$83)&gt;=0)),OR(77=1,77=$B$174+1,AND($B$175&gt;0,77=$B$175+1))),IF(AND($B$170=1,$B$66&gt;0,OR($B$175=0,77&lt;=$B$175)),$B$66,IF($B$172-MAX(77-1,$B$174)&gt;0,IF(B477=0,0,IF(C477=0,B477/($B$172-MAX(77-1,$B$174)),B477*(C477/12)/(1-(1+C477/12)^(-($B$172-MAX(77-1,$B$174)))))),"")),D476)))+0.0000001&gt;=B477*C477/12,MIN(B477*(1+C477/12),IF(AND(77&lt;=$B$174,77&lt;=$B$173),B477*C477/12,IF(AND(77=$B$173+1,AND(77&gt;$B$173,$B$78="Refinance",ISNUMBER($B$80),$B$80&gt;=0,$B$80&lt;=1,ROUND($B$81*12,0)&gt;=1,$B$81&lt;=100,SUM($B$82)&gt;=0,SUM($B$82)&lt;=1,SUM($B$83)&gt;=0)),IF(B477=0,0,IF(C477=0,B477/ROUND($B$81*12,0),B477*(C477/12)/(1-(1+C477/12)^(-ROUND($B$81*12,0))))),IF(AND(NOT(AND(77&gt;$B$173,$B$78="Refinance",ISNUMBER($B$80),$B$80&gt;=0,$B$80&lt;=1,ROUND($B$81*12,0)&gt;=1,$B$81&lt;=100,SUM($B$82)&gt;=0,SUM($B$82)&lt;=1,SUM($B$83)&gt;=0)),OR(77=1,77=$B$174+1,AND($B$175&gt;0,77=$B$175+1))),IF(AND($B$170=1,$B$66&gt;0,OR($B$175=0,77&lt;=$B$175)),$B$66,IF($B$172-MAX(77-1,$B$174)&gt;0,IF(B477=0,0,IF(C477=0,B477/($B$172-MAX(77-1,$B$174)),B477*(C477/12)/(1-(1+C477/12)^(-($B$172-MAX(77-1,$B$174)))))),"")),D476)))),""),""))</x:f>
        <x:v>4679.450723240598</x:v>
      </x:c>
      <x:c r="E477" s="440" t="n">
        <x:f>IF(AND(77=$B$173,ISNUMBER(D477)),IF(MAX(0,B477*(1+C477/12)-D477)&lt;MAX(0.0000001,$E$17*0.00000000001),0,MAX(0,B477*(1+C477/12)-D477)),0)</x:f>
        <x:v>0</x:v>
      </x:c>
      <x:c r="F477" s="440" t="n">
        <x:f>IF($B$78="Cash payoff",E477,0)</x:f>
        <x:v>0</x:v>
      </x:c>
      <x:c r="G477" s="440" t="n">
        <x:f>IF(AND(E477&gt;0,AND($B$78="Refinance",ISNUMBER($B$80),$B$80&gt;=0,$B$80&lt;=1,ROUND($B$81*12,0)&gt;=1,$B$81&lt;=100,SUM($B$82)&gt;=0,SUM($B$82)&lt;=1,SUM($B$83)&gt;=0)),E477*SUM($B$82)+SUM($B$83),0)</x:f>
        <x:v>0</x:v>
      </x:c>
      <x:c r="H477" s="440" t="n">
        <x:f>IF(ISNUMBER(D477),IF(MAX(0,B477*(1+C477/12)-D477-F477)&lt;MAX(0.0000001,$E$17*0.00000000001),0,MAX(0,B477*(1+C477/12)-D477-F477)),IF(AND($B$171=1,I476=1),B477,""))</x:f>
        <x:v>691904.4524876694</x:v>
      </x:c>
      <x:c r="I477" s="444" t="n">
        <x:f>IF(OR(I476=1,AND(E477&gt;0,$B$78&lt;&gt;"Cash payoff",NOT(AND($B$78="Refinance",ISNUMBER($B$80),$B$80&gt;=0,$B$80&lt;=1,ROUND($B$81*12,0)&gt;=1,$B$81&lt;=100,SUM($B$82)&gt;=0,SUM($B$82)&lt;=1,SUM($B$83)&gt;=0))),AND(ISNUMBER(B477),B477&gt;0,$B$171=1,NOT(ISNUMBER(D477)))),1,0)</x:f>
        <x:v>0</x:v>
      </x:c>
      <x:c r="J477" s="440" t="n">
        <x:f>IF(ISNUMBER(L476),L476,"")</x:f>
        <x:v>0</x:v>
      </x:c>
      <x:c r="K477" s="440" t="n">
        <x:f>IF(AND(ISNUMBER(J477),J477=0),0,IF(AND($B$176=1,ISNUMBER(J477)),MIN(J477*(1+$B$87/12),IF($B$86=0,0,IF($B$87=0,$B$86/ROUND($B$88*12,0),$B$86*($B$87/12)/(1-(1+$B$87/12)^(-ROUND($B$88*12,0)))))),""))</x:f>
        <x:v>0</x:v>
      </x:c>
      <x:c r="L477" s="440" t="n">
        <x:f>IF(ISNUMBER(K477),IF(MAX(0,J477*(1+SUM($B$87)/12)-K477)&lt;MAX(0.0000001,$B$86*0.00000000001),0,MAX(0,J477*(1+SUM($B$87)/12)-K477)),"")</x:f>
        <x:v>0</x:v>
      </x:c>
      <x:c r="M477" s="440" t="n">
        <x:f>IF(AND(ISNUMBER(D477),ISNUMBER(K477)),D477+K477,"")</x:f>
        <x:v>4679.450723240598</x:v>
      </x:c>
      <x:c r="N477" s="440" t="n">
        <x:f>IF(AND(ISNUMBER(H477),ISNUMBER(L477)),H477+L477,"")</x:f>
        <x:v>691904.4524876694</x:v>
      </x:c>
    </x:row>
    <x:row r="478" ht="22" customHeight="1">
      <x:c r="A478" s="254" t="n">
        <x:f>78</x:f>
        <x:v>78</x:v>
      </x:c>
      <x:c r="B478" s="440" t="n">
        <x:f>IF(ISNUMBER(H477),H477,"")</x:f>
        <x:v>691904.4524876694</x:v>
      </x:c>
      <x:c r="C478" s="442" t="n">
        <x:f>IF(ISNUMBER(B478),IF(AND(78&gt;$B$173,$B$78="Refinance",ISNUMBER($B$80),$B$80&gt;=0,$B$80&lt;=1,ROUND($B$81*12,0)&gt;=1,$B$81&lt;=100,SUM($B$82)&gt;=0,SUM($B$82)&lt;=1,SUM($B$83)&gt;=0),$B$80,IF(AND($B$175&gt;0,78&gt;$B$175,ISNUMBER($B$75)),$B$75,$B$61)),"")</x:f>
        <x:v>0.0625</x:v>
      </x:c>
      <x:c r="D478" s="440" t="n">
        <x:f>IF(AND(ISNUMBER(B478),B478=0),0,IF(AND($B$171=1,I477=0,ISNUMBER(C478),ISNUMBER(IF(AND(78&lt;=$B$174,78&lt;=$B$173),B478*C478/12,IF(AND(78=$B$173+1,AND(78&gt;$B$173,$B$78="Refinance",ISNUMBER($B$80),$B$80&gt;=0,$B$80&lt;=1,ROUND($B$81*12,0)&gt;=1,$B$81&lt;=100,SUM($B$82)&gt;=0,SUM($B$82)&lt;=1,SUM($B$83)&gt;=0)),IF(B478=0,0,IF(C478=0,B478/ROUND($B$81*12,0),B478*(C478/12)/(1-(1+C478/12)^(-ROUND($B$81*12,0))))),IF(AND(NOT(AND(78&gt;$B$173,$B$78="Refinance",ISNUMBER($B$80),$B$80&gt;=0,$B$80&lt;=1,ROUND($B$81*12,0)&gt;=1,$B$81&lt;=100,SUM($B$82)&gt;=0,SUM($B$82)&lt;=1,SUM($B$83)&gt;=0)),OR(78=1,78=$B$174+1,AND($B$175&gt;0,78=$B$175+1))),IF(AND($B$170=1,$B$66&gt;0,OR($B$175=0,78&lt;=$B$175)),$B$66,IF($B$172-MAX(78-1,$B$174)&gt;0,IF(B478=0,0,IF(C478=0,B478/($B$172-MAX(78-1,$B$174)),B478*(C478/12)/(1-(1+C478/12)^(-($B$172-MAX(78-1,$B$174)))))),"")),D477))))),IF(IF(AND(78&lt;=$B$174,78&lt;=$B$173),B478*C478/12,IF(AND(78=$B$173+1,AND(78&gt;$B$173,$B$78="Refinance",ISNUMBER($B$80),$B$80&gt;=0,$B$80&lt;=1,ROUND($B$81*12,0)&gt;=1,$B$81&lt;=100,SUM($B$82)&gt;=0,SUM($B$82)&lt;=1,SUM($B$83)&gt;=0)),IF(B478=0,0,IF(C478=0,B478/ROUND($B$81*12,0),B478*(C478/12)/(1-(1+C478/12)^(-ROUND($B$81*12,0))))),IF(AND(NOT(AND(78&gt;$B$173,$B$78="Refinance",ISNUMBER($B$80),$B$80&gt;=0,$B$80&lt;=1,ROUND($B$81*12,0)&gt;=1,$B$81&lt;=100,SUM($B$82)&gt;=0,SUM($B$82)&lt;=1,SUM($B$83)&gt;=0)),OR(78=1,78=$B$174+1,AND($B$175&gt;0,78=$B$175+1))),IF(AND($B$170=1,$B$66&gt;0,OR($B$175=0,78&lt;=$B$175)),$B$66,IF($B$172-MAX(78-1,$B$174)&gt;0,IF(B478=0,0,IF(C478=0,B478/($B$172-MAX(78-1,$B$174)),B478*(C478/12)/(1-(1+C478/12)^(-($B$172-MAX(78-1,$B$174)))))),"")),D477)))+0.0000001&gt;=B478*C478/12,MIN(B478*(1+C478/12),IF(AND(78&lt;=$B$174,78&lt;=$B$173),B478*C478/12,IF(AND(78=$B$173+1,AND(78&gt;$B$173,$B$78="Refinance",ISNUMBER($B$80),$B$80&gt;=0,$B$80&lt;=1,ROUND($B$81*12,0)&gt;=1,$B$81&lt;=100,SUM($B$82)&gt;=0,SUM($B$82)&lt;=1,SUM($B$83)&gt;=0)),IF(B478=0,0,IF(C478=0,B478/ROUND($B$81*12,0),B478*(C478/12)/(1-(1+C478/12)^(-ROUND($B$81*12,0))))),IF(AND(NOT(AND(78&gt;$B$173,$B$78="Refinance",ISNUMBER($B$80),$B$80&gt;=0,$B$80&lt;=1,ROUND($B$81*12,0)&gt;=1,$B$81&lt;=100,SUM($B$82)&gt;=0,SUM($B$82)&lt;=1,SUM($B$83)&gt;=0)),OR(78=1,78=$B$174+1,AND($B$175&gt;0,78=$B$175+1))),IF(AND($B$170=1,$B$66&gt;0,OR($B$175=0,78&lt;=$B$175)),$B$66,IF($B$172-MAX(78-1,$B$174)&gt;0,IF(B478=0,0,IF(C478=0,B478/($B$172-MAX(78-1,$B$174)),B478*(C478/12)/(1-(1+C478/12)^(-($B$172-MAX(78-1,$B$174)))))),"")),D477)))),""),""))</x:f>
        <x:v>4679.450723240598</x:v>
      </x:c>
      <x:c r="E478" s="440" t="n">
        <x:f>IF(AND(78=$B$173,ISNUMBER(D478)),IF(MAX(0,B478*(1+C478/12)-D478)&lt;MAX(0.0000001,$E$17*0.00000000001),0,MAX(0,B478*(1+C478/12)-D478)),0)</x:f>
        <x:v>0</x:v>
      </x:c>
      <x:c r="F478" s="440" t="n">
        <x:f>IF($B$78="Cash payoff",E478,0)</x:f>
        <x:v>0</x:v>
      </x:c>
      <x:c r="G478" s="440" t="n">
        <x:f>IF(AND(E478&gt;0,AND($B$78="Refinance",ISNUMBER($B$80),$B$80&gt;=0,$B$80&lt;=1,ROUND($B$81*12,0)&gt;=1,$B$81&lt;=100,SUM($B$82)&gt;=0,SUM($B$82)&lt;=1,SUM($B$83)&gt;=0)),E478*SUM($B$82)+SUM($B$83),0)</x:f>
        <x:v>0</x:v>
      </x:c>
      <x:c r="H478" s="440" t="n">
        <x:f>IF(ISNUMBER(D478),IF(MAX(0,B478*(1+C478/12)-D478-F478)&lt;MAX(0.0000001,$E$17*0.00000000001),0,MAX(0,B478*(1+C478/12)-D478-F478)),IF(AND($B$171=1,I477=1),B478,""))</x:f>
        <x:v>690828.6707878021</x:v>
      </x:c>
      <x:c r="I478" s="444" t="n">
        <x:f>IF(OR(I477=1,AND(E478&gt;0,$B$78&lt;&gt;"Cash payoff",NOT(AND($B$78="Refinance",ISNUMBER($B$80),$B$80&gt;=0,$B$80&lt;=1,ROUND($B$81*12,0)&gt;=1,$B$81&lt;=100,SUM($B$82)&gt;=0,SUM($B$82)&lt;=1,SUM($B$83)&gt;=0))),AND(ISNUMBER(B478),B478&gt;0,$B$171=1,NOT(ISNUMBER(D478)))),1,0)</x:f>
        <x:v>0</x:v>
      </x:c>
      <x:c r="J478" s="440" t="n">
        <x:f>IF(ISNUMBER(L477),L477,"")</x:f>
        <x:v>0</x:v>
      </x:c>
      <x:c r="K478" s="440" t="n">
        <x:f>IF(AND(ISNUMBER(J478),J478=0),0,IF(AND($B$176=1,ISNUMBER(J478)),MIN(J478*(1+$B$87/12),IF($B$86=0,0,IF($B$87=0,$B$86/ROUND($B$88*12,0),$B$86*($B$87/12)/(1-(1+$B$87/12)^(-ROUND($B$88*12,0)))))),""))</x:f>
        <x:v>0</x:v>
      </x:c>
      <x:c r="L478" s="440" t="n">
        <x:f>IF(ISNUMBER(K478),IF(MAX(0,J478*(1+SUM($B$87)/12)-K478)&lt;MAX(0.0000001,$B$86*0.00000000001),0,MAX(0,J478*(1+SUM($B$87)/12)-K478)),"")</x:f>
        <x:v>0</x:v>
      </x:c>
      <x:c r="M478" s="440" t="n">
        <x:f>IF(AND(ISNUMBER(D478),ISNUMBER(K478)),D478+K478,"")</x:f>
        <x:v>4679.450723240598</x:v>
      </x:c>
      <x:c r="N478" s="440" t="n">
        <x:f>IF(AND(ISNUMBER(H478),ISNUMBER(L478)),H478+L478,"")</x:f>
        <x:v>690828.6707878021</x:v>
      </x:c>
    </x:row>
    <x:row r="479" ht="22" customHeight="1">
      <x:c r="A479" s="254" t="n">
        <x:f>79</x:f>
        <x:v>79</x:v>
      </x:c>
      <x:c r="B479" s="440" t="n">
        <x:f>IF(ISNUMBER(H478),H478,"")</x:f>
        <x:v>690828.6707878021</x:v>
      </x:c>
      <x:c r="C479" s="442" t="n">
        <x:f>IF(ISNUMBER(B479),IF(AND(79&gt;$B$173,$B$78="Refinance",ISNUMBER($B$80),$B$80&gt;=0,$B$80&lt;=1,ROUND($B$81*12,0)&gt;=1,$B$81&lt;=100,SUM($B$82)&gt;=0,SUM($B$82)&lt;=1,SUM($B$83)&gt;=0),$B$80,IF(AND($B$175&gt;0,79&gt;$B$175,ISNUMBER($B$75)),$B$75,$B$61)),"")</x:f>
        <x:v>0.0625</x:v>
      </x:c>
      <x:c r="D479" s="440" t="n">
        <x:f>IF(AND(ISNUMBER(B479),B479=0),0,IF(AND($B$171=1,I478=0,ISNUMBER(C479),ISNUMBER(IF(AND(79&lt;=$B$174,79&lt;=$B$173),B479*C479/12,IF(AND(79=$B$173+1,AND(79&gt;$B$173,$B$78="Refinance",ISNUMBER($B$80),$B$80&gt;=0,$B$80&lt;=1,ROUND($B$81*12,0)&gt;=1,$B$81&lt;=100,SUM($B$82)&gt;=0,SUM($B$82)&lt;=1,SUM($B$83)&gt;=0)),IF(B479=0,0,IF(C479=0,B479/ROUND($B$81*12,0),B479*(C479/12)/(1-(1+C479/12)^(-ROUND($B$81*12,0))))),IF(AND(NOT(AND(79&gt;$B$173,$B$78="Refinance",ISNUMBER($B$80),$B$80&gt;=0,$B$80&lt;=1,ROUND($B$81*12,0)&gt;=1,$B$81&lt;=100,SUM($B$82)&gt;=0,SUM($B$82)&lt;=1,SUM($B$83)&gt;=0)),OR(79=1,79=$B$174+1,AND($B$175&gt;0,79=$B$175+1))),IF(AND($B$170=1,$B$66&gt;0,OR($B$175=0,79&lt;=$B$175)),$B$66,IF($B$172-MAX(79-1,$B$174)&gt;0,IF(B479=0,0,IF(C479=0,B479/($B$172-MAX(79-1,$B$174)),B479*(C479/12)/(1-(1+C479/12)^(-($B$172-MAX(79-1,$B$174)))))),"")),D478))))),IF(IF(AND(79&lt;=$B$174,79&lt;=$B$173),B479*C479/12,IF(AND(79=$B$173+1,AND(79&gt;$B$173,$B$78="Refinance",ISNUMBER($B$80),$B$80&gt;=0,$B$80&lt;=1,ROUND($B$81*12,0)&gt;=1,$B$81&lt;=100,SUM($B$82)&gt;=0,SUM($B$82)&lt;=1,SUM($B$83)&gt;=0)),IF(B479=0,0,IF(C479=0,B479/ROUND($B$81*12,0),B479*(C479/12)/(1-(1+C479/12)^(-ROUND($B$81*12,0))))),IF(AND(NOT(AND(79&gt;$B$173,$B$78="Refinance",ISNUMBER($B$80),$B$80&gt;=0,$B$80&lt;=1,ROUND($B$81*12,0)&gt;=1,$B$81&lt;=100,SUM($B$82)&gt;=0,SUM($B$82)&lt;=1,SUM($B$83)&gt;=0)),OR(79=1,79=$B$174+1,AND($B$175&gt;0,79=$B$175+1))),IF(AND($B$170=1,$B$66&gt;0,OR($B$175=0,79&lt;=$B$175)),$B$66,IF($B$172-MAX(79-1,$B$174)&gt;0,IF(B479=0,0,IF(C479=0,B479/($B$172-MAX(79-1,$B$174)),B479*(C479/12)/(1-(1+C479/12)^(-($B$172-MAX(79-1,$B$174)))))),"")),D478)))+0.0000001&gt;=B479*C479/12,MIN(B479*(1+C479/12),IF(AND(79&lt;=$B$174,79&lt;=$B$173),B479*C479/12,IF(AND(79=$B$173+1,AND(79&gt;$B$173,$B$78="Refinance",ISNUMBER($B$80),$B$80&gt;=0,$B$80&lt;=1,ROUND($B$81*12,0)&gt;=1,$B$81&lt;=100,SUM($B$82)&gt;=0,SUM($B$82)&lt;=1,SUM($B$83)&gt;=0)),IF(B479=0,0,IF(C479=0,B479/ROUND($B$81*12,0),B479*(C479/12)/(1-(1+C479/12)^(-ROUND($B$81*12,0))))),IF(AND(NOT(AND(79&gt;$B$173,$B$78="Refinance",ISNUMBER($B$80),$B$80&gt;=0,$B$80&lt;=1,ROUND($B$81*12,0)&gt;=1,$B$81&lt;=100,SUM($B$82)&gt;=0,SUM($B$82)&lt;=1,SUM($B$83)&gt;=0)),OR(79=1,79=$B$174+1,AND($B$175&gt;0,79=$B$175+1))),IF(AND($B$170=1,$B$66&gt;0,OR($B$175=0,79&lt;=$B$175)),$B$66,IF($B$172-MAX(79-1,$B$174)&gt;0,IF(B479=0,0,IF(C479=0,B479/($B$172-MAX(79-1,$B$174)),B479*(C479/12)/(1-(1+C479/12)^(-($B$172-MAX(79-1,$B$174)))))),"")),D478)))),""),""))</x:f>
        <x:v>4679.450723240598</x:v>
      </x:c>
      <x:c r="E479" s="440" t="n">
        <x:f>IF(AND(79=$B$173,ISNUMBER(D479)),IF(MAX(0,B479*(1+C479/12)-D479)&lt;MAX(0.0000001,$E$17*0.00000000001),0,MAX(0,B479*(1+C479/12)-D479)),0)</x:f>
        <x:v>0</x:v>
      </x:c>
      <x:c r="F479" s="440" t="n">
        <x:f>IF($B$78="Cash payoff",E479,0)</x:f>
        <x:v>0</x:v>
      </x:c>
      <x:c r="G479" s="440" t="n">
        <x:f>IF(AND(E479&gt;0,AND($B$78="Refinance",ISNUMBER($B$80),$B$80&gt;=0,$B$80&lt;=1,ROUND($B$81*12,0)&gt;=1,$B$81&lt;=100,SUM($B$82)&gt;=0,SUM($B$82)&lt;=1,SUM($B$83)&gt;=0)),E479*SUM($B$82)+SUM($B$83),0)</x:f>
        <x:v>0</x:v>
      </x:c>
      <x:c r="H479" s="440" t="n">
        <x:f>IF(ISNUMBER(D479),IF(MAX(0,B479*(1+C479/12)-D479-F479)&lt;MAX(0.0000001,$E$17*0.00000000001),0,MAX(0,B479*(1+C479/12)-D479-F479)),IF(AND($B$171=1,I478=1),B479,""))</x:f>
        <x:v>689747.2860582479</x:v>
      </x:c>
      <x:c r="I479" s="444" t="n">
        <x:f>IF(OR(I478=1,AND(E479&gt;0,$B$78&lt;&gt;"Cash payoff",NOT(AND($B$78="Refinance",ISNUMBER($B$80),$B$80&gt;=0,$B$80&lt;=1,ROUND($B$81*12,0)&gt;=1,$B$81&lt;=100,SUM($B$82)&gt;=0,SUM($B$82)&lt;=1,SUM($B$83)&gt;=0))),AND(ISNUMBER(B479),B479&gt;0,$B$171=1,NOT(ISNUMBER(D479)))),1,0)</x:f>
        <x:v>0</x:v>
      </x:c>
      <x:c r="J479" s="440" t="n">
        <x:f>IF(ISNUMBER(L478),L478,"")</x:f>
        <x:v>0</x:v>
      </x:c>
      <x:c r="K479" s="440" t="n">
        <x:f>IF(AND(ISNUMBER(J479),J479=0),0,IF(AND($B$176=1,ISNUMBER(J479)),MIN(J479*(1+$B$87/12),IF($B$86=0,0,IF($B$87=0,$B$86/ROUND($B$88*12,0),$B$86*($B$87/12)/(1-(1+$B$87/12)^(-ROUND($B$88*12,0)))))),""))</x:f>
        <x:v>0</x:v>
      </x:c>
      <x:c r="L479" s="440" t="n">
        <x:f>IF(ISNUMBER(K479),IF(MAX(0,J479*(1+SUM($B$87)/12)-K479)&lt;MAX(0.0000001,$B$86*0.00000000001),0,MAX(0,J479*(1+SUM($B$87)/12)-K479)),"")</x:f>
        <x:v>0</x:v>
      </x:c>
      <x:c r="M479" s="440" t="n">
        <x:f>IF(AND(ISNUMBER(D479),ISNUMBER(K479)),D479+K479,"")</x:f>
        <x:v>4679.450723240598</x:v>
      </x:c>
      <x:c r="N479" s="440" t="n">
        <x:f>IF(AND(ISNUMBER(H479),ISNUMBER(L479)),H479+L479,"")</x:f>
        <x:v>689747.2860582479</x:v>
      </x:c>
    </x:row>
    <x:row r="480" ht="22" customHeight="1">
      <x:c r="A480" s="254" t="n">
        <x:f>80</x:f>
        <x:v>80</x:v>
      </x:c>
      <x:c r="B480" s="440" t="n">
        <x:f>IF(ISNUMBER(H479),H479,"")</x:f>
        <x:v>689747.2860582479</x:v>
      </x:c>
      <x:c r="C480" s="442" t="n">
        <x:f>IF(ISNUMBER(B480),IF(AND(80&gt;$B$173,$B$78="Refinance",ISNUMBER($B$80),$B$80&gt;=0,$B$80&lt;=1,ROUND($B$81*12,0)&gt;=1,$B$81&lt;=100,SUM($B$82)&gt;=0,SUM($B$82)&lt;=1,SUM($B$83)&gt;=0),$B$80,IF(AND($B$175&gt;0,80&gt;$B$175,ISNUMBER($B$75)),$B$75,$B$61)),"")</x:f>
        <x:v>0.0625</x:v>
      </x:c>
      <x:c r="D480" s="440" t="n">
        <x:f>IF(AND(ISNUMBER(B480),B480=0),0,IF(AND($B$171=1,I479=0,ISNUMBER(C480),ISNUMBER(IF(AND(80&lt;=$B$174,80&lt;=$B$173),B480*C480/12,IF(AND(80=$B$173+1,AND(80&gt;$B$173,$B$78="Refinance",ISNUMBER($B$80),$B$80&gt;=0,$B$80&lt;=1,ROUND($B$81*12,0)&gt;=1,$B$81&lt;=100,SUM($B$82)&gt;=0,SUM($B$82)&lt;=1,SUM($B$83)&gt;=0)),IF(B480=0,0,IF(C480=0,B480/ROUND($B$81*12,0),B480*(C480/12)/(1-(1+C480/12)^(-ROUND($B$81*12,0))))),IF(AND(NOT(AND(80&gt;$B$173,$B$78="Refinance",ISNUMBER($B$80),$B$80&gt;=0,$B$80&lt;=1,ROUND($B$81*12,0)&gt;=1,$B$81&lt;=100,SUM($B$82)&gt;=0,SUM($B$82)&lt;=1,SUM($B$83)&gt;=0)),OR(80=1,80=$B$174+1,AND($B$175&gt;0,80=$B$175+1))),IF(AND($B$170=1,$B$66&gt;0,OR($B$175=0,80&lt;=$B$175)),$B$66,IF($B$172-MAX(80-1,$B$174)&gt;0,IF(B480=0,0,IF(C480=0,B480/($B$172-MAX(80-1,$B$174)),B480*(C480/12)/(1-(1+C480/12)^(-($B$172-MAX(80-1,$B$174)))))),"")),D479))))),IF(IF(AND(80&lt;=$B$174,80&lt;=$B$173),B480*C480/12,IF(AND(80=$B$173+1,AND(80&gt;$B$173,$B$78="Refinance",ISNUMBER($B$80),$B$80&gt;=0,$B$80&lt;=1,ROUND($B$81*12,0)&gt;=1,$B$81&lt;=100,SUM($B$82)&gt;=0,SUM($B$82)&lt;=1,SUM($B$83)&gt;=0)),IF(B480=0,0,IF(C480=0,B480/ROUND($B$81*12,0),B480*(C480/12)/(1-(1+C480/12)^(-ROUND($B$81*12,0))))),IF(AND(NOT(AND(80&gt;$B$173,$B$78="Refinance",ISNUMBER($B$80),$B$80&gt;=0,$B$80&lt;=1,ROUND($B$81*12,0)&gt;=1,$B$81&lt;=100,SUM($B$82)&gt;=0,SUM($B$82)&lt;=1,SUM($B$83)&gt;=0)),OR(80=1,80=$B$174+1,AND($B$175&gt;0,80=$B$175+1))),IF(AND($B$170=1,$B$66&gt;0,OR($B$175=0,80&lt;=$B$175)),$B$66,IF($B$172-MAX(80-1,$B$174)&gt;0,IF(B480=0,0,IF(C480=0,B480/($B$172-MAX(80-1,$B$174)),B480*(C480/12)/(1-(1+C480/12)^(-($B$172-MAX(80-1,$B$174)))))),"")),D479)))+0.0000001&gt;=B480*C480/12,MIN(B480*(1+C480/12),IF(AND(80&lt;=$B$174,80&lt;=$B$173),B480*C480/12,IF(AND(80=$B$173+1,AND(80&gt;$B$173,$B$78="Refinance",ISNUMBER($B$80),$B$80&gt;=0,$B$80&lt;=1,ROUND($B$81*12,0)&gt;=1,$B$81&lt;=100,SUM($B$82)&gt;=0,SUM($B$82)&lt;=1,SUM($B$83)&gt;=0)),IF(B480=0,0,IF(C480=0,B480/ROUND($B$81*12,0),B480*(C480/12)/(1-(1+C480/12)^(-ROUND($B$81*12,0))))),IF(AND(NOT(AND(80&gt;$B$173,$B$78="Refinance",ISNUMBER($B$80),$B$80&gt;=0,$B$80&lt;=1,ROUND($B$81*12,0)&gt;=1,$B$81&lt;=100,SUM($B$82)&gt;=0,SUM($B$82)&lt;=1,SUM($B$83)&gt;=0)),OR(80=1,80=$B$174+1,AND($B$175&gt;0,80=$B$175+1))),IF(AND($B$170=1,$B$66&gt;0,OR($B$175=0,80&lt;=$B$175)),$B$66,IF($B$172-MAX(80-1,$B$174)&gt;0,IF(B480=0,0,IF(C480=0,B480/($B$172-MAX(80-1,$B$174)),B480*(C480/12)/(1-(1+C480/12)^(-($B$172-MAX(80-1,$B$174)))))),"")),D479)))),""),""))</x:f>
        <x:v>4679.450723240598</x:v>
      </x:c>
      <x:c r="E480" s="440" t="n">
        <x:f>IF(AND(80=$B$173,ISNUMBER(D480)),IF(MAX(0,B480*(1+C480/12)-D480)&lt;MAX(0.0000001,$E$17*0.00000000001),0,MAX(0,B480*(1+C480/12)-D480)),0)</x:f>
        <x:v>0</x:v>
      </x:c>
      <x:c r="F480" s="440" t="n">
        <x:f>IF($B$78="Cash payoff",E480,0)</x:f>
        <x:v>0</x:v>
      </x:c>
      <x:c r="G480" s="440" t="n">
        <x:f>IF(AND(E480&gt;0,AND($B$78="Refinance",ISNUMBER($B$80),$B$80&gt;=0,$B$80&lt;=1,ROUND($B$81*12,0)&gt;=1,$B$81&lt;=100,SUM($B$82)&gt;=0,SUM($B$82)&lt;=1,SUM($B$83)&gt;=0)),E480*SUM($B$82)+SUM($B$83),0)</x:f>
        <x:v>0</x:v>
      </x:c>
      <x:c r="H480" s="440" t="n">
        <x:f>IF(ISNUMBER(D480),IF(MAX(0,B480*(1+C480/12)-D480-F480)&lt;MAX(0.0000001,$E$17*0.00000000001),0,MAX(0,B480*(1+C480/12)-D480-F480)),IF(AND($B$171=1,I479=1),B480,""))</x:f>
        <x:v>688660.2691165606</x:v>
      </x:c>
      <x:c r="I480" s="444" t="n">
        <x:f>IF(OR(I479=1,AND(E480&gt;0,$B$78&lt;&gt;"Cash payoff",NOT(AND($B$78="Refinance",ISNUMBER($B$80),$B$80&gt;=0,$B$80&lt;=1,ROUND($B$81*12,0)&gt;=1,$B$81&lt;=100,SUM($B$82)&gt;=0,SUM($B$82)&lt;=1,SUM($B$83)&gt;=0))),AND(ISNUMBER(B480),B480&gt;0,$B$171=1,NOT(ISNUMBER(D480)))),1,0)</x:f>
        <x:v>0</x:v>
      </x:c>
      <x:c r="J480" s="440" t="n">
        <x:f>IF(ISNUMBER(L479),L479,"")</x:f>
        <x:v>0</x:v>
      </x:c>
      <x:c r="K480" s="440" t="n">
        <x:f>IF(AND(ISNUMBER(J480),J480=0),0,IF(AND($B$176=1,ISNUMBER(J480)),MIN(J480*(1+$B$87/12),IF($B$86=0,0,IF($B$87=0,$B$86/ROUND($B$88*12,0),$B$86*($B$87/12)/(1-(1+$B$87/12)^(-ROUND($B$88*12,0)))))),""))</x:f>
        <x:v>0</x:v>
      </x:c>
      <x:c r="L480" s="440" t="n">
        <x:f>IF(ISNUMBER(K480),IF(MAX(0,J480*(1+SUM($B$87)/12)-K480)&lt;MAX(0.0000001,$B$86*0.00000000001),0,MAX(0,J480*(1+SUM($B$87)/12)-K480)),"")</x:f>
        <x:v>0</x:v>
      </x:c>
      <x:c r="M480" s="440" t="n">
        <x:f>IF(AND(ISNUMBER(D480),ISNUMBER(K480)),D480+K480,"")</x:f>
        <x:v>4679.450723240598</x:v>
      </x:c>
      <x:c r="N480" s="440" t="n">
        <x:f>IF(AND(ISNUMBER(H480),ISNUMBER(L480)),H480+L480,"")</x:f>
        <x:v>688660.2691165606</x:v>
      </x:c>
    </x:row>
    <x:row r="481" ht="22" customHeight="1">
      <x:c r="A481" s="254" t="n">
        <x:f>81</x:f>
        <x:v>81</x:v>
      </x:c>
      <x:c r="B481" s="440" t="n">
        <x:f>IF(ISNUMBER(H480),H480,"")</x:f>
        <x:v>688660.2691165606</x:v>
      </x:c>
      <x:c r="C481" s="442" t="n">
        <x:f>IF(ISNUMBER(B481),IF(AND(81&gt;$B$173,$B$78="Refinance",ISNUMBER($B$80),$B$80&gt;=0,$B$80&lt;=1,ROUND($B$81*12,0)&gt;=1,$B$81&lt;=100,SUM($B$82)&gt;=0,SUM($B$82)&lt;=1,SUM($B$83)&gt;=0),$B$80,IF(AND($B$175&gt;0,81&gt;$B$175,ISNUMBER($B$75)),$B$75,$B$61)),"")</x:f>
        <x:v>0.0625</x:v>
      </x:c>
      <x:c r="D481" s="440" t="n">
        <x:f>IF(AND(ISNUMBER(B481),B481=0),0,IF(AND($B$171=1,I480=0,ISNUMBER(C481),ISNUMBER(IF(AND(81&lt;=$B$174,81&lt;=$B$173),B481*C481/12,IF(AND(81=$B$173+1,AND(81&gt;$B$173,$B$78="Refinance",ISNUMBER($B$80),$B$80&gt;=0,$B$80&lt;=1,ROUND($B$81*12,0)&gt;=1,$B$81&lt;=100,SUM($B$82)&gt;=0,SUM($B$82)&lt;=1,SUM($B$83)&gt;=0)),IF(B481=0,0,IF(C481=0,B481/ROUND($B$81*12,0),B481*(C481/12)/(1-(1+C481/12)^(-ROUND($B$81*12,0))))),IF(AND(NOT(AND(81&gt;$B$173,$B$78="Refinance",ISNUMBER($B$80),$B$80&gt;=0,$B$80&lt;=1,ROUND($B$81*12,0)&gt;=1,$B$81&lt;=100,SUM($B$82)&gt;=0,SUM($B$82)&lt;=1,SUM($B$83)&gt;=0)),OR(81=1,81=$B$174+1,AND($B$175&gt;0,81=$B$175+1))),IF(AND($B$170=1,$B$66&gt;0,OR($B$175=0,81&lt;=$B$175)),$B$66,IF($B$172-MAX(81-1,$B$174)&gt;0,IF(B481=0,0,IF(C481=0,B481/($B$172-MAX(81-1,$B$174)),B481*(C481/12)/(1-(1+C481/12)^(-($B$172-MAX(81-1,$B$174)))))),"")),D480))))),IF(IF(AND(81&lt;=$B$174,81&lt;=$B$173),B481*C481/12,IF(AND(81=$B$173+1,AND(81&gt;$B$173,$B$78="Refinance",ISNUMBER($B$80),$B$80&gt;=0,$B$80&lt;=1,ROUND($B$81*12,0)&gt;=1,$B$81&lt;=100,SUM($B$82)&gt;=0,SUM($B$82)&lt;=1,SUM($B$83)&gt;=0)),IF(B481=0,0,IF(C481=0,B481/ROUND($B$81*12,0),B481*(C481/12)/(1-(1+C481/12)^(-ROUND($B$81*12,0))))),IF(AND(NOT(AND(81&gt;$B$173,$B$78="Refinance",ISNUMBER($B$80),$B$80&gt;=0,$B$80&lt;=1,ROUND($B$81*12,0)&gt;=1,$B$81&lt;=100,SUM($B$82)&gt;=0,SUM($B$82)&lt;=1,SUM($B$83)&gt;=0)),OR(81=1,81=$B$174+1,AND($B$175&gt;0,81=$B$175+1))),IF(AND($B$170=1,$B$66&gt;0,OR($B$175=0,81&lt;=$B$175)),$B$66,IF($B$172-MAX(81-1,$B$174)&gt;0,IF(B481=0,0,IF(C481=0,B481/($B$172-MAX(81-1,$B$174)),B481*(C481/12)/(1-(1+C481/12)^(-($B$172-MAX(81-1,$B$174)))))),"")),D480)))+0.0000001&gt;=B481*C481/12,MIN(B481*(1+C481/12),IF(AND(81&lt;=$B$174,81&lt;=$B$173),B481*C481/12,IF(AND(81=$B$173+1,AND(81&gt;$B$173,$B$78="Refinance",ISNUMBER($B$80),$B$80&gt;=0,$B$80&lt;=1,ROUND($B$81*12,0)&gt;=1,$B$81&lt;=100,SUM($B$82)&gt;=0,SUM($B$82)&lt;=1,SUM($B$83)&gt;=0)),IF(B481=0,0,IF(C481=0,B481/ROUND($B$81*12,0),B481*(C481/12)/(1-(1+C481/12)^(-ROUND($B$81*12,0))))),IF(AND(NOT(AND(81&gt;$B$173,$B$78="Refinance",ISNUMBER($B$80),$B$80&gt;=0,$B$80&lt;=1,ROUND($B$81*12,0)&gt;=1,$B$81&lt;=100,SUM($B$82)&gt;=0,SUM($B$82)&lt;=1,SUM($B$83)&gt;=0)),OR(81=1,81=$B$174+1,AND($B$175&gt;0,81=$B$175+1))),IF(AND($B$170=1,$B$66&gt;0,OR($B$175=0,81&lt;=$B$175)),$B$66,IF($B$172-MAX(81-1,$B$174)&gt;0,IF(B481=0,0,IF(C481=0,B481/($B$172-MAX(81-1,$B$174)),B481*(C481/12)/(1-(1+C481/12)^(-($B$172-MAX(81-1,$B$174)))))),"")),D480)))),""),""))</x:f>
        <x:v>4679.450723240598</x:v>
      </x:c>
      <x:c r="E481" s="440" t="n">
        <x:f>IF(AND(81=$B$173,ISNUMBER(D481)),IF(MAX(0,B481*(1+C481/12)-D481)&lt;MAX(0.0000001,$E$17*0.00000000001),0,MAX(0,B481*(1+C481/12)-D481)),0)</x:f>
        <x:v>0</x:v>
      </x:c>
      <x:c r="F481" s="440" t="n">
        <x:f>IF($B$78="Cash payoff",E481,0)</x:f>
        <x:v>0</x:v>
      </x:c>
      <x:c r="G481" s="440" t="n">
        <x:f>IF(AND(E481&gt;0,AND($B$78="Refinance",ISNUMBER($B$80),$B$80&gt;=0,$B$80&lt;=1,ROUND($B$81*12,0)&gt;=1,$B$81&lt;=100,SUM($B$82)&gt;=0,SUM($B$82)&lt;=1,SUM($B$83)&gt;=0)),E481*SUM($B$82)+SUM($B$83),0)</x:f>
        <x:v>0</x:v>
      </x:c>
      <x:c r="H481" s="440" t="n">
        <x:f>IF(ISNUMBER(D481),IF(MAX(0,B481*(1+C481/12)-D481-F481)&lt;MAX(0.0000001,$E$17*0.00000000001),0,MAX(0,B481*(1+C481/12)-D481-F481)),IF(AND($B$171=1,I480=1),B481,""))</x:f>
        <x:v>687567.590628302</x:v>
      </x:c>
      <x:c r="I481" s="444" t="n">
        <x:f>IF(OR(I480=1,AND(E481&gt;0,$B$78&lt;&gt;"Cash payoff",NOT(AND($B$78="Refinance",ISNUMBER($B$80),$B$80&gt;=0,$B$80&lt;=1,ROUND($B$81*12,0)&gt;=1,$B$81&lt;=100,SUM($B$82)&gt;=0,SUM($B$82)&lt;=1,SUM($B$83)&gt;=0))),AND(ISNUMBER(B481),B481&gt;0,$B$171=1,NOT(ISNUMBER(D481)))),1,0)</x:f>
        <x:v>0</x:v>
      </x:c>
      <x:c r="J481" s="440" t="n">
        <x:f>IF(ISNUMBER(L480),L480,"")</x:f>
        <x:v>0</x:v>
      </x:c>
      <x:c r="K481" s="440" t="n">
        <x:f>IF(AND(ISNUMBER(J481),J481=0),0,IF(AND($B$176=1,ISNUMBER(J481)),MIN(J481*(1+$B$87/12),IF($B$86=0,0,IF($B$87=0,$B$86/ROUND($B$88*12,0),$B$86*($B$87/12)/(1-(1+$B$87/12)^(-ROUND($B$88*12,0)))))),""))</x:f>
        <x:v>0</x:v>
      </x:c>
      <x:c r="L481" s="440" t="n">
        <x:f>IF(ISNUMBER(K481),IF(MAX(0,J481*(1+SUM($B$87)/12)-K481)&lt;MAX(0.0000001,$B$86*0.00000000001),0,MAX(0,J481*(1+SUM($B$87)/12)-K481)),"")</x:f>
        <x:v>0</x:v>
      </x:c>
      <x:c r="M481" s="440" t="n">
        <x:f>IF(AND(ISNUMBER(D481),ISNUMBER(K481)),D481+K481,"")</x:f>
        <x:v>4679.450723240598</x:v>
      </x:c>
      <x:c r="N481" s="440" t="n">
        <x:f>IF(AND(ISNUMBER(H481),ISNUMBER(L481)),H481+L481,"")</x:f>
        <x:v>687567.590628302</x:v>
      </x:c>
    </x:row>
    <x:row r="482" ht="22" customHeight="1">
      <x:c r="A482" s="254" t="n">
        <x:f>82</x:f>
        <x:v>82</x:v>
      </x:c>
      <x:c r="B482" s="440" t="n">
        <x:f>IF(ISNUMBER(H481),H481,"")</x:f>
        <x:v>687567.590628302</x:v>
      </x:c>
      <x:c r="C482" s="442" t="n">
        <x:f>IF(ISNUMBER(B482),IF(AND(82&gt;$B$173,$B$78="Refinance",ISNUMBER($B$80),$B$80&gt;=0,$B$80&lt;=1,ROUND($B$81*12,0)&gt;=1,$B$81&lt;=100,SUM($B$82)&gt;=0,SUM($B$82)&lt;=1,SUM($B$83)&gt;=0),$B$80,IF(AND($B$175&gt;0,82&gt;$B$175,ISNUMBER($B$75)),$B$75,$B$61)),"")</x:f>
        <x:v>0.0625</x:v>
      </x:c>
      <x:c r="D482" s="440" t="n">
        <x:f>IF(AND(ISNUMBER(B482),B482=0),0,IF(AND($B$171=1,I481=0,ISNUMBER(C482),ISNUMBER(IF(AND(82&lt;=$B$174,82&lt;=$B$173),B482*C482/12,IF(AND(82=$B$173+1,AND(82&gt;$B$173,$B$78="Refinance",ISNUMBER($B$80),$B$80&gt;=0,$B$80&lt;=1,ROUND($B$81*12,0)&gt;=1,$B$81&lt;=100,SUM($B$82)&gt;=0,SUM($B$82)&lt;=1,SUM($B$83)&gt;=0)),IF(B482=0,0,IF(C482=0,B482/ROUND($B$81*12,0),B482*(C482/12)/(1-(1+C482/12)^(-ROUND($B$81*12,0))))),IF(AND(NOT(AND(82&gt;$B$173,$B$78="Refinance",ISNUMBER($B$80),$B$80&gt;=0,$B$80&lt;=1,ROUND($B$81*12,0)&gt;=1,$B$81&lt;=100,SUM($B$82)&gt;=0,SUM($B$82)&lt;=1,SUM($B$83)&gt;=0)),OR(82=1,82=$B$174+1,AND($B$175&gt;0,82=$B$175+1))),IF(AND($B$170=1,$B$66&gt;0,OR($B$175=0,82&lt;=$B$175)),$B$66,IF($B$172-MAX(82-1,$B$174)&gt;0,IF(B482=0,0,IF(C482=0,B482/($B$172-MAX(82-1,$B$174)),B482*(C482/12)/(1-(1+C482/12)^(-($B$172-MAX(82-1,$B$174)))))),"")),D481))))),IF(IF(AND(82&lt;=$B$174,82&lt;=$B$173),B482*C482/12,IF(AND(82=$B$173+1,AND(82&gt;$B$173,$B$78="Refinance",ISNUMBER($B$80),$B$80&gt;=0,$B$80&lt;=1,ROUND($B$81*12,0)&gt;=1,$B$81&lt;=100,SUM($B$82)&gt;=0,SUM($B$82)&lt;=1,SUM($B$83)&gt;=0)),IF(B482=0,0,IF(C482=0,B482/ROUND($B$81*12,0),B482*(C482/12)/(1-(1+C482/12)^(-ROUND($B$81*12,0))))),IF(AND(NOT(AND(82&gt;$B$173,$B$78="Refinance",ISNUMBER($B$80),$B$80&gt;=0,$B$80&lt;=1,ROUND($B$81*12,0)&gt;=1,$B$81&lt;=100,SUM($B$82)&gt;=0,SUM($B$82)&lt;=1,SUM($B$83)&gt;=0)),OR(82=1,82=$B$174+1,AND($B$175&gt;0,82=$B$175+1))),IF(AND($B$170=1,$B$66&gt;0,OR($B$175=0,82&lt;=$B$175)),$B$66,IF($B$172-MAX(82-1,$B$174)&gt;0,IF(B482=0,0,IF(C482=0,B482/($B$172-MAX(82-1,$B$174)),B482*(C482/12)/(1-(1+C482/12)^(-($B$172-MAX(82-1,$B$174)))))),"")),D481)))+0.0000001&gt;=B482*C482/12,MIN(B482*(1+C482/12),IF(AND(82&lt;=$B$174,82&lt;=$B$173),B482*C482/12,IF(AND(82=$B$173+1,AND(82&gt;$B$173,$B$78="Refinance",ISNUMBER($B$80),$B$80&gt;=0,$B$80&lt;=1,ROUND($B$81*12,0)&gt;=1,$B$81&lt;=100,SUM($B$82)&gt;=0,SUM($B$82)&lt;=1,SUM($B$83)&gt;=0)),IF(B482=0,0,IF(C482=0,B482/ROUND($B$81*12,0),B482*(C482/12)/(1-(1+C482/12)^(-ROUND($B$81*12,0))))),IF(AND(NOT(AND(82&gt;$B$173,$B$78="Refinance",ISNUMBER($B$80),$B$80&gt;=0,$B$80&lt;=1,ROUND($B$81*12,0)&gt;=1,$B$81&lt;=100,SUM($B$82)&gt;=0,SUM($B$82)&lt;=1,SUM($B$83)&gt;=0)),OR(82=1,82=$B$174+1,AND($B$175&gt;0,82=$B$175+1))),IF(AND($B$170=1,$B$66&gt;0,OR($B$175=0,82&lt;=$B$175)),$B$66,IF($B$172-MAX(82-1,$B$174)&gt;0,IF(B482=0,0,IF(C482=0,B482/($B$172-MAX(82-1,$B$174)),B482*(C482/12)/(1-(1+C482/12)^(-($B$172-MAX(82-1,$B$174)))))),"")),D481)))),""),""))</x:f>
        <x:v>4679.450723240598</x:v>
      </x:c>
      <x:c r="E482" s="440" t="n">
        <x:f>IF(AND(82=$B$173,ISNUMBER(D482)),IF(MAX(0,B482*(1+C482/12)-D482)&lt;MAX(0.0000001,$E$17*0.00000000001),0,MAX(0,B482*(1+C482/12)-D482)),0)</x:f>
        <x:v>0</x:v>
      </x:c>
      <x:c r="F482" s="440" t="n">
        <x:f>IF($B$78="Cash payoff",E482,0)</x:f>
        <x:v>0</x:v>
      </x:c>
      <x:c r="G482" s="440" t="n">
        <x:f>IF(AND(E482&gt;0,AND($B$78="Refinance",ISNUMBER($B$80),$B$80&gt;=0,$B$80&lt;=1,ROUND($B$81*12,0)&gt;=1,$B$81&lt;=100,SUM($B$82)&gt;=0,SUM($B$82)&lt;=1,SUM($B$83)&gt;=0)),E482*SUM($B$82)+SUM($B$83),0)</x:f>
        <x:v>0</x:v>
      </x:c>
      <x:c r="H482" s="440" t="n">
        <x:f>IF(ISNUMBER(D482),IF(MAX(0,B482*(1+C482/12)-D482-F482)&lt;MAX(0.0000001,$E$17*0.00000000001),0,MAX(0,B482*(1+C482/12)-D482-F482)),IF(AND($B$171=1,I481=1),B482,""))</x:f>
        <x:v>686469.2211062503</x:v>
      </x:c>
      <x:c r="I482" s="444" t="n">
        <x:f>IF(OR(I481=1,AND(E482&gt;0,$B$78&lt;&gt;"Cash payoff",NOT(AND($B$78="Refinance",ISNUMBER($B$80),$B$80&gt;=0,$B$80&lt;=1,ROUND($B$81*12,0)&gt;=1,$B$81&lt;=100,SUM($B$82)&gt;=0,SUM($B$82)&lt;=1,SUM($B$83)&gt;=0))),AND(ISNUMBER(B482),B482&gt;0,$B$171=1,NOT(ISNUMBER(D482)))),1,0)</x:f>
        <x:v>0</x:v>
      </x:c>
      <x:c r="J482" s="440" t="n">
        <x:f>IF(ISNUMBER(L481),L481,"")</x:f>
        <x:v>0</x:v>
      </x:c>
      <x:c r="K482" s="440" t="n">
        <x:f>IF(AND(ISNUMBER(J482),J482=0),0,IF(AND($B$176=1,ISNUMBER(J482)),MIN(J482*(1+$B$87/12),IF($B$86=0,0,IF($B$87=0,$B$86/ROUND($B$88*12,0),$B$86*($B$87/12)/(1-(1+$B$87/12)^(-ROUND($B$88*12,0)))))),""))</x:f>
        <x:v>0</x:v>
      </x:c>
      <x:c r="L482" s="440" t="n">
        <x:f>IF(ISNUMBER(K482),IF(MAX(0,J482*(1+SUM($B$87)/12)-K482)&lt;MAX(0.0000001,$B$86*0.00000000001),0,MAX(0,J482*(1+SUM($B$87)/12)-K482)),"")</x:f>
        <x:v>0</x:v>
      </x:c>
      <x:c r="M482" s="440" t="n">
        <x:f>IF(AND(ISNUMBER(D482),ISNUMBER(K482)),D482+K482,"")</x:f>
        <x:v>4679.450723240598</x:v>
      </x:c>
      <x:c r="N482" s="440" t="n">
        <x:f>IF(AND(ISNUMBER(H482),ISNUMBER(L482)),H482+L482,"")</x:f>
        <x:v>686469.2211062503</x:v>
      </x:c>
    </x:row>
    <x:row r="483" ht="22" customHeight="1">
      <x:c r="A483" s="254" t="n">
        <x:f>83</x:f>
        <x:v>83</x:v>
      </x:c>
      <x:c r="B483" s="440" t="n">
        <x:f>IF(ISNUMBER(H482),H482,"")</x:f>
        <x:v>686469.2211062503</x:v>
      </x:c>
      <x:c r="C483" s="442" t="n">
        <x:f>IF(ISNUMBER(B483),IF(AND(83&gt;$B$173,$B$78="Refinance",ISNUMBER($B$80),$B$80&gt;=0,$B$80&lt;=1,ROUND($B$81*12,0)&gt;=1,$B$81&lt;=100,SUM($B$82)&gt;=0,SUM($B$82)&lt;=1,SUM($B$83)&gt;=0),$B$80,IF(AND($B$175&gt;0,83&gt;$B$175,ISNUMBER($B$75)),$B$75,$B$61)),"")</x:f>
        <x:v>0.0625</x:v>
      </x:c>
      <x:c r="D483" s="440" t="n">
        <x:f>IF(AND(ISNUMBER(B483),B483=0),0,IF(AND($B$171=1,I482=0,ISNUMBER(C483),ISNUMBER(IF(AND(83&lt;=$B$174,83&lt;=$B$173),B483*C483/12,IF(AND(83=$B$173+1,AND(83&gt;$B$173,$B$78="Refinance",ISNUMBER($B$80),$B$80&gt;=0,$B$80&lt;=1,ROUND($B$81*12,0)&gt;=1,$B$81&lt;=100,SUM($B$82)&gt;=0,SUM($B$82)&lt;=1,SUM($B$83)&gt;=0)),IF(B483=0,0,IF(C483=0,B483/ROUND($B$81*12,0),B483*(C483/12)/(1-(1+C483/12)^(-ROUND($B$81*12,0))))),IF(AND(NOT(AND(83&gt;$B$173,$B$78="Refinance",ISNUMBER($B$80),$B$80&gt;=0,$B$80&lt;=1,ROUND($B$81*12,0)&gt;=1,$B$81&lt;=100,SUM($B$82)&gt;=0,SUM($B$82)&lt;=1,SUM($B$83)&gt;=0)),OR(83=1,83=$B$174+1,AND($B$175&gt;0,83=$B$175+1))),IF(AND($B$170=1,$B$66&gt;0,OR($B$175=0,83&lt;=$B$175)),$B$66,IF($B$172-MAX(83-1,$B$174)&gt;0,IF(B483=0,0,IF(C483=0,B483/($B$172-MAX(83-1,$B$174)),B483*(C483/12)/(1-(1+C483/12)^(-($B$172-MAX(83-1,$B$174)))))),"")),D482))))),IF(IF(AND(83&lt;=$B$174,83&lt;=$B$173),B483*C483/12,IF(AND(83=$B$173+1,AND(83&gt;$B$173,$B$78="Refinance",ISNUMBER($B$80),$B$80&gt;=0,$B$80&lt;=1,ROUND($B$81*12,0)&gt;=1,$B$81&lt;=100,SUM($B$82)&gt;=0,SUM($B$82)&lt;=1,SUM($B$83)&gt;=0)),IF(B483=0,0,IF(C483=0,B483/ROUND($B$81*12,0),B483*(C483/12)/(1-(1+C483/12)^(-ROUND($B$81*12,0))))),IF(AND(NOT(AND(83&gt;$B$173,$B$78="Refinance",ISNUMBER($B$80),$B$80&gt;=0,$B$80&lt;=1,ROUND($B$81*12,0)&gt;=1,$B$81&lt;=100,SUM($B$82)&gt;=0,SUM($B$82)&lt;=1,SUM($B$83)&gt;=0)),OR(83=1,83=$B$174+1,AND($B$175&gt;0,83=$B$175+1))),IF(AND($B$170=1,$B$66&gt;0,OR($B$175=0,83&lt;=$B$175)),$B$66,IF($B$172-MAX(83-1,$B$174)&gt;0,IF(B483=0,0,IF(C483=0,B483/($B$172-MAX(83-1,$B$174)),B483*(C483/12)/(1-(1+C483/12)^(-($B$172-MAX(83-1,$B$174)))))),"")),D482)))+0.0000001&gt;=B483*C483/12,MIN(B483*(1+C483/12),IF(AND(83&lt;=$B$174,83&lt;=$B$173),B483*C483/12,IF(AND(83=$B$173+1,AND(83&gt;$B$173,$B$78="Refinance",ISNUMBER($B$80),$B$80&gt;=0,$B$80&lt;=1,ROUND($B$81*12,0)&gt;=1,$B$81&lt;=100,SUM($B$82)&gt;=0,SUM($B$82)&lt;=1,SUM($B$83)&gt;=0)),IF(B483=0,0,IF(C483=0,B483/ROUND($B$81*12,0),B483*(C483/12)/(1-(1+C483/12)^(-ROUND($B$81*12,0))))),IF(AND(NOT(AND(83&gt;$B$173,$B$78="Refinance",ISNUMBER($B$80),$B$80&gt;=0,$B$80&lt;=1,ROUND($B$81*12,0)&gt;=1,$B$81&lt;=100,SUM($B$82)&gt;=0,SUM($B$82)&lt;=1,SUM($B$83)&gt;=0)),OR(83=1,83=$B$174+1,AND($B$175&gt;0,83=$B$175+1))),IF(AND($B$170=1,$B$66&gt;0,OR($B$175=0,83&lt;=$B$175)),$B$66,IF($B$172-MAX(83-1,$B$174)&gt;0,IF(B483=0,0,IF(C483=0,B483/($B$172-MAX(83-1,$B$174)),B483*(C483/12)/(1-(1+C483/12)^(-($B$172-MAX(83-1,$B$174)))))),"")),D482)))),""),""))</x:f>
        <x:v>4679.450723240598</x:v>
      </x:c>
      <x:c r="E483" s="440" t="n">
        <x:f>IF(AND(83=$B$173,ISNUMBER(D483)),IF(MAX(0,B483*(1+C483/12)-D483)&lt;MAX(0.0000001,$E$17*0.00000000001),0,MAX(0,B483*(1+C483/12)-D483)),0)</x:f>
        <x:v>0</x:v>
      </x:c>
      <x:c r="F483" s="440" t="n">
        <x:f>IF($B$78="Cash payoff",E483,0)</x:f>
        <x:v>0</x:v>
      </x:c>
      <x:c r="G483" s="440" t="n">
        <x:f>IF(AND(E483&gt;0,AND($B$78="Refinance",ISNUMBER($B$80),$B$80&gt;=0,$B$80&lt;=1,ROUND($B$81*12,0)&gt;=1,$B$81&lt;=100,SUM($B$82)&gt;=0,SUM($B$82)&lt;=1,SUM($B$83)&gt;=0)),E483*SUM($B$82)+SUM($B$83),0)</x:f>
        <x:v>0</x:v>
      </x:c>
      <x:c r="H483" s="440" t="n">
        <x:f>IF(ISNUMBER(D483),IF(MAX(0,B483*(1+C483/12)-D483-F483)&lt;MAX(0.0000001,$E$17*0.00000000001),0,MAX(0,B483*(1+C483/12)-D483-F483)),IF(AND($B$171=1,I482=1),B483,""))</x:f>
        <x:v>685365.1309096047</x:v>
      </x:c>
      <x:c r="I483" s="444" t="n">
        <x:f>IF(OR(I482=1,AND(E483&gt;0,$B$78&lt;&gt;"Cash payoff",NOT(AND($B$78="Refinance",ISNUMBER($B$80),$B$80&gt;=0,$B$80&lt;=1,ROUND($B$81*12,0)&gt;=1,$B$81&lt;=100,SUM($B$82)&gt;=0,SUM($B$82)&lt;=1,SUM($B$83)&gt;=0))),AND(ISNUMBER(B483),B483&gt;0,$B$171=1,NOT(ISNUMBER(D483)))),1,0)</x:f>
        <x:v>0</x:v>
      </x:c>
      <x:c r="J483" s="440" t="n">
        <x:f>IF(ISNUMBER(L482),L482,"")</x:f>
        <x:v>0</x:v>
      </x:c>
      <x:c r="K483" s="440" t="n">
        <x:f>IF(AND(ISNUMBER(J483),J483=0),0,IF(AND($B$176=1,ISNUMBER(J483)),MIN(J483*(1+$B$87/12),IF($B$86=0,0,IF($B$87=0,$B$86/ROUND($B$88*12,0),$B$86*($B$87/12)/(1-(1+$B$87/12)^(-ROUND($B$88*12,0)))))),""))</x:f>
        <x:v>0</x:v>
      </x:c>
      <x:c r="L483" s="440" t="n">
        <x:f>IF(ISNUMBER(K483),IF(MAX(0,J483*(1+SUM($B$87)/12)-K483)&lt;MAX(0.0000001,$B$86*0.00000000001),0,MAX(0,J483*(1+SUM($B$87)/12)-K483)),"")</x:f>
        <x:v>0</x:v>
      </x:c>
      <x:c r="M483" s="440" t="n">
        <x:f>IF(AND(ISNUMBER(D483),ISNUMBER(K483)),D483+K483,"")</x:f>
        <x:v>4679.450723240598</x:v>
      </x:c>
      <x:c r="N483" s="440" t="n">
        <x:f>IF(AND(ISNUMBER(H483),ISNUMBER(L483)),H483+L483,"")</x:f>
        <x:v>685365.1309096047</x:v>
      </x:c>
    </x:row>
    <x:row r="484" ht="22" customHeight="1">
      <x:c r="A484" s="254" t="n">
        <x:f>84</x:f>
        <x:v>84</x:v>
      </x:c>
      <x:c r="B484" s="440" t="n">
        <x:f>IF(ISNUMBER(H483),H483,"")</x:f>
        <x:v>685365.1309096047</x:v>
      </x:c>
      <x:c r="C484" s="442" t="n">
        <x:f>IF(ISNUMBER(B484),IF(AND(84&gt;$B$173,$B$78="Refinance",ISNUMBER($B$80),$B$80&gt;=0,$B$80&lt;=1,ROUND($B$81*12,0)&gt;=1,$B$81&lt;=100,SUM($B$82)&gt;=0,SUM($B$82)&lt;=1,SUM($B$83)&gt;=0),$B$80,IF(AND($B$175&gt;0,84&gt;$B$175,ISNUMBER($B$75)),$B$75,$B$61)),"")</x:f>
        <x:v>0.0625</x:v>
      </x:c>
      <x:c r="D484" s="440" t="n">
        <x:f>IF(AND(ISNUMBER(B484),B484=0),0,IF(AND($B$171=1,I483=0,ISNUMBER(C484),ISNUMBER(IF(AND(84&lt;=$B$174,84&lt;=$B$173),B484*C484/12,IF(AND(84=$B$173+1,AND(84&gt;$B$173,$B$78="Refinance",ISNUMBER($B$80),$B$80&gt;=0,$B$80&lt;=1,ROUND($B$81*12,0)&gt;=1,$B$81&lt;=100,SUM($B$82)&gt;=0,SUM($B$82)&lt;=1,SUM($B$83)&gt;=0)),IF(B484=0,0,IF(C484=0,B484/ROUND($B$81*12,0),B484*(C484/12)/(1-(1+C484/12)^(-ROUND($B$81*12,0))))),IF(AND(NOT(AND(84&gt;$B$173,$B$78="Refinance",ISNUMBER($B$80),$B$80&gt;=0,$B$80&lt;=1,ROUND($B$81*12,0)&gt;=1,$B$81&lt;=100,SUM($B$82)&gt;=0,SUM($B$82)&lt;=1,SUM($B$83)&gt;=0)),OR(84=1,84=$B$174+1,AND($B$175&gt;0,84=$B$175+1))),IF(AND($B$170=1,$B$66&gt;0,OR($B$175=0,84&lt;=$B$175)),$B$66,IF($B$172-MAX(84-1,$B$174)&gt;0,IF(B484=0,0,IF(C484=0,B484/($B$172-MAX(84-1,$B$174)),B484*(C484/12)/(1-(1+C484/12)^(-($B$172-MAX(84-1,$B$174)))))),"")),D483))))),IF(IF(AND(84&lt;=$B$174,84&lt;=$B$173),B484*C484/12,IF(AND(84=$B$173+1,AND(84&gt;$B$173,$B$78="Refinance",ISNUMBER($B$80),$B$80&gt;=0,$B$80&lt;=1,ROUND($B$81*12,0)&gt;=1,$B$81&lt;=100,SUM($B$82)&gt;=0,SUM($B$82)&lt;=1,SUM($B$83)&gt;=0)),IF(B484=0,0,IF(C484=0,B484/ROUND($B$81*12,0),B484*(C484/12)/(1-(1+C484/12)^(-ROUND($B$81*12,0))))),IF(AND(NOT(AND(84&gt;$B$173,$B$78="Refinance",ISNUMBER($B$80),$B$80&gt;=0,$B$80&lt;=1,ROUND($B$81*12,0)&gt;=1,$B$81&lt;=100,SUM($B$82)&gt;=0,SUM($B$82)&lt;=1,SUM($B$83)&gt;=0)),OR(84=1,84=$B$174+1,AND($B$175&gt;0,84=$B$175+1))),IF(AND($B$170=1,$B$66&gt;0,OR($B$175=0,84&lt;=$B$175)),$B$66,IF($B$172-MAX(84-1,$B$174)&gt;0,IF(B484=0,0,IF(C484=0,B484/($B$172-MAX(84-1,$B$174)),B484*(C484/12)/(1-(1+C484/12)^(-($B$172-MAX(84-1,$B$174)))))),"")),D483)))+0.0000001&gt;=B484*C484/12,MIN(B484*(1+C484/12),IF(AND(84&lt;=$B$174,84&lt;=$B$173),B484*C484/12,IF(AND(84=$B$173+1,AND(84&gt;$B$173,$B$78="Refinance",ISNUMBER($B$80),$B$80&gt;=0,$B$80&lt;=1,ROUND($B$81*12,0)&gt;=1,$B$81&lt;=100,SUM($B$82)&gt;=0,SUM($B$82)&lt;=1,SUM($B$83)&gt;=0)),IF(B484=0,0,IF(C484=0,B484/ROUND($B$81*12,0),B484*(C484/12)/(1-(1+C484/12)^(-ROUND($B$81*12,0))))),IF(AND(NOT(AND(84&gt;$B$173,$B$78="Refinance",ISNUMBER($B$80),$B$80&gt;=0,$B$80&lt;=1,ROUND($B$81*12,0)&gt;=1,$B$81&lt;=100,SUM($B$82)&gt;=0,SUM($B$82)&lt;=1,SUM($B$83)&gt;=0)),OR(84=1,84=$B$174+1,AND($B$175&gt;0,84=$B$175+1))),IF(AND($B$170=1,$B$66&gt;0,OR($B$175=0,84&lt;=$B$175)),$B$66,IF($B$172-MAX(84-1,$B$174)&gt;0,IF(B484=0,0,IF(C484=0,B484/($B$172-MAX(84-1,$B$174)),B484*(C484/12)/(1-(1+C484/12)^(-($B$172-MAX(84-1,$B$174)))))),"")),D483)))),""),""))</x:f>
        <x:v>4679.450723240598</x:v>
      </x:c>
      <x:c r="E484" s="440" t="n">
        <x:f>IF(AND(84=$B$173,ISNUMBER(D484)),IF(MAX(0,B484*(1+C484/12)-D484)&lt;MAX(0.0000001,$E$17*0.00000000001),0,MAX(0,B484*(1+C484/12)-D484)),0)</x:f>
        <x:v>0</x:v>
      </x:c>
      <x:c r="F484" s="440" t="n">
        <x:f>IF($B$78="Cash payoff",E484,0)</x:f>
        <x:v>0</x:v>
      </x:c>
      <x:c r="G484" s="440" t="n">
        <x:f>IF(AND(E484&gt;0,AND($B$78="Refinance",ISNUMBER($B$80),$B$80&gt;=0,$B$80&lt;=1,ROUND($B$81*12,0)&gt;=1,$B$81&lt;=100,SUM($B$82)&gt;=0,SUM($B$82)&lt;=1,SUM($B$83)&gt;=0)),E484*SUM($B$82)+SUM($B$83),0)</x:f>
        <x:v>0</x:v>
      </x:c>
      <x:c r="H484" s="440" t="n">
        <x:f>IF(ISNUMBER(D484),IF(MAX(0,B484*(1+C484/12)-D484-F484)&lt;MAX(0.0000001,$E$17*0.00000000001),0,MAX(0,B484*(1+C484/12)-D484-F484)),IF(AND($B$171=1,I483=1),B484,""))</x:f>
        <x:v>684255.2902431849</x:v>
      </x:c>
      <x:c r="I484" s="444" t="n">
        <x:f>IF(OR(I483=1,AND(E484&gt;0,$B$78&lt;&gt;"Cash payoff",NOT(AND($B$78="Refinance",ISNUMBER($B$80),$B$80&gt;=0,$B$80&lt;=1,ROUND($B$81*12,0)&gt;=1,$B$81&lt;=100,SUM($B$82)&gt;=0,SUM($B$82)&lt;=1,SUM($B$83)&gt;=0))),AND(ISNUMBER(B484),B484&gt;0,$B$171=1,NOT(ISNUMBER(D484)))),1,0)</x:f>
        <x:v>0</x:v>
      </x:c>
      <x:c r="J484" s="440" t="n">
        <x:f>IF(ISNUMBER(L483),L483,"")</x:f>
        <x:v>0</x:v>
      </x:c>
      <x:c r="K484" s="440" t="n">
        <x:f>IF(AND(ISNUMBER(J484),J484=0),0,IF(AND($B$176=1,ISNUMBER(J484)),MIN(J484*(1+$B$87/12),IF($B$86=0,0,IF($B$87=0,$B$86/ROUND($B$88*12,0),$B$86*($B$87/12)/(1-(1+$B$87/12)^(-ROUND($B$88*12,0)))))),""))</x:f>
        <x:v>0</x:v>
      </x:c>
      <x:c r="L484" s="440" t="n">
        <x:f>IF(ISNUMBER(K484),IF(MAX(0,J484*(1+SUM($B$87)/12)-K484)&lt;MAX(0.0000001,$B$86*0.00000000001),0,MAX(0,J484*(1+SUM($B$87)/12)-K484)),"")</x:f>
        <x:v>0</x:v>
      </x:c>
      <x:c r="M484" s="440" t="n">
        <x:f>IF(AND(ISNUMBER(D484),ISNUMBER(K484)),D484+K484,"")</x:f>
        <x:v>4679.450723240598</x:v>
      </x:c>
      <x:c r="N484" s="440" t="n">
        <x:f>IF(AND(ISNUMBER(H484),ISNUMBER(L484)),H484+L484,"")</x:f>
        <x:v>684255.2902431849</x:v>
      </x:c>
    </x:row>
    <x:row r="485" ht="22" customHeight="1">
      <x:c r="A485" s="254" t="n">
        <x:f>85</x:f>
        <x:v>85</x:v>
      </x:c>
      <x:c r="B485" s="440" t="n">
        <x:f>IF(ISNUMBER(H484),H484,"")</x:f>
        <x:v>684255.2902431849</x:v>
      </x:c>
      <x:c r="C485" s="442" t="n">
        <x:f>IF(ISNUMBER(B485),IF(AND(85&gt;$B$173,$B$78="Refinance",ISNUMBER($B$80),$B$80&gt;=0,$B$80&lt;=1,ROUND($B$81*12,0)&gt;=1,$B$81&lt;=100,SUM($B$82)&gt;=0,SUM($B$82)&lt;=1,SUM($B$83)&gt;=0),$B$80,IF(AND($B$175&gt;0,85&gt;$B$175,ISNUMBER($B$75)),$B$75,$B$61)),"")</x:f>
        <x:v>0.0625</x:v>
      </x:c>
      <x:c r="D485" s="440" t="n">
        <x:f>IF(AND(ISNUMBER(B485),B485=0),0,IF(AND($B$171=1,I484=0,ISNUMBER(C485),ISNUMBER(IF(AND(85&lt;=$B$174,85&lt;=$B$173),B485*C485/12,IF(AND(85=$B$173+1,AND(85&gt;$B$173,$B$78="Refinance",ISNUMBER($B$80),$B$80&gt;=0,$B$80&lt;=1,ROUND($B$81*12,0)&gt;=1,$B$81&lt;=100,SUM($B$82)&gt;=0,SUM($B$82)&lt;=1,SUM($B$83)&gt;=0)),IF(B485=0,0,IF(C485=0,B485/ROUND($B$81*12,0),B485*(C485/12)/(1-(1+C485/12)^(-ROUND($B$81*12,0))))),IF(AND(NOT(AND(85&gt;$B$173,$B$78="Refinance",ISNUMBER($B$80),$B$80&gt;=0,$B$80&lt;=1,ROUND($B$81*12,0)&gt;=1,$B$81&lt;=100,SUM($B$82)&gt;=0,SUM($B$82)&lt;=1,SUM($B$83)&gt;=0)),OR(85=1,85=$B$174+1,AND($B$175&gt;0,85=$B$175+1))),IF(AND($B$170=1,$B$66&gt;0,OR($B$175=0,85&lt;=$B$175)),$B$66,IF($B$172-MAX(85-1,$B$174)&gt;0,IF(B485=0,0,IF(C485=0,B485/($B$172-MAX(85-1,$B$174)),B485*(C485/12)/(1-(1+C485/12)^(-($B$172-MAX(85-1,$B$174)))))),"")),D484))))),IF(IF(AND(85&lt;=$B$174,85&lt;=$B$173),B485*C485/12,IF(AND(85=$B$173+1,AND(85&gt;$B$173,$B$78="Refinance",ISNUMBER($B$80),$B$80&gt;=0,$B$80&lt;=1,ROUND($B$81*12,0)&gt;=1,$B$81&lt;=100,SUM($B$82)&gt;=0,SUM($B$82)&lt;=1,SUM($B$83)&gt;=0)),IF(B485=0,0,IF(C485=0,B485/ROUND($B$81*12,0),B485*(C485/12)/(1-(1+C485/12)^(-ROUND($B$81*12,0))))),IF(AND(NOT(AND(85&gt;$B$173,$B$78="Refinance",ISNUMBER($B$80),$B$80&gt;=0,$B$80&lt;=1,ROUND($B$81*12,0)&gt;=1,$B$81&lt;=100,SUM($B$82)&gt;=0,SUM($B$82)&lt;=1,SUM($B$83)&gt;=0)),OR(85=1,85=$B$174+1,AND($B$175&gt;0,85=$B$175+1))),IF(AND($B$170=1,$B$66&gt;0,OR($B$175=0,85&lt;=$B$175)),$B$66,IF($B$172-MAX(85-1,$B$174)&gt;0,IF(B485=0,0,IF(C485=0,B485/($B$172-MAX(85-1,$B$174)),B485*(C485/12)/(1-(1+C485/12)^(-($B$172-MAX(85-1,$B$174)))))),"")),D484)))+0.0000001&gt;=B485*C485/12,MIN(B485*(1+C485/12),IF(AND(85&lt;=$B$174,85&lt;=$B$173),B485*C485/12,IF(AND(85=$B$173+1,AND(85&gt;$B$173,$B$78="Refinance",ISNUMBER($B$80),$B$80&gt;=0,$B$80&lt;=1,ROUND($B$81*12,0)&gt;=1,$B$81&lt;=100,SUM($B$82)&gt;=0,SUM($B$82)&lt;=1,SUM($B$83)&gt;=0)),IF(B485=0,0,IF(C485=0,B485/ROUND($B$81*12,0),B485*(C485/12)/(1-(1+C485/12)^(-ROUND($B$81*12,0))))),IF(AND(NOT(AND(85&gt;$B$173,$B$78="Refinance",ISNUMBER($B$80),$B$80&gt;=0,$B$80&lt;=1,ROUND($B$81*12,0)&gt;=1,$B$81&lt;=100,SUM($B$82)&gt;=0,SUM($B$82)&lt;=1,SUM($B$83)&gt;=0)),OR(85=1,85=$B$174+1,AND($B$175&gt;0,85=$B$175+1))),IF(AND($B$170=1,$B$66&gt;0,OR($B$175=0,85&lt;=$B$175)),$B$66,IF($B$172-MAX(85-1,$B$174)&gt;0,IF(B485=0,0,IF(C485=0,B485/($B$172-MAX(85-1,$B$174)),B485*(C485/12)/(1-(1+C485/12)^(-($B$172-MAX(85-1,$B$174)))))),"")),D484)))),""),""))</x:f>
        <x:v>4679.450723240598</x:v>
      </x:c>
      <x:c r="E485" s="440" t="n">
        <x:f>IF(AND(85=$B$173,ISNUMBER(D485)),IF(MAX(0,B485*(1+C485/12)-D485)&lt;MAX(0.0000001,$E$17*0.00000000001),0,MAX(0,B485*(1+C485/12)-D485)),0)</x:f>
        <x:v>0</x:v>
      </x:c>
      <x:c r="F485" s="440" t="n">
        <x:f>IF($B$78="Cash payoff",E485,0)</x:f>
        <x:v>0</x:v>
      </x:c>
      <x:c r="G485" s="440" t="n">
        <x:f>IF(AND(E485&gt;0,AND($B$78="Refinance",ISNUMBER($B$80),$B$80&gt;=0,$B$80&lt;=1,ROUND($B$81*12,0)&gt;=1,$B$81&lt;=100,SUM($B$82)&gt;=0,SUM($B$82)&lt;=1,SUM($B$83)&gt;=0)),E485*SUM($B$82)+SUM($B$83),0)</x:f>
        <x:v>0</x:v>
      </x:c>
      <x:c r="H485" s="440" t="n">
        <x:f>IF(ISNUMBER(D485),IF(MAX(0,B485*(1+C485/12)-D485-F485)&lt;MAX(0.0000001,$E$17*0.00000000001),0,MAX(0,B485*(1+C485/12)-D485-F485)),IF(AND($B$171=1,I484=1),B485,""))</x:f>
        <x:v>683139.6691566275</x:v>
      </x:c>
      <x:c r="I485" s="444" t="n">
        <x:f>IF(OR(I484=1,AND(E485&gt;0,$B$78&lt;&gt;"Cash payoff",NOT(AND($B$78="Refinance",ISNUMBER($B$80),$B$80&gt;=0,$B$80&lt;=1,ROUND($B$81*12,0)&gt;=1,$B$81&lt;=100,SUM($B$82)&gt;=0,SUM($B$82)&lt;=1,SUM($B$83)&gt;=0))),AND(ISNUMBER(B485),B485&gt;0,$B$171=1,NOT(ISNUMBER(D485)))),1,0)</x:f>
        <x:v>0</x:v>
      </x:c>
      <x:c r="J485" s="440" t="n">
        <x:f>IF(ISNUMBER(L484),L484,"")</x:f>
        <x:v>0</x:v>
      </x:c>
      <x:c r="K485" s="440" t="n">
        <x:f>IF(AND(ISNUMBER(J485),J485=0),0,IF(AND($B$176=1,ISNUMBER(J485)),MIN(J485*(1+$B$87/12),IF($B$86=0,0,IF($B$87=0,$B$86/ROUND($B$88*12,0),$B$86*($B$87/12)/(1-(1+$B$87/12)^(-ROUND($B$88*12,0)))))),""))</x:f>
        <x:v>0</x:v>
      </x:c>
      <x:c r="L485" s="440" t="n">
        <x:f>IF(ISNUMBER(K485),IF(MAX(0,J485*(1+SUM($B$87)/12)-K485)&lt;MAX(0.0000001,$B$86*0.00000000001),0,MAX(0,J485*(1+SUM($B$87)/12)-K485)),"")</x:f>
        <x:v>0</x:v>
      </x:c>
      <x:c r="M485" s="440" t="n">
        <x:f>IF(AND(ISNUMBER(D485),ISNUMBER(K485)),D485+K485,"")</x:f>
        <x:v>4679.450723240598</x:v>
      </x:c>
      <x:c r="N485" s="440" t="n">
        <x:f>IF(AND(ISNUMBER(H485),ISNUMBER(L485)),H485+L485,"")</x:f>
        <x:v>683139.6691566275</x:v>
      </x:c>
    </x:row>
    <x:row r="486" ht="22" customHeight="1">
      <x:c r="A486" s="254" t="n">
        <x:f>86</x:f>
        <x:v>86</x:v>
      </x:c>
      <x:c r="B486" s="440" t="n">
        <x:f>IF(ISNUMBER(H485),H485,"")</x:f>
        <x:v>683139.6691566275</x:v>
      </x:c>
      <x:c r="C486" s="442" t="n">
        <x:f>IF(ISNUMBER(B486),IF(AND(86&gt;$B$173,$B$78="Refinance",ISNUMBER($B$80),$B$80&gt;=0,$B$80&lt;=1,ROUND($B$81*12,0)&gt;=1,$B$81&lt;=100,SUM($B$82)&gt;=0,SUM($B$82)&lt;=1,SUM($B$83)&gt;=0),$B$80,IF(AND($B$175&gt;0,86&gt;$B$175,ISNUMBER($B$75)),$B$75,$B$61)),"")</x:f>
        <x:v>0.0625</x:v>
      </x:c>
      <x:c r="D486" s="440" t="n">
        <x:f>IF(AND(ISNUMBER(B486),B486=0),0,IF(AND($B$171=1,I485=0,ISNUMBER(C486),ISNUMBER(IF(AND(86&lt;=$B$174,86&lt;=$B$173),B486*C486/12,IF(AND(86=$B$173+1,AND(86&gt;$B$173,$B$78="Refinance",ISNUMBER($B$80),$B$80&gt;=0,$B$80&lt;=1,ROUND($B$81*12,0)&gt;=1,$B$81&lt;=100,SUM($B$82)&gt;=0,SUM($B$82)&lt;=1,SUM($B$83)&gt;=0)),IF(B486=0,0,IF(C486=0,B486/ROUND($B$81*12,0),B486*(C486/12)/(1-(1+C486/12)^(-ROUND($B$81*12,0))))),IF(AND(NOT(AND(86&gt;$B$173,$B$78="Refinance",ISNUMBER($B$80),$B$80&gt;=0,$B$80&lt;=1,ROUND($B$81*12,0)&gt;=1,$B$81&lt;=100,SUM($B$82)&gt;=0,SUM($B$82)&lt;=1,SUM($B$83)&gt;=0)),OR(86=1,86=$B$174+1,AND($B$175&gt;0,86=$B$175+1))),IF(AND($B$170=1,$B$66&gt;0,OR($B$175=0,86&lt;=$B$175)),$B$66,IF($B$172-MAX(86-1,$B$174)&gt;0,IF(B486=0,0,IF(C486=0,B486/($B$172-MAX(86-1,$B$174)),B486*(C486/12)/(1-(1+C486/12)^(-($B$172-MAX(86-1,$B$174)))))),"")),D485))))),IF(IF(AND(86&lt;=$B$174,86&lt;=$B$173),B486*C486/12,IF(AND(86=$B$173+1,AND(86&gt;$B$173,$B$78="Refinance",ISNUMBER($B$80),$B$80&gt;=0,$B$80&lt;=1,ROUND($B$81*12,0)&gt;=1,$B$81&lt;=100,SUM($B$82)&gt;=0,SUM($B$82)&lt;=1,SUM($B$83)&gt;=0)),IF(B486=0,0,IF(C486=0,B486/ROUND($B$81*12,0),B486*(C486/12)/(1-(1+C486/12)^(-ROUND($B$81*12,0))))),IF(AND(NOT(AND(86&gt;$B$173,$B$78="Refinance",ISNUMBER($B$80),$B$80&gt;=0,$B$80&lt;=1,ROUND($B$81*12,0)&gt;=1,$B$81&lt;=100,SUM($B$82)&gt;=0,SUM($B$82)&lt;=1,SUM($B$83)&gt;=0)),OR(86=1,86=$B$174+1,AND($B$175&gt;0,86=$B$175+1))),IF(AND($B$170=1,$B$66&gt;0,OR($B$175=0,86&lt;=$B$175)),$B$66,IF($B$172-MAX(86-1,$B$174)&gt;0,IF(B486=0,0,IF(C486=0,B486/($B$172-MAX(86-1,$B$174)),B486*(C486/12)/(1-(1+C486/12)^(-($B$172-MAX(86-1,$B$174)))))),"")),D485)))+0.0000001&gt;=B486*C486/12,MIN(B486*(1+C486/12),IF(AND(86&lt;=$B$174,86&lt;=$B$173),B486*C486/12,IF(AND(86=$B$173+1,AND(86&gt;$B$173,$B$78="Refinance",ISNUMBER($B$80),$B$80&gt;=0,$B$80&lt;=1,ROUND($B$81*12,0)&gt;=1,$B$81&lt;=100,SUM($B$82)&gt;=0,SUM($B$82)&lt;=1,SUM($B$83)&gt;=0)),IF(B486=0,0,IF(C486=0,B486/ROUND($B$81*12,0),B486*(C486/12)/(1-(1+C486/12)^(-ROUND($B$81*12,0))))),IF(AND(NOT(AND(86&gt;$B$173,$B$78="Refinance",ISNUMBER($B$80),$B$80&gt;=0,$B$80&lt;=1,ROUND($B$81*12,0)&gt;=1,$B$81&lt;=100,SUM($B$82)&gt;=0,SUM($B$82)&lt;=1,SUM($B$83)&gt;=0)),OR(86=1,86=$B$174+1,AND($B$175&gt;0,86=$B$175+1))),IF(AND($B$170=1,$B$66&gt;0,OR($B$175=0,86&lt;=$B$175)),$B$66,IF($B$172-MAX(86-1,$B$174)&gt;0,IF(B486=0,0,IF(C486=0,B486/($B$172-MAX(86-1,$B$174)),B486*(C486/12)/(1-(1+C486/12)^(-($B$172-MAX(86-1,$B$174)))))),"")),D485)))),""),""))</x:f>
        <x:v>4679.450723240598</x:v>
      </x:c>
      <x:c r="E486" s="440" t="n">
        <x:f>IF(AND(86=$B$173,ISNUMBER(D486)),IF(MAX(0,B486*(1+C486/12)-D486)&lt;MAX(0.0000001,$E$17*0.00000000001),0,MAX(0,B486*(1+C486/12)-D486)),0)</x:f>
        <x:v>0</x:v>
      </x:c>
      <x:c r="F486" s="440" t="n">
        <x:f>IF($B$78="Cash payoff",E486,0)</x:f>
        <x:v>0</x:v>
      </x:c>
      <x:c r="G486" s="440" t="n">
        <x:f>IF(AND(E486&gt;0,AND($B$78="Refinance",ISNUMBER($B$80),$B$80&gt;=0,$B$80&lt;=1,ROUND($B$81*12,0)&gt;=1,$B$81&lt;=100,SUM($B$82)&gt;=0,SUM($B$82)&lt;=1,SUM($B$83)&gt;=0)),E486*SUM($B$82)+SUM($B$83),0)</x:f>
        <x:v>0</x:v>
      </x:c>
      <x:c r="H486" s="440" t="n">
        <x:f>IF(ISNUMBER(D486),IF(MAX(0,B486*(1+C486/12)-D486-F486)&lt;MAX(0.0000001,$E$17*0.00000000001),0,MAX(0,B486*(1+C486/12)-D486-F486)),IF(AND($B$171=1,I485=1),B486,""))</x:f>
        <x:v>682018.2375435776</x:v>
      </x:c>
      <x:c r="I486" s="444" t="n">
        <x:f>IF(OR(I485=1,AND(E486&gt;0,$B$78&lt;&gt;"Cash payoff",NOT(AND($B$78="Refinance",ISNUMBER($B$80),$B$80&gt;=0,$B$80&lt;=1,ROUND($B$81*12,0)&gt;=1,$B$81&lt;=100,SUM($B$82)&gt;=0,SUM($B$82)&lt;=1,SUM($B$83)&gt;=0))),AND(ISNUMBER(B486),B486&gt;0,$B$171=1,NOT(ISNUMBER(D486)))),1,0)</x:f>
        <x:v>0</x:v>
      </x:c>
      <x:c r="J486" s="440" t="n">
        <x:f>IF(ISNUMBER(L485),L485,"")</x:f>
        <x:v>0</x:v>
      </x:c>
      <x:c r="K486" s="440" t="n">
        <x:f>IF(AND(ISNUMBER(J486),J486=0),0,IF(AND($B$176=1,ISNUMBER(J486)),MIN(J486*(1+$B$87/12),IF($B$86=0,0,IF($B$87=0,$B$86/ROUND($B$88*12,0),$B$86*($B$87/12)/(1-(1+$B$87/12)^(-ROUND($B$88*12,0)))))),""))</x:f>
        <x:v>0</x:v>
      </x:c>
      <x:c r="L486" s="440" t="n">
        <x:f>IF(ISNUMBER(K486),IF(MAX(0,J486*(1+SUM($B$87)/12)-K486)&lt;MAX(0.0000001,$B$86*0.00000000001),0,MAX(0,J486*(1+SUM($B$87)/12)-K486)),"")</x:f>
        <x:v>0</x:v>
      </x:c>
      <x:c r="M486" s="440" t="n">
        <x:f>IF(AND(ISNUMBER(D486),ISNUMBER(K486)),D486+K486,"")</x:f>
        <x:v>4679.450723240598</x:v>
      </x:c>
      <x:c r="N486" s="440" t="n">
        <x:f>IF(AND(ISNUMBER(H486),ISNUMBER(L486)),H486+L486,"")</x:f>
        <x:v>682018.2375435776</x:v>
      </x:c>
    </x:row>
    <x:row r="487" ht="22" customHeight="1">
      <x:c r="A487" s="254" t="n">
        <x:f>87</x:f>
        <x:v>87</x:v>
      </x:c>
      <x:c r="B487" s="440" t="n">
        <x:f>IF(ISNUMBER(H486),H486,"")</x:f>
        <x:v>682018.2375435776</x:v>
      </x:c>
      <x:c r="C487" s="442" t="n">
        <x:f>IF(ISNUMBER(B487),IF(AND(87&gt;$B$173,$B$78="Refinance",ISNUMBER($B$80),$B$80&gt;=0,$B$80&lt;=1,ROUND($B$81*12,0)&gt;=1,$B$81&lt;=100,SUM($B$82)&gt;=0,SUM($B$82)&lt;=1,SUM($B$83)&gt;=0),$B$80,IF(AND($B$175&gt;0,87&gt;$B$175,ISNUMBER($B$75)),$B$75,$B$61)),"")</x:f>
        <x:v>0.0625</x:v>
      </x:c>
      <x:c r="D487" s="440" t="n">
        <x:f>IF(AND(ISNUMBER(B487),B487=0),0,IF(AND($B$171=1,I486=0,ISNUMBER(C487),ISNUMBER(IF(AND(87&lt;=$B$174,87&lt;=$B$173),B487*C487/12,IF(AND(87=$B$173+1,AND(87&gt;$B$173,$B$78="Refinance",ISNUMBER($B$80),$B$80&gt;=0,$B$80&lt;=1,ROUND($B$81*12,0)&gt;=1,$B$81&lt;=100,SUM($B$82)&gt;=0,SUM($B$82)&lt;=1,SUM($B$83)&gt;=0)),IF(B487=0,0,IF(C487=0,B487/ROUND($B$81*12,0),B487*(C487/12)/(1-(1+C487/12)^(-ROUND($B$81*12,0))))),IF(AND(NOT(AND(87&gt;$B$173,$B$78="Refinance",ISNUMBER($B$80),$B$80&gt;=0,$B$80&lt;=1,ROUND($B$81*12,0)&gt;=1,$B$81&lt;=100,SUM($B$82)&gt;=0,SUM($B$82)&lt;=1,SUM($B$83)&gt;=0)),OR(87=1,87=$B$174+1,AND($B$175&gt;0,87=$B$175+1))),IF(AND($B$170=1,$B$66&gt;0,OR($B$175=0,87&lt;=$B$175)),$B$66,IF($B$172-MAX(87-1,$B$174)&gt;0,IF(B487=0,0,IF(C487=0,B487/($B$172-MAX(87-1,$B$174)),B487*(C487/12)/(1-(1+C487/12)^(-($B$172-MAX(87-1,$B$174)))))),"")),D486))))),IF(IF(AND(87&lt;=$B$174,87&lt;=$B$173),B487*C487/12,IF(AND(87=$B$173+1,AND(87&gt;$B$173,$B$78="Refinance",ISNUMBER($B$80),$B$80&gt;=0,$B$80&lt;=1,ROUND($B$81*12,0)&gt;=1,$B$81&lt;=100,SUM($B$82)&gt;=0,SUM($B$82)&lt;=1,SUM($B$83)&gt;=0)),IF(B487=0,0,IF(C487=0,B487/ROUND($B$81*12,0),B487*(C487/12)/(1-(1+C487/12)^(-ROUND($B$81*12,0))))),IF(AND(NOT(AND(87&gt;$B$173,$B$78="Refinance",ISNUMBER($B$80),$B$80&gt;=0,$B$80&lt;=1,ROUND($B$81*12,0)&gt;=1,$B$81&lt;=100,SUM($B$82)&gt;=0,SUM($B$82)&lt;=1,SUM($B$83)&gt;=0)),OR(87=1,87=$B$174+1,AND($B$175&gt;0,87=$B$175+1))),IF(AND($B$170=1,$B$66&gt;0,OR($B$175=0,87&lt;=$B$175)),$B$66,IF($B$172-MAX(87-1,$B$174)&gt;0,IF(B487=0,0,IF(C487=0,B487/($B$172-MAX(87-1,$B$174)),B487*(C487/12)/(1-(1+C487/12)^(-($B$172-MAX(87-1,$B$174)))))),"")),D486)))+0.0000001&gt;=B487*C487/12,MIN(B487*(1+C487/12),IF(AND(87&lt;=$B$174,87&lt;=$B$173),B487*C487/12,IF(AND(87=$B$173+1,AND(87&gt;$B$173,$B$78="Refinance",ISNUMBER($B$80),$B$80&gt;=0,$B$80&lt;=1,ROUND($B$81*12,0)&gt;=1,$B$81&lt;=100,SUM($B$82)&gt;=0,SUM($B$82)&lt;=1,SUM($B$83)&gt;=0)),IF(B487=0,0,IF(C487=0,B487/ROUND($B$81*12,0),B487*(C487/12)/(1-(1+C487/12)^(-ROUND($B$81*12,0))))),IF(AND(NOT(AND(87&gt;$B$173,$B$78="Refinance",ISNUMBER($B$80),$B$80&gt;=0,$B$80&lt;=1,ROUND($B$81*12,0)&gt;=1,$B$81&lt;=100,SUM($B$82)&gt;=0,SUM($B$82)&lt;=1,SUM($B$83)&gt;=0)),OR(87=1,87=$B$174+1,AND($B$175&gt;0,87=$B$175+1))),IF(AND($B$170=1,$B$66&gt;0,OR($B$175=0,87&lt;=$B$175)),$B$66,IF($B$172-MAX(87-1,$B$174)&gt;0,IF(B487=0,0,IF(C487=0,B487/($B$172-MAX(87-1,$B$174)),B487*(C487/12)/(1-(1+C487/12)^(-($B$172-MAX(87-1,$B$174)))))),"")),D486)))),""),""))</x:f>
        <x:v>4679.450723240598</x:v>
      </x:c>
      <x:c r="E487" s="440" t="n">
        <x:f>IF(AND(87=$B$173,ISNUMBER(D487)),IF(MAX(0,B487*(1+C487/12)-D487)&lt;MAX(0.0000001,$E$17*0.00000000001),0,MAX(0,B487*(1+C487/12)-D487)),0)</x:f>
        <x:v>0</x:v>
      </x:c>
      <x:c r="F487" s="440" t="n">
        <x:f>IF($B$78="Cash payoff",E487,0)</x:f>
        <x:v>0</x:v>
      </x:c>
      <x:c r="G487" s="440" t="n">
        <x:f>IF(AND(E487&gt;0,AND($B$78="Refinance",ISNUMBER($B$80),$B$80&gt;=0,$B$80&lt;=1,ROUND($B$81*12,0)&gt;=1,$B$81&lt;=100,SUM($B$82)&gt;=0,SUM($B$82)&lt;=1,SUM($B$83)&gt;=0)),E487*SUM($B$82)+SUM($B$83),0)</x:f>
        <x:v>0</x:v>
      </x:c>
      <x:c r="H487" s="440" t="n">
        <x:f>IF(ISNUMBER(D487),IF(MAX(0,B487*(1+C487/12)-D487-F487)&lt;MAX(0.0000001,$E$17*0.00000000001),0,MAX(0,B487*(1+C487/12)-D487-F487)),IF(AND($B$171=1,I486=1),B487,""))</x:f>
        <x:v>680890.9651408764</x:v>
      </x:c>
      <x:c r="I487" s="444" t="n">
        <x:f>IF(OR(I486=1,AND(E487&gt;0,$B$78&lt;&gt;"Cash payoff",NOT(AND($B$78="Refinance",ISNUMBER($B$80),$B$80&gt;=0,$B$80&lt;=1,ROUND($B$81*12,0)&gt;=1,$B$81&lt;=100,SUM($B$82)&gt;=0,SUM($B$82)&lt;=1,SUM($B$83)&gt;=0))),AND(ISNUMBER(B487),B487&gt;0,$B$171=1,NOT(ISNUMBER(D487)))),1,0)</x:f>
        <x:v>0</x:v>
      </x:c>
      <x:c r="J487" s="440" t="n">
        <x:f>IF(ISNUMBER(L486),L486,"")</x:f>
        <x:v>0</x:v>
      </x:c>
      <x:c r="K487" s="440" t="n">
        <x:f>IF(AND(ISNUMBER(J487),J487=0),0,IF(AND($B$176=1,ISNUMBER(J487)),MIN(J487*(1+$B$87/12),IF($B$86=0,0,IF($B$87=0,$B$86/ROUND($B$88*12,0),$B$86*($B$87/12)/(1-(1+$B$87/12)^(-ROUND($B$88*12,0)))))),""))</x:f>
        <x:v>0</x:v>
      </x:c>
      <x:c r="L487" s="440" t="n">
        <x:f>IF(ISNUMBER(K487),IF(MAX(0,J487*(1+SUM($B$87)/12)-K487)&lt;MAX(0.0000001,$B$86*0.00000000001),0,MAX(0,J487*(1+SUM($B$87)/12)-K487)),"")</x:f>
        <x:v>0</x:v>
      </x:c>
      <x:c r="M487" s="440" t="n">
        <x:f>IF(AND(ISNUMBER(D487),ISNUMBER(K487)),D487+K487,"")</x:f>
        <x:v>4679.450723240598</x:v>
      </x:c>
      <x:c r="N487" s="440" t="n">
        <x:f>IF(AND(ISNUMBER(H487),ISNUMBER(L487)),H487+L487,"")</x:f>
        <x:v>680890.9651408764</x:v>
      </x:c>
    </x:row>
    <x:row r="488" ht="22" customHeight="1">
      <x:c r="A488" s="254" t="n">
        <x:f>88</x:f>
        <x:v>88</x:v>
      </x:c>
      <x:c r="B488" s="440" t="n">
        <x:f>IF(ISNUMBER(H487),H487,"")</x:f>
        <x:v>680890.9651408764</x:v>
      </x:c>
      <x:c r="C488" s="442" t="n">
        <x:f>IF(ISNUMBER(B488),IF(AND(88&gt;$B$173,$B$78="Refinance",ISNUMBER($B$80),$B$80&gt;=0,$B$80&lt;=1,ROUND($B$81*12,0)&gt;=1,$B$81&lt;=100,SUM($B$82)&gt;=0,SUM($B$82)&lt;=1,SUM($B$83)&gt;=0),$B$80,IF(AND($B$175&gt;0,88&gt;$B$175,ISNUMBER($B$75)),$B$75,$B$61)),"")</x:f>
        <x:v>0.0625</x:v>
      </x:c>
      <x:c r="D488" s="440" t="n">
        <x:f>IF(AND(ISNUMBER(B488),B488=0),0,IF(AND($B$171=1,I487=0,ISNUMBER(C488),ISNUMBER(IF(AND(88&lt;=$B$174,88&lt;=$B$173),B488*C488/12,IF(AND(88=$B$173+1,AND(88&gt;$B$173,$B$78="Refinance",ISNUMBER($B$80),$B$80&gt;=0,$B$80&lt;=1,ROUND($B$81*12,0)&gt;=1,$B$81&lt;=100,SUM($B$82)&gt;=0,SUM($B$82)&lt;=1,SUM($B$83)&gt;=0)),IF(B488=0,0,IF(C488=0,B488/ROUND($B$81*12,0),B488*(C488/12)/(1-(1+C488/12)^(-ROUND($B$81*12,0))))),IF(AND(NOT(AND(88&gt;$B$173,$B$78="Refinance",ISNUMBER($B$80),$B$80&gt;=0,$B$80&lt;=1,ROUND($B$81*12,0)&gt;=1,$B$81&lt;=100,SUM($B$82)&gt;=0,SUM($B$82)&lt;=1,SUM($B$83)&gt;=0)),OR(88=1,88=$B$174+1,AND($B$175&gt;0,88=$B$175+1))),IF(AND($B$170=1,$B$66&gt;0,OR($B$175=0,88&lt;=$B$175)),$B$66,IF($B$172-MAX(88-1,$B$174)&gt;0,IF(B488=0,0,IF(C488=0,B488/($B$172-MAX(88-1,$B$174)),B488*(C488/12)/(1-(1+C488/12)^(-($B$172-MAX(88-1,$B$174)))))),"")),D487))))),IF(IF(AND(88&lt;=$B$174,88&lt;=$B$173),B488*C488/12,IF(AND(88=$B$173+1,AND(88&gt;$B$173,$B$78="Refinance",ISNUMBER($B$80),$B$80&gt;=0,$B$80&lt;=1,ROUND($B$81*12,0)&gt;=1,$B$81&lt;=100,SUM($B$82)&gt;=0,SUM($B$82)&lt;=1,SUM($B$83)&gt;=0)),IF(B488=0,0,IF(C488=0,B488/ROUND($B$81*12,0),B488*(C488/12)/(1-(1+C488/12)^(-ROUND($B$81*12,0))))),IF(AND(NOT(AND(88&gt;$B$173,$B$78="Refinance",ISNUMBER($B$80),$B$80&gt;=0,$B$80&lt;=1,ROUND($B$81*12,0)&gt;=1,$B$81&lt;=100,SUM($B$82)&gt;=0,SUM($B$82)&lt;=1,SUM($B$83)&gt;=0)),OR(88=1,88=$B$174+1,AND($B$175&gt;0,88=$B$175+1))),IF(AND($B$170=1,$B$66&gt;0,OR($B$175=0,88&lt;=$B$175)),$B$66,IF($B$172-MAX(88-1,$B$174)&gt;0,IF(B488=0,0,IF(C488=0,B488/($B$172-MAX(88-1,$B$174)),B488*(C488/12)/(1-(1+C488/12)^(-($B$172-MAX(88-1,$B$174)))))),"")),D487)))+0.0000001&gt;=B488*C488/12,MIN(B488*(1+C488/12),IF(AND(88&lt;=$B$174,88&lt;=$B$173),B488*C488/12,IF(AND(88=$B$173+1,AND(88&gt;$B$173,$B$78="Refinance",ISNUMBER($B$80),$B$80&gt;=0,$B$80&lt;=1,ROUND($B$81*12,0)&gt;=1,$B$81&lt;=100,SUM($B$82)&gt;=0,SUM($B$82)&lt;=1,SUM($B$83)&gt;=0)),IF(B488=0,0,IF(C488=0,B488/ROUND($B$81*12,0),B488*(C488/12)/(1-(1+C488/12)^(-ROUND($B$81*12,0))))),IF(AND(NOT(AND(88&gt;$B$173,$B$78="Refinance",ISNUMBER($B$80),$B$80&gt;=0,$B$80&lt;=1,ROUND($B$81*12,0)&gt;=1,$B$81&lt;=100,SUM($B$82)&gt;=0,SUM($B$82)&lt;=1,SUM($B$83)&gt;=0)),OR(88=1,88=$B$174+1,AND($B$175&gt;0,88=$B$175+1))),IF(AND($B$170=1,$B$66&gt;0,OR($B$175=0,88&lt;=$B$175)),$B$66,IF($B$172-MAX(88-1,$B$174)&gt;0,IF(B488=0,0,IF(C488=0,B488/($B$172-MAX(88-1,$B$174)),B488*(C488/12)/(1-(1+C488/12)^(-($B$172-MAX(88-1,$B$174)))))),"")),D487)))),""),""))</x:f>
        <x:v>4679.450723240598</x:v>
      </x:c>
      <x:c r="E488" s="440" t="n">
        <x:f>IF(AND(88=$B$173,ISNUMBER(D488)),IF(MAX(0,B488*(1+C488/12)-D488)&lt;MAX(0.0000001,$E$17*0.00000000001),0,MAX(0,B488*(1+C488/12)-D488)),0)</x:f>
        <x:v>0</x:v>
      </x:c>
      <x:c r="F488" s="440" t="n">
        <x:f>IF($B$78="Cash payoff",E488,0)</x:f>
        <x:v>0</x:v>
      </x:c>
      <x:c r="G488" s="440" t="n">
        <x:f>IF(AND(E488&gt;0,AND($B$78="Refinance",ISNUMBER($B$80),$B$80&gt;=0,$B$80&lt;=1,ROUND($B$81*12,0)&gt;=1,$B$81&lt;=100,SUM($B$82)&gt;=0,SUM($B$82)&lt;=1,SUM($B$83)&gt;=0)),E488*SUM($B$82)+SUM($B$83),0)</x:f>
        <x:v>0</x:v>
      </x:c>
      <x:c r="H488" s="440" t="n">
        <x:f>IF(ISNUMBER(D488),IF(MAX(0,B488*(1+C488/12)-D488-F488)&lt;MAX(0.0000001,$E$17*0.00000000001),0,MAX(0,B488*(1+C488/12)-D488-F488)),IF(AND($B$171=1,I487=1),B488,""))</x:f>
        <x:v>679757.8215277444</x:v>
      </x:c>
      <x:c r="I488" s="444" t="n">
        <x:f>IF(OR(I487=1,AND(E488&gt;0,$B$78&lt;&gt;"Cash payoff",NOT(AND($B$78="Refinance",ISNUMBER($B$80),$B$80&gt;=0,$B$80&lt;=1,ROUND($B$81*12,0)&gt;=1,$B$81&lt;=100,SUM($B$82)&gt;=0,SUM($B$82)&lt;=1,SUM($B$83)&gt;=0))),AND(ISNUMBER(B488),B488&gt;0,$B$171=1,NOT(ISNUMBER(D488)))),1,0)</x:f>
        <x:v>0</x:v>
      </x:c>
      <x:c r="J488" s="440" t="n">
        <x:f>IF(ISNUMBER(L487),L487,"")</x:f>
        <x:v>0</x:v>
      </x:c>
      <x:c r="K488" s="440" t="n">
        <x:f>IF(AND(ISNUMBER(J488),J488=0),0,IF(AND($B$176=1,ISNUMBER(J488)),MIN(J488*(1+$B$87/12),IF($B$86=0,0,IF($B$87=0,$B$86/ROUND($B$88*12,0),$B$86*($B$87/12)/(1-(1+$B$87/12)^(-ROUND($B$88*12,0)))))),""))</x:f>
        <x:v>0</x:v>
      </x:c>
      <x:c r="L488" s="440" t="n">
        <x:f>IF(ISNUMBER(K488),IF(MAX(0,J488*(1+SUM($B$87)/12)-K488)&lt;MAX(0.0000001,$B$86*0.00000000001),0,MAX(0,J488*(1+SUM($B$87)/12)-K488)),"")</x:f>
        <x:v>0</x:v>
      </x:c>
      <x:c r="M488" s="440" t="n">
        <x:f>IF(AND(ISNUMBER(D488),ISNUMBER(K488)),D488+K488,"")</x:f>
        <x:v>4679.450723240598</x:v>
      </x:c>
      <x:c r="N488" s="440" t="n">
        <x:f>IF(AND(ISNUMBER(H488),ISNUMBER(L488)),H488+L488,"")</x:f>
        <x:v>679757.8215277444</x:v>
      </x:c>
    </x:row>
    <x:row r="489" ht="22" customHeight="1">
      <x:c r="A489" s="254" t="n">
        <x:f>89</x:f>
        <x:v>89</x:v>
      </x:c>
      <x:c r="B489" s="440" t="n">
        <x:f>IF(ISNUMBER(H488),H488,"")</x:f>
        <x:v>679757.8215277444</x:v>
      </x:c>
      <x:c r="C489" s="442" t="n">
        <x:f>IF(ISNUMBER(B489),IF(AND(89&gt;$B$173,$B$78="Refinance",ISNUMBER($B$80),$B$80&gt;=0,$B$80&lt;=1,ROUND($B$81*12,0)&gt;=1,$B$81&lt;=100,SUM($B$82)&gt;=0,SUM($B$82)&lt;=1,SUM($B$83)&gt;=0),$B$80,IF(AND($B$175&gt;0,89&gt;$B$175,ISNUMBER($B$75)),$B$75,$B$61)),"")</x:f>
        <x:v>0.0625</x:v>
      </x:c>
      <x:c r="D489" s="440" t="n">
        <x:f>IF(AND(ISNUMBER(B489),B489=0),0,IF(AND($B$171=1,I488=0,ISNUMBER(C489),ISNUMBER(IF(AND(89&lt;=$B$174,89&lt;=$B$173),B489*C489/12,IF(AND(89=$B$173+1,AND(89&gt;$B$173,$B$78="Refinance",ISNUMBER($B$80),$B$80&gt;=0,$B$80&lt;=1,ROUND($B$81*12,0)&gt;=1,$B$81&lt;=100,SUM($B$82)&gt;=0,SUM($B$82)&lt;=1,SUM($B$83)&gt;=0)),IF(B489=0,0,IF(C489=0,B489/ROUND($B$81*12,0),B489*(C489/12)/(1-(1+C489/12)^(-ROUND($B$81*12,0))))),IF(AND(NOT(AND(89&gt;$B$173,$B$78="Refinance",ISNUMBER($B$80),$B$80&gt;=0,$B$80&lt;=1,ROUND($B$81*12,0)&gt;=1,$B$81&lt;=100,SUM($B$82)&gt;=0,SUM($B$82)&lt;=1,SUM($B$83)&gt;=0)),OR(89=1,89=$B$174+1,AND($B$175&gt;0,89=$B$175+1))),IF(AND($B$170=1,$B$66&gt;0,OR($B$175=0,89&lt;=$B$175)),$B$66,IF($B$172-MAX(89-1,$B$174)&gt;0,IF(B489=0,0,IF(C489=0,B489/($B$172-MAX(89-1,$B$174)),B489*(C489/12)/(1-(1+C489/12)^(-($B$172-MAX(89-1,$B$174)))))),"")),D488))))),IF(IF(AND(89&lt;=$B$174,89&lt;=$B$173),B489*C489/12,IF(AND(89=$B$173+1,AND(89&gt;$B$173,$B$78="Refinance",ISNUMBER($B$80),$B$80&gt;=0,$B$80&lt;=1,ROUND($B$81*12,0)&gt;=1,$B$81&lt;=100,SUM($B$82)&gt;=0,SUM($B$82)&lt;=1,SUM($B$83)&gt;=0)),IF(B489=0,0,IF(C489=0,B489/ROUND($B$81*12,0),B489*(C489/12)/(1-(1+C489/12)^(-ROUND($B$81*12,0))))),IF(AND(NOT(AND(89&gt;$B$173,$B$78="Refinance",ISNUMBER($B$80),$B$80&gt;=0,$B$80&lt;=1,ROUND($B$81*12,0)&gt;=1,$B$81&lt;=100,SUM($B$82)&gt;=0,SUM($B$82)&lt;=1,SUM($B$83)&gt;=0)),OR(89=1,89=$B$174+1,AND($B$175&gt;0,89=$B$175+1))),IF(AND($B$170=1,$B$66&gt;0,OR($B$175=0,89&lt;=$B$175)),$B$66,IF($B$172-MAX(89-1,$B$174)&gt;0,IF(B489=0,0,IF(C489=0,B489/($B$172-MAX(89-1,$B$174)),B489*(C489/12)/(1-(1+C489/12)^(-($B$172-MAX(89-1,$B$174)))))),"")),D488)))+0.0000001&gt;=B489*C489/12,MIN(B489*(1+C489/12),IF(AND(89&lt;=$B$174,89&lt;=$B$173),B489*C489/12,IF(AND(89=$B$173+1,AND(89&gt;$B$173,$B$78="Refinance",ISNUMBER($B$80),$B$80&gt;=0,$B$80&lt;=1,ROUND($B$81*12,0)&gt;=1,$B$81&lt;=100,SUM($B$82)&gt;=0,SUM($B$82)&lt;=1,SUM($B$83)&gt;=0)),IF(B489=0,0,IF(C489=0,B489/ROUND($B$81*12,0),B489*(C489/12)/(1-(1+C489/12)^(-ROUND($B$81*12,0))))),IF(AND(NOT(AND(89&gt;$B$173,$B$78="Refinance",ISNUMBER($B$80),$B$80&gt;=0,$B$80&lt;=1,ROUND($B$81*12,0)&gt;=1,$B$81&lt;=100,SUM($B$82)&gt;=0,SUM($B$82)&lt;=1,SUM($B$83)&gt;=0)),OR(89=1,89=$B$174+1,AND($B$175&gt;0,89=$B$175+1))),IF(AND($B$170=1,$B$66&gt;0,OR($B$175=0,89&lt;=$B$175)),$B$66,IF($B$172-MAX(89-1,$B$174)&gt;0,IF(B489=0,0,IF(C489=0,B489/($B$172-MAX(89-1,$B$174)),B489*(C489/12)/(1-(1+C489/12)^(-($B$172-MAX(89-1,$B$174)))))),"")),D488)))),""),""))</x:f>
        <x:v>4679.450723240598</x:v>
      </x:c>
      <x:c r="E489" s="440" t="n">
        <x:f>IF(AND(89=$B$173,ISNUMBER(D489)),IF(MAX(0,B489*(1+C489/12)-D489)&lt;MAX(0.0000001,$E$17*0.00000000001),0,MAX(0,B489*(1+C489/12)-D489)),0)</x:f>
        <x:v>0</x:v>
      </x:c>
      <x:c r="F489" s="440" t="n">
        <x:f>IF($B$78="Cash payoff",E489,0)</x:f>
        <x:v>0</x:v>
      </x:c>
      <x:c r="G489" s="440" t="n">
        <x:f>IF(AND(E489&gt;0,AND($B$78="Refinance",ISNUMBER($B$80),$B$80&gt;=0,$B$80&lt;=1,ROUND($B$81*12,0)&gt;=1,$B$81&lt;=100,SUM($B$82)&gt;=0,SUM($B$82)&lt;=1,SUM($B$83)&gt;=0)),E489*SUM($B$82)+SUM($B$83),0)</x:f>
        <x:v>0</x:v>
      </x:c>
      <x:c r="H489" s="440" t="n">
        <x:f>IF(ISNUMBER(D489),IF(MAX(0,B489*(1+C489/12)-D489-F489)&lt;MAX(0.0000001,$E$17*0.00000000001),0,MAX(0,B489*(1+C489/12)-D489-F489)),IF(AND($B$171=1,I488=1),B489,""))</x:f>
        <x:v>678618.7761249607</x:v>
      </x:c>
      <x:c r="I489" s="444" t="n">
        <x:f>IF(OR(I488=1,AND(E489&gt;0,$B$78&lt;&gt;"Cash payoff",NOT(AND($B$78="Refinance",ISNUMBER($B$80),$B$80&gt;=0,$B$80&lt;=1,ROUND($B$81*12,0)&gt;=1,$B$81&lt;=100,SUM($B$82)&gt;=0,SUM($B$82)&lt;=1,SUM($B$83)&gt;=0))),AND(ISNUMBER(B489),B489&gt;0,$B$171=1,NOT(ISNUMBER(D489)))),1,0)</x:f>
        <x:v>0</x:v>
      </x:c>
      <x:c r="J489" s="440" t="n">
        <x:f>IF(ISNUMBER(L488),L488,"")</x:f>
        <x:v>0</x:v>
      </x:c>
      <x:c r="K489" s="440" t="n">
        <x:f>IF(AND(ISNUMBER(J489),J489=0),0,IF(AND($B$176=1,ISNUMBER(J489)),MIN(J489*(1+$B$87/12),IF($B$86=0,0,IF($B$87=0,$B$86/ROUND($B$88*12,0),$B$86*($B$87/12)/(1-(1+$B$87/12)^(-ROUND($B$88*12,0)))))),""))</x:f>
        <x:v>0</x:v>
      </x:c>
      <x:c r="L489" s="440" t="n">
        <x:f>IF(ISNUMBER(K489),IF(MAX(0,J489*(1+SUM($B$87)/12)-K489)&lt;MAX(0.0000001,$B$86*0.00000000001),0,MAX(0,J489*(1+SUM($B$87)/12)-K489)),"")</x:f>
        <x:v>0</x:v>
      </x:c>
      <x:c r="M489" s="440" t="n">
        <x:f>IF(AND(ISNUMBER(D489),ISNUMBER(K489)),D489+K489,"")</x:f>
        <x:v>4679.450723240598</x:v>
      </x:c>
      <x:c r="N489" s="440" t="n">
        <x:f>IF(AND(ISNUMBER(H489),ISNUMBER(L489)),H489+L489,"")</x:f>
        <x:v>678618.7761249607</x:v>
      </x:c>
    </x:row>
    <x:row r="490" ht="22" customHeight="1">
      <x:c r="A490" s="254" t="n">
        <x:f>90</x:f>
        <x:v>90</x:v>
      </x:c>
      <x:c r="B490" s="440" t="n">
        <x:f>IF(ISNUMBER(H489),H489,"")</x:f>
        <x:v>678618.7761249607</x:v>
      </x:c>
      <x:c r="C490" s="442" t="n">
        <x:f>IF(ISNUMBER(B490),IF(AND(90&gt;$B$173,$B$78="Refinance",ISNUMBER($B$80),$B$80&gt;=0,$B$80&lt;=1,ROUND($B$81*12,0)&gt;=1,$B$81&lt;=100,SUM($B$82)&gt;=0,SUM($B$82)&lt;=1,SUM($B$83)&gt;=0),$B$80,IF(AND($B$175&gt;0,90&gt;$B$175,ISNUMBER($B$75)),$B$75,$B$61)),"")</x:f>
        <x:v>0.0625</x:v>
      </x:c>
      <x:c r="D490" s="440" t="n">
        <x:f>IF(AND(ISNUMBER(B490),B490=0),0,IF(AND($B$171=1,I489=0,ISNUMBER(C490),ISNUMBER(IF(AND(90&lt;=$B$174,90&lt;=$B$173),B490*C490/12,IF(AND(90=$B$173+1,AND(90&gt;$B$173,$B$78="Refinance",ISNUMBER($B$80),$B$80&gt;=0,$B$80&lt;=1,ROUND($B$81*12,0)&gt;=1,$B$81&lt;=100,SUM($B$82)&gt;=0,SUM($B$82)&lt;=1,SUM($B$83)&gt;=0)),IF(B490=0,0,IF(C490=0,B490/ROUND($B$81*12,0),B490*(C490/12)/(1-(1+C490/12)^(-ROUND($B$81*12,0))))),IF(AND(NOT(AND(90&gt;$B$173,$B$78="Refinance",ISNUMBER($B$80),$B$80&gt;=0,$B$80&lt;=1,ROUND($B$81*12,0)&gt;=1,$B$81&lt;=100,SUM($B$82)&gt;=0,SUM($B$82)&lt;=1,SUM($B$83)&gt;=0)),OR(90=1,90=$B$174+1,AND($B$175&gt;0,90=$B$175+1))),IF(AND($B$170=1,$B$66&gt;0,OR($B$175=0,90&lt;=$B$175)),$B$66,IF($B$172-MAX(90-1,$B$174)&gt;0,IF(B490=0,0,IF(C490=0,B490/($B$172-MAX(90-1,$B$174)),B490*(C490/12)/(1-(1+C490/12)^(-($B$172-MAX(90-1,$B$174)))))),"")),D489))))),IF(IF(AND(90&lt;=$B$174,90&lt;=$B$173),B490*C490/12,IF(AND(90=$B$173+1,AND(90&gt;$B$173,$B$78="Refinance",ISNUMBER($B$80),$B$80&gt;=0,$B$80&lt;=1,ROUND($B$81*12,0)&gt;=1,$B$81&lt;=100,SUM($B$82)&gt;=0,SUM($B$82)&lt;=1,SUM($B$83)&gt;=0)),IF(B490=0,0,IF(C490=0,B490/ROUND($B$81*12,0),B490*(C490/12)/(1-(1+C490/12)^(-ROUND($B$81*12,0))))),IF(AND(NOT(AND(90&gt;$B$173,$B$78="Refinance",ISNUMBER($B$80),$B$80&gt;=0,$B$80&lt;=1,ROUND($B$81*12,0)&gt;=1,$B$81&lt;=100,SUM($B$82)&gt;=0,SUM($B$82)&lt;=1,SUM($B$83)&gt;=0)),OR(90=1,90=$B$174+1,AND($B$175&gt;0,90=$B$175+1))),IF(AND($B$170=1,$B$66&gt;0,OR($B$175=0,90&lt;=$B$175)),$B$66,IF($B$172-MAX(90-1,$B$174)&gt;0,IF(B490=0,0,IF(C490=0,B490/($B$172-MAX(90-1,$B$174)),B490*(C490/12)/(1-(1+C490/12)^(-($B$172-MAX(90-1,$B$174)))))),"")),D489)))+0.0000001&gt;=B490*C490/12,MIN(B490*(1+C490/12),IF(AND(90&lt;=$B$174,90&lt;=$B$173),B490*C490/12,IF(AND(90=$B$173+1,AND(90&gt;$B$173,$B$78="Refinance",ISNUMBER($B$80),$B$80&gt;=0,$B$80&lt;=1,ROUND($B$81*12,0)&gt;=1,$B$81&lt;=100,SUM($B$82)&gt;=0,SUM($B$82)&lt;=1,SUM($B$83)&gt;=0)),IF(B490=0,0,IF(C490=0,B490/ROUND($B$81*12,0),B490*(C490/12)/(1-(1+C490/12)^(-ROUND($B$81*12,0))))),IF(AND(NOT(AND(90&gt;$B$173,$B$78="Refinance",ISNUMBER($B$80),$B$80&gt;=0,$B$80&lt;=1,ROUND($B$81*12,0)&gt;=1,$B$81&lt;=100,SUM($B$82)&gt;=0,SUM($B$82)&lt;=1,SUM($B$83)&gt;=0)),OR(90=1,90=$B$174+1,AND($B$175&gt;0,90=$B$175+1))),IF(AND($B$170=1,$B$66&gt;0,OR($B$175=0,90&lt;=$B$175)),$B$66,IF($B$172-MAX(90-1,$B$174)&gt;0,IF(B490=0,0,IF(C490=0,B490/($B$172-MAX(90-1,$B$174)),B490*(C490/12)/(1-(1+C490/12)^(-($B$172-MAX(90-1,$B$174)))))),"")),D489)))),""),""))</x:f>
        <x:v>4679.450723240598</x:v>
      </x:c>
      <x:c r="E490" s="440" t="n">
        <x:f>IF(AND(90=$B$173,ISNUMBER(D490)),IF(MAX(0,B490*(1+C490/12)-D490)&lt;MAX(0.0000001,$E$17*0.00000000001),0,MAX(0,B490*(1+C490/12)-D490)),0)</x:f>
        <x:v>0</x:v>
      </x:c>
      <x:c r="F490" s="440" t="n">
        <x:f>IF($B$78="Cash payoff",E490,0)</x:f>
        <x:v>0</x:v>
      </x:c>
      <x:c r="G490" s="440" t="n">
        <x:f>IF(AND(E490&gt;0,AND($B$78="Refinance",ISNUMBER($B$80),$B$80&gt;=0,$B$80&lt;=1,ROUND($B$81*12,0)&gt;=1,$B$81&lt;=100,SUM($B$82)&gt;=0,SUM($B$82)&lt;=1,SUM($B$83)&gt;=0)),E490*SUM($B$82)+SUM($B$83),0)</x:f>
        <x:v>0</x:v>
      </x:c>
      <x:c r="H490" s="440" t="n">
        <x:f>IF(ISNUMBER(D490),IF(MAX(0,B490*(1+C490/12)-D490-F490)&lt;MAX(0.0000001,$E$17*0.00000000001),0,MAX(0,B490*(1+C490/12)-D490-F490)),IF(AND($B$171=1,I489=1),B490,""))</x:f>
        <x:v>677473.7981940376</x:v>
      </x:c>
      <x:c r="I490" s="444" t="n">
        <x:f>IF(OR(I489=1,AND(E490&gt;0,$B$78&lt;&gt;"Cash payoff",NOT(AND($B$78="Refinance",ISNUMBER($B$80),$B$80&gt;=0,$B$80&lt;=1,ROUND($B$81*12,0)&gt;=1,$B$81&lt;=100,SUM($B$82)&gt;=0,SUM($B$82)&lt;=1,SUM($B$83)&gt;=0))),AND(ISNUMBER(B490),B490&gt;0,$B$171=1,NOT(ISNUMBER(D490)))),1,0)</x:f>
        <x:v>0</x:v>
      </x:c>
      <x:c r="J490" s="440" t="n">
        <x:f>IF(ISNUMBER(L489),L489,"")</x:f>
        <x:v>0</x:v>
      </x:c>
      <x:c r="K490" s="440" t="n">
        <x:f>IF(AND(ISNUMBER(J490),J490=0),0,IF(AND($B$176=1,ISNUMBER(J490)),MIN(J490*(1+$B$87/12),IF($B$86=0,0,IF($B$87=0,$B$86/ROUND($B$88*12,0),$B$86*($B$87/12)/(1-(1+$B$87/12)^(-ROUND($B$88*12,0)))))),""))</x:f>
        <x:v>0</x:v>
      </x:c>
      <x:c r="L490" s="440" t="n">
        <x:f>IF(ISNUMBER(K490),IF(MAX(0,J490*(1+SUM($B$87)/12)-K490)&lt;MAX(0.0000001,$B$86*0.00000000001),0,MAX(0,J490*(1+SUM($B$87)/12)-K490)),"")</x:f>
        <x:v>0</x:v>
      </x:c>
      <x:c r="M490" s="440" t="n">
        <x:f>IF(AND(ISNUMBER(D490),ISNUMBER(K490)),D490+K490,"")</x:f>
        <x:v>4679.450723240598</x:v>
      </x:c>
      <x:c r="N490" s="440" t="n">
        <x:f>IF(AND(ISNUMBER(H490),ISNUMBER(L490)),H490+L490,"")</x:f>
        <x:v>677473.7981940376</x:v>
      </x:c>
    </x:row>
    <x:row r="491" ht="22" customHeight="1">
      <x:c r="A491" s="254" t="n">
        <x:f>91</x:f>
        <x:v>91</x:v>
      </x:c>
      <x:c r="B491" s="440" t="n">
        <x:f>IF(ISNUMBER(H490),H490,"")</x:f>
        <x:v>677473.7981940376</x:v>
      </x:c>
      <x:c r="C491" s="442" t="n">
        <x:f>IF(ISNUMBER(B491),IF(AND(91&gt;$B$173,$B$78="Refinance",ISNUMBER($B$80),$B$80&gt;=0,$B$80&lt;=1,ROUND($B$81*12,0)&gt;=1,$B$81&lt;=100,SUM($B$82)&gt;=0,SUM($B$82)&lt;=1,SUM($B$83)&gt;=0),$B$80,IF(AND($B$175&gt;0,91&gt;$B$175,ISNUMBER($B$75)),$B$75,$B$61)),"")</x:f>
        <x:v>0.0625</x:v>
      </x:c>
      <x:c r="D491" s="440" t="n">
        <x:f>IF(AND(ISNUMBER(B491),B491=0),0,IF(AND($B$171=1,I490=0,ISNUMBER(C491),ISNUMBER(IF(AND(91&lt;=$B$174,91&lt;=$B$173),B491*C491/12,IF(AND(91=$B$173+1,AND(91&gt;$B$173,$B$78="Refinance",ISNUMBER($B$80),$B$80&gt;=0,$B$80&lt;=1,ROUND($B$81*12,0)&gt;=1,$B$81&lt;=100,SUM($B$82)&gt;=0,SUM($B$82)&lt;=1,SUM($B$83)&gt;=0)),IF(B491=0,0,IF(C491=0,B491/ROUND($B$81*12,0),B491*(C491/12)/(1-(1+C491/12)^(-ROUND($B$81*12,0))))),IF(AND(NOT(AND(91&gt;$B$173,$B$78="Refinance",ISNUMBER($B$80),$B$80&gt;=0,$B$80&lt;=1,ROUND($B$81*12,0)&gt;=1,$B$81&lt;=100,SUM($B$82)&gt;=0,SUM($B$82)&lt;=1,SUM($B$83)&gt;=0)),OR(91=1,91=$B$174+1,AND($B$175&gt;0,91=$B$175+1))),IF(AND($B$170=1,$B$66&gt;0,OR($B$175=0,91&lt;=$B$175)),$B$66,IF($B$172-MAX(91-1,$B$174)&gt;0,IF(B491=0,0,IF(C491=0,B491/($B$172-MAX(91-1,$B$174)),B491*(C491/12)/(1-(1+C491/12)^(-($B$172-MAX(91-1,$B$174)))))),"")),D490))))),IF(IF(AND(91&lt;=$B$174,91&lt;=$B$173),B491*C491/12,IF(AND(91=$B$173+1,AND(91&gt;$B$173,$B$78="Refinance",ISNUMBER($B$80),$B$80&gt;=0,$B$80&lt;=1,ROUND($B$81*12,0)&gt;=1,$B$81&lt;=100,SUM($B$82)&gt;=0,SUM($B$82)&lt;=1,SUM($B$83)&gt;=0)),IF(B491=0,0,IF(C491=0,B491/ROUND($B$81*12,0),B491*(C491/12)/(1-(1+C491/12)^(-ROUND($B$81*12,0))))),IF(AND(NOT(AND(91&gt;$B$173,$B$78="Refinance",ISNUMBER($B$80),$B$80&gt;=0,$B$80&lt;=1,ROUND($B$81*12,0)&gt;=1,$B$81&lt;=100,SUM($B$82)&gt;=0,SUM($B$82)&lt;=1,SUM($B$83)&gt;=0)),OR(91=1,91=$B$174+1,AND($B$175&gt;0,91=$B$175+1))),IF(AND($B$170=1,$B$66&gt;0,OR($B$175=0,91&lt;=$B$175)),$B$66,IF($B$172-MAX(91-1,$B$174)&gt;0,IF(B491=0,0,IF(C491=0,B491/($B$172-MAX(91-1,$B$174)),B491*(C491/12)/(1-(1+C491/12)^(-($B$172-MAX(91-1,$B$174)))))),"")),D490)))+0.0000001&gt;=B491*C491/12,MIN(B491*(1+C491/12),IF(AND(91&lt;=$B$174,91&lt;=$B$173),B491*C491/12,IF(AND(91=$B$173+1,AND(91&gt;$B$173,$B$78="Refinance",ISNUMBER($B$80),$B$80&gt;=0,$B$80&lt;=1,ROUND($B$81*12,0)&gt;=1,$B$81&lt;=100,SUM($B$82)&gt;=0,SUM($B$82)&lt;=1,SUM($B$83)&gt;=0)),IF(B491=0,0,IF(C491=0,B491/ROUND($B$81*12,0),B491*(C491/12)/(1-(1+C491/12)^(-ROUND($B$81*12,0))))),IF(AND(NOT(AND(91&gt;$B$173,$B$78="Refinance",ISNUMBER($B$80),$B$80&gt;=0,$B$80&lt;=1,ROUND($B$81*12,0)&gt;=1,$B$81&lt;=100,SUM($B$82)&gt;=0,SUM($B$82)&lt;=1,SUM($B$83)&gt;=0)),OR(91=1,91=$B$174+1,AND($B$175&gt;0,91=$B$175+1))),IF(AND($B$170=1,$B$66&gt;0,OR($B$175=0,91&lt;=$B$175)),$B$66,IF($B$172-MAX(91-1,$B$174)&gt;0,IF(B491=0,0,IF(C491=0,B491/($B$172-MAX(91-1,$B$174)),B491*(C491/12)/(1-(1+C491/12)^(-($B$172-MAX(91-1,$B$174)))))),"")),D490)))),""),""))</x:f>
        <x:v>4679.450723240598</x:v>
      </x:c>
      <x:c r="E491" s="440" t="n">
        <x:f>IF(AND(91=$B$173,ISNUMBER(D491)),IF(MAX(0,B491*(1+C491/12)-D491)&lt;MAX(0.0000001,$E$17*0.00000000001),0,MAX(0,B491*(1+C491/12)-D491)),0)</x:f>
        <x:v>0</x:v>
      </x:c>
      <x:c r="F491" s="440" t="n">
        <x:f>IF($B$78="Cash payoff",E491,0)</x:f>
        <x:v>0</x:v>
      </x:c>
      <x:c r="G491" s="440" t="n">
        <x:f>IF(AND(E491&gt;0,AND($B$78="Refinance",ISNUMBER($B$80),$B$80&gt;=0,$B$80&lt;=1,ROUND($B$81*12,0)&gt;=1,$B$81&lt;=100,SUM($B$82)&gt;=0,SUM($B$82)&lt;=1,SUM($B$83)&gt;=0)),E491*SUM($B$82)+SUM($B$83),0)</x:f>
        <x:v>0</x:v>
      </x:c>
      <x:c r="H491" s="440" t="n">
        <x:f>IF(ISNUMBER(D491),IF(MAX(0,B491*(1+C491/12)-D491-F491)&lt;MAX(0.0000001,$E$17*0.00000000001),0,MAX(0,B491*(1+C491/12)-D491-F491)),IF(AND($B$171=1,I490=1),B491,""))</x:f>
        <x:v>676322.8568363909</x:v>
      </x:c>
      <x:c r="I491" s="444" t="n">
        <x:f>IF(OR(I490=1,AND(E491&gt;0,$B$78&lt;&gt;"Cash payoff",NOT(AND($B$78="Refinance",ISNUMBER($B$80),$B$80&gt;=0,$B$80&lt;=1,ROUND($B$81*12,0)&gt;=1,$B$81&lt;=100,SUM($B$82)&gt;=0,SUM($B$82)&lt;=1,SUM($B$83)&gt;=0))),AND(ISNUMBER(B491),B491&gt;0,$B$171=1,NOT(ISNUMBER(D491)))),1,0)</x:f>
        <x:v>0</x:v>
      </x:c>
      <x:c r="J491" s="440" t="n">
        <x:f>IF(ISNUMBER(L490),L490,"")</x:f>
        <x:v>0</x:v>
      </x:c>
      <x:c r="K491" s="440" t="n">
        <x:f>IF(AND(ISNUMBER(J491),J491=0),0,IF(AND($B$176=1,ISNUMBER(J491)),MIN(J491*(1+$B$87/12),IF($B$86=0,0,IF($B$87=0,$B$86/ROUND($B$88*12,0),$B$86*($B$87/12)/(1-(1+$B$87/12)^(-ROUND($B$88*12,0)))))),""))</x:f>
        <x:v>0</x:v>
      </x:c>
      <x:c r="L491" s="440" t="n">
        <x:f>IF(ISNUMBER(K491),IF(MAX(0,J491*(1+SUM($B$87)/12)-K491)&lt;MAX(0.0000001,$B$86*0.00000000001),0,MAX(0,J491*(1+SUM($B$87)/12)-K491)),"")</x:f>
        <x:v>0</x:v>
      </x:c>
      <x:c r="M491" s="440" t="n">
        <x:f>IF(AND(ISNUMBER(D491),ISNUMBER(K491)),D491+K491,"")</x:f>
        <x:v>4679.450723240598</x:v>
      </x:c>
      <x:c r="N491" s="440" t="n">
        <x:f>IF(AND(ISNUMBER(H491),ISNUMBER(L491)),H491+L491,"")</x:f>
        <x:v>676322.8568363909</x:v>
      </x:c>
    </x:row>
    <x:row r="492" ht="22" customHeight="1">
      <x:c r="A492" s="254" t="n">
        <x:f>92</x:f>
        <x:v>92</x:v>
      </x:c>
      <x:c r="B492" s="440" t="n">
        <x:f>IF(ISNUMBER(H491),H491,"")</x:f>
        <x:v>676322.8568363909</x:v>
      </x:c>
      <x:c r="C492" s="442" t="n">
        <x:f>IF(ISNUMBER(B492),IF(AND(92&gt;$B$173,$B$78="Refinance",ISNUMBER($B$80),$B$80&gt;=0,$B$80&lt;=1,ROUND($B$81*12,0)&gt;=1,$B$81&lt;=100,SUM($B$82)&gt;=0,SUM($B$82)&lt;=1,SUM($B$83)&gt;=0),$B$80,IF(AND($B$175&gt;0,92&gt;$B$175,ISNUMBER($B$75)),$B$75,$B$61)),"")</x:f>
        <x:v>0.0625</x:v>
      </x:c>
      <x:c r="D492" s="440" t="n">
        <x:f>IF(AND(ISNUMBER(B492),B492=0),0,IF(AND($B$171=1,I491=0,ISNUMBER(C492),ISNUMBER(IF(AND(92&lt;=$B$174,92&lt;=$B$173),B492*C492/12,IF(AND(92=$B$173+1,AND(92&gt;$B$173,$B$78="Refinance",ISNUMBER($B$80),$B$80&gt;=0,$B$80&lt;=1,ROUND($B$81*12,0)&gt;=1,$B$81&lt;=100,SUM($B$82)&gt;=0,SUM($B$82)&lt;=1,SUM($B$83)&gt;=0)),IF(B492=0,0,IF(C492=0,B492/ROUND($B$81*12,0),B492*(C492/12)/(1-(1+C492/12)^(-ROUND($B$81*12,0))))),IF(AND(NOT(AND(92&gt;$B$173,$B$78="Refinance",ISNUMBER($B$80),$B$80&gt;=0,$B$80&lt;=1,ROUND($B$81*12,0)&gt;=1,$B$81&lt;=100,SUM($B$82)&gt;=0,SUM($B$82)&lt;=1,SUM($B$83)&gt;=0)),OR(92=1,92=$B$174+1,AND($B$175&gt;0,92=$B$175+1))),IF(AND($B$170=1,$B$66&gt;0,OR($B$175=0,92&lt;=$B$175)),$B$66,IF($B$172-MAX(92-1,$B$174)&gt;0,IF(B492=0,0,IF(C492=0,B492/($B$172-MAX(92-1,$B$174)),B492*(C492/12)/(1-(1+C492/12)^(-($B$172-MAX(92-1,$B$174)))))),"")),D491))))),IF(IF(AND(92&lt;=$B$174,92&lt;=$B$173),B492*C492/12,IF(AND(92=$B$173+1,AND(92&gt;$B$173,$B$78="Refinance",ISNUMBER($B$80),$B$80&gt;=0,$B$80&lt;=1,ROUND($B$81*12,0)&gt;=1,$B$81&lt;=100,SUM($B$82)&gt;=0,SUM($B$82)&lt;=1,SUM($B$83)&gt;=0)),IF(B492=0,0,IF(C492=0,B492/ROUND($B$81*12,0),B492*(C492/12)/(1-(1+C492/12)^(-ROUND($B$81*12,0))))),IF(AND(NOT(AND(92&gt;$B$173,$B$78="Refinance",ISNUMBER($B$80),$B$80&gt;=0,$B$80&lt;=1,ROUND($B$81*12,0)&gt;=1,$B$81&lt;=100,SUM($B$82)&gt;=0,SUM($B$82)&lt;=1,SUM($B$83)&gt;=0)),OR(92=1,92=$B$174+1,AND($B$175&gt;0,92=$B$175+1))),IF(AND($B$170=1,$B$66&gt;0,OR($B$175=0,92&lt;=$B$175)),$B$66,IF($B$172-MAX(92-1,$B$174)&gt;0,IF(B492=0,0,IF(C492=0,B492/($B$172-MAX(92-1,$B$174)),B492*(C492/12)/(1-(1+C492/12)^(-($B$172-MAX(92-1,$B$174)))))),"")),D491)))+0.0000001&gt;=B492*C492/12,MIN(B492*(1+C492/12),IF(AND(92&lt;=$B$174,92&lt;=$B$173),B492*C492/12,IF(AND(92=$B$173+1,AND(92&gt;$B$173,$B$78="Refinance",ISNUMBER($B$80),$B$80&gt;=0,$B$80&lt;=1,ROUND($B$81*12,0)&gt;=1,$B$81&lt;=100,SUM($B$82)&gt;=0,SUM($B$82)&lt;=1,SUM($B$83)&gt;=0)),IF(B492=0,0,IF(C492=0,B492/ROUND($B$81*12,0),B492*(C492/12)/(1-(1+C492/12)^(-ROUND($B$81*12,0))))),IF(AND(NOT(AND(92&gt;$B$173,$B$78="Refinance",ISNUMBER($B$80),$B$80&gt;=0,$B$80&lt;=1,ROUND($B$81*12,0)&gt;=1,$B$81&lt;=100,SUM($B$82)&gt;=0,SUM($B$82)&lt;=1,SUM($B$83)&gt;=0)),OR(92=1,92=$B$174+1,AND($B$175&gt;0,92=$B$175+1))),IF(AND($B$170=1,$B$66&gt;0,OR($B$175=0,92&lt;=$B$175)),$B$66,IF($B$172-MAX(92-1,$B$174)&gt;0,IF(B492=0,0,IF(C492=0,B492/($B$172-MAX(92-1,$B$174)),B492*(C492/12)/(1-(1+C492/12)^(-($B$172-MAX(92-1,$B$174)))))),"")),D491)))),""),""))</x:f>
        <x:v>4679.450723240598</x:v>
      </x:c>
      <x:c r="E492" s="440" t="n">
        <x:f>IF(AND(92=$B$173,ISNUMBER(D492)),IF(MAX(0,B492*(1+C492/12)-D492)&lt;MAX(0.0000001,$E$17*0.00000000001),0,MAX(0,B492*(1+C492/12)-D492)),0)</x:f>
        <x:v>0</x:v>
      </x:c>
      <x:c r="F492" s="440" t="n">
        <x:f>IF($B$78="Cash payoff",E492,0)</x:f>
        <x:v>0</x:v>
      </x:c>
      <x:c r="G492" s="440" t="n">
        <x:f>IF(AND(E492&gt;0,AND($B$78="Refinance",ISNUMBER($B$80),$B$80&gt;=0,$B$80&lt;=1,ROUND($B$81*12,0)&gt;=1,$B$81&lt;=100,SUM($B$82)&gt;=0,SUM($B$82)&lt;=1,SUM($B$83)&gt;=0)),E492*SUM($B$82)+SUM($B$83),0)</x:f>
        <x:v>0</x:v>
      </x:c>
      <x:c r="H492" s="440" t="n">
        <x:f>IF(ISNUMBER(D492),IF(MAX(0,B492*(1+C492/12)-D492-F492)&lt;MAX(0.0000001,$E$17*0.00000000001),0,MAX(0,B492*(1+C492/12)-D492-F492)),IF(AND($B$171=1,I491=1),B492,""))</x:f>
        <x:v>675165.9209925064</x:v>
      </x:c>
      <x:c r="I492" s="444" t="n">
        <x:f>IF(OR(I491=1,AND(E492&gt;0,$B$78&lt;&gt;"Cash payoff",NOT(AND($B$78="Refinance",ISNUMBER($B$80),$B$80&gt;=0,$B$80&lt;=1,ROUND($B$81*12,0)&gt;=1,$B$81&lt;=100,SUM($B$82)&gt;=0,SUM($B$82)&lt;=1,SUM($B$83)&gt;=0))),AND(ISNUMBER(B492),B492&gt;0,$B$171=1,NOT(ISNUMBER(D492)))),1,0)</x:f>
        <x:v>0</x:v>
      </x:c>
      <x:c r="J492" s="440" t="n">
        <x:f>IF(ISNUMBER(L491),L491,"")</x:f>
        <x:v>0</x:v>
      </x:c>
      <x:c r="K492" s="440" t="n">
        <x:f>IF(AND(ISNUMBER(J492),J492=0),0,IF(AND($B$176=1,ISNUMBER(J492)),MIN(J492*(1+$B$87/12),IF($B$86=0,0,IF($B$87=0,$B$86/ROUND($B$88*12,0),$B$86*($B$87/12)/(1-(1+$B$87/12)^(-ROUND($B$88*12,0)))))),""))</x:f>
        <x:v>0</x:v>
      </x:c>
      <x:c r="L492" s="440" t="n">
        <x:f>IF(ISNUMBER(K492),IF(MAX(0,J492*(1+SUM($B$87)/12)-K492)&lt;MAX(0.0000001,$B$86*0.00000000001),0,MAX(0,J492*(1+SUM($B$87)/12)-K492)),"")</x:f>
        <x:v>0</x:v>
      </x:c>
      <x:c r="M492" s="440" t="n">
        <x:f>IF(AND(ISNUMBER(D492),ISNUMBER(K492)),D492+K492,"")</x:f>
        <x:v>4679.450723240598</x:v>
      </x:c>
      <x:c r="N492" s="440" t="n">
        <x:f>IF(AND(ISNUMBER(H492),ISNUMBER(L492)),H492+L492,"")</x:f>
        <x:v>675165.9209925064</x:v>
      </x:c>
    </x:row>
    <x:row r="493" ht="22" customHeight="1">
      <x:c r="A493" s="254" t="n">
        <x:f>93</x:f>
        <x:v>93</x:v>
      </x:c>
      <x:c r="B493" s="440" t="n">
        <x:f>IF(ISNUMBER(H492),H492,"")</x:f>
        <x:v>675165.9209925064</x:v>
      </x:c>
      <x:c r="C493" s="442" t="n">
        <x:f>IF(ISNUMBER(B493),IF(AND(93&gt;$B$173,$B$78="Refinance",ISNUMBER($B$80),$B$80&gt;=0,$B$80&lt;=1,ROUND($B$81*12,0)&gt;=1,$B$81&lt;=100,SUM($B$82)&gt;=0,SUM($B$82)&lt;=1,SUM($B$83)&gt;=0),$B$80,IF(AND($B$175&gt;0,93&gt;$B$175,ISNUMBER($B$75)),$B$75,$B$61)),"")</x:f>
        <x:v>0.0625</x:v>
      </x:c>
      <x:c r="D493" s="440" t="n">
        <x:f>IF(AND(ISNUMBER(B493),B493=0),0,IF(AND($B$171=1,I492=0,ISNUMBER(C493),ISNUMBER(IF(AND(93&lt;=$B$174,93&lt;=$B$173),B493*C493/12,IF(AND(93=$B$173+1,AND(93&gt;$B$173,$B$78="Refinance",ISNUMBER($B$80),$B$80&gt;=0,$B$80&lt;=1,ROUND($B$81*12,0)&gt;=1,$B$81&lt;=100,SUM($B$82)&gt;=0,SUM($B$82)&lt;=1,SUM($B$83)&gt;=0)),IF(B493=0,0,IF(C493=0,B493/ROUND($B$81*12,0),B493*(C493/12)/(1-(1+C493/12)^(-ROUND($B$81*12,0))))),IF(AND(NOT(AND(93&gt;$B$173,$B$78="Refinance",ISNUMBER($B$80),$B$80&gt;=0,$B$80&lt;=1,ROUND($B$81*12,0)&gt;=1,$B$81&lt;=100,SUM($B$82)&gt;=0,SUM($B$82)&lt;=1,SUM($B$83)&gt;=0)),OR(93=1,93=$B$174+1,AND($B$175&gt;0,93=$B$175+1))),IF(AND($B$170=1,$B$66&gt;0,OR($B$175=0,93&lt;=$B$175)),$B$66,IF($B$172-MAX(93-1,$B$174)&gt;0,IF(B493=0,0,IF(C493=0,B493/($B$172-MAX(93-1,$B$174)),B493*(C493/12)/(1-(1+C493/12)^(-($B$172-MAX(93-1,$B$174)))))),"")),D492))))),IF(IF(AND(93&lt;=$B$174,93&lt;=$B$173),B493*C493/12,IF(AND(93=$B$173+1,AND(93&gt;$B$173,$B$78="Refinance",ISNUMBER($B$80),$B$80&gt;=0,$B$80&lt;=1,ROUND($B$81*12,0)&gt;=1,$B$81&lt;=100,SUM($B$82)&gt;=0,SUM($B$82)&lt;=1,SUM($B$83)&gt;=0)),IF(B493=0,0,IF(C493=0,B493/ROUND($B$81*12,0),B493*(C493/12)/(1-(1+C493/12)^(-ROUND($B$81*12,0))))),IF(AND(NOT(AND(93&gt;$B$173,$B$78="Refinance",ISNUMBER($B$80),$B$80&gt;=0,$B$80&lt;=1,ROUND($B$81*12,0)&gt;=1,$B$81&lt;=100,SUM($B$82)&gt;=0,SUM($B$82)&lt;=1,SUM($B$83)&gt;=0)),OR(93=1,93=$B$174+1,AND($B$175&gt;0,93=$B$175+1))),IF(AND($B$170=1,$B$66&gt;0,OR($B$175=0,93&lt;=$B$175)),$B$66,IF($B$172-MAX(93-1,$B$174)&gt;0,IF(B493=0,0,IF(C493=0,B493/($B$172-MAX(93-1,$B$174)),B493*(C493/12)/(1-(1+C493/12)^(-($B$172-MAX(93-1,$B$174)))))),"")),D492)))+0.0000001&gt;=B493*C493/12,MIN(B493*(1+C493/12),IF(AND(93&lt;=$B$174,93&lt;=$B$173),B493*C493/12,IF(AND(93=$B$173+1,AND(93&gt;$B$173,$B$78="Refinance",ISNUMBER($B$80),$B$80&gt;=0,$B$80&lt;=1,ROUND($B$81*12,0)&gt;=1,$B$81&lt;=100,SUM($B$82)&gt;=0,SUM($B$82)&lt;=1,SUM($B$83)&gt;=0)),IF(B493=0,0,IF(C493=0,B493/ROUND($B$81*12,0),B493*(C493/12)/(1-(1+C493/12)^(-ROUND($B$81*12,0))))),IF(AND(NOT(AND(93&gt;$B$173,$B$78="Refinance",ISNUMBER($B$80),$B$80&gt;=0,$B$80&lt;=1,ROUND($B$81*12,0)&gt;=1,$B$81&lt;=100,SUM($B$82)&gt;=0,SUM($B$82)&lt;=1,SUM($B$83)&gt;=0)),OR(93=1,93=$B$174+1,AND($B$175&gt;0,93=$B$175+1))),IF(AND($B$170=1,$B$66&gt;0,OR($B$175=0,93&lt;=$B$175)),$B$66,IF($B$172-MAX(93-1,$B$174)&gt;0,IF(B493=0,0,IF(C493=0,B493/($B$172-MAX(93-1,$B$174)),B493*(C493/12)/(1-(1+C493/12)^(-($B$172-MAX(93-1,$B$174)))))),"")),D492)))),""),""))</x:f>
        <x:v>4679.450723240598</x:v>
      </x:c>
      <x:c r="E493" s="440" t="n">
        <x:f>IF(AND(93=$B$173,ISNUMBER(D493)),IF(MAX(0,B493*(1+C493/12)-D493)&lt;MAX(0.0000001,$E$17*0.00000000001),0,MAX(0,B493*(1+C493/12)-D493)),0)</x:f>
        <x:v>0</x:v>
      </x:c>
      <x:c r="F493" s="440" t="n">
        <x:f>IF($B$78="Cash payoff",E493,0)</x:f>
        <x:v>0</x:v>
      </x:c>
      <x:c r="G493" s="440" t="n">
        <x:f>IF(AND(E493&gt;0,AND($B$78="Refinance",ISNUMBER($B$80),$B$80&gt;=0,$B$80&lt;=1,ROUND($B$81*12,0)&gt;=1,$B$81&lt;=100,SUM($B$82)&gt;=0,SUM($B$82)&lt;=1,SUM($B$83)&gt;=0)),E493*SUM($B$82)+SUM($B$83),0)</x:f>
        <x:v>0</x:v>
      </x:c>
      <x:c r="H493" s="440" t="n">
        <x:f>IF(ISNUMBER(D493),IF(MAX(0,B493*(1+C493/12)-D493-F493)&lt;MAX(0.0000001,$E$17*0.00000000001),0,MAX(0,B493*(1+C493/12)-D493-F493)),IF(AND($B$171=1,I492=1),B493,""))</x:f>
        <x:v>674002.9594411018</x:v>
      </x:c>
      <x:c r="I493" s="444" t="n">
        <x:f>IF(OR(I492=1,AND(E493&gt;0,$B$78&lt;&gt;"Cash payoff",NOT(AND($B$78="Refinance",ISNUMBER($B$80),$B$80&gt;=0,$B$80&lt;=1,ROUND($B$81*12,0)&gt;=1,$B$81&lt;=100,SUM($B$82)&gt;=0,SUM($B$82)&lt;=1,SUM($B$83)&gt;=0))),AND(ISNUMBER(B493),B493&gt;0,$B$171=1,NOT(ISNUMBER(D493)))),1,0)</x:f>
        <x:v>0</x:v>
      </x:c>
      <x:c r="J493" s="440" t="n">
        <x:f>IF(ISNUMBER(L492),L492,"")</x:f>
        <x:v>0</x:v>
      </x:c>
      <x:c r="K493" s="440" t="n">
        <x:f>IF(AND(ISNUMBER(J493),J493=0),0,IF(AND($B$176=1,ISNUMBER(J493)),MIN(J493*(1+$B$87/12),IF($B$86=0,0,IF($B$87=0,$B$86/ROUND($B$88*12,0),$B$86*($B$87/12)/(1-(1+$B$87/12)^(-ROUND($B$88*12,0)))))),""))</x:f>
        <x:v>0</x:v>
      </x:c>
      <x:c r="L493" s="440" t="n">
        <x:f>IF(ISNUMBER(K493),IF(MAX(0,J493*(1+SUM($B$87)/12)-K493)&lt;MAX(0.0000001,$B$86*0.00000000001),0,MAX(0,J493*(1+SUM($B$87)/12)-K493)),"")</x:f>
        <x:v>0</x:v>
      </x:c>
      <x:c r="M493" s="440" t="n">
        <x:f>IF(AND(ISNUMBER(D493),ISNUMBER(K493)),D493+K493,"")</x:f>
        <x:v>4679.450723240598</x:v>
      </x:c>
      <x:c r="N493" s="440" t="n">
        <x:f>IF(AND(ISNUMBER(H493),ISNUMBER(L493)),H493+L493,"")</x:f>
        <x:v>674002.9594411018</x:v>
      </x:c>
    </x:row>
    <x:row r="494" ht="22" customHeight="1">
      <x:c r="A494" s="254" t="n">
        <x:f>94</x:f>
        <x:v>94</x:v>
      </x:c>
      <x:c r="B494" s="440" t="n">
        <x:f>IF(ISNUMBER(H493),H493,"")</x:f>
        <x:v>674002.9594411018</x:v>
      </x:c>
      <x:c r="C494" s="442" t="n">
        <x:f>IF(ISNUMBER(B494),IF(AND(94&gt;$B$173,$B$78="Refinance",ISNUMBER($B$80),$B$80&gt;=0,$B$80&lt;=1,ROUND($B$81*12,0)&gt;=1,$B$81&lt;=100,SUM($B$82)&gt;=0,SUM($B$82)&lt;=1,SUM($B$83)&gt;=0),$B$80,IF(AND($B$175&gt;0,94&gt;$B$175,ISNUMBER($B$75)),$B$75,$B$61)),"")</x:f>
        <x:v>0.0625</x:v>
      </x:c>
      <x:c r="D494" s="440" t="n">
        <x:f>IF(AND(ISNUMBER(B494),B494=0),0,IF(AND($B$171=1,I493=0,ISNUMBER(C494),ISNUMBER(IF(AND(94&lt;=$B$174,94&lt;=$B$173),B494*C494/12,IF(AND(94=$B$173+1,AND(94&gt;$B$173,$B$78="Refinance",ISNUMBER($B$80),$B$80&gt;=0,$B$80&lt;=1,ROUND($B$81*12,0)&gt;=1,$B$81&lt;=100,SUM($B$82)&gt;=0,SUM($B$82)&lt;=1,SUM($B$83)&gt;=0)),IF(B494=0,0,IF(C494=0,B494/ROUND($B$81*12,0),B494*(C494/12)/(1-(1+C494/12)^(-ROUND($B$81*12,0))))),IF(AND(NOT(AND(94&gt;$B$173,$B$78="Refinance",ISNUMBER($B$80),$B$80&gt;=0,$B$80&lt;=1,ROUND($B$81*12,0)&gt;=1,$B$81&lt;=100,SUM($B$82)&gt;=0,SUM($B$82)&lt;=1,SUM($B$83)&gt;=0)),OR(94=1,94=$B$174+1,AND($B$175&gt;0,94=$B$175+1))),IF(AND($B$170=1,$B$66&gt;0,OR($B$175=0,94&lt;=$B$175)),$B$66,IF($B$172-MAX(94-1,$B$174)&gt;0,IF(B494=0,0,IF(C494=0,B494/($B$172-MAX(94-1,$B$174)),B494*(C494/12)/(1-(1+C494/12)^(-($B$172-MAX(94-1,$B$174)))))),"")),D493))))),IF(IF(AND(94&lt;=$B$174,94&lt;=$B$173),B494*C494/12,IF(AND(94=$B$173+1,AND(94&gt;$B$173,$B$78="Refinance",ISNUMBER($B$80),$B$80&gt;=0,$B$80&lt;=1,ROUND($B$81*12,0)&gt;=1,$B$81&lt;=100,SUM($B$82)&gt;=0,SUM($B$82)&lt;=1,SUM($B$83)&gt;=0)),IF(B494=0,0,IF(C494=0,B494/ROUND($B$81*12,0),B494*(C494/12)/(1-(1+C494/12)^(-ROUND($B$81*12,0))))),IF(AND(NOT(AND(94&gt;$B$173,$B$78="Refinance",ISNUMBER($B$80),$B$80&gt;=0,$B$80&lt;=1,ROUND($B$81*12,0)&gt;=1,$B$81&lt;=100,SUM($B$82)&gt;=0,SUM($B$82)&lt;=1,SUM($B$83)&gt;=0)),OR(94=1,94=$B$174+1,AND($B$175&gt;0,94=$B$175+1))),IF(AND($B$170=1,$B$66&gt;0,OR($B$175=0,94&lt;=$B$175)),$B$66,IF($B$172-MAX(94-1,$B$174)&gt;0,IF(B494=0,0,IF(C494=0,B494/($B$172-MAX(94-1,$B$174)),B494*(C494/12)/(1-(1+C494/12)^(-($B$172-MAX(94-1,$B$174)))))),"")),D493)))+0.0000001&gt;=B494*C494/12,MIN(B494*(1+C494/12),IF(AND(94&lt;=$B$174,94&lt;=$B$173),B494*C494/12,IF(AND(94=$B$173+1,AND(94&gt;$B$173,$B$78="Refinance",ISNUMBER($B$80),$B$80&gt;=0,$B$80&lt;=1,ROUND($B$81*12,0)&gt;=1,$B$81&lt;=100,SUM($B$82)&gt;=0,SUM($B$82)&lt;=1,SUM($B$83)&gt;=0)),IF(B494=0,0,IF(C494=0,B494/ROUND($B$81*12,0),B494*(C494/12)/(1-(1+C494/12)^(-ROUND($B$81*12,0))))),IF(AND(NOT(AND(94&gt;$B$173,$B$78="Refinance",ISNUMBER($B$80),$B$80&gt;=0,$B$80&lt;=1,ROUND($B$81*12,0)&gt;=1,$B$81&lt;=100,SUM($B$82)&gt;=0,SUM($B$82)&lt;=1,SUM($B$83)&gt;=0)),OR(94=1,94=$B$174+1,AND($B$175&gt;0,94=$B$175+1))),IF(AND($B$170=1,$B$66&gt;0,OR($B$175=0,94&lt;=$B$175)),$B$66,IF($B$172-MAX(94-1,$B$174)&gt;0,IF(B494=0,0,IF(C494=0,B494/($B$172-MAX(94-1,$B$174)),B494*(C494/12)/(1-(1+C494/12)^(-($B$172-MAX(94-1,$B$174)))))),"")),D493)))),""),""))</x:f>
        <x:v>4679.450723240598</x:v>
      </x:c>
      <x:c r="E494" s="440" t="n">
        <x:f>IF(AND(94=$B$173,ISNUMBER(D494)),IF(MAX(0,B494*(1+C494/12)-D494)&lt;MAX(0.0000001,$E$17*0.00000000001),0,MAX(0,B494*(1+C494/12)-D494)),0)</x:f>
        <x:v>0</x:v>
      </x:c>
      <x:c r="F494" s="440" t="n">
        <x:f>IF($B$78="Cash payoff",E494,0)</x:f>
        <x:v>0</x:v>
      </x:c>
      <x:c r="G494" s="440" t="n">
        <x:f>IF(AND(E494&gt;0,AND($B$78="Refinance",ISNUMBER($B$80),$B$80&gt;=0,$B$80&lt;=1,ROUND($B$81*12,0)&gt;=1,$B$81&lt;=100,SUM($B$82)&gt;=0,SUM($B$82)&lt;=1,SUM($B$83)&gt;=0)),E494*SUM($B$82)+SUM($B$83),0)</x:f>
        <x:v>0</x:v>
      </x:c>
      <x:c r="H494" s="440" t="n">
        <x:f>IF(ISNUMBER(D494),IF(MAX(0,B494*(1+C494/12)-D494-F494)&lt;MAX(0.0000001,$E$17*0.00000000001),0,MAX(0,B494*(1+C494/12)-D494-F494)),IF(AND($B$171=1,I493=1),B494,""))</x:f>
        <x:v>672833.9407982836</x:v>
      </x:c>
      <x:c r="I494" s="444" t="n">
        <x:f>IF(OR(I493=1,AND(E494&gt;0,$B$78&lt;&gt;"Cash payoff",NOT(AND($B$78="Refinance",ISNUMBER($B$80),$B$80&gt;=0,$B$80&lt;=1,ROUND($B$81*12,0)&gt;=1,$B$81&lt;=100,SUM($B$82)&gt;=0,SUM($B$82)&lt;=1,SUM($B$83)&gt;=0))),AND(ISNUMBER(B494),B494&gt;0,$B$171=1,NOT(ISNUMBER(D494)))),1,0)</x:f>
        <x:v>0</x:v>
      </x:c>
      <x:c r="J494" s="440" t="n">
        <x:f>IF(ISNUMBER(L493),L493,"")</x:f>
        <x:v>0</x:v>
      </x:c>
      <x:c r="K494" s="440" t="n">
        <x:f>IF(AND(ISNUMBER(J494),J494=0),0,IF(AND($B$176=1,ISNUMBER(J494)),MIN(J494*(1+$B$87/12),IF($B$86=0,0,IF($B$87=0,$B$86/ROUND($B$88*12,0),$B$86*($B$87/12)/(1-(1+$B$87/12)^(-ROUND($B$88*12,0)))))),""))</x:f>
        <x:v>0</x:v>
      </x:c>
      <x:c r="L494" s="440" t="n">
        <x:f>IF(ISNUMBER(K494),IF(MAX(0,J494*(1+SUM($B$87)/12)-K494)&lt;MAX(0.0000001,$B$86*0.00000000001),0,MAX(0,J494*(1+SUM($B$87)/12)-K494)),"")</x:f>
        <x:v>0</x:v>
      </x:c>
      <x:c r="M494" s="440" t="n">
        <x:f>IF(AND(ISNUMBER(D494),ISNUMBER(K494)),D494+K494,"")</x:f>
        <x:v>4679.450723240598</x:v>
      </x:c>
      <x:c r="N494" s="440" t="n">
        <x:f>IF(AND(ISNUMBER(H494),ISNUMBER(L494)),H494+L494,"")</x:f>
        <x:v>672833.9407982836</x:v>
      </x:c>
    </x:row>
    <x:row r="495" ht="22" customHeight="1">
      <x:c r="A495" s="254" t="n">
        <x:f>95</x:f>
        <x:v>95</x:v>
      </x:c>
      <x:c r="B495" s="440" t="n">
        <x:f>IF(ISNUMBER(H494),H494,"")</x:f>
        <x:v>672833.9407982836</x:v>
      </x:c>
      <x:c r="C495" s="442" t="n">
        <x:f>IF(ISNUMBER(B495),IF(AND(95&gt;$B$173,$B$78="Refinance",ISNUMBER($B$80),$B$80&gt;=0,$B$80&lt;=1,ROUND($B$81*12,0)&gt;=1,$B$81&lt;=100,SUM($B$82)&gt;=0,SUM($B$82)&lt;=1,SUM($B$83)&gt;=0),$B$80,IF(AND($B$175&gt;0,95&gt;$B$175,ISNUMBER($B$75)),$B$75,$B$61)),"")</x:f>
        <x:v>0.0625</x:v>
      </x:c>
      <x:c r="D495" s="440" t="n">
        <x:f>IF(AND(ISNUMBER(B495),B495=0),0,IF(AND($B$171=1,I494=0,ISNUMBER(C495),ISNUMBER(IF(AND(95&lt;=$B$174,95&lt;=$B$173),B495*C495/12,IF(AND(95=$B$173+1,AND(95&gt;$B$173,$B$78="Refinance",ISNUMBER($B$80),$B$80&gt;=0,$B$80&lt;=1,ROUND($B$81*12,0)&gt;=1,$B$81&lt;=100,SUM($B$82)&gt;=0,SUM($B$82)&lt;=1,SUM($B$83)&gt;=0)),IF(B495=0,0,IF(C495=0,B495/ROUND($B$81*12,0),B495*(C495/12)/(1-(1+C495/12)^(-ROUND($B$81*12,0))))),IF(AND(NOT(AND(95&gt;$B$173,$B$78="Refinance",ISNUMBER($B$80),$B$80&gt;=0,$B$80&lt;=1,ROUND($B$81*12,0)&gt;=1,$B$81&lt;=100,SUM($B$82)&gt;=0,SUM($B$82)&lt;=1,SUM($B$83)&gt;=0)),OR(95=1,95=$B$174+1,AND($B$175&gt;0,95=$B$175+1))),IF(AND($B$170=1,$B$66&gt;0,OR($B$175=0,95&lt;=$B$175)),$B$66,IF($B$172-MAX(95-1,$B$174)&gt;0,IF(B495=0,0,IF(C495=0,B495/($B$172-MAX(95-1,$B$174)),B495*(C495/12)/(1-(1+C495/12)^(-($B$172-MAX(95-1,$B$174)))))),"")),D494))))),IF(IF(AND(95&lt;=$B$174,95&lt;=$B$173),B495*C495/12,IF(AND(95=$B$173+1,AND(95&gt;$B$173,$B$78="Refinance",ISNUMBER($B$80),$B$80&gt;=0,$B$80&lt;=1,ROUND($B$81*12,0)&gt;=1,$B$81&lt;=100,SUM($B$82)&gt;=0,SUM($B$82)&lt;=1,SUM($B$83)&gt;=0)),IF(B495=0,0,IF(C495=0,B495/ROUND($B$81*12,0),B495*(C495/12)/(1-(1+C495/12)^(-ROUND($B$81*12,0))))),IF(AND(NOT(AND(95&gt;$B$173,$B$78="Refinance",ISNUMBER($B$80),$B$80&gt;=0,$B$80&lt;=1,ROUND($B$81*12,0)&gt;=1,$B$81&lt;=100,SUM($B$82)&gt;=0,SUM($B$82)&lt;=1,SUM($B$83)&gt;=0)),OR(95=1,95=$B$174+1,AND($B$175&gt;0,95=$B$175+1))),IF(AND($B$170=1,$B$66&gt;0,OR($B$175=0,95&lt;=$B$175)),$B$66,IF($B$172-MAX(95-1,$B$174)&gt;0,IF(B495=0,0,IF(C495=0,B495/($B$172-MAX(95-1,$B$174)),B495*(C495/12)/(1-(1+C495/12)^(-($B$172-MAX(95-1,$B$174)))))),"")),D494)))+0.0000001&gt;=B495*C495/12,MIN(B495*(1+C495/12),IF(AND(95&lt;=$B$174,95&lt;=$B$173),B495*C495/12,IF(AND(95=$B$173+1,AND(95&gt;$B$173,$B$78="Refinance",ISNUMBER($B$80),$B$80&gt;=0,$B$80&lt;=1,ROUND($B$81*12,0)&gt;=1,$B$81&lt;=100,SUM($B$82)&gt;=0,SUM($B$82)&lt;=1,SUM($B$83)&gt;=0)),IF(B495=0,0,IF(C495=0,B495/ROUND($B$81*12,0),B495*(C495/12)/(1-(1+C495/12)^(-ROUND($B$81*12,0))))),IF(AND(NOT(AND(95&gt;$B$173,$B$78="Refinance",ISNUMBER($B$80),$B$80&gt;=0,$B$80&lt;=1,ROUND($B$81*12,0)&gt;=1,$B$81&lt;=100,SUM($B$82)&gt;=0,SUM($B$82)&lt;=1,SUM($B$83)&gt;=0)),OR(95=1,95=$B$174+1,AND($B$175&gt;0,95=$B$175+1))),IF(AND($B$170=1,$B$66&gt;0,OR($B$175=0,95&lt;=$B$175)),$B$66,IF($B$172-MAX(95-1,$B$174)&gt;0,IF(B495=0,0,IF(C495=0,B495/($B$172-MAX(95-1,$B$174)),B495*(C495/12)/(1-(1+C495/12)^(-($B$172-MAX(95-1,$B$174)))))),"")),D494)))),""),""))</x:f>
        <x:v>4679.450723240598</x:v>
      </x:c>
      <x:c r="E495" s="440" t="n">
        <x:f>IF(AND(95=$B$173,ISNUMBER(D495)),IF(MAX(0,B495*(1+C495/12)-D495)&lt;MAX(0.0000001,$E$17*0.00000000001),0,MAX(0,B495*(1+C495/12)-D495)),0)</x:f>
        <x:v>0</x:v>
      </x:c>
      <x:c r="F495" s="440" t="n">
        <x:f>IF($B$78="Cash payoff",E495,0)</x:f>
        <x:v>0</x:v>
      </x:c>
      <x:c r="G495" s="440" t="n">
        <x:f>IF(AND(E495&gt;0,AND($B$78="Refinance",ISNUMBER($B$80),$B$80&gt;=0,$B$80&lt;=1,ROUND($B$81*12,0)&gt;=1,$B$81&lt;=100,SUM($B$82)&gt;=0,SUM($B$82)&lt;=1,SUM($B$83)&gt;=0)),E495*SUM($B$82)+SUM($B$83),0)</x:f>
        <x:v>0</x:v>
      </x:c>
      <x:c r="H495" s="440" t="n">
        <x:f>IF(ISNUMBER(D495),IF(MAX(0,B495*(1+C495/12)-D495-F495)&lt;MAX(0.0000001,$E$17*0.00000000001),0,MAX(0,B495*(1+C495/12)-D495-F495)),IF(AND($B$171=1,I494=1),B495,""))</x:f>
        <x:v>671658.8335167007</x:v>
      </x:c>
      <x:c r="I495" s="444" t="n">
        <x:f>IF(OR(I494=1,AND(E495&gt;0,$B$78&lt;&gt;"Cash payoff",NOT(AND($B$78="Refinance",ISNUMBER($B$80),$B$80&gt;=0,$B$80&lt;=1,ROUND($B$81*12,0)&gt;=1,$B$81&lt;=100,SUM($B$82)&gt;=0,SUM($B$82)&lt;=1,SUM($B$83)&gt;=0))),AND(ISNUMBER(B495),B495&gt;0,$B$171=1,NOT(ISNUMBER(D495)))),1,0)</x:f>
        <x:v>0</x:v>
      </x:c>
      <x:c r="J495" s="440" t="n">
        <x:f>IF(ISNUMBER(L494),L494,"")</x:f>
        <x:v>0</x:v>
      </x:c>
      <x:c r="K495" s="440" t="n">
        <x:f>IF(AND(ISNUMBER(J495),J495=0),0,IF(AND($B$176=1,ISNUMBER(J495)),MIN(J495*(1+$B$87/12),IF($B$86=0,0,IF($B$87=0,$B$86/ROUND($B$88*12,0),$B$86*($B$87/12)/(1-(1+$B$87/12)^(-ROUND($B$88*12,0)))))),""))</x:f>
        <x:v>0</x:v>
      </x:c>
      <x:c r="L495" s="440" t="n">
        <x:f>IF(ISNUMBER(K495),IF(MAX(0,J495*(1+SUM($B$87)/12)-K495)&lt;MAX(0.0000001,$B$86*0.00000000001),0,MAX(0,J495*(1+SUM($B$87)/12)-K495)),"")</x:f>
        <x:v>0</x:v>
      </x:c>
      <x:c r="M495" s="440" t="n">
        <x:f>IF(AND(ISNUMBER(D495),ISNUMBER(K495)),D495+K495,"")</x:f>
        <x:v>4679.450723240598</x:v>
      </x:c>
      <x:c r="N495" s="440" t="n">
        <x:f>IF(AND(ISNUMBER(H495),ISNUMBER(L495)),H495+L495,"")</x:f>
        <x:v>671658.8335167007</x:v>
      </x:c>
    </x:row>
    <x:row r="496" ht="22" customHeight="1">
      <x:c r="A496" s="254" t="n">
        <x:f>96</x:f>
        <x:v>96</x:v>
      </x:c>
      <x:c r="B496" s="440" t="n">
        <x:f>IF(ISNUMBER(H495),H495,"")</x:f>
        <x:v>671658.8335167007</x:v>
      </x:c>
      <x:c r="C496" s="442" t="n">
        <x:f>IF(ISNUMBER(B496),IF(AND(96&gt;$B$173,$B$78="Refinance",ISNUMBER($B$80),$B$80&gt;=0,$B$80&lt;=1,ROUND($B$81*12,0)&gt;=1,$B$81&lt;=100,SUM($B$82)&gt;=0,SUM($B$82)&lt;=1,SUM($B$83)&gt;=0),$B$80,IF(AND($B$175&gt;0,96&gt;$B$175,ISNUMBER($B$75)),$B$75,$B$61)),"")</x:f>
        <x:v>0.0625</x:v>
      </x:c>
      <x:c r="D496" s="440" t="n">
        <x:f>IF(AND(ISNUMBER(B496),B496=0),0,IF(AND($B$171=1,I495=0,ISNUMBER(C496),ISNUMBER(IF(AND(96&lt;=$B$174,96&lt;=$B$173),B496*C496/12,IF(AND(96=$B$173+1,AND(96&gt;$B$173,$B$78="Refinance",ISNUMBER($B$80),$B$80&gt;=0,$B$80&lt;=1,ROUND($B$81*12,0)&gt;=1,$B$81&lt;=100,SUM($B$82)&gt;=0,SUM($B$82)&lt;=1,SUM($B$83)&gt;=0)),IF(B496=0,0,IF(C496=0,B496/ROUND($B$81*12,0),B496*(C496/12)/(1-(1+C496/12)^(-ROUND($B$81*12,0))))),IF(AND(NOT(AND(96&gt;$B$173,$B$78="Refinance",ISNUMBER($B$80),$B$80&gt;=0,$B$80&lt;=1,ROUND($B$81*12,0)&gt;=1,$B$81&lt;=100,SUM($B$82)&gt;=0,SUM($B$82)&lt;=1,SUM($B$83)&gt;=0)),OR(96=1,96=$B$174+1,AND($B$175&gt;0,96=$B$175+1))),IF(AND($B$170=1,$B$66&gt;0,OR($B$175=0,96&lt;=$B$175)),$B$66,IF($B$172-MAX(96-1,$B$174)&gt;0,IF(B496=0,0,IF(C496=0,B496/($B$172-MAX(96-1,$B$174)),B496*(C496/12)/(1-(1+C496/12)^(-($B$172-MAX(96-1,$B$174)))))),"")),D495))))),IF(IF(AND(96&lt;=$B$174,96&lt;=$B$173),B496*C496/12,IF(AND(96=$B$173+1,AND(96&gt;$B$173,$B$78="Refinance",ISNUMBER($B$80),$B$80&gt;=0,$B$80&lt;=1,ROUND($B$81*12,0)&gt;=1,$B$81&lt;=100,SUM($B$82)&gt;=0,SUM($B$82)&lt;=1,SUM($B$83)&gt;=0)),IF(B496=0,0,IF(C496=0,B496/ROUND($B$81*12,0),B496*(C496/12)/(1-(1+C496/12)^(-ROUND($B$81*12,0))))),IF(AND(NOT(AND(96&gt;$B$173,$B$78="Refinance",ISNUMBER($B$80),$B$80&gt;=0,$B$80&lt;=1,ROUND($B$81*12,0)&gt;=1,$B$81&lt;=100,SUM($B$82)&gt;=0,SUM($B$82)&lt;=1,SUM($B$83)&gt;=0)),OR(96=1,96=$B$174+1,AND($B$175&gt;0,96=$B$175+1))),IF(AND($B$170=1,$B$66&gt;0,OR($B$175=0,96&lt;=$B$175)),$B$66,IF($B$172-MAX(96-1,$B$174)&gt;0,IF(B496=0,0,IF(C496=0,B496/($B$172-MAX(96-1,$B$174)),B496*(C496/12)/(1-(1+C496/12)^(-($B$172-MAX(96-1,$B$174)))))),"")),D495)))+0.0000001&gt;=B496*C496/12,MIN(B496*(1+C496/12),IF(AND(96&lt;=$B$174,96&lt;=$B$173),B496*C496/12,IF(AND(96=$B$173+1,AND(96&gt;$B$173,$B$78="Refinance",ISNUMBER($B$80),$B$80&gt;=0,$B$80&lt;=1,ROUND($B$81*12,0)&gt;=1,$B$81&lt;=100,SUM($B$82)&gt;=0,SUM($B$82)&lt;=1,SUM($B$83)&gt;=0)),IF(B496=0,0,IF(C496=0,B496/ROUND($B$81*12,0),B496*(C496/12)/(1-(1+C496/12)^(-ROUND($B$81*12,0))))),IF(AND(NOT(AND(96&gt;$B$173,$B$78="Refinance",ISNUMBER($B$80),$B$80&gt;=0,$B$80&lt;=1,ROUND($B$81*12,0)&gt;=1,$B$81&lt;=100,SUM($B$82)&gt;=0,SUM($B$82)&lt;=1,SUM($B$83)&gt;=0)),OR(96=1,96=$B$174+1,AND($B$175&gt;0,96=$B$175+1))),IF(AND($B$170=1,$B$66&gt;0,OR($B$175=0,96&lt;=$B$175)),$B$66,IF($B$172-MAX(96-1,$B$174)&gt;0,IF(B496=0,0,IF(C496=0,B496/($B$172-MAX(96-1,$B$174)),B496*(C496/12)/(1-(1+C496/12)^(-($B$172-MAX(96-1,$B$174)))))),"")),D495)))),""),""))</x:f>
        <x:v>4679.450723240598</x:v>
      </x:c>
      <x:c r="E496" s="440" t="n">
        <x:f>IF(AND(96=$B$173,ISNUMBER(D496)),IF(MAX(0,B496*(1+C496/12)-D496)&lt;MAX(0.0000001,$E$17*0.00000000001),0,MAX(0,B496*(1+C496/12)-D496)),0)</x:f>
        <x:v>0</x:v>
      </x:c>
      <x:c r="F496" s="440" t="n">
        <x:f>IF($B$78="Cash payoff",E496,0)</x:f>
        <x:v>0</x:v>
      </x:c>
      <x:c r="G496" s="440" t="n">
        <x:f>IF(AND(E496&gt;0,AND($B$78="Refinance",ISNUMBER($B$80),$B$80&gt;=0,$B$80&lt;=1,ROUND($B$81*12,0)&gt;=1,$B$81&lt;=100,SUM($B$82)&gt;=0,SUM($B$82)&lt;=1,SUM($B$83)&gt;=0)),E496*SUM($B$82)+SUM($B$83),0)</x:f>
        <x:v>0</x:v>
      </x:c>
      <x:c r="H496" s="440" t="n">
        <x:f>IF(ISNUMBER(D496),IF(MAX(0,B496*(1+C496/12)-D496-F496)&lt;MAX(0.0000001,$E$17*0.00000000001),0,MAX(0,B496*(1+C496/12)-D496-F496)),IF(AND($B$171=1,I495=1),B496,""))</x:f>
        <x:v>670477.6058846929</x:v>
      </x:c>
      <x:c r="I496" s="444" t="n">
        <x:f>IF(OR(I495=1,AND(E496&gt;0,$B$78&lt;&gt;"Cash payoff",NOT(AND($B$78="Refinance",ISNUMBER($B$80),$B$80&gt;=0,$B$80&lt;=1,ROUND($B$81*12,0)&gt;=1,$B$81&lt;=100,SUM($B$82)&gt;=0,SUM($B$82)&lt;=1,SUM($B$83)&gt;=0))),AND(ISNUMBER(B496),B496&gt;0,$B$171=1,NOT(ISNUMBER(D496)))),1,0)</x:f>
        <x:v>0</x:v>
      </x:c>
      <x:c r="J496" s="440" t="n">
        <x:f>IF(ISNUMBER(L495),L495,"")</x:f>
        <x:v>0</x:v>
      </x:c>
      <x:c r="K496" s="440" t="n">
        <x:f>IF(AND(ISNUMBER(J496),J496=0),0,IF(AND($B$176=1,ISNUMBER(J496)),MIN(J496*(1+$B$87/12),IF($B$86=0,0,IF($B$87=0,$B$86/ROUND($B$88*12,0),$B$86*($B$87/12)/(1-(1+$B$87/12)^(-ROUND($B$88*12,0)))))),""))</x:f>
        <x:v>0</x:v>
      </x:c>
      <x:c r="L496" s="440" t="n">
        <x:f>IF(ISNUMBER(K496),IF(MAX(0,J496*(1+SUM($B$87)/12)-K496)&lt;MAX(0.0000001,$B$86*0.00000000001),0,MAX(0,J496*(1+SUM($B$87)/12)-K496)),"")</x:f>
        <x:v>0</x:v>
      </x:c>
      <x:c r="M496" s="440" t="n">
        <x:f>IF(AND(ISNUMBER(D496),ISNUMBER(K496)),D496+K496,"")</x:f>
        <x:v>4679.450723240598</x:v>
      </x:c>
      <x:c r="N496" s="440" t="n">
        <x:f>IF(AND(ISNUMBER(H496),ISNUMBER(L496)),H496+L496,"")</x:f>
        <x:v>670477.6058846929</x:v>
      </x:c>
    </x:row>
    <x:row r="497" ht="22" customHeight="1">
      <x:c r="A497" s="254" t="n">
        <x:f>97</x:f>
        <x:v>97</x:v>
      </x:c>
      <x:c r="B497" s="440" t="n">
        <x:f>IF(ISNUMBER(H496),H496,"")</x:f>
        <x:v>670477.6058846929</x:v>
      </x:c>
      <x:c r="C497" s="442" t="n">
        <x:f>IF(ISNUMBER(B497),IF(AND(97&gt;$B$173,$B$78="Refinance",ISNUMBER($B$80),$B$80&gt;=0,$B$80&lt;=1,ROUND($B$81*12,0)&gt;=1,$B$81&lt;=100,SUM($B$82)&gt;=0,SUM($B$82)&lt;=1,SUM($B$83)&gt;=0),$B$80,IF(AND($B$175&gt;0,97&gt;$B$175,ISNUMBER($B$75)),$B$75,$B$61)),"")</x:f>
        <x:v>0.0625</x:v>
      </x:c>
      <x:c r="D497" s="440" t="n">
        <x:f>IF(AND(ISNUMBER(B497),B497=0),0,IF(AND($B$171=1,I496=0,ISNUMBER(C497),ISNUMBER(IF(AND(97&lt;=$B$174,97&lt;=$B$173),B497*C497/12,IF(AND(97=$B$173+1,AND(97&gt;$B$173,$B$78="Refinance",ISNUMBER($B$80),$B$80&gt;=0,$B$80&lt;=1,ROUND($B$81*12,0)&gt;=1,$B$81&lt;=100,SUM($B$82)&gt;=0,SUM($B$82)&lt;=1,SUM($B$83)&gt;=0)),IF(B497=0,0,IF(C497=0,B497/ROUND($B$81*12,0),B497*(C497/12)/(1-(1+C497/12)^(-ROUND($B$81*12,0))))),IF(AND(NOT(AND(97&gt;$B$173,$B$78="Refinance",ISNUMBER($B$80),$B$80&gt;=0,$B$80&lt;=1,ROUND($B$81*12,0)&gt;=1,$B$81&lt;=100,SUM($B$82)&gt;=0,SUM($B$82)&lt;=1,SUM($B$83)&gt;=0)),OR(97=1,97=$B$174+1,AND($B$175&gt;0,97=$B$175+1))),IF(AND($B$170=1,$B$66&gt;0,OR($B$175=0,97&lt;=$B$175)),$B$66,IF($B$172-MAX(97-1,$B$174)&gt;0,IF(B497=0,0,IF(C497=0,B497/($B$172-MAX(97-1,$B$174)),B497*(C497/12)/(1-(1+C497/12)^(-($B$172-MAX(97-1,$B$174)))))),"")),D496))))),IF(IF(AND(97&lt;=$B$174,97&lt;=$B$173),B497*C497/12,IF(AND(97=$B$173+1,AND(97&gt;$B$173,$B$78="Refinance",ISNUMBER($B$80),$B$80&gt;=0,$B$80&lt;=1,ROUND($B$81*12,0)&gt;=1,$B$81&lt;=100,SUM($B$82)&gt;=0,SUM($B$82)&lt;=1,SUM($B$83)&gt;=0)),IF(B497=0,0,IF(C497=0,B497/ROUND($B$81*12,0),B497*(C497/12)/(1-(1+C497/12)^(-ROUND($B$81*12,0))))),IF(AND(NOT(AND(97&gt;$B$173,$B$78="Refinance",ISNUMBER($B$80),$B$80&gt;=0,$B$80&lt;=1,ROUND($B$81*12,0)&gt;=1,$B$81&lt;=100,SUM($B$82)&gt;=0,SUM($B$82)&lt;=1,SUM($B$83)&gt;=0)),OR(97=1,97=$B$174+1,AND($B$175&gt;0,97=$B$175+1))),IF(AND($B$170=1,$B$66&gt;0,OR($B$175=0,97&lt;=$B$175)),$B$66,IF($B$172-MAX(97-1,$B$174)&gt;0,IF(B497=0,0,IF(C497=0,B497/($B$172-MAX(97-1,$B$174)),B497*(C497/12)/(1-(1+C497/12)^(-($B$172-MAX(97-1,$B$174)))))),"")),D496)))+0.0000001&gt;=B497*C497/12,MIN(B497*(1+C497/12),IF(AND(97&lt;=$B$174,97&lt;=$B$173),B497*C497/12,IF(AND(97=$B$173+1,AND(97&gt;$B$173,$B$78="Refinance",ISNUMBER($B$80),$B$80&gt;=0,$B$80&lt;=1,ROUND($B$81*12,0)&gt;=1,$B$81&lt;=100,SUM($B$82)&gt;=0,SUM($B$82)&lt;=1,SUM($B$83)&gt;=0)),IF(B497=0,0,IF(C497=0,B497/ROUND($B$81*12,0),B497*(C497/12)/(1-(1+C497/12)^(-ROUND($B$81*12,0))))),IF(AND(NOT(AND(97&gt;$B$173,$B$78="Refinance",ISNUMBER($B$80),$B$80&gt;=0,$B$80&lt;=1,ROUND($B$81*12,0)&gt;=1,$B$81&lt;=100,SUM($B$82)&gt;=0,SUM($B$82)&lt;=1,SUM($B$83)&gt;=0)),OR(97=1,97=$B$174+1,AND($B$175&gt;0,97=$B$175+1))),IF(AND($B$170=1,$B$66&gt;0,OR($B$175=0,97&lt;=$B$175)),$B$66,IF($B$172-MAX(97-1,$B$174)&gt;0,IF(B497=0,0,IF(C497=0,B497/($B$172-MAX(97-1,$B$174)),B497*(C497/12)/(1-(1+C497/12)^(-($B$172-MAX(97-1,$B$174)))))),"")),D496)))),""),""))</x:f>
        <x:v>4679.450723240598</x:v>
      </x:c>
      <x:c r="E497" s="440" t="n">
        <x:f>IF(AND(97=$B$173,ISNUMBER(D497)),IF(MAX(0,B497*(1+C497/12)-D497)&lt;MAX(0.0000001,$E$17*0.00000000001),0,MAX(0,B497*(1+C497/12)-D497)),0)</x:f>
        <x:v>0</x:v>
      </x:c>
      <x:c r="F497" s="440" t="n">
        <x:f>IF($B$78="Cash payoff",E497,0)</x:f>
        <x:v>0</x:v>
      </x:c>
      <x:c r="G497" s="440" t="n">
        <x:f>IF(AND(E497&gt;0,AND($B$78="Refinance",ISNUMBER($B$80),$B$80&gt;=0,$B$80&lt;=1,ROUND($B$81*12,0)&gt;=1,$B$81&lt;=100,SUM($B$82)&gt;=0,SUM($B$82)&lt;=1,SUM($B$83)&gt;=0)),E497*SUM($B$82)+SUM($B$83),0)</x:f>
        <x:v>0</x:v>
      </x:c>
      <x:c r="H497" s="440" t="n">
        <x:f>IF(ISNUMBER(D497),IF(MAX(0,B497*(1+C497/12)-D497-F497)&lt;MAX(0.0000001,$E$17*0.00000000001),0,MAX(0,B497*(1+C497/12)-D497-F497)),IF(AND($B$171=1,I496=1),B497,""))</x:f>
        <x:v>669290.226025435</x:v>
      </x:c>
      <x:c r="I497" s="444" t="n">
        <x:f>IF(OR(I496=1,AND(E497&gt;0,$B$78&lt;&gt;"Cash payoff",NOT(AND($B$78="Refinance",ISNUMBER($B$80),$B$80&gt;=0,$B$80&lt;=1,ROUND($B$81*12,0)&gt;=1,$B$81&lt;=100,SUM($B$82)&gt;=0,SUM($B$82)&lt;=1,SUM($B$83)&gt;=0))),AND(ISNUMBER(B497),B497&gt;0,$B$171=1,NOT(ISNUMBER(D497)))),1,0)</x:f>
        <x:v>0</x:v>
      </x:c>
      <x:c r="J497" s="440" t="n">
        <x:f>IF(ISNUMBER(L496),L496,"")</x:f>
        <x:v>0</x:v>
      </x:c>
      <x:c r="K497" s="440" t="n">
        <x:f>IF(AND(ISNUMBER(J497),J497=0),0,IF(AND($B$176=1,ISNUMBER(J497)),MIN(J497*(1+$B$87/12),IF($B$86=0,0,IF($B$87=0,$B$86/ROUND($B$88*12,0),$B$86*($B$87/12)/(1-(1+$B$87/12)^(-ROUND($B$88*12,0)))))),""))</x:f>
        <x:v>0</x:v>
      </x:c>
      <x:c r="L497" s="440" t="n">
        <x:f>IF(ISNUMBER(K497),IF(MAX(0,J497*(1+SUM($B$87)/12)-K497)&lt;MAX(0.0000001,$B$86*0.00000000001),0,MAX(0,J497*(1+SUM($B$87)/12)-K497)),"")</x:f>
        <x:v>0</x:v>
      </x:c>
      <x:c r="M497" s="440" t="n">
        <x:f>IF(AND(ISNUMBER(D497),ISNUMBER(K497)),D497+K497,"")</x:f>
        <x:v>4679.450723240598</x:v>
      </x:c>
      <x:c r="N497" s="440" t="n">
        <x:f>IF(AND(ISNUMBER(H497),ISNUMBER(L497)),H497+L497,"")</x:f>
        <x:v>669290.226025435</x:v>
      </x:c>
    </x:row>
    <x:row r="498" ht="22" customHeight="1">
      <x:c r="A498" s="254" t="n">
        <x:f>98</x:f>
        <x:v>98</x:v>
      </x:c>
      <x:c r="B498" s="440" t="n">
        <x:f>IF(ISNUMBER(H497),H497,"")</x:f>
        <x:v>669290.226025435</x:v>
      </x:c>
      <x:c r="C498" s="442" t="n">
        <x:f>IF(ISNUMBER(B498),IF(AND(98&gt;$B$173,$B$78="Refinance",ISNUMBER($B$80),$B$80&gt;=0,$B$80&lt;=1,ROUND($B$81*12,0)&gt;=1,$B$81&lt;=100,SUM($B$82)&gt;=0,SUM($B$82)&lt;=1,SUM($B$83)&gt;=0),$B$80,IF(AND($B$175&gt;0,98&gt;$B$175,ISNUMBER($B$75)),$B$75,$B$61)),"")</x:f>
        <x:v>0.0625</x:v>
      </x:c>
      <x:c r="D498" s="440" t="n">
        <x:f>IF(AND(ISNUMBER(B498),B498=0),0,IF(AND($B$171=1,I497=0,ISNUMBER(C498),ISNUMBER(IF(AND(98&lt;=$B$174,98&lt;=$B$173),B498*C498/12,IF(AND(98=$B$173+1,AND(98&gt;$B$173,$B$78="Refinance",ISNUMBER($B$80),$B$80&gt;=0,$B$80&lt;=1,ROUND($B$81*12,0)&gt;=1,$B$81&lt;=100,SUM($B$82)&gt;=0,SUM($B$82)&lt;=1,SUM($B$83)&gt;=0)),IF(B498=0,0,IF(C498=0,B498/ROUND($B$81*12,0),B498*(C498/12)/(1-(1+C498/12)^(-ROUND($B$81*12,0))))),IF(AND(NOT(AND(98&gt;$B$173,$B$78="Refinance",ISNUMBER($B$80),$B$80&gt;=0,$B$80&lt;=1,ROUND($B$81*12,0)&gt;=1,$B$81&lt;=100,SUM($B$82)&gt;=0,SUM($B$82)&lt;=1,SUM($B$83)&gt;=0)),OR(98=1,98=$B$174+1,AND($B$175&gt;0,98=$B$175+1))),IF(AND($B$170=1,$B$66&gt;0,OR($B$175=0,98&lt;=$B$175)),$B$66,IF($B$172-MAX(98-1,$B$174)&gt;0,IF(B498=0,0,IF(C498=0,B498/($B$172-MAX(98-1,$B$174)),B498*(C498/12)/(1-(1+C498/12)^(-($B$172-MAX(98-1,$B$174)))))),"")),D497))))),IF(IF(AND(98&lt;=$B$174,98&lt;=$B$173),B498*C498/12,IF(AND(98=$B$173+1,AND(98&gt;$B$173,$B$78="Refinance",ISNUMBER($B$80),$B$80&gt;=0,$B$80&lt;=1,ROUND($B$81*12,0)&gt;=1,$B$81&lt;=100,SUM($B$82)&gt;=0,SUM($B$82)&lt;=1,SUM($B$83)&gt;=0)),IF(B498=0,0,IF(C498=0,B498/ROUND($B$81*12,0),B498*(C498/12)/(1-(1+C498/12)^(-ROUND($B$81*12,0))))),IF(AND(NOT(AND(98&gt;$B$173,$B$78="Refinance",ISNUMBER($B$80),$B$80&gt;=0,$B$80&lt;=1,ROUND($B$81*12,0)&gt;=1,$B$81&lt;=100,SUM($B$82)&gt;=0,SUM($B$82)&lt;=1,SUM($B$83)&gt;=0)),OR(98=1,98=$B$174+1,AND($B$175&gt;0,98=$B$175+1))),IF(AND($B$170=1,$B$66&gt;0,OR($B$175=0,98&lt;=$B$175)),$B$66,IF($B$172-MAX(98-1,$B$174)&gt;0,IF(B498=0,0,IF(C498=0,B498/($B$172-MAX(98-1,$B$174)),B498*(C498/12)/(1-(1+C498/12)^(-($B$172-MAX(98-1,$B$174)))))),"")),D497)))+0.0000001&gt;=B498*C498/12,MIN(B498*(1+C498/12),IF(AND(98&lt;=$B$174,98&lt;=$B$173),B498*C498/12,IF(AND(98=$B$173+1,AND(98&gt;$B$173,$B$78="Refinance",ISNUMBER($B$80),$B$80&gt;=0,$B$80&lt;=1,ROUND($B$81*12,0)&gt;=1,$B$81&lt;=100,SUM($B$82)&gt;=0,SUM($B$82)&lt;=1,SUM($B$83)&gt;=0)),IF(B498=0,0,IF(C498=0,B498/ROUND($B$81*12,0),B498*(C498/12)/(1-(1+C498/12)^(-ROUND($B$81*12,0))))),IF(AND(NOT(AND(98&gt;$B$173,$B$78="Refinance",ISNUMBER($B$80),$B$80&gt;=0,$B$80&lt;=1,ROUND($B$81*12,0)&gt;=1,$B$81&lt;=100,SUM($B$82)&gt;=0,SUM($B$82)&lt;=1,SUM($B$83)&gt;=0)),OR(98=1,98=$B$174+1,AND($B$175&gt;0,98=$B$175+1))),IF(AND($B$170=1,$B$66&gt;0,OR($B$175=0,98&lt;=$B$175)),$B$66,IF($B$172-MAX(98-1,$B$174)&gt;0,IF(B498=0,0,IF(C498=0,B498/($B$172-MAX(98-1,$B$174)),B498*(C498/12)/(1-(1+C498/12)^(-($B$172-MAX(98-1,$B$174)))))),"")),D497)))),""),""))</x:f>
        <x:v>4679.450723240598</x:v>
      </x:c>
      <x:c r="E498" s="440" t="n">
        <x:f>IF(AND(98=$B$173,ISNUMBER(D498)),IF(MAX(0,B498*(1+C498/12)-D498)&lt;MAX(0.0000001,$E$17*0.00000000001),0,MAX(0,B498*(1+C498/12)-D498)),0)</x:f>
        <x:v>0</x:v>
      </x:c>
      <x:c r="F498" s="440" t="n">
        <x:f>IF($B$78="Cash payoff",E498,0)</x:f>
        <x:v>0</x:v>
      </x:c>
      <x:c r="G498" s="440" t="n">
        <x:f>IF(AND(E498&gt;0,AND($B$78="Refinance",ISNUMBER($B$80),$B$80&gt;=0,$B$80&lt;=1,ROUND($B$81*12,0)&gt;=1,$B$81&lt;=100,SUM($B$82)&gt;=0,SUM($B$82)&lt;=1,SUM($B$83)&gt;=0)),E498*SUM($B$82)+SUM($B$83),0)</x:f>
        <x:v>0</x:v>
      </x:c>
      <x:c r="H498" s="440" t="n">
        <x:f>IF(ISNUMBER(D498),IF(MAX(0,B498*(1+C498/12)-D498-F498)&lt;MAX(0.0000001,$E$17*0.00000000001),0,MAX(0,B498*(1+C498/12)-D498-F498)),IF(AND($B$171=1,I497=1),B498,""))</x:f>
        <x:v>668096.6618960769</x:v>
      </x:c>
      <x:c r="I498" s="444" t="n">
        <x:f>IF(OR(I497=1,AND(E498&gt;0,$B$78&lt;&gt;"Cash payoff",NOT(AND($B$78="Refinance",ISNUMBER($B$80),$B$80&gt;=0,$B$80&lt;=1,ROUND($B$81*12,0)&gt;=1,$B$81&lt;=100,SUM($B$82)&gt;=0,SUM($B$82)&lt;=1,SUM($B$83)&gt;=0))),AND(ISNUMBER(B498),B498&gt;0,$B$171=1,NOT(ISNUMBER(D498)))),1,0)</x:f>
        <x:v>0</x:v>
      </x:c>
      <x:c r="J498" s="440" t="n">
        <x:f>IF(ISNUMBER(L497),L497,"")</x:f>
        <x:v>0</x:v>
      </x:c>
      <x:c r="K498" s="440" t="n">
        <x:f>IF(AND(ISNUMBER(J498),J498=0),0,IF(AND($B$176=1,ISNUMBER(J498)),MIN(J498*(1+$B$87/12),IF($B$86=0,0,IF($B$87=0,$B$86/ROUND($B$88*12,0),$B$86*($B$87/12)/(1-(1+$B$87/12)^(-ROUND($B$88*12,0)))))),""))</x:f>
        <x:v>0</x:v>
      </x:c>
      <x:c r="L498" s="440" t="n">
        <x:f>IF(ISNUMBER(K498),IF(MAX(0,J498*(1+SUM($B$87)/12)-K498)&lt;MAX(0.0000001,$B$86*0.00000000001),0,MAX(0,J498*(1+SUM($B$87)/12)-K498)),"")</x:f>
        <x:v>0</x:v>
      </x:c>
      <x:c r="M498" s="440" t="n">
        <x:f>IF(AND(ISNUMBER(D498),ISNUMBER(K498)),D498+K498,"")</x:f>
        <x:v>4679.450723240598</x:v>
      </x:c>
      <x:c r="N498" s="440" t="n">
        <x:f>IF(AND(ISNUMBER(H498),ISNUMBER(L498)),H498+L498,"")</x:f>
        <x:v>668096.6618960769</x:v>
      </x:c>
    </x:row>
    <x:row r="499" ht="22" customHeight="1">
      <x:c r="A499" s="254" t="n">
        <x:f>99</x:f>
        <x:v>99</x:v>
      </x:c>
      <x:c r="B499" s="440" t="n">
        <x:f>IF(ISNUMBER(H498),H498,"")</x:f>
        <x:v>668096.6618960769</x:v>
      </x:c>
      <x:c r="C499" s="442" t="n">
        <x:f>IF(ISNUMBER(B499),IF(AND(99&gt;$B$173,$B$78="Refinance",ISNUMBER($B$80),$B$80&gt;=0,$B$80&lt;=1,ROUND($B$81*12,0)&gt;=1,$B$81&lt;=100,SUM($B$82)&gt;=0,SUM($B$82)&lt;=1,SUM($B$83)&gt;=0),$B$80,IF(AND($B$175&gt;0,99&gt;$B$175,ISNUMBER($B$75)),$B$75,$B$61)),"")</x:f>
        <x:v>0.0625</x:v>
      </x:c>
      <x:c r="D499" s="440" t="n">
        <x:f>IF(AND(ISNUMBER(B499),B499=0),0,IF(AND($B$171=1,I498=0,ISNUMBER(C499),ISNUMBER(IF(AND(99&lt;=$B$174,99&lt;=$B$173),B499*C499/12,IF(AND(99=$B$173+1,AND(99&gt;$B$173,$B$78="Refinance",ISNUMBER($B$80),$B$80&gt;=0,$B$80&lt;=1,ROUND($B$81*12,0)&gt;=1,$B$81&lt;=100,SUM($B$82)&gt;=0,SUM($B$82)&lt;=1,SUM($B$83)&gt;=0)),IF(B499=0,0,IF(C499=0,B499/ROUND($B$81*12,0),B499*(C499/12)/(1-(1+C499/12)^(-ROUND($B$81*12,0))))),IF(AND(NOT(AND(99&gt;$B$173,$B$78="Refinance",ISNUMBER($B$80),$B$80&gt;=0,$B$80&lt;=1,ROUND($B$81*12,0)&gt;=1,$B$81&lt;=100,SUM($B$82)&gt;=0,SUM($B$82)&lt;=1,SUM($B$83)&gt;=0)),OR(99=1,99=$B$174+1,AND($B$175&gt;0,99=$B$175+1))),IF(AND($B$170=1,$B$66&gt;0,OR($B$175=0,99&lt;=$B$175)),$B$66,IF($B$172-MAX(99-1,$B$174)&gt;0,IF(B499=0,0,IF(C499=0,B499/($B$172-MAX(99-1,$B$174)),B499*(C499/12)/(1-(1+C499/12)^(-($B$172-MAX(99-1,$B$174)))))),"")),D498))))),IF(IF(AND(99&lt;=$B$174,99&lt;=$B$173),B499*C499/12,IF(AND(99=$B$173+1,AND(99&gt;$B$173,$B$78="Refinance",ISNUMBER($B$80),$B$80&gt;=0,$B$80&lt;=1,ROUND($B$81*12,0)&gt;=1,$B$81&lt;=100,SUM($B$82)&gt;=0,SUM($B$82)&lt;=1,SUM($B$83)&gt;=0)),IF(B499=0,0,IF(C499=0,B499/ROUND($B$81*12,0),B499*(C499/12)/(1-(1+C499/12)^(-ROUND($B$81*12,0))))),IF(AND(NOT(AND(99&gt;$B$173,$B$78="Refinance",ISNUMBER($B$80),$B$80&gt;=0,$B$80&lt;=1,ROUND($B$81*12,0)&gt;=1,$B$81&lt;=100,SUM($B$82)&gt;=0,SUM($B$82)&lt;=1,SUM($B$83)&gt;=0)),OR(99=1,99=$B$174+1,AND($B$175&gt;0,99=$B$175+1))),IF(AND($B$170=1,$B$66&gt;0,OR($B$175=0,99&lt;=$B$175)),$B$66,IF($B$172-MAX(99-1,$B$174)&gt;0,IF(B499=0,0,IF(C499=0,B499/($B$172-MAX(99-1,$B$174)),B499*(C499/12)/(1-(1+C499/12)^(-($B$172-MAX(99-1,$B$174)))))),"")),D498)))+0.0000001&gt;=B499*C499/12,MIN(B499*(1+C499/12),IF(AND(99&lt;=$B$174,99&lt;=$B$173),B499*C499/12,IF(AND(99=$B$173+1,AND(99&gt;$B$173,$B$78="Refinance",ISNUMBER($B$80),$B$80&gt;=0,$B$80&lt;=1,ROUND($B$81*12,0)&gt;=1,$B$81&lt;=100,SUM($B$82)&gt;=0,SUM($B$82)&lt;=1,SUM($B$83)&gt;=0)),IF(B499=0,0,IF(C499=0,B499/ROUND($B$81*12,0),B499*(C499/12)/(1-(1+C499/12)^(-ROUND($B$81*12,0))))),IF(AND(NOT(AND(99&gt;$B$173,$B$78="Refinance",ISNUMBER($B$80),$B$80&gt;=0,$B$80&lt;=1,ROUND($B$81*12,0)&gt;=1,$B$81&lt;=100,SUM($B$82)&gt;=0,SUM($B$82)&lt;=1,SUM($B$83)&gt;=0)),OR(99=1,99=$B$174+1,AND($B$175&gt;0,99=$B$175+1))),IF(AND($B$170=1,$B$66&gt;0,OR($B$175=0,99&lt;=$B$175)),$B$66,IF($B$172-MAX(99-1,$B$174)&gt;0,IF(B499=0,0,IF(C499=0,B499/($B$172-MAX(99-1,$B$174)),B499*(C499/12)/(1-(1+C499/12)^(-($B$172-MAX(99-1,$B$174)))))),"")),D498)))),""),""))</x:f>
        <x:v>4679.450723240598</x:v>
      </x:c>
      <x:c r="E499" s="440" t="n">
        <x:f>IF(AND(99=$B$173,ISNUMBER(D499)),IF(MAX(0,B499*(1+C499/12)-D499)&lt;MAX(0.0000001,$E$17*0.00000000001),0,MAX(0,B499*(1+C499/12)-D499)),0)</x:f>
        <x:v>0</x:v>
      </x:c>
      <x:c r="F499" s="440" t="n">
        <x:f>IF($B$78="Cash payoff",E499,0)</x:f>
        <x:v>0</x:v>
      </x:c>
      <x:c r="G499" s="440" t="n">
        <x:f>IF(AND(E499&gt;0,AND($B$78="Refinance",ISNUMBER($B$80),$B$80&gt;=0,$B$80&lt;=1,ROUND($B$81*12,0)&gt;=1,$B$81&lt;=100,SUM($B$82)&gt;=0,SUM($B$82)&lt;=1,SUM($B$83)&gt;=0)),E499*SUM($B$82)+SUM($B$83),0)</x:f>
        <x:v>0</x:v>
      </x:c>
      <x:c r="H499" s="440" t="n">
        <x:f>IF(ISNUMBER(D499),IF(MAX(0,B499*(1+C499/12)-D499-F499)&lt;MAX(0.0000001,$E$17*0.00000000001),0,MAX(0,B499*(1+C499/12)-D499-F499)),IF(AND($B$171=1,I498=1),B499,""))</x:f>
        <x:v>666896.8812868783</x:v>
      </x:c>
      <x:c r="I499" s="444" t="n">
        <x:f>IF(OR(I498=1,AND(E499&gt;0,$B$78&lt;&gt;"Cash payoff",NOT(AND($B$78="Refinance",ISNUMBER($B$80),$B$80&gt;=0,$B$80&lt;=1,ROUND($B$81*12,0)&gt;=1,$B$81&lt;=100,SUM($B$82)&gt;=0,SUM($B$82)&lt;=1,SUM($B$83)&gt;=0))),AND(ISNUMBER(B499),B499&gt;0,$B$171=1,NOT(ISNUMBER(D499)))),1,0)</x:f>
        <x:v>0</x:v>
      </x:c>
      <x:c r="J499" s="440" t="n">
        <x:f>IF(ISNUMBER(L498),L498,"")</x:f>
        <x:v>0</x:v>
      </x:c>
      <x:c r="K499" s="440" t="n">
        <x:f>IF(AND(ISNUMBER(J499),J499=0),0,IF(AND($B$176=1,ISNUMBER(J499)),MIN(J499*(1+$B$87/12),IF($B$86=0,0,IF($B$87=0,$B$86/ROUND($B$88*12,0),$B$86*($B$87/12)/(1-(1+$B$87/12)^(-ROUND($B$88*12,0)))))),""))</x:f>
        <x:v>0</x:v>
      </x:c>
      <x:c r="L499" s="440" t="n">
        <x:f>IF(ISNUMBER(K499),IF(MAX(0,J499*(1+SUM($B$87)/12)-K499)&lt;MAX(0.0000001,$B$86*0.00000000001),0,MAX(0,J499*(1+SUM($B$87)/12)-K499)),"")</x:f>
        <x:v>0</x:v>
      </x:c>
      <x:c r="M499" s="440" t="n">
        <x:f>IF(AND(ISNUMBER(D499),ISNUMBER(K499)),D499+K499,"")</x:f>
        <x:v>4679.450723240598</x:v>
      </x:c>
      <x:c r="N499" s="440" t="n">
        <x:f>IF(AND(ISNUMBER(H499),ISNUMBER(L499)),H499+L499,"")</x:f>
        <x:v>666896.8812868783</x:v>
      </x:c>
    </x:row>
    <x:row r="500" ht="22" customHeight="1">
      <x:c r="A500" s="254" t="n">
        <x:f>100</x:f>
        <x:v>100</x:v>
      </x:c>
      <x:c r="B500" s="440" t="n">
        <x:f>IF(ISNUMBER(H499),H499,"")</x:f>
        <x:v>666896.8812868783</x:v>
      </x:c>
      <x:c r="C500" s="442" t="n">
        <x:f>IF(ISNUMBER(B500),IF(AND(100&gt;$B$173,$B$78="Refinance",ISNUMBER($B$80),$B$80&gt;=0,$B$80&lt;=1,ROUND($B$81*12,0)&gt;=1,$B$81&lt;=100,SUM($B$82)&gt;=0,SUM($B$82)&lt;=1,SUM($B$83)&gt;=0),$B$80,IF(AND($B$175&gt;0,100&gt;$B$175,ISNUMBER($B$75)),$B$75,$B$61)),"")</x:f>
        <x:v>0.0625</x:v>
      </x:c>
      <x:c r="D500" s="440" t="n">
        <x:f>IF(AND(ISNUMBER(B500),B500=0),0,IF(AND($B$171=1,I499=0,ISNUMBER(C500),ISNUMBER(IF(AND(100&lt;=$B$174,100&lt;=$B$173),B500*C500/12,IF(AND(100=$B$173+1,AND(100&gt;$B$173,$B$78="Refinance",ISNUMBER($B$80),$B$80&gt;=0,$B$80&lt;=1,ROUND($B$81*12,0)&gt;=1,$B$81&lt;=100,SUM($B$82)&gt;=0,SUM($B$82)&lt;=1,SUM($B$83)&gt;=0)),IF(B500=0,0,IF(C500=0,B500/ROUND($B$81*12,0),B500*(C500/12)/(1-(1+C500/12)^(-ROUND($B$81*12,0))))),IF(AND(NOT(AND(100&gt;$B$173,$B$78="Refinance",ISNUMBER($B$80),$B$80&gt;=0,$B$80&lt;=1,ROUND($B$81*12,0)&gt;=1,$B$81&lt;=100,SUM($B$82)&gt;=0,SUM($B$82)&lt;=1,SUM($B$83)&gt;=0)),OR(100=1,100=$B$174+1,AND($B$175&gt;0,100=$B$175+1))),IF(AND($B$170=1,$B$66&gt;0,OR($B$175=0,100&lt;=$B$175)),$B$66,IF($B$172-MAX(100-1,$B$174)&gt;0,IF(B500=0,0,IF(C500=0,B500/($B$172-MAX(100-1,$B$174)),B500*(C500/12)/(1-(1+C500/12)^(-($B$172-MAX(100-1,$B$174)))))),"")),D499))))),IF(IF(AND(100&lt;=$B$174,100&lt;=$B$173),B500*C500/12,IF(AND(100=$B$173+1,AND(100&gt;$B$173,$B$78="Refinance",ISNUMBER($B$80),$B$80&gt;=0,$B$80&lt;=1,ROUND($B$81*12,0)&gt;=1,$B$81&lt;=100,SUM($B$82)&gt;=0,SUM($B$82)&lt;=1,SUM($B$83)&gt;=0)),IF(B500=0,0,IF(C500=0,B500/ROUND($B$81*12,0),B500*(C500/12)/(1-(1+C500/12)^(-ROUND($B$81*12,0))))),IF(AND(NOT(AND(100&gt;$B$173,$B$78="Refinance",ISNUMBER($B$80),$B$80&gt;=0,$B$80&lt;=1,ROUND($B$81*12,0)&gt;=1,$B$81&lt;=100,SUM($B$82)&gt;=0,SUM($B$82)&lt;=1,SUM($B$83)&gt;=0)),OR(100=1,100=$B$174+1,AND($B$175&gt;0,100=$B$175+1))),IF(AND($B$170=1,$B$66&gt;0,OR($B$175=0,100&lt;=$B$175)),$B$66,IF($B$172-MAX(100-1,$B$174)&gt;0,IF(B500=0,0,IF(C500=0,B500/($B$172-MAX(100-1,$B$174)),B500*(C500/12)/(1-(1+C500/12)^(-($B$172-MAX(100-1,$B$174)))))),"")),D499)))+0.0000001&gt;=B500*C500/12,MIN(B500*(1+C500/12),IF(AND(100&lt;=$B$174,100&lt;=$B$173),B500*C500/12,IF(AND(100=$B$173+1,AND(100&gt;$B$173,$B$78="Refinance",ISNUMBER($B$80),$B$80&gt;=0,$B$80&lt;=1,ROUND($B$81*12,0)&gt;=1,$B$81&lt;=100,SUM($B$82)&gt;=0,SUM($B$82)&lt;=1,SUM($B$83)&gt;=0)),IF(B500=0,0,IF(C500=0,B500/ROUND($B$81*12,0),B500*(C500/12)/(1-(1+C500/12)^(-ROUND($B$81*12,0))))),IF(AND(NOT(AND(100&gt;$B$173,$B$78="Refinance",ISNUMBER($B$80),$B$80&gt;=0,$B$80&lt;=1,ROUND($B$81*12,0)&gt;=1,$B$81&lt;=100,SUM($B$82)&gt;=0,SUM($B$82)&lt;=1,SUM($B$83)&gt;=0)),OR(100=1,100=$B$174+1,AND($B$175&gt;0,100=$B$175+1))),IF(AND($B$170=1,$B$66&gt;0,OR($B$175=0,100&lt;=$B$175)),$B$66,IF($B$172-MAX(100-1,$B$174)&gt;0,IF(B500=0,0,IF(C500=0,B500/($B$172-MAX(100-1,$B$174)),B500*(C500/12)/(1-(1+C500/12)^(-($B$172-MAX(100-1,$B$174)))))),"")),D499)))),""),""))</x:f>
        <x:v>4679.450723240598</x:v>
      </x:c>
      <x:c r="E500" s="440" t="n">
        <x:f>IF(AND(100=$B$173,ISNUMBER(D500)),IF(MAX(0,B500*(1+C500/12)-D500)&lt;MAX(0.0000001,$E$17*0.00000000001),0,MAX(0,B500*(1+C500/12)-D500)),0)</x:f>
        <x:v>0</x:v>
      </x:c>
      <x:c r="F500" s="440" t="n">
        <x:f>IF($B$78="Cash payoff",E500,0)</x:f>
        <x:v>0</x:v>
      </x:c>
      <x:c r="G500" s="440" t="n">
        <x:f>IF(AND(E500&gt;0,AND($B$78="Refinance",ISNUMBER($B$80),$B$80&gt;=0,$B$80&lt;=1,ROUND($B$81*12,0)&gt;=1,$B$81&lt;=100,SUM($B$82)&gt;=0,SUM($B$82)&lt;=1,SUM($B$83)&gt;=0)),E500*SUM($B$82)+SUM($B$83),0)</x:f>
        <x:v>0</x:v>
      </x:c>
      <x:c r="H500" s="440" t="n">
        <x:f>IF(ISNUMBER(D500),IF(MAX(0,B500*(1+C500/12)-D500-F500)&lt;MAX(0.0000001,$E$17*0.00000000001),0,MAX(0,B500*(1+C500/12)-D500-F500)),IF(AND($B$171=1,I499=1),B500,""))</x:f>
        <x:v>665690.85182034</x:v>
      </x:c>
      <x:c r="I500" s="444" t="n">
        <x:f>IF(OR(I499=1,AND(E500&gt;0,$B$78&lt;&gt;"Cash payoff",NOT(AND($B$78="Refinance",ISNUMBER($B$80),$B$80&gt;=0,$B$80&lt;=1,ROUND($B$81*12,0)&gt;=1,$B$81&lt;=100,SUM($B$82)&gt;=0,SUM($B$82)&lt;=1,SUM($B$83)&gt;=0))),AND(ISNUMBER(B500),B500&gt;0,$B$171=1,NOT(ISNUMBER(D500)))),1,0)</x:f>
        <x:v>0</x:v>
      </x:c>
      <x:c r="J500" s="440" t="n">
        <x:f>IF(ISNUMBER(L499),L499,"")</x:f>
        <x:v>0</x:v>
      </x:c>
      <x:c r="K500" s="440" t="n">
        <x:f>IF(AND(ISNUMBER(J500),J500=0),0,IF(AND($B$176=1,ISNUMBER(J500)),MIN(J500*(1+$B$87/12),IF($B$86=0,0,IF($B$87=0,$B$86/ROUND($B$88*12,0),$B$86*($B$87/12)/(1-(1+$B$87/12)^(-ROUND($B$88*12,0)))))),""))</x:f>
        <x:v>0</x:v>
      </x:c>
      <x:c r="L500" s="440" t="n">
        <x:f>IF(ISNUMBER(K500),IF(MAX(0,J500*(1+SUM($B$87)/12)-K500)&lt;MAX(0.0000001,$B$86*0.00000000001),0,MAX(0,J500*(1+SUM($B$87)/12)-K500)),"")</x:f>
        <x:v>0</x:v>
      </x:c>
      <x:c r="M500" s="440" t="n">
        <x:f>IF(AND(ISNUMBER(D500),ISNUMBER(K500)),D500+K500,"")</x:f>
        <x:v>4679.450723240598</x:v>
      </x:c>
      <x:c r="N500" s="440" t="n">
        <x:f>IF(AND(ISNUMBER(H500),ISNUMBER(L500)),H500+L500,"")</x:f>
        <x:v>665690.85182034</x:v>
      </x:c>
    </x:row>
    <x:row r="501" ht="22" customHeight="1">
      <x:c r="A501" s="254" t="n">
        <x:f>101</x:f>
        <x:v>101</x:v>
      </x:c>
      <x:c r="B501" s="440" t="n">
        <x:f>IF(ISNUMBER(H500),H500,"")</x:f>
        <x:v>665690.85182034</x:v>
      </x:c>
      <x:c r="C501" s="442" t="n">
        <x:f>IF(ISNUMBER(B501),IF(AND(101&gt;$B$173,$B$78="Refinance",ISNUMBER($B$80),$B$80&gt;=0,$B$80&lt;=1,ROUND($B$81*12,0)&gt;=1,$B$81&lt;=100,SUM($B$82)&gt;=0,SUM($B$82)&lt;=1,SUM($B$83)&gt;=0),$B$80,IF(AND($B$175&gt;0,101&gt;$B$175,ISNUMBER($B$75)),$B$75,$B$61)),"")</x:f>
        <x:v>0.0625</x:v>
      </x:c>
      <x:c r="D501" s="440" t="n">
        <x:f>IF(AND(ISNUMBER(B501),B501=0),0,IF(AND($B$171=1,I500=0,ISNUMBER(C501),ISNUMBER(IF(AND(101&lt;=$B$174,101&lt;=$B$173),B501*C501/12,IF(AND(101=$B$173+1,AND(101&gt;$B$173,$B$78="Refinance",ISNUMBER($B$80),$B$80&gt;=0,$B$80&lt;=1,ROUND($B$81*12,0)&gt;=1,$B$81&lt;=100,SUM($B$82)&gt;=0,SUM($B$82)&lt;=1,SUM($B$83)&gt;=0)),IF(B501=0,0,IF(C501=0,B501/ROUND($B$81*12,0),B501*(C501/12)/(1-(1+C501/12)^(-ROUND($B$81*12,0))))),IF(AND(NOT(AND(101&gt;$B$173,$B$78="Refinance",ISNUMBER($B$80),$B$80&gt;=0,$B$80&lt;=1,ROUND($B$81*12,0)&gt;=1,$B$81&lt;=100,SUM($B$82)&gt;=0,SUM($B$82)&lt;=1,SUM($B$83)&gt;=0)),OR(101=1,101=$B$174+1,AND($B$175&gt;0,101=$B$175+1))),IF(AND($B$170=1,$B$66&gt;0,OR($B$175=0,101&lt;=$B$175)),$B$66,IF($B$172-MAX(101-1,$B$174)&gt;0,IF(B501=0,0,IF(C501=0,B501/($B$172-MAX(101-1,$B$174)),B501*(C501/12)/(1-(1+C501/12)^(-($B$172-MAX(101-1,$B$174)))))),"")),D500))))),IF(IF(AND(101&lt;=$B$174,101&lt;=$B$173),B501*C501/12,IF(AND(101=$B$173+1,AND(101&gt;$B$173,$B$78="Refinance",ISNUMBER($B$80),$B$80&gt;=0,$B$80&lt;=1,ROUND($B$81*12,0)&gt;=1,$B$81&lt;=100,SUM($B$82)&gt;=0,SUM($B$82)&lt;=1,SUM($B$83)&gt;=0)),IF(B501=0,0,IF(C501=0,B501/ROUND($B$81*12,0),B501*(C501/12)/(1-(1+C501/12)^(-ROUND($B$81*12,0))))),IF(AND(NOT(AND(101&gt;$B$173,$B$78="Refinance",ISNUMBER($B$80),$B$80&gt;=0,$B$80&lt;=1,ROUND($B$81*12,0)&gt;=1,$B$81&lt;=100,SUM($B$82)&gt;=0,SUM($B$82)&lt;=1,SUM($B$83)&gt;=0)),OR(101=1,101=$B$174+1,AND($B$175&gt;0,101=$B$175+1))),IF(AND($B$170=1,$B$66&gt;0,OR($B$175=0,101&lt;=$B$175)),$B$66,IF($B$172-MAX(101-1,$B$174)&gt;0,IF(B501=0,0,IF(C501=0,B501/($B$172-MAX(101-1,$B$174)),B501*(C501/12)/(1-(1+C501/12)^(-($B$172-MAX(101-1,$B$174)))))),"")),D500)))+0.0000001&gt;=B501*C501/12,MIN(B501*(1+C501/12),IF(AND(101&lt;=$B$174,101&lt;=$B$173),B501*C501/12,IF(AND(101=$B$173+1,AND(101&gt;$B$173,$B$78="Refinance",ISNUMBER($B$80),$B$80&gt;=0,$B$80&lt;=1,ROUND($B$81*12,0)&gt;=1,$B$81&lt;=100,SUM($B$82)&gt;=0,SUM($B$82)&lt;=1,SUM($B$83)&gt;=0)),IF(B501=0,0,IF(C501=0,B501/ROUND($B$81*12,0),B501*(C501/12)/(1-(1+C501/12)^(-ROUND($B$81*12,0))))),IF(AND(NOT(AND(101&gt;$B$173,$B$78="Refinance",ISNUMBER($B$80),$B$80&gt;=0,$B$80&lt;=1,ROUND($B$81*12,0)&gt;=1,$B$81&lt;=100,SUM($B$82)&gt;=0,SUM($B$82)&lt;=1,SUM($B$83)&gt;=0)),OR(101=1,101=$B$174+1,AND($B$175&gt;0,101=$B$175+1))),IF(AND($B$170=1,$B$66&gt;0,OR($B$175=0,101&lt;=$B$175)),$B$66,IF($B$172-MAX(101-1,$B$174)&gt;0,IF(B501=0,0,IF(C501=0,B501/($B$172-MAX(101-1,$B$174)),B501*(C501/12)/(1-(1+C501/12)^(-($B$172-MAX(101-1,$B$174)))))),"")),D500)))),""),""))</x:f>
        <x:v>4679.450723240598</x:v>
      </x:c>
      <x:c r="E501" s="440" t="n">
        <x:f>IF(AND(101=$B$173,ISNUMBER(D501)),IF(MAX(0,B501*(1+C501/12)-D501)&lt;MAX(0.0000001,$E$17*0.00000000001),0,MAX(0,B501*(1+C501/12)-D501)),0)</x:f>
        <x:v>0</x:v>
      </x:c>
      <x:c r="F501" s="440" t="n">
        <x:f>IF($B$78="Cash payoff",E501,0)</x:f>
        <x:v>0</x:v>
      </x:c>
      <x:c r="G501" s="440" t="n">
        <x:f>IF(AND(E501&gt;0,AND($B$78="Refinance",ISNUMBER($B$80),$B$80&gt;=0,$B$80&lt;=1,ROUND($B$81*12,0)&gt;=1,$B$81&lt;=100,SUM($B$82)&gt;=0,SUM($B$82)&lt;=1,SUM($B$83)&gt;=0)),E501*SUM($B$82)+SUM($B$83),0)</x:f>
        <x:v>0</x:v>
      </x:c>
      <x:c r="H501" s="440" t="n">
        <x:f>IF(ISNUMBER(D501),IF(MAX(0,B501*(1+C501/12)-D501-F501)&lt;MAX(0.0000001,$E$17*0.00000000001),0,MAX(0,B501*(1+C501/12)-D501-F501)),IF(AND($B$171=1,I500=1),B501,""))</x:f>
        <x:v>664478.5409503303</x:v>
      </x:c>
      <x:c r="I501" s="444" t="n">
        <x:f>IF(OR(I500=1,AND(E501&gt;0,$B$78&lt;&gt;"Cash payoff",NOT(AND($B$78="Refinance",ISNUMBER($B$80),$B$80&gt;=0,$B$80&lt;=1,ROUND($B$81*12,0)&gt;=1,$B$81&lt;=100,SUM($B$82)&gt;=0,SUM($B$82)&lt;=1,SUM($B$83)&gt;=0))),AND(ISNUMBER(B501),B501&gt;0,$B$171=1,NOT(ISNUMBER(D501)))),1,0)</x:f>
        <x:v>0</x:v>
      </x:c>
      <x:c r="J501" s="440" t="n">
        <x:f>IF(ISNUMBER(L500),L500,"")</x:f>
        <x:v>0</x:v>
      </x:c>
      <x:c r="K501" s="440" t="n">
        <x:f>IF(AND(ISNUMBER(J501),J501=0),0,IF(AND($B$176=1,ISNUMBER(J501)),MIN(J501*(1+$B$87/12),IF($B$86=0,0,IF($B$87=0,$B$86/ROUND($B$88*12,0),$B$86*($B$87/12)/(1-(1+$B$87/12)^(-ROUND($B$88*12,0)))))),""))</x:f>
        <x:v>0</x:v>
      </x:c>
      <x:c r="L501" s="440" t="n">
        <x:f>IF(ISNUMBER(K501),IF(MAX(0,J501*(1+SUM($B$87)/12)-K501)&lt;MAX(0.0000001,$B$86*0.00000000001),0,MAX(0,J501*(1+SUM($B$87)/12)-K501)),"")</x:f>
        <x:v>0</x:v>
      </x:c>
      <x:c r="M501" s="440" t="n">
        <x:f>IF(AND(ISNUMBER(D501),ISNUMBER(K501)),D501+K501,"")</x:f>
        <x:v>4679.450723240598</x:v>
      </x:c>
      <x:c r="N501" s="440" t="n">
        <x:f>IF(AND(ISNUMBER(H501),ISNUMBER(L501)),H501+L501,"")</x:f>
        <x:v>664478.5409503303</x:v>
      </x:c>
    </x:row>
    <x:row r="502" ht="22" customHeight="1">
      <x:c r="A502" s="254" t="n">
        <x:f>102</x:f>
        <x:v>102</x:v>
      </x:c>
      <x:c r="B502" s="440" t="n">
        <x:f>IF(ISNUMBER(H501),H501,"")</x:f>
        <x:v>664478.5409503303</x:v>
      </x:c>
      <x:c r="C502" s="442" t="n">
        <x:f>IF(ISNUMBER(B502),IF(AND(102&gt;$B$173,$B$78="Refinance",ISNUMBER($B$80),$B$80&gt;=0,$B$80&lt;=1,ROUND($B$81*12,0)&gt;=1,$B$81&lt;=100,SUM($B$82)&gt;=0,SUM($B$82)&lt;=1,SUM($B$83)&gt;=0),$B$80,IF(AND($B$175&gt;0,102&gt;$B$175,ISNUMBER($B$75)),$B$75,$B$61)),"")</x:f>
        <x:v>0.0625</x:v>
      </x:c>
      <x:c r="D502" s="440" t="n">
        <x:f>IF(AND(ISNUMBER(B502),B502=0),0,IF(AND($B$171=1,I501=0,ISNUMBER(C502),ISNUMBER(IF(AND(102&lt;=$B$174,102&lt;=$B$173),B502*C502/12,IF(AND(102=$B$173+1,AND(102&gt;$B$173,$B$78="Refinance",ISNUMBER($B$80),$B$80&gt;=0,$B$80&lt;=1,ROUND($B$81*12,0)&gt;=1,$B$81&lt;=100,SUM($B$82)&gt;=0,SUM($B$82)&lt;=1,SUM($B$83)&gt;=0)),IF(B502=0,0,IF(C502=0,B502/ROUND($B$81*12,0),B502*(C502/12)/(1-(1+C502/12)^(-ROUND($B$81*12,0))))),IF(AND(NOT(AND(102&gt;$B$173,$B$78="Refinance",ISNUMBER($B$80),$B$80&gt;=0,$B$80&lt;=1,ROUND($B$81*12,0)&gt;=1,$B$81&lt;=100,SUM($B$82)&gt;=0,SUM($B$82)&lt;=1,SUM($B$83)&gt;=0)),OR(102=1,102=$B$174+1,AND($B$175&gt;0,102=$B$175+1))),IF(AND($B$170=1,$B$66&gt;0,OR($B$175=0,102&lt;=$B$175)),$B$66,IF($B$172-MAX(102-1,$B$174)&gt;0,IF(B502=0,0,IF(C502=0,B502/($B$172-MAX(102-1,$B$174)),B502*(C502/12)/(1-(1+C502/12)^(-($B$172-MAX(102-1,$B$174)))))),"")),D501))))),IF(IF(AND(102&lt;=$B$174,102&lt;=$B$173),B502*C502/12,IF(AND(102=$B$173+1,AND(102&gt;$B$173,$B$78="Refinance",ISNUMBER($B$80),$B$80&gt;=0,$B$80&lt;=1,ROUND($B$81*12,0)&gt;=1,$B$81&lt;=100,SUM($B$82)&gt;=0,SUM($B$82)&lt;=1,SUM($B$83)&gt;=0)),IF(B502=0,0,IF(C502=0,B502/ROUND($B$81*12,0),B502*(C502/12)/(1-(1+C502/12)^(-ROUND($B$81*12,0))))),IF(AND(NOT(AND(102&gt;$B$173,$B$78="Refinance",ISNUMBER($B$80),$B$80&gt;=0,$B$80&lt;=1,ROUND($B$81*12,0)&gt;=1,$B$81&lt;=100,SUM($B$82)&gt;=0,SUM($B$82)&lt;=1,SUM($B$83)&gt;=0)),OR(102=1,102=$B$174+1,AND($B$175&gt;0,102=$B$175+1))),IF(AND($B$170=1,$B$66&gt;0,OR($B$175=0,102&lt;=$B$175)),$B$66,IF($B$172-MAX(102-1,$B$174)&gt;0,IF(B502=0,0,IF(C502=0,B502/($B$172-MAX(102-1,$B$174)),B502*(C502/12)/(1-(1+C502/12)^(-($B$172-MAX(102-1,$B$174)))))),"")),D501)))+0.0000001&gt;=B502*C502/12,MIN(B502*(1+C502/12),IF(AND(102&lt;=$B$174,102&lt;=$B$173),B502*C502/12,IF(AND(102=$B$173+1,AND(102&gt;$B$173,$B$78="Refinance",ISNUMBER($B$80),$B$80&gt;=0,$B$80&lt;=1,ROUND($B$81*12,0)&gt;=1,$B$81&lt;=100,SUM($B$82)&gt;=0,SUM($B$82)&lt;=1,SUM($B$83)&gt;=0)),IF(B502=0,0,IF(C502=0,B502/ROUND($B$81*12,0),B502*(C502/12)/(1-(1+C502/12)^(-ROUND($B$81*12,0))))),IF(AND(NOT(AND(102&gt;$B$173,$B$78="Refinance",ISNUMBER($B$80),$B$80&gt;=0,$B$80&lt;=1,ROUND($B$81*12,0)&gt;=1,$B$81&lt;=100,SUM($B$82)&gt;=0,SUM($B$82)&lt;=1,SUM($B$83)&gt;=0)),OR(102=1,102=$B$174+1,AND($B$175&gt;0,102=$B$175+1))),IF(AND($B$170=1,$B$66&gt;0,OR($B$175=0,102&lt;=$B$175)),$B$66,IF($B$172-MAX(102-1,$B$174)&gt;0,IF(B502=0,0,IF(C502=0,B502/($B$172-MAX(102-1,$B$174)),B502*(C502/12)/(1-(1+C502/12)^(-($B$172-MAX(102-1,$B$174)))))),"")),D501)))),""),""))</x:f>
        <x:v>4679.450723240598</x:v>
      </x:c>
      <x:c r="E502" s="440" t="n">
        <x:f>IF(AND(102=$B$173,ISNUMBER(D502)),IF(MAX(0,B502*(1+C502/12)-D502)&lt;MAX(0.0000001,$E$17*0.00000000001),0,MAX(0,B502*(1+C502/12)-D502)),0)</x:f>
        <x:v>0</x:v>
      </x:c>
      <x:c r="F502" s="440" t="n">
        <x:f>IF($B$78="Cash payoff",E502,0)</x:f>
        <x:v>0</x:v>
      </x:c>
      <x:c r="G502" s="440" t="n">
        <x:f>IF(AND(E502&gt;0,AND($B$78="Refinance",ISNUMBER($B$80),$B$80&gt;=0,$B$80&lt;=1,ROUND($B$81*12,0)&gt;=1,$B$81&lt;=100,SUM($B$82)&gt;=0,SUM($B$82)&lt;=1,SUM($B$83)&gt;=0)),E502*SUM($B$82)+SUM($B$83),0)</x:f>
        <x:v>0</x:v>
      </x:c>
      <x:c r="H502" s="440" t="n">
        <x:f>IF(ISNUMBER(D502),IF(MAX(0,B502*(1+C502/12)-D502-F502)&lt;MAX(0.0000001,$E$17*0.00000000001),0,MAX(0,B502*(1+C502/12)-D502-F502)),IF(AND($B$171=1,I501=1),B502,""))</x:f>
        <x:v>663259.915961206</x:v>
      </x:c>
      <x:c r="I502" s="444" t="n">
        <x:f>IF(OR(I501=1,AND(E502&gt;0,$B$78&lt;&gt;"Cash payoff",NOT(AND($B$78="Refinance",ISNUMBER($B$80),$B$80&gt;=0,$B$80&lt;=1,ROUND($B$81*12,0)&gt;=1,$B$81&lt;=100,SUM($B$82)&gt;=0,SUM($B$82)&lt;=1,SUM($B$83)&gt;=0))),AND(ISNUMBER(B502),B502&gt;0,$B$171=1,NOT(ISNUMBER(D502)))),1,0)</x:f>
        <x:v>0</x:v>
      </x:c>
      <x:c r="J502" s="440" t="n">
        <x:f>IF(ISNUMBER(L501),L501,"")</x:f>
        <x:v>0</x:v>
      </x:c>
      <x:c r="K502" s="440" t="n">
        <x:f>IF(AND(ISNUMBER(J502),J502=0),0,IF(AND($B$176=1,ISNUMBER(J502)),MIN(J502*(1+$B$87/12),IF($B$86=0,0,IF($B$87=0,$B$86/ROUND($B$88*12,0),$B$86*($B$87/12)/(1-(1+$B$87/12)^(-ROUND($B$88*12,0)))))),""))</x:f>
        <x:v>0</x:v>
      </x:c>
      <x:c r="L502" s="440" t="n">
        <x:f>IF(ISNUMBER(K502),IF(MAX(0,J502*(1+SUM($B$87)/12)-K502)&lt;MAX(0.0000001,$B$86*0.00000000001),0,MAX(0,J502*(1+SUM($B$87)/12)-K502)),"")</x:f>
        <x:v>0</x:v>
      </x:c>
      <x:c r="M502" s="440" t="n">
        <x:f>IF(AND(ISNUMBER(D502),ISNUMBER(K502)),D502+K502,"")</x:f>
        <x:v>4679.450723240598</x:v>
      </x:c>
      <x:c r="N502" s="440" t="n">
        <x:f>IF(AND(ISNUMBER(H502),ISNUMBER(L502)),H502+L502,"")</x:f>
        <x:v>663259.915961206</x:v>
      </x:c>
    </x:row>
    <x:row r="503" ht="22" customHeight="1">
      <x:c r="A503" s="254" t="n">
        <x:f>103</x:f>
        <x:v>103</x:v>
      </x:c>
      <x:c r="B503" s="440" t="n">
        <x:f>IF(ISNUMBER(H502),H502,"")</x:f>
        <x:v>663259.915961206</x:v>
      </x:c>
      <x:c r="C503" s="442" t="n">
        <x:f>IF(ISNUMBER(B503),IF(AND(103&gt;$B$173,$B$78="Refinance",ISNUMBER($B$80),$B$80&gt;=0,$B$80&lt;=1,ROUND($B$81*12,0)&gt;=1,$B$81&lt;=100,SUM($B$82)&gt;=0,SUM($B$82)&lt;=1,SUM($B$83)&gt;=0),$B$80,IF(AND($B$175&gt;0,103&gt;$B$175,ISNUMBER($B$75)),$B$75,$B$61)),"")</x:f>
        <x:v>0.0625</x:v>
      </x:c>
      <x:c r="D503" s="440" t="n">
        <x:f>IF(AND(ISNUMBER(B503),B503=0),0,IF(AND($B$171=1,I502=0,ISNUMBER(C503),ISNUMBER(IF(AND(103&lt;=$B$174,103&lt;=$B$173),B503*C503/12,IF(AND(103=$B$173+1,AND(103&gt;$B$173,$B$78="Refinance",ISNUMBER($B$80),$B$80&gt;=0,$B$80&lt;=1,ROUND($B$81*12,0)&gt;=1,$B$81&lt;=100,SUM($B$82)&gt;=0,SUM($B$82)&lt;=1,SUM($B$83)&gt;=0)),IF(B503=0,0,IF(C503=0,B503/ROUND($B$81*12,0),B503*(C503/12)/(1-(1+C503/12)^(-ROUND($B$81*12,0))))),IF(AND(NOT(AND(103&gt;$B$173,$B$78="Refinance",ISNUMBER($B$80),$B$80&gt;=0,$B$80&lt;=1,ROUND($B$81*12,0)&gt;=1,$B$81&lt;=100,SUM($B$82)&gt;=0,SUM($B$82)&lt;=1,SUM($B$83)&gt;=0)),OR(103=1,103=$B$174+1,AND($B$175&gt;0,103=$B$175+1))),IF(AND($B$170=1,$B$66&gt;0,OR($B$175=0,103&lt;=$B$175)),$B$66,IF($B$172-MAX(103-1,$B$174)&gt;0,IF(B503=0,0,IF(C503=0,B503/($B$172-MAX(103-1,$B$174)),B503*(C503/12)/(1-(1+C503/12)^(-($B$172-MAX(103-1,$B$174)))))),"")),D502))))),IF(IF(AND(103&lt;=$B$174,103&lt;=$B$173),B503*C503/12,IF(AND(103=$B$173+1,AND(103&gt;$B$173,$B$78="Refinance",ISNUMBER($B$80),$B$80&gt;=0,$B$80&lt;=1,ROUND($B$81*12,0)&gt;=1,$B$81&lt;=100,SUM($B$82)&gt;=0,SUM($B$82)&lt;=1,SUM($B$83)&gt;=0)),IF(B503=0,0,IF(C503=0,B503/ROUND($B$81*12,0),B503*(C503/12)/(1-(1+C503/12)^(-ROUND($B$81*12,0))))),IF(AND(NOT(AND(103&gt;$B$173,$B$78="Refinance",ISNUMBER($B$80),$B$80&gt;=0,$B$80&lt;=1,ROUND($B$81*12,0)&gt;=1,$B$81&lt;=100,SUM($B$82)&gt;=0,SUM($B$82)&lt;=1,SUM($B$83)&gt;=0)),OR(103=1,103=$B$174+1,AND($B$175&gt;0,103=$B$175+1))),IF(AND($B$170=1,$B$66&gt;0,OR($B$175=0,103&lt;=$B$175)),$B$66,IF($B$172-MAX(103-1,$B$174)&gt;0,IF(B503=0,0,IF(C503=0,B503/($B$172-MAX(103-1,$B$174)),B503*(C503/12)/(1-(1+C503/12)^(-($B$172-MAX(103-1,$B$174)))))),"")),D502)))+0.0000001&gt;=B503*C503/12,MIN(B503*(1+C503/12),IF(AND(103&lt;=$B$174,103&lt;=$B$173),B503*C503/12,IF(AND(103=$B$173+1,AND(103&gt;$B$173,$B$78="Refinance",ISNUMBER($B$80),$B$80&gt;=0,$B$80&lt;=1,ROUND($B$81*12,0)&gt;=1,$B$81&lt;=100,SUM($B$82)&gt;=0,SUM($B$82)&lt;=1,SUM($B$83)&gt;=0)),IF(B503=0,0,IF(C503=0,B503/ROUND($B$81*12,0),B503*(C503/12)/(1-(1+C503/12)^(-ROUND($B$81*12,0))))),IF(AND(NOT(AND(103&gt;$B$173,$B$78="Refinance",ISNUMBER($B$80),$B$80&gt;=0,$B$80&lt;=1,ROUND($B$81*12,0)&gt;=1,$B$81&lt;=100,SUM($B$82)&gt;=0,SUM($B$82)&lt;=1,SUM($B$83)&gt;=0)),OR(103=1,103=$B$174+1,AND($B$175&gt;0,103=$B$175+1))),IF(AND($B$170=1,$B$66&gt;0,OR($B$175=0,103&lt;=$B$175)),$B$66,IF($B$172-MAX(103-1,$B$174)&gt;0,IF(B503=0,0,IF(C503=0,B503/($B$172-MAX(103-1,$B$174)),B503*(C503/12)/(1-(1+C503/12)^(-($B$172-MAX(103-1,$B$174)))))),"")),D502)))),""),""))</x:f>
        <x:v>4679.450723240598</x:v>
      </x:c>
      <x:c r="E503" s="440" t="n">
        <x:f>IF(AND(103=$B$173,ISNUMBER(D503)),IF(MAX(0,B503*(1+C503/12)-D503)&lt;MAX(0.0000001,$E$17*0.00000000001),0,MAX(0,B503*(1+C503/12)-D503)),0)</x:f>
        <x:v>0</x:v>
      </x:c>
      <x:c r="F503" s="440" t="n">
        <x:f>IF($B$78="Cash payoff",E503,0)</x:f>
        <x:v>0</x:v>
      </x:c>
      <x:c r="G503" s="440" t="n">
        <x:f>IF(AND(E503&gt;0,AND($B$78="Refinance",ISNUMBER($B$80),$B$80&gt;=0,$B$80&lt;=1,ROUND($B$81*12,0)&gt;=1,$B$81&lt;=100,SUM($B$82)&gt;=0,SUM($B$82)&lt;=1,SUM($B$83)&gt;=0)),E503*SUM($B$82)+SUM($B$83),0)</x:f>
        <x:v>0</x:v>
      </x:c>
      <x:c r="H503" s="440" t="n">
        <x:f>IF(ISNUMBER(D503),IF(MAX(0,B503*(1+C503/12)-D503-F503)&lt;MAX(0.0000001,$E$17*0.00000000001),0,MAX(0,B503*(1+C503/12)-D503-F503)),IF(AND($B$171=1,I502=1),B503,""))</x:f>
        <x:v>662034.9439669299</x:v>
      </x:c>
      <x:c r="I503" s="444" t="n">
        <x:f>IF(OR(I502=1,AND(E503&gt;0,$B$78&lt;&gt;"Cash payoff",NOT(AND($B$78="Refinance",ISNUMBER($B$80),$B$80&gt;=0,$B$80&lt;=1,ROUND($B$81*12,0)&gt;=1,$B$81&lt;=100,SUM($B$82)&gt;=0,SUM($B$82)&lt;=1,SUM($B$83)&gt;=0))),AND(ISNUMBER(B503),B503&gt;0,$B$171=1,NOT(ISNUMBER(D503)))),1,0)</x:f>
        <x:v>0</x:v>
      </x:c>
      <x:c r="J503" s="440" t="n">
        <x:f>IF(ISNUMBER(L502),L502,"")</x:f>
        <x:v>0</x:v>
      </x:c>
      <x:c r="K503" s="440" t="n">
        <x:f>IF(AND(ISNUMBER(J503),J503=0),0,IF(AND($B$176=1,ISNUMBER(J503)),MIN(J503*(1+$B$87/12),IF($B$86=0,0,IF($B$87=0,$B$86/ROUND($B$88*12,0),$B$86*($B$87/12)/(1-(1+$B$87/12)^(-ROUND($B$88*12,0)))))),""))</x:f>
        <x:v>0</x:v>
      </x:c>
      <x:c r="L503" s="440" t="n">
        <x:f>IF(ISNUMBER(K503),IF(MAX(0,J503*(1+SUM($B$87)/12)-K503)&lt;MAX(0.0000001,$B$86*0.00000000001),0,MAX(0,J503*(1+SUM($B$87)/12)-K503)),"")</x:f>
        <x:v>0</x:v>
      </x:c>
      <x:c r="M503" s="440" t="n">
        <x:f>IF(AND(ISNUMBER(D503),ISNUMBER(K503)),D503+K503,"")</x:f>
        <x:v>4679.450723240598</x:v>
      </x:c>
      <x:c r="N503" s="440" t="n">
        <x:f>IF(AND(ISNUMBER(H503),ISNUMBER(L503)),H503+L503,"")</x:f>
        <x:v>662034.9439669299</x:v>
      </x:c>
    </x:row>
    <x:row r="504" ht="22" customHeight="1">
      <x:c r="A504" s="254" t="n">
        <x:f>104</x:f>
        <x:v>104</x:v>
      </x:c>
      <x:c r="B504" s="440" t="n">
        <x:f>IF(ISNUMBER(H503),H503,"")</x:f>
        <x:v>662034.9439669299</x:v>
      </x:c>
      <x:c r="C504" s="442" t="n">
        <x:f>IF(ISNUMBER(B504),IF(AND(104&gt;$B$173,$B$78="Refinance",ISNUMBER($B$80),$B$80&gt;=0,$B$80&lt;=1,ROUND($B$81*12,0)&gt;=1,$B$81&lt;=100,SUM($B$82)&gt;=0,SUM($B$82)&lt;=1,SUM($B$83)&gt;=0),$B$80,IF(AND($B$175&gt;0,104&gt;$B$175,ISNUMBER($B$75)),$B$75,$B$61)),"")</x:f>
        <x:v>0.0625</x:v>
      </x:c>
      <x:c r="D504" s="440" t="n">
        <x:f>IF(AND(ISNUMBER(B504),B504=0),0,IF(AND($B$171=1,I503=0,ISNUMBER(C504),ISNUMBER(IF(AND(104&lt;=$B$174,104&lt;=$B$173),B504*C504/12,IF(AND(104=$B$173+1,AND(104&gt;$B$173,$B$78="Refinance",ISNUMBER($B$80),$B$80&gt;=0,$B$80&lt;=1,ROUND($B$81*12,0)&gt;=1,$B$81&lt;=100,SUM($B$82)&gt;=0,SUM($B$82)&lt;=1,SUM($B$83)&gt;=0)),IF(B504=0,0,IF(C504=0,B504/ROUND($B$81*12,0),B504*(C504/12)/(1-(1+C504/12)^(-ROUND($B$81*12,0))))),IF(AND(NOT(AND(104&gt;$B$173,$B$78="Refinance",ISNUMBER($B$80),$B$80&gt;=0,$B$80&lt;=1,ROUND($B$81*12,0)&gt;=1,$B$81&lt;=100,SUM($B$82)&gt;=0,SUM($B$82)&lt;=1,SUM($B$83)&gt;=0)),OR(104=1,104=$B$174+1,AND($B$175&gt;0,104=$B$175+1))),IF(AND($B$170=1,$B$66&gt;0,OR($B$175=0,104&lt;=$B$175)),$B$66,IF($B$172-MAX(104-1,$B$174)&gt;0,IF(B504=0,0,IF(C504=0,B504/($B$172-MAX(104-1,$B$174)),B504*(C504/12)/(1-(1+C504/12)^(-($B$172-MAX(104-1,$B$174)))))),"")),D503))))),IF(IF(AND(104&lt;=$B$174,104&lt;=$B$173),B504*C504/12,IF(AND(104=$B$173+1,AND(104&gt;$B$173,$B$78="Refinance",ISNUMBER($B$80),$B$80&gt;=0,$B$80&lt;=1,ROUND($B$81*12,0)&gt;=1,$B$81&lt;=100,SUM($B$82)&gt;=0,SUM($B$82)&lt;=1,SUM($B$83)&gt;=0)),IF(B504=0,0,IF(C504=0,B504/ROUND($B$81*12,0),B504*(C504/12)/(1-(1+C504/12)^(-ROUND($B$81*12,0))))),IF(AND(NOT(AND(104&gt;$B$173,$B$78="Refinance",ISNUMBER($B$80),$B$80&gt;=0,$B$80&lt;=1,ROUND($B$81*12,0)&gt;=1,$B$81&lt;=100,SUM($B$82)&gt;=0,SUM($B$82)&lt;=1,SUM($B$83)&gt;=0)),OR(104=1,104=$B$174+1,AND($B$175&gt;0,104=$B$175+1))),IF(AND($B$170=1,$B$66&gt;0,OR($B$175=0,104&lt;=$B$175)),$B$66,IF($B$172-MAX(104-1,$B$174)&gt;0,IF(B504=0,0,IF(C504=0,B504/($B$172-MAX(104-1,$B$174)),B504*(C504/12)/(1-(1+C504/12)^(-($B$172-MAX(104-1,$B$174)))))),"")),D503)))+0.0000001&gt;=B504*C504/12,MIN(B504*(1+C504/12),IF(AND(104&lt;=$B$174,104&lt;=$B$173),B504*C504/12,IF(AND(104=$B$173+1,AND(104&gt;$B$173,$B$78="Refinance",ISNUMBER($B$80),$B$80&gt;=0,$B$80&lt;=1,ROUND($B$81*12,0)&gt;=1,$B$81&lt;=100,SUM($B$82)&gt;=0,SUM($B$82)&lt;=1,SUM($B$83)&gt;=0)),IF(B504=0,0,IF(C504=0,B504/ROUND($B$81*12,0),B504*(C504/12)/(1-(1+C504/12)^(-ROUND($B$81*12,0))))),IF(AND(NOT(AND(104&gt;$B$173,$B$78="Refinance",ISNUMBER($B$80),$B$80&gt;=0,$B$80&lt;=1,ROUND($B$81*12,0)&gt;=1,$B$81&lt;=100,SUM($B$82)&gt;=0,SUM($B$82)&lt;=1,SUM($B$83)&gt;=0)),OR(104=1,104=$B$174+1,AND($B$175&gt;0,104=$B$175+1))),IF(AND($B$170=1,$B$66&gt;0,OR($B$175=0,104&lt;=$B$175)),$B$66,IF($B$172-MAX(104-1,$B$174)&gt;0,IF(B504=0,0,IF(C504=0,B504/($B$172-MAX(104-1,$B$174)),B504*(C504/12)/(1-(1+C504/12)^(-($B$172-MAX(104-1,$B$174)))))),"")),D503)))),""),""))</x:f>
        <x:v>4679.450723240598</x:v>
      </x:c>
      <x:c r="E504" s="440" t="n">
        <x:f>IF(AND(104=$B$173,ISNUMBER(D504)),IF(MAX(0,B504*(1+C504/12)-D504)&lt;MAX(0.0000001,$E$17*0.00000000001),0,MAX(0,B504*(1+C504/12)-D504)),0)</x:f>
        <x:v>0</x:v>
      </x:c>
      <x:c r="F504" s="440" t="n">
        <x:f>IF($B$78="Cash payoff",E504,0)</x:f>
        <x:v>0</x:v>
      </x:c>
      <x:c r="G504" s="440" t="n">
        <x:f>IF(AND(E504&gt;0,AND($B$78="Refinance",ISNUMBER($B$80),$B$80&gt;=0,$B$80&lt;=1,ROUND($B$81*12,0)&gt;=1,$B$81&lt;=100,SUM($B$82)&gt;=0,SUM($B$82)&lt;=1,SUM($B$83)&gt;=0)),E504*SUM($B$82)+SUM($B$83),0)</x:f>
        <x:v>0</x:v>
      </x:c>
      <x:c r="H504" s="440" t="n">
        <x:f>IF(ISNUMBER(D504),IF(MAX(0,B504*(1+C504/12)-D504-F504)&lt;MAX(0.0000001,$E$17*0.00000000001),0,MAX(0,B504*(1+C504/12)-D504-F504)),IF(AND($B$171=1,I503=1),B504,""))</x:f>
        <x:v>660803.5919101837</x:v>
      </x:c>
      <x:c r="I504" s="444" t="n">
        <x:f>IF(OR(I503=1,AND(E504&gt;0,$B$78&lt;&gt;"Cash payoff",NOT(AND($B$78="Refinance",ISNUMBER($B$80),$B$80&gt;=0,$B$80&lt;=1,ROUND($B$81*12,0)&gt;=1,$B$81&lt;=100,SUM($B$82)&gt;=0,SUM($B$82)&lt;=1,SUM($B$83)&gt;=0))),AND(ISNUMBER(B504),B504&gt;0,$B$171=1,NOT(ISNUMBER(D504)))),1,0)</x:f>
        <x:v>0</x:v>
      </x:c>
      <x:c r="J504" s="440" t="n">
        <x:f>IF(ISNUMBER(L503),L503,"")</x:f>
        <x:v>0</x:v>
      </x:c>
      <x:c r="K504" s="440" t="n">
        <x:f>IF(AND(ISNUMBER(J504),J504=0),0,IF(AND($B$176=1,ISNUMBER(J504)),MIN(J504*(1+$B$87/12),IF($B$86=0,0,IF($B$87=0,$B$86/ROUND($B$88*12,0),$B$86*($B$87/12)/(1-(1+$B$87/12)^(-ROUND($B$88*12,0)))))),""))</x:f>
        <x:v>0</x:v>
      </x:c>
      <x:c r="L504" s="440" t="n">
        <x:f>IF(ISNUMBER(K504),IF(MAX(0,J504*(1+SUM($B$87)/12)-K504)&lt;MAX(0.0000001,$B$86*0.00000000001),0,MAX(0,J504*(1+SUM($B$87)/12)-K504)),"")</x:f>
        <x:v>0</x:v>
      </x:c>
      <x:c r="M504" s="440" t="n">
        <x:f>IF(AND(ISNUMBER(D504),ISNUMBER(K504)),D504+K504,"")</x:f>
        <x:v>4679.450723240598</x:v>
      </x:c>
      <x:c r="N504" s="440" t="n">
        <x:f>IF(AND(ISNUMBER(H504),ISNUMBER(L504)),H504+L504,"")</x:f>
        <x:v>660803.5919101837</x:v>
      </x:c>
    </x:row>
    <x:row r="505" ht="22" customHeight="1">
      <x:c r="A505" s="254" t="n">
        <x:f>105</x:f>
        <x:v>105</x:v>
      </x:c>
      <x:c r="B505" s="440" t="n">
        <x:f>IF(ISNUMBER(H504),H504,"")</x:f>
        <x:v>660803.5919101837</x:v>
      </x:c>
      <x:c r="C505" s="442" t="n">
        <x:f>IF(ISNUMBER(B505),IF(AND(105&gt;$B$173,$B$78="Refinance",ISNUMBER($B$80),$B$80&gt;=0,$B$80&lt;=1,ROUND($B$81*12,0)&gt;=1,$B$81&lt;=100,SUM($B$82)&gt;=0,SUM($B$82)&lt;=1,SUM($B$83)&gt;=0),$B$80,IF(AND($B$175&gt;0,105&gt;$B$175,ISNUMBER($B$75)),$B$75,$B$61)),"")</x:f>
        <x:v>0.0625</x:v>
      </x:c>
      <x:c r="D505" s="440" t="n">
        <x:f>IF(AND(ISNUMBER(B505),B505=0),0,IF(AND($B$171=1,I504=0,ISNUMBER(C505),ISNUMBER(IF(AND(105&lt;=$B$174,105&lt;=$B$173),B505*C505/12,IF(AND(105=$B$173+1,AND(105&gt;$B$173,$B$78="Refinance",ISNUMBER($B$80),$B$80&gt;=0,$B$80&lt;=1,ROUND($B$81*12,0)&gt;=1,$B$81&lt;=100,SUM($B$82)&gt;=0,SUM($B$82)&lt;=1,SUM($B$83)&gt;=0)),IF(B505=0,0,IF(C505=0,B505/ROUND($B$81*12,0),B505*(C505/12)/(1-(1+C505/12)^(-ROUND($B$81*12,0))))),IF(AND(NOT(AND(105&gt;$B$173,$B$78="Refinance",ISNUMBER($B$80),$B$80&gt;=0,$B$80&lt;=1,ROUND($B$81*12,0)&gt;=1,$B$81&lt;=100,SUM($B$82)&gt;=0,SUM($B$82)&lt;=1,SUM($B$83)&gt;=0)),OR(105=1,105=$B$174+1,AND($B$175&gt;0,105=$B$175+1))),IF(AND($B$170=1,$B$66&gt;0,OR($B$175=0,105&lt;=$B$175)),$B$66,IF($B$172-MAX(105-1,$B$174)&gt;0,IF(B505=0,0,IF(C505=0,B505/($B$172-MAX(105-1,$B$174)),B505*(C505/12)/(1-(1+C505/12)^(-($B$172-MAX(105-1,$B$174)))))),"")),D504))))),IF(IF(AND(105&lt;=$B$174,105&lt;=$B$173),B505*C505/12,IF(AND(105=$B$173+1,AND(105&gt;$B$173,$B$78="Refinance",ISNUMBER($B$80),$B$80&gt;=0,$B$80&lt;=1,ROUND($B$81*12,0)&gt;=1,$B$81&lt;=100,SUM($B$82)&gt;=0,SUM($B$82)&lt;=1,SUM($B$83)&gt;=0)),IF(B505=0,0,IF(C505=0,B505/ROUND($B$81*12,0),B505*(C505/12)/(1-(1+C505/12)^(-ROUND($B$81*12,0))))),IF(AND(NOT(AND(105&gt;$B$173,$B$78="Refinance",ISNUMBER($B$80),$B$80&gt;=0,$B$80&lt;=1,ROUND($B$81*12,0)&gt;=1,$B$81&lt;=100,SUM($B$82)&gt;=0,SUM($B$82)&lt;=1,SUM($B$83)&gt;=0)),OR(105=1,105=$B$174+1,AND($B$175&gt;0,105=$B$175+1))),IF(AND($B$170=1,$B$66&gt;0,OR($B$175=0,105&lt;=$B$175)),$B$66,IF($B$172-MAX(105-1,$B$174)&gt;0,IF(B505=0,0,IF(C505=0,B505/($B$172-MAX(105-1,$B$174)),B505*(C505/12)/(1-(1+C505/12)^(-($B$172-MAX(105-1,$B$174)))))),"")),D504)))+0.0000001&gt;=B505*C505/12,MIN(B505*(1+C505/12),IF(AND(105&lt;=$B$174,105&lt;=$B$173),B505*C505/12,IF(AND(105=$B$173+1,AND(105&gt;$B$173,$B$78="Refinance",ISNUMBER($B$80),$B$80&gt;=0,$B$80&lt;=1,ROUND($B$81*12,0)&gt;=1,$B$81&lt;=100,SUM($B$82)&gt;=0,SUM($B$82)&lt;=1,SUM($B$83)&gt;=0)),IF(B505=0,0,IF(C505=0,B505/ROUND($B$81*12,0),B505*(C505/12)/(1-(1+C505/12)^(-ROUND($B$81*12,0))))),IF(AND(NOT(AND(105&gt;$B$173,$B$78="Refinance",ISNUMBER($B$80),$B$80&gt;=0,$B$80&lt;=1,ROUND($B$81*12,0)&gt;=1,$B$81&lt;=100,SUM($B$82)&gt;=0,SUM($B$82)&lt;=1,SUM($B$83)&gt;=0)),OR(105=1,105=$B$174+1,AND($B$175&gt;0,105=$B$175+1))),IF(AND($B$170=1,$B$66&gt;0,OR($B$175=0,105&lt;=$B$175)),$B$66,IF($B$172-MAX(105-1,$B$174)&gt;0,IF(B505=0,0,IF(C505=0,B505/($B$172-MAX(105-1,$B$174)),B505*(C505/12)/(1-(1+C505/12)^(-($B$172-MAX(105-1,$B$174)))))),"")),D504)))),""),""))</x:f>
        <x:v>4679.450723240598</x:v>
      </x:c>
      <x:c r="E505" s="440" t="n">
        <x:f>IF(AND(105=$B$173,ISNUMBER(D505)),IF(MAX(0,B505*(1+C505/12)-D505)&lt;MAX(0.0000001,$E$17*0.00000000001),0,MAX(0,B505*(1+C505/12)-D505)),0)</x:f>
        <x:v>0</x:v>
      </x:c>
      <x:c r="F505" s="440" t="n">
        <x:f>IF($B$78="Cash payoff",E505,0)</x:f>
        <x:v>0</x:v>
      </x:c>
      <x:c r="G505" s="440" t="n">
        <x:f>IF(AND(E505&gt;0,AND($B$78="Refinance",ISNUMBER($B$80),$B$80&gt;=0,$B$80&lt;=1,ROUND($B$81*12,0)&gt;=1,$B$81&lt;=100,SUM($B$82)&gt;=0,SUM($B$82)&lt;=1,SUM($B$83)&gt;=0)),E505*SUM($B$82)+SUM($B$83),0)</x:f>
        <x:v>0</x:v>
      </x:c>
      <x:c r="H505" s="440" t="n">
        <x:f>IF(ISNUMBER(D505),IF(MAX(0,B505*(1+C505/12)-D505-F505)&lt;MAX(0.0000001,$E$17*0.00000000001),0,MAX(0,B505*(1+C505/12)-D505-F505)),IF(AND($B$171=1,I504=1),B505,""))</x:f>
        <x:v>659565.8265614752</x:v>
      </x:c>
      <x:c r="I505" s="444" t="n">
        <x:f>IF(OR(I504=1,AND(E505&gt;0,$B$78&lt;&gt;"Cash payoff",NOT(AND($B$78="Refinance",ISNUMBER($B$80),$B$80&gt;=0,$B$80&lt;=1,ROUND($B$81*12,0)&gt;=1,$B$81&lt;=100,SUM($B$82)&gt;=0,SUM($B$82)&lt;=1,SUM($B$83)&gt;=0))),AND(ISNUMBER(B505),B505&gt;0,$B$171=1,NOT(ISNUMBER(D505)))),1,0)</x:f>
        <x:v>0</x:v>
      </x:c>
      <x:c r="J505" s="440" t="n">
        <x:f>IF(ISNUMBER(L504),L504,"")</x:f>
        <x:v>0</x:v>
      </x:c>
      <x:c r="K505" s="440" t="n">
        <x:f>IF(AND(ISNUMBER(J505),J505=0),0,IF(AND($B$176=1,ISNUMBER(J505)),MIN(J505*(1+$B$87/12),IF($B$86=0,0,IF($B$87=0,$B$86/ROUND($B$88*12,0),$B$86*($B$87/12)/(1-(1+$B$87/12)^(-ROUND($B$88*12,0)))))),""))</x:f>
        <x:v>0</x:v>
      </x:c>
      <x:c r="L505" s="440" t="n">
        <x:f>IF(ISNUMBER(K505),IF(MAX(0,J505*(1+SUM($B$87)/12)-K505)&lt;MAX(0.0000001,$B$86*0.00000000001),0,MAX(0,J505*(1+SUM($B$87)/12)-K505)),"")</x:f>
        <x:v>0</x:v>
      </x:c>
      <x:c r="M505" s="440" t="n">
        <x:f>IF(AND(ISNUMBER(D505),ISNUMBER(K505)),D505+K505,"")</x:f>
        <x:v>4679.450723240598</x:v>
      </x:c>
      <x:c r="N505" s="440" t="n">
        <x:f>IF(AND(ISNUMBER(H505),ISNUMBER(L505)),H505+L505,"")</x:f>
        <x:v>659565.8265614752</x:v>
      </x:c>
    </x:row>
    <x:row r="506" ht="22" customHeight="1">
      <x:c r="A506" s="254" t="n">
        <x:f>106</x:f>
        <x:v>106</x:v>
      </x:c>
      <x:c r="B506" s="440" t="n">
        <x:f>IF(ISNUMBER(H505),H505,"")</x:f>
        <x:v>659565.8265614752</x:v>
      </x:c>
      <x:c r="C506" s="442" t="n">
        <x:f>IF(ISNUMBER(B506),IF(AND(106&gt;$B$173,$B$78="Refinance",ISNUMBER($B$80),$B$80&gt;=0,$B$80&lt;=1,ROUND($B$81*12,0)&gt;=1,$B$81&lt;=100,SUM($B$82)&gt;=0,SUM($B$82)&lt;=1,SUM($B$83)&gt;=0),$B$80,IF(AND($B$175&gt;0,106&gt;$B$175,ISNUMBER($B$75)),$B$75,$B$61)),"")</x:f>
        <x:v>0.0625</x:v>
      </x:c>
      <x:c r="D506" s="440" t="n">
        <x:f>IF(AND(ISNUMBER(B506),B506=0),0,IF(AND($B$171=1,I505=0,ISNUMBER(C506),ISNUMBER(IF(AND(106&lt;=$B$174,106&lt;=$B$173),B506*C506/12,IF(AND(106=$B$173+1,AND(106&gt;$B$173,$B$78="Refinance",ISNUMBER($B$80),$B$80&gt;=0,$B$80&lt;=1,ROUND($B$81*12,0)&gt;=1,$B$81&lt;=100,SUM($B$82)&gt;=0,SUM($B$82)&lt;=1,SUM($B$83)&gt;=0)),IF(B506=0,0,IF(C506=0,B506/ROUND($B$81*12,0),B506*(C506/12)/(1-(1+C506/12)^(-ROUND($B$81*12,0))))),IF(AND(NOT(AND(106&gt;$B$173,$B$78="Refinance",ISNUMBER($B$80),$B$80&gt;=0,$B$80&lt;=1,ROUND($B$81*12,0)&gt;=1,$B$81&lt;=100,SUM($B$82)&gt;=0,SUM($B$82)&lt;=1,SUM($B$83)&gt;=0)),OR(106=1,106=$B$174+1,AND($B$175&gt;0,106=$B$175+1))),IF(AND($B$170=1,$B$66&gt;0,OR($B$175=0,106&lt;=$B$175)),$B$66,IF($B$172-MAX(106-1,$B$174)&gt;0,IF(B506=0,0,IF(C506=0,B506/($B$172-MAX(106-1,$B$174)),B506*(C506/12)/(1-(1+C506/12)^(-($B$172-MAX(106-1,$B$174)))))),"")),D505))))),IF(IF(AND(106&lt;=$B$174,106&lt;=$B$173),B506*C506/12,IF(AND(106=$B$173+1,AND(106&gt;$B$173,$B$78="Refinance",ISNUMBER($B$80),$B$80&gt;=0,$B$80&lt;=1,ROUND($B$81*12,0)&gt;=1,$B$81&lt;=100,SUM($B$82)&gt;=0,SUM($B$82)&lt;=1,SUM($B$83)&gt;=0)),IF(B506=0,0,IF(C506=0,B506/ROUND($B$81*12,0),B506*(C506/12)/(1-(1+C506/12)^(-ROUND($B$81*12,0))))),IF(AND(NOT(AND(106&gt;$B$173,$B$78="Refinance",ISNUMBER($B$80),$B$80&gt;=0,$B$80&lt;=1,ROUND($B$81*12,0)&gt;=1,$B$81&lt;=100,SUM($B$82)&gt;=0,SUM($B$82)&lt;=1,SUM($B$83)&gt;=0)),OR(106=1,106=$B$174+1,AND($B$175&gt;0,106=$B$175+1))),IF(AND($B$170=1,$B$66&gt;0,OR($B$175=0,106&lt;=$B$175)),$B$66,IF($B$172-MAX(106-1,$B$174)&gt;0,IF(B506=0,0,IF(C506=0,B506/($B$172-MAX(106-1,$B$174)),B506*(C506/12)/(1-(1+C506/12)^(-($B$172-MAX(106-1,$B$174)))))),"")),D505)))+0.0000001&gt;=B506*C506/12,MIN(B506*(1+C506/12),IF(AND(106&lt;=$B$174,106&lt;=$B$173),B506*C506/12,IF(AND(106=$B$173+1,AND(106&gt;$B$173,$B$78="Refinance",ISNUMBER($B$80),$B$80&gt;=0,$B$80&lt;=1,ROUND($B$81*12,0)&gt;=1,$B$81&lt;=100,SUM($B$82)&gt;=0,SUM($B$82)&lt;=1,SUM($B$83)&gt;=0)),IF(B506=0,0,IF(C506=0,B506/ROUND($B$81*12,0),B506*(C506/12)/(1-(1+C506/12)^(-ROUND($B$81*12,0))))),IF(AND(NOT(AND(106&gt;$B$173,$B$78="Refinance",ISNUMBER($B$80),$B$80&gt;=0,$B$80&lt;=1,ROUND($B$81*12,0)&gt;=1,$B$81&lt;=100,SUM($B$82)&gt;=0,SUM($B$82)&lt;=1,SUM($B$83)&gt;=0)),OR(106=1,106=$B$174+1,AND($B$175&gt;0,106=$B$175+1))),IF(AND($B$170=1,$B$66&gt;0,OR($B$175=0,106&lt;=$B$175)),$B$66,IF($B$172-MAX(106-1,$B$174)&gt;0,IF(B506=0,0,IF(C506=0,B506/($B$172-MAX(106-1,$B$174)),B506*(C506/12)/(1-(1+C506/12)^(-($B$172-MAX(106-1,$B$174)))))),"")),D505)))),""),""))</x:f>
        <x:v>4679.450723240598</x:v>
      </x:c>
      <x:c r="E506" s="440" t="n">
        <x:f>IF(AND(106=$B$173,ISNUMBER(D506)),IF(MAX(0,B506*(1+C506/12)-D506)&lt;MAX(0.0000001,$E$17*0.00000000001),0,MAX(0,B506*(1+C506/12)-D506)),0)</x:f>
        <x:v>0</x:v>
      </x:c>
      <x:c r="F506" s="440" t="n">
        <x:f>IF($B$78="Cash payoff",E506,0)</x:f>
        <x:v>0</x:v>
      </x:c>
      <x:c r="G506" s="440" t="n">
        <x:f>IF(AND(E506&gt;0,AND($B$78="Refinance",ISNUMBER($B$80),$B$80&gt;=0,$B$80&lt;=1,ROUND($B$81*12,0)&gt;=1,$B$81&lt;=100,SUM($B$82)&gt;=0,SUM($B$82)&lt;=1,SUM($B$83)&gt;=0)),E506*SUM($B$82)+SUM($B$83),0)</x:f>
        <x:v>0</x:v>
      </x:c>
      <x:c r="H506" s="440" t="n">
        <x:f>IF(ISNUMBER(D506),IF(MAX(0,B506*(1+C506/12)-D506-F506)&lt;MAX(0.0000001,$E$17*0.00000000001),0,MAX(0,B506*(1+C506/12)-D506-F506)),IF(AND($B$171=1,I505=1),B506,""))</x:f>
        <x:v>658321.6145182422</x:v>
      </x:c>
      <x:c r="I506" s="444" t="n">
        <x:f>IF(OR(I505=1,AND(E506&gt;0,$B$78&lt;&gt;"Cash payoff",NOT(AND($B$78="Refinance",ISNUMBER($B$80),$B$80&gt;=0,$B$80&lt;=1,ROUND($B$81*12,0)&gt;=1,$B$81&lt;=100,SUM($B$82)&gt;=0,SUM($B$82)&lt;=1,SUM($B$83)&gt;=0))),AND(ISNUMBER(B506),B506&gt;0,$B$171=1,NOT(ISNUMBER(D506)))),1,0)</x:f>
        <x:v>0</x:v>
      </x:c>
      <x:c r="J506" s="440" t="n">
        <x:f>IF(ISNUMBER(L505),L505,"")</x:f>
        <x:v>0</x:v>
      </x:c>
      <x:c r="K506" s="440" t="n">
        <x:f>IF(AND(ISNUMBER(J506),J506=0),0,IF(AND($B$176=1,ISNUMBER(J506)),MIN(J506*(1+$B$87/12),IF($B$86=0,0,IF($B$87=0,$B$86/ROUND($B$88*12,0),$B$86*($B$87/12)/(1-(1+$B$87/12)^(-ROUND($B$88*12,0)))))),""))</x:f>
        <x:v>0</x:v>
      </x:c>
      <x:c r="L506" s="440" t="n">
        <x:f>IF(ISNUMBER(K506),IF(MAX(0,J506*(1+SUM($B$87)/12)-K506)&lt;MAX(0.0000001,$B$86*0.00000000001),0,MAX(0,J506*(1+SUM($B$87)/12)-K506)),"")</x:f>
        <x:v>0</x:v>
      </x:c>
      <x:c r="M506" s="440" t="n">
        <x:f>IF(AND(ISNUMBER(D506),ISNUMBER(K506)),D506+K506,"")</x:f>
        <x:v>4679.450723240598</x:v>
      </x:c>
      <x:c r="N506" s="440" t="n">
        <x:f>IF(AND(ISNUMBER(H506),ISNUMBER(L506)),H506+L506,"")</x:f>
        <x:v>658321.6145182422</x:v>
      </x:c>
    </x:row>
    <x:row r="507" ht="22" customHeight="1">
      <x:c r="A507" s="254" t="n">
        <x:f>107</x:f>
        <x:v>107</x:v>
      </x:c>
      <x:c r="B507" s="440" t="n">
        <x:f>IF(ISNUMBER(H506),H506,"")</x:f>
        <x:v>658321.6145182422</x:v>
      </x:c>
      <x:c r="C507" s="442" t="n">
        <x:f>IF(ISNUMBER(B507),IF(AND(107&gt;$B$173,$B$78="Refinance",ISNUMBER($B$80),$B$80&gt;=0,$B$80&lt;=1,ROUND($B$81*12,0)&gt;=1,$B$81&lt;=100,SUM($B$82)&gt;=0,SUM($B$82)&lt;=1,SUM($B$83)&gt;=0),$B$80,IF(AND($B$175&gt;0,107&gt;$B$175,ISNUMBER($B$75)),$B$75,$B$61)),"")</x:f>
        <x:v>0.0625</x:v>
      </x:c>
      <x:c r="D507" s="440" t="n">
        <x:f>IF(AND(ISNUMBER(B507),B507=0),0,IF(AND($B$171=1,I506=0,ISNUMBER(C507),ISNUMBER(IF(AND(107&lt;=$B$174,107&lt;=$B$173),B507*C507/12,IF(AND(107=$B$173+1,AND(107&gt;$B$173,$B$78="Refinance",ISNUMBER($B$80),$B$80&gt;=0,$B$80&lt;=1,ROUND($B$81*12,0)&gt;=1,$B$81&lt;=100,SUM($B$82)&gt;=0,SUM($B$82)&lt;=1,SUM($B$83)&gt;=0)),IF(B507=0,0,IF(C507=0,B507/ROUND($B$81*12,0),B507*(C507/12)/(1-(1+C507/12)^(-ROUND($B$81*12,0))))),IF(AND(NOT(AND(107&gt;$B$173,$B$78="Refinance",ISNUMBER($B$80),$B$80&gt;=0,$B$80&lt;=1,ROUND($B$81*12,0)&gt;=1,$B$81&lt;=100,SUM($B$82)&gt;=0,SUM($B$82)&lt;=1,SUM($B$83)&gt;=0)),OR(107=1,107=$B$174+1,AND($B$175&gt;0,107=$B$175+1))),IF(AND($B$170=1,$B$66&gt;0,OR($B$175=0,107&lt;=$B$175)),$B$66,IF($B$172-MAX(107-1,$B$174)&gt;0,IF(B507=0,0,IF(C507=0,B507/($B$172-MAX(107-1,$B$174)),B507*(C507/12)/(1-(1+C507/12)^(-($B$172-MAX(107-1,$B$174)))))),"")),D506))))),IF(IF(AND(107&lt;=$B$174,107&lt;=$B$173),B507*C507/12,IF(AND(107=$B$173+1,AND(107&gt;$B$173,$B$78="Refinance",ISNUMBER($B$80),$B$80&gt;=0,$B$80&lt;=1,ROUND($B$81*12,0)&gt;=1,$B$81&lt;=100,SUM($B$82)&gt;=0,SUM($B$82)&lt;=1,SUM($B$83)&gt;=0)),IF(B507=0,0,IF(C507=0,B507/ROUND($B$81*12,0),B507*(C507/12)/(1-(1+C507/12)^(-ROUND($B$81*12,0))))),IF(AND(NOT(AND(107&gt;$B$173,$B$78="Refinance",ISNUMBER($B$80),$B$80&gt;=0,$B$80&lt;=1,ROUND($B$81*12,0)&gt;=1,$B$81&lt;=100,SUM($B$82)&gt;=0,SUM($B$82)&lt;=1,SUM($B$83)&gt;=0)),OR(107=1,107=$B$174+1,AND($B$175&gt;0,107=$B$175+1))),IF(AND($B$170=1,$B$66&gt;0,OR($B$175=0,107&lt;=$B$175)),$B$66,IF($B$172-MAX(107-1,$B$174)&gt;0,IF(B507=0,0,IF(C507=0,B507/($B$172-MAX(107-1,$B$174)),B507*(C507/12)/(1-(1+C507/12)^(-($B$172-MAX(107-1,$B$174)))))),"")),D506)))+0.0000001&gt;=B507*C507/12,MIN(B507*(1+C507/12),IF(AND(107&lt;=$B$174,107&lt;=$B$173),B507*C507/12,IF(AND(107=$B$173+1,AND(107&gt;$B$173,$B$78="Refinance",ISNUMBER($B$80),$B$80&gt;=0,$B$80&lt;=1,ROUND($B$81*12,0)&gt;=1,$B$81&lt;=100,SUM($B$82)&gt;=0,SUM($B$82)&lt;=1,SUM($B$83)&gt;=0)),IF(B507=0,0,IF(C507=0,B507/ROUND($B$81*12,0),B507*(C507/12)/(1-(1+C507/12)^(-ROUND($B$81*12,0))))),IF(AND(NOT(AND(107&gt;$B$173,$B$78="Refinance",ISNUMBER($B$80),$B$80&gt;=0,$B$80&lt;=1,ROUND($B$81*12,0)&gt;=1,$B$81&lt;=100,SUM($B$82)&gt;=0,SUM($B$82)&lt;=1,SUM($B$83)&gt;=0)),OR(107=1,107=$B$174+1,AND($B$175&gt;0,107=$B$175+1))),IF(AND($B$170=1,$B$66&gt;0,OR($B$175=0,107&lt;=$B$175)),$B$66,IF($B$172-MAX(107-1,$B$174)&gt;0,IF(B507=0,0,IF(C507=0,B507/($B$172-MAX(107-1,$B$174)),B507*(C507/12)/(1-(1+C507/12)^(-($B$172-MAX(107-1,$B$174)))))),"")),D506)))),""),""))</x:f>
        <x:v>4679.450723240598</x:v>
      </x:c>
      <x:c r="E507" s="440" t="n">
        <x:f>IF(AND(107=$B$173,ISNUMBER(D507)),IF(MAX(0,B507*(1+C507/12)-D507)&lt;MAX(0.0000001,$E$17*0.00000000001),0,MAX(0,B507*(1+C507/12)-D507)),0)</x:f>
        <x:v>0</x:v>
      </x:c>
      <x:c r="F507" s="440" t="n">
        <x:f>IF($B$78="Cash payoff",E507,0)</x:f>
        <x:v>0</x:v>
      </x:c>
      <x:c r="G507" s="440" t="n">
        <x:f>IF(AND(E507&gt;0,AND($B$78="Refinance",ISNUMBER($B$80),$B$80&gt;=0,$B$80&lt;=1,ROUND($B$81*12,0)&gt;=1,$B$81&lt;=100,SUM($B$82)&gt;=0,SUM($B$82)&lt;=1,SUM($B$83)&gt;=0)),E507*SUM($B$82)+SUM($B$83),0)</x:f>
        <x:v>0</x:v>
      </x:c>
      <x:c r="H507" s="440" t="n">
        <x:f>IF(ISNUMBER(D507),IF(MAX(0,B507*(1+C507/12)-D507-F507)&lt;MAX(0.0000001,$E$17*0.00000000001),0,MAX(0,B507*(1+C507/12)-D507-F507)),IF(AND($B$171=1,I506=1),B507,""))</x:f>
        <x:v>657070.9222039507</x:v>
      </x:c>
      <x:c r="I507" s="444" t="n">
        <x:f>IF(OR(I506=1,AND(E507&gt;0,$B$78&lt;&gt;"Cash payoff",NOT(AND($B$78="Refinance",ISNUMBER($B$80),$B$80&gt;=0,$B$80&lt;=1,ROUND($B$81*12,0)&gt;=1,$B$81&lt;=100,SUM($B$82)&gt;=0,SUM($B$82)&lt;=1,SUM($B$83)&gt;=0))),AND(ISNUMBER(B507),B507&gt;0,$B$171=1,NOT(ISNUMBER(D507)))),1,0)</x:f>
        <x:v>0</x:v>
      </x:c>
      <x:c r="J507" s="440" t="n">
        <x:f>IF(ISNUMBER(L506),L506,"")</x:f>
        <x:v>0</x:v>
      </x:c>
      <x:c r="K507" s="440" t="n">
        <x:f>IF(AND(ISNUMBER(J507),J507=0),0,IF(AND($B$176=1,ISNUMBER(J507)),MIN(J507*(1+$B$87/12),IF($B$86=0,0,IF($B$87=0,$B$86/ROUND($B$88*12,0),$B$86*($B$87/12)/(1-(1+$B$87/12)^(-ROUND($B$88*12,0)))))),""))</x:f>
        <x:v>0</x:v>
      </x:c>
      <x:c r="L507" s="440" t="n">
        <x:f>IF(ISNUMBER(K507),IF(MAX(0,J507*(1+SUM($B$87)/12)-K507)&lt;MAX(0.0000001,$B$86*0.00000000001),0,MAX(0,J507*(1+SUM($B$87)/12)-K507)),"")</x:f>
        <x:v>0</x:v>
      </x:c>
      <x:c r="M507" s="440" t="n">
        <x:f>IF(AND(ISNUMBER(D507),ISNUMBER(K507)),D507+K507,"")</x:f>
        <x:v>4679.450723240598</x:v>
      </x:c>
      <x:c r="N507" s="440" t="n">
        <x:f>IF(AND(ISNUMBER(H507),ISNUMBER(L507)),H507+L507,"")</x:f>
        <x:v>657070.9222039507</x:v>
      </x:c>
    </x:row>
    <x:row r="508" ht="22" customHeight="1">
      <x:c r="A508" s="254" t="n">
        <x:f>108</x:f>
        <x:v>108</x:v>
      </x:c>
      <x:c r="B508" s="440" t="n">
        <x:f>IF(ISNUMBER(H507),H507,"")</x:f>
        <x:v>657070.9222039507</x:v>
      </x:c>
      <x:c r="C508" s="442" t="n">
        <x:f>IF(ISNUMBER(B508),IF(AND(108&gt;$B$173,$B$78="Refinance",ISNUMBER($B$80),$B$80&gt;=0,$B$80&lt;=1,ROUND($B$81*12,0)&gt;=1,$B$81&lt;=100,SUM($B$82)&gt;=0,SUM($B$82)&lt;=1,SUM($B$83)&gt;=0),$B$80,IF(AND($B$175&gt;0,108&gt;$B$175,ISNUMBER($B$75)),$B$75,$B$61)),"")</x:f>
        <x:v>0.0625</x:v>
      </x:c>
      <x:c r="D508" s="440" t="n">
        <x:f>IF(AND(ISNUMBER(B508),B508=0),0,IF(AND($B$171=1,I507=0,ISNUMBER(C508),ISNUMBER(IF(AND(108&lt;=$B$174,108&lt;=$B$173),B508*C508/12,IF(AND(108=$B$173+1,AND(108&gt;$B$173,$B$78="Refinance",ISNUMBER($B$80),$B$80&gt;=0,$B$80&lt;=1,ROUND($B$81*12,0)&gt;=1,$B$81&lt;=100,SUM($B$82)&gt;=0,SUM($B$82)&lt;=1,SUM($B$83)&gt;=0)),IF(B508=0,0,IF(C508=0,B508/ROUND($B$81*12,0),B508*(C508/12)/(1-(1+C508/12)^(-ROUND($B$81*12,0))))),IF(AND(NOT(AND(108&gt;$B$173,$B$78="Refinance",ISNUMBER($B$80),$B$80&gt;=0,$B$80&lt;=1,ROUND($B$81*12,0)&gt;=1,$B$81&lt;=100,SUM($B$82)&gt;=0,SUM($B$82)&lt;=1,SUM($B$83)&gt;=0)),OR(108=1,108=$B$174+1,AND($B$175&gt;0,108=$B$175+1))),IF(AND($B$170=1,$B$66&gt;0,OR($B$175=0,108&lt;=$B$175)),$B$66,IF($B$172-MAX(108-1,$B$174)&gt;0,IF(B508=0,0,IF(C508=0,B508/($B$172-MAX(108-1,$B$174)),B508*(C508/12)/(1-(1+C508/12)^(-($B$172-MAX(108-1,$B$174)))))),"")),D507))))),IF(IF(AND(108&lt;=$B$174,108&lt;=$B$173),B508*C508/12,IF(AND(108=$B$173+1,AND(108&gt;$B$173,$B$78="Refinance",ISNUMBER($B$80),$B$80&gt;=0,$B$80&lt;=1,ROUND($B$81*12,0)&gt;=1,$B$81&lt;=100,SUM($B$82)&gt;=0,SUM($B$82)&lt;=1,SUM($B$83)&gt;=0)),IF(B508=0,0,IF(C508=0,B508/ROUND($B$81*12,0),B508*(C508/12)/(1-(1+C508/12)^(-ROUND($B$81*12,0))))),IF(AND(NOT(AND(108&gt;$B$173,$B$78="Refinance",ISNUMBER($B$80),$B$80&gt;=0,$B$80&lt;=1,ROUND($B$81*12,0)&gt;=1,$B$81&lt;=100,SUM($B$82)&gt;=0,SUM($B$82)&lt;=1,SUM($B$83)&gt;=0)),OR(108=1,108=$B$174+1,AND($B$175&gt;0,108=$B$175+1))),IF(AND($B$170=1,$B$66&gt;0,OR($B$175=0,108&lt;=$B$175)),$B$66,IF($B$172-MAX(108-1,$B$174)&gt;0,IF(B508=0,0,IF(C508=0,B508/($B$172-MAX(108-1,$B$174)),B508*(C508/12)/(1-(1+C508/12)^(-($B$172-MAX(108-1,$B$174)))))),"")),D507)))+0.0000001&gt;=B508*C508/12,MIN(B508*(1+C508/12),IF(AND(108&lt;=$B$174,108&lt;=$B$173),B508*C508/12,IF(AND(108=$B$173+1,AND(108&gt;$B$173,$B$78="Refinance",ISNUMBER($B$80),$B$80&gt;=0,$B$80&lt;=1,ROUND($B$81*12,0)&gt;=1,$B$81&lt;=100,SUM($B$82)&gt;=0,SUM($B$82)&lt;=1,SUM($B$83)&gt;=0)),IF(B508=0,0,IF(C508=0,B508/ROUND($B$81*12,0),B508*(C508/12)/(1-(1+C508/12)^(-ROUND($B$81*12,0))))),IF(AND(NOT(AND(108&gt;$B$173,$B$78="Refinance",ISNUMBER($B$80),$B$80&gt;=0,$B$80&lt;=1,ROUND($B$81*12,0)&gt;=1,$B$81&lt;=100,SUM($B$82)&gt;=0,SUM($B$82)&lt;=1,SUM($B$83)&gt;=0)),OR(108=1,108=$B$174+1,AND($B$175&gt;0,108=$B$175+1))),IF(AND($B$170=1,$B$66&gt;0,OR($B$175=0,108&lt;=$B$175)),$B$66,IF($B$172-MAX(108-1,$B$174)&gt;0,IF(B508=0,0,IF(C508=0,B508/($B$172-MAX(108-1,$B$174)),B508*(C508/12)/(1-(1+C508/12)^(-($B$172-MAX(108-1,$B$174)))))),"")),D507)))),""),""))</x:f>
        <x:v>4679.450723240598</x:v>
      </x:c>
      <x:c r="E508" s="440" t="n">
        <x:f>IF(AND(108=$B$173,ISNUMBER(D508)),IF(MAX(0,B508*(1+C508/12)-D508)&lt;MAX(0.0000001,$E$17*0.00000000001),0,MAX(0,B508*(1+C508/12)-D508)),0)</x:f>
        <x:v>0</x:v>
      </x:c>
      <x:c r="F508" s="440" t="n">
        <x:f>IF($B$78="Cash payoff",E508,0)</x:f>
        <x:v>0</x:v>
      </x:c>
      <x:c r="G508" s="440" t="n">
        <x:f>IF(AND(E508&gt;0,AND($B$78="Refinance",ISNUMBER($B$80),$B$80&gt;=0,$B$80&lt;=1,ROUND($B$81*12,0)&gt;=1,$B$81&lt;=100,SUM($B$82)&gt;=0,SUM($B$82)&lt;=1,SUM($B$83)&gt;=0)),E508*SUM($B$82)+SUM($B$83),0)</x:f>
        <x:v>0</x:v>
      </x:c>
      <x:c r="H508" s="440" t="n">
        <x:f>IF(ISNUMBER(D508),IF(MAX(0,B508*(1+C508/12)-D508-F508)&lt;MAX(0.0000001,$E$17*0.00000000001),0,MAX(0,B508*(1+C508/12)-D508-F508)),IF(AND($B$171=1,I507=1),B508,""))</x:f>
        <x:v>655813.715867189</x:v>
      </x:c>
      <x:c r="I508" s="444" t="n">
        <x:f>IF(OR(I507=1,AND(E508&gt;0,$B$78&lt;&gt;"Cash payoff",NOT(AND($B$78="Refinance",ISNUMBER($B$80),$B$80&gt;=0,$B$80&lt;=1,ROUND($B$81*12,0)&gt;=1,$B$81&lt;=100,SUM($B$82)&gt;=0,SUM($B$82)&lt;=1,SUM($B$83)&gt;=0))),AND(ISNUMBER(B508),B508&gt;0,$B$171=1,NOT(ISNUMBER(D508)))),1,0)</x:f>
        <x:v>0</x:v>
      </x:c>
      <x:c r="J508" s="440" t="n">
        <x:f>IF(ISNUMBER(L507),L507,"")</x:f>
        <x:v>0</x:v>
      </x:c>
      <x:c r="K508" s="440" t="n">
        <x:f>IF(AND(ISNUMBER(J508),J508=0),0,IF(AND($B$176=1,ISNUMBER(J508)),MIN(J508*(1+$B$87/12),IF($B$86=0,0,IF($B$87=0,$B$86/ROUND($B$88*12,0),$B$86*($B$87/12)/(1-(1+$B$87/12)^(-ROUND($B$88*12,0)))))),""))</x:f>
        <x:v>0</x:v>
      </x:c>
      <x:c r="L508" s="440" t="n">
        <x:f>IF(ISNUMBER(K508),IF(MAX(0,J508*(1+SUM($B$87)/12)-K508)&lt;MAX(0.0000001,$B$86*0.00000000001),0,MAX(0,J508*(1+SUM($B$87)/12)-K508)),"")</x:f>
        <x:v>0</x:v>
      </x:c>
      <x:c r="M508" s="440" t="n">
        <x:f>IF(AND(ISNUMBER(D508),ISNUMBER(K508)),D508+K508,"")</x:f>
        <x:v>4679.450723240598</x:v>
      </x:c>
      <x:c r="N508" s="440" t="n">
        <x:f>IF(AND(ISNUMBER(H508),ISNUMBER(L508)),H508+L508,"")</x:f>
        <x:v>655813.715867189</x:v>
      </x:c>
    </x:row>
    <x:row r="509" ht="22" customHeight="1">
      <x:c r="A509" s="254" t="n">
        <x:f>109</x:f>
        <x:v>109</x:v>
      </x:c>
      <x:c r="B509" s="440" t="n">
        <x:f>IF(ISNUMBER(H508),H508,"")</x:f>
        <x:v>655813.715867189</x:v>
      </x:c>
      <x:c r="C509" s="442" t="n">
        <x:f>IF(ISNUMBER(B509),IF(AND(109&gt;$B$173,$B$78="Refinance",ISNUMBER($B$80),$B$80&gt;=0,$B$80&lt;=1,ROUND($B$81*12,0)&gt;=1,$B$81&lt;=100,SUM($B$82)&gt;=0,SUM($B$82)&lt;=1,SUM($B$83)&gt;=0),$B$80,IF(AND($B$175&gt;0,109&gt;$B$175,ISNUMBER($B$75)),$B$75,$B$61)),"")</x:f>
        <x:v>0.0625</x:v>
      </x:c>
      <x:c r="D509" s="440" t="n">
        <x:f>IF(AND(ISNUMBER(B509),B509=0),0,IF(AND($B$171=1,I508=0,ISNUMBER(C509),ISNUMBER(IF(AND(109&lt;=$B$174,109&lt;=$B$173),B509*C509/12,IF(AND(109=$B$173+1,AND(109&gt;$B$173,$B$78="Refinance",ISNUMBER($B$80),$B$80&gt;=0,$B$80&lt;=1,ROUND($B$81*12,0)&gt;=1,$B$81&lt;=100,SUM($B$82)&gt;=0,SUM($B$82)&lt;=1,SUM($B$83)&gt;=0)),IF(B509=0,0,IF(C509=0,B509/ROUND($B$81*12,0),B509*(C509/12)/(1-(1+C509/12)^(-ROUND($B$81*12,0))))),IF(AND(NOT(AND(109&gt;$B$173,$B$78="Refinance",ISNUMBER($B$80),$B$80&gt;=0,$B$80&lt;=1,ROUND($B$81*12,0)&gt;=1,$B$81&lt;=100,SUM($B$82)&gt;=0,SUM($B$82)&lt;=1,SUM($B$83)&gt;=0)),OR(109=1,109=$B$174+1,AND($B$175&gt;0,109=$B$175+1))),IF(AND($B$170=1,$B$66&gt;0,OR($B$175=0,109&lt;=$B$175)),$B$66,IF($B$172-MAX(109-1,$B$174)&gt;0,IF(B509=0,0,IF(C509=0,B509/($B$172-MAX(109-1,$B$174)),B509*(C509/12)/(1-(1+C509/12)^(-($B$172-MAX(109-1,$B$174)))))),"")),D508))))),IF(IF(AND(109&lt;=$B$174,109&lt;=$B$173),B509*C509/12,IF(AND(109=$B$173+1,AND(109&gt;$B$173,$B$78="Refinance",ISNUMBER($B$80),$B$80&gt;=0,$B$80&lt;=1,ROUND($B$81*12,0)&gt;=1,$B$81&lt;=100,SUM($B$82)&gt;=0,SUM($B$82)&lt;=1,SUM($B$83)&gt;=0)),IF(B509=0,0,IF(C509=0,B509/ROUND($B$81*12,0),B509*(C509/12)/(1-(1+C509/12)^(-ROUND($B$81*12,0))))),IF(AND(NOT(AND(109&gt;$B$173,$B$78="Refinance",ISNUMBER($B$80),$B$80&gt;=0,$B$80&lt;=1,ROUND($B$81*12,0)&gt;=1,$B$81&lt;=100,SUM($B$82)&gt;=0,SUM($B$82)&lt;=1,SUM($B$83)&gt;=0)),OR(109=1,109=$B$174+1,AND($B$175&gt;0,109=$B$175+1))),IF(AND($B$170=1,$B$66&gt;0,OR($B$175=0,109&lt;=$B$175)),$B$66,IF($B$172-MAX(109-1,$B$174)&gt;0,IF(B509=0,0,IF(C509=0,B509/($B$172-MAX(109-1,$B$174)),B509*(C509/12)/(1-(1+C509/12)^(-($B$172-MAX(109-1,$B$174)))))),"")),D508)))+0.0000001&gt;=B509*C509/12,MIN(B509*(1+C509/12),IF(AND(109&lt;=$B$174,109&lt;=$B$173),B509*C509/12,IF(AND(109=$B$173+1,AND(109&gt;$B$173,$B$78="Refinance",ISNUMBER($B$80),$B$80&gt;=0,$B$80&lt;=1,ROUND($B$81*12,0)&gt;=1,$B$81&lt;=100,SUM($B$82)&gt;=0,SUM($B$82)&lt;=1,SUM($B$83)&gt;=0)),IF(B509=0,0,IF(C509=0,B509/ROUND($B$81*12,0),B509*(C509/12)/(1-(1+C509/12)^(-ROUND($B$81*12,0))))),IF(AND(NOT(AND(109&gt;$B$173,$B$78="Refinance",ISNUMBER($B$80),$B$80&gt;=0,$B$80&lt;=1,ROUND($B$81*12,0)&gt;=1,$B$81&lt;=100,SUM($B$82)&gt;=0,SUM($B$82)&lt;=1,SUM($B$83)&gt;=0)),OR(109=1,109=$B$174+1,AND($B$175&gt;0,109=$B$175+1))),IF(AND($B$170=1,$B$66&gt;0,OR($B$175=0,109&lt;=$B$175)),$B$66,IF($B$172-MAX(109-1,$B$174)&gt;0,IF(B509=0,0,IF(C509=0,B509/($B$172-MAX(109-1,$B$174)),B509*(C509/12)/(1-(1+C509/12)^(-($B$172-MAX(109-1,$B$174)))))),"")),D508)))),""),""))</x:f>
        <x:v>4679.450723240598</x:v>
      </x:c>
      <x:c r="E509" s="440" t="n">
        <x:f>IF(AND(109=$B$173,ISNUMBER(D509)),IF(MAX(0,B509*(1+C509/12)-D509)&lt;MAX(0.0000001,$E$17*0.00000000001),0,MAX(0,B509*(1+C509/12)-D509)),0)</x:f>
        <x:v>0</x:v>
      </x:c>
      <x:c r="F509" s="440" t="n">
        <x:f>IF($B$78="Cash payoff",E509,0)</x:f>
        <x:v>0</x:v>
      </x:c>
      <x:c r="G509" s="440" t="n">
        <x:f>IF(AND(E509&gt;0,AND($B$78="Refinance",ISNUMBER($B$80),$B$80&gt;=0,$B$80&lt;=1,ROUND($B$81*12,0)&gt;=1,$B$81&lt;=100,SUM($B$82)&gt;=0,SUM($B$82)&lt;=1,SUM($B$83)&gt;=0)),E509*SUM($B$82)+SUM($B$83),0)</x:f>
        <x:v>0</x:v>
      </x:c>
      <x:c r="H509" s="440" t="n">
        <x:f>IF(ISNUMBER(D509),IF(MAX(0,B509*(1+C509/12)-D509-F509)&lt;MAX(0.0000001,$E$17*0.00000000001),0,MAX(0,B509*(1+C509/12)-D509-F509)),IF(AND($B$171=1,I508=1),B509,""))</x:f>
        <x:v>654549.9615807566</x:v>
      </x:c>
      <x:c r="I509" s="444" t="n">
        <x:f>IF(OR(I508=1,AND(E509&gt;0,$B$78&lt;&gt;"Cash payoff",NOT(AND($B$78="Refinance",ISNUMBER($B$80),$B$80&gt;=0,$B$80&lt;=1,ROUND($B$81*12,0)&gt;=1,$B$81&lt;=100,SUM($B$82)&gt;=0,SUM($B$82)&lt;=1,SUM($B$83)&gt;=0))),AND(ISNUMBER(B509),B509&gt;0,$B$171=1,NOT(ISNUMBER(D509)))),1,0)</x:f>
        <x:v>0</x:v>
      </x:c>
      <x:c r="J509" s="440" t="n">
        <x:f>IF(ISNUMBER(L508),L508,"")</x:f>
        <x:v>0</x:v>
      </x:c>
      <x:c r="K509" s="440" t="n">
        <x:f>IF(AND(ISNUMBER(J509),J509=0),0,IF(AND($B$176=1,ISNUMBER(J509)),MIN(J509*(1+$B$87/12),IF($B$86=0,0,IF($B$87=0,$B$86/ROUND($B$88*12,0),$B$86*($B$87/12)/(1-(1+$B$87/12)^(-ROUND($B$88*12,0)))))),""))</x:f>
        <x:v>0</x:v>
      </x:c>
      <x:c r="L509" s="440" t="n">
        <x:f>IF(ISNUMBER(K509),IF(MAX(0,J509*(1+SUM($B$87)/12)-K509)&lt;MAX(0.0000001,$B$86*0.00000000001),0,MAX(0,J509*(1+SUM($B$87)/12)-K509)),"")</x:f>
        <x:v>0</x:v>
      </x:c>
      <x:c r="M509" s="440" t="n">
        <x:f>IF(AND(ISNUMBER(D509),ISNUMBER(K509)),D509+K509,"")</x:f>
        <x:v>4679.450723240598</x:v>
      </x:c>
      <x:c r="N509" s="440" t="n">
        <x:f>IF(AND(ISNUMBER(H509),ISNUMBER(L509)),H509+L509,"")</x:f>
        <x:v>654549.9615807566</x:v>
      </x:c>
    </x:row>
    <x:row r="510" ht="22" customHeight="1">
      <x:c r="A510" s="254" t="n">
        <x:f>110</x:f>
        <x:v>110</x:v>
      </x:c>
      <x:c r="B510" s="440" t="n">
        <x:f>IF(ISNUMBER(H509),H509,"")</x:f>
        <x:v>654549.9615807566</x:v>
      </x:c>
      <x:c r="C510" s="442" t="n">
        <x:f>IF(ISNUMBER(B510),IF(AND(110&gt;$B$173,$B$78="Refinance",ISNUMBER($B$80),$B$80&gt;=0,$B$80&lt;=1,ROUND($B$81*12,0)&gt;=1,$B$81&lt;=100,SUM($B$82)&gt;=0,SUM($B$82)&lt;=1,SUM($B$83)&gt;=0),$B$80,IF(AND($B$175&gt;0,110&gt;$B$175,ISNUMBER($B$75)),$B$75,$B$61)),"")</x:f>
        <x:v>0.0625</x:v>
      </x:c>
      <x:c r="D510" s="440" t="n">
        <x:f>IF(AND(ISNUMBER(B510),B510=0),0,IF(AND($B$171=1,I509=0,ISNUMBER(C510),ISNUMBER(IF(AND(110&lt;=$B$174,110&lt;=$B$173),B510*C510/12,IF(AND(110=$B$173+1,AND(110&gt;$B$173,$B$78="Refinance",ISNUMBER($B$80),$B$80&gt;=0,$B$80&lt;=1,ROUND($B$81*12,0)&gt;=1,$B$81&lt;=100,SUM($B$82)&gt;=0,SUM($B$82)&lt;=1,SUM($B$83)&gt;=0)),IF(B510=0,0,IF(C510=0,B510/ROUND($B$81*12,0),B510*(C510/12)/(1-(1+C510/12)^(-ROUND($B$81*12,0))))),IF(AND(NOT(AND(110&gt;$B$173,$B$78="Refinance",ISNUMBER($B$80),$B$80&gt;=0,$B$80&lt;=1,ROUND($B$81*12,0)&gt;=1,$B$81&lt;=100,SUM($B$82)&gt;=0,SUM($B$82)&lt;=1,SUM($B$83)&gt;=0)),OR(110=1,110=$B$174+1,AND($B$175&gt;0,110=$B$175+1))),IF(AND($B$170=1,$B$66&gt;0,OR($B$175=0,110&lt;=$B$175)),$B$66,IF($B$172-MAX(110-1,$B$174)&gt;0,IF(B510=0,0,IF(C510=0,B510/($B$172-MAX(110-1,$B$174)),B510*(C510/12)/(1-(1+C510/12)^(-($B$172-MAX(110-1,$B$174)))))),"")),D509))))),IF(IF(AND(110&lt;=$B$174,110&lt;=$B$173),B510*C510/12,IF(AND(110=$B$173+1,AND(110&gt;$B$173,$B$78="Refinance",ISNUMBER($B$80),$B$80&gt;=0,$B$80&lt;=1,ROUND($B$81*12,0)&gt;=1,$B$81&lt;=100,SUM($B$82)&gt;=0,SUM($B$82)&lt;=1,SUM($B$83)&gt;=0)),IF(B510=0,0,IF(C510=0,B510/ROUND($B$81*12,0),B510*(C510/12)/(1-(1+C510/12)^(-ROUND($B$81*12,0))))),IF(AND(NOT(AND(110&gt;$B$173,$B$78="Refinance",ISNUMBER($B$80),$B$80&gt;=0,$B$80&lt;=1,ROUND($B$81*12,0)&gt;=1,$B$81&lt;=100,SUM($B$82)&gt;=0,SUM($B$82)&lt;=1,SUM($B$83)&gt;=0)),OR(110=1,110=$B$174+1,AND($B$175&gt;0,110=$B$175+1))),IF(AND($B$170=1,$B$66&gt;0,OR($B$175=0,110&lt;=$B$175)),$B$66,IF($B$172-MAX(110-1,$B$174)&gt;0,IF(B510=0,0,IF(C510=0,B510/($B$172-MAX(110-1,$B$174)),B510*(C510/12)/(1-(1+C510/12)^(-($B$172-MAX(110-1,$B$174)))))),"")),D509)))+0.0000001&gt;=B510*C510/12,MIN(B510*(1+C510/12),IF(AND(110&lt;=$B$174,110&lt;=$B$173),B510*C510/12,IF(AND(110=$B$173+1,AND(110&gt;$B$173,$B$78="Refinance",ISNUMBER($B$80),$B$80&gt;=0,$B$80&lt;=1,ROUND($B$81*12,0)&gt;=1,$B$81&lt;=100,SUM($B$82)&gt;=0,SUM($B$82)&lt;=1,SUM($B$83)&gt;=0)),IF(B510=0,0,IF(C510=0,B510/ROUND($B$81*12,0),B510*(C510/12)/(1-(1+C510/12)^(-ROUND($B$81*12,0))))),IF(AND(NOT(AND(110&gt;$B$173,$B$78="Refinance",ISNUMBER($B$80),$B$80&gt;=0,$B$80&lt;=1,ROUND($B$81*12,0)&gt;=1,$B$81&lt;=100,SUM($B$82)&gt;=0,SUM($B$82)&lt;=1,SUM($B$83)&gt;=0)),OR(110=1,110=$B$174+1,AND($B$175&gt;0,110=$B$175+1))),IF(AND($B$170=1,$B$66&gt;0,OR($B$175=0,110&lt;=$B$175)),$B$66,IF($B$172-MAX(110-1,$B$174)&gt;0,IF(B510=0,0,IF(C510=0,B510/($B$172-MAX(110-1,$B$174)),B510*(C510/12)/(1-(1+C510/12)^(-($B$172-MAX(110-1,$B$174)))))),"")),D509)))),""),""))</x:f>
        <x:v>4679.450723240598</x:v>
      </x:c>
      <x:c r="E510" s="440" t="n">
        <x:f>IF(AND(110=$B$173,ISNUMBER(D510)),IF(MAX(0,B510*(1+C510/12)-D510)&lt;MAX(0.0000001,$E$17*0.00000000001),0,MAX(0,B510*(1+C510/12)-D510)),0)</x:f>
        <x:v>0</x:v>
      </x:c>
      <x:c r="F510" s="440" t="n">
        <x:f>IF($B$78="Cash payoff",E510,0)</x:f>
        <x:v>0</x:v>
      </x:c>
      <x:c r="G510" s="440" t="n">
        <x:f>IF(AND(E510&gt;0,AND($B$78="Refinance",ISNUMBER($B$80),$B$80&gt;=0,$B$80&lt;=1,ROUND($B$81*12,0)&gt;=1,$B$81&lt;=100,SUM($B$82)&gt;=0,SUM($B$82)&lt;=1,SUM($B$83)&gt;=0)),E510*SUM($B$82)+SUM($B$83),0)</x:f>
        <x:v>0</x:v>
      </x:c>
      <x:c r="H510" s="440" t="n">
        <x:f>IF(ISNUMBER(D510),IF(MAX(0,B510*(1+C510/12)-D510-F510)&lt;MAX(0.0000001,$E$17*0.00000000001),0,MAX(0,B510*(1+C510/12)-D510-F510)),IF(AND($B$171=1,I509=1),B510,""))</x:f>
        <x:v>653279.625240749</x:v>
      </x:c>
      <x:c r="I510" s="444" t="n">
        <x:f>IF(OR(I509=1,AND(E510&gt;0,$B$78&lt;&gt;"Cash payoff",NOT(AND($B$78="Refinance",ISNUMBER($B$80),$B$80&gt;=0,$B$80&lt;=1,ROUND($B$81*12,0)&gt;=1,$B$81&lt;=100,SUM($B$82)&gt;=0,SUM($B$82)&lt;=1,SUM($B$83)&gt;=0))),AND(ISNUMBER(B510),B510&gt;0,$B$171=1,NOT(ISNUMBER(D510)))),1,0)</x:f>
        <x:v>0</x:v>
      </x:c>
      <x:c r="J510" s="440" t="n">
        <x:f>IF(ISNUMBER(L509),L509,"")</x:f>
        <x:v>0</x:v>
      </x:c>
      <x:c r="K510" s="440" t="n">
        <x:f>IF(AND(ISNUMBER(J510),J510=0),0,IF(AND($B$176=1,ISNUMBER(J510)),MIN(J510*(1+$B$87/12),IF($B$86=0,0,IF($B$87=0,$B$86/ROUND($B$88*12,0),$B$86*($B$87/12)/(1-(1+$B$87/12)^(-ROUND($B$88*12,0)))))),""))</x:f>
        <x:v>0</x:v>
      </x:c>
      <x:c r="L510" s="440" t="n">
        <x:f>IF(ISNUMBER(K510),IF(MAX(0,J510*(1+SUM($B$87)/12)-K510)&lt;MAX(0.0000001,$B$86*0.00000000001),0,MAX(0,J510*(1+SUM($B$87)/12)-K510)),"")</x:f>
        <x:v>0</x:v>
      </x:c>
      <x:c r="M510" s="440" t="n">
        <x:f>IF(AND(ISNUMBER(D510),ISNUMBER(K510)),D510+K510,"")</x:f>
        <x:v>4679.450723240598</x:v>
      </x:c>
      <x:c r="N510" s="440" t="n">
        <x:f>IF(AND(ISNUMBER(H510),ISNUMBER(L510)),H510+L510,"")</x:f>
        <x:v>653279.625240749</x:v>
      </x:c>
    </x:row>
    <x:row r="511" ht="22" customHeight="1">
      <x:c r="A511" s="254" t="n">
        <x:f>111</x:f>
        <x:v>111</x:v>
      </x:c>
      <x:c r="B511" s="440" t="n">
        <x:f>IF(ISNUMBER(H510),H510,"")</x:f>
        <x:v>653279.625240749</x:v>
      </x:c>
      <x:c r="C511" s="442" t="n">
        <x:f>IF(ISNUMBER(B511),IF(AND(111&gt;$B$173,$B$78="Refinance",ISNUMBER($B$80),$B$80&gt;=0,$B$80&lt;=1,ROUND($B$81*12,0)&gt;=1,$B$81&lt;=100,SUM($B$82)&gt;=0,SUM($B$82)&lt;=1,SUM($B$83)&gt;=0),$B$80,IF(AND($B$175&gt;0,111&gt;$B$175,ISNUMBER($B$75)),$B$75,$B$61)),"")</x:f>
        <x:v>0.0625</x:v>
      </x:c>
      <x:c r="D511" s="440" t="n">
        <x:f>IF(AND(ISNUMBER(B511),B511=0),0,IF(AND($B$171=1,I510=0,ISNUMBER(C511),ISNUMBER(IF(AND(111&lt;=$B$174,111&lt;=$B$173),B511*C511/12,IF(AND(111=$B$173+1,AND(111&gt;$B$173,$B$78="Refinance",ISNUMBER($B$80),$B$80&gt;=0,$B$80&lt;=1,ROUND($B$81*12,0)&gt;=1,$B$81&lt;=100,SUM($B$82)&gt;=0,SUM($B$82)&lt;=1,SUM($B$83)&gt;=0)),IF(B511=0,0,IF(C511=0,B511/ROUND($B$81*12,0),B511*(C511/12)/(1-(1+C511/12)^(-ROUND($B$81*12,0))))),IF(AND(NOT(AND(111&gt;$B$173,$B$78="Refinance",ISNUMBER($B$80),$B$80&gt;=0,$B$80&lt;=1,ROUND($B$81*12,0)&gt;=1,$B$81&lt;=100,SUM($B$82)&gt;=0,SUM($B$82)&lt;=1,SUM($B$83)&gt;=0)),OR(111=1,111=$B$174+1,AND($B$175&gt;0,111=$B$175+1))),IF(AND($B$170=1,$B$66&gt;0,OR($B$175=0,111&lt;=$B$175)),$B$66,IF($B$172-MAX(111-1,$B$174)&gt;0,IF(B511=0,0,IF(C511=0,B511/($B$172-MAX(111-1,$B$174)),B511*(C511/12)/(1-(1+C511/12)^(-($B$172-MAX(111-1,$B$174)))))),"")),D510))))),IF(IF(AND(111&lt;=$B$174,111&lt;=$B$173),B511*C511/12,IF(AND(111=$B$173+1,AND(111&gt;$B$173,$B$78="Refinance",ISNUMBER($B$80),$B$80&gt;=0,$B$80&lt;=1,ROUND($B$81*12,0)&gt;=1,$B$81&lt;=100,SUM($B$82)&gt;=0,SUM($B$82)&lt;=1,SUM($B$83)&gt;=0)),IF(B511=0,0,IF(C511=0,B511/ROUND($B$81*12,0),B511*(C511/12)/(1-(1+C511/12)^(-ROUND($B$81*12,0))))),IF(AND(NOT(AND(111&gt;$B$173,$B$78="Refinance",ISNUMBER($B$80),$B$80&gt;=0,$B$80&lt;=1,ROUND($B$81*12,0)&gt;=1,$B$81&lt;=100,SUM($B$82)&gt;=0,SUM($B$82)&lt;=1,SUM($B$83)&gt;=0)),OR(111=1,111=$B$174+1,AND($B$175&gt;0,111=$B$175+1))),IF(AND($B$170=1,$B$66&gt;0,OR($B$175=0,111&lt;=$B$175)),$B$66,IF($B$172-MAX(111-1,$B$174)&gt;0,IF(B511=0,0,IF(C511=0,B511/($B$172-MAX(111-1,$B$174)),B511*(C511/12)/(1-(1+C511/12)^(-($B$172-MAX(111-1,$B$174)))))),"")),D510)))+0.0000001&gt;=B511*C511/12,MIN(B511*(1+C511/12),IF(AND(111&lt;=$B$174,111&lt;=$B$173),B511*C511/12,IF(AND(111=$B$173+1,AND(111&gt;$B$173,$B$78="Refinance",ISNUMBER($B$80),$B$80&gt;=0,$B$80&lt;=1,ROUND($B$81*12,0)&gt;=1,$B$81&lt;=100,SUM($B$82)&gt;=0,SUM($B$82)&lt;=1,SUM($B$83)&gt;=0)),IF(B511=0,0,IF(C511=0,B511/ROUND($B$81*12,0),B511*(C511/12)/(1-(1+C511/12)^(-ROUND($B$81*12,0))))),IF(AND(NOT(AND(111&gt;$B$173,$B$78="Refinance",ISNUMBER($B$80),$B$80&gt;=0,$B$80&lt;=1,ROUND($B$81*12,0)&gt;=1,$B$81&lt;=100,SUM($B$82)&gt;=0,SUM($B$82)&lt;=1,SUM($B$83)&gt;=0)),OR(111=1,111=$B$174+1,AND($B$175&gt;0,111=$B$175+1))),IF(AND($B$170=1,$B$66&gt;0,OR($B$175=0,111&lt;=$B$175)),$B$66,IF($B$172-MAX(111-1,$B$174)&gt;0,IF(B511=0,0,IF(C511=0,B511/($B$172-MAX(111-1,$B$174)),B511*(C511/12)/(1-(1+C511/12)^(-($B$172-MAX(111-1,$B$174)))))),"")),D510)))),""),""))</x:f>
        <x:v>4679.450723240598</x:v>
      </x:c>
      <x:c r="E511" s="440" t="n">
        <x:f>IF(AND(111=$B$173,ISNUMBER(D511)),IF(MAX(0,B511*(1+C511/12)-D511)&lt;MAX(0.0000001,$E$17*0.00000000001),0,MAX(0,B511*(1+C511/12)-D511)),0)</x:f>
        <x:v>0</x:v>
      </x:c>
      <x:c r="F511" s="440" t="n">
        <x:f>IF($B$78="Cash payoff",E511,0)</x:f>
        <x:v>0</x:v>
      </x:c>
      <x:c r="G511" s="440" t="n">
        <x:f>IF(AND(E511&gt;0,AND($B$78="Refinance",ISNUMBER($B$80),$B$80&gt;=0,$B$80&lt;=1,ROUND($B$81*12,0)&gt;=1,$B$81&lt;=100,SUM($B$82)&gt;=0,SUM($B$82)&lt;=1,SUM($B$83)&gt;=0)),E511*SUM($B$82)+SUM($B$83),0)</x:f>
        <x:v>0</x:v>
      </x:c>
      <x:c r="H511" s="440" t="n">
        <x:f>IF(ISNUMBER(D511),IF(MAX(0,B511*(1+C511/12)-D511-F511)&lt;MAX(0.0000001,$E$17*0.00000000001),0,MAX(0,B511*(1+C511/12)-D511-F511)),IF(AND($B$171=1,I510=1),B511,""))</x:f>
        <x:v>652002.6725656373</x:v>
      </x:c>
      <x:c r="I511" s="444" t="n">
        <x:f>IF(OR(I510=1,AND(E511&gt;0,$B$78&lt;&gt;"Cash payoff",NOT(AND($B$78="Refinance",ISNUMBER($B$80),$B$80&gt;=0,$B$80&lt;=1,ROUND($B$81*12,0)&gt;=1,$B$81&lt;=100,SUM($B$82)&gt;=0,SUM($B$82)&lt;=1,SUM($B$83)&gt;=0))),AND(ISNUMBER(B511),B511&gt;0,$B$171=1,NOT(ISNUMBER(D511)))),1,0)</x:f>
        <x:v>0</x:v>
      </x:c>
      <x:c r="J511" s="440" t="n">
        <x:f>IF(ISNUMBER(L510),L510,"")</x:f>
        <x:v>0</x:v>
      </x:c>
      <x:c r="K511" s="440" t="n">
        <x:f>IF(AND(ISNUMBER(J511),J511=0),0,IF(AND($B$176=1,ISNUMBER(J511)),MIN(J511*(1+$B$87/12),IF($B$86=0,0,IF($B$87=0,$B$86/ROUND($B$88*12,0),$B$86*($B$87/12)/(1-(1+$B$87/12)^(-ROUND($B$88*12,0)))))),""))</x:f>
        <x:v>0</x:v>
      </x:c>
      <x:c r="L511" s="440" t="n">
        <x:f>IF(ISNUMBER(K511),IF(MAX(0,J511*(1+SUM($B$87)/12)-K511)&lt;MAX(0.0000001,$B$86*0.00000000001),0,MAX(0,J511*(1+SUM($B$87)/12)-K511)),"")</x:f>
        <x:v>0</x:v>
      </x:c>
      <x:c r="M511" s="440" t="n">
        <x:f>IF(AND(ISNUMBER(D511),ISNUMBER(K511)),D511+K511,"")</x:f>
        <x:v>4679.450723240598</x:v>
      </x:c>
      <x:c r="N511" s="440" t="n">
        <x:f>IF(AND(ISNUMBER(H511),ISNUMBER(L511)),H511+L511,"")</x:f>
        <x:v>652002.6725656373</x:v>
      </x:c>
    </x:row>
    <x:row r="512" ht="22" customHeight="1">
      <x:c r="A512" s="254" t="n">
        <x:f>112</x:f>
        <x:v>112</x:v>
      </x:c>
      <x:c r="B512" s="440" t="n">
        <x:f>IF(ISNUMBER(H511),H511,"")</x:f>
        <x:v>652002.6725656373</x:v>
      </x:c>
      <x:c r="C512" s="442" t="n">
        <x:f>IF(ISNUMBER(B512),IF(AND(112&gt;$B$173,$B$78="Refinance",ISNUMBER($B$80),$B$80&gt;=0,$B$80&lt;=1,ROUND($B$81*12,0)&gt;=1,$B$81&lt;=100,SUM($B$82)&gt;=0,SUM($B$82)&lt;=1,SUM($B$83)&gt;=0),$B$80,IF(AND($B$175&gt;0,112&gt;$B$175,ISNUMBER($B$75)),$B$75,$B$61)),"")</x:f>
        <x:v>0.0625</x:v>
      </x:c>
      <x:c r="D512" s="440" t="n">
        <x:f>IF(AND(ISNUMBER(B512),B512=0),0,IF(AND($B$171=1,I511=0,ISNUMBER(C512),ISNUMBER(IF(AND(112&lt;=$B$174,112&lt;=$B$173),B512*C512/12,IF(AND(112=$B$173+1,AND(112&gt;$B$173,$B$78="Refinance",ISNUMBER($B$80),$B$80&gt;=0,$B$80&lt;=1,ROUND($B$81*12,0)&gt;=1,$B$81&lt;=100,SUM($B$82)&gt;=0,SUM($B$82)&lt;=1,SUM($B$83)&gt;=0)),IF(B512=0,0,IF(C512=0,B512/ROUND($B$81*12,0),B512*(C512/12)/(1-(1+C512/12)^(-ROUND($B$81*12,0))))),IF(AND(NOT(AND(112&gt;$B$173,$B$78="Refinance",ISNUMBER($B$80),$B$80&gt;=0,$B$80&lt;=1,ROUND($B$81*12,0)&gt;=1,$B$81&lt;=100,SUM($B$82)&gt;=0,SUM($B$82)&lt;=1,SUM($B$83)&gt;=0)),OR(112=1,112=$B$174+1,AND($B$175&gt;0,112=$B$175+1))),IF(AND($B$170=1,$B$66&gt;0,OR($B$175=0,112&lt;=$B$175)),$B$66,IF($B$172-MAX(112-1,$B$174)&gt;0,IF(B512=0,0,IF(C512=0,B512/($B$172-MAX(112-1,$B$174)),B512*(C512/12)/(1-(1+C512/12)^(-($B$172-MAX(112-1,$B$174)))))),"")),D511))))),IF(IF(AND(112&lt;=$B$174,112&lt;=$B$173),B512*C512/12,IF(AND(112=$B$173+1,AND(112&gt;$B$173,$B$78="Refinance",ISNUMBER($B$80),$B$80&gt;=0,$B$80&lt;=1,ROUND($B$81*12,0)&gt;=1,$B$81&lt;=100,SUM($B$82)&gt;=0,SUM($B$82)&lt;=1,SUM($B$83)&gt;=0)),IF(B512=0,0,IF(C512=0,B512/ROUND($B$81*12,0),B512*(C512/12)/(1-(1+C512/12)^(-ROUND($B$81*12,0))))),IF(AND(NOT(AND(112&gt;$B$173,$B$78="Refinance",ISNUMBER($B$80),$B$80&gt;=0,$B$80&lt;=1,ROUND($B$81*12,0)&gt;=1,$B$81&lt;=100,SUM($B$82)&gt;=0,SUM($B$82)&lt;=1,SUM($B$83)&gt;=0)),OR(112=1,112=$B$174+1,AND($B$175&gt;0,112=$B$175+1))),IF(AND($B$170=1,$B$66&gt;0,OR($B$175=0,112&lt;=$B$175)),$B$66,IF($B$172-MAX(112-1,$B$174)&gt;0,IF(B512=0,0,IF(C512=0,B512/($B$172-MAX(112-1,$B$174)),B512*(C512/12)/(1-(1+C512/12)^(-($B$172-MAX(112-1,$B$174)))))),"")),D511)))+0.0000001&gt;=B512*C512/12,MIN(B512*(1+C512/12),IF(AND(112&lt;=$B$174,112&lt;=$B$173),B512*C512/12,IF(AND(112=$B$173+1,AND(112&gt;$B$173,$B$78="Refinance",ISNUMBER($B$80),$B$80&gt;=0,$B$80&lt;=1,ROUND($B$81*12,0)&gt;=1,$B$81&lt;=100,SUM($B$82)&gt;=0,SUM($B$82)&lt;=1,SUM($B$83)&gt;=0)),IF(B512=0,0,IF(C512=0,B512/ROUND($B$81*12,0),B512*(C512/12)/(1-(1+C512/12)^(-ROUND($B$81*12,0))))),IF(AND(NOT(AND(112&gt;$B$173,$B$78="Refinance",ISNUMBER($B$80),$B$80&gt;=0,$B$80&lt;=1,ROUND($B$81*12,0)&gt;=1,$B$81&lt;=100,SUM($B$82)&gt;=0,SUM($B$82)&lt;=1,SUM($B$83)&gt;=0)),OR(112=1,112=$B$174+1,AND($B$175&gt;0,112=$B$175+1))),IF(AND($B$170=1,$B$66&gt;0,OR($B$175=0,112&lt;=$B$175)),$B$66,IF($B$172-MAX(112-1,$B$174)&gt;0,IF(B512=0,0,IF(C512=0,B512/($B$172-MAX(112-1,$B$174)),B512*(C512/12)/(1-(1+C512/12)^(-($B$172-MAX(112-1,$B$174)))))),"")),D511)))),""),""))</x:f>
        <x:v>4679.450723240598</x:v>
      </x:c>
      <x:c r="E512" s="440" t="n">
        <x:f>IF(AND(112=$B$173,ISNUMBER(D512)),IF(MAX(0,B512*(1+C512/12)-D512)&lt;MAX(0.0000001,$E$17*0.00000000001),0,MAX(0,B512*(1+C512/12)-D512)),0)</x:f>
        <x:v>0</x:v>
      </x:c>
      <x:c r="F512" s="440" t="n">
        <x:f>IF($B$78="Cash payoff",E512,0)</x:f>
        <x:v>0</x:v>
      </x:c>
      <x:c r="G512" s="440" t="n">
        <x:f>IF(AND(E512&gt;0,AND($B$78="Refinance",ISNUMBER($B$80),$B$80&gt;=0,$B$80&lt;=1,ROUND($B$81*12,0)&gt;=1,$B$81&lt;=100,SUM($B$82)&gt;=0,SUM($B$82)&lt;=1,SUM($B$83)&gt;=0)),E512*SUM($B$82)+SUM($B$83),0)</x:f>
        <x:v>0</x:v>
      </x:c>
      <x:c r="H512" s="440" t="n">
        <x:f>IF(ISNUMBER(D512),IF(MAX(0,B512*(1+C512/12)-D512-F512)&lt;MAX(0.0000001,$E$17*0.00000000001),0,MAX(0,B512*(1+C512/12)-D512-F512)),IF(AND($B$171=1,I511=1),B512,""))</x:f>
        <x:v>650719.0690953427</x:v>
      </x:c>
      <x:c r="I512" s="444" t="n">
        <x:f>IF(OR(I511=1,AND(E512&gt;0,$B$78&lt;&gt;"Cash payoff",NOT(AND($B$78="Refinance",ISNUMBER($B$80),$B$80&gt;=0,$B$80&lt;=1,ROUND($B$81*12,0)&gt;=1,$B$81&lt;=100,SUM($B$82)&gt;=0,SUM($B$82)&lt;=1,SUM($B$83)&gt;=0))),AND(ISNUMBER(B512),B512&gt;0,$B$171=1,NOT(ISNUMBER(D512)))),1,0)</x:f>
        <x:v>0</x:v>
      </x:c>
      <x:c r="J512" s="440" t="n">
        <x:f>IF(ISNUMBER(L511),L511,"")</x:f>
        <x:v>0</x:v>
      </x:c>
      <x:c r="K512" s="440" t="n">
        <x:f>IF(AND(ISNUMBER(J512),J512=0),0,IF(AND($B$176=1,ISNUMBER(J512)),MIN(J512*(1+$B$87/12),IF($B$86=0,0,IF($B$87=0,$B$86/ROUND($B$88*12,0),$B$86*($B$87/12)/(1-(1+$B$87/12)^(-ROUND($B$88*12,0)))))),""))</x:f>
        <x:v>0</x:v>
      </x:c>
      <x:c r="L512" s="440" t="n">
        <x:f>IF(ISNUMBER(K512),IF(MAX(0,J512*(1+SUM($B$87)/12)-K512)&lt;MAX(0.0000001,$B$86*0.00000000001),0,MAX(0,J512*(1+SUM($B$87)/12)-K512)),"")</x:f>
        <x:v>0</x:v>
      </x:c>
      <x:c r="M512" s="440" t="n">
        <x:f>IF(AND(ISNUMBER(D512),ISNUMBER(K512)),D512+K512,"")</x:f>
        <x:v>4679.450723240598</x:v>
      </x:c>
      <x:c r="N512" s="440" t="n">
        <x:f>IF(AND(ISNUMBER(H512),ISNUMBER(L512)),H512+L512,"")</x:f>
        <x:v>650719.0690953427</x:v>
      </x:c>
    </x:row>
    <x:row r="513" ht="22" customHeight="1">
      <x:c r="A513" s="254" t="n">
        <x:f>113</x:f>
        <x:v>113</x:v>
      </x:c>
      <x:c r="B513" s="440" t="n">
        <x:f>IF(ISNUMBER(H512),H512,"")</x:f>
        <x:v>650719.0690953427</x:v>
      </x:c>
      <x:c r="C513" s="442" t="n">
        <x:f>IF(ISNUMBER(B513),IF(AND(113&gt;$B$173,$B$78="Refinance",ISNUMBER($B$80),$B$80&gt;=0,$B$80&lt;=1,ROUND($B$81*12,0)&gt;=1,$B$81&lt;=100,SUM($B$82)&gt;=0,SUM($B$82)&lt;=1,SUM($B$83)&gt;=0),$B$80,IF(AND($B$175&gt;0,113&gt;$B$175,ISNUMBER($B$75)),$B$75,$B$61)),"")</x:f>
        <x:v>0.0625</x:v>
      </x:c>
      <x:c r="D513" s="440" t="n">
        <x:f>IF(AND(ISNUMBER(B513),B513=0),0,IF(AND($B$171=1,I512=0,ISNUMBER(C513),ISNUMBER(IF(AND(113&lt;=$B$174,113&lt;=$B$173),B513*C513/12,IF(AND(113=$B$173+1,AND(113&gt;$B$173,$B$78="Refinance",ISNUMBER($B$80),$B$80&gt;=0,$B$80&lt;=1,ROUND($B$81*12,0)&gt;=1,$B$81&lt;=100,SUM($B$82)&gt;=0,SUM($B$82)&lt;=1,SUM($B$83)&gt;=0)),IF(B513=0,0,IF(C513=0,B513/ROUND($B$81*12,0),B513*(C513/12)/(1-(1+C513/12)^(-ROUND($B$81*12,0))))),IF(AND(NOT(AND(113&gt;$B$173,$B$78="Refinance",ISNUMBER($B$80),$B$80&gt;=0,$B$80&lt;=1,ROUND($B$81*12,0)&gt;=1,$B$81&lt;=100,SUM($B$82)&gt;=0,SUM($B$82)&lt;=1,SUM($B$83)&gt;=0)),OR(113=1,113=$B$174+1,AND($B$175&gt;0,113=$B$175+1))),IF(AND($B$170=1,$B$66&gt;0,OR($B$175=0,113&lt;=$B$175)),$B$66,IF($B$172-MAX(113-1,$B$174)&gt;0,IF(B513=0,0,IF(C513=0,B513/($B$172-MAX(113-1,$B$174)),B513*(C513/12)/(1-(1+C513/12)^(-($B$172-MAX(113-1,$B$174)))))),"")),D512))))),IF(IF(AND(113&lt;=$B$174,113&lt;=$B$173),B513*C513/12,IF(AND(113=$B$173+1,AND(113&gt;$B$173,$B$78="Refinance",ISNUMBER($B$80),$B$80&gt;=0,$B$80&lt;=1,ROUND($B$81*12,0)&gt;=1,$B$81&lt;=100,SUM($B$82)&gt;=0,SUM($B$82)&lt;=1,SUM($B$83)&gt;=0)),IF(B513=0,0,IF(C513=0,B513/ROUND($B$81*12,0),B513*(C513/12)/(1-(1+C513/12)^(-ROUND($B$81*12,0))))),IF(AND(NOT(AND(113&gt;$B$173,$B$78="Refinance",ISNUMBER($B$80),$B$80&gt;=0,$B$80&lt;=1,ROUND($B$81*12,0)&gt;=1,$B$81&lt;=100,SUM($B$82)&gt;=0,SUM($B$82)&lt;=1,SUM($B$83)&gt;=0)),OR(113=1,113=$B$174+1,AND($B$175&gt;0,113=$B$175+1))),IF(AND($B$170=1,$B$66&gt;0,OR($B$175=0,113&lt;=$B$175)),$B$66,IF($B$172-MAX(113-1,$B$174)&gt;0,IF(B513=0,0,IF(C513=0,B513/($B$172-MAX(113-1,$B$174)),B513*(C513/12)/(1-(1+C513/12)^(-($B$172-MAX(113-1,$B$174)))))),"")),D512)))+0.0000001&gt;=B513*C513/12,MIN(B513*(1+C513/12),IF(AND(113&lt;=$B$174,113&lt;=$B$173),B513*C513/12,IF(AND(113=$B$173+1,AND(113&gt;$B$173,$B$78="Refinance",ISNUMBER($B$80),$B$80&gt;=0,$B$80&lt;=1,ROUND($B$81*12,0)&gt;=1,$B$81&lt;=100,SUM($B$82)&gt;=0,SUM($B$82)&lt;=1,SUM($B$83)&gt;=0)),IF(B513=0,0,IF(C513=0,B513/ROUND($B$81*12,0),B513*(C513/12)/(1-(1+C513/12)^(-ROUND($B$81*12,0))))),IF(AND(NOT(AND(113&gt;$B$173,$B$78="Refinance",ISNUMBER($B$80),$B$80&gt;=0,$B$80&lt;=1,ROUND($B$81*12,0)&gt;=1,$B$81&lt;=100,SUM($B$82)&gt;=0,SUM($B$82)&lt;=1,SUM($B$83)&gt;=0)),OR(113=1,113=$B$174+1,AND($B$175&gt;0,113=$B$175+1))),IF(AND($B$170=1,$B$66&gt;0,OR($B$175=0,113&lt;=$B$175)),$B$66,IF($B$172-MAX(113-1,$B$174)&gt;0,IF(B513=0,0,IF(C513=0,B513/($B$172-MAX(113-1,$B$174)),B513*(C513/12)/(1-(1+C513/12)^(-($B$172-MAX(113-1,$B$174)))))),"")),D512)))),""),""))</x:f>
        <x:v>4679.450723240598</x:v>
      </x:c>
      <x:c r="E513" s="440" t="n">
        <x:f>IF(AND(113=$B$173,ISNUMBER(D513)),IF(MAX(0,B513*(1+C513/12)-D513)&lt;MAX(0.0000001,$E$17*0.00000000001),0,MAX(0,B513*(1+C513/12)-D513)),0)</x:f>
        <x:v>0</x:v>
      </x:c>
      <x:c r="F513" s="440" t="n">
        <x:f>IF($B$78="Cash payoff",E513,0)</x:f>
        <x:v>0</x:v>
      </x:c>
      <x:c r="G513" s="440" t="n">
        <x:f>IF(AND(E513&gt;0,AND($B$78="Refinance",ISNUMBER($B$80),$B$80&gt;=0,$B$80&lt;=1,ROUND($B$81*12,0)&gt;=1,$B$81&lt;=100,SUM($B$82)&gt;=0,SUM($B$82)&lt;=1,SUM($B$83)&gt;=0)),E513*SUM($B$82)+SUM($B$83),0)</x:f>
        <x:v>0</x:v>
      </x:c>
      <x:c r="H513" s="440" t="n">
        <x:f>IF(ISNUMBER(D513),IF(MAX(0,B513*(1+C513/12)-D513-F513)&lt;MAX(0.0000001,$E$17*0.00000000001),0,MAX(0,B513*(1+C513/12)-D513-F513)),IF(AND($B$171=1,I512=1),B513,""))</x:f>
        <x:v>649428.780190307</x:v>
      </x:c>
      <x:c r="I513" s="444" t="n">
        <x:f>IF(OR(I512=1,AND(E513&gt;0,$B$78&lt;&gt;"Cash payoff",NOT(AND($B$78="Refinance",ISNUMBER($B$80),$B$80&gt;=0,$B$80&lt;=1,ROUND($B$81*12,0)&gt;=1,$B$81&lt;=100,SUM($B$82)&gt;=0,SUM($B$82)&lt;=1,SUM($B$83)&gt;=0))),AND(ISNUMBER(B513),B513&gt;0,$B$171=1,NOT(ISNUMBER(D513)))),1,0)</x:f>
        <x:v>0</x:v>
      </x:c>
      <x:c r="J513" s="440" t="n">
        <x:f>IF(ISNUMBER(L512),L512,"")</x:f>
        <x:v>0</x:v>
      </x:c>
      <x:c r="K513" s="440" t="n">
        <x:f>IF(AND(ISNUMBER(J513),J513=0),0,IF(AND($B$176=1,ISNUMBER(J513)),MIN(J513*(1+$B$87/12),IF($B$86=0,0,IF($B$87=0,$B$86/ROUND($B$88*12,0),$B$86*($B$87/12)/(1-(1+$B$87/12)^(-ROUND($B$88*12,0)))))),""))</x:f>
        <x:v>0</x:v>
      </x:c>
      <x:c r="L513" s="440" t="n">
        <x:f>IF(ISNUMBER(K513),IF(MAX(0,J513*(1+SUM($B$87)/12)-K513)&lt;MAX(0.0000001,$B$86*0.00000000001),0,MAX(0,J513*(1+SUM($B$87)/12)-K513)),"")</x:f>
        <x:v>0</x:v>
      </x:c>
      <x:c r="M513" s="440" t="n">
        <x:f>IF(AND(ISNUMBER(D513),ISNUMBER(K513)),D513+K513,"")</x:f>
        <x:v>4679.450723240598</x:v>
      </x:c>
      <x:c r="N513" s="440" t="n">
        <x:f>IF(AND(ISNUMBER(H513),ISNUMBER(L513)),H513+L513,"")</x:f>
        <x:v>649428.780190307</x:v>
      </x:c>
    </x:row>
    <x:row r="514" ht="22" customHeight="1">
      <x:c r="A514" s="254" t="n">
        <x:f>114</x:f>
        <x:v>114</x:v>
      </x:c>
      <x:c r="B514" s="440" t="n">
        <x:f>IF(ISNUMBER(H513),H513,"")</x:f>
        <x:v>649428.780190307</x:v>
      </x:c>
      <x:c r="C514" s="442" t="n">
        <x:f>IF(ISNUMBER(B514),IF(AND(114&gt;$B$173,$B$78="Refinance",ISNUMBER($B$80),$B$80&gt;=0,$B$80&lt;=1,ROUND($B$81*12,0)&gt;=1,$B$81&lt;=100,SUM($B$82)&gt;=0,SUM($B$82)&lt;=1,SUM($B$83)&gt;=0),$B$80,IF(AND($B$175&gt;0,114&gt;$B$175,ISNUMBER($B$75)),$B$75,$B$61)),"")</x:f>
        <x:v>0.0625</x:v>
      </x:c>
      <x:c r="D514" s="440" t="n">
        <x:f>IF(AND(ISNUMBER(B514),B514=0),0,IF(AND($B$171=1,I513=0,ISNUMBER(C514),ISNUMBER(IF(AND(114&lt;=$B$174,114&lt;=$B$173),B514*C514/12,IF(AND(114=$B$173+1,AND(114&gt;$B$173,$B$78="Refinance",ISNUMBER($B$80),$B$80&gt;=0,$B$80&lt;=1,ROUND($B$81*12,0)&gt;=1,$B$81&lt;=100,SUM($B$82)&gt;=0,SUM($B$82)&lt;=1,SUM($B$83)&gt;=0)),IF(B514=0,0,IF(C514=0,B514/ROUND($B$81*12,0),B514*(C514/12)/(1-(1+C514/12)^(-ROUND($B$81*12,0))))),IF(AND(NOT(AND(114&gt;$B$173,$B$78="Refinance",ISNUMBER($B$80),$B$80&gt;=0,$B$80&lt;=1,ROUND($B$81*12,0)&gt;=1,$B$81&lt;=100,SUM($B$82)&gt;=0,SUM($B$82)&lt;=1,SUM($B$83)&gt;=0)),OR(114=1,114=$B$174+1,AND($B$175&gt;0,114=$B$175+1))),IF(AND($B$170=1,$B$66&gt;0,OR($B$175=0,114&lt;=$B$175)),$B$66,IF($B$172-MAX(114-1,$B$174)&gt;0,IF(B514=0,0,IF(C514=0,B514/($B$172-MAX(114-1,$B$174)),B514*(C514/12)/(1-(1+C514/12)^(-($B$172-MAX(114-1,$B$174)))))),"")),D513))))),IF(IF(AND(114&lt;=$B$174,114&lt;=$B$173),B514*C514/12,IF(AND(114=$B$173+1,AND(114&gt;$B$173,$B$78="Refinance",ISNUMBER($B$80),$B$80&gt;=0,$B$80&lt;=1,ROUND($B$81*12,0)&gt;=1,$B$81&lt;=100,SUM($B$82)&gt;=0,SUM($B$82)&lt;=1,SUM($B$83)&gt;=0)),IF(B514=0,0,IF(C514=0,B514/ROUND($B$81*12,0),B514*(C514/12)/(1-(1+C514/12)^(-ROUND($B$81*12,0))))),IF(AND(NOT(AND(114&gt;$B$173,$B$78="Refinance",ISNUMBER($B$80),$B$80&gt;=0,$B$80&lt;=1,ROUND($B$81*12,0)&gt;=1,$B$81&lt;=100,SUM($B$82)&gt;=0,SUM($B$82)&lt;=1,SUM($B$83)&gt;=0)),OR(114=1,114=$B$174+1,AND($B$175&gt;0,114=$B$175+1))),IF(AND($B$170=1,$B$66&gt;0,OR($B$175=0,114&lt;=$B$175)),$B$66,IF($B$172-MAX(114-1,$B$174)&gt;0,IF(B514=0,0,IF(C514=0,B514/($B$172-MAX(114-1,$B$174)),B514*(C514/12)/(1-(1+C514/12)^(-($B$172-MAX(114-1,$B$174)))))),"")),D513)))+0.0000001&gt;=B514*C514/12,MIN(B514*(1+C514/12),IF(AND(114&lt;=$B$174,114&lt;=$B$173),B514*C514/12,IF(AND(114=$B$173+1,AND(114&gt;$B$173,$B$78="Refinance",ISNUMBER($B$80),$B$80&gt;=0,$B$80&lt;=1,ROUND($B$81*12,0)&gt;=1,$B$81&lt;=100,SUM($B$82)&gt;=0,SUM($B$82)&lt;=1,SUM($B$83)&gt;=0)),IF(B514=0,0,IF(C514=0,B514/ROUND($B$81*12,0),B514*(C514/12)/(1-(1+C514/12)^(-ROUND($B$81*12,0))))),IF(AND(NOT(AND(114&gt;$B$173,$B$78="Refinance",ISNUMBER($B$80),$B$80&gt;=0,$B$80&lt;=1,ROUND($B$81*12,0)&gt;=1,$B$81&lt;=100,SUM($B$82)&gt;=0,SUM($B$82)&lt;=1,SUM($B$83)&gt;=0)),OR(114=1,114=$B$174+1,AND($B$175&gt;0,114=$B$175+1))),IF(AND($B$170=1,$B$66&gt;0,OR($B$175=0,114&lt;=$B$175)),$B$66,IF($B$172-MAX(114-1,$B$174)&gt;0,IF(B514=0,0,IF(C514=0,B514/($B$172-MAX(114-1,$B$174)),B514*(C514/12)/(1-(1+C514/12)^(-($B$172-MAX(114-1,$B$174)))))),"")),D513)))),""),""))</x:f>
        <x:v>4679.450723240598</x:v>
      </x:c>
      <x:c r="E514" s="440" t="n">
        <x:f>IF(AND(114=$B$173,ISNUMBER(D514)),IF(MAX(0,B514*(1+C514/12)-D514)&lt;MAX(0.0000001,$E$17*0.00000000001),0,MAX(0,B514*(1+C514/12)-D514)),0)</x:f>
        <x:v>0</x:v>
      </x:c>
      <x:c r="F514" s="440" t="n">
        <x:f>IF($B$78="Cash payoff",E514,0)</x:f>
        <x:v>0</x:v>
      </x:c>
      <x:c r="G514" s="440" t="n">
        <x:f>IF(AND(E514&gt;0,AND($B$78="Refinance",ISNUMBER($B$80),$B$80&gt;=0,$B$80&lt;=1,ROUND($B$81*12,0)&gt;=1,$B$81&lt;=100,SUM($B$82)&gt;=0,SUM($B$82)&lt;=1,SUM($B$83)&gt;=0)),E514*SUM($B$82)+SUM($B$83),0)</x:f>
        <x:v>0</x:v>
      </x:c>
      <x:c r="H514" s="440" t="n">
        <x:f>IF(ISNUMBER(D514),IF(MAX(0,B514*(1+C514/12)-D514-F514)&lt;MAX(0.0000001,$E$17*0.00000000001),0,MAX(0,B514*(1+C514/12)-D514-F514)),IF(AND($B$171=1,I513=1),B514,""))</x:f>
        <x:v>648131.7710305575</x:v>
      </x:c>
      <x:c r="I514" s="444" t="n">
        <x:f>IF(OR(I513=1,AND(E514&gt;0,$B$78&lt;&gt;"Cash payoff",NOT(AND($B$78="Refinance",ISNUMBER($B$80),$B$80&gt;=0,$B$80&lt;=1,ROUND($B$81*12,0)&gt;=1,$B$81&lt;=100,SUM($B$82)&gt;=0,SUM($B$82)&lt;=1,SUM($B$83)&gt;=0))),AND(ISNUMBER(B514),B514&gt;0,$B$171=1,NOT(ISNUMBER(D514)))),1,0)</x:f>
        <x:v>0</x:v>
      </x:c>
      <x:c r="J514" s="440" t="n">
        <x:f>IF(ISNUMBER(L513),L513,"")</x:f>
        <x:v>0</x:v>
      </x:c>
      <x:c r="K514" s="440" t="n">
        <x:f>IF(AND(ISNUMBER(J514),J514=0),0,IF(AND($B$176=1,ISNUMBER(J514)),MIN(J514*(1+$B$87/12),IF($B$86=0,0,IF($B$87=0,$B$86/ROUND($B$88*12,0),$B$86*($B$87/12)/(1-(1+$B$87/12)^(-ROUND($B$88*12,0)))))),""))</x:f>
        <x:v>0</x:v>
      </x:c>
      <x:c r="L514" s="440" t="n">
        <x:f>IF(ISNUMBER(K514),IF(MAX(0,J514*(1+SUM($B$87)/12)-K514)&lt;MAX(0.0000001,$B$86*0.00000000001),0,MAX(0,J514*(1+SUM($B$87)/12)-K514)),"")</x:f>
        <x:v>0</x:v>
      </x:c>
      <x:c r="M514" s="440" t="n">
        <x:f>IF(AND(ISNUMBER(D514),ISNUMBER(K514)),D514+K514,"")</x:f>
        <x:v>4679.450723240598</x:v>
      </x:c>
      <x:c r="N514" s="440" t="n">
        <x:f>IF(AND(ISNUMBER(H514),ISNUMBER(L514)),H514+L514,"")</x:f>
        <x:v>648131.7710305575</x:v>
      </x:c>
    </x:row>
    <x:row r="515" ht="22" customHeight="1">
      <x:c r="A515" s="254" t="n">
        <x:f>115</x:f>
        <x:v>115</x:v>
      </x:c>
      <x:c r="B515" s="440" t="n">
        <x:f>IF(ISNUMBER(H514),H514,"")</x:f>
        <x:v>648131.7710305575</x:v>
      </x:c>
      <x:c r="C515" s="442" t="n">
        <x:f>IF(ISNUMBER(B515),IF(AND(115&gt;$B$173,$B$78="Refinance",ISNUMBER($B$80),$B$80&gt;=0,$B$80&lt;=1,ROUND($B$81*12,0)&gt;=1,$B$81&lt;=100,SUM($B$82)&gt;=0,SUM($B$82)&lt;=1,SUM($B$83)&gt;=0),$B$80,IF(AND($B$175&gt;0,115&gt;$B$175,ISNUMBER($B$75)),$B$75,$B$61)),"")</x:f>
        <x:v>0.0625</x:v>
      </x:c>
      <x:c r="D515" s="440" t="n">
        <x:f>IF(AND(ISNUMBER(B515),B515=0),0,IF(AND($B$171=1,I514=0,ISNUMBER(C515),ISNUMBER(IF(AND(115&lt;=$B$174,115&lt;=$B$173),B515*C515/12,IF(AND(115=$B$173+1,AND(115&gt;$B$173,$B$78="Refinance",ISNUMBER($B$80),$B$80&gt;=0,$B$80&lt;=1,ROUND($B$81*12,0)&gt;=1,$B$81&lt;=100,SUM($B$82)&gt;=0,SUM($B$82)&lt;=1,SUM($B$83)&gt;=0)),IF(B515=0,0,IF(C515=0,B515/ROUND($B$81*12,0),B515*(C515/12)/(1-(1+C515/12)^(-ROUND($B$81*12,0))))),IF(AND(NOT(AND(115&gt;$B$173,$B$78="Refinance",ISNUMBER($B$80),$B$80&gt;=0,$B$80&lt;=1,ROUND($B$81*12,0)&gt;=1,$B$81&lt;=100,SUM($B$82)&gt;=0,SUM($B$82)&lt;=1,SUM($B$83)&gt;=0)),OR(115=1,115=$B$174+1,AND($B$175&gt;0,115=$B$175+1))),IF(AND($B$170=1,$B$66&gt;0,OR($B$175=0,115&lt;=$B$175)),$B$66,IF($B$172-MAX(115-1,$B$174)&gt;0,IF(B515=0,0,IF(C515=0,B515/($B$172-MAX(115-1,$B$174)),B515*(C515/12)/(1-(1+C515/12)^(-($B$172-MAX(115-1,$B$174)))))),"")),D514))))),IF(IF(AND(115&lt;=$B$174,115&lt;=$B$173),B515*C515/12,IF(AND(115=$B$173+1,AND(115&gt;$B$173,$B$78="Refinance",ISNUMBER($B$80),$B$80&gt;=0,$B$80&lt;=1,ROUND($B$81*12,0)&gt;=1,$B$81&lt;=100,SUM($B$82)&gt;=0,SUM($B$82)&lt;=1,SUM($B$83)&gt;=0)),IF(B515=0,0,IF(C515=0,B515/ROUND($B$81*12,0),B515*(C515/12)/(1-(1+C515/12)^(-ROUND($B$81*12,0))))),IF(AND(NOT(AND(115&gt;$B$173,$B$78="Refinance",ISNUMBER($B$80),$B$80&gt;=0,$B$80&lt;=1,ROUND($B$81*12,0)&gt;=1,$B$81&lt;=100,SUM($B$82)&gt;=0,SUM($B$82)&lt;=1,SUM($B$83)&gt;=0)),OR(115=1,115=$B$174+1,AND($B$175&gt;0,115=$B$175+1))),IF(AND($B$170=1,$B$66&gt;0,OR($B$175=0,115&lt;=$B$175)),$B$66,IF($B$172-MAX(115-1,$B$174)&gt;0,IF(B515=0,0,IF(C515=0,B515/($B$172-MAX(115-1,$B$174)),B515*(C515/12)/(1-(1+C515/12)^(-($B$172-MAX(115-1,$B$174)))))),"")),D514)))+0.0000001&gt;=B515*C515/12,MIN(B515*(1+C515/12),IF(AND(115&lt;=$B$174,115&lt;=$B$173),B515*C515/12,IF(AND(115=$B$173+1,AND(115&gt;$B$173,$B$78="Refinance",ISNUMBER($B$80),$B$80&gt;=0,$B$80&lt;=1,ROUND($B$81*12,0)&gt;=1,$B$81&lt;=100,SUM($B$82)&gt;=0,SUM($B$82)&lt;=1,SUM($B$83)&gt;=0)),IF(B515=0,0,IF(C515=0,B515/ROUND($B$81*12,0),B515*(C515/12)/(1-(1+C515/12)^(-ROUND($B$81*12,0))))),IF(AND(NOT(AND(115&gt;$B$173,$B$78="Refinance",ISNUMBER($B$80),$B$80&gt;=0,$B$80&lt;=1,ROUND($B$81*12,0)&gt;=1,$B$81&lt;=100,SUM($B$82)&gt;=0,SUM($B$82)&lt;=1,SUM($B$83)&gt;=0)),OR(115=1,115=$B$174+1,AND($B$175&gt;0,115=$B$175+1))),IF(AND($B$170=1,$B$66&gt;0,OR($B$175=0,115&lt;=$B$175)),$B$66,IF($B$172-MAX(115-1,$B$174)&gt;0,IF(B515=0,0,IF(C515=0,B515/($B$172-MAX(115-1,$B$174)),B515*(C515/12)/(1-(1+C515/12)^(-($B$172-MAX(115-1,$B$174)))))),"")),D514)))),""),""))</x:f>
        <x:v>4679.450723240598</x:v>
      </x:c>
      <x:c r="E515" s="440" t="n">
        <x:f>IF(AND(115=$B$173,ISNUMBER(D515)),IF(MAX(0,B515*(1+C515/12)-D515)&lt;MAX(0.0000001,$E$17*0.00000000001),0,MAX(0,B515*(1+C515/12)-D515)),0)</x:f>
        <x:v>0</x:v>
      </x:c>
      <x:c r="F515" s="440" t="n">
        <x:f>IF($B$78="Cash payoff",E515,0)</x:f>
        <x:v>0</x:v>
      </x:c>
      <x:c r="G515" s="440" t="n">
        <x:f>IF(AND(E515&gt;0,AND($B$78="Refinance",ISNUMBER($B$80),$B$80&gt;=0,$B$80&lt;=1,ROUND($B$81*12,0)&gt;=1,$B$81&lt;=100,SUM($B$82)&gt;=0,SUM($B$82)&lt;=1,SUM($B$83)&gt;=0)),E515*SUM($B$82)+SUM($B$83),0)</x:f>
        <x:v>0</x:v>
      </x:c>
      <x:c r="H515" s="440" t="n">
        <x:f>IF(ISNUMBER(D515),IF(MAX(0,B515*(1+C515/12)-D515-F515)&lt;MAX(0.0000001,$E$17*0.00000000001),0,MAX(0,B515*(1+C515/12)-D515-F515)),IF(AND($B$171=1,I514=1),B515,""))</x:f>
        <x:v>646828.0066147676</x:v>
      </x:c>
      <x:c r="I515" s="444" t="n">
        <x:f>IF(OR(I514=1,AND(E515&gt;0,$B$78&lt;&gt;"Cash payoff",NOT(AND($B$78="Refinance",ISNUMBER($B$80),$B$80&gt;=0,$B$80&lt;=1,ROUND($B$81*12,0)&gt;=1,$B$81&lt;=100,SUM($B$82)&gt;=0,SUM($B$82)&lt;=1,SUM($B$83)&gt;=0))),AND(ISNUMBER(B515),B515&gt;0,$B$171=1,NOT(ISNUMBER(D515)))),1,0)</x:f>
        <x:v>0</x:v>
      </x:c>
      <x:c r="J515" s="440" t="n">
        <x:f>IF(ISNUMBER(L514),L514,"")</x:f>
        <x:v>0</x:v>
      </x:c>
      <x:c r="K515" s="440" t="n">
        <x:f>IF(AND(ISNUMBER(J515),J515=0),0,IF(AND($B$176=1,ISNUMBER(J515)),MIN(J515*(1+$B$87/12),IF($B$86=0,0,IF($B$87=0,$B$86/ROUND($B$88*12,0),$B$86*($B$87/12)/(1-(1+$B$87/12)^(-ROUND($B$88*12,0)))))),""))</x:f>
        <x:v>0</x:v>
      </x:c>
      <x:c r="L515" s="440" t="n">
        <x:f>IF(ISNUMBER(K515),IF(MAX(0,J515*(1+SUM($B$87)/12)-K515)&lt;MAX(0.0000001,$B$86*0.00000000001),0,MAX(0,J515*(1+SUM($B$87)/12)-K515)),"")</x:f>
        <x:v>0</x:v>
      </x:c>
      <x:c r="M515" s="440" t="n">
        <x:f>IF(AND(ISNUMBER(D515),ISNUMBER(K515)),D515+K515,"")</x:f>
        <x:v>4679.450723240598</x:v>
      </x:c>
      <x:c r="N515" s="440" t="n">
        <x:f>IF(AND(ISNUMBER(H515),ISNUMBER(L515)),H515+L515,"")</x:f>
        <x:v>646828.0066147676</x:v>
      </x:c>
    </x:row>
    <x:row r="516" ht="22" customHeight="1">
      <x:c r="A516" s="254" t="n">
        <x:f>116</x:f>
        <x:v>116</x:v>
      </x:c>
      <x:c r="B516" s="440" t="n">
        <x:f>IF(ISNUMBER(H515),H515,"")</x:f>
        <x:v>646828.0066147676</x:v>
      </x:c>
      <x:c r="C516" s="442" t="n">
        <x:f>IF(ISNUMBER(B516),IF(AND(116&gt;$B$173,$B$78="Refinance",ISNUMBER($B$80),$B$80&gt;=0,$B$80&lt;=1,ROUND($B$81*12,0)&gt;=1,$B$81&lt;=100,SUM($B$82)&gt;=0,SUM($B$82)&lt;=1,SUM($B$83)&gt;=0),$B$80,IF(AND($B$175&gt;0,116&gt;$B$175,ISNUMBER($B$75)),$B$75,$B$61)),"")</x:f>
        <x:v>0.0625</x:v>
      </x:c>
      <x:c r="D516" s="440" t="n">
        <x:f>IF(AND(ISNUMBER(B516),B516=0),0,IF(AND($B$171=1,I515=0,ISNUMBER(C516),ISNUMBER(IF(AND(116&lt;=$B$174,116&lt;=$B$173),B516*C516/12,IF(AND(116=$B$173+1,AND(116&gt;$B$173,$B$78="Refinance",ISNUMBER($B$80),$B$80&gt;=0,$B$80&lt;=1,ROUND($B$81*12,0)&gt;=1,$B$81&lt;=100,SUM($B$82)&gt;=0,SUM($B$82)&lt;=1,SUM($B$83)&gt;=0)),IF(B516=0,0,IF(C516=0,B516/ROUND($B$81*12,0),B516*(C516/12)/(1-(1+C516/12)^(-ROUND($B$81*12,0))))),IF(AND(NOT(AND(116&gt;$B$173,$B$78="Refinance",ISNUMBER($B$80),$B$80&gt;=0,$B$80&lt;=1,ROUND($B$81*12,0)&gt;=1,$B$81&lt;=100,SUM($B$82)&gt;=0,SUM($B$82)&lt;=1,SUM($B$83)&gt;=0)),OR(116=1,116=$B$174+1,AND($B$175&gt;0,116=$B$175+1))),IF(AND($B$170=1,$B$66&gt;0,OR($B$175=0,116&lt;=$B$175)),$B$66,IF($B$172-MAX(116-1,$B$174)&gt;0,IF(B516=0,0,IF(C516=0,B516/($B$172-MAX(116-1,$B$174)),B516*(C516/12)/(1-(1+C516/12)^(-($B$172-MAX(116-1,$B$174)))))),"")),D515))))),IF(IF(AND(116&lt;=$B$174,116&lt;=$B$173),B516*C516/12,IF(AND(116=$B$173+1,AND(116&gt;$B$173,$B$78="Refinance",ISNUMBER($B$80),$B$80&gt;=0,$B$80&lt;=1,ROUND($B$81*12,0)&gt;=1,$B$81&lt;=100,SUM($B$82)&gt;=0,SUM($B$82)&lt;=1,SUM($B$83)&gt;=0)),IF(B516=0,0,IF(C516=0,B516/ROUND($B$81*12,0),B516*(C516/12)/(1-(1+C516/12)^(-ROUND($B$81*12,0))))),IF(AND(NOT(AND(116&gt;$B$173,$B$78="Refinance",ISNUMBER($B$80),$B$80&gt;=0,$B$80&lt;=1,ROUND($B$81*12,0)&gt;=1,$B$81&lt;=100,SUM($B$82)&gt;=0,SUM($B$82)&lt;=1,SUM($B$83)&gt;=0)),OR(116=1,116=$B$174+1,AND($B$175&gt;0,116=$B$175+1))),IF(AND($B$170=1,$B$66&gt;0,OR($B$175=0,116&lt;=$B$175)),$B$66,IF($B$172-MAX(116-1,$B$174)&gt;0,IF(B516=0,0,IF(C516=0,B516/($B$172-MAX(116-1,$B$174)),B516*(C516/12)/(1-(1+C516/12)^(-($B$172-MAX(116-1,$B$174)))))),"")),D515)))+0.0000001&gt;=B516*C516/12,MIN(B516*(1+C516/12),IF(AND(116&lt;=$B$174,116&lt;=$B$173),B516*C516/12,IF(AND(116=$B$173+1,AND(116&gt;$B$173,$B$78="Refinance",ISNUMBER($B$80),$B$80&gt;=0,$B$80&lt;=1,ROUND($B$81*12,0)&gt;=1,$B$81&lt;=100,SUM($B$82)&gt;=0,SUM($B$82)&lt;=1,SUM($B$83)&gt;=0)),IF(B516=0,0,IF(C516=0,B516/ROUND($B$81*12,0),B516*(C516/12)/(1-(1+C516/12)^(-ROUND($B$81*12,0))))),IF(AND(NOT(AND(116&gt;$B$173,$B$78="Refinance",ISNUMBER($B$80),$B$80&gt;=0,$B$80&lt;=1,ROUND($B$81*12,0)&gt;=1,$B$81&lt;=100,SUM($B$82)&gt;=0,SUM($B$82)&lt;=1,SUM($B$83)&gt;=0)),OR(116=1,116=$B$174+1,AND($B$175&gt;0,116=$B$175+1))),IF(AND($B$170=1,$B$66&gt;0,OR($B$175=0,116&lt;=$B$175)),$B$66,IF($B$172-MAX(116-1,$B$174)&gt;0,IF(B516=0,0,IF(C516=0,B516/($B$172-MAX(116-1,$B$174)),B516*(C516/12)/(1-(1+C516/12)^(-($B$172-MAX(116-1,$B$174)))))),"")),D515)))),""),""))</x:f>
        <x:v>4679.450723240598</x:v>
      </x:c>
      <x:c r="E516" s="440" t="n">
        <x:f>IF(AND(116=$B$173,ISNUMBER(D516)),IF(MAX(0,B516*(1+C516/12)-D516)&lt;MAX(0.0000001,$E$17*0.00000000001),0,MAX(0,B516*(1+C516/12)-D516)),0)</x:f>
        <x:v>0</x:v>
      </x:c>
      <x:c r="F516" s="440" t="n">
        <x:f>IF($B$78="Cash payoff",E516,0)</x:f>
        <x:v>0</x:v>
      </x:c>
      <x:c r="G516" s="440" t="n">
        <x:f>IF(AND(E516&gt;0,AND($B$78="Refinance",ISNUMBER($B$80),$B$80&gt;=0,$B$80&lt;=1,ROUND($B$81*12,0)&gt;=1,$B$81&lt;=100,SUM($B$82)&gt;=0,SUM($B$82)&lt;=1,SUM($B$83)&gt;=0)),E516*SUM($B$82)+SUM($B$83),0)</x:f>
        <x:v>0</x:v>
      </x:c>
      <x:c r="H516" s="440" t="n">
        <x:f>IF(ISNUMBER(D516),IF(MAX(0,B516*(1+C516/12)-D516-F516)&lt;MAX(0.0000001,$E$17*0.00000000001),0,MAX(0,B516*(1+C516/12)-D516-F516)),IF(AND($B$171=1,I515=1),B516,""))</x:f>
        <x:v>645517.4517593122</x:v>
      </x:c>
      <x:c r="I516" s="444" t="n">
        <x:f>IF(OR(I515=1,AND(E516&gt;0,$B$78&lt;&gt;"Cash payoff",NOT(AND($B$78="Refinance",ISNUMBER($B$80),$B$80&gt;=0,$B$80&lt;=1,ROUND($B$81*12,0)&gt;=1,$B$81&lt;=100,SUM($B$82)&gt;=0,SUM($B$82)&lt;=1,SUM($B$83)&gt;=0))),AND(ISNUMBER(B516),B516&gt;0,$B$171=1,NOT(ISNUMBER(D516)))),1,0)</x:f>
        <x:v>0</x:v>
      </x:c>
      <x:c r="J516" s="440" t="n">
        <x:f>IF(ISNUMBER(L515),L515,"")</x:f>
        <x:v>0</x:v>
      </x:c>
      <x:c r="K516" s="440" t="n">
        <x:f>IF(AND(ISNUMBER(J516),J516=0),0,IF(AND($B$176=1,ISNUMBER(J516)),MIN(J516*(1+$B$87/12),IF($B$86=0,0,IF($B$87=0,$B$86/ROUND($B$88*12,0),$B$86*($B$87/12)/(1-(1+$B$87/12)^(-ROUND($B$88*12,0)))))),""))</x:f>
        <x:v>0</x:v>
      </x:c>
      <x:c r="L516" s="440" t="n">
        <x:f>IF(ISNUMBER(K516),IF(MAX(0,J516*(1+SUM($B$87)/12)-K516)&lt;MAX(0.0000001,$B$86*0.00000000001),0,MAX(0,J516*(1+SUM($B$87)/12)-K516)),"")</x:f>
        <x:v>0</x:v>
      </x:c>
      <x:c r="M516" s="440" t="n">
        <x:f>IF(AND(ISNUMBER(D516),ISNUMBER(K516)),D516+K516,"")</x:f>
        <x:v>4679.450723240598</x:v>
      </x:c>
      <x:c r="N516" s="440" t="n">
        <x:f>IF(AND(ISNUMBER(H516),ISNUMBER(L516)),H516+L516,"")</x:f>
        <x:v>645517.4517593122</x:v>
      </x:c>
    </x:row>
    <x:row r="517" ht="22" customHeight="1">
      <x:c r="A517" s="254" t="n">
        <x:f>117</x:f>
        <x:v>117</x:v>
      </x:c>
      <x:c r="B517" s="440" t="n">
        <x:f>IF(ISNUMBER(H516),H516,"")</x:f>
        <x:v>645517.4517593122</x:v>
      </x:c>
      <x:c r="C517" s="442" t="n">
        <x:f>IF(ISNUMBER(B517),IF(AND(117&gt;$B$173,$B$78="Refinance",ISNUMBER($B$80),$B$80&gt;=0,$B$80&lt;=1,ROUND($B$81*12,0)&gt;=1,$B$81&lt;=100,SUM($B$82)&gt;=0,SUM($B$82)&lt;=1,SUM($B$83)&gt;=0),$B$80,IF(AND($B$175&gt;0,117&gt;$B$175,ISNUMBER($B$75)),$B$75,$B$61)),"")</x:f>
        <x:v>0.0625</x:v>
      </x:c>
      <x:c r="D517" s="440" t="n">
        <x:f>IF(AND(ISNUMBER(B517),B517=0),0,IF(AND($B$171=1,I516=0,ISNUMBER(C517),ISNUMBER(IF(AND(117&lt;=$B$174,117&lt;=$B$173),B517*C517/12,IF(AND(117=$B$173+1,AND(117&gt;$B$173,$B$78="Refinance",ISNUMBER($B$80),$B$80&gt;=0,$B$80&lt;=1,ROUND($B$81*12,0)&gt;=1,$B$81&lt;=100,SUM($B$82)&gt;=0,SUM($B$82)&lt;=1,SUM($B$83)&gt;=0)),IF(B517=0,0,IF(C517=0,B517/ROUND($B$81*12,0),B517*(C517/12)/(1-(1+C517/12)^(-ROUND($B$81*12,0))))),IF(AND(NOT(AND(117&gt;$B$173,$B$78="Refinance",ISNUMBER($B$80),$B$80&gt;=0,$B$80&lt;=1,ROUND($B$81*12,0)&gt;=1,$B$81&lt;=100,SUM($B$82)&gt;=0,SUM($B$82)&lt;=1,SUM($B$83)&gt;=0)),OR(117=1,117=$B$174+1,AND($B$175&gt;0,117=$B$175+1))),IF(AND($B$170=1,$B$66&gt;0,OR($B$175=0,117&lt;=$B$175)),$B$66,IF($B$172-MAX(117-1,$B$174)&gt;0,IF(B517=0,0,IF(C517=0,B517/($B$172-MAX(117-1,$B$174)),B517*(C517/12)/(1-(1+C517/12)^(-($B$172-MAX(117-1,$B$174)))))),"")),D516))))),IF(IF(AND(117&lt;=$B$174,117&lt;=$B$173),B517*C517/12,IF(AND(117=$B$173+1,AND(117&gt;$B$173,$B$78="Refinance",ISNUMBER($B$80),$B$80&gt;=0,$B$80&lt;=1,ROUND($B$81*12,0)&gt;=1,$B$81&lt;=100,SUM($B$82)&gt;=0,SUM($B$82)&lt;=1,SUM($B$83)&gt;=0)),IF(B517=0,0,IF(C517=0,B517/ROUND($B$81*12,0),B517*(C517/12)/(1-(1+C517/12)^(-ROUND($B$81*12,0))))),IF(AND(NOT(AND(117&gt;$B$173,$B$78="Refinance",ISNUMBER($B$80),$B$80&gt;=0,$B$80&lt;=1,ROUND($B$81*12,0)&gt;=1,$B$81&lt;=100,SUM($B$82)&gt;=0,SUM($B$82)&lt;=1,SUM($B$83)&gt;=0)),OR(117=1,117=$B$174+1,AND($B$175&gt;0,117=$B$175+1))),IF(AND($B$170=1,$B$66&gt;0,OR($B$175=0,117&lt;=$B$175)),$B$66,IF($B$172-MAX(117-1,$B$174)&gt;0,IF(B517=0,0,IF(C517=0,B517/($B$172-MAX(117-1,$B$174)),B517*(C517/12)/(1-(1+C517/12)^(-($B$172-MAX(117-1,$B$174)))))),"")),D516)))+0.0000001&gt;=B517*C517/12,MIN(B517*(1+C517/12),IF(AND(117&lt;=$B$174,117&lt;=$B$173),B517*C517/12,IF(AND(117=$B$173+1,AND(117&gt;$B$173,$B$78="Refinance",ISNUMBER($B$80),$B$80&gt;=0,$B$80&lt;=1,ROUND($B$81*12,0)&gt;=1,$B$81&lt;=100,SUM($B$82)&gt;=0,SUM($B$82)&lt;=1,SUM($B$83)&gt;=0)),IF(B517=0,0,IF(C517=0,B517/ROUND($B$81*12,0),B517*(C517/12)/(1-(1+C517/12)^(-ROUND($B$81*12,0))))),IF(AND(NOT(AND(117&gt;$B$173,$B$78="Refinance",ISNUMBER($B$80),$B$80&gt;=0,$B$80&lt;=1,ROUND($B$81*12,0)&gt;=1,$B$81&lt;=100,SUM($B$82)&gt;=0,SUM($B$82)&lt;=1,SUM($B$83)&gt;=0)),OR(117=1,117=$B$174+1,AND($B$175&gt;0,117=$B$175+1))),IF(AND($B$170=1,$B$66&gt;0,OR($B$175=0,117&lt;=$B$175)),$B$66,IF($B$172-MAX(117-1,$B$174)&gt;0,IF(B517=0,0,IF(C517=0,B517/($B$172-MAX(117-1,$B$174)),B517*(C517/12)/(1-(1+C517/12)^(-($B$172-MAX(117-1,$B$174)))))),"")),D516)))),""),""))</x:f>
        <x:v>4679.450723240598</x:v>
      </x:c>
      <x:c r="E517" s="440" t="n">
        <x:f>IF(AND(117=$B$173,ISNUMBER(D517)),IF(MAX(0,B517*(1+C517/12)-D517)&lt;MAX(0.0000001,$E$17*0.00000000001),0,MAX(0,B517*(1+C517/12)-D517)),0)</x:f>
        <x:v>0</x:v>
      </x:c>
      <x:c r="F517" s="440" t="n">
        <x:f>IF($B$78="Cash payoff",E517,0)</x:f>
        <x:v>0</x:v>
      </x:c>
      <x:c r="G517" s="440" t="n">
        <x:f>IF(AND(E517&gt;0,AND($B$78="Refinance",ISNUMBER($B$80),$B$80&gt;=0,$B$80&lt;=1,ROUND($B$81*12,0)&gt;=1,$B$81&lt;=100,SUM($B$82)&gt;=0,SUM($B$82)&lt;=1,SUM($B$83)&gt;=0)),E517*SUM($B$82)+SUM($B$83),0)</x:f>
        <x:v>0</x:v>
      </x:c>
      <x:c r="H517" s="440" t="n">
        <x:f>IF(ISNUMBER(D517),IF(MAX(0,B517*(1+C517/12)-D517-F517)&lt;MAX(0.0000001,$E$17*0.00000000001),0,MAX(0,B517*(1+C517/12)-D517-F517)),IF(AND($B$171=1,I516=1),B517,""))</x:f>
        <x:v>644200.071097318</x:v>
      </x:c>
      <x:c r="I517" s="444" t="n">
        <x:f>IF(OR(I516=1,AND(E517&gt;0,$B$78&lt;&gt;"Cash payoff",NOT(AND($B$78="Refinance",ISNUMBER($B$80),$B$80&gt;=0,$B$80&lt;=1,ROUND($B$81*12,0)&gt;=1,$B$81&lt;=100,SUM($B$82)&gt;=0,SUM($B$82)&lt;=1,SUM($B$83)&gt;=0))),AND(ISNUMBER(B517),B517&gt;0,$B$171=1,NOT(ISNUMBER(D517)))),1,0)</x:f>
        <x:v>0</x:v>
      </x:c>
      <x:c r="J517" s="440" t="n">
        <x:f>IF(ISNUMBER(L516),L516,"")</x:f>
        <x:v>0</x:v>
      </x:c>
      <x:c r="K517" s="440" t="n">
        <x:f>IF(AND(ISNUMBER(J517),J517=0),0,IF(AND($B$176=1,ISNUMBER(J517)),MIN(J517*(1+$B$87/12),IF($B$86=0,0,IF($B$87=0,$B$86/ROUND($B$88*12,0),$B$86*($B$87/12)/(1-(1+$B$87/12)^(-ROUND($B$88*12,0)))))),""))</x:f>
        <x:v>0</x:v>
      </x:c>
      <x:c r="L517" s="440" t="n">
        <x:f>IF(ISNUMBER(K517),IF(MAX(0,J517*(1+SUM($B$87)/12)-K517)&lt;MAX(0.0000001,$B$86*0.00000000001),0,MAX(0,J517*(1+SUM($B$87)/12)-K517)),"")</x:f>
        <x:v>0</x:v>
      </x:c>
      <x:c r="M517" s="440" t="n">
        <x:f>IF(AND(ISNUMBER(D517),ISNUMBER(K517)),D517+K517,"")</x:f>
        <x:v>4679.450723240598</x:v>
      </x:c>
      <x:c r="N517" s="440" t="n">
        <x:f>IF(AND(ISNUMBER(H517),ISNUMBER(L517)),H517+L517,"")</x:f>
        <x:v>644200.071097318</x:v>
      </x:c>
    </x:row>
    <x:row r="518" ht="22" customHeight="1">
      <x:c r="A518" s="254" t="n">
        <x:f>118</x:f>
        <x:v>118</x:v>
      </x:c>
      <x:c r="B518" s="440" t="n">
        <x:f>IF(ISNUMBER(H517),H517,"")</x:f>
        <x:v>644200.071097318</x:v>
      </x:c>
      <x:c r="C518" s="442" t="n">
        <x:f>IF(ISNUMBER(B518),IF(AND(118&gt;$B$173,$B$78="Refinance",ISNUMBER($B$80),$B$80&gt;=0,$B$80&lt;=1,ROUND($B$81*12,0)&gt;=1,$B$81&lt;=100,SUM($B$82)&gt;=0,SUM($B$82)&lt;=1,SUM($B$83)&gt;=0),$B$80,IF(AND($B$175&gt;0,118&gt;$B$175,ISNUMBER($B$75)),$B$75,$B$61)),"")</x:f>
        <x:v>0.0625</x:v>
      </x:c>
      <x:c r="D518" s="440" t="n">
        <x:f>IF(AND(ISNUMBER(B518),B518=0),0,IF(AND($B$171=1,I517=0,ISNUMBER(C518),ISNUMBER(IF(AND(118&lt;=$B$174,118&lt;=$B$173),B518*C518/12,IF(AND(118=$B$173+1,AND(118&gt;$B$173,$B$78="Refinance",ISNUMBER($B$80),$B$80&gt;=0,$B$80&lt;=1,ROUND($B$81*12,0)&gt;=1,$B$81&lt;=100,SUM($B$82)&gt;=0,SUM($B$82)&lt;=1,SUM($B$83)&gt;=0)),IF(B518=0,0,IF(C518=0,B518/ROUND($B$81*12,0),B518*(C518/12)/(1-(1+C518/12)^(-ROUND($B$81*12,0))))),IF(AND(NOT(AND(118&gt;$B$173,$B$78="Refinance",ISNUMBER($B$80),$B$80&gt;=0,$B$80&lt;=1,ROUND($B$81*12,0)&gt;=1,$B$81&lt;=100,SUM($B$82)&gt;=0,SUM($B$82)&lt;=1,SUM($B$83)&gt;=0)),OR(118=1,118=$B$174+1,AND($B$175&gt;0,118=$B$175+1))),IF(AND($B$170=1,$B$66&gt;0,OR($B$175=0,118&lt;=$B$175)),$B$66,IF($B$172-MAX(118-1,$B$174)&gt;0,IF(B518=0,0,IF(C518=0,B518/($B$172-MAX(118-1,$B$174)),B518*(C518/12)/(1-(1+C518/12)^(-($B$172-MAX(118-1,$B$174)))))),"")),D517))))),IF(IF(AND(118&lt;=$B$174,118&lt;=$B$173),B518*C518/12,IF(AND(118=$B$173+1,AND(118&gt;$B$173,$B$78="Refinance",ISNUMBER($B$80),$B$80&gt;=0,$B$80&lt;=1,ROUND($B$81*12,0)&gt;=1,$B$81&lt;=100,SUM($B$82)&gt;=0,SUM($B$82)&lt;=1,SUM($B$83)&gt;=0)),IF(B518=0,0,IF(C518=0,B518/ROUND($B$81*12,0),B518*(C518/12)/(1-(1+C518/12)^(-ROUND($B$81*12,0))))),IF(AND(NOT(AND(118&gt;$B$173,$B$78="Refinance",ISNUMBER($B$80),$B$80&gt;=0,$B$80&lt;=1,ROUND($B$81*12,0)&gt;=1,$B$81&lt;=100,SUM($B$82)&gt;=0,SUM($B$82)&lt;=1,SUM($B$83)&gt;=0)),OR(118=1,118=$B$174+1,AND($B$175&gt;0,118=$B$175+1))),IF(AND($B$170=1,$B$66&gt;0,OR($B$175=0,118&lt;=$B$175)),$B$66,IF($B$172-MAX(118-1,$B$174)&gt;0,IF(B518=0,0,IF(C518=0,B518/($B$172-MAX(118-1,$B$174)),B518*(C518/12)/(1-(1+C518/12)^(-($B$172-MAX(118-1,$B$174)))))),"")),D517)))+0.0000001&gt;=B518*C518/12,MIN(B518*(1+C518/12),IF(AND(118&lt;=$B$174,118&lt;=$B$173),B518*C518/12,IF(AND(118=$B$173+1,AND(118&gt;$B$173,$B$78="Refinance",ISNUMBER($B$80),$B$80&gt;=0,$B$80&lt;=1,ROUND($B$81*12,0)&gt;=1,$B$81&lt;=100,SUM($B$82)&gt;=0,SUM($B$82)&lt;=1,SUM($B$83)&gt;=0)),IF(B518=0,0,IF(C518=0,B518/ROUND($B$81*12,0),B518*(C518/12)/(1-(1+C518/12)^(-ROUND($B$81*12,0))))),IF(AND(NOT(AND(118&gt;$B$173,$B$78="Refinance",ISNUMBER($B$80),$B$80&gt;=0,$B$80&lt;=1,ROUND($B$81*12,0)&gt;=1,$B$81&lt;=100,SUM($B$82)&gt;=0,SUM($B$82)&lt;=1,SUM($B$83)&gt;=0)),OR(118=1,118=$B$174+1,AND($B$175&gt;0,118=$B$175+1))),IF(AND($B$170=1,$B$66&gt;0,OR($B$175=0,118&lt;=$B$175)),$B$66,IF($B$172-MAX(118-1,$B$174)&gt;0,IF(B518=0,0,IF(C518=0,B518/($B$172-MAX(118-1,$B$174)),B518*(C518/12)/(1-(1+C518/12)^(-($B$172-MAX(118-1,$B$174)))))),"")),D517)))),""),""))</x:f>
        <x:v>4679.450723240598</x:v>
      </x:c>
      <x:c r="E518" s="440" t="n">
        <x:f>IF(AND(118=$B$173,ISNUMBER(D518)),IF(MAX(0,B518*(1+C518/12)-D518)&lt;MAX(0.0000001,$E$17*0.00000000001),0,MAX(0,B518*(1+C518/12)-D518)),0)</x:f>
        <x:v>0</x:v>
      </x:c>
      <x:c r="F518" s="440" t="n">
        <x:f>IF($B$78="Cash payoff",E518,0)</x:f>
        <x:v>0</x:v>
      </x:c>
      <x:c r="G518" s="440" t="n">
        <x:f>IF(AND(E518&gt;0,AND($B$78="Refinance",ISNUMBER($B$80),$B$80&gt;=0,$B$80&lt;=1,ROUND($B$81*12,0)&gt;=1,$B$81&lt;=100,SUM($B$82)&gt;=0,SUM($B$82)&lt;=1,SUM($B$83)&gt;=0)),E518*SUM($B$82)+SUM($B$83),0)</x:f>
        <x:v>0</x:v>
      </x:c>
      <x:c r="H518" s="440" t="n">
        <x:f>IF(ISNUMBER(D518),IF(MAX(0,B518*(1+C518/12)-D518-F518)&lt;MAX(0.0000001,$E$17*0.00000000001),0,MAX(0,B518*(1+C518/12)-D518-F518)),IF(AND($B$171=1,I517=1),B518,""))</x:f>
        <x:v>642875.8290777091</x:v>
      </x:c>
      <x:c r="I518" s="444" t="n">
        <x:f>IF(OR(I517=1,AND(E518&gt;0,$B$78&lt;&gt;"Cash payoff",NOT(AND($B$78="Refinance",ISNUMBER($B$80),$B$80&gt;=0,$B$80&lt;=1,ROUND($B$81*12,0)&gt;=1,$B$81&lt;=100,SUM($B$82)&gt;=0,SUM($B$82)&lt;=1,SUM($B$83)&gt;=0))),AND(ISNUMBER(B518),B518&gt;0,$B$171=1,NOT(ISNUMBER(D518)))),1,0)</x:f>
        <x:v>0</x:v>
      </x:c>
      <x:c r="J518" s="440" t="n">
        <x:f>IF(ISNUMBER(L517),L517,"")</x:f>
        <x:v>0</x:v>
      </x:c>
      <x:c r="K518" s="440" t="n">
        <x:f>IF(AND(ISNUMBER(J518),J518=0),0,IF(AND($B$176=1,ISNUMBER(J518)),MIN(J518*(1+$B$87/12),IF($B$86=0,0,IF($B$87=0,$B$86/ROUND($B$88*12,0),$B$86*($B$87/12)/(1-(1+$B$87/12)^(-ROUND($B$88*12,0)))))),""))</x:f>
        <x:v>0</x:v>
      </x:c>
      <x:c r="L518" s="440" t="n">
        <x:f>IF(ISNUMBER(K518),IF(MAX(0,J518*(1+SUM($B$87)/12)-K518)&lt;MAX(0.0000001,$B$86*0.00000000001),0,MAX(0,J518*(1+SUM($B$87)/12)-K518)),"")</x:f>
        <x:v>0</x:v>
      </x:c>
      <x:c r="M518" s="440" t="n">
        <x:f>IF(AND(ISNUMBER(D518),ISNUMBER(K518)),D518+K518,"")</x:f>
        <x:v>4679.450723240598</x:v>
      </x:c>
      <x:c r="N518" s="440" t="n">
        <x:f>IF(AND(ISNUMBER(H518),ISNUMBER(L518)),H518+L518,"")</x:f>
        <x:v>642875.8290777091</x:v>
      </x:c>
    </x:row>
    <x:row r="519" ht="22" customHeight="1">
      <x:c r="A519" s="254" t="n">
        <x:f>119</x:f>
        <x:v>119</x:v>
      </x:c>
      <x:c r="B519" s="440" t="n">
        <x:f>IF(ISNUMBER(H518),H518,"")</x:f>
        <x:v>642875.8290777091</x:v>
      </x:c>
      <x:c r="C519" s="442" t="n">
        <x:f>IF(ISNUMBER(B519),IF(AND(119&gt;$B$173,$B$78="Refinance",ISNUMBER($B$80),$B$80&gt;=0,$B$80&lt;=1,ROUND($B$81*12,0)&gt;=1,$B$81&lt;=100,SUM($B$82)&gt;=0,SUM($B$82)&lt;=1,SUM($B$83)&gt;=0),$B$80,IF(AND($B$175&gt;0,119&gt;$B$175,ISNUMBER($B$75)),$B$75,$B$61)),"")</x:f>
        <x:v>0.0625</x:v>
      </x:c>
      <x:c r="D519" s="440" t="n">
        <x:f>IF(AND(ISNUMBER(B519),B519=0),0,IF(AND($B$171=1,I518=0,ISNUMBER(C519),ISNUMBER(IF(AND(119&lt;=$B$174,119&lt;=$B$173),B519*C519/12,IF(AND(119=$B$173+1,AND(119&gt;$B$173,$B$78="Refinance",ISNUMBER($B$80),$B$80&gt;=0,$B$80&lt;=1,ROUND($B$81*12,0)&gt;=1,$B$81&lt;=100,SUM($B$82)&gt;=0,SUM($B$82)&lt;=1,SUM($B$83)&gt;=0)),IF(B519=0,0,IF(C519=0,B519/ROUND($B$81*12,0),B519*(C519/12)/(1-(1+C519/12)^(-ROUND($B$81*12,0))))),IF(AND(NOT(AND(119&gt;$B$173,$B$78="Refinance",ISNUMBER($B$80),$B$80&gt;=0,$B$80&lt;=1,ROUND($B$81*12,0)&gt;=1,$B$81&lt;=100,SUM($B$82)&gt;=0,SUM($B$82)&lt;=1,SUM($B$83)&gt;=0)),OR(119=1,119=$B$174+1,AND($B$175&gt;0,119=$B$175+1))),IF(AND($B$170=1,$B$66&gt;0,OR($B$175=0,119&lt;=$B$175)),$B$66,IF($B$172-MAX(119-1,$B$174)&gt;0,IF(B519=0,0,IF(C519=0,B519/($B$172-MAX(119-1,$B$174)),B519*(C519/12)/(1-(1+C519/12)^(-($B$172-MAX(119-1,$B$174)))))),"")),D518))))),IF(IF(AND(119&lt;=$B$174,119&lt;=$B$173),B519*C519/12,IF(AND(119=$B$173+1,AND(119&gt;$B$173,$B$78="Refinance",ISNUMBER($B$80),$B$80&gt;=0,$B$80&lt;=1,ROUND($B$81*12,0)&gt;=1,$B$81&lt;=100,SUM($B$82)&gt;=0,SUM($B$82)&lt;=1,SUM($B$83)&gt;=0)),IF(B519=0,0,IF(C519=0,B519/ROUND($B$81*12,0),B519*(C519/12)/(1-(1+C519/12)^(-ROUND($B$81*12,0))))),IF(AND(NOT(AND(119&gt;$B$173,$B$78="Refinance",ISNUMBER($B$80),$B$80&gt;=0,$B$80&lt;=1,ROUND($B$81*12,0)&gt;=1,$B$81&lt;=100,SUM($B$82)&gt;=0,SUM($B$82)&lt;=1,SUM($B$83)&gt;=0)),OR(119=1,119=$B$174+1,AND($B$175&gt;0,119=$B$175+1))),IF(AND($B$170=1,$B$66&gt;0,OR($B$175=0,119&lt;=$B$175)),$B$66,IF($B$172-MAX(119-1,$B$174)&gt;0,IF(B519=0,0,IF(C519=0,B519/($B$172-MAX(119-1,$B$174)),B519*(C519/12)/(1-(1+C519/12)^(-($B$172-MAX(119-1,$B$174)))))),"")),D518)))+0.0000001&gt;=B519*C519/12,MIN(B519*(1+C519/12),IF(AND(119&lt;=$B$174,119&lt;=$B$173),B519*C519/12,IF(AND(119=$B$173+1,AND(119&gt;$B$173,$B$78="Refinance",ISNUMBER($B$80),$B$80&gt;=0,$B$80&lt;=1,ROUND($B$81*12,0)&gt;=1,$B$81&lt;=100,SUM($B$82)&gt;=0,SUM($B$82)&lt;=1,SUM($B$83)&gt;=0)),IF(B519=0,0,IF(C519=0,B519/ROUND($B$81*12,0),B519*(C519/12)/(1-(1+C519/12)^(-ROUND($B$81*12,0))))),IF(AND(NOT(AND(119&gt;$B$173,$B$78="Refinance",ISNUMBER($B$80),$B$80&gt;=0,$B$80&lt;=1,ROUND($B$81*12,0)&gt;=1,$B$81&lt;=100,SUM($B$82)&gt;=0,SUM($B$82)&lt;=1,SUM($B$83)&gt;=0)),OR(119=1,119=$B$174+1,AND($B$175&gt;0,119=$B$175+1))),IF(AND($B$170=1,$B$66&gt;0,OR($B$175=0,119&lt;=$B$175)),$B$66,IF($B$172-MAX(119-1,$B$174)&gt;0,IF(B519=0,0,IF(C519=0,B519/($B$172-MAX(119-1,$B$174)),B519*(C519/12)/(1-(1+C519/12)^(-($B$172-MAX(119-1,$B$174)))))),"")),D518)))),""),""))</x:f>
        <x:v>4679.450723240598</x:v>
      </x:c>
      <x:c r="E519" s="440" t="n">
        <x:f>IF(AND(119=$B$173,ISNUMBER(D519)),IF(MAX(0,B519*(1+C519/12)-D519)&lt;MAX(0.0000001,$E$17*0.00000000001),0,MAX(0,B519*(1+C519/12)-D519)),0)</x:f>
        <x:v>0</x:v>
      </x:c>
      <x:c r="F519" s="440" t="n">
        <x:f>IF($B$78="Cash payoff",E519,0)</x:f>
        <x:v>0</x:v>
      </x:c>
      <x:c r="G519" s="440" t="n">
        <x:f>IF(AND(E519&gt;0,AND($B$78="Refinance",ISNUMBER($B$80),$B$80&gt;=0,$B$80&lt;=1,ROUND($B$81*12,0)&gt;=1,$B$81&lt;=100,SUM($B$82)&gt;=0,SUM($B$82)&lt;=1,SUM($B$83)&gt;=0)),E519*SUM($B$82)+SUM($B$83),0)</x:f>
        <x:v>0</x:v>
      </x:c>
      <x:c r="H519" s="440" t="n">
        <x:f>IF(ISNUMBER(D519),IF(MAX(0,B519*(1+C519/12)-D519-F519)&lt;MAX(0.0000001,$E$17*0.00000000001),0,MAX(0,B519*(1+C519/12)-D519-F519)),IF(AND($B$171=1,I518=1),B519,""))</x:f>
        <x:v>641544.6899642482</x:v>
      </x:c>
      <x:c r="I519" s="444" t="n">
        <x:f>IF(OR(I518=1,AND(E519&gt;0,$B$78&lt;&gt;"Cash payoff",NOT(AND($B$78="Refinance",ISNUMBER($B$80),$B$80&gt;=0,$B$80&lt;=1,ROUND($B$81*12,0)&gt;=1,$B$81&lt;=100,SUM($B$82)&gt;=0,SUM($B$82)&lt;=1,SUM($B$83)&gt;=0))),AND(ISNUMBER(B519),B519&gt;0,$B$171=1,NOT(ISNUMBER(D519)))),1,0)</x:f>
        <x:v>0</x:v>
      </x:c>
      <x:c r="J519" s="440" t="n">
        <x:f>IF(ISNUMBER(L518),L518,"")</x:f>
        <x:v>0</x:v>
      </x:c>
      <x:c r="K519" s="440" t="n">
        <x:f>IF(AND(ISNUMBER(J519),J519=0),0,IF(AND($B$176=1,ISNUMBER(J519)),MIN(J519*(1+$B$87/12),IF($B$86=0,0,IF($B$87=0,$B$86/ROUND($B$88*12,0),$B$86*($B$87/12)/(1-(1+$B$87/12)^(-ROUND($B$88*12,0)))))),""))</x:f>
        <x:v>0</x:v>
      </x:c>
      <x:c r="L519" s="440" t="n">
        <x:f>IF(ISNUMBER(K519),IF(MAX(0,J519*(1+SUM($B$87)/12)-K519)&lt;MAX(0.0000001,$B$86*0.00000000001),0,MAX(0,J519*(1+SUM($B$87)/12)-K519)),"")</x:f>
        <x:v>0</x:v>
      </x:c>
      <x:c r="M519" s="440" t="n">
        <x:f>IF(AND(ISNUMBER(D519),ISNUMBER(K519)),D519+K519,"")</x:f>
        <x:v>4679.450723240598</x:v>
      </x:c>
      <x:c r="N519" s="440" t="n">
        <x:f>IF(AND(ISNUMBER(H519),ISNUMBER(L519)),H519+L519,"")</x:f>
        <x:v>641544.6899642482</x:v>
      </x:c>
    </x:row>
    <x:row r="520" ht="22" customHeight="1">
      <x:c r="A520" s="254" t="n">
        <x:f>120</x:f>
        <x:v>120</x:v>
      </x:c>
      <x:c r="B520" s="440" t="n">
        <x:f>IF(ISNUMBER(H519),H519,"")</x:f>
        <x:v>641544.6899642482</x:v>
      </x:c>
      <x:c r="C520" s="442" t="n">
        <x:f>IF(ISNUMBER(B520),IF(AND(120&gt;$B$173,$B$78="Refinance",ISNUMBER($B$80),$B$80&gt;=0,$B$80&lt;=1,ROUND($B$81*12,0)&gt;=1,$B$81&lt;=100,SUM($B$82)&gt;=0,SUM($B$82)&lt;=1,SUM($B$83)&gt;=0),$B$80,IF(AND($B$175&gt;0,120&gt;$B$175,ISNUMBER($B$75)),$B$75,$B$61)),"")</x:f>
        <x:v>0.0625</x:v>
      </x:c>
      <x:c r="D520" s="440" t="n">
        <x:f>IF(AND(ISNUMBER(B520),B520=0),0,IF(AND($B$171=1,I519=0,ISNUMBER(C520),ISNUMBER(IF(AND(120&lt;=$B$174,120&lt;=$B$173),B520*C520/12,IF(AND(120=$B$173+1,AND(120&gt;$B$173,$B$78="Refinance",ISNUMBER($B$80),$B$80&gt;=0,$B$80&lt;=1,ROUND($B$81*12,0)&gt;=1,$B$81&lt;=100,SUM($B$82)&gt;=0,SUM($B$82)&lt;=1,SUM($B$83)&gt;=0)),IF(B520=0,0,IF(C520=0,B520/ROUND($B$81*12,0),B520*(C520/12)/(1-(1+C520/12)^(-ROUND($B$81*12,0))))),IF(AND(NOT(AND(120&gt;$B$173,$B$78="Refinance",ISNUMBER($B$80),$B$80&gt;=0,$B$80&lt;=1,ROUND($B$81*12,0)&gt;=1,$B$81&lt;=100,SUM($B$82)&gt;=0,SUM($B$82)&lt;=1,SUM($B$83)&gt;=0)),OR(120=1,120=$B$174+1,AND($B$175&gt;0,120=$B$175+1))),IF(AND($B$170=1,$B$66&gt;0,OR($B$175=0,120&lt;=$B$175)),$B$66,IF($B$172-MAX(120-1,$B$174)&gt;0,IF(B520=0,0,IF(C520=0,B520/($B$172-MAX(120-1,$B$174)),B520*(C520/12)/(1-(1+C520/12)^(-($B$172-MAX(120-1,$B$174)))))),"")),D519))))),IF(IF(AND(120&lt;=$B$174,120&lt;=$B$173),B520*C520/12,IF(AND(120=$B$173+1,AND(120&gt;$B$173,$B$78="Refinance",ISNUMBER($B$80),$B$80&gt;=0,$B$80&lt;=1,ROUND($B$81*12,0)&gt;=1,$B$81&lt;=100,SUM($B$82)&gt;=0,SUM($B$82)&lt;=1,SUM($B$83)&gt;=0)),IF(B520=0,0,IF(C520=0,B520/ROUND($B$81*12,0),B520*(C520/12)/(1-(1+C520/12)^(-ROUND($B$81*12,0))))),IF(AND(NOT(AND(120&gt;$B$173,$B$78="Refinance",ISNUMBER($B$80),$B$80&gt;=0,$B$80&lt;=1,ROUND($B$81*12,0)&gt;=1,$B$81&lt;=100,SUM($B$82)&gt;=0,SUM($B$82)&lt;=1,SUM($B$83)&gt;=0)),OR(120=1,120=$B$174+1,AND($B$175&gt;0,120=$B$175+1))),IF(AND($B$170=1,$B$66&gt;0,OR($B$175=0,120&lt;=$B$175)),$B$66,IF($B$172-MAX(120-1,$B$174)&gt;0,IF(B520=0,0,IF(C520=0,B520/($B$172-MAX(120-1,$B$174)),B520*(C520/12)/(1-(1+C520/12)^(-($B$172-MAX(120-1,$B$174)))))),"")),D519)))+0.0000001&gt;=B520*C520/12,MIN(B520*(1+C520/12),IF(AND(120&lt;=$B$174,120&lt;=$B$173),B520*C520/12,IF(AND(120=$B$173+1,AND(120&gt;$B$173,$B$78="Refinance",ISNUMBER($B$80),$B$80&gt;=0,$B$80&lt;=1,ROUND($B$81*12,0)&gt;=1,$B$81&lt;=100,SUM($B$82)&gt;=0,SUM($B$82)&lt;=1,SUM($B$83)&gt;=0)),IF(B520=0,0,IF(C520=0,B520/ROUND($B$81*12,0),B520*(C520/12)/(1-(1+C520/12)^(-ROUND($B$81*12,0))))),IF(AND(NOT(AND(120&gt;$B$173,$B$78="Refinance",ISNUMBER($B$80),$B$80&gt;=0,$B$80&lt;=1,ROUND($B$81*12,0)&gt;=1,$B$81&lt;=100,SUM($B$82)&gt;=0,SUM($B$82)&lt;=1,SUM($B$83)&gt;=0)),OR(120=1,120=$B$174+1,AND($B$175&gt;0,120=$B$175+1))),IF(AND($B$170=1,$B$66&gt;0,OR($B$175=0,120&lt;=$B$175)),$B$66,IF($B$172-MAX(120-1,$B$174)&gt;0,IF(B520=0,0,IF(C520=0,B520/($B$172-MAX(120-1,$B$174)),B520*(C520/12)/(1-(1+C520/12)^(-($B$172-MAX(120-1,$B$174)))))),"")),D519)))),""),""))</x:f>
        <x:v>4679.450723240598</x:v>
      </x:c>
      <x:c r="E520" s="440" t="n">
        <x:f>IF(AND(120=$B$173,ISNUMBER(D520)),IF(MAX(0,B520*(1+C520/12)-D520)&lt;MAX(0.0000001,$E$17*0.00000000001),0,MAX(0,B520*(1+C520/12)-D520)),0)</x:f>
        <x:v>0</x:v>
      </x:c>
      <x:c r="F520" s="440" t="n">
        <x:f>IF($B$78="Cash payoff",E520,0)</x:f>
        <x:v>0</x:v>
      </x:c>
      <x:c r="G520" s="440" t="n">
        <x:f>IF(AND(E520&gt;0,AND($B$78="Refinance",ISNUMBER($B$80),$B$80&gt;=0,$B$80&lt;=1,ROUND($B$81*12,0)&gt;=1,$B$81&lt;=100,SUM($B$82)&gt;=0,SUM($B$82)&lt;=1,SUM($B$83)&gt;=0)),E520*SUM($B$82)+SUM($B$83),0)</x:f>
        <x:v>0</x:v>
      </x:c>
      <x:c r="H520" s="440" t="n">
        <x:f>IF(ISNUMBER(D520),IF(MAX(0,B520*(1+C520/12)-D520-F520)&lt;MAX(0.0000001,$E$17*0.00000000001),0,MAX(0,B520*(1+C520/12)-D520-F520)),IF(AND($B$171=1,I519=1),B520,""))</x:f>
        <x:v>640206.6178345714</x:v>
      </x:c>
      <x:c r="I520" s="444" t="n">
        <x:f>IF(OR(I519=1,AND(E520&gt;0,$B$78&lt;&gt;"Cash payoff",NOT(AND($B$78="Refinance",ISNUMBER($B$80),$B$80&gt;=0,$B$80&lt;=1,ROUND($B$81*12,0)&gt;=1,$B$81&lt;=100,SUM($B$82)&gt;=0,SUM($B$82)&lt;=1,SUM($B$83)&gt;=0))),AND(ISNUMBER(B520),B520&gt;0,$B$171=1,NOT(ISNUMBER(D520)))),1,0)</x:f>
        <x:v>0</x:v>
      </x:c>
      <x:c r="J520" s="440" t="n">
        <x:f>IF(ISNUMBER(L519),L519,"")</x:f>
        <x:v>0</x:v>
      </x:c>
      <x:c r="K520" s="440" t="n">
        <x:f>IF(AND(ISNUMBER(J520),J520=0),0,IF(AND($B$176=1,ISNUMBER(J520)),MIN(J520*(1+$B$87/12),IF($B$86=0,0,IF($B$87=0,$B$86/ROUND($B$88*12,0),$B$86*($B$87/12)/(1-(1+$B$87/12)^(-ROUND($B$88*12,0)))))),""))</x:f>
        <x:v>0</x:v>
      </x:c>
      <x:c r="L520" s="440" t="n">
        <x:f>IF(ISNUMBER(K520),IF(MAX(0,J520*(1+SUM($B$87)/12)-K520)&lt;MAX(0.0000001,$B$86*0.00000000001),0,MAX(0,J520*(1+SUM($B$87)/12)-K520)),"")</x:f>
        <x:v>0</x:v>
      </x:c>
      <x:c r="M520" s="440" t="n">
        <x:f>IF(AND(ISNUMBER(D520),ISNUMBER(K520)),D520+K520,"")</x:f>
        <x:v>4679.450723240598</x:v>
      </x:c>
      <x:c r="N520" s="440" t="n">
        <x:f>IF(AND(ISNUMBER(H520),ISNUMBER(L520)),H520+L520,"")</x:f>
        <x:v>640206.6178345714</x:v>
      </x:c>
    </x:row>
    <x:row r="521" ht="22" customHeight="1">
      <x:c r="A521" s="254" t="n">
        <x:f>121</x:f>
        <x:v>121</x:v>
      </x:c>
      <x:c r="B521" s="440" t="n">
        <x:f>IF(ISNUMBER(H520),H520,"")</x:f>
        <x:v>640206.6178345714</x:v>
      </x:c>
      <x:c r="C521" s="442" t="n">
        <x:f>IF(ISNUMBER(B521),IF(AND(121&gt;$B$173,$B$78="Refinance",ISNUMBER($B$80),$B$80&gt;=0,$B$80&lt;=1,ROUND($B$81*12,0)&gt;=1,$B$81&lt;=100,SUM($B$82)&gt;=0,SUM($B$82)&lt;=1,SUM($B$83)&gt;=0),$B$80,IF(AND($B$175&gt;0,121&gt;$B$175,ISNUMBER($B$75)),$B$75,$B$61)),"")</x:f>
        <x:v>0.0625</x:v>
      </x:c>
      <x:c r="D521" s="440" t="n">
        <x:f>IF(AND(ISNUMBER(B521),B521=0),0,IF(AND($B$171=1,I520=0,ISNUMBER(C521),ISNUMBER(IF(AND(121&lt;=$B$174,121&lt;=$B$173),B521*C521/12,IF(AND(121=$B$173+1,AND(121&gt;$B$173,$B$78="Refinance",ISNUMBER($B$80),$B$80&gt;=0,$B$80&lt;=1,ROUND($B$81*12,0)&gt;=1,$B$81&lt;=100,SUM($B$82)&gt;=0,SUM($B$82)&lt;=1,SUM($B$83)&gt;=0)),IF(B521=0,0,IF(C521=0,B521/ROUND($B$81*12,0),B521*(C521/12)/(1-(1+C521/12)^(-ROUND($B$81*12,0))))),IF(AND(NOT(AND(121&gt;$B$173,$B$78="Refinance",ISNUMBER($B$80),$B$80&gt;=0,$B$80&lt;=1,ROUND($B$81*12,0)&gt;=1,$B$81&lt;=100,SUM($B$82)&gt;=0,SUM($B$82)&lt;=1,SUM($B$83)&gt;=0)),OR(121=1,121=$B$174+1,AND($B$175&gt;0,121=$B$175+1))),IF(AND($B$170=1,$B$66&gt;0,OR($B$175=0,121&lt;=$B$175)),$B$66,IF($B$172-MAX(121-1,$B$174)&gt;0,IF(B521=0,0,IF(C521=0,B521/($B$172-MAX(121-1,$B$174)),B521*(C521/12)/(1-(1+C521/12)^(-($B$172-MAX(121-1,$B$174)))))),"")),D520))))),IF(IF(AND(121&lt;=$B$174,121&lt;=$B$173),B521*C521/12,IF(AND(121=$B$173+1,AND(121&gt;$B$173,$B$78="Refinance",ISNUMBER($B$80),$B$80&gt;=0,$B$80&lt;=1,ROUND($B$81*12,0)&gt;=1,$B$81&lt;=100,SUM($B$82)&gt;=0,SUM($B$82)&lt;=1,SUM($B$83)&gt;=0)),IF(B521=0,0,IF(C521=0,B521/ROUND($B$81*12,0),B521*(C521/12)/(1-(1+C521/12)^(-ROUND($B$81*12,0))))),IF(AND(NOT(AND(121&gt;$B$173,$B$78="Refinance",ISNUMBER($B$80),$B$80&gt;=0,$B$80&lt;=1,ROUND($B$81*12,0)&gt;=1,$B$81&lt;=100,SUM($B$82)&gt;=0,SUM($B$82)&lt;=1,SUM($B$83)&gt;=0)),OR(121=1,121=$B$174+1,AND($B$175&gt;0,121=$B$175+1))),IF(AND($B$170=1,$B$66&gt;0,OR($B$175=0,121&lt;=$B$175)),$B$66,IF($B$172-MAX(121-1,$B$174)&gt;0,IF(B521=0,0,IF(C521=0,B521/($B$172-MAX(121-1,$B$174)),B521*(C521/12)/(1-(1+C521/12)^(-($B$172-MAX(121-1,$B$174)))))),"")),D520)))+0.0000001&gt;=B521*C521/12,MIN(B521*(1+C521/12),IF(AND(121&lt;=$B$174,121&lt;=$B$173),B521*C521/12,IF(AND(121=$B$173+1,AND(121&gt;$B$173,$B$78="Refinance",ISNUMBER($B$80),$B$80&gt;=0,$B$80&lt;=1,ROUND($B$81*12,0)&gt;=1,$B$81&lt;=100,SUM($B$82)&gt;=0,SUM($B$82)&lt;=1,SUM($B$83)&gt;=0)),IF(B521=0,0,IF(C521=0,B521/ROUND($B$81*12,0),B521*(C521/12)/(1-(1+C521/12)^(-ROUND($B$81*12,0))))),IF(AND(NOT(AND(121&gt;$B$173,$B$78="Refinance",ISNUMBER($B$80),$B$80&gt;=0,$B$80&lt;=1,ROUND($B$81*12,0)&gt;=1,$B$81&lt;=100,SUM($B$82)&gt;=0,SUM($B$82)&lt;=1,SUM($B$83)&gt;=0)),OR(121=1,121=$B$174+1,AND($B$175&gt;0,121=$B$175+1))),IF(AND($B$170=1,$B$66&gt;0,OR($B$175=0,121&lt;=$B$175)),$B$66,IF($B$172-MAX(121-1,$B$174)&gt;0,IF(B521=0,0,IF(C521=0,B521/($B$172-MAX(121-1,$B$174)),B521*(C521/12)/(1-(1+C521/12)^(-($B$172-MAX(121-1,$B$174)))))),"")),D520)))),""),""))</x:f>
        <x:v>4679.450723240598</x:v>
      </x:c>
      <x:c r="E521" s="440" t="n">
        <x:f>IF(AND(121=$B$173,ISNUMBER(D521)),IF(MAX(0,B521*(1+C521/12)-D521)&lt;MAX(0.0000001,$E$17*0.00000000001),0,MAX(0,B521*(1+C521/12)-D521)),0)</x:f>
        <x:v>0</x:v>
      </x:c>
      <x:c r="F521" s="440" t="n">
        <x:f>IF($B$78="Cash payoff",E521,0)</x:f>
        <x:v>0</x:v>
      </x:c>
      <x:c r="G521" s="440" t="n">
        <x:f>IF(AND(E521&gt;0,AND($B$78="Refinance",ISNUMBER($B$80),$B$80&gt;=0,$B$80&lt;=1,ROUND($B$81*12,0)&gt;=1,$B$81&lt;=100,SUM($B$82)&gt;=0,SUM($B$82)&lt;=1,SUM($B$83)&gt;=0)),E521*SUM($B$82)+SUM($B$83),0)</x:f>
        <x:v>0</x:v>
      </x:c>
      <x:c r="H521" s="440" t="n">
        <x:f>IF(ISNUMBER(D521),IF(MAX(0,B521*(1+C521/12)-D521-F521)&lt;MAX(0.0000001,$E$17*0.00000000001),0,MAX(0,B521*(1+C521/12)-D521-F521)),IF(AND($B$171=1,I520=1),B521,""))</x:f>
        <x:v>638861.5765792191</x:v>
      </x:c>
      <x:c r="I521" s="444" t="n">
        <x:f>IF(OR(I520=1,AND(E521&gt;0,$B$78&lt;&gt;"Cash payoff",NOT(AND($B$78="Refinance",ISNUMBER($B$80),$B$80&gt;=0,$B$80&lt;=1,ROUND($B$81*12,0)&gt;=1,$B$81&lt;=100,SUM($B$82)&gt;=0,SUM($B$82)&lt;=1,SUM($B$83)&gt;=0))),AND(ISNUMBER(B521),B521&gt;0,$B$171=1,NOT(ISNUMBER(D521)))),1,0)</x:f>
        <x:v>0</x:v>
      </x:c>
      <x:c r="J521" s="440" t="n">
        <x:f>IF(ISNUMBER(L520),L520,"")</x:f>
        <x:v>0</x:v>
      </x:c>
      <x:c r="K521" s="440" t="n">
        <x:f>IF(AND(ISNUMBER(J521),J521=0),0,IF(AND($B$176=1,ISNUMBER(J521)),MIN(J521*(1+$B$87/12),IF($B$86=0,0,IF($B$87=0,$B$86/ROUND($B$88*12,0),$B$86*($B$87/12)/(1-(1+$B$87/12)^(-ROUND($B$88*12,0)))))),""))</x:f>
        <x:v>0</x:v>
      </x:c>
      <x:c r="L521" s="440" t="n">
        <x:f>IF(ISNUMBER(K521),IF(MAX(0,J521*(1+SUM($B$87)/12)-K521)&lt;MAX(0.0000001,$B$86*0.00000000001),0,MAX(0,J521*(1+SUM($B$87)/12)-K521)),"")</x:f>
        <x:v>0</x:v>
      </x:c>
      <x:c r="M521" s="440" t="n">
        <x:f>IF(AND(ISNUMBER(D521),ISNUMBER(K521)),D521+K521,"")</x:f>
        <x:v>4679.450723240598</x:v>
      </x:c>
      <x:c r="N521" s="440" t="n">
        <x:f>IF(AND(ISNUMBER(H521),ISNUMBER(L521)),H521+L521,"")</x:f>
        <x:v>638861.5765792191</x:v>
      </x:c>
    </x:row>
    <x:row r="522" ht="22" customHeight="1">
      <x:c r="A522" s="254" t="n">
        <x:f>122</x:f>
        <x:v>122</x:v>
      </x:c>
      <x:c r="B522" s="440" t="n">
        <x:f>IF(ISNUMBER(H521),H521,"")</x:f>
        <x:v>638861.5765792191</x:v>
      </x:c>
      <x:c r="C522" s="442" t="n">
        <x:f>IF(ISNUMBER(B522),IF(AND(122&gt;$B$173,$B$78="Refinance",ISNUMBER($B$80),$B$80&gt;=0,$B$80&lt;=1,ROUND($B$81*12,0)&gt;=1,$B$81&lt;=100,SUM($B$82)&gt;=0,SUM($B$82)&lt;=1,SUM($B$83)&gt;=0),$B$80,IF(AND($B$175&gt;0,122&gt;$B$175,ISNUMBER($B$75)),$B$75,$B$61)),"")</x:f>
        <x:v>0.0625</x:v>
      </x:c>
      <x:c r="D522" s="440" t="n">
        <x:f>IF(AND(ISNUMBER(B522),B522=0),0,IF(AND($B$171=1,I521=0,ISNUMBER(C522),ISNUMBER(IF(AND(122&lt;=$B$174,122&lt;=$B$173),B522*C522/12,IF(AND(122=$B$173+1,AND(122&gt;$B$173,$B$78="Refinance",ISNUMBER($B$80),$B$80&gt;=0,$B$80&lt;=1,ROUND($B$81*12,0)&gt;=1,$B$81&lt;=100,SUM($B$82)&gt;=0,SUM($B$82)&lt;=1,SUM($B$83)&gt;=0)),IF(B522=0,0,IF(C522=0,B522/ROUND($B$81*12,0),B522*(C522/12)/(1-(1+C522/12)^(-ROUND($B$81*12,0))))),IF(AND(NOT(AND(122&gt;$B$173,$B$78="Refinance",ISNUMBER($B$80),$B$80&gt;=0,$B$80&lt;=1,ROUND($B$81*12,0)&gt;=1,$B$81&lt;=100,SUM($B$82)&gt;=0,SUM($B$82)&lt;=1,SUM($B$83)&gt;=0)),OR(122=1,122=$B$174+1,AND($B$175&gt;0,122=$B$175+1))),IF(AND($B$170=1,$B$66&gt;0,OR($B$175=0,122&lt;=$B$175)),$B$66,IF($B$172-MAX(122-1,$B$174)&gt;0,IF(B522=0,0,IF(C522=0,B522/($B$172-MAX(122-1,$B$174)),B522*(C522/12)/(1-(1+C522/12)^(-($B$172-MAX(122-1,$B$174)))))),"")),D521))))),IF(IF(AND(122&lt;=$B$174,122&lt;=$B$173),B522*C522/12,IF(AND(122=$B$173+1,AND(122&gt;$B$173,$B$78="Refinance",ISNUMBER($B$80),$B$80&gt;=0,$B$80&lt;=1,ROUND($B$81*12,0)&gt;=1,$B$81&lt;=100,SUM($B$82)&gt;=0,SUM($B$82)&lt;=1,SUM($B$83)&gt;=0)),IF(B522=0,0,IF(C522=0,B522/ROUND($B$81*12,0),B522*(C522/12)/(1-(1+C522/12)^(-ROUND($B$81*12,0))))),IF(AND(NOT(AND(122&gt;$B$173,$B$78="Refinance",ISNUMBER($B$80),$B$80&gt;=0,$B$80&lt;=1,ROUND($B$81*12,0)&gt;=1,$B$81&lt;=100,SUM($B$82)&gt;=0,SUM($B$82)&lt;=1,SUM($B$83)&gt;=0)),OR(122=1,122=$B$174+1,AND($B$175&gt;0,122=$B$175+1))),IF(AND($B$170=1,$B$66&gt;0,OR($B$175=0,122&lt;=$B$175)),$B$66,IF($B$172-MAX(122-1,$B$174)&gt;0,IF(B522=0,0,IF(C522=0,B522/($B$172-MAX(122-1,$B$174)),B522*(C522/12)/(1-(1+C522/12)^(-($B$172-MAX(122-1,$B$174)))))),"")),D521)))+0.0000001&gt;=B522*C522/12,MIN(B522*(1+C522/12),IF(AND(122&lt;=$B$174,122&lt;=$B$173),B522*C522/12,IF(AND(122=$B$173+1,AND(122&gt;$B$173,$B$78="Refinance",ISNUMBER($B$80),$B$80&gt;=0,$B$80&lt;=1,ROUND($B$81*12,0)&gt;=1,$B$81&lt;=100,SUM($B$82)&gt;=0,SUM($B$82)&lt;=1,SUM($B$83)&gt;=0)),IF(B522=0,0,IF(C522=0,B522/ROUND($B$81*12,0),B522*(C522/12)/(1-(1+C522/12)^(-ROUND($B$81*12,0))))),IF(AND(NOT(AND(122&gt;$B$173,$B$78="Refinance",ISNUMBER($B$80),$B$80&gt;=0,$B$80&lt;=1,ROUND($B$81*12,0)&gt;=1,$B$81&lt;=100,SUM($B$82)&gt;=0,SUM($B$82)&lt;=1,SUM($B$83)&gt;=0)),OR(122=1,122=$B$174+1,AND($B$175&gt;0,122=$B$175+1))),IF(AND($B$170=1,$B$66&gt;0,OR($B$175=0,122&lt;=$B$175)),$B$66,IF($B$172-MAX(122-1,$B$174)&gt;0,IF(B522=0,0,IF(C522=0,B522/($B$172-MAX(122-1,$B$174)),B522*(C522/12)/(1-(1+C522/12)^(-($B$172-MAX(122-1,$B$174)))))),"")),D521)))),""),""))</x:f>
        <x:v>4679.450723240598</x:v>
      </x:c>
      <x:c r="E522" s="440" t="n">
        <x:f>IF(AND(122=$B$173,ISNUMBER(D522)),IF(MAX(0,B522*(1+C522/12)-D522)&lt;MAX(0.0000001,$E$17*0.00000000001),0,MAX(0,B522*(1+C522/12)-D522)),0)</x:f>
        <x:v>0</x:v>
      </x:c>
      <x:c r="F522" s="440" t="n">
        <x:f>IF($B$78="Cash payoff",E522,0)</x:f>
        <x:v>0</x:v>
      </x:c>
      <x:c r="G522" s="440" t="n">
        <x:f>IF(AND(E522&gt;0,AND($B$78="Refinance",ISNUMBER($B$80),$B$80&gt;=0,$B$80&lt;=1,ROUND($B$81*12,0)&gt;=1,$B$81&lt;=100,SUM($B$82)&gt;=0,SUM($B$82)&lt;=1,SUM($B$83)&gt;=0)),E522*SUM($B$82)+SUM($B$83),0)</x:f>
        <x:v>0</x:v>
      </x:c>
      <x:c r="H522" s="440" t="n">
        <x:f>IF(ISNUMBER(D522),IF(MAX(0,B522*(1+C522/12)-D522-F522)&lt;MAX(0.0000001,$E$17*0.00000000001),0,MAX(0,B522*(1+C522/12)-D522-F522)),IF(AND($B$171=1,I521=1),B522,""))</x:f>
        <x:v>637509.5299006619</x:v>
      </x:c>
      <x:c r="I522" s="444" t="n">
        <x:f>IF(OR(I521=1,AND(E522&gt;0,$B$78&lt;&gt;"Cash payoff",NOT(AND($B$78="Refinance",ISNUMBER($B$80),$B$80&gt;=0,$B$80&lt;=1,ROUND($B$81*12,0)&gt;=1,$B$81&lt;=100,SUM($B$82)&gt;=0,SUM($B$82)&lt;=1,SUM($B$83)&gt;=0))),AND(ISNUMBER(B522),B522&gt;0,$B$171=1,NOT(ISNUMBER(D522)))),1,0)</x:f>
        <x:v>0</x:v>
      </x:c>
      <x:c r="J522" s="440" t="n">
        <x:f>IF(ISNUMBER(L521),L521,"")</x:f>
        <x:v>0</x:v>
      </x:c>
      <x:c r="K522" s="440" t="n">
        <x:f>IF(AND(ISNUMBER(J522),J522=0),0,IF(AND($B$176=1,ISNUMBER(J522)),MIN(J522*(1+$B$87/12),IF($B$86=0,0,IF($B$87=0,$B$86/ROUND($B$88*12,0),$B$86*($B$87/12)/(1-(1+$B$87/12)^(-ROUND($B$88*12,0)))))),""))</x:f>
        <x:v>0</x:v>
      </x:c>
      <x:c r="L522" s="440" t="n">
        <x:f>IF(ISNUMBER(K522),IF(MAX(0,J522*(1+SUM($B$87)/12)-K522)&lt;MAX(0.0000001,$B$86*0.00000000001),0,MAX(0,J522*(1+SUM($B$87)/12)-K522)),"")</x:f>
        <x:v>0</x:v>
      </x:c>
      <x:c r="M522" s="440" t="n">
        <x:f>IF(AND(ISNUMBER(D522),ISNUMBER(K522)),D522+K522,"")</x:f>
        <x:v>4679.450723240598</x:v>
      </x:c>
      <x:c r="N522" s="440" t="n">
        <x:f>IF(AND(ISNUMBER(H522),ISNUMBER(L522)),H522+L522,"")</x:f>
        <x:v>637509.5299006619</x:v>
      </x:c>
    </x:row>
    <x:row r="523" ht="22" customHeight="1">
      <x:c r="A523" s="254" t="n">
        <x:f>123</x:f>
        <x:v>123</x:v>
      </x:c>
      <x:c r="B523" s="440" t="n">
        <x:f>IF(ISNUMBER(H522),H522,"")</x:f>
        <x:v>637509.5299006619</x:v>
      </x:c>
      <x:c r="C523" s="442" t="n">
        <x:f>IF(ISNUMBER(B523),IF(AND(123&gt;$B$173,$B$78="Refinance",ISNUMBER($B$80),$B$80&gt;=0,$B$80&lt;=1,ROUND($B$81*12,0)&gt;=1,$B$81&lt;=100,SUM($B$82)&gt;=0,SUM($B$82)&lt;=1,SUM($B$83)&gt;=0),$B$80,IF(AND($B$175&gt;0,123&gt;$B$175,ISNUMBER($B$75)),$B$75,$B$61)),"")</x:f>
        <x:v>0.0625</x:v>
      </x:c>
      <x:c r="D523" s="440" t="n">
        <x:f>IF(AND(ISNUMBER(B523),B523=0),0,IF(AND($B$171=1,I522=0,ISNUMBER(C523),ISNUMBER(IF(AND(123&lt;=$B$174,123&lt;=$B$173),B523*C523/12,IF(AND(123=$B$173+1,AND(123&gt;$B$173,$B$78="Refinance",ISNUMBER($B$80),$B$80&gt;=0,$B$80&lt;=1,ROUND($B$81*12,0)&gt;=1,$B$81&lt;=100,SUM($B$82)&gt;=0,SUM($B$82)&lt;=1,SUM($B$83)&gt;=0)),IF(B523=0,0,IF(C523=0,B523/ROUND($B$81*12,0),B523*(C523/12)/(1-(1+C523/12)^(-ROUND($B$81*12,0))))),IF(AND(NOT(AND(123&gt;$B$173,$B$78="Refinance",ISNUMBER($B$80),$B$80&gt;=0,$B$80&lt;=1,ROUND($B$81*12,0)&gt;=1,$B$81&lt;=100,SUM($B$82)&gt;=0,SUM($B$82)&lt;=1,SUM($B$83)&gt;=0)),OR(123=1,123=$B$174+1,AND($B$175&gt;0,123=$B$175+1))),IF(AND($B$170=1,$B$66&gt;0,OR($B$175=0,123&lt;=$B$175)),$B$66,IF($B$172-MAX(123-1,$B$174)&gt;0,IF(B523=0,0,IF(C523=0,B523/($B$172-MAX(123-1,$B$174)),B523*(C523/12)/(1-(1+C523/12)^(-($B$172-MAX(123-1,$B$174)))))),"")),D522))))),IF(IF(AND(123&lt;=$B$174,123&lt;=$B$173),B523*C523/12,IF(AND(123=$B$173+1,AND(123&gt;$B$173,$B$78="Refinance",ISNUMBER($B$80),$B$80&gt;=0,$B$80&lt;=1,ROUND($B$81*12,0)&gt;=1,$B$81&lt;=100,SUM($B$82)&gt;=0,SUM($B$82)&lt;=1,SUM($B$83)&gt;=0)),IF(B523=0,0,IF(C523=0,B523/ROUND($B$81*12,0),B523*(C523/12)/(1-(1+C523/12)^(-ROUND($B$81*12,0))))),IF(AND(NOT(AND(123&gt;$B$173,$B$78="Refinance",ISNUMBER($B$80),$B$80&gt;=0,$B$80&lt;=1,ROUND($B$81*12,0)&gt;=1,$B$81&lt;=100,SUM($B$82)&gt;=0,SUM($B$82)&lt;=1,SUM($B$83)&gt;=0)),OR(123=1,123=$B$174+1,AND($B$175&gt;0,123=$B$175+1))),IF(AND($B$170=1,$B$66&gt;0,OR($B$175=0,123&lt;=$B$175)),$B$66,IF($B$172-MAX(123-1,$B$174)&gt;0,IF(B523=0,0,IF(C523=0,B523/($B$172-MAX(123-1,$B$174)),B523*(C523/12)/(1-(1+C523/12)^(-($B$172-MAX(123-1,$B$174)))))),"")),D522)))+0.0000001&gt;=B523*C523/12,MIN(B523*(1+C523/12),IF(AND(123&lt;=$B$174,123&lt;=$B$173),B523*C523/12,IF(AND(123=$B$173+1,AND(123&gt;$B$173,$B$78="Refinance",ISNUMBER($B$80),$B$80&gt;=0,$B$80&lt;=1,ROUND($B$81*12,0)&gt;=1,$B$81&lt;=100,SUM($B$82)&gt;=0,SUM($B$82)&lt;=1,SUM($B$83)&gt;=0)),IF(B523=0,0,IF(C523=0,B523/ROUND($B$81*12,0),B523*(C523/12)/(1-(1+C523/12)^(-ROUND($B$81*12,0))))),IF(AND(NOT(AND(123&gt;$B$173,$B$78="Refinance",ISNUMBER($B$80),$B$80&gt;=0,$B$80&lt;=1,ROUND($B$81*12,0)&gt;=1,$B$81&lt;=100,SUM($B$82)&gt;=0,SUM($B$82)&lt;=1,SUM($B$83)&gt;=0)),OR(123=1,123=$B$174+1,AND($B$175&gt;0,123=$B$175+1))),IF(AND($B$170=1,$B$66&gt;0,OR($B$175=0,123&lt;=$B$175)),$B$66,IF($B$172-MAX(123-1,$B$174)&gt;0,IF(B523=0,0,IF(C523=0,B523/($B$172-MAX(123-1,$B$174)),B523*(C523/12)/(1-(1+C523/12)^(-($B$172-MAX(123-1,$B$174)))))),"")),D522)))),""),""))</x:f>
        <x:v>4679.450723240598</x:v>
      </x:c>
      <x:c r="E523" s="440" t="n">
        <x:f>IF(AND(123=$B$173,ISNUMBER(D523)),IF(MAX(0,B523*(1+C523/12)-D523)&lt;MAX(0.0000001,$E$17*0.00000000001),0,MAX(0,B523*(1+C523/12)-D523)),0)</x:f>
        <x:v>0</x:v>
      </x:c>
      <x:c r="F523" s="440" t="n">
        <x:f>IF($B$78="Cash payoff",E523,0)</x:f>
        <x:v>0</x:v>
      </x:c>
      <x:c r="G523" s="440" t="n">
        <x:f>IF(AND(E523&gt;0,AND($B$78="Refinance",ISNUMBER($B$80),$B$80&gt;=0,$B$80&lt;=1,ROUND($B$81*12,0)&gt;=1,$B$81&lt;=100,SUM($B$82)&gt;=0,SUM($B$82)&lt;=1,SUM($B$83)&gt;=0)),E523*SUM($B$82)+SUM($B$83),0)</x:f>
        <x:v>0</x:v>
      </x:c>
      <x:c r="H523" s="440" t="n">
        <x:f>IF(ISNUMBER(D523),IF(MAX(0,B523*(1+C523/12)-D523-F523)&lt;MAX(0.0000001,$E$17*0.00000000001),0,MAX(0,B523*(1+C523/12)-D523-F523)),IF(AND($B$171=1,I522=1),B523,""))</x:f>
        <x:v>636150.4413123205</x:v>
      </x:c>
      <x:c r="I523" s="444" t="n">
        <x:f>IF(OR(I522=1,AND(E523&gt;0,$B$78&lt;&gt;"Cash payoff",NOT(AND($B$78="Refinance",ISNUMBER($B$80),$B$80&gt;=0,$B$80&lt;=1,ROUND($B$81*12,0)&gt;=1,$B$81&lt;=100,SUM($B$82)&gt;=0,SUM($B$82)&lt;=1,SUM($B$83)&gt;=0))),AND(ISNUMBER(B523),B523&gt;0,$B$171=1,NOT(ISNUMBER(D523)))),1,0)</x:f>
        <x:v>0</x:v>
      </x:c>
      <x:c r="J523" s="440" t="n">
        <x:f>IF(ISNUMBER(L522),L522,"")</x:f>
        <x:v>0</x:v>
      </x:c>
      <x:c r="K523" s="440" t="n">
        <x:f>IF(AND(ISNUMBER(J523),J523=0),0,IF(AND($B$176=1,ISNUMBER(J523)),MIN(J523*(1+$B$87/12),IF($B$86=0,0,IF($B$87=0,$B$86/ROUND($B$88*12,0),$B$86*($B$87/12)/(1-(1+$B$87/12)^(-ROUND($B$88*12,0)))))),""))</x:f>
        <x:v>0</x:v>
      </x:c>
      <x:c r="L523" s="440" t="n">
        <x:f>IF(ISNUMBER(K523),IF(MAX(0,J523*(1+SUM($B$87)/12)-K523)&lt;MAX(0.0000001,$B$86*0.00000000001),0,MAX(0,J523*(1+SUM($B$87)/12)-K523)),"")</x:f>
        <x:v>0</x:v>
      </x:c>
      <x:c r="M523" s="440" t="n">
        <x:f>IF(AND(ISNUMBER(D523),ISNUMBER(K523)),D523+K523,"")</x:f>
        <x:v>4679.450723240598</x:v>
      </x:c>
      <x:c r="N523" s="440" t="n">
        <x:f>IF(AND(ISNUMBER(H523),ISNUMBER(L523)),H523+L523,"")</x:f>
        <x:v>636150.4413123205</x:v>
      </x:c>
    </x:row>
    <x:row r="524" ht="22" customHeight="1">
      <x:c r="A524" s="254" t="n">
        <x:f>124</x:f>
        <x:v>124</x:v>
      </x:c>
      <x:c r="B524" s="440" t="n">
        <x:f>IF(ISNUMBER(H523),H523,"")</x:f>
        <x:v>636150.4413123205</x:v>
      </x:c>
      <x:c r="C524" s="442" t="n">
        <x:f>IF(ISNUMBER(B524),IF(AND(124&gt;$B$173,$B$78="Refinance",ISNUMBER($B$80),$B$80&gt;=0,$B$80&lt;=1,ROUND($B$81*12,0)&gt;=1,$B$81&lt;=100,SUM($B$82)&gt;=0,SUM($B$82)&lt;=1,SUM($B$83)&gt;=0),$B$80,IF(AND($B$175&gt;0,124&gt;$B$175,ISNUMBER($B$75)),$B$75,$B$61)),"")</x:f>
        <x:v>0.0625</x:v>
      </x:c>
      <x:c r="D524" s="440" t="n">
        <x:f>IF(AND(ISNUMBER(B524),B524=0),0,IF(AND($B$171=1,I523=0,ISNUMBER(C524),ISNUMBER(IF(AND(124&lt;=$B$174,124&lt;=$B$173),B524*C524/12,IF(AND(124=$B$173+1,AND(124&gt;$B$173,$B$78="Refinance",ISNUMBER($B$80),$B$80&gt;=0,$B$80&lt;=1,ROUND($B$81*12,0)&gt;=1,$B$81&lt;=100,SUM($B$82)&gt;=0,SUM($B$82)&lt;=1,SUM($B$83)&gt;=0)),IF(B524=0,0,IF(C524=0,B524/ROUND($B$81*12,0),B524*(C524/12)/(1-(1+C524/12)^(-ROUND($B$81*12,0))))),IF(AND(NOT(AND(124&gt;$B$173,$B$78="Refinance",ISNUMBER($B$80),$B$80&gt;=0,$B$80&lt;=1,ROUND($B$81*12,0)&gt;=1,$B$81&lt;=100,SUM($B$82)&gt;=0,SUM($B$82)&lt;=1,SUM($B$83)&gt;=0)),OR(124=1,124=$B$174+1,AND($B$175&gt;0,124=$B$175+1))),IF(AND($B$170=1,$B$66&gt;0,OR($B$175=0,124&lt;=$B$175)),$B$66,IF($B$172-MAX(124-1,$B$174)&gt;0,IF(B524=0,0,IF(C524=0,B524/($B$172-MAX(124-1,$B$174)),B524*(C524/12)/(1-(1+C524/12)^(-($B$172-MAX(124-1,$B$174)))))),"")),D523))))),IF(IF(AND(124&lt;=$B$174,124&lt;=$B$173),B524*C524/12,IF(AND(124=$B$173+1,AND(124&gt;$B$173,$B$78="Refinance",ISNUMBER($B$80),$B$80&gt;=0,$B$80&lt;=1,ROUND($B$81*12,0)&gt;=1,$B$81&lt;=100,SUM($B$82)&gt;=0,SUM($B$82)&lt;=1,SUM($B$83)&gt;=0)),IF(B524=0,0,IF(C524=0,B524/ROUND($B$81*12,0),B524*(C524/12)/(1-(1+C524/12)^(-ROUND($B$81*12,0))))),IF(AND(NOT(AND(124&gt;$B$173,$B$78="Refinance",ISNUMBER($B$80),$B$80&gt;=0,$B$80&lt;=1,ROUND($B$81*12,0)&gt;=1,$B$81&lt;=100,SUM($B$82)&gt;=0,SUM($B$82)&lt;=1,SUM($B$83)&gt;=0)),OR(124=1,124=$B$174+1,AND($B$175&gt;0,124=$B$175+1))),IF(AND($B$170=1,$B$66&gt;0,OR($B$175=0,124&lt;=$B$175)),$B$66,IF($B$172-MAX(124-1,$B$174)&gt;0,IF(B524=0,0,IF(C524=0,B524/($B$172-MAX(124-1,$B$174)),B524*(C524/12)/(1-(1+C524/12)^(-($B$172-MAX(124-1,$B$174)))))),"")),D523)))+0.0000001&gt;=B524*C524/12,MIN(B524*(1+C524/12),IF(AND(124&lt;=$B$174,124&lt;=$B$173),B524*C524/12,IF(AND(124=$B$173+1,AND(124&gt;$B$173,$B$78="Refinance",ISNUMBER($B$80),$B$80&gt;=0,$B$80&lt;=1,ROUND($B$81*12,0)&gt;=1,$B$81&lt;=100,SUM($B$82)&gt;=0,SUM($B$82)&lt;=1,SUM($B$83)&gt;=0)),IF(B524=0,0,IF(C524=0,B524/ROUND($B$81*12,0),B524*(C524/12)/(1-(1+C524/12)^(-ROUND($B$81*12,0))))),IF(AND(NOT(AND(124&gt;$B$173,$B$78="Refinance",ISNUMBER($B$80),$B$80&gt;=0,$B$80&lt;=1,ROUND($B$81*12,0)&gt;=1,$B$81&lt;=100,SUM($B$82)&gt;=0,SUM($B$82)&lt;=1,SUM($B$83)&gt;=0)),OR(124=1,124=$B$174+1,AND($B$175&gt;0,124=$B$175+1))),IF(AND($B$170=1,$B$66&gt;0,OR($B$175=0,124&lt;=$B$175)),$B$66,IF($B$172-MAX(124-1,$B$174)&gt;0,IF(B524=0,0,IF(C524=0,B524/($B$172-MAX(124-1,$B$174)),B524*(C524/12)/(1-(1+C524/12)^(-($B$172-MAX(124-1,$B$174)))))),"")),D523)))),""),""))</x:f>
        <x:v>4679.450723240598</x:v>
      </x:c>
      <x:c r="E524" s="440" t="n">
        <x:f>IF(AND(124=$B$173,ISNUMBER(D524)),IF(MAX(0,B524*(1+C524/12)-D524)&lt;MAX(0.0000001,$E$17*0.00000000001),0,MAX(0,B524*(1+C524/12)-D524)),0)</x:f>
        <x:v>0</x:v>
      </x:c>
      <x:c r="F524" s="440" t="n">
        <x:f>IF($B$78="Cash payoff",E524,0)</x:f>
        <x:v>0</x:v>
      </x:c>
      <x:c r="G524" s="440" t="n">
        <x:f>IF(AND(E524&gt;0,AND($B$78="Refinance",ISNUMBER($B$80),$B$80&gt;=0,$B$80&lt;=1,ROUND($B$81*12,0)&gt;=1,$B$81&lt;=100,SUM($B$82)&gt;=0,SUM($B$82)&lt;=1,SUM($B$83)&gt;=0)),E524*SUM($B$82)+SUM($B$83),0)</x:f>
        <x:v>0</x:v>
      </x:c>
      <x:c r="H524" s="440" t="n">
        <x:f>IF(ISNUMBER(D524),IF(MAX(0,B524*(1+C524/12)-D524-F524)&lt;MAX(0.0000001,$E$17*0.00000000001),0,MAX(0,B524*(1+C524/12)-D524-F524)),IF(AND($B$171=1,I523=1),B524,""))</x:f>
        <x:v>634784.2741375816</x:v>
      </x:c>
      <x:c r="I524" s="444" t="n">
        <x:f>IF(OR(I523=1,AND(E524&gt;0,$B$78&lt;&gt;"Cash payoff",NOT(AND($B$78="Refinance",ISNUMBER($B$80),$B$80&gt;=0,$B$80&lt;=1,ROUND($B$81*12,0)&gt;=1,$B$81&lt;=100,SUM($B$82)&gt;=0,SUM($B$82)&lt;=1,SUM($B$83)&gt;=0))),AND(ISNUMBER(B524),B524&gt;0,$B$171=1,NOT(ISNUMBER(D524)))),1,0)</x:f>
        <x:v>0</x:v>
      </x:c>
      <x:c r="J524" s="440" t="n">
        <x:f>IF(ISNUMBER(L523),L523,"")</x:f>
        <x:v>0</x:v>
      </x:c>
      <x:c r="K524" s="440" t="n">
        <x:f>IF(AND(ISNUMBER(J524),J524=0),0,IF(AND($B$176=1,ISNUMBER(J524)),MIN(J524*(1+$B$87/12),IF($B$86=0,0,IF($B$87=0,$B$86/ROUND($B$88*12,0),$B$86*($B$87/12)/(1-(1+$B$87/12)^(-ROUND($B$88*12,0)))))),""))</x:f>
        <x:v>0</x:v>
      </x:c>
      <x:c r="L524" s="440" t="n">
        <x:f>IF(ISNUMBER(K524),IF(MAX(0,J524*(1+SUM($B$87)/12)-K524)&lt;MAX(0.0000001,$B$86*0.00000000001),0,MAX(0,J524*(1+SUM($B$87)/12)-K524)),"")</x:f>
        <x:v>0</x:v>
      </x:c>
      <x:c r="M524" s="440" t="n">
        <x:f>IF(AND(ISNUMBER(D524),ISNUMBER(K524)),D524+K524,"")</x:f>
        <x:v>4679.450723240598</x:v>
      </x:c>
      <x:c r="N524" s="440" t="n">
        <x:f>IF(AND(ISNUMBER(H524),ISNUMBER(L524)),H524+L524,"")</x:f>
        <x:v>634784.2741375816</x:v>
      </x:c>
    </x:row>
    <x:row r="525" ht="22" customHeight="1">
      <x:c r="A525" s="254" t="n">
        <x:f>125</x:f>
        <x:v>125</x:v>
      </x:c>
      <x:c r="B525" s="440" t="n">
        <x:f>IF(ISNUMBER(H524),H524,"")</x:f>
        <x:v>634784.2741375816</x:v>
      </x:c>
      <x:c r="C525" s="442" t="n">
        <x:f>IF(ISNUMBER(B525),IF(AND(125&gt;$B$173,$B$78="Refinance",ISNUMBER($B$80),$B$80&gt;=0,$B$80&lt;=1,ROUND($B$81*12,0)&gt;=1,$B$81&lt;=100,SUM($B$82)&gt;=0,SUM($B$82)&lt;=1,SUM($B$83)&gt;=0),$B$80,IF(AND($B$175&gt;0,125&gt;$B$175,ISNUMBER($B$75)),$B$75,$B$61)),"")</x:f>
        <x:v>0.0625</x:v>
      </x:c>
      <x:c r="D525" s="440" t="n">
        <x:f>IF(AND(ISNUMBER(B525),B525=0),0,IF(AND($B$171=1,I524=0,ISNUMBER(C525),ISNUMBER(IF(AND(125&lt;=$B$174,125&lt;=$B$173),B525*C525/12,IF(AND(125=$B$173+1,AND(125&gt;$B$173,$B$78="Refinance",ISNUMBER($B$80),$B$80&gt;=0,$B$80&lt;=1,ROUND($B$81*12,0)&gt;=1,$B$81&lt;=100,SUM($B$82)&gt;=0,SUM($B$82)&lt;=1,SUM($B$83)&gt;=0)),IF(B525=0,0,IF(C525=0,B525/ROUND($B$81*12,0),B525*(C525/12)/(1-(1+C525/12)^(-ROUND($B$81*12,0))))),IF(AND(NOT(AND(125&gt;$B$173,$B$78="Refinance",ISNUMBER($B$80),$B$80&gt;=0,$B$80&lt;=1,ROUND($B$81*12,0)&gt;=1,$B$81&lt;=100,SUM($B$82)&gt;=0,SUM($B$82)&lt;=1,SUM($B$83)&gt;=0)),OR(125=1,125=$B$174+1,AND($B$175&gt;0,125=$B$175+1))),IF(AND($B$170=1,$B$66&gt;0,OR($B$175=0,125&lt;=$B$175)),$B$66,IF($B$172-MAX(125-1,$B$174)&gt;0,IF(B525=0,0,IF(C525=0,B525/($B$172-MAX(125-1,$B$174)),B525*(C525/12)/(1-(1+C525/12)^(-($B$172-MAX(125-1,$B$174)))))),"")),D524))))),IF(IF(AND(125&lt;=$B$174,125&lt;=$B$173),B525*C525/12,IF(AND(125=$B$173+1,AND(125&gt;$B$173,$B$78="Refinance",ISNUMBER($B$80),$B$80&gt;=0,$B$80&lt;=1,ROUND($B$81*12,0)&gt;=1,$B$81&lt;=100,SUM($B$82)&gt;=0,SUM($B$82)&lt;=1,SUM($B$83)&gt;=0)),IF(B525=0,0,IF(C525=0,B525/ROUND($B$81*12,0),B525*(C525/12)/(1-(1+C525/12)^(-ROUND($B$81*12,0))))),IF(AND(NOT(AND(125&gt;$B$173,$B$78="Refinance",ISNUMBER($B$80),$B$80&gt;=0,$B$80&lt;=1,ROUND($B$81*12,0)&gt;=1,$B$81&lt;=100,SUM($B$82)&gt;=0,SUM($B$82)&lt;=1,SUM($B$83)&gt;=0)),OR(125=1,125=$B$174+1,AND($B$175&gt;0,125=$B$175+1))),IF(AND($B$170=1,$B$66&gt;0,OR($B$175=0,125&lt;=$B$175)),$B$66,IF($B$172-MAX(125-1,$B$174)&gt;0,IF(B525=0,0,IF(C525=0,B525/($B$172-MAX(125-1,$B$174)),B525*(C525/12)/(1-(1+C525/12)^(-($B$172-MAX(125-1,$B$174)))))),"")),D524)))+0.0000001&gt;=B525*C525/12,MIN(B525*(1+C525/12),IF(AND(125&lt;=$B$174,125&lt;=$B$173),B525*C525/12,IF(AND(125=$B$173+1,AND(125&gt;$B$173,$B$78="Refinance",ISNUMBER($B$80),$B$80&gt;=0,$B$80&lt;=1,ROUND($B$81*12,0)&gt;=1,$B$81&lt;=100,SUM($B$82)&gt;=0,SUM($B$82)&lt;=1,SUM($B$83)&gt;=0)),IF(B525=0,0,IF(C525=0,B525/ROUND($B$81*12,0),B525*(C525/12)/(1-(1+C525/12)^(-ROUND($B$81*12,0))))),IF(AND(NOT(AND(125&gt;$B$173,$B$78="Refinance",ISNUMBER($B$80),$B$80&gt;=0,$B$80&lt;=1,ROUND($B$81*12,0)&gt;=1,$B$81&lt;=100,SUM($B$82)&gt;=0,SUM($B$82)&lt;=1,SUM($B$83)&gt;=0)),OR(125=1,125=$B$174+1,AND($B$175&gt;0,125=$B$175+1))),IF(AND($B$170=1,$B$66&gt;0,OR($B$175=0,125&lt;=$B$175)),$B$66,IF($B$172-MAX(125-1,$B$174)&gt;0,IF(B525=0,0,IF(C525=0,B525/($B$172-MAX(125-1,$B$174)),B525*(C525/12)/(1-(1+C525/12)^(-($B$172-MAX(125-1,$B$174)))))),"")),D524)))),""),""))</x:f>
        <x:v>4679.450723240598</x:v>
      </x:c>
      <x:c r="E525" s="440" t="n">
        <x:f>IF(AND(125=$B$173,ISNUMBER(D525)),IF(MAX(0,B525*(1+C525/12)-D525)&lt;MAX(0.0000001,$E$17*0.00000000001),0,MAX(0,B525*(1+C525/12)-D525)),0)</x:f>
        <x:v>0</x:v>
      </x:c>
      <x:c r="F525" s="440" t="n">
        <x:f>IF($B$78="Cash payoff",E525,0)</x:f>
        <x:v>0</x:v>
      </x:c>
      <x:c r="G525" s="440" t="n">
        <x:f>IF(AND(E525&gt;0,AND($B$78="Refinance",ISNUMBER($B$80),$B$80&gt;=0,$B$80&lt;=1,ROUND($B$81*12,0)&gt;=1,$B$81&lt;=100,SUM($B$82)&gt;=0,SUM($B$82)&lt;=1,SUM($B$83)&gt;=0)),E525*SUM($B$82)+SUM($B$83),0)</x:f>
        <x:v>0</x:v>
      </x:c>
      <x:c r="H525" s="440" t="n">
        <x:f>IF(ISNUMBER(D525),IF(MAX(0,B525*(1+C525/12)-D525-F525)&lt;MAX(0.0000001,$E$17*0.00000000001),0,MAX(0,B525*(1+C525/12)-D525-F525)),IF(AND($B$171=1,I524=1),B525,""))</x:f>
        <x:v>633410.9915088075</x:v>
      </x:c>
      <x:c r="I525" s="444" t="n">
        <x:f>IF(OR(I524=1,AND(E525&gt;0,$B$78&lt;&gt;"Cash payoff",NOT(AND($B$78="Refinance",ISNUMBER($B$80),$B$80&gt;=0,$B$80&lt;=1,ROUND($B$81*12,0)&gt;=1,$B$81&lt;=100,SUM($B$82)&gt;=0,SUM($B$82)&lt;=1,SUM($B$83)&gt;=0))),AND(ISNUMBER(B525),B525&gt;0,$B$171=1,NOT(ISNUMBER(D525)))),1,0)</x:f>
        <x:v>0</x:v>
      </x:c>
      <x:c r="J525" s="440" t="n">
        <x:f>IF(ISNUMBER(L524),L524,"")</x:f>
        <x:v>0</x:v>
      </x:c>
      <x:c r="K525" s="440" t="n">
        <x:f>IF(AND(ISNUMBER(J525),J525=0),0,IF(AND($B$176=1,ISNUMBER(J525)),MIN(J525*(1+$B$87/12),IF($B$86=0,0,IF($B$87=0,$B$86/ROUND($B$88*12,0),$B$86*($B$87/12)/(1-(1+$B$87/12)^(-ROUND($B$88*12,0)))))),""))</x:f>
        <x:v>0</x:v>
      </x:c>
      <x:c r="L525" s="440" t="n">
        <x:f>IF(ISNUMBER(K525),IF(MAX(0,J525*(1+SUM($B$87)/12)-K525)&lt;MAX(0.0000001,$B$86*0.00000000001),0,MAX(0,J525*(1+SUM($B$87)/12)-K525)),"")</x:f>
        <x:v>0</x:v>
      </x:c>
      <x:c r="M525" s="440" t="n">
        <x:f>IF(AND(ISNUMBER(D525),ISNUMBER(K525)),D525+K525,"")</x:f>
        <x:v>4679.450723240598</x:v>
      </x:c>
      <x:c r="N525" s="440" t="n">
        <x:f>IF(AND(ISNUMBER(H525),ISNUMBER(L525)),H525+L525,"")</x:f>
        <x:v>633410.9915088075</x:v>
      </x:c>
    </x:row>
    <x:row r="526" ht="22" customHeight="1">
      <x:c r="A526" s="254" t="n">
        <x:f>126</x:f>
        <x:v>126</x:v>
      </x:c>
      <x:c r="B526" s="440" t="n">
        <x:f>IF(ISNUMBER(H525),H525,"")</x:f>
        <x:v>633410.9915088075</x:v>
      </x:c>
      <x:c r="C526" s="442" t="n">
        <x:f>IF(ISNUMBER(B526),IF(AND(126&gt;$B$173,$B$78="Refinance",ISNUMBER($B$80),$B$80&gt;=0,$B$80&lt;=1,ROUND($B$81*12,0)&gt;=1,$B$81&lt;=100,SUM($B$82)&gt;=0,SUM($B$82)&lt;=1,SUM($B$83)&gt;=0),$B$80,IF(AND($B$175&gt;0,126&gt;$B$175,ISNUMBER($B$75)),$B$75,$B$61)),"")</x:f>
        <x:v>0.0625</x:v>
      </x:c>
      <x:c r="D526" s="440" t="n">
        <x:f>IF(AND(ISNUMBER(B526),B526=0),0,IF(AND($B$171=1,I525=0,ISNUMBER(C526),ISNUMBER(IF(AND(126&lt;=$B$174,126&lt;=$B$173),B526*C526/12,IF(AND(126=$B$173+1,AND(126&gt;$B$173,$B$78="Refinance",ISNUMBER($B$80),$B$80&gt;=0,$B$80&lt;=1,ROUND($B$81*12,0)&gt;=1,$B$81&lt;=100,SUM($B$82)&gt;=0,SUM($B$82)&lt;=1,SUM($B$83)&gt;=0)),IF(B526=0,0,IF(C526=0,B526/ROUND($B$81*12,0),B526*(C526/12)/(1-(1+C526/12)^(-ROUND($B$81*12,0))))),IF(AND(NOT(AND(126&gt;$B$173,$B$78="Refinance",ISNUMBER($B$80),$B$80&gt;=0,$B$80&lt;=1,ROUND($B$81*12,0)&gt;=1,$B$81&lt;=100,SUM($B$82)&gt;=0,SUM($B$82)&lt;=1,SUM($B$83)&gt;=0)),OR(126=1,126=$B$174+1,AND($B$175&gt;0,126=$B$175+1))),IF(AND($B$170=1,$B$66&gt;0,OR($B$175=0,126&lt;=$B$175)),$B$66,IF($B$172-MAX(126-1,$B$174)&gt;0,IF(B526=0,0,IF(C526=0,B526/($B$172-MAX(126-1,$B$174)),B526*(C526/12)/(1-(1+C526/12)^(-($B$172-MAX(126-1,$B$174)))))),"")),D525))))),IF(IF(AND(126&lt;=$B$174,126&lt;=$B$173),B526*C526/12,IF(AND(126=$B$173+1,AND(126&gt;$B$173,$B$78="Refinance",ISNUMBER($B$80),$B$80&gt;=0,$B$80&lt;=1,ROUND($B$81*12,0)&gt;=1,$B$81&lt;=100,SUM($B$82)&gt;=0,SUM($B$82)&lt;=1,SUM($B$83)&gt;=0)),IF(B526=0,0,IF(C526=0,B526/ROUND($B$81*12,0),B526*(C526/12)/(1-(1+C526/12)^(-ROUND($B$81*12,0))))),IF(AND(NOT(AND(126&gt;$B$173,$B$78="Refinance",ISNUMBER($B$80),$B$80&gt;=0,$B$80&lt;=1,ROUND($B$81*12,0)&gt;=1,$B$81&lt;=100,SUM($B$82)&gt;=0,SUM($B$82)&lt;=1,SUM($B$83)&gt;=0)),OR(126=1,126=$B$174+1,AND($B$175&gt;0,126=$B$175+1))),IF(AND($B$170=1,$B$66&gt;0,OR($B$175=0,126&lt;=$B$175)),$B$66,IF($B$172-MAX(126-1,$B$174)&gt;0,IF(B526=0,0,IF(C526=0,B526/($B$172-MAX(126-1,$B$174)),B526*(C526/12)/(1-(1+C526/12)^(-($B$172-MAX(126-1,$B$174)))))),"")),D525)))+0.0000001&gt;=B526*C526/12,MIN(B526*(1+C526/12),IF(AND(126&lt;=$B$174,126&lt;=$B$173),B526*C526/12,IF(AND(126=$B$173+1,AND(126&gt;$B$173,$B$78="Refinance",ISNUMBER($B$80),$B$80&gt;=0,$B$80&lt;=1,ROUND($B$81*12,0)&gt;=1,$B$81&lt;=100,SUM($B$82)&gt;=0,SUM($B$82)&lt;=1,SUM($B$83)&gt;=0)),IF(B526=0,0,IF(C526=0,B526/ROUND($B$81*12,0),B526*(C526/12)/(1-(1+C526/12)^(-ROUND($B$81*12,0))))),IF(AND(NOT(AND(126&gt;$B$173,$B$78="Refinance",ISNUMBER($B$80),$B$80&gt;=0,$B$80&lt;=1,ROUND($B$81*12,0)&gt;=1,$B$81&lt;=100,SUM($B$82)&gt;=0,SUM($B$82)&lt;=1,SUM($B$83)&gt;=0)),OR(126=1,126=$B$174+1,AND($B$175&gt;0,126=$B$175+1))),IF(AND($B$170=1,$B$66&gt;0,OR($B$175=0,126&lt;=$B$175)),$B$66,IF($B$172-MAX(126-1,$B$174)&gt;0,IF(B526=0,0,IF(C526=0,B526/($B$172-MAX(126-1,$B$174)),B526*(C526/12)/(1-(1+C526/12)^(-($B$172-MAX(126-1,$B$174)))))),"")),D525)))),""),""))</x:f>
        <x:v>4679.450723240598</x:v>
      </x:c>
      <x:c r="E526" s="440" t="n">
        <x:f>IF(AND(126=$B$173,ISNUMBER(D526)),IF(MAX(0,B526*(1+C526/12)-D526)&lt;MAX(0.0000001,$E$17*0.00000000001),0,MAX(0,B526*(1+C526/12)-D526)),0)</x:f>
        <x:v>0</x:v>
      </x:c>
      <x:c r="F526" s="440" t="n">
        <x:f>IF($B$78="Cash payoff",E526,0)</x:f>
        <x:v>0</x:v>
      </x:c>
      <x:c r="G526" s="440" t="n">
        <x:f>IF(AND(E526&gt;0,AND($B$78="Refinance",ISNUMBER($B$80),$B$80&gt;=0,$B$80&lt;=1,ROUND($B$81*12,0)&gt;=1,$B$81&lt;=100,SUM($B$82)&gt;=0,SUM($B$82)&lt;=1,SUM($B$83)&gt;=0)),E526*SUM($B$82)+SUM($B$83),0)</x:f>
        <x:v>0</x:v>
      </x:c>
      <x:c r="H526" s="440" t="n">
        <x:f>IF(ISNUMBER(D526),IF(MAX(0,B526*(1+C526/12)-D526-F526)&lt;MAX(0.0000001,$E$17*0.00000000001),0,MAX(0,B526*(1+C526/12)-D526-F526)),IF(AND($B$171=1,I525=1),B526,""))</x:f>
        <x:v>632030.5563663419</x:v>
      </x:c>
      <x:c r="I526" s="444" t="n">
        <x:f>IF(OR(I525=1,AND(E526&gt;0,$B$78&lt;&gt;"Cash payoff",NOT(AND($B$78="Refinance",ISNUMBER($B$80),$B$80&gt;=0,$B$80&lt;=1,ROUND($B$81*12,0)&gt;=1,$B$81&lt;=100,SUM($B$82)&gt;=0,SUM($B$82)&lt;=1,SUM($B$83)&gt;=0))),AND(ISNUMBER(B526),B526&gt;0,$B$171=1,NOT(ISNUMBER(D526)))),1,0)</x:f>
        <x:v>0</x:v>
      </x:c>
      <x:c r="J526" s="440" t="n">
        <x:f>IF(ISNUMBER(L525),L525,"")</x:f>
        <x:v>0</x:v>
      </x:c>
      <x:c r="K526" s="440" t="n">
        <x:f>IF(AND(ISNUMBER(J526),J526=0),0,IF(AND($B$176=1,ISNUMBER(J526)),MIN(J526*(1+$B$87/12),IF($B$86=0,0,IF($B$87=0,$B$86/ROUND($B$88*12,0),$B$86*($B$87/12)/(1-(1+$B$87/12)^(-ROUND($B$88*12,0)))))),""))</x:f>
        <x:v>0</x:v>
      </x:c>
      <x:c r="L526" s="440" t="n">
        <x:f>IF(ISNUMBER(K526),IF(MAX(0,J526*(1+SUM($B$87)/12)-K526)&lt;MAX(0.0000001,$B$86*0.00000000001),0,MAX(0,J526*(1+SUM($B$87)/12)-K526)),"")</x:f>
        <x:v>0</x:v>
      </x:c>
      <x:c r="M526" s="440" t="n">
        <x:f>IF(AND(ISNUMBER(D526),ISNUMBER(K526)),D526+K526,"")</x:f>
        <x:v>4679.450723240598</x:v>
      </x:c>
      <x:c r="N526" s="440" t="n">
        <x:f>IF(AND(ISNUMBER(H526),ISNUMBER(L526)),H526+L526,"")</x:f>
        <x:v>632030.5563663419</x:v>
      </x:c>
    </x:row>
    <x:row r="527" ht="22" customHeight="1">
      <x:c r="A527" s="254" t="n">
        <x:f>127</x:f>
        <x:v>127</x:v>
      </x:c>
      <x:c r="B527" s="440" t="n">
        <x:f>IF(ISNUMBER(H526),H526,"")</x:f>
        <x:v>632030.5563663419</x:v>
      </x:c>
      <x:c r="C527" s="442" t="n">
        <x:f>IF(ISNUMBER(B527),IF(AND(127&gt;$B$173,$B$78="Refinance",ISNUMBER($B$80),$B$80&gt;=0,$B$80&lt;=1,ROUND($B$81*12,0)&gt;=1,$B$81&lt;=100,SUM($B$82)&gt;=0,SUM($B$82)&lt;=1,SUM($B$83)&gt;=0),$B$80,IF(AND($B$175&gt;0,127&gt;$B$175,ISNUMBER($B$75)),$B$75,$B$61)),"")</x:f>
        <x:v>0.0625</x:v>
      </x:c>
      <x:c r="D527" s="440" t="n">
        <x:f>IF(AND(ISNUMBER(B527),B527=0),0,IF(AND($B$171=1,I526=0,ISNUMBER(C527),ISNUMBER(IF(AND(127&lt;=$B$174,127&lt;=$B$173),B527*C527/12,IF(AND(127=$B$173+1,AND(127&gt;$B$173,$B$78="Refinance",ISNUMBER($B$80),$B$80&gt;=0,$B$80&lt;=1,ROUND($B$81*12,0)&gt;=1,$B$81&lt;=100,SUM($B$82)&gt;=0,SUM($B$82)&lt;=1,SUM($B$83)&gt;=0)),IF(B527=0,0,IF(C527=0,B527/ROUND($B$81*12,0),B527*(C527/12)/(1-(1+C527/12)^(-ROUND($B$81*12,0))))),IF(AND(NOT(AND(127&gt;$B$173,$B$78="Refinance",ISNUMBER($B$80),$B$80&gt;=0,$B$80&lt;=1,ROUND($B$81*12,0)&gt;=1,$B$81&lt;=100,SUM($B$82)&gt;=0,SUM($B$82)&lt;=1,SUM($B$83)&gt;=0)),OR(127=1,127=$B$174+1,AND($B$175&gt;0,127=$B$175+1))),IF(AND($B$170=1,$B$66&gt;0,OR($B$175=0,127&lt;=$B$175)),$B$66,IF($B$172-MAX(127-1,$B$174)&gt;0,IF(B527=0,0,IF(C527=0,B527/($B$172-MAX(127-1,$B$174)),B527*(C527/12)/(1-(1+C527/12)^(-($B$172-MAX(127-1,$B$174)))))),"")),D526))))),IF(IF(AND(127&lt;=$B$174,127&lt;=$B$173),B527*C527/12,IF(AND(127=$B$173+1,AND(127&gt;$B$173,$B$78="Refinance",ISNUMBER($B$80),$B$80&gt;=0,$B$80&lt;=1,ROUND($B$81*12,0)&gt;=1,$B$81&lt;=100,SUM($B$82)&gt;=0,SUM($B$82)&lt;=1,SUM($B$83)&gt;=0)),IF(B527=0,0,IF(C527=0,B527/ROUND($B$81*12,0),B527*(C527/12)/(1-(1+C527/12)^(-ROUND($B$81*12,0))))),IF(AND(NOT(AND(127&gt;$B$173,$B$78="Refinance",ISNUMBER($B$80),$B$80&gt;=0,$B$80&lt;=1,ROUND($B$81*12,0)&gt;=1,$B$81&lt;=100,SUM($B$82)&gt;=0,SUM($B$82)&lt;=1,SUM($B$83)&gt;=0)),OR(127=1,127=$B$174+1,AND($B$175&gt;0,127=$B$175+1))),IF(AND($B$170=1,$B$66&gt;0,OR($B$175=0,127&lt;=$B$175)),$B$66,IF($B$172-MAX(127-1,$B$174)&gt;0,IF(B527=0,0,IF(C527=0,B527/($B$172-MAX(127-1,$B$174)),B527*(C527/12)/(1-(1+C527/12)^(-($B$172-MAX(127-1,$B$174)))))),"")),D526)))+0.0000001&gt;=B527*C527/12,MIN(B527*(1+C527/12),IF(AND(127&lt;=$B$174,127&lt;=$B$173),B527*C527/12,IF(AND(127=$B$173+1,AND(127&gt;$B$173,$B$78="Refinance",ISNUMBER($B$80),$B$80&gt;=0,$B$80&lt;=1,ROUND($B$81*12,0)&gt;=1,$B$81&lt;=100,SUM($B$82)&gt;=0,SUM($B$82)&lt;=1,SUM($B$83)&gt;=0)),IF(B527=0,0,IF(C527=0,B527/ROUND($B$81*12,0),B527*(C527/12)/(1-(1+C527/12)^(-ROUND($B$81*12,0))))),IF(AND(NOT(AND(127&gt;$B$173,$B$78="Refinance",ISNUMBER($B$80),$B$80&gt;=0,$B$80&lt;=1,ROUND($B$81*12,0)&gt;=1,$B$81&lt;=100,SUM($B$82)&gt;=0,SUM($B$82)&lt;=1,SUM($B$83)&gt;=0)),OR(127=1,127=$B$174+1,AND($B$175&gt;0,127=$B$175+1))),IF(AND($B$170=1,$B$66&gt;0,OR($B$175=0,127&lt;=$B$175)),$B$66,IF($B$172-MAX(127-1,$B$174)&gt;0,IF(B527=0,0,IF(C527=0,B527/($B$172-MAX(127-1,$B$174)),B527*(C527/12)/(1-(1+C527/12)^(-($B$172-MAX(127-1,$B$174)))))),"")),D526)))),""),""))</x:f>
        <x:v>4679.450723240598</x:v>
      </x:c>
      <x:c r="E527" s="440" t="n">
        <x:f>IF(AND(127=$B$173,ISNUMBER(D527)),IF(MAX(0,B527*(1+C527/12)-D527)&lt;MAX(0.0000001,$E$17*0.00000000001),0,MAX(0,B527*(1+C527/12)-D527)),0)</x:f>
        <x:v>0</x:v>
      </x:c>
      <x:c r="F527" s="440" t="n">
        <x:f>IF($B$78="Cash payoff",E527,0)</x:f>
        <x:v>0</x:v>
      </x:c>
      <x:c r="G527" s="440" t="n">
        <x:f>IF(AND(E527&gt;0,AND($B$78="Refinance",ISNUMBER($B$80),$B$80&gt;=0,$B$80&lt;=1,ROUND($B$81*12,0)&gt;=1,$B$81&lt;=100,SUM($B$82)&gt;=0,SUM($B$82)&lt;=1,SUM($B$83)&gt;=0)),E527*SUM($B$82)+SUM($B$83),0)</x:f>
        <x:v>0</x:v>
      </x:c>
      <x:c r="H527" s="440" t="n">
        <x:f>IF(ISNUMBER(D527),IF(MAX(0,B527*(1+C527/12)-D527-F527)&lt;MAX(0.0000001,$E$17*0.00000000001),0,MAX(0,B527*(1+C527/12)-D527-F527)),IF(AND($B$171=1,I526=1),B527,""))</x:f>
        <x:v>630642.9314575093</x:v>
      </x:c>
      <x:c r="I527" s="444" t="n">
        <x:f>IF(OR(I526=1,AND(E527&gt;0,$B$78&lt;&gt;"Cash payoff",NOT(AND($B$78="Refinance",ISNUMBER($B$80),$B$80&gt;=0,$B$80&lt;=1,ROUND($B$81*12,0)&gt;=1,$B$81&lt;=100,SUM($B$82)&gt;=0,SUM($B$82)&lt;=1,SUM($B$83)&gt;=0))),AND(ISNUMBER(B527),B527&gt;0,$B$171=1,NOT(ISNUMBER(D527)))),1,0)</x:f>
        <x:v>0</x:v>
      </x:c>
      <x:c r="J527" s="440" t="n">
        <x:f>IF(ISNUMBER(L526),L526,"")</x:f>
        <x:v>0</x:v>
      </x:c>
      <x:c r="K527" s="440" t="n">
        <x:f>IF(AND(ISNUMBER(J527),J527=0),0,IF(AND($B$176=1,ISNUMBER(J527)),MIN(J527*(1+$B$87/12),IF($B$86=0,0,IF($B$87=0,$B$86/ROUND($B$88*12,0),$B$86*($B$87/12)/(1-(1+$B$87/12)^(-ROUND($B$88*12,0)))))),""))</x:f>
        <x:v>0</x:v>
      </x:c>
      <x:c r="L527" s="440" t="n">
        <x:f>IF(ISNUMBER(K527),IF(MAX(0,J527*(1+SUM($B$87)/12)-K527)&lt;MAX(0.0000001,$B$86*0.00000000001),0,MAX(0,J527*(1+SUM($B$87)/12)-K527)),"")</x:f>
        <x:v>0</x:v>
      </x:c>
      <x:c r="M527" s="440" t="n">
        <x:f>IF(AND(ISNUMBER(D527),ISNUMBER(K527)),D527+K527,"")</x:f>
        <x:v>4679.450723240598</x:v>
      </x:c>
      <x:c r="N527" s="440" t="n">
        <x:f>IF(AND(ISNUMBER(H527),ISNUMBER(L527)),H527+L527,"")</x:f>
        <x:v>630642.9314575093</x:v>
      </x:c>
    </x:row>
    <x:row r="528" ht="22" customHeight="1">
      <x:c r="A528" s="254" t="n">
        <x:f>128</x:f>
        <x:v>128</x:v>
      </x:c>
      <x:c r="B528" s="440" t="n">
        <x:f>IF(ISNUMBER(H527),H527,"")</x:f>
        <x:v>630642.9314575093</x:v>
      </x:c>
      <x:c r="C528" s="442" t="n">
        <x:f>IF(ISNUMBER(B528),IF(AND(128&gt;$B$173,$B$78="Refinance",ISNUMBER($B$80),$B$80&gt;=0,$B$80&lt;=1,ROUND($B$81*12,0)&gt;=1,$B$81&lt;=100,SUM($B$82)&gt;=0,SUM($B$82)&lt;=1,SUM($B$83)&gt;=0),$B$80,IF(AND($B$175&gt;0,128&gt;$B$175,ISNUMBER($B$75)),$B$75,$B$61)),"")</x:f>
        <x:v>0.0625</x:v>
      </x:c>
      <x:c r="D528" s="440" t="n">
        <x:f>IF(AND(ISNUMBER(B528),B528=0),0,IF(AND($B$171=1,I527=0,ISNUMBER(C528),ISNUMBER(IF(AND(128&lt;=$B$174,128&lt;=$B$173),B528*C528/12,IF(AND(128=$B$173+1,AND(128&gt;$B$173,$B$78="Refinance",ISNUMBER($B$80),$B$80&gt;=0,$B$80&lt;=1,ROUND($B$81*12,0)&gt;=1,$B$81&lt;=100,SUM($B$82)&gt;=0,SUM($B$82)&lt;=1,SUM($B$83)&gt;=0)),IF(B528=0,0,IF(C528=0,B528/ROUND($B$81*12,0),B528*(C528/12)/(1-(1+C528/12)^(-ROUND($B$81*12,0))))),IF(AND(NOT(AND(128&gt;$B$173,$B$78="Refinance",ISNUMBER($B$80),$B$80&gt;=0,$B$80&lt;=1,ROUND($B$81*12,0)&gt;=1,$B$81&lt;=100,SUM($B$82)&gt;=0,SUM($B$82)&lt;=1,SUM($B$83)&gt;=0)),OR(128=1,128=$B$174+1,AND($B$175&gt;0,128=$B$175+1))),IF(AND($B$170=1,$B$66&gt;0,OR($B$175=0,128&lt;=$B$175)),$B$66,IF($B$172-MAX(128-1,$B$174)&gt;0,IF(B528=0,0,IF(C528=0,B528/($B$172-MAX(128-1,$B$174)),B528*(C528/12)/(1-(1+C528/12)^(-($B$172-MAX(128-1,$B$174)))))),"")),D527))))),IF(IF(AND(128&lt;=$B$174,128&lt;=$B$173),B528*C528/12,IF(AND(128=$B$173+1,AND(128&gt;$B$173,$B$78="Refinance",ISNUMBER($B$80),$B$80&gt;=0,$B$80&lt;=1,ROUND($B$81*12,0)&gt;=1,$B$81&lt;=100,SUM($B$82)&gt;=0,SUM($B$82)&lt;=1,SUM($B$83)&gt;=0)),IF(B528=0,0,IF(C528=0,B528/ROUND($B$81*12,0),B528*(C528/12)/(1-(1+C528/12)^(-ROUND($B$81*12,0))))),IF(AND(NOT(AND(128&gt;$B$173,$B$78="Refinance",ISNUMBER($B$80),$B$80&gt;=0,$B$80&lt;=1,ROUND($B$81*12,0)&gt;=1,$B$81&lt;=100,SUM($B$82)&gt;=0,SUM($B$82)&lt;=1,SUM($B$83)&gt;=0)),OR(128=1,128=$B$174+1,AND($B$175&gt;0,128=$B$175+1))),IF(AND($B$170=1,$B$66&gt;0,OR($B$175=0,128&lt;=$B$175)),$B$66,IF($B$172-MAX(128-1,$B$174)&gt;0,IF(B528=0,0,IF(C528=0,B528/($B$172-MAX(128-1,$B$174)),B528*(C528/12)/(1-(1+C528/12)^(-($B$172-MAX(128-1,$B$174)))))),"")),D527)))+0.0000001&gt;=B528*C528/12,MIN(B528*(1+C528/12),IF(AND(128&lt;=$B$174,128&lt;=$B$173),B528*C528/12,IF(AND(128=$B$173+1,AND(128&gt;$B$173,$B$78="Refinance",ISNUMBER($B$80),$B$80&gt;=0,$B$80&lt;=1,ROUND($B$81*12,0)&gt;=1,$B$81&lt;=100,SUM($B$82)&gt;=0,SUM($B$82)&lt;=1,SUM($B$83)&gt;=0)),IF(B528=0,0,IF(C528=0,B528/ROUND($B$81*12,0),B528*(C528/12)/(1-(1+C528/12)^(-ROUND($B$81*12,0))))),IF(AND(NOT(AND(128&gt;$B$173,$B$78="Refinance",ISNUMBER($B$80),$B$80&gt;=0,$B$80&lt;=1,ROUND($B$81*12,0)&gt;=1,$B$81&lt;=100,SUM($B$82)&gt;=0,SUM($B$82)&lt;=1,SUM($B$83)&gt;=0)),OR(128=1,128=$B$174+1,AND($B$175&gt;0,128=$B$175+1))),IF(AND($B$170=1,$B$66&gt;0,OR($B$175=0,128&lt;=$B$175)),$B$66,IF($B$172-MAX(128-1,$B$174)&gt;0,IF(B528=0,0,IF(C528=0,B528/($B$172-MAX(128-1,$B$174)),B528*(C528/12)/(1-(1+C528/12)^(-($B$172-MAX(128-1,$B$174)))))),"")),D527)))),""),""))</x:f>
        <x:v>4679.450723240598</x:v>
      </x:c>
      <x:c r="E528" s="440" t="n">
        <x:f>IF(AND(128=$B$173,ISNUMBER(D528)),IF(MAX(0,B528*(1+C528/12)-D528)&lt;MAX(0.0000001,$E$17*0.00000000001),0,MAX(0,B528*(1+C528/12)-D528)),0)</x:f>
        <x:v>0</x:v>
      </x:c>
      <x:c r="F528" s="440" t="n">
        <x:f>IF($B$78="Cash payoff",E528,0)</x:f>
        <x:v>0</x:v>
      </x:c>
      <x:c r="G528" s="440" t="n">
        <x:f>IF(AND(E528&gt;0,AND($B$78="Refinance",ISNUMBER($B$80),$B$80&gt;=0,$B$80&lt;=1,ROUND($B$81*12,0)&gt;=1,$B$81&lt;=100,SUM($B$82)&gt;=0,SUM($B$82)&lt;=1,SUM($B$83)&gt;=0)),E528*SUM($B$82)+SUM($B$83),0)</x:f>
        <x:v>0</x:v>
      </x:c>
      <x:c r="H528" s="440" t="n">
        <x:f>IF(ISNUMBER(D528),IF(MAX(0,B528*(1+C528/12)-D528-F528)&lt;MAX(0.0000001,$E$17*0.00000000001),0,MAX(0,B528*(1+C528/12)-D528-F528)),IF(AND($B$171=1,I527=1),B528,""))</x:f>
        <x:v>629248.0793356098</x:v>
      </x:c>
      <x:c r="I528" s="444" t="n">
        <x:f>IF(OR(I527=1,AND(E528&gt;0,$B$78&lt;&gt;"Cash payoff",NOT(AND($B$78="Refinance",ISNUMBER($B$80),$B$80&gt;=0,$B$80&lt;=1,ROUND($B$81*12,0)&gt;=1,$B$81&lt;=100,SUM($B$82)&gt;=0,SUM($B$82)&lt;=1,SUM($B$83)&gt;=0))),AND(ISNUMBER(B528),B528&gt;0,$B$171=1,NOT(ISNUMBER(D528)))),1,0)</x:f>
        <x:v>0</x:v>
      </x:c>
      <x:c r="J528" s="440" t="n">
        <x:f>IF(ISNUMBER(L527),L527,"")</x:f>
        <x:v>0</x:v>
      </x:c>
      <x:c r="K528" s="440" t="n">
        <x:f>IF(AND(ISNUMBER(J528),J528=0),0,IF(AND($B$176=1,ISNUMBER(J528)),MIN(J528*(1+$B$87/12),IF($B$86=0,0,IF($B$87=0,$B$86/ROUND($B$88*12,0),$B$86*($B$87/12)/(1-(1+$B$87/12)^(-ROUND($B$88*12,0)))))),""))</x:f>
        <x:v>0</x:v>
      </x:c>
      <x:c r="L528" s="440" t="n">
        <x:f>IF(ISNUMBER(K528),IF(MAX(0,J528*(1+SUM($B$87)/12)-K528)&lt;MAX(0.0000001,$B$86*0.00000000001),0,MAX(0,J528*(1+SUM($B$87)/12)-K528)),"")</x:f>
        <x:v>0</x:v>
      </x:c>
      <x:c r="M528" s="440" t="n">
        <x:f>IF(AND(ISNUMBER(D528),ISNUMBER(K528)),D528+K528,"")</x:f>
        <x:v>4679.450723240598</x:v>
      </x:c>
      <x:c r="N528" s="440" t="n">
        <x:f>IF(AND(ISNUMBER(H528),ISNUMBER(L528)),H528+L528,"")</x:f>
        <x:v>629248.0793356098</x:v>
      </x:c>
    </x:row>
    <x:row r="529" ht="22" customHeight="1">
      <x:c r="A529" s="254" t="n">
        <x:f>129</x:f>
        <x:v>129</x:v>
      </x:c>
      <x:c r="B529" s="440" t="n">
        <x:f>IF(ISNUMBER(H528),H528,"")</x:f>
        <x:v>629248.0793356098</x:v>
      </x:c>
      <x:c r="C529" s="442" t="n">
        <x:f>IF(ISNUMBER(B529),IF(AND(129&gt;$B$173,$B$78="Refinance",ISNUMBER($B$80),$B$80&gt;=0,$B$80&lt;=1,ROUND($B$81*12,0)&gt;=1,$B$81&lt;=100,SUM($B$82)&gt;=0,SUM($B$82)&lt;=1,SUM($B$83)&gt;=0),$B$80,IF(AND($B$175&gt;0,129&gt;$B$175,ISNUMBER($B$75)),$B$75,$B$61)),"")</x:f>
        <x:v>0.0625</x:v>
      </x:c>
      <x:c r="D529" s="440" t="n">
        <x:f>IF(AND(ISNUMBER(B529),B529=0),0,IF(AND($B$171=1,I528=0,ISNUMBER(C529),ISNUMBER(IF(AND(129&lt;=$B$174,129&lt;=$B$173),B529*C529/12,IF(AND(129=$B$173+1,AND(129&gt;$B$173,$B$78="Refinance",ISNUMBER($B$80),$B$80&gt;=0,$B$80&lt;=1,ROUND($B$81*12,0)&gt;=1,$B$81&lt;=100,SUM($B$82)&gt;=0,SUM($B$82)&lt;=1,SUM($B$83)&gt;=0)),IF(B529=0,0,IF(C529=0,B529/ROUND($B$81*12,0),B529*(C529/12)/(1-(1+C529/12)^(-ROUND($B$81*12,0))))),IF(AND(NOT(AND(129&gt;$B$173,$B$78="Refinance",ISNUMBER($B$80),$B$80&gt;=0,$B$80&lt;=1,ROUND($B$81*12,0)&gt;=1,$B$81&lt;=100,SUM($B$82)&gt;=0,SUM($B$82)&lt;=1,SUM($B$83)&gt;=0)),OR(129=1,129=$B$174+1,AND($B$175&gt;0,129=$B$175+1))),IF(AND($B$170=1,$B$66&gt;0,OR($B$175=0,129&lt;=$B$175)),$B$66,IF($B$172-MAX(129-1,$B$174)&gt;0,IF(B529=0,0,IF(C529=0,B529/($B$172-MAX(129-1,$B$174)),B529*(C529/12)/(1-(1+C529/12)^(-($B$172-MAX(129-1,$B$174)))))),"")),D528))))),IF(IF(AND(129&lt;=$B$174,129&lt;=$B$173),B529*C529/12,IF(AND(129=$B$173+1,AND(129&gt;$B$173,$B$78="Refinance",ISNUMBER($B$80),$B$80&gt;=0,$B$80&lt;=1,ROUND($B$81*12,0)&gt;=1,$B$81&lt;=100,SUM($B$82)&gt;=0,SUM($B$82)&lt;=1,SUM($B$83)&gt;=0)),IF(B529=0,0,IF(C529=0,B529/ROUND($B$81*12,0),B529*(C529/12)/(1-(1+C529/12)^(-ROUND($B$81*12,0))))),IF(AND(NOT(AND(129&gt;$B$173,$B$78="Refinance",ISNUMBER($B$80),$B$80&gt;=0,$B$80&lt;=1,ROUND($B$81*12,0)&gt;=1,$B$81&lt;=100,SUM($B$82)&gt;=0,SUM($B$82)&lt;=1,SUM($B$83)&gt;=0)),OR(129=1,129=$B$174+1,AND($B$175&gt;0,129=$B$175+1))),IF(AND($B$170=1,$B$66&gt;0,OR($B$175=0,129&lt;=$B$175)),$B$66,IF($B$172-MAX(129-1,$B$174)&gt;0,IF(B529=0,0,IF(C529=0,B529/($B$172-MAX(129-1,$B$174)),B529*(C529/12)/(1-(1+C529/12)^(-($B$172-MAX(129-1,$B$174)))))),"")),D528)))+0.0000001&gt;=B529*C529/12,MIN(B529*(1+C529/12),IF(AND(129&lt;=$B$174,129&lt;=$B$173),B529*C529/12,IF(AND(129=$B$173+1,AND(129&gt;$B$173,$B$78="Refinance",ISNUMBER($B$80),$B$80&gt;=0,$B$80&lt;=1,ROUND($B$81*12,0)&gt;=1,$B$81&lt;=100,SUM($B$82)&gt;=0,SUM($B$82)&lt;=1,SUM($B$83)&gt;=0)),IF(B529=0,0,IF(C529=0,B529/ROUND($B$81*12,0),B529*(C529/12)/(1-(1+C529/12)^(-ROUND($B$81*12,0))))),IF(AND(NOT(AND(129&gt;$B$173,$B$78="Refinance",ISNUMBER($B$80),$B$80&gt;=0,$B$80&lt;=1,ROUND($B$81*12,0)&gt;=1,$B$81&lt;=100,SUM($B$82)&gt;=0,SUM($B$82)&lt;=1,SUM($B$83)&gt;=0)),OR(129=1,129=$B$174+1,AND($B$175&gt;0,129=$B$175+1))),IF(AND($B$170=1,$B$66&gt;0,OR($B$175=0,129&lt;=$B$175)),$B$66,IF($B$172-MAX(129-1,$B$174)&gt;0,IF(B529=0,0,IF(C529=0,B529/($B$172-MAX(129-1,$B$174)),B529*(C529/12)/(1-(1+C529/12)^(-($B$172-MAX(129-1,$B$174)))))),"")),D528)))),""),""))</x:f>
        <x:v>4679.450723240598</x:v>
      </x:c>
      <x:c r="E529" s="440" t="n">
        <x:f>IF(AND(129=$B$173,ISNUMBER(D529)),IF(MAX(0,B529*(1+C529/12)-D529)&lt;MAX(0.0000001,$E$17*0.00000000001),0,MAX(0,B529*(1+C529/12)-D529)),0)</x:f>
        <x:v>0</x:v>
      </x:c>
      <x:c r="F529" s="440" t="n">
        <x:f>IF($B$78="Cash payoff",E529,0)</x:f>
        <x:v>0</x:v>
      </x:c>
      <x:c r="G529" s="440" t="n">
        <x:f>IF(AND(E529&gt;0,AND($B$78="Refinance",ISNUMBER($B$80),$B$80&gt;=0,$B$80&lt;=1,ROUND($B$81*12,0)&gt;=1,$B$81&lt;=100,SUM($B$82)&gt;=0,SUM($B$82)&lt;=1,SUM($B$83)&gt;=0)),E529*SUM($B$82)+SUM($B$83),0)</x:f>
        <x:v>0</x:v>
      </x:c>
      <x:c r="H529" s="440" t="n">
        <x:f>IF(ISNUMBER(D529),IF(MAX(0,B529*(1+C529/12)-D529-F529)&lt;MAX(0.0000001,$E$17*0.00000000001),0,MAX(0,B529*(1+C529/12)-D529-F529)),IF(AND($B$171=1,I528=1),B529,""))</x:f>
        <x:v>627845.9623589087</x:v>
      </x:c>
      <x:c r="I529" s="444" t="n">
        <x:f>IF(OR(I528=1,AND(E529&gt;0,$B$78&lt;&gt;"Cash payoff",NOT(AND($B$78="Refinance",ISNUMBER($B$80),$B$80&gt;=0,$B$80&lt;=1,ROUND($B$81*12,0)&gt;=1,$B$81&lt;=100,SUM($B$82)&gt;=0,SUM($B$82)&lt;=1,SUM($B$83)&gt;=0))),AND(ISNUMBER(B529),B529&gt;0,$B$171=1,NOT(ISNUMBER(D529)))),1,0)</x:f>
        <x:v>0</x:v>
      </x:c>
      <x:c r="J529" s="440" t="n">
        <x:f>IF(ISNUMBER(L528),L528,"")</x:f>
        <x:v>0</x:v>
      </x:c>
      <x:c r="K529" s="440" t="n">
        <x:f>IF(AND(ISNUMBER(J529),J529=0),0,IF(AND($B$176=1,ISNUMBER(J529)),MIN(J529*(1+$B$87/12),IF($B$86=0,0,IF($B$87=0,$B$86/ROUND($B$88*12,0),$B$86*($B$87/12)/(1-(1+$B$87/12)^(-ROUND($B$88*12,0)))))),""))</x:f>
        <x:v>0</x:v>
      </x:c>
      <x:c r="L529" s="440" t="n">
        <x:f>IF(ISNUMBER(K529),IF(MAX(0,J529*(1+SUM($B$87)/12)-K529)&lt;MAX(0.0000001,$B$86*0.00000000001),0,MAX(0,J529*(1+SUM($B$87)/12)-K529)),"")</x:f>
        <x:v>0</x:v>
      </x:c>
      <x:c r="M529" s="440" t="n">
        <x:f>IF(AND(ISNUMBER(D529),ISNUMBER(K529)),D529+K529,"")</x:f>
        <x:v>4679.450723240598</x:v>
      </x:c>
      <x:c r="N529" s="440" t="n">
        <x:f>IF(AND(ISNUMBER(H529),ISNUMBER(L529)),H529+L529,"")</x:f>
        <x:v>627845.9623589087</x:v>
      </x:c>
    </x:row>
    <x:row r="530" ht="22" customHeight="1">
      <x:c r="A530" s="254" t="n">
        <x:f>130</x:f>
        <x:v>130</x:v>
      </x:c>
      <x:c r="B530" s="440" t="n">
        <x:f>IF(ISNUMBER(H529),H529,"")</x:f>
        <x:v>627845.9623589087</x:v>
      </x:c>
      <x:c r="C530" s="442" t="n">
        <x:f>IF(ISNUMBER(B530),IF(AND(130&gt;$B$173,$B$78="Refinance",ISNUMBER($B$80),$B$80&gt;=0,$B$80&lt;=1,ROUND($B$81*12,0)&gt;=1,$B$81&lt;=100,SUM($B$82)&gt;=0,SUM($B$82)&lt;=1,SUM($B$83)&gt;=0),$B$80,IF(AND($B$175&gt;0,130&gt;$B$175,ISNUMBER($B$75)),$B$75,$B$61)),"")</x:f>
        <x:v>0.0625</x:v>
      </x:c>
      <x:c r="D530" s="440" t="n">
        <x:f>IF(AND(ISNUMBER(B530),B530=0),0,IF(AND($B$171=1,I529=0,ISNUMBER(C530),ISNUMBER(IF(AND(130&lt;=$B$174,130&lt;=$B$173),B530*C530/12,IF(AND(130=$B$173+1,AND(130&gt;$B$173,$B$78="Refinance",ISNUMBER($B$80),$B$80&gt;=0,$B$80&lt;=1,ROUND($B$81*12,0)&gt;=1,$B$81&lt;=100,SUM($B$82)&gt;=0,SUM($B$82)&lt;=1,SUM($B$83)&gt;=0)),IF(B530=0,0,IF(C530=0,B530/ROUND($B$81*12,0),B530*(C530/12)/(1-(1+C530/12)^(-ROUND($B$81*12,0))))),IF(AND(NOT(AND(130&gt;$B$173,$B$78="Refinance",ISNUMBER($B$80),$B$80&gt;=0,$B$80&lt;=1,ROUND($B$81*12,0)&gt;=1,$B$81&lt;=100,SUM($B$82)&gt;=0,SUM($B$82)&lt;=1,SUM($B$83)&gt;=0)),OR(130=1,130=$B$174+1,AND($B$175&gt;0,130=$B$175+1))),IF(AND($B$170=1,$B$66&gt;0,OR($B$175=0,130&lt;=$B$175)),$B$66,IF($B$172-MAX(130-1,$B$174)&gt;0,IF(B530=0,0,IF(C530=0,B530/($B$172-MAX(130-1,$B$174)),B530*(C530/12)/(1-(1+C530/12)^(-($B$172-MAX(130-1,$B$174)))))),"")),D529))))),IF(IF(AND(130&lt;=$B$174,130&lt;=$B$173),B530*C530/12,IF(AND(130=$B$173+1,AND(130&gt;$B$173,$B$78="Refinance",ISNUMBER($B$80),$B$80&gt;=0,$B$80&lt;=1,ROUND($B$81*12,0)&gt;=1,$B$81&lt;=100,SUM($B$82)&gt;=0,SUM($B$82)&lt;=1,SUM($B$83)&gt;=0)),IF(B530=0,0,IF(C530=0,B530/ROUND($B$81*12,0),B530*(C530/12)/(1-(1+C530/12)^(-ROUND($B$81*12,0))))),IF(AND(NOT(AND(130&gt;$B$173,$B$78="Refinance",ISNUMBER($B$80),$B$80&gt;=0,$B$80&lt;=1,ROUND($B$81*12,0)&gt;=1,$B$81&lt;=100,SUM($B$82)&gt;=0,SUM($B$82)&lt;=1,SUM($B$83)&gt;=0)),OR(130=1,130=$B$174+1,AND($B$175&gt;0,130=$B$175+1))),IF(AND($B$170=1,$B$66&gt;0,OR($B$175=0,130&lt;=$B$175)),$B$66,IF($B$172-MAX(130-1,$B$174)&gt;0,IF(B530=0,0,IF(C530=0,B530/($B$172-MAX(130-1,$B$174)),B530*(C530/12)/(1-(1+C530/12)^(-($B$172-MAX(130-1,$B$174)))))),"")),D529)))+0.0000001&gt;=B530*C530/12,MIN(B530*(1+C530/12),IF(AND(130&lt;=$B$174,130&lt;=$B$173),B530*C530/12,IF(AND(130=$B$173+1,AND(130&gt;$B$173,$B$78="Refinance",ISNUMBER($B$80),$B$80&gt;=0,$B$80&lt;=1,ROUND($B$81*12,0)&gt;=1,$B$81&lt;=100,SUM($B$82)&gt;=0,SUM($B$82)&lt;=1,SUM($B$83)&gt;=0)),IF(B530=0,0,IF(C530=0,B530/ROUND($B$81*12,0),B530*(C530/12)/(1-(1+C530/12)^(-ROUND($B$81*12,0))))),IF(AND(NOT(AND(130&gt;$B$173,$B$78="Refinance",ISNUMBER($B$80),$B$80&gt;=0,$B$80&lt;=1,ROUND($B$81*12,0)&gt;=1,$B$81&lt;=100,SUM($B$82)&gt;=0,SUM($B$82)&lt;=1,SUM($B$83)&gt;=0)),OR(130=1,130=$B$174+1,AND($B$175&gt;0,130=$B$175+1))),IF(AND($B$170=1,$B$66&gt;0,OR($B$175=0,130&lt;=$B$175)),$B$66,IF($B$172-MAX(130-1,$B$174)&gt;0,IF(B530=0,0,IF(C530=0,B530/($B$172-MAX(130-1,$B$174)),B530*(C530/12)/(1-(1+C530/12)^(-($B$172-MAX(130-1,$B$174)))))),"")),D529)))),""),""))</x:f>
        <x:v>4679.450723240598</x:v>
      </x:c>
      <x:c r="E530" s="440" t="n">
        <x:f>IF(AND(130=$B$173,ISNUMBER(D530)),IF(MAX(0,B530*(1+C530/12)-D530)&lt;MAX(0.0000001,$E$17*0.00000000001),0,MAX(0,B530*(1+C530/12)-D530)),0)</x:f>
        <x:v>0</x:v>
      </x:c>
      <x:c r="F530" s="440" t="n">
        <x:f>IF($B$78="Cash payoff",E530,0)</x:f>
        <x:v>0</x:v>
      </x:c>
      <x:c r="G530" s="440" t="n">
        <x:f>IF(AND(E530&gt;0,AND($B$78="Refinance",ISNUMBER($B$80),$B$80&gt;=0,$B$80&lt;=1,ROUND($B$81*12,0)&gt;=1,$B$81&lt;=100,SUM($B$82)&gt;=0,SUM($B$82)&lt;=1,SUM($B$83)&gt;=0)),E530*SUM($B$82)+SUM($B$83),0)</x:f>
        <x:v>0</x:v>
      </x:c>
      <x:c r="H530" s="440" t="n">
        <x:f>IF(ISNUMBER(D530),IF(MAX(0,B530*(1+C530/12)-D530-F530)&lt;MAX(0.0000001,$E$17*0.00000000001),0,MAX(0,B530*(1+C530/12)-D530-F530)),IF(AND($B$171=1,I529=1),B530,""))</x:f>
        <x:v>626436.5426896208</x:v>
      </x:c>
      <x:c r="I530" s="444" t="n">
        <x:f>IF(OR(I529=1,AND(E530&gt;0,$B$78&lt;&gt;"Cash payoff",NOT(AND($B$78="Refinance",ISNUMBER($B$80),$B$80&gt;=0,$B$80&lt;=1,ROUND($B$81*12,0)&gt;=1,$B$81&lt;=100,SUM($B$82)&gt;=0,SUM($B$82)&lt;=1,SUM($B$83)&gt;=0))),AND(ISNUMBER(B530),B530&gt;0,$B$171=1,NOT(ISNUMBER(D530)))),1,0)</x:f>
        <x:v>0</x:v>
      </x:c>
      <x:c r="J530" s="440" t="n">
        <x:f>IF(ISNUMBER(L529),L529,"")</x:f>
        <x:v>0</x:v>
      </x:c>
      <x:c r="K530" s="440" t="n">
        <x:f>IF(AND(ISNUMBER(J530),J530=0),0,IF(AND($B$176=1,ISNUMBER(J530)),MIN(J530*(1+$B$87/12),IF($B$86=0,0,IF($B$87=0,$B$86/ROUND($B$88*12,0),$B$86*($B$87/12)/(1-(1+$B$87/12)^(-ROUND($B$88*12,0)))))),""))</x:f>
        <x:v>0</x:v>
      </x:c>
      <x:c r="L530" s="440" t="n">
        <x:f>IF(ISNUMBER(K530),IF(MAX(0,J530*(1+SUM($B$87)/12)-K530)&lt;MAX(0.0000001,$B$86*0.00000000001),0,MAX(0,J530*(1+SUM($B$87)/12)-K530)),"")</x:f>
        <x:v>0</x:v>
      </x:c>
      <x:c r="M530" s="440" t="n">
        <x:f>IF(AND(ISNUMBER(D530),ISNUMBER(K530)),D530+K530,"")</x:f>
        <x:v>4679.450723240598</x:v>
      </x:c>
      <x:c r="N530" s="440" t="n">
        <x:f>IF(AND(ISNUMBER(H530),ISNUMBER(L530)),H530+L530,"")</x:f>
        <x:v>626436.5426896208</x:v>
      </x:c>
    </x:row>
    <x:row r="531" ht="22" customHeight="1">
      <x:c r="A531" s="254" t="n">
        <x:f>131</x:f>
        <x:v>131</x:v>
      </x:c>
      <x:c r="B531" s="440" t="n">
        <x:f>IF(ISNUMBER(H530),H530,"")</x:f>
        <x:v>626436.5426896208</x:v>
      </x:c>
      <x:c r="C531" s="442" t="n">
        <x:f>IF(ISNUMBER(B531),IF(AND(131&gt;$B$173,$B$78="Refinance",ISNUMBER($B$80),$B$80&gt;=0,$B$80&lt;=1,ROUND($B$81*12,0)&gt;=1,$B$81&lt;=100,SUM($B$82)&gt;=0,SUM($B$82)&lt;=1,SUM($B$83)&gt;=0),$B$80,IF(AND($B$175&gt;0,131&gt;$B$175,ISNUMBER($B$75)),$B$75,$B$61)),"")</x:f>
        <x:v>0.0625</x:v>
      </x:c>
      <x:c r="D531" s="440" t="n">
        <x:f>IF(AND(ISNUMBER(B531),B531=0),0,IF(AND($B$171=1,I530=0,ISNUMBER(C531),ISNUMBER(IF(AND(131&lt;=$B$174,131&lt;=$B$173),B531*C531/12,IF(AND(131=$B$173+1,AND(131&gt;$B$173,$B$78="Refinance",ISNUMBER($B$80),$B$80&gt;=0,$B$80&lt;=1,ROUND($B$81*12,0)&gt;=1,$B$81&lt;=100,SUM($B$82)&gt;=0,SUM($B$82)&lt;=1,SUM($B$83)&gt;=0)),IF(B531=0,0,IF(C531=0,B531/ROUND($B$81*12,0),B531*(C531/12)/(1-(1+C531/12)^(-ROUND($B$81*12,0))))),IF(AND(NOT(AND(131&gt;$B$173,$B$78="Refinance",ISNUMBER($B$80),$B$80&gt;=0,$B$80&lt;=1,ROUND($B$81*12,0)&gt;=1,$B$81&lt;=100,SUM($B$82)&gt;=0,SUM($B$82)&lt;=1,SUM($B$83)&gt;=0)),OR(131=1,131=$B$174+1,AND($B$175&gt;0,131=$B$175+1))),IF(AND($B$170=1,$B$66&gt;0,OR($B$175=0,131&lt;=$B$175)),$B$66,IF($B$172-MAX(131-1,$B$174)&gt;0,IF(B531=0,0,IF(C531=0,B531/($B$172-MAX(131-1,$B$174)),B531*(C531/12)/(1-(1+C531/12)^(-($B$172-MAX(131-1,$B$174)))))),"")),D530))))),IF(IF(AND(131&lt;=$B$174,131&lt;=$B$173),B531*C531/12,IF(AND(131=$B$173+1,AND(131&gt;$B$173,$B$78="Refinance",ISNUMBER($B$80),$B$80&gt;=0,$B$80&lt;=1,ROUND($B$81*12,0)&gt;=1,$B$81&lt;=100,SUM($B$82)&gt;=0,SUM($B$82)&lt;=1,SUM($B$83)&gt;=0)),IF(B531=0,0,IF(C531=0,B531/ROUND($B$81*12,0),B531*(C531/12)/(1-(1+C531/12)^(-ROUND($B$81*12,0))))),IF(AND(NOT(AND(131&gt;$B$173,$B$78="Refinance",ISNUMBER($B$80),$B$80&gt;=0,$B$80&lt;=1,ROUND($B$81*12,0)&gt;=1,$B$81&lt;=100,SUM($B$82)&gt;=0,SUM($B$82)&lt;=1,SUM($B$83)&gt;=0)),OR(131=1,131=$B$174+1,AND($B$175&gt;0,131=$B$175+1))),IF(AND($B$170=1,$B$66&gt;0,OR($B$175=0,131&lt;=$B$175)),$B$66,IF($B$172-MAX(131-1,$B$174)&gt;0,IF(B531=0,0,IF(C531=0,B531/($B$172-MAX(131-1,$B$174)),B531*(C531/12)/(1-(1+C531/12)^(-($B$172-MAX(131-1,$B$174)))))),"")),D530)))+0.0000001&gt;=B531*C531/12,MIN(B531*(1+C531/12),IF(AND(131&lt;=$B$174,131&lt;=$B$173),B531*C531/12,IF(AND(131=$B$173+1,AND(131&gt;$B$173,$B$78="Refinance",ISNUMBER($B$80),$B$80&gt;=0,$B$80&lt;=1,ROUND($B$81*12,0)&gt;=1,$B$81&lt;=100,SUM($B$82)&gt;=0,SUM($B$82)&lt;=1,SUM($B$83)&gt;=0)),IF(B531=0,0,IF(C531=0,B531/ROUND($B$81*12,0),B531*(C531/12)/(1-(1+C531/12)^(-ROUND($B$81*12,0))))),IF(AND(NOT(AND(131&gt;$B$173,$B$78="Refinance",ISNUMBER($B$80),$B$80&gt;=0,$B$80&lt;=1,ROUND($B$81*12,0)&gt;=1,$B$81&lt;=100,SUM($B$82)&gt;=0,SUM($B$82)&lt;=1,SUM($B$83)&gt;=0)),OR(131=1,131=$B$174+1,AND($B$175&gt;0,131=$B$175+1))),IF(AND($B$170=1,$B$66&gt;0,OR($B$175=0,131&lt;=$B$175)),$B$66,IF($B$172-MAX(131-1,$B$174)&gt;0,IF(B531=0,0,IF(C531=0,B531/($B$172-MAX(131-1,$B$174)),B531*(C531/12)/(1-(1+C531/12)^(-($B$172-MAX(131-1,$B$174)))))),"")),D530)))),""),""))</x:f>
        <x:v>4679.450723240598</x:v>
      </x:c>
      <x:c r="E531" s="440" t="n">
        <x:f>IF(AND(131=$B$173,ISNUMBER(D531)),IF(MAX(0,B531*(1+C531/12)-D531)&lt;MAX(0.0000001,$E$17*0.00000000001),0,MAX(0,B531*(1+C531/12)-D531)),0)</x:f>
        <x:v>0</x:v>
      </x:c>
      <x:c r="F531" s="440" t="n">
        <x:f>IF($B$78="Cash payoff",E531,0)</x:f>
        <x:v>0</x:v>
      </x:c>
      <x:c r="G531" s="440" t="n">
        <x:f>IF(AND(E531&gt;0,AND($B$78="Refinance",ISNUMBER($B$80),$B$80&gt;=0,$B$80&lt;=1,ROUND($B$81*12,0)&gt;=1,$B$81&lt;=100,SUM($B$82)&gt;=0,SUM($B$82)&lt;=1,SUM($B$83)&gt;=0)),E531*SUM($B$82)+SUM($B$83),0)</x:f>
        <x:v>0</x:v>
      </x:c>
      <x:c r="H531" s="440" t="n">
        <x:f>IF(ISNUMBER(D531),IF(MAX(0,B531*(1+C531/12)-D531-F531)&lt;MAX(0.0000001,$E$17*0.00000000001),0,MAX(0,B531*(1+C531/12)-D531-F531)),IF(AND($B$171=1,I530=1),B531,""))</x:f>
        <x:v>625019.7822928885</x:v>
      </x:c>
      <x:c r="I531" s="444" t="n">
        <x:f>IF(OR(I530=1,AND(E531&gt;0,$B$78&lt;&gt;"Cash payoff",NOT(AND($B$78="Refinance",ISNUMBER($B$80),$B$80&gt;=0,$B$80&lt;=1,ROUND($B$81*12,0)&gt;=1,$B$81&lt;=100,SUM($B$82)&gt;=0,SUM($B$82)&lt;=1,SUM($B$83)&gt;=0))),AND(ISNUMBER(B531),B531&gt;0,$B$171=1,NOT(ISNUMBER(D531)))),1,0)</x:f>
        <x:v>0</x:v>
      </x:c>
      <x:c r="J531" s="440" t="n">
        <x:f>IF(ISNUMBER(L530),L530,"")</x:f>
        <x:v>0</x:v>
      </x:c>
      <x:c r="K531" s="440" t="n">
        <x:f>IF(AND(ISNUMBER(J531),J531=0),0,IF(AND($B$176=1,ISNUMBER(J531)),MIN(J531*(1+$B$87/12),IF($B$86=0,0,IF($B$87=0,$B$86/ROUND($B$88*12,0),$B$86*($B$87/12)/(1-(1+$B$87/12)^(-ROUND($B$88*12,0)))))),""))</x:f>
        <x:v>0</x:v>
      </x:c>
      <x:c r="L531" s="440" t="n">
        <x:f>IF(ISNUMBER(K531),IF(MAX(0,J531*(1+SUM($B$87)/12)-K531)&lt;MAX(0.0000001,$B$86*0.00000000001),0,MAX(0,J531*(1+SUM($B$87)/12)-K531)),"")</x:f>
        <x:v>0</x:v>
      </x:c>
      <x:c r="M531" s="440" t="n">
        <x:f>IF(AND(ISNUMBER(D531),ISNUMBER(K531)),D531+K531,"")</x:f>
        <x:v>4679.450723240598</x:v>
      </x:c>
      <x:c r="N531" s="440" t="n">
        <x:f>IF(AND(ISNUMBER(H531),ISNUMBER(L531)),H531+L531,"")</x:f>
        <x:v>625019.7822928885</x:v>
      </x:c>
    </x:row>
    <x:row r="532" ht="22" customHeight="1">
      <x:c r="A532" s="254" t="n">
        <x:f>132</x:f>
        <x:v>132</x:v>
      </x:c>
      <x:c r="B532" s="440" t="n">
        <x:f>IF(ISNUMBER(H531),H531,"")</x:f>
        <x:v>625019.7822928885</x:v>
      </x:c>
      <x:c r="C532" s="442" t="n">
        <x:f>IF(ISNUMBER(B532),IF(AND(132&gt;$B$173,$B$78="Refinance",ISNUMBER($B$80),$B$80&gt;=0,$B$80&lt;=1,ROUND($B$81*12,0)&gt;=1,$B$81&lt;=100,SUM($B$82)&gt;=0,SUM($B$82)&lt;=1,SUM($B$83)&gt;=0),$B$80,IF(AND($B$175&gt;0,132&gt;$B$175,ISNUMBER($B$75)),$B$75,$B$61)),"")</x:f>
        <x:v>0.0625</x:v>
      </x:c>
      <x:c r="D532" s="440" t="n">
        <x:f>IF(AND(ISNUMBER(B532),B532=0),0,IF(AND($B$171=1,I531=0,ISNUMBER(C532),ISNUMBER(IF(AND(132&lt;=$B$174,132&lt;=$B$173),B532*C532/12,IF(AND(132=$B$173+1,AND(132&gt;$B$173,$B$78="Refinance",ISNUMBER($B$80),$B$80&gt;=0,$B$80&lt;=1,ROUND($B$81*12,0)&gt;=1,$B$81&lt;=100,SUM($B$82)&gt;=0,SUM($B$82)&lt;=1,SUM($B$83)&gt;=0)),IF(B532=0,0,IF(C532=0,B532/ROUND($B$81*12,0),B532*(C532/12)/(1-(1+C532/12)^(-ROUND($B$81*12,0))))),IF(AND(NOT(AND(132&gt;$B$173,$B$78="Refinance",ISNUMBER($B$80),$B$80&gt;=0,$B$80&lt;=1,ROUND($B$81*12,0)&gt;=1,$B$81&lt;=100,SUM($B$82)&gt;=0,SUM($B$82)&lt;=1,SUM($B$83)&gt;=0)),OR(132=1,132=$B$174+1,AND($B$175&gt;0,132=$B$175+1))),IF(AND($B$170=1,$B$66&gt;0,OR($B$175=0,132&lt;=$B$175)),$B$66,IF($B$172-MAX(132-1,$B$174)&gt;0,IF(B532=0,0,IF(C532=0,B532/($B$172-MAX(132-1,$B$174)),B532*(C532/12)/(1-(1+C532/12)^(-($B$172-MAX(132-1,$B$174)))))),"")),D531))))),IF(IF(AND(132&lt;=$B$174,132&lt;=$B$173),B532*C532/12,IF(AND(132=$B$173+1,AND(132&gt;$B$173,$B$78="Refinance",ISNUMBER($B$80),$B$80&gt;=0,$B$80&lt;=1,ROUND($B$81*12,0)&gt;=1,$B$81&lt;=100,SUM($B$82)&gt;=0,SUM($B$82)&lt;=1,SUM($B$83)&gt;=0)),IF(B532=0,0,IF(C532=0,B532/ROUND($B$81*12,0),B532*(C532/12)/(1-(1+C532/12)^(-ROUND($B$81*12,0))))),IF(AND(NOT(AND(132&gt;$B$173,$B$78="Refinance",ISNUMBER($B$80),$B$80&gt;=0,$B$80&lt;=1,ROUND($B$81*12,0)&gt;=1,$B$81&lt;=100,SUM($B$82)&gt;=0,SUM($B$82)&lt;=1,SUM($B$83)&gt;=0)),OR(132=1,132=$B$174+1,AND($B$175&gt;0,132=$B$175+1))),IF(AND($B$170=1,$B$66&gt;0,OR($B$175=0,132&lt;=$B$175)),$B$66,IF($B$172-MAX(132-1,$B$174)&gt;0,IF(B532=0,0,IF(C532=0,B532/($B$172-MAX(132-1,$B$174)),B532*(C532/12)/(1-(1+C532/12)^(-($B$172-MAX(132-1,$B$174)))))),"")),D531)))+0.0000001&gt;=B532*C532/12,MIN(B532*(1+C532/12),IF(AND(132&lt;=$B$174,132&lt;=$B$173),B532*C532/12,IF(AND(132=$B$173+1,AND(132&gt;$B$173,$B$78="Refinance",ISNUMBER($B$80),$B$80&gt;=0,$B$80&lt;=1,ROUND($B$81*12,0)&gt;=1,$B$81&lt;=100,SUM($B$82)&gt;=0,SUM($B$82)&lt;=1,SUM($B$83)&gt;=0)),IF(B532=0,0,IF(C532=0,B532/ROUND($B$81*12,0),B532*(C532/12)/(1-(1+C532/12)^(-ROUND($B$81*12,0))))),IF(AND(NOT(AND(132&gt;$B$173,$B$78="Refinance",ISNUMBER($B$80),$B$80&gt;=0,$B$80&lt;=1,ROUND($B$81*12,0)&gt;=1,$B$81&lt;=100,SUM($B$82)&gt;=0,SUM($B$82)&lt;=1,SUM($B$83)&gt;=0)),OR(132=1,132=$B$174+1,AND($B$175&gt;0,132=$B$175+1))),IF(AND($B$170=1,$B$66&gt;0,OR($B$175=0,132&lt;=$B$175)),$B$66,IF($B$172-MAX(132-1,$B$174)&gt;0,IF(B532=0,0,IF(C532=0,B532/($B$172-MAX(132-1,$B$174)),B532*(C532/12)/(1-(1+C532/12)^(-($B$172-MAX(132-1,$B$174)))))),"")),D531)))),""),""))</x:f>
        <x:v>4679.450723240598</x:v>
      </x:c>
      <x:c r="E532" s="440" t="n">
        <x:f>IF(AND(132=$B$173,ISNUMBER(D532)),IF(MAX(0,B532*(1+C532/12)-D532)&lt;MAX(0.0000001,$E$17*0.00000000001),0,MAX(0,B532*(1+C532/12)-D532)),0)</x:f>
        <x:v>0</x:v>
      </x:c>
      <x:c r="F532" s="440" t="n">
        <x:f>IF($B$78="Cash payoff",E532,0)</x:f>
        <x:v>0</x:v>
      </x:c>
      <x:c r="G532" s="440" t="n">
        <x:f>IF(AND(E532&gt;0,AND($B$78="Refinance",ISNUMBER($B$80),$B$80&gt;=0,$B$80&lt;=1,ROUND($B$81*12,0)&gt;=1,$B$81&lt;=100,SUM($B$82)&gt;=0,SUM($B$82)&lt;=1,SUM($B$83)&gt;=0)),E532*SUM($B$82)+SUM($B$83),0)</x:f>
        <x:v>0</x:v>
      </x:c>
      <x:c r="H532" s="440" t="n">
        <x:f>IF(ISNUMBER(D532),IF(MAX(0,B532*(1+C532/12)-D532-F532)&lt;MAX(0.0000001,$E$17*0.00000000001),0,MAX(0,B532*(1+C532/12)-D532-F532)),IF(AND($B$171=1,I531=1),B532,""))</x:f>
        <x:v>623595.6429357566</x:v>
      </x:c>
      <x:c r="I532" s="444" t="n">
        <x:f>IF(OR(I531=1,AND(E532&gt;0,$B$78&lt;&gt;"Cash payoff",NOT(AND($B$78="Refinance",ISNUMBER($B$80),$B$80&gt;=0,$B$80&lt;=1,ROUND($B$81*12,0)&gt;=1,$B$81&lt;=100,SUM($B$82)&gt;=0,SUM($B$82)&lt;=1,SUM($B$83)&gt;=0))),AND(ISNUMBER(B532),B532&gt;0,$B$171=1,NOT(ISNUMBER(D532)))),1,0)</x:f>
        <x:v>0</x:v>
      </x:c>
      <x:c r="J532" s="440" t="n">
        <x:f>IF(ISNUMBER(L531),L531,"")</x:f>
        <x:v>0</x:v>
      </x:c>
      <x:c r="K532" s="440" t="n">
        <x:f>IF(AND(ISNUMBER(J532),J532=0),0,IF(AND($B$176=1,ISNUMBER(J532)),MIN(J532*(1+$B$87/12),IF($B$86=0,0,IF($B$87=0,$B$86/ROUND($B$88*12,0),$B$86*($B$87/12)/(1-(1+$B$87/12)^(-ROUND($B$88*12,0)))))),""))</x:f>
        <x:v>0</x:v>
      </x:c>
      <x:c r="L532" s="440" t="n">
        <x:f>IF(ISNUMBER(K532),IF(MAX(0,J532*(1+SUM($B$87)/12)-K532)&lt;MAX(0.0000001,$B$86*0.00000000001),0,MAX(0,J532*(1+SUM($B$87)/12)-K532)),"")</x:f>
        <x:v>0</x:v>
      </x:c>
      <x:c r="M532" s="440" t="n">
        <x:f>IF(AND(ISNUMBER(D532),ISNUMBER(K532)),D532+K532,"")</x:f>
        <x:v>4679.450723240598</x:v>
      </x:c>
      <x:c r="N532" s="440" t="n">
        <x:f>IF(AND(ISNUMBER(H532),ISNUMBER(L532)),H532+L532,"")</x:f>
        <x:v>623595.6429357566</x:v>
      </x:c>
    </x:row>
    <x:row r="533" ht="22" customHeight="1">
      <x:c r="A533" s="254" t="n">
        <x:f>133</x:f>
        <x:v>133</x:v>
      </x:c>
      <x:c r="B533" s="440" t="n">
        <x:f>IF(ISNUMBER(H532),H532,"")</x:f>
        <x:v>623595.6429357566</x:v>
      </x:c>
      <x:c r="C533" s="442" t="n">
        <x:f>IF(ISNUMBER(B533),IF(AND(133&gt;$B$173,$B$78="Refinance",ISNUMBER($B$80),$B$80&gt;=0,$B$80&lt;=1,ROUND($B$81*12,0)&gt;=1,$B$81&lt;=100,SUM($B$82)&gt;=0,SUM($B$82)&lt;=1,SUM($B$83)&gt;=0),$B$80,IF(AND($B$175&gt;0,133&gt;$B$175,ISNUMBER($B$75)),$B$75,$B$61)),"")</x:f>
        <x:v>0.0625</x:v>
      </x:c>
      <x:c r="D533" s="440" t="n">
        <x:f>IF(AND(ISNUMBER(B533),B533=0),0,IF(AND($B$171=1,I532=0,ISNUMBER(C533),ISNUMBER(IF(AND(133&lt;=$B$174,133&lt;=$B$173),B533*C533/12,IF(AND(133=$B$173+1,AND(133&gt;$B$173,$B$78="Refinance",ISNUMBER($B$80),$B$80&gt;=0,$B$80&lt;=1,ROUND($B$81*12,0)&gt;=1,$B$81&lt;=100,SUM($B$82)&gt;=0,SUM($B$82)&lt;=1,SUM($B$83)&gt;=0)),IF(B533=0,0,IF(C533=0,B533/ROUND($B$81*12,0),B533*(C533/12)/(1-(1+C533/12)^(-ROUND($B$81*12,0))))),IF(AND(NOT(AND(133&gt;$B$173,$B$78="Refinance",ISNUMBER($B$80),$B$80&gt;=0,$B$80&lt;=1,ROUND($B$81*12,0)&gt;=1,$B$81&lt;=100,SUM($B$82)&gt;=0,SUM($B$82)&lt;=1,SUM($B$83)&gt;=0)),OR(133=1,133=$B$174+1,AND($B$175&gt;0,133=$B$175+1))),IF(AND($B$170=1,$B$66&gt;0,OR($B$175=0,133&lt;=$B$175)),$B$66,IF($B$172-MAX(133-1,$B$174)&gt;0,IF(B533=0,0,IF(C533=0,B533/($B$172-MAX(133-1,$B$174)),B533*(C533/12)/(1-(1+C533/12)^(-($B$172-MAX(133-1,$B$174)))))),"")),D532))))),IF(IF(AND(133&lt;=$B$174,133&lt;=$B$173),B533*C533/12,IF(AND(133=$B$173+1,AND(133&gt;$B$173,$B$78="Refinance",ISNUMBER($B$80),$B$80&gt;=0,$B$80&lt;=1,ROUND($B$81*12,0)&gt;=1,$B$81&lt;=100,SUM($B$82)&gt;=0,SUM($B$82)&lt;=1,SUM($B$83)&gt;=0)),IF(B533=0,0,IF(C533=0,B533/ROUND($B$81*12,0),B533*(C533/12)/(1-(1+C533/12)^(-ROUND($B$81*12,0))))),IF(AND(NOT(AND(133&gt;$B$173,$B$78="Refinance",ISNUMBER($B$80),$B$80&gt;=0,$B$80&lt;=1,ROUND($B$81*12,0)&gt;=1,$B$81&lt;=100,SUM($B$82)&gt;=0,SUM($B$82)&lt;=1,SUM($B$83)&gt;=0)),OR(133=1,133=$B$174+1,AND($B$175&gt;0,133=$B$175+1))),IF(AND($B$170=1,$B$66&gt;0,OR($B$175=0,133&lt;=$B$175)),$B$66,IF($B$172-MAX(133-1,$B$174)&gt;0,IF(B533=0,0,IF(C533=0,B533/($B$172-MAX(133-1,$B$174)),B533*(C533/12)/(1-(1+C533/12)^(-($B$172-MAX(133-1,$B$174)))))),"")),D532)))+0.0000001&gt;=B533*C533/12,MIN(B533*(1+C533/12),IF(AND(133&lt;=$B$174,133&lt;=$B$173),B533*C533/12,IF(AND(133=$B$173+1,AND(133&gt;$B$173,$B$78="Refinance",ISNUMBER($B$80),$B$80&gt;=0,$B$80&lt;=1,ROUND($B$81*12,0)&gt;=1,$B$81&lt;=100,SUM($B$82)&gt;=0,SUM($B$82)&lt;=1,SUM($B$83)&gt;=0)),IF(B533=0,0,IF(C533=0,B533/ROUND($B$81*12,0),B533*(C533/12)/(1-(1+C533/12)^(-ROUND($B$81*12,0))))),IF(AND(NOT(AND(133&gt;$B$173,$B$78="Refinance",ISNUMBER($B$80),$B$80&gt;=0,$B$80&lt;=1,ROUND($B$81*12,0)&gt;=1,$B$81&lt;=100,SUM($B$82)&gt;=0,SUM($B$82)&lt;=1,SUM($B$83)&gt;=0)),OR(133=1,133=$B$174+1,AND($B$175&gt;0,133=$B$175+1))),IF(AND($B$170=1,$B$66&gt;0,OR($B$175=0,133&lt;=$B$175)),$B$66,IF($B$172-MAX(133-1,$B$174)&gt;0,IF(B533=0,0,IF(C533=0,B533/($B$172-MAX(133-1,$B$174)),B533*(C533/12)/(1-(1+C533/12)^(-($B$172-MAX(133-1,$B$174)))))),"")),D532)))),""),""))</x:f>
        <x:v>4679.450723240598</x:v>
      </x:c>
      <x:c r="E533" s="440" t="n">
        <x:f>IF(AND(133=$B$173,ISNUMBER(D533)),IF(MAX(0,B533*(1+C533/12)-D533)&lt;MAX(0.0000001,$E$17*0.00000000001),0,MAX(0,B533*(1+C533/12)-D533)),0)</x:f>
        <x:v>0</x:v>
      </x:c>
      <x:c r="F533" s="440" t="n">
        <x:f>IF($B$78="Cash payoff",E533,0)</x:f>
        <x:v>0</x:v>
      </x:c>
      <x:c r="G533" s="440" t="n">
        <x:f>IF(AND(E533&gt;0,AND($B$78="Refinance",ISNUMBER($B$80),$B$80&gt;=0,$B$80&lt;=1,ROUND($B$81*12,0)&gt;=1,$B$81&lt;=100,SUM($B$82)&gt;=0,SUM($B$82)&lt;=1,SUM($B$83)&gt;=0)),E533*SUM($B$82)+SUM($B$83),0)</x:f>
        <x:v>0</x:v>
      </x:c>
      <x:c r="H533" s="440" t="n">
        <x:f>IF(ISNUMBER(D533),IF(MAX(0,B533*(1+C533/12)-D533-F533)&lt;MAX(0.0000001,$E$17*0.00000000001),0,MAX(0,B533*(1+C533/12)-D533-F533)),IF(AND($B$171=1,I532=1),B533,""))</x:f>
        <x:v>622164.0861861396</x:v>
      </x:c>
      <x:c r="I533" s="444" t="n">
        <x:f>IF(OR(I532=1,AND(E533&gt;0,$B$78&lt;&gt;"Cash payoff",NOT(AND($B$78="Refinance",ISNUMBER($B$80),$B$80&gt;=0,$B$80&lt;=1,ROUND($B$81*12,0)&gt;=1,$B$81&lt;=100,SUM($B$82)&gt;=0,SUM($B$82)&lt;=1,SUM($B$83)&gt;=0))),AND(ISNUMBER(B533),B533&gt;0,$B$171=1,NOT(ISNUMBER(D533)))),1,0)</x:f>
        <x:v>0</x:v>
      </x:c>
      <x:c r="J533" s="440" t="n">
        <x:f>IF(ISNUMBER(L532),L532,"")</x:f>
        <x:v>0</x:v>
      </x:c>
      <x:c r="K533" s="440" t="n">
        <x:f>IF(AND(ISNUMBER(J533),J533=0),0,IF(AND($B$176=1,ISNUMBER(J533)),MIN(J533*(1+$B$87/12),IF($B$86=0,0,IF($B$87=0,$B$86/ROUND($B$88*12,0),$B$86*($B$87/12)/(1-(1+$B$87/12)^(-ROUND($B$88*12,0)))))),""))</x:f>
        <x:v>0</x:v>
      </x:c>
      <x:c r="L533" s="440" t="n">
        <x:f>IF(ISNUMBER(K533),IF(MAX(0,J533*(1+SUM($B$87)/12)-K533)&lt;MAX(0.0000001,$B$86*0.00000000001),0,MAX(0,J533*(1+SUM($B$87)/12)-K533)),"")</x:f>
        <x:v>0</x:v>
      </x:c>
      <x:c r="M533" s="440" t="n">
        <x:f>IF(AND(ISNUMBER(D533),ISNUMBER(K533)),D533+K533,"")</x:f>
        <x:v>4679.450723240598</x:v>
      </x:c>
      <x:c r="N533" s="440" t="n">
        <x:f>IF(AND(ISNUMBER(H533),ISNUMBER(L533)),H533+L533,"")</x:f>
        <x:v>622164.0861861396</x:v>
      </x:c>
    </x:row>
    <x:row r="534" ht="22" customHeight="1">
      <x:c r="A534" s="254" t="n">
        <x:f>134</x:f>
        <x:v>134</x:v>
      </x:c>
      <x:c r="B534" s="440" t="n">
        <x:f>IF(ISNUMBER(H533),H533,"")</x:f>
        <x:v>622164.0861861396</x:v>
      </x:c>
      <x:c r="C534" s="442" t="n">
        <x:f>IF(ISNUMBER(B534),IF(AND(134&gt;$B$173,$B$78="Refinance",ISNUMBER($B$80),$B$80&gt;=0,$B$80&lt;=1,ROUND($B$81*12,0)&gt;=1,$B$81&lt;=100,SUM($B$82)&gt;=0,SUM($B$82)&lt;=1,SUM($B$83)&gt;=0),$B$80,IF(AND($B$175&gt;0,134&gt;$B$175,ISNUMBER($B$75)),$B$75,$B$61)),"")</x:f>
        <x:v>0.0625</x:v>
      </x:c>
      <x:c r="D534" s="440" t="n">
        <x:f>IF(AND(ISNUMBER(B534),B534=0),0,IF(AND($B$171=1,I533=0,ISNUMBER(C534),ISNUMBER(IF(AND(134&lt;=$B$174,134&lt;=$B$173),B534*C534/12,IF(AND(134=$B$173+1,AND(134&gt;$B$173,$B$78="Refinance",ISNUMBER($B$80),$B$80&gt;=0,$B$80&lt;=1,ROUND($B$81*12,0)&gt;=1,$B$81&lt;=100,SUM($B$82)&gt;=0,SUM($B$82)&lt;=1,SUM($B$83)&gt;=0)),IF(B534=0,0,IF(C534=0,B534/ROUND($B$81*12,0),B534*(C534/12)/(1-(1+C534/12)^(-ROUND($B$81*12,0))))),IF(AND(NOT(AND(134&gt;$B$173,$B$78="Refinance",ISNUMBER($B$80),$B$80&gt;=0,$B$80&lt;=1,ROUND($B$81*12,0)&gt;=1,$B$81&lt;=100,SUM($B$82)&gt;=0,SUM($B$82)&lt;=1,SUM($B$83)&gt;=0)),OR(134=1,134=$B$174+1,AND($B$175&gt;0,134=$B$175+1))),IF(AND($B$170=1,$B$66&gt;0,OR($B$175=0,134&lt;=$B$175)),$B$66,IF($B$172-MAX(134-1,$B$174)&gt;0,IF(B534=0,0,IF(C534=0,B534/($B$172-MAX(134-1,$B$174)),B534*(C534/12)/(1-(1+C534/12)^(-($B$172-MAX(134-1,$B$174)))))),"")),D533))))),IF(IF(AND(134&lt;=$B$174,134&lt;=$B$173),B534*C534/12,IF(AND(134=$B$173+1,AND(134&gt;$B$173,$B$78="Refinance",ISNUMBER($B$80),$B$80&gt;=0,$B$80&lt;=1,ROUND($B$81*12,0)&gt;=1,$B$81&lt;=100,SUM($B$82)&gt;=0,SUM($B$82)&lt;=1,SUM($B$83)&gt;=0)),IF(B534=0,0,IF(C534=0,B534/ROUND($B$81*12,0),B534*(C534/12)/(1-(1+C534/12)^(-ROUND($B$81*12,0))))),IF(AND(NOT(AND(134&gt;$B$173,$B$78="Refinance",ISNUMBER($B$80),$B$80&gt;=0,$B$80&lt;=1,ROUND($B$81*12,0)&gt;=1,$B$81&lt;=100,SUM($B$82)&gt;=0,SUM($B$82)&lt;=1,SUM($B$83)&gt;=0)),OR(134=1,134=$B$174+1,AND($B$175&gt;0,134=$B$175+1))),IF(AND($B$170=1,$B$66&gt;0,OR($B$175=0,134&lt;=$B$175)),$B$66,IF($B$172-MAX(134-1,$B$174)&gt;0,IF(B534=0,0,IF(C534=0,B534/($B$172-MAX(134-1,$B$174)),B534*(C534/12)/(1-(1+C534/12)^(-($B$172-MAX(134-1,$B$174)))))),"")),D533)))+0.0000001&gt;=B534*C534/12,MIN(B534*(1+C534/12),IF(AND(134&lt;=$B$174,134&lt;=$B$173),B534*C534/12,IF(AND(134=$B$173+1,AND(134&gt;$B$173,$B$78="Refinance",ISNUMBER($B$80),$B$80&gt;=0,$B$80&lt;=1,ROUND($B$81*12,0)&gt;=1,$B$81&lt;=100,SUM($B$82)&gt;=0,SUM($B$82)&lt;=1,SUM($B$83)&gt;=0)),IF(B534=0,0,IF(C534=0,B534/ROUND($B$81*12,0),B534*(C534/12)/(1-(1+C534/12)^(-ROUND($B$81*12,0))))),IF(AND(NOT(AND(134&gt;$B$173,$B$78="Refinance",ISNUMBER($B$80),$B$80&gt;=0,$B$80&lt;=1,ROUND($B$81*12,0)&gt;=1,$B$81&lt;=100,SUM($B$82)&gt;=0,SUM($B$82)&lt;=1,SUM($B$83)&gt;=0)),OR(134=1,134=$B$174+1,AND($B$175&gt;0,134=$B$175+1))),IF(AND($B$170=1,$B$66&gt;0,OR($B$175=0,134&lt;=$B$175)),$B$66,IF($B$172-MAX(134-1,$B$174)&gt;0,IF(B534=0,0,IF(C534=0,B534/($B$172-MAX(134-1,$B$174)),B534*(C534/12)/(1-(1+C534/12)^(-($B$172-MAX(134-1,$B$174)))))),"")),D533)))),""),""))</x:f>
        <x:v>4679.450723240598</x:v>
      </x:c>
      <x:c r="E534" s="440" t="n">
        <x:f>IF(AND(134=$B$173,ISNUMBER(D534)),IF(MAX(0,B534*(1+C534/12)-D534)&lt;MAX(0.0000001,$E$17*0.00000000001),0,MAX(0,B534*(1+C534/12)-D534)),0)</x:f>
        <x:v>0</x:v>
      </x:c>
      <x:c r="F534" s="440" t="n">
        <x:f>IF($B$78="Cash payoff",E534,0)</x:f>
        <x:v>0</x:v>
      </x:c>
      <x:c r="G534" s="440" t="n">
        <x:f>IF(AND(E534&gt;0,AND($B$78="Refinance",ISNUMBER($B$80),$B$80&gt;=0,$B$80&lt;=1,ROUND($B$81*12,0)&gt;=1,$B$81&lt;=100,SUM($B$82)&gt;=0,SUM($B$82)&lt;=1,SUM($B$83)&gt;=0)),E534*SUM($B$82)+SUM($B$83),0)</x:f>
        <x:v>0</x:v>
      </x:c>
      <x:c r="H534" s="440" t="n">
        <x:f>IF(ISNUMBER(D534),IF(MAX(0,B534*(1+C534/12)-D534-F534)&lt;MAX(0.0000001,$E$17*0.00000000001),0,MAX(0,B534*(1+C534/12)-D534-F534)),IF(AND($B$171=1,I533=1),B534,""))</x:f>
        <x:v>620725.0734117851</x:v>
      </x:c>
      <x:c r="I534" s="444" t="n">
        <x:f>IF(OR(I533=1,AND(E534&gt;0,$B$78&lt;&gt;"Cash payoff",NOT(AND($B$78="Refinance",ISNUMBER($B$80),$B$80&gt;=0,$B$80&lt;=1,ROUND($B$81*12,0)&gt;=1,$B$81&lt;=100,SUM($B$82)&gt;=0,SUM($B$82)&lt;=1,SUM($B$83)&gt;=0))),AND(ISNUMBER(B534),B534&gt;0,$B$171=1,NOT(ISNUMBER(D534)))),1,0)</x:f>
        <x:v>0</x:v>
      </x:c>
      <x:c r="J534" s="440" t="n">
        <x:f>IF(ISNUMBER(L533),L533,"")</x:f>
        <x:v>0</x:v>
      </x:c>
      <x:c r="K534" s="440" t="n">
        <x:f>IF(AND(ISNUMBER(J534),J534=0),0,IF(AND($B$176=1,ISNUMBER(J534)),MIN(J534*(1+$B$87/12),IF($B$86=0,0,IF($B$87=0,$B$86/ROUND($B$88*12,0),$B$86*($B$87/12)/(1-(1+$B$87/12)^(-ROUND($B$88*12,0)))))),""))</x:f>
        <x:v>0</x:v>
      </x:c>
      <x:c r="L534" s="440" t="n">
        <x:f>IF(ISNUMBER(K534),IF(MAX(0,J534*(1+SUM($B$87)/12)-K534)&lt;MAX(0.0000001,$B$86*0.00000000001),0,MAX(0,J534*(1+SUM($B$87)/12)-K534)),"")</x:f>
        <x:v>0</x:v>
      </x:c>
      <x:c r="M534" s="440" t="n">
        <x:f>IF(AND(ISNUMBER(D534),ISNUMBER(K534)),D534+K534,"")</x:f>
        <x:v>4679.450723240598</x:v>
      </x:c>
      <x:c r="N534" s="440" t="n">
        <x:f>IF(AND(ISNUMBER(H534),ISNUMBER(L534)),H534+L534,"")</x:f>
        <x:v>620725.0734117851</x:v>
      </x:c>
    </x:row>
    <x:row r="535" ht="22" customHeight="1">
      <x:c r="A535" s="254" t="n">
        <x:f>135</x:f>
        <x:v>135</x:v>
      </x:c>
      <x:c r="B535" s="440" t="n">
        <x:f>IF(ISNUMBER(H534),H534,"")</x:f>
        <x:v>620725.0734117851</x:v>
      </x:c>
      <x:c r="C535" s="442" t="n">
        <x:f>IF(ISNUMBER(B535),IF(AND(135&gt;$B$173,$B$78="Refinance",ISNUMBER($B$80),$B$80&gt;=0,$B$80&lt;=1,ROUND($B$81*12,0)&gt;=1,$B$81&lt;=100,SUM($B$82)&gt;=0,SUM($B$82)&lt;=1,SUM($B$83)&gt;=0),$B$80,IF(AND($B$175&gt;0,135&gt;$B$175,ISNUMBER($B$75)),$B$75,$B$61)),"")</x:f>
        <x:v>0.0625</x:v>
      </x:c>
      <x:c r="D535" s="440" t="n">
        <x:f>IF(AND(ISNUMBER(B535),B535=0),0,IF(AND($B$171=1,I534=0,ISNUMBER(C535),ISNUMBER(IF(AND(135&lt;=$B$174,135&lt;=$B$173),B535*C535/12,IF(AND(135=$B$173+1,AND(135&gt;$B$173,$B$78="Refinance",ISNUMBER($B$80),$B$80&gt;=0,$B$80&lt;=1,ROUND($B$81*12,0)&gt;=1,$B$81&lt;=100,SUM($B$82)&gt;=0,SUM($B$82)&lt;=1,SUM($B$83)&gt;=0)),IF(B535=0,0,IF(C535=0,B535/ROUND($B$81*12,0),B535*(C535/12)/(1-(1+C535/12)^(-ROUND($B$81*12,0))))),IF(AND(NOT(AND(135&gt;$B$173,$B$78="Refinance",ISNUMBER($B$80),$B$80&gt;=0,$B$80&lt;=1,ROUND($B$81*12,0)&gt;=1,$B$81&lt;=100,SUM($B$82)&gt;=0,SUM($B$82)&lt;=1,SUM($B$83)&gt;=0)),OR(135=1,135=$B$174+1,AND($B$175&gt;0,135=$B$175+1))),IF(AND($B$170=1,$B$66&gt;0,OR($B$175=0,135&lt;=$B$175)),$B$66,IF($B$172-MAX(135-1,$B$174)&gt;0,IF(B535=0,0,IF(C535=0,B535/($B$172-MAX(135-1,$B$174)),B535*(C535/12)/(1-(1+C535/12)^(-($B$172-MAX(135-1,$B$174)))))),"")),D534))))),IF(IF(AND(135&lt;=$B$174,135&lt;=$B$173),B535*C535/12,IF(AND(135=$B$173+1,AND(135&gt;$B$173,$B$78="Refinance",ISNUMBER($B$80),$B$80&gt;=0,$B$80&lt;=1,ROUND($B$81*12,0)&gt;=1,$B$81&lt;=100,SUM($B$82)&gt;=0,SUM($B$82)&lt;=1,SUM($B$83)&gt;=0)),IF(B535=0,0,IF(C535=0,B535/ROUND($B$81*12,0),B535*(C535/12)/(1-(1+C535/12)^(-ROUND($B$81*12,0))))),IF(AND(NOT(AND(135&gt;$B$173,$B$78="Refinance",ISNUMBER($B$80),$B$80&gt;=0,$B$80&lt;=1,ROUND($B$81*12,0)&gt;=1,$B$81&lt;=100,SUM($B$82)&gt;=0,SUM($B$82)&lt;=1,SUM($B$83)&gt;=0)),OR(135=1,135=$B$174+1,AND($B$175&gt;0,135=$B$175+1))),IF(AND($B$170=1,$B$66&gt;0,OR($B$175=0,135&lt;=$B$175)),$B$66,IF($B$172-MAX(135-1,$B$174)&gt;0,IF(B535=0,0,IF(C535=0,B535/($B$172-MAX(135-1,$B$174)),B535*(C535/12)/(1-(1+C535/12)^(-($B$172-MAX(135-1,$B$174)))))),"")),D534)))+0.0000001&gt;=B535*C535/12,MIN(B535*(1+C535/12),IF(AND(135&lt;=$B$174,135&lt;=$B$173),B535*C535/12,IF(AND(135=$B$173+1,AND(135&gt;$B$173,$B$78="Refinance",ISNUMBER($B$80),$B$80&gt;=0,$B$80&lt;=1,ROUND($B$81*12,0)&gt;=1,$B$81&lt;=100,SUM($B$82)&gt;=0,SUM($B$82)&lt;=1,SUM($B$83)&gt;=0)),IF(B535=0,0,IF(C535=0,B535/ROUND($B$81*12,0),B535*(C535/12)/(1-(1+C535/12)^(-ROUND($B$81*12,0))))),IF(AND(NOT(AND(135&gt;$B$173,$B$78="Refinance",ISNUMBER($B$80),$B$80&gt;=0,$B$80&lt;=1,ROUND($B$81*12,0)&gt;=1,$B$81&lt;=100,SUM($B$82)&gt;=0,SUM($B$82)&lt;=1,SUM($B$83)&gt;=0)),OR(135=1,135=$B$174+1,AND($B$175&gt;0,135=$B$175+1))),IF(AND($B$170=1,$B$66&gt;0,OR($B$175=0,135&lt;=$B$175)),$B$66,IF($B$172-MAX(135-1,$B$174)&gt;0,IF(B535=0,0,IF(C535=0,B535/($B$172-MAX(135-1,$B$174)),B535*(C535/12)/(1-(1+C535/12)^(-($B$172-MAX(135-1,$B$174)))))),"")),D534)))),""),""))</x:f>
        <x:v>4679.450723240598</x:v>
      </x:c>
      <x:c r="E535" s="440" t="n">
        <x:f>IF(AND(135=$B$173,ISNUMBER(D535)),IF(MAX(0,B535*(1+C535/12)-D535)&lt;MAX(0.0000001,$E$17*0.00000000001),0,MAX(0,B535*(1+C535/12)-D535)),0)</x:f>
        <x:v>0</x:v>
      </x:c>
      <x:c r="F535" s="440" t="n">
        <x:f>IF($B$78="Cash payoff",E535,0)</x:f>
        <x:v>0</x:v>
      </x:c>
      <x:c r="G535" s="440" t="n">
        <x:f>IF(AND(E535&gt;0,AND($B$78="Refinance",ISNUMBER($B$80),$B$80&gt;=0,$B$80&lt;=1,ROUND($B$81*12,0)&gt;=1,$B$81&lt;=100,SUM($B$82)&gt;=0,SUM($B$82)&lt;=1,SUM($B$83)&gt;=0)),E535*SUM($B$82)+SUM($B$83),0)</x:f>
        <x:v>0</x:v>
      </x:c>
      <x:c r="H535" s="440" t="n">
        <x:f>IF(ISNUMBER(D535),IF(MAX(0,B535*(1+C535/12)-D535-F535)&lt;MAX(0.0000001,$E$17*0.00000000001),0,MAX(0,B535*(1+C535/12)-D535-F535)),IF(AND($B$171=1,I534=1),B535,""))</x:f>
        <x:v>619278.5657792308</x:v>
      </x:c>
      <x:c r="I535" s="444" t="n">
        <x:f>IF(OR(I534=1,AND(E535&gt;0,$B$78&lt;&gt;"Cash payoff",NOT(AND($B$78="Refinance",ISNUMBER($B$80),$B$80&gt;=0,$B$80&lt;=1,ROUND($B$81*12,0)&gt;=1,$B$81&lt;=100,SUM($B$82)&gt;=0,SUM($B$82)&lt;=1,SUM($B$83)&gt;=0))),AND(ISNUMBER(B535),B535&gt;0,$B$171=1,NOT(ISNUMBER(D535)))),1,0)</x:f>
        <x:v>0</x:v>
      </x:c>
      <x:c r="J535" s="440" t="n">
        <x:f>IF(ISNUMBER(L534),L534,"")</x:f>
        <x:v>0</x:v>
      </x:c>
      <x:c r="K535" s="440" t="n">
        <x:f>IF(AND(ISNUMBER(J535),J535=0),0,IF(AND($B$176=1,ISNUMBER(J535)),MIN(J535*(1+$B$87/12),IF($B$86=0,0,IF($B$87=0,$B$86/ROUND($B$88*12,0),$B$86*($B$87/12)/(1-(1+$B$87/12)^(-ROUND($B$88*12,0)))))),""))</x:f>
        <x:v>0</x:v>
      </x:c>
      <x:c r="L535" s="440" t="n">
        <x:f>IF(ISNUMBER(K535),IF(MAX(0,J535*(1+SUM($B$87)/12)-K535)&lt;MAX(0.0000001,$B$86*0.00000000001),0,MAX(0,J535*(1+SUM($B$87)/12)-K535)),"")</x:f>
        <x:v>0</x:v>
      </x:c>
      <x:c r="M535" s="440" t="n">
        <x:f>IF(AND(ISNUMBER(D535),ISNUMBER(K535)),D535+K535,"")</x:f>
        <x:v>4679.450723240598</x:v>
      </x:c>
      <x:c r="N535" s="440" t="n">
        <x:f>IF(AND(ISNUMBER(H535),ISNUMBER(L535)),H535+L535,"")</x:f>
        <x:v>619278.5657792308</x:v>
      </x:c>
    </x:row>
    <x:row r="536" ht="22" customHeight="1">
      <x:c r="A536" s="254" t="n">
        <x:f>136</x:f>
        <x:v>136</x:v>
      </x:c>
      <x:c r="B536" s="440" t="n">
        <x:f>IF(ISNUMBER(H535),H535,"")</x:f>
        <x:v>619278.5657792308</x:v>
      </x:c>
      <x:c r="C536" s="442" t="n">
        <x:f>IF(ISNUMBER(B536),IF(AND(136&gt;$B$173,$B$78="Refinance",ISNUMBER($B$80),$B$80&gt;=0,$B$80&lt;=1,ROUND($B$81*12,0)&gt;=1,$B$81&lt;=100,SUM($B$82)&gt;=0,SUM($B$82)&lt;=1,SUM($B$83)&gt;=0),$B$80,IF(AND($B$175&gt;0,136&gt;$B$175,ISNUMBER($B$75)),$B$75,$B$61)),"")</x:f>
        <x:v>0.0625</x:v>
      </x:c>
      <x:c r="D536" s="440" t="n">
        <x:f>IF(AND(ISNUMBER(B536),B536=0),0,IF(AND($B$171=1,I535=0,ISNUMBER(C536),ISNUMBER(IF(AND(136&lt;=$B$174,136&lt;=$B$173),B536*C536/12,IF(AND(136=$B$173+1,AND(136&gt;$B$173,$B$78="Refinance",ISNUMBER($B$80),$B$80&gt;=0,$B$80&lt;=1,ROUND($B$81*12,0)&gt;=1,$B$81&lt;=100,SUM($B$82)&gt;=0,SUM($B$82)&lt;=1,SUM($B$83)&gt;=0)),IF(B536=0,0,IF(C536=0,B536/ROUND($B$81*12,0),B536*(C536/12)/(1-(1+C536/12)^(-ROUND($B$81*12,0))))),IF(AND(NOT(AND(136&gt;$B$173,$B$78="Refinance",ISNUMBER($B$80),$B$80&gt;=0,$B$80&lt;=1,ROUND($B$81*12,0)&gt;=1,$B$81&lt;=100,SUM($B$82)&gt;=0,SUM($B$82)&lt;=1,SUM($B$83)&gt;=0)),OR(136=1,136=$B$174+1,AND($B$175&gt;0,136=$B$175+1))),IF(AND($B$170=1,$B$66&gt;0,OR($B$175=0,136&lt;=$B$175)),$B$66,IF($B$172-MAX(136-1,$B$174)&gt;0,IF(B536=0,0,IF(C536=0,B536/($B$172-MAX(136-1,$B$174)),B536*(C536/12)/(1-(1+C536/12)^(-($B$172-MAX(136-1,$B$174)))))),"")),D535))))),IF(IF(AND(136&lt;=$B$174,136&lt;=$B$173),B536*C536/12,IF(AND(136=$B$173+1,AND(136&gt;$B$173,$B$78="Refinance",ISNUMBER($B$80),$B$80&gt;=0,$B$80&lt;=1,ROUND($B$81*12,0)&gt;=1,$B$81&lt;=100,SUM($B$82)&gt;=0,SUM($B$82)&lt;=1,SUM($B$83)&gt;=0)),IF(B536=0,0,IF(C536=0,B536/ROUND($B$81*12,0),B536*(C536/12)/(1-(1+C536/12)^(-ROUND($B$81*12,0))))),IF(AND(NOT(AND(136&gt;$B$173,$B$78="Refinance",ISNUMBER($B$80),$B$80&gt;=0,$B$80&lt;=1,ROUND($B$81*12,0)&gt;=1,$B$81&lt;=100,SUM($B$82)&gt;=0,SUM($B$82)&lt;=1,SUM($B$83)&gt;=0)),OR(136=1,136=$B$174+1,AND($B$175&gt;0,136=$B$175+1))),IF(AND($B$170=1,$B$66&gt;0,OR($B$175=0,136&lt;=$B$175)),$B$66,IF($B$172-MAX(136-1,$B$174)&gt;0,IF(B536=0,0,IF(C536=0,B536/($B$172-MAX(136-1,$B$174)),B536*(C536/12)/(1-(1+C536/12)^(-($B$172-MAX(136-1,$B$174)))))),"")),D535)))+0.0000001&gt;=B536*C536/12,MIN(B536*(1+C536/12),IF(AND(136&lt;=$B$174,136&lt;=$B$173),B536*C536/12,IF(AND(136=$B$173+1,AND(136&gt;$B$173,$B$78="Refinance",ISNUMBER($B$80),$B$80&gt;=0,$B$80&lt;=1,ROUND($B$81*12,0)&gt;=1,$B$81&lt;=100,SUM($B$82)&gt;=0,SUM($B$82)&lt;=1,SUM($B$83)&gt;=0)),IF(B536=0,0,IF(C536=0,B536/ROUND($B$81*12,0),B536*(C536/12)/(1-(1+C536/12)^(-ROUND($B$81*12,0))))),IF(AND(NOT(AND(136&gt;$B$173,$B$78="Refinance",ISNUMBER($B$80),$B$80&gt;=0,$B$80&lt;=1,ROUND($B$81*12,0)&gt;=1,$B$81&lt;=100,SUM($B$82)&gt;=0,SUM($B$82)&lt;=1,SUM($B$83)&gt;=0)),OR(136=1,136=$B$174+1,AND($B$175&gt;0,136=$B$175+1))),IF(AND($B$170=1,$B$66&gt;0,OR($B$175=0,136&lt;=$B$175)),$B$66,IF($B$172-MAX(136-1,$B$174)&gt;0,IF(B536=0,0,IF(C536=0,B536/($B$172-MAX(136-1,$B$174)),B536*(C536/12)/(1-(1+C536/12)^(-($B$172-MAX(136-1,$B$174)))))),"")),D535)))),""),""))</x:f>
        <x:v>4679.450723240598</x:v>
      </x:c>
      <x:c r="E536" s="440" t="n">
        <x:f>IF(AND(136=$B$173,ISNUMBER(D536)),IF(MAX(0,B536*(1+C536/12)-D536)&lt;MAX(0.0000001,$E$17*0.00000000001),0,MAX(0,B536*(1+C536/12)-D536)),0)</x:f>
        <x:v>0</x:v>
      </x:c>
      <x:c r="F536" s="440" t="n">
        <x:f>IF($B$78="Cash payoff",E536,0)</x:f>
        <x:v>0</x:v>
      </x:c>
      <x:c r="G536" s="440" t="n">
        <x:f>IF(AND(E536&gt;0,AND($B$78="Refinance",ISNUMBER($B$80),$B$80&gt;=0,$B$80&lt;=1,ROUND($B$81*12,0)&gt;=1,$B$81&lt;=100,SUM($B$82)&gt;=0,SUM($B$82)&lt;=1,SUM($B$83)&gt;=0)),E536*SUM($B$82)+SUM($B$83),0)</x:f>
        <x:v>0</x:v>
      </x:c>
      <x:c r="H536" s="440" t="n">
        <x:f>IF(ISNUMBER(D536),IF(MAX(0,B536*(1+C536/12)-D536-F536)&lt;MAX(0.0000001,$E$17*0.00000000001),0,MAX(0,B536*(1+C536/12)-D536-F536)),IF(AND($B$171=1,I535=1),B536,""))</x:f>
        <x:v>617824.524252757</x:v>
      </x:c>
      <x:c r="I536" s="444" t="n">
        <x:f>IF(OR(I535=1,AND(E536&gt;0,$B$78&lt;&gt;"Cash payoff",NOT(AND($B$78="Refinance",ISNUMBER($B$80),$B$80&gt;=0,$B$80&lt;=1,ROUND($B$81*12,0)&gt;=1,$B$81&lt;=100,SUM($B$82)&gt;=0,SUM($B$82)&lt;=1,SUM($B$83)&gt;=0))),AND(ISNUMBER(B536),B536&gt;0,$B$171=1,NOT(ISNUMBER(D536)))),1,0)</x:f>
        <x:v>0</x:v>
      </x:c>
      <x:c r="J536" s="440" t="n">
        <x:f>IF(ISNUMBER(L535),L535,"")</x:f>
        <x:v>0</x:v>
      </x:c>
      <x:c r="K536" s="440" t="n">
        <x:f>IF(AND(ISNUMBER(J536),J536=0),0,IF(AND($B$176=1,ISNUMBER(J536)),MIN(J536*(1+$B$87/12),IF($B$86=0,0,IF($B$87=0,$B$86/ROUND($B$88*12,0),$B$86*($B$87/12)/(1-(1+$B$87/12)^(-ROUND($B$88*12,0)))))),""))</x:f>
        <x:v>0</x:v>
      </x:c>
      <x:c r="L536" s="440" t="n">
        <x:f>IF(ISNUMBER(K536),IF(MAX(0,J536*(1+SUM($B$87)/12)-K536)&lt;MAX(0.0000001,$B$86*0.00000000001),0,MAX(0,J536*(1+SUM($B$87)/12)-K536)),"")</x:f>
        <x:v>0</x:v>
      </x:c>
      <x:c r="M536" s="440" t="n">
        <x:f>IF(AND(ISNUMBER(D536),ISNUMBER(K536)),D536+K536,"")</x:f>
        <x:v>4679.450723240598</x:v>
      </x:c>
      <x:c r="N536" s="440" t="n">
        <x:f>IF(AND(ISNUMBER(H536),ISNUMBER(L536)),H536+L536,"")</x:f>
        <x:v>617824.524252757</x:v>
      </x:c>
    </x:row>
    <x:row r="537" ht="22" customHeight="1">
      <x:c r="A537" s="254" t="n">
        <x:f>137</x:f>
        <x:v>137</x:v>
      </x:c>
      <x:c r="B537" s="440" t="n">
        <x:f>IF(ISNUMBER(H536),H536,"")</x:f>
        <x:v>617824.524252757</x:v>
      </x:c>
      <x:c r="C537" s="442" t="n">
        <x:f>IF(ISNUMBER(B537),IF(AND(137&gt;$B$173,$B$78="Refinance",ISNUMBER($B$80),$B$80&gt;=0,$B$80&lt;=1,ROUND($B$81*12,0)&gt;=1,$B$81&lt;=100,SUM($B$82)&gt;=0,SUM($B$82)&lt;=1,SUM($B$83)&gt;=0),$B$80,IF(AND($B$175&gt;0,137&gt;$B$175,ISNUMBER($B$75)),$B$75,$B$61)),"")</x:f>
        <x:v>0.0625</x:v>
      </x:c>
      <x:c r="D537" s="440" t="n">
        <x:f>IF(AND(ISNUMBER(B537),B537=0),0,IF(AND($B$171=1,I536=0,ISNUMBER(C537),ISNUMBER(IF(AND(137&lt;=$B$174,137&lt;=$B$173),B537*C537/12,IF(AND(137=$B$173+1,AND(137&gt;$B$173,$B$78="Refinance",ISNUMBER($B$80),$B$80&gt;=0,$B$80&lt;=1,ROUND($B$81*12,0)&gt;=1,$B$81&lt;=100,SUM($B$82)&gt;=0,SUM($B$82)&lt;=1,SUM($B$83)&gt;=0)),IF(B537=0,0,IF(C537=0,B537/ROUND($B$81*12,0),B537*(C537/12)/(1-(1+C537/12)^(-ROUND($B$81*12,0))))),IF(AND(NOT(AND(137&gt;$B$173,$B$78="Refinance",ISNUMBER($B$80),$B$80&gt;=0,$B$80&lt;=1,ROUND($B$81*12,0)&gt;=1,$B$81&lt;=100,SUM($B$82)&gt;=0,SUM($B$82)&lt;=1,SUM($B$83)&gt;=0)),OR(137=1,137=$B$174+1,AND($B$175&gt;0,137=$B$175+1))),IF(AND($B$170=1,$B$66&gt;0,OR($B$175=0,137&lt;=$B$175)),$B$66,IF($B$172-MAX(137-1,$B$174)&gt;0,IF(B537=0,0,IF(C537=0,B537/($B$172-MAX(137-1,$B$174)),B537*(C537/12)/(1-(1+C537/12)^(-($B$172-MAX(137-1,$B$174)))))),"")),D536))))),IF(IF(AND(137&lt;=$B$174,137&lt;=$B$173),B537*C537/12,IF(AND(137=$B$173+1,AND(137&gt;$B$173,$B$78="Refinance",ISNUMBER($B$80),$B$80&gt;=0,$B$80&lt;=1,ROUND($B$81*12,0)&gt;=1,$B$81&lt;=100,SUM($B$82)&gt;=0,SUM($B$82)&lt;=1,SUM($B$83)&gt;=0)),IF(B537=0,0,IF(C537=0,B537/ROUND($B$81*12,0),B537*(C537/12)/(1-(1+C537/12)^(-ROUND($B$81*12,0))))),IF(AND(NOT(AND(137&gt;$B$173,$B$78="Refinance",ISNUMBER($B$80),$B$80&gt;=0,$B$80&lt;=1,ROUND($B$81*12,0)&gt;=1,$B$81&lt;=100,SUM($B$82)&gt;=0,SUM($B$82)&lt;=1,SUM($B$83)&gt;=0)),OR(137=1,137=$B$174+1,AND($B$175&gt;0,137=$B$175+1))),IF(AND($B$170=1,$B$66&gt;0,OR($B$175=0,137&lt;=$B$175)),$B$66,IF($B$172-MAX(137-1,$B$174)&gt;0,IF(B537=0,0,IF(C537=0,B537/($B$172-MAX(137-1,$B$174)),B537*(C537/12)/(1-(1+C537/12)^(-($B$172-MAX(137-1,$B$174)))))),"")),D536)))+0.0000001&gt;=B537*C537/12,MIN(B537*(1+C537/12),IF(AND(137&lt;=$B$174,137&lt;=$B$173),B537*C537/12,IF(AND(137=$B$173+1,AND(137&gt;$B$173,$B$78="Refinance",ISNUMBER($B$80),$B$80&gt;=0,$B$80&lt;=1,ROUND($B$81*12,0)&gt;=1,$B$81&lt;=100,SUM($B$82)&gt;=0,SUM($B$82)&lt;=1,SUM($B$83)&gt;=0)),IF(B537=0,0,IF(C537=0,B537/ROUND($B$81*12,0),B537*(C537/12)/(1-(1+C537/12)^(-ROUND($B$81*12,0))))),IF(AND(NOT(AND(137&gt;$B$173,$B$78="Refinance",ISNUMBER($B$80),$B$80&gt;=0,$B$80&lt;=1,ROUND($B$81*12,0)&gt;=1,$B$81&lt;=100,SUM($B$82)&gt;=0,SUM($B$82)&lt;=1,SUM($B$83)&gt;=0)),OR(137=1,137=$B$174+1,AND($B$175&gt;0,137=$B$175+1))),IF(AND($B$170=1,$B$66&gt;0,OR($B$175=0,137&lt;=$B$175)),$B$66,IF($B$172-MAX(137-1,$B$174)&gt;0,IF(B537=0,0,IF(C537=0,B537/($B$172-MAX(137-1,$B$174)),B537*(C537/12)/(1-(1+C537/12)^(-($B$172-MAX(137-1,$B$174)))))),"")),D536)))),""),""))</x:f>
        <x:v>4679.450723240598</x:v>
      </x:c>
      <x:c r="E537" s="440" t="n">
        <x:f>IF(AND(137=$B$173,ISNUMBER(D537)),IF(MAX(0,B537*(1+C537/12)-D537)&lt;MAX(0.0000001,$E$17*0.00000000001),0,MAX(0,B537*(1+C537/12)-D537)),0)</x:f>
        <x:v>0</x:v>
      </x:c>
      <x:c r="F537" s="440" t="n">
        <x:f>IF($B$78="Cash payoff",E537,0)</x:f>
        <x:v>0</x:v>
      </x:c>
      <x:c r="G537" s="440" t="n">
        <x:f>IF(AND(E537&gt;0,AND($B$78="Refinance",ISNUMBER($B$80),$B$80&gt;=0,$B$80&lt;=1,ROUND($B$81*12,0)&gt;=1,$B$81&lt;=100,SUM($B$82)&gt;=0,SUM($B$82)&lt;=1,SUM($B$83)&gt;=0)),E537*SUM($B$82)+SUM($B$83),0)</x:f>
        <x:v>0</x:v>
      </x:c>
      <x:c r="H537" s="440" t="n">
        <x:f>IF(ISNUMBER(D537),IF(MAX(0,B537*(1+C537/12)-D537-F537)&lt;MAX(0.0000001,$E$17*0.00000000001),0,MAX(0,B537*(1+C537/12)-D537-F537)),IF(AND($B$171=1,I536=1),B537,""))</x:f>
        <x:v>616362.9095933328</x:v>
      </x:c>
      <x:c r="I537" s="444" t="n">
        <x:f>IF(OR(I536=1,AND(E537&gt;0,$B$78&lt;&gt;"Cash payoff",NOT(AND($B$78="Refinance",ISNUMBER($B$80),$B$80&gt;=0,$B$80&lt;=1,ROUND($B$81*12,0)&gt;=1,$B$81&lt;=100,SUM($B$82)&gt;=0,SUM($B$82)&lt;=1,SUM($B$83)&gt;=0))),AND(ISNUMBER(B537),B537&gt;0,$B$171=1,NOT(ISNUMBER(D537)))),1,0)</x:f>
        <x:v>0</x:v>
      </x:c>
      <x:c r="J537" s="440" t="n">
        <x:f>IF(ISNUMBER(L536),L536,"")</x:f>
        <x:v>0</x:v>
      </x:c>
      <x:c r="K537" s="440" t="n">
        <x:f>IF(AND(ISNUMBER(J537),J537=0),0,IF(AND($B$176=1,ISNUMBER(J537)),MIN(J537*(1+$B$87/12),IF($B$86=0,0,IF($B$87=0,$B$86/ROUND($B$88*12,0),$B$86*($B$87/12)/(1-(1+$B$87/12)^(-ROUND($B$88*12,0)))))),""))</x:f>
        <x:v>0</x:v>
      </x:c>
      <x:c r="L537" s="440" t="n">
        <x:f>IF(ISNUMBER(K537),IF(MAX(0,J537*(1+SUM($B$87)/12)-K537)&lt;MAX(0.0000001,$B$86*0.00000000001),0,MAX(0,J537*(1+SUM($B$87)/12)-K537)),"")</x:f>
        <x:v>0</x:v>
      </x:c>
      <x:c r="M537" s="440" t="n">
        <x:f>IF(AND(ISNUMBER(D537),ISNUMBER(K537)),D537+K537,"")</x:f>
        <x:v>4679.450723240598</x:v>
      </x:c>
      <x:c r="N537" s="440" t="n">
        <x:f>IF(AND(ISNUMBER(H537),ISNUMBER(L537)),H537+L537,"")</x:f>
        <x:v>616362.9095933328</x:v>
      </x:c>
    </x:row>
    <x:row r="538" ht="22" customHeight="1">
      <x:c r="A538" s="254" t="n">
        <x:f>138</x:f>
        <x:v>138</x:v>
      </x:c>
      <x:c r="B538" s="440" t="n">
        <x:f>IF(ISNUMBER(H537),H537,"")</x:f>
        <x:v>616362.9095933328</x:v>
      </x:c>
      <x:c r="C538" s="442" t="n">
        <x:f>IF(ISNUMBER(B538),IF(AND(138&gt;$B$173,$B$78="Refinance",ISNUMBER($B$80),$B$80&gt;=0,$B$80&lt;=1,ROUND($B$81*12,0)&gt;=1,$B$81&lt;=100,SUM($B$82)&gt;=0,SUM($B$82)&lt;=1,SUM($B$83)&gt;=0),$B$80,IF(AND($B$175&gt;0,138&gt;$B$175,ISNUMBER($B$75)),$B$75,$B$61)),"")</x:f>
        <x:v>0.0625</x:v>
      </x:c>
      <x:c r="D538" s="440" t="n">
        <x:f>IF(AND(ISNUMBER(B538),B538=0),0,IF(AND($B$171=1,I537=0,ISNUMBER(C538),ISNUMBER(IF(AND(138&lt;=$B$174,138&lt;=$B$173),B538*C538/12,IF(AND(138=$B$173+1,AND(138&gt;$B$173,$B$78="Refinance",ISNUMBER($B$80),$B$80&gt;=0,$B$80&lt;=1,ROUND($B$81*12,0)&gt;=1,$B$81&lt;=100,SUM($B$82)&gt;=0,SUM($B$82)&lt;=1,SUM($B$83)&gt;=0)),IF(B538=0,0,IF(C538=0,B538/ROUND($B$81*12,0),B538*(C538/12)/(1-(1+C538/12)^(-ROUND($B$81*12,0))))),IF(AND(NOT(AND(138&gt;$B$173,$B$78="Refinance",ISNUMBER($B$80),$B$80&gt;=0,$B$80&lt;=1,ROUND($B$81*12,0)&gt;=1,$B$81&lt;=100,SUM($B$82)&gt;=0,SUM($B$82)&lt;=1,SUM($B$83)&gt;=0)),OR(138=1,138=$B$174+1,AND($B$175&gt;0,138=$B$175+1))),IF(AND($B$170=1,$B$66&gt;0,OR($B$175=0,138&lt;=$B$175)),$B$66,IF($B$172-MAX(138-1,$B$174)&gt;0,IF(B538=0,0,IF(C538=0,B538/($B$172-MAX(138-1,$B$174)),B538*(C538/12)/(1-(1+C538/12)^(-($B$172-MAX(138-1,$B$174)))))),"")),D537))))),IF(IF(AND(138&lt;=$B$174,138&lt;=$B$173),B538*C538/12,IF(AND(138=$B$173+1,AND(138&gt;$B$173,$B$78="Refinance",ISNUMBER($B$80),$B$80&gt;=0,$B$80&lt;=1,ROUND($B$81*12,0)&gt;=1,$B$81&lt;=100,SUM($B$82)&gt;=0,SUM($B$82)&lt;=1,SUM($B$83)&gt;=0)),IF(B538=0,0,IF(C538=0,B538/ROUND($B$81*12,0),B538*(C538/12)/(1-(1+C538/12)^(-ROUND($B$81*12,0))))),IF(AND(NOT(AND(138&gt;$B$173,$B$78="Refinance",ISNUMBER($B$80),$B$80&gt;=0,$B$80&lt;=1,ROUND($B$81*12,0)&gt;=1,$B$81&lt;=100,SUM($B$82)&gt;=0,SUM($B$82)&lt;=1,SUM($B$83)&gt;=0)),OR(138=1,138=$B$174+1,AND($B$175&gt;0,138=$B$175+1))),IF(AND($B$170=1,$B$66&gt;0,OR($B$175=0,138&lt;=$B$175)),$B$66,IF($B$172-MAX(138-1,$B$174)&gt;0,IF(B538=0,0,IF(C538=0,B538/($B$172-MAX(138-1,$B$174)),B538*(C538/12)/(1-(1+C538/12)^(-($B$172-MAX(138-1,$B$174)))))),"")),D537)))+0.0000001&gt;=B538*C538/12,MIN(B538*(1+C538/12),IF(AND(138&lt;=$B$174,138&lt;=$B$173),B538*C538/12,IF(AND(138=$B$173+1,AND(138&gt;$B$173,$B$78="Refinance",ISNUMBER($B$80),$B$80&gt;=0,$B$80&lt;=1,ROUND($B$81*12,0)&gt;=1,$B$81&lt;=100,SUM($B$82)&gt;=0,SUM($B$82)&lt;=1,SUM($B$83)&gt;=0)),IF(B538=0,0,IF(C538=0,B538/ROUND($B$81*12,0),B538*(C538/12)/(1-(1+C538/12)^(-ROUND($B$81*12,0))))),IF(AND(NOT(AND(138&gt;$B$173,$B$78="Refinance",ISNUMBER($B$80),$B$80&gt;=0,$B$80&lt;=1,ROUND($B$81*12,0)&gt;=1,$B$81&lt;=100,SUM($B$82)&gt;=0,SUM($B$82)&lt;=1,SUM($B$83)&gt;=0)),OR(138=1,138=$B$174+1,AND($B$175&gt;0,138=$B$175+1))),IF(AND($B$170=1,$B$66&gt;0,OR($B$175=0,138&lt;=$B$175)),$B$66,IF($B$172-MAX(138-1,$B$174)&gt;0,IF(B538=0,0,IF(C538=0,B538/($B$172-MAX(138-1,$B$174)),B538*(C538/12)/(1-(1+C538/12)^(-($B$172-MAX(138-1,$B$174)))))),"")),D537)))),""),""))</x:f>
        <x:v>4679.450723240598</x:v>
      </x:c>
      <x:c r="E538" s="440" t="n">
        <x:f>IF(AND(138=$B$173,ISNUMBER(D538)),IF(MAX(0,B538*(1+C538/12)-D538)&lt;MAX(0.0000001,$E$17*0.00000000001),0,MAX(0,B538*(1+C538/12)-D538)),0)</x:f>
        <x:v>0</x:v>
      </x:c>
      <x:c r="F538" s="440" t="n">
        <x:f>IF($B$78="Cash payoff",E538,0)</x:f>
        <x:v>0</x:v>
      </x:c>
      <x:c r="G538" s="440" t="n">
        <x:f>IF(AND(E538&gt;0,AND($B$78="Refinance",ISNUMBER($B$80),$B$80&gt;=0,$B$80&lt;=1,ROUND($B$81*12,0)&gt;=1,$B$81&lt;=100,SUM($B$82)&gt;=0,SUM($B$82)&lt;=1,SUM($B$83)&gt;=0)),E538*SUM($B$82)+SUM($B$83),0)</x:f>
        <x:v>0</x:v>
      </x:c>
      <x:c r="H538" s="440" t="n">
        <x:f>IF(ISNUMBER(D538),IF(MAX(0,B538*(1+C538/12)-D538-F538)&lt;MAX(0.0000001,$E$17*0.00000000001),0,MAX(0,B538*(1+C538/12)-D538-F538)),IF(AND($B$171=1,I537=1),B538,""))</x:f>
        <x:v>614893.6823575574</x:v>
      </x:c>
      <x:c r="I538" s="444" t="n">
        <x:f>IF(OR(I537=1,AND(E538&gt;0,$B$78&lt;&gt;"Cash payoff",NOT(AND($B$78="Refinance",ISNUMBER($B$80),$B$80&gt;=0,$B$80&lt;=1,ROUND($B$81*12,0)&gt;=1,$B$81&lt;=100,SUM($B$82)&gt;=0,SUM($B$82)&lt;=1,SUM($B$83)&gt;=0))),AND(ISNUMBER(B538),B538&gt;0,$B$171=1,NOT(ISNUMBER(D538)))),1,0)</x:f>
        <x:v>0</x:v>
      </x:c>
      <x:c r="J538" s="440" t="n">
        <x:f>IF(ISNUMBER(L537),L537,"")</x:f>
        <x:v>0</x:v>
      </x:c>
      <x:c r="K538" s="440" t="n">
        <x:f>IF(AND(ISNUMBER(J538),J538=0),0,IF(AND($B$176=1,ISNUMBER(J538)),MIN(J538*(1+$B$87/12),IF($B$86=0,0,IF($B$87=0,$B$86/ROUND($B$88*12,0),$B$86*($B$87/12)/(1-(1+$B$87/12)^(-ROUND($B$88*12,0)))))),""))</x:f>
        <x:v>0</x:v>
      </x:c>
      <x:c r="L538" s="440" t="n">
        <x:f>IF(ISNUMBER(K538),IF(MAX(0,J538*(1+SUM($B$87)/12)-K538)&lt;MAX(0.0000001,$B$86*0.00000000001),0,MAX(0,J538*(1+SUM($B$87)/12)-K538)),"")</x:f>
        <x:v>0</x:v>
      </x:c>
      <x:c r="M538" s="440" t="n">
        <x:f>IF(AND(ISNUMBER(D538),ISNUMBER(K538)),D538+K538,"")</x:f>
        <x:v>4679.450723240598</x:v>
      </x:c>
      <x:c r="N538" s="440" t="n">
        <x:f>IF(AND(ISNUMBER(H538),ISNUMBER(L538)),H538+L538,"")</x:f>
        <x:v>614893.6823575574</x:v>
      </x:c>
    </x:row>
    <x:row r="539" ht="22" customHeight="1">
      <x:c r="A539" s="254" t="n">
        <x:f>139</x:f>
        <x:v>139</x:v>
      </x:c>
      <x:c r="B539" s="440" t="n">
        <x:f>IF(ISNUMBER(H538),H538,"")</x:f>
        <x:v>614893.6823575574</x:v>
      </x:c>
      <x:c r="C539" s="442" t="n">
        <x:f>IF(ISNUMBER(B539),IF(AND(139&gt;$B$173,$B$78="Refinance",ISNUMBER($B$80),$B$80&gt;=0,$B$80&lt;=1,ROUND($B$81*12,0)&gt;=1,$B$81&lt;=100,SUM($B$82)&gt;=0,SUM($B$82)&lt;=1,SUM($B$83)&gt;=0),$B$80,IF(AND($B$175&gt;0,139&gt;$B$175,ISNUMBER($B$75)),$B$75,$B$61)),"")</x:f>
        <x:v>0.0625</x:v>
      </x:c>
      <x:c r="D539" s="440" t="n">
        <x:f>IF(AND(ISNUMBER(B539),B539=0),0,IF(AND($B$171=1,I538=0,ISNUMBER(C539),ISNUMBER(IF(AND(139&lt;=$B$174,139&lt;=$B$173),B539*C539/12,IF(AND(139=$B$173+1,AND(139&gt;$B$173,$B$78="Refinance",ISNUMBER($B$80),$B$80&gt;=0,$B$80&lt;=1,ROUND($B$81*12,0)&gt;=1,$B$81&lt;=100,SUM($B$82)&gt;=0,SUM($B$82)&lt;=1,SUM($B$83)&gt;=0)),IF(B539=0,0,IF(C539=0,B539/ROUND($B$81*12,0),B539*(C539/12)/(1-(1+C539/12)^(-ROUND($B$81*12,0))))),IF(AND(NOT(AND(139&gt;$B$173,$B$78="Refinance",ISNUMBER($B$80),$B$80&gt;=0,$B$80&lt;=1,ROUND($B$81*12,0)&gt;=1,$B$81&lt;=100,SUM($B$82)&gt;=0,SUM($B$82)&lt;=1,SUM($B$83)&gt;=0)),OR(139=1,139=$B$174+1,AND($B$175&gt;0,139=$B$175+1))),IF(AND($B$170=1,$B$66&gt;0,OR($B$175=0,139&lt;=$B$175)),$B$66,IF($B$172-MAX(139-1,$B$174)&gt;0,IF(B539=0,0,IF(C539=0,B539/($B$172-MAX(139-1,$B$174)),B539*(C539/12)/(1-(1+C539/12)^(-($B$172-MAX(139-1,$B$174)))))),"")),D538))))),IF(IF(AND(139&lt;=$B$174,139&lt;=$B$173),B539*C539/12,IF(AND(139=$B$173+1,AND(139&gt;$B$173,$B$78="Refinance",ISNUMBER($B$80),$B$80&gt;=0,$B$80&lt;=1,ROUND($B$81*12,0)&gt;=1,$B$81&lt;=100,SUM($B$82)&gt;=0,SUM($B$82)&lt;=1,SUM($B$83)&gt;=0)),IF(B539=0,0,IF(C539=0,B539/ROUND($B$81*12,0),B539*(C539/12)/(1-(1+C539/12)^(-ROUND($B$81*12,0))))),IF(AND(NOT(AND(139&gt;$B$173,$B$78="Refinance",ISNUMBER($B$80),$B$80&gt;=0,$B$80&lt;=1,ROUND($B$81*12,0)&gt;=1,$B$81&lt;=100,SUM($B$82)&gt;=0,SUM($B$82)&lt;=1,SUM($B$83)&gt;=0)),OR(139=1,139=$B$174+1,AND($B$175&gt;0,139=$B$175+1))),IF(AND($B$170=1,$B$66&gt;0,OR($B$175=0,139&lt;=$B$175)),$B$66,IF($B$172-MAX(139-1,$B$174)&gt;0,IF(B539=0,0,IF(C539=0,B539/($B$172-MAX(139-1,$B$174)),B539*(C539/12)/(1-(1+C539/12)^(-($B$172-MAX(139-1,$B$174)))))),"")),D538)))+0.0000001&gt;=B539*C539/12,MIN(B539*(1+C539/12),IF(AND(139&lt;=$B$174,139&lt;=$B$173),B539*C539/12,IF(AND(139=$B$173+1,AND(139&gt;$B$173,$B$78="Refinance",ISNUMBER($B$80),$B$80&gt;=0,$B$80&lt;=1,ROUND($B$81*12,0)&gt;=1,$B$81&lt;=100,SUM($B$82)&gt;=0,SUM($B$82)&lt;=1,SUM($B$83)&gt;=0)),IF(B539=0,0,IF(C539=0,B539/ROUND($B$81*12,0),B539*(C539/12)/(1-(1+C539/12)^(-ROUND($B$81*12,0))))),IF(AND(NOT(AND(139&gt;$B$173,$B$78="Refinance",ISNUMBER($B$80),$B$80&gt;=0,$B$80&lt;=1,ROUND($B$81*12,0)&gt;=1,$B$81&lt;=100,SUM($B$82)&gt;=0,SUM($B$82)&lt;=1,SUM($B$83)&gt;=0)),OR(139=1,139=$B$174+1,AND($B$175&gt;0,139=$B$175+1))),IF(AND($B$170=1,$B$66&gt;0,OR($B$175=0,139&lt;=$B$175)),$B$66,IF($B$172-MAX(139-1,$B$174)&gt;0,IF(B539=0,0,IF(C539=0,B539/($B$172-MAX(139-1,$B$174)),B539*(C539/12)/(1-(1+C539/12)^(-($B$172-MAX(139-1,$B$174)))))),"")),D538)))),""),""))</x:f>
        <x:v>4679.450723240598</x:v>
      </x:c>
      <x:c r="E539" s="440" t="n">
        <x:f>IF(AND(139=$B$173,ISNUMBER(D539)),IF(MAX(0,B539*(1+C539/12)-D539)&lt;MAX(0.0000001,$E$17*0.00000000001),0,MAX(0,B539*(1+C539/12)-D539)),0)</x:f>
        <x:v>0</x:v>
      </x:c>
      <x:c r="F539" s="440" t="n">
        <x:f>IF($B$78="Cash payoff",E539,0)</x:f>
        <x:v>0</x:v>
      </x:c>
      <x:c r="G539" s="440" t="n">
        <x:f>IF(AND(E539&gt;0,AND($B$78="Refinance",ISNUMBER($B$80),$B$80&gt;=0,$B$80&lt;=1,ROUND($B$81*12,0)&gt;=1,$B$81&lt;=100,SUM($B$82)&gt;=0,SUM($B$82)&lt;=1,SUM($B$83)&gt;=0)),E539*SUM($B$82)+SUM($B$83),0)</x:f>
        <x:v>0</x:v>
      </x:c>
      <x:c r="H539" s="440" t="n">
        <x:f>IF(ISNUMBER(D539),IF(MAX(0,B539*(1+C539/12)-D539-F539)&lt;MAX(0.0000001,$E$17*0.00000000001),0,MAX(0,B539*(1+C539/12)-D539-F539)),IF(AND($B$171=1,I538=1),B539,""))</x:f>
        <x:v>613416.8028965957</x:v>
      </x:c>
      <x:c r="I539" s="444" t="n">
        <x:f>IF(OR(I538=1,AND(E539&gt;0,$B$78&lt;&gt;"Cash payoff",NOT(AND($B$78="Refinance",ISNUMBER($B$80),$B$80&gt;=0,$B$80&lt;=1,ROUND($B$81*12,0)&gt;=1,$B$81&lt;=100,SUM($B$82)&gt;=0,SUM($B$82)&lt;=1,SUM($B$83)&gt;=0))),AND(ISNUMBER(B539),B539&gt;0,$B$171=1,NOT(ISNUMBER(D539)))),1,0)</x:f>
        <x:v>0</x:v>
      </x:c>
      <x:c r="J539" s="440" t="n">
        <x:f>IF(ISNUMBER(L538),L538,"")</x:f>
        <x:v>0</x:v>
      </x:c>
      <x:c r="K539" s="440" t="n">
        <x:f>IF(AND(ISNUMBER(J539),J539=0),0,IF(AND($B$176=1,ISNUMBER(J539)),MIN(J539*(1+$B$87/12),IF($B$86=0,0,IF($B$87=0,$B$86/ROUND($B$88*12,0),$B$86*($B$87/12)/(1-(1+$B$87/12)^(-ROUND($B$88*12,0)))))),""))</x:f>
        <x:v>0</x:v>
      </x:c>
      <x:c r="L539" s="440" t="n">
        <x:f>IF(ISNUMBER(K539),IF(MAX(0,J539*(1+SUM($B$87)/12)-K539)&lt;MAX(0.0000001,$B$86*0.00000000001),0,MAX(0,J539*(1+SUM($B$87)/12)-K539)),"")</x:f>
        <x:v>0</x:v>
      </x:c>
      <x:c r="M539" s="440" t="n">
        <x:f>IF(AND(ISNUMBER(D539),ISNUMBER(K539)),D539+K539,"")</x:f>
        <x:v>4679.450723240598</x:v>
      </x:c>
      <x:c r="N539" s="440" t="n">
        <x:f>IF(AND(ISNUMBER(H539),ISNUMBER(L539)),H539+L539,"")</x:f>
        <x:v>613416.8028965957</x:v>
      </x:c>
    </x:row>
    <x:row r="540" ht="22" customHeight="1">
      <x:c r="A540" s="254" t="n">
        <x:f>140</x:f>
        <x:v>140</x:v>
      </x:c>
      <x:c r="B540" s="440" t="n">
        <x:f>IF(ISNUMBER(H539),H539,"")</x:f>
        <x:v>613416.8028965957</x:v>
      </x:c>
      <x:c r="C540" s="442" t="n">
        <x:f>IF(ISNUMBER(B540),IF(AND(140&gt;$B$173,$B$78="Refinance",ISNUMBER($B$80),$B$80&gt;=0,$B$80&lt;=1,ROUND($B$81*12,0)&gt;=1,$B$81&lt;=100,SUM($B$82)&gt;=0,SUM($B$82)&lt;=1,SUM($B$83)&gt;=0),$B$80,IF(AND($B$175&gt;0,140&gt;$B$175,ISNUMBER($B$75)),$B$75,$B$61)),"")</x:f>
        <x:v>0.0625</x:v>
      </x:c>
      <x:c r="D540" s="440" t="n">
        <x:f>IF(AND(ISNUMBER(B540),B540=0),0,IF(AND($B$171=1,I539=0,ISNUMBER(C540),ISNUMBER(IF(AND(140&lt;=$B$174,140&lt;=$B$173),B540*C540/12,IF(AND(140=$B$173+1,AND(140&gt;$B$173,$B$78="Refinance",ISNUMBER($B$80),$B$80&gt;=0,$B$80&lt;=1,ROUND($B$81*12,0)&gt;=1,$B$81&lt;=100,SUM($B$82)&gt;=0,SUM($B$82)&lt;=1,SUM($B$83)&gt;=0)),IF(B540=0,0,IF(C540=0,B540/ROUND($B$81*12,0),B540*(C540/12)/(1-(1+C540/12)^(-ROUND($B$81*12,0))))),IF(AND(NOT(AND(140&gt;$B$173,$B$78="Refinance",ISNUMBER($B$80),$B$80&gt;=0,$B$80&lt;=1,ROUND($B$81*12,0)&gt;=1,$B$81&lt;=100,SUM($B$82)&gt;=0,SUM($B$82)&lt;=1,SUM($B$83)&gt;=0)),OR(140=1,140=$B$174+1,AND($B$175&gt;0,140=$B$175+1))),IF(AND($B$170=1,$B$66&gt;0,OR($B$175=0,140&lt;=$B$175)),$B$66,IF($B$172-MAX(140-1,$B$174)&gt;0,IF(B540=0,0,IF(C540=0,B540/($B$172-MAX(140-1,$B$174)),B540*(C540/12)/(1-(1+C540/12)^(-($B$172-MAX(140-1,$B$174)))))),"")),D539))))),IF(IF(AND(140&lt;=$B$174,140&lt;=$B$173),B540*C540/12,IF(AND(140=$B$173+1,AND(140&gt;$B$173,$B$78="Refinance",ISNUMBER($B$80),$B$80&gt;=0,$B$80&lt;=1,ROUND($B$81*12,0)&gt;=1,$B$81&lt;=100,SUM($B$82)&gt;=0,SUM($B$82)&lt;=1,SUM($B$83)&gt;=0)),IF(B540=0,0,IF(C540=0,B540/ROUND($B$81*12,0),B540*(C540/12)/(1-(1+C540/12)^(-ROUND($B$81*12,0))))),IF(AND(NOT(AND(140&gt;$B$173,$B$78="Refinance",ISNUMBER($B$80),$B$80&gt;=0,$B$80&lt;=1,ROUND($B$81*12,0)&gt;=1,$B$81&lt;=100,SUM($B$82)&gt;=0,SUM($B$82)&lt;=1,SUM($B$83)&gt;=0)),OR(140=1,140=$B$174+1,AND($B$175&gt;0,140=$B$175+1))),IF(AND($B$170=1,$B$66&gt;0,OR($B$175=0,140&lt;=$B$175)),$B$66,IF($B$172-MAX(140-1,$B$174)&gt;0,IF(B540=0,0,IF(C540=0,B540/($B$172-MAX(140-1,$B$174)),B540*(C540/12)/(1-(1+C540/12)^(-($B$172-MAX(140-1,$B$174)))))),"")),D539)))+0.0000001&gt;=B540*C540/12,MIN(B540*(1+C540/12),IF(AND(140&lt;=$B$174,140&lt;=$B$173),B540*C540/12,IF(AND(140=$B$173+1,AND(140&gt;$B$173,$B$78="Refinance",ISNUMBER($B$80),$B$80&gt;=0,$B$80&lt;=1,ROUND($B$81*12,0)&gt;=1,$B$81&lt;=100,SUM($B$82)&gt;=0,SUM($B$82)&lt;=1,SUM($B$83)&gt;=0)),IF(B540=0,0,IF(C540=0,B540/ROUND($B$81*12,0),B540*(C540/12)/(1-(1+C540/12)^(-ROUND($B$81*12,0))))),IF(AND(NOT(AND(140&gt;$B$173,$B$78="Refinance",ISNUMBER($B$80),$B$80&gt;=0,$B$80&lt;=1,ROUND($B$81*12,0)&gt;=1,$B$81&lt;=100,SUM($B$82)&gt;=0,SUM($B$82)&lt;=1,SUM($B$83)&gt;=0)),OR(140=1,140=$B$174+1,AND($B$175&gt;0,140=$B$175+1))),IF(AND($B$170=1,$B$66&gt;0,OR($B$175=0,140&lt;=$B$175)),$B$66,IF($B$172-MAX(140-1,$B$174)&gt;0,IF(B540=0,0,IF(C540=0,B540/($B$172-MAX(140-1,$B$174)),B540*(C540/12)/(1-(1+C540/12)^(-($B$172-MAX(140-1,$B$174)))))),"")),D539)))),""),""))</x:f>
        <x:v>4679.450723240598</x:v>
      </x:c>
      <x:c r="E540" s="440" t="n">
        <x:f>IF(AND(140=$B$173,ISNUMBER(D540)),IF(MAX(0,B540*(1+C540/12)-D540)&lt;MAX(0.0000001,$E$17*0.00000000001),0,MAX(0,B540*(1+C540/12)-D540)),0)</x:f>
        <x:v>0</x:v>
      </x:c>
      <x:c r="F540" s="440" t="n">
        <x:f>IF($B$78="Cash payoff",E540,0)</x:f>
        <x:v>0</x:v>
      </x:c>
      <x:c r="G540" s="440" t="n">
        <x:f>IF(AND(E540&gt;0,AND($B$78="Refinance",ISNUMBER($B$80),$B$80&gt;=0,$B$80&lt;=1,ROUND($B$81*12,0)&gt;=1,$B$81&lt;=100,SUM($B$82)&gt;=0,SUM($B$82)&lt;=1,SUM($B$83)&gt;=0)),E540*SUM($B$82)+SUM($B$83),0)</x:f>
        <x:v>0</x:v>
      </x:c>
      <x:c r="H540" s="440" t="n">
        <x:f>IF(ISNUMBER(D540),IF(MAX(0,B540*(1+C540/12)-D540-F540)&lt;MAX(0.0000001,$E$17*0.00000000001),0,MAX(0,B540*(1+C540/12)-D540-F540)),IF(AND($B$171=1,I539=1),B540,""))</x:f>
        <x:v>611932.2313551081</x:v>
      </x:c>
      <x:c r="I540" s="444" t="n">
        <x:f>IF(OR(I539=1,AND(E540&gt;0,$B$78&lt;&gt;"Cash payoff",NOT(AND($B$78="Refinance",ISNUMBER($B$80),$B$80&gt;=0,$B$80&lt;=1,ROUND($B$81*12,0)&gt;=1,$B$81&lt;=100,SUM($B$82)&gt;=0,SUM($B$82)&lt;=1,SUM($B$83)&gt;=0))),AND(ISNUMBER(B540),B540&gt;0,$B$171=1,NOT(ISNUMBER(D540)))),1,0)</x:f>
        <x:v>0</x:v>
      </x:c>
      <x:c r="J540" s="440" t="n">
        <x:f>IF(ISNUMBER(L539),L539,"")</x:f>
        <x:v>0</x:v>
      </x:c>
      <x:c r="K540" s="440" t="n">
        <x:f>IF(AND(ISNUMBER(J540),J540=0),0,IF(AND($B$176=1,ISNUMBER(J540)),MIN(J540*(1+$B$87/12),IF($B$86=0,0,IF($B$87=0,$B$86/ROUND($B$88*12,0),$B$86*($B$87/12)/(1-(1+$B$87/12)^(-ROUND($B$88*12,0)))))),""))</x:f>
        <x:v>0</x:v>
      </x:c>
      <x:c r="L540" s="440" t="n">
        <x:f>IF(ISNUMBER(K540),IF(MAX(0,J540*(1+SUM($B$87)/12)-K540)&lt;MAX(0.0000001,$B$86*0.00000000001),0,MAX(0,J540*(1+SUM($B$87)/12)-K540)),"")</x:f>
        <x:v>0</x:v>
      </x:c>
      <x:c r="M540" s="440" t="n">
        <x:f>IF(AND(ISNUMBER(D540),ISNUMBER(K540)),D540+K540,"")</x:f>
        <x:v>4679.450723240598</x:v>
      </x:c>
      <x:c r="N540" s="440" t="n">
        <x:f>IF(AND(ISNUMBER(H540),ISNUMBER(L540)),H540+L540,"")</x:f>
        <x:v>611932.2313551081</x:v>
      </x:c>
    </x:row>
    <x:row r="541" ht="22" customHeight="1">
      <x:c r="A541" s="254" t="n">
        <x:f>141</x:f>
        <x:v>141</x:v>
      </x:c>
      <x:c r="B541" s="440" t="n">
        <x:f>IF(ISNUMBER(H540),H540,"")</x:f>
        <x:v>611932.2313551081</x:v>
      </x:c>
      <x:c r="C541" s="442" t="n">
        <x:f>IF(ISNUMBER(B541),IF(AND(141&gt;$B$173,$B$78="Refinance",ISNUMBER($B$80),$B$80&gt;=0,$B$80&lt;=1,ROUND($B$81*12,0)&gt;=1,$B$81&lt;=100,SUM($B$82)&gt;=0,SUM($B$82)&lt;=1,SUM($B$83)&gt;=0),$B$80,IF(AND($B$175&gt;0,141&gt;$B$175,ISNUMBER($B$75)),$B$75,$B$61)),"")</x:f>
        <x:v>0.0625</x:v>
      </x:c>
      <x:c r="D541" s="440" t="n">
        <x:f>IF(AND(ISNUMBER(B541),B541=0),0,IF(AND($B$171=1,I540=0,ISNUMBER(C541),ISNUMBER(IF(AND(141&lt;=$B$174,141&lt;=$B$173),B541*C541/12,IF(AND(141=$B$173+1,AND(141&gt;$B$173,$B$78="Refinance",ISNUMBER($B$80),$B$80&gt;=0,$B$80&lt;=1,ROUND($B$81*12,0)&gt;=1,$B$81&lt;=100,SUM($B$82)&gt;=0,SUM($B$82)&lt;=1,SUM($B$83)&gt;=0)),IF(B541=0,0,IF(C541=0,B541/ROUND($B$81*12,0),B541*(C541/12)/(1-(1+C541/12)^(-ROUND($B$81*12,0))))),IF(AND(NOT(AND(141&gt;$B$173,$B$78="Refinance",ISNUMBER($B$80),$B$80&gt;=0,$B$80&lt;=1,ROUND($B$81*12,0)&gt;=1,$B$81&lt;=100,SUM($B$82)&gt;=0,SUM($B$82)&lt;=1,SUM($B$83)&gt;=0)),OR(141=1,141=$B$174+1,AND($B$175&gt;0,141=$B$175+1))),IF(AND($B$170=1,$B$66&gt;0,OR($B$175=0,141&lt;=$B$175)),$B$66,IF($B$172-MAX(141-1,$B$174)&gt;0,IF(B541=0,0,IF(C541=0,B541/($B$172-MAX(141-1,$B$174)),B541*(C541/12)/(1-(1+C541/12)^(-($B$172-MAX(141-1,$B$174)))))),"")),D540))))),IF(IF(AND(141&lt;=$B$174,141&lt;=$B$173),B541*C541/12,IF(AND(141=$B$173+1,AND(141&gt;$B$173,$B$78="Refinance",ISNUMBER($B$80),$B$80&gt;=0,$B$80&lt;=1,ROUND($B$81*12,0)&gt;=1,$B$81&lt;=100,SUM($B$82)&gt;=0,SUM($B$82)&lt;=1,SUM($B$83)&gt;=0)),IF(B541=0,0,IF(C541=0,B541/ROUND($B$81*12,0),B541*(C541/12)/(1-(1+C541/12)^(-ROUND($B$81*12,0))))),IF(AND(NOT(AND(141&gt;$B$173,$B$78="Refinance",ISNUMBER($B$80),$B$80&gt;=0,$B$80&lt;=1,ROUND($B$81*12,0)&gt;=1,$B$81&lt;=100,SUM($B$82)&gt;=0,SUM($B$82)&lt;=1,SUM($B$83)&gt;=0)),OR(141=1,141=$B$174+1,AND($B$175&gt;0,141=$B$175+1))),IF(AND($B$170=1,$B$66&gt;0,OR($B$175=0,141&lt;=$B$175)),$B$66,IF($B$172-MAX(141-1,$B$174)&gt;0,IF(B541=0,0,IF(C541=0,B541/($B$172-MAX(141-1,$B$174)),B541*(C541/12)/(1-(1+C541/12)^(-($B$172-MAX(141-1,$B$174)))))),"")),D540)))+0.0000001&gt;=B541*C541/12,MIN(B541*(1+C541/12),IF(AND(141&lt;=$B$174,141&lt;=$B$173),B541*C541/12,IF(AND(141=$B$173+1,AND(141&gt;$B$173,$B$78="Refinance",ISNUMBER($B$80),$B$80&gt;=0,$B$80&lt;=1,ROUND($B$81*12,0)&gt;=1,$B$81&lt;=100,SUM($B$82)&gt;=0,SUM($B$82)&lt;=1,SUM($B$83)&gt;=0)),IF(B541=0,0,IF(C541=0,B541/ROUND($B$81*12,0),B541*(C541/12)/(1-(1+C541/12)^(-ROUND($B$81*12,0))))),IF(AND(NOT(AND(141&gt;$B$173,$B$78="Refinance",ISNUMBER($B$80),$B$80&gt;=0,$B$80&lt;=1,ROUND($B$81*12,0)&gt;=1,$B$81&lt;=100,SUM($B$82)&gt;=0,SUM($B$82)&lt;=1,SUM($B$83)&gt;=0)),OR(141=1,141=$B$174+1,AND($B$175&gt;0,141=$B$175+1))),IF(AND($B$170=1,$B$66&gt;0,OR($B$175=0,141&lt;=$B$175)),$B$66,IF($B$172-MAX(141-1,$B$174)&gt;0,IF(B541=0,0,IF(C541=0,B541/($B$172-MAX(141-1,$B$174)),B541*(C541/12)/(1-(1+C541/12)^(-($B$172-MAX(141-1,$B$174)))))),"")),D540)))),""),""))</x:f>
        <x:v>4679.450723240598</x:v>
      </x:c>
      <x:c r="E541" s="440" t="n">
        <x:f>IF(AND(141=$B$173,ISNUMBER(D541)),IF(MAX(0,B541*(1+C541/12)-D541)&lt;MAX(0.0000001,$E$17*0.00000000001),0,MAX(0,B541*(1+C541/12)-D541)),0)</x:f>
        <x:v>0</x:v>
      </x:c>
      <x:c r="F541" s="440" t="n">
        <x:f>IF($B$78="Cash payoff",E541,0)</x:f>
        <x:v>0</x:v>
      </x:c>
      <x:c r="G541" s="440" t="n">
        <x:f>IF(AND(E541&gt;0,AND($B$78="Refinance",ISNUMBER($B$80),$B$80&gt;=0,$B$80&lt;=1,ROUND($B$81*12,0)&gt;=1,$B$81&lt;=100,SUM($B$82)&gt;=0,SUM($B$82)&lt;=1,SUM($B$83)&gt;=0)),E541*SUM($B$82)+SUM($B$83),0)</x:f>
        <x:v>0</x:v>
      </x:c>
      <x:c r="H541" s="440" t="n">
        <x:f>IF(ISNUMBER(D541),IF(MAX(0,B541*(1+C541/12)-D541-F541)&lt;MAX(0.0000001,$E$17*0.00000000001),0,MAX(0,B541*(1+C541/12)-D541-F541)),IF(AND($B$171=1,I540=1),B541,""))</x:f>
        <x:v>610439.9276701753</x:v>
      </x:c>
      <x:c r="I541" s="444" t="n">
        <x:f>IF(OR(I540=1,AND(E541&gt;0,$B$78&lt;&gt;"Cash payoff",NOT(AND($B$78="Refinance",ISNUMBER($B$80),$B$80&gt;=0,$B$80&lt;=1,ROUND($B$81*12,0)&gt;=1,$B$81&lt;=100,SUM($B$82)&gt;=0,SUM($B$82)&lt;=1,SUM($B$83)&gt;=0))),AND(ISNUMBER(B541),B541&gt;0,$B$171=1,NOT(ISNUMBER(D541)))),1,0)</x:f>
        <x:v>0</x:v>
      </x:c>
      <x:c r="J541" s="440" t="n">
        <x:f>IF(ISNUMBER(L540),L540,"")</x:f>
        <x:v>0</x:v>
      </x:c>
      <x:c r="K541" s="440" t="n">
        <x:f>IF(AND(ISNUMBER(J541),J541=0),0,IF(AND($B$176=1,ISNUMBER(J541)),MIN(J541*(1+$B$87/12),IF($B$86=0,0,IF($B$87=0,$B$86/ROUND($B$88*12,0),$B$86*($B$87/12)/(1-(1+$B$87/12)^(-ROUND($B$88*12,0)))))),""))</x:f>
        <x:v>0</x:v>
      </x:c>
      <x:c r="L541" s="440" t="n">
        <x:f>IF(ISNUMBER(K541),IF(MAX(0,J541*(1+SUM($B$87)/12)-K541)&lt;MAX(0.0000001,$B$86*0.00000000001),0,MAX(0,J541*(1+SUM($B$87)/12)-K541)),"")</x:f>
        <x:v>0</x:v>
      </x:c>
      <x:c r="M541" s="440" t="n">
        <x:f>IF(AND(ISNUMBER(D541),ISNUMBER(K541)),D541+K541,"")</x:f>
        <x:v>4679.450723240598</x:v>
      </x:c>
      <x:c r="N541" s="440" t="n">
        <x:f>IF(AND(ISNUMBER(H541),ISNUMBER(L541)),H541+L541,"")</x:f>
        <x:v>610439.9276701753</x:v>
      </x:c>
    </x:row>
    <x:row r="542" ht="22" customHeight="1">
      <x:c r="A542" s="254" t="n">
        <x:f>142</x:f>
        <x:v>142</x:v>
      </x:c>
      <x:c r="B542" s="440" t="n">
        <x:f>IF(ISNUMBER(H541),H541,"")</x:f>
        <x:v>610439.9276701753</x:v>
      </x:c>
      <x:c r="C542" s="442" t="n">
        <x:f>IF(ISNUMBER(B542),IF(AND(142&gt;$B$173,$B$78="Refinance",ISNUMBER($B$80),$B$80&gt;=0,$B$80&lt;=1,ROUND($B$81*12,0)&gt;=1,$B$81&lt;=100,SUM($B$82)&gt;=0,SUM($B$82)&lt;=1,SUM($B$83)&gt;=0),$B$80,IF(AND($B$175&gt;0,142&gt;$B$175,ISNUMBER($B$75)),$B$75,$B$61)),"")</x:f>
        <x:v>0.0625</x:v>
      </x:c>
      <x:c r="D542" s="440" t="n">
        <x:f>IF(AND(ISNUMBER(B542),B542=0),0,IF(AND($B$171=1,I541=0,ISNUMBER(C542),ISNUMBER(IF(AND(142&lt;=$B$174,142&lt;=$B$173),B542*C542/12,IF(AND(142=$B$173+1,AND(142&gt;$B$173,$B$78="Refinance",ISNUMBER($B$80),$B$80&gt;=0,$B$80&lt;=1,ROUND($B$81*12,0)&gt;=1,$B$81&lt;=100,SUM($B$82)&gt;=0,SUM($B$82)&lt;=1,SUM($B$83)&gt;=0)),IF(B542=0,0,IF(C542=0,B542/ROUND($B$81*12,0),B542*(C542/12)/(1-(1+C542/12)^(-ROUND($B$81*12,0))))),IF(AND(NOT(AND(142&gt;$B$173,$B$78="Refinance",ISNUMBER($B$80),$B$80&gt;=0,$B$80&lt;=1,ROUND($B$81*12,0)&gt;=1,$B$81&lt;=100,SUM($B$82)&gt;=0,SUM($B$82)&lt;=1,SUM($B$83)&gt;=0)),OR(142=1,142=$B$174+1,AND($B$175&gt;0,142=$B$175+1))),IF(AND($B$170=1,$B$66&gt;0,OR($B$175=0,142&lt;=$B$175)),$B$66,IF($B$172-MAX(142-1,$B$174)&gt;0,IF(B542=0,0,IF(C542=0,B542/($B$172-MAX(142-1,$B$174)),B542*(C542/12)/(1-(1+C542/12)^(-($B$172-MAX(142-1,$B$174)))))),"")),D541))))),IF(IF(AND(142&lt;=$B$174,142&lt;=$B$173),B542*C542/12,IF(AND(142=$B$173+1,AND(142&gt;$B$173,$B$78="Refinance",ISNUMBER($B$80),$B$80&gt;=0,$B$80&lt;=1,ROUND($B$81*12,0)&gt;=1,$B$81&lt;=100,SUM($B$82)&gt;=0,SUM($B$82)&lt;=1,SUM($B$83)&gt;=0)),IF(B542=0,0,IF(C542=0,B542/ROUND($B$81*12,0),B542*(C542/12)/(1-(1+C542/12)^(-ROUND($B$81*12,0))))),IF(AND(NOT(AND(142&gt;$B$173,$B$78="Refinance",ISNUMBER($B$80),$B$80&gt;=0,$B$80&lt;=1,ROUND($B$81*12,0)&gt;=1,$B$81&lt;=100,SUM($B$82)&gt;=0,SUM($B$82)&lt;=1,SUM($B$83)&gt;=0)),OR(142=1,142=$B$174+1,AND($B$175&gt;0,142=$B$175+1))),IF(AND($B$170=1,$B$66&gt;0,OR($B$175=0,142&lt;=$B$175)),$B$66,IF($B$172-MAX(142-1,$B$174)&gt;0,IF(B542=0,0,IF(C542=0,B542/($B$172-MAX(142-1,$B$174)),B542*(C542/12)/(1-(1+C542/12)^(-($B$172-MAX(142-1,$B$174)))))),"")),D541)))+0.0000001&gt;=B542*C542/12,MIN(B542*(1+C542/12),IF(AND(142&lt;=$B$174,142&lt;=$B$173),B542*C542/12,IF(AND(142=$B$173+1,AND(142&gt;$B$173,$B$78="Refinance",ISNUMBER($B$80),$B$80&gt;=0,$B$80&lt;=1,ROUND($B$81*12,0)&gt;=1,$B$81&lt;=100,SUM($B$82)&gt;=0,SUM($B$82)&lt;=1,SUM($B$83)&gt;=0)),IF(B542=0,0,IF(C542=0,B542/ROUND($B$81*12,0),B542*(C542/12)/(1-(1+C542/12)^(-ROUND($B$81*12,0))))),IF(AND(NOT(AND(142&gt;$B$173,$B$78="Refinance",ISNUMBER($B$80),$B$80&gt;=0,$B$80&lt;=1,ROUND($B$81*12,0)&gt;=1,$B$81&lt;=100,SUM($B$82)&gt;=0,SUM($B$82)&lt;=1,SUM($B$83)&gt;=0)),OR(142=1,142=$B$174+1,AND($B$175&gt;0,142=$B$175+1))),IF(AND($B$170=1,$B$66&gt;0,OR($B$175=0,142&lt;=$B$175)),$B$66,IF($B$172-MAX(142-1,$B$174)&gt;0,IF(B542=0,0,IF(C542=0,B542/($B$172-MAX(142-1,$B$174)),B542*(C542/12)/(1-(1+C542/12)^(-($B$172-MAX(142-1,$B$174)))))),"")),D541)))),""),""))</x:f>
        <x:v>4679.450723240598</x:v>
      </x:c>
      <x:c r="E542" s="440" t="n">
        <x:f>IF(AND(142=$B$173,ISNUMBER(D542)),IF(MAX(0,B542*(1+C542/12)-D542)&lt;MAX(0.0000001,$E$17*0.00000000001),0,MAX(0,B542*(1+C542/12)-D542)),0)</x:f>
        <x:v>0</x:v>
      </x:c>
      <x:c r="F542" s="440" t="n">
        <x:f>IF($B$78="Cash payoff",E542,0)</x:f>
        <x:v>0</x:v>
      </x:c>
      <x:c r="G542" s="440" t="n">
        <x:f>IF(AND(E542&gt;0,AND($B$78="Refinance",ISNUMBER($B$80),$B$80&gt;=0,$B$80&lt;=1,ROUND($B$81*12,0)&gt;=1,$B$81&lt;=100,SUM($B$82)&gt;=0,SUM($B$82)&lt;=1,SUM($B$83)&gt;=0)),E542*SUM($B$82)+SUM($B$83),0)</x:f>
        <x:v>0</x:v>
      </x:c>
      <x:c r="H542" s="440" t="n">
        <x:f>IF(ISNUMBER(D542),IF(MAX(0,B542*(1+C542/12)-D542-F542)&lt;MAX(0.0000001,$E$17*0.00000000001),0,MAX(0,B542*(1+C542/12)-D542-F542)),IF(AND($B$171=1,I541=1),B542,""))</x:f>
        <x:v>608939.8515702168</x:v>
      </x:c>
      <x:c r="I542" s="444" t="n">
        <x:f>IF(OR(I541=1,AND(E542&gt;0,$B$78&lt;&gt;"Cash payoff",NOT(AND($B$78="Refinance",ISNUMBER($B$80),$B$80&gt;=0,$B$80&lt;=1,ROUND($B$81*12,0)&gt;=1,$B$81&lt;=100,SUM($B$82)&gt;=0,SUM($B$82)&lt;=1,SUM($B$83)&gt;=0))),AND(ISNUMBER(B542),B542&gt;0,$B$171=1,NOT(ISNUMBER(D542)))),1,0)</x:f>
        <x:v>0</x:v>
      </x:c>
      <x:c r="J542" s="440" t="n">
        <x:f>IF(ISNUMBER(L541),L541,"")</x:f>
        <x:v>0</x:v>
      </x:c>
      <x:c r="K542" s="440" t="n">
        <x:f>IF(AND(ISNUMBER(J542),J542=0),0,IF(AND($B$176=1,ISNUMBER(J542)),MIN(J542*(1+$B$87/12),IF($B$86=0,0,IF($B$87=0,$B$86/ROUND($B$88*12,0),$B$86*($B$87/12)/(1-(1+$B$87/12)^(-ROUND($B$88*12,0)))))),""))</x:f>
        <x:v>0</x:v>
      </x:c>
      <x:c r="L542" s="440" t="n">
        <x:f>IF(ISNUMBER(K542),IF(MAX(0,J542*(1+SUM($B$87)/12)-K542)&lt;MAX(0.0000001,$B$86*0.00000000001),0,MAX(0,J542*(1+SUM($B$87)/12)-K542)),"")</x:f>
        <x:v>0</x:v>
      </x:c>
      <x:c r="M542" s="440" t="n">
        <x:f>IF(AND(ISNUMBER(D542),ISNUMBER(K542)),D542+K542,"")</x:f>
        <x:v>4679.450723240598</x:v>
      </x:c>
      <x:c r="N542" s="440" t="n">
        <x:f>IF(AND(ISNUMBER(H542),ISNUMBER(L542)),H542+L542,"")</x:f>
        <x:v>608939.8515702168</x:v>
      </x:c>
    </x:row>
    <x:row r="543" ht="22" customHeight="1">
      <x:c r="A543" s="254" t="n">
        <x:f>143</x:f>
        <x:v>143</x:v>
      </x:c>
      <x:c r="B543" s="440" t="n">
        <x:f>IF(ISNUMBER(H542),H542,"")</x:f>
        <x:v>608939.8515702168</x:v>
      </x:c>
      <x:c r="C543" s="442" t="n">
        <x:f>IF(ISNUMBER(B543),IF(AND(143&gt;$B$173,$B$78="Refinance",ISNUMBER($B$80),$B$80&gt;=0,$B$80&lt;=1,ROUND($B$81*12,0)&gt;=1,$B$81&lt;=100,SUM($B$82)&gt;=0,SUM($B$82)&lt;=1,SUM($B$83)&gt;=0),$B$80,IF(AND($B$175&gt;0,143&gt;$B$175,ISNUMBER($B$75)),$B$75,$B$61)),"")</x:f>
        <x:v>0.0625</x:v>
      </x:c>
      <x:c r="D543" s="440" t="n">
        <x:f>IF(AND(ISNUMBER(B543),B543=0),0,IF(AND($B$171=1,I542=0,ISNUMBER(C543),ISNUMBER(IF(AND(143&lt;=$B$174,143&lt;=$B$173),B543*C543/12,IF(AND(143=$B$173+1,AND(143&gt;$B$173,$B$78="Refinance",ISNUMBER($B$80),$B$80&gt;=0,$B$80&lt;=1,ROUND($B$81*12,0)&gt;=1,$B$81&lt;=100,SUM($B$82)&gt;=0,SUM($B$82)&lt;=1,SUM($B$83)&gt;=0)),IF(B543=0,0,IF(C543=0,B543/ROUND($B$81*12,0),B543*(C543/12)/(1-(1+C543/12)^(-ROUND($B$81*12,0))))),IF(AND(NOT(AND(143&gt;$B$173,$B$78="Refinance",ISNUMBER($B$80),$B$80&gt;=0,$B$80&lt;=1,ROUND($B$81*12,0)&gt;=1,$B$81&lt;=100,SUM($B$82)&gt;=0,SUM($B$82)&lt;=1,SUM($B$83)&gt;=0)),OR(143=1,143=$B$174+1,AND($B$175&gt;0,143=$B$175+1))),IF(AND($B$170=1,$B$66&gt;0,OR($B$175=0,143&lt;=$B$175)),$B$66,IF($B$172-MAX(143-1,$B$174)&gt;0,IF(B543=0,0,IF(C543=0,B543/($B$172-MAX(143-1,$B$174)),B543*(C543/12)/(1-(1+C543/12)^(-($B$172-MAX(143-1,$B$174)))))),"")),D542))))),IF(IF(AND(143&lt;=$B$174,143&lt;=$B$173),B543*C543/12,IF(AND(143=$B$173+1,AND(143&gt;$B$173,$B$78="Refinance",ISNUMBER($B$80),$B$80&gt;=0,$B$80&lt;=1,ROUND($B$81*12,0)&gt;=1,$B$81&lt;=100,SUM($B$82)&gt;=0,SUM($B$82)&lt;=1,SUM($B$83)&gt;=0)),IF(B543=0,0,IF(C543=0,B543/ROUND($B$81*12,0),B543*(C543/12)/(1-(1+C543/12)^(-ROUND($B$81*12,0))))),IF(AND(NOT(AND(143&gt;$B$173,$B$78="Refinance",ISNUMBER($B$80),$B$80&gt;=0,$B$80&lt;=1,ROUND($B$81*12,0)&gt;=1,$B$81&lt;=100,SUM($B$82)&gt;=0,SUM($B$82)&lt;=1,SUM($B$83)&gt;=0)),OR(143=1,143=$B$174+1,AND($B$175&gt;0,143=$B$175+1))),IF(AND($B$170=1,$B$66&gt;0,OR($B$175=0,143&lt;=$B$175)),$B$66,IF($B$172-MAX(143-1,$B$174)&gt;0,IF(B543=0,0,IF(C543=0,B543/($B$172-MAX(143-1,$B$174)),B543*(C543/12)/(1-(1+C543/12)^(-($B$172-MAX(143-1,$B$174)))))),"")),D542)))+0.0000001&gt;=B543*C543/12,MIN(B543*(1+C543/12),IF(AND(143&lt;=$B$174,143&lt;=$B$173),B543*C543/12,IF(AND(143=$B$173+1,AND(143&gt;$B$173,$B$78="Refinance",ISNUMBER($B$80),$B$80&gt;=0,$B$80&lt;=1,ROUND($B$81*12,0)&gt;=1,$B$81&lt;=100,SUM($B$82)&gt;=0,SUM($B$82)&lt;=1,SUM($B$83)&gt;=0)),IF(B543=0,0,IF(C543=0,B543/ROUND($B$81*12,0),B543*(C543/12)/(1-(1+C543/12)^(-ROUND($B$81*12,0))))),IF(AND(NOT(AND(143&gt;$B$173,$B$78="Refinance",ISNUMBER($B$80),$B$80&gt;=0,$B$80&lt;=1,ROUND($B$81*12,0)&gt;=1,$B$81&lt;=100,SUM($B$82)&gt;=0,SUM($B$82)&lt;=1,SUM($B$83)&gt;=0)),OR(143=1,143=$B$174+1,AND($B$175&gt;0,143=$B$175+1))),IF(AND($B$170=1,$B$66&gt;0,OR($B$175=0,143&lt;=$B$175)),$B$66,IF($B$172-MAX(143-1,$B$174)&gt;0,IF(B543=0,0,IF(C543=0,B543/($B$172-MAX(143-1,$B$174)),B543*(C543/12)/(1-(1+C543/12)^(-($B$172-MAX(143-1,$B$174)))))),"")),D542)))),""),""))</x:f>
        <x:v>4679.450723240598</x:v>
      </x:c>
      <x:c r="E543" s="440" t="n">
        <x:f>IF(AND(143=$B$173,ISNUMBER(D543)),IF(MAX(0,B543*(1+C543/12)-D543)&lt;MAX(0.0000001,$E$17*0.00000000001),0,MAX(0,B543*(1+C543/12)-D543)),0)</x:f>
        <x:v>0</x:v>
      </x:c>
      <x:c r="F543" s="440" t="n">
        <x:f>IF($B$78="Cash payoff",E543,0)</x:f>
        <x:v>0</x:v>
      </x:c>
      <x:c r="G543" s="440" t="n">
        <x:f>IF(AND(E543&gt;0,AND($B$78="Refinance",ISNUMBER($B$80),$B$80&gt;=0,$B$80&lt;=1,ROUND($B$81*12,0)&gt;=1,$B$81&lt;=100,SUM($B$82)&gt;=0,SUM($B$82)&lt;=1,SUM($B$83)&gt;=0)),E543*SUM($B$82)+SUM($B$83),0)</x:f>
        <x:v>0</x:v>
      </x:c>
      <x:c r="H543" s="440" t="n">
        <x:f>IF(ISNUMBER(D543),IF(MAX(0,B543*(1+C543/12)-D543-F543)&lt;MAX(0.0000001,$E$17*0.00000000001),0,MAX(0,B543*(1+C543/12)-D543-F543)),IF(AND($B$171=1,I542=1),B543,""))</x:f>
        <x:v>607431.9625739044</x:v>
      </x:c>
      <x:c r="I543" s="444" t="n">
        <x:f>IF(OR(I542=1,AND(E543&gt;0,$B$78&lt;&gt;"Cash payoff",NOT(AND($B$78="Refinance",ISNUMBER($B$80),$B$80&gt;=0,$B$80&lt;=1,ROUND($B$81*12,0)&gt;=1,$B$81&lt;=100,SUM($B$82)&gt;=0,SUM($B$82)&lt;=1,SUM($B$83)&gt;=0))),AND(ISNUMBER(B543),B543&gt;0,$B$171=1,NOT(ISNUMBER(D543)))),1,0)</x:f>
        <x:v>0</x:v>
      </x:c>
      <x:c r="J543" s="440" t="n">
        <x:f>IF(ISNUMBER(L542),L542,"")</x:f>
        <x:v>0</x:v>
      </x:c>
      <x:c r="K543" s="440" t="n">
        <x:f>IF(AND(ISNUMBER(J543),J543=0),0,IF(AND($B$176=1,ISNUMBER(J543)),MIN(J543*(1+$B$87/12),IF($B$86=0,0,IF($B$87=0,$B$86/ROUND($B$88*12,0),$B$86*($B$87/12)/(1-(1+$B$87/12)^(-ROUND($B$88*12,0)))))),""))</x:f>
        <x:v>0</x:v>
      </x:c>
      <x:c r="L543" s="440" t="n">
        <x:f>IF(ISNUMBER(K543),IF(MAX(0,J543*(1+SUM($B$87)/12)-K543)&lt;MAX(0.0000001,$B$86*0.00000000001),0,MAX(0,J543*(1+SUM($B$87)/12)-K543)),"")</x:f>
        <x:v>0</x:v>
      </x:c>
      <x:c r="M543" s="440" t="n">
        <x:f>IF(AND(ISNUMBER(D543),ISNUMBER(K543)),D543+K543,"")</x:f>
        <x:v>4679.450723240598</x:v>
      </x:c>
      <x:c r="N543" s="440" t="n">
        <x:f>IF(AND(ISNUMBER(H543),ISNUMBER(L543)),H543+L543,"")</x:f>
        <x:v>607431.9625739044</x:v>
      </x:c>
    </x:row>
    <x:row r="544" ht="22" customHeight="1">
      <x:c r="A544" s="254" t="n">
        <x:f>144</x:f>
        <x:v>144</x:v>
      </x:c>
      <x:c r="B544" s="440" t="n">
        <x:f>IF(ISNUMBER(H543),H543,"")</x:f>
        <x:v>607431.9625739044</x:v>
      </x:c>
      <x:c r="C544" s="442" t="n">
        <x:f>IF(ISNUMBER(B544),IF(AND(144&gt;$B$173,$B$78="Refinance",ISNUMBER($B$80),$B$80&gt;=0,$B$80&lt;=1,ROUND($B$81*12,0)&gt;=1,$B$81&lt;=100,SUM($B$82)&gt;=0,SUM($B$82)&lt;=1,SUM($B$83)&gt;=0),$B$80,IF(AND($B$175&gt;0,144&gt;$B$175,ISNUMBER($B$75)),$B$75,$B$61)),"")</x:f>
        <x:v>0.0625</x:v>
      </x:c>
      <x:c r="D544" s="440" t="n">
        <x:f>IF(AND(ISNUMBER(B544),B544=0),0,IF(AND($B$171=1,I543=0,ISNUMBER(C544),ISNUMBER(IF(AND(144&lt;=$B$174,144&lt;=$B$173),B544*C544/12,IF(AND(144=$B$173+1,AND(144&gt;$B$173,$B$78="Refinance",ISNUMBER($B$80),$B$80&gt;=0,$B$80&lt;=1,ROUND($B$81*12,0)&gt;=1,$B$81&lt;=100,SUM($B$82)&gt;=0,SUM($B$82)&lt;=1,SUM($B$83)&gt;=0)),IF(B544=0,0,IF(C544=0,B544/ROUND($B$81*12,0),B544*(C544/12)/(1-(1+C544/12)^(-ROUND($B$81*12,0))))),IF(AND(NOT(AND(144&gt;$B$173,$B$78="Refinance",ISNUMBER($B$80),$B$80&gt;=0,$B$80&lt;=1,ROUND($B$81*12,0)&gt;=1,$B$81&lt;=100,SUM($B$82)&gt;=0,SUM($B$82)&lt;=1,SUM($B$83)&gt;=0)),OR(144=1,144=$B$174+1,AND($B$175&gt;0,144=$B$175+1))),IF(AND($B$170=1,$B$66&gt;0,OR($B$175=0,144&lt;=$B$175)),$B$66,IF($B$172-MAX(144-1,$B$174)&gt;0,IF(B544=0,0,IF(C544=0,B544/($B$172-MAX(144-1,$B$174)),B544*(C544/12)/(1-(1+C544/12)^(-($B$172-MAX(144-1,$B$174)))))),"")),D543))))),IF(IF(AND(144&lt;=$B$174,144&lt;=$B$173),B544*C544/12,IF(AND(144=$B$173+1,AND(144&gt;$B$173,$B$78="Refinance",ISNUMBER($B$80),$B$80&gt;=0,$B$80&lt;=1,ROUND($B$81*12,0)&gt;=1,$B$81&lt;=100,SUM($B$82)&gt;=0,SUM($B$82)&lt;=1,SUM($B$83)&gt;=0)),IF(B544=0,0,IF(C544=0,B544/ROUND($B$81*12,0),B544*(C544/12)/(1-(1+C544/12)^(-ROUND($B$81*12,0))))),IF(AND(NOT(AND(144&gt;$B$173,$B$78="Refinance",ISNUMBER($B$80),$B$80&gt;=0,$B$80&lt;=1,ROUND($B$81*12,0)&gt;=1,$B$81&lt;=100,SUM($B$82)&gt;=0,SUM($B$82)&lt;=1,SUM($B$83)&gt;=0)),OR(144=1,144=$B$174+1,AND($B$175&gt;0,144=$B$175+1))),IF(AND($B$170=1,$B$66&gt;0,OR($B$175=0,144&lt;=$B$175)),$B$66,IF($B$172-MAX(144-1,$B$174)&gt;0,IF(B544=0,0,IF(C544=0,B544/($B$172-MAX(144-1,$B$174)),B544*(C544/12)/(1-(1+C544/12)^(-($B$172-MAX(144-1,$B$174)))))),"")),D543)))+0.0000001&gt;=B544*C544/12,MIN(B544*(1+C544/12),IF(AND(144&lt;=$B$174,144&lt;=$B$173),B544*C544/12,IF(AND(144=$B$173+1,AND(144&gt;$B$173,$B$78="Refinance",ISNUMBER($B$80),$B$80&gt;=0,$B$80&lt;=1,ROUND($B$81*12,0)&gt;=1,$B$81&lt;=100,SUM($B$82)&gt;=0,SUM($B$82)&lt;=1,SUM($B$83)&gt;=0)),IF(B544=0,0,IF(C544=0,B544/ROUND($B$81*12,0),B544*(C544/12)/(1-(1+C544/12)^(-ROUND($B$81*12,0))))),IF(AND(NOT(AND(144&gt;$B$173,$B$78="Refinance",ISNUMBER($B$80),$B$80&gt;=0,$B$80&lt;=1,ROUND($B$81*12,0)&gt;=1,$B$81&lt;=100,SUM($B$82)&gt;=0,SUM($B$82)&lt;=1,SUM($B$83)&gt;=0)),OR(144=1,144=$B$174+1,AND($B$175&gt;0,144=$B$175+1))),IF(AND($B$170=1,$B$66&gt;0,OR($B$175=0,144&lt;=$B$175)),$B$66,IF($B$172-MAX(144-1,$B$174)&gt;0,IF(B544=0,0,IF(C544=0,B544/($B$172-MAX(144-1,$B$174)),B544*(C544/12)/(1-(1+C544/12)^(-($B$172-MAX(144-1,$B$174)))))),"")),D543)))),""),""))</x:f>
        <x:v>4679.450723240598</x:v>
      </x:c>
      <x:c r="E544" s="440" t="n">
        <x:f>IF(AND(144=$B$173,ISNUMBER(D544)),IF(MAX(0,B544*(1+C544/12)-D544)&lt;MAX(0.0000001,$E$17*0.00000000001),0,MAX(0,B544*(1+C544/12)-D544)),0)</x:f>
        <x:v>0</x:v>
      </x:c>
      <x:c r="F544" s="440" t="n">
        <x:f>IF($B$78="Cash payoff",E544,0)</x:f>
        <x:v>0</x:v>
      </x:c>
      <x:c r="G544" s="440" t="n">
        <x:f>IF(AND(E544&gt;0,AND($B$78="Refinance",ISNUMBER($B$80),$B$80&gt;=0,$B$80&lt;=1,ROUND($B$81*12,0)&gt;=1,$B$81&lt;=100,SUM($B$82)&gt;=0,SUM($B$82)&lt;=1,SUM($B$83)&gt;=0)),E544*SUM($B$82)+SUM($B$83),0)</x:f>
        <x:v>0</x:v>
      </x:c>
      <x:c r="H544" s="440" t="n">
        <x:f>IF(ISNUMBER(D544),IF(MAX(0,B544*(1+C544/12)-D544-F544)&lt;MAX(0.0000001,$E$17*0.00000000001),0,MAX(0,B544*(1+C544/12)-D544-F544)),IF(AND($B$171=1,I543=1),B544,""))</x:f>
        <x:v>605916.2199890695</x:v>
      </x:c>
      <x:c r="I544" s="444" t="n">
        <x:f>IF(OR(I543=1,AND(E544&gt;0,$B$78&lt;&gt;"Cash payoff",NOT(AND($B$78="Refinance",ISNUMBER($B$80),$B$80&gt;=0,$B$80&lt;=1,ROUND($B$81*12,0)&gt;=1,$B$81&lt;=100,SUM($B$82)&gt;=0,SUM($B$82)&lt;=1,SUM($B$83)&gt;=0))),AND(ISNUMBER(B544),B544&gt;0,$B$171=1,NOT(ISNUMBER(D544)))),1,0)</x:f>
        <x:v>0</x:v>
      </x:c>
      <x:c r="J544" s="440" t="n">
        <x:f>IF(ISNUMBER(L543),L543,"")</x:f>
        <x:v>0</x:v>
      </x:c>
      <x:c r="K544" s="440" t="n">
        <x:f>IF(AND(ISNUMBER(J544),J544=0),0,IF(AND($B$176=1,ISNUMBER(J544)),MIN(J544*(1+$B$87/12),IF($B$86=0,0,IF($B$87=0,$B$86/ROUND($B$88*12,0),$B$86*($B$87/12)/(1-(1+$B$87/12)^(-ROUND($B$88*12,0)))))),""))</x:f>
        <x:v>0</x:v>
      </x:c>
      <x:c r="L544" s="440" t="n">
        <x:f>IF(ISNUMBER(K544),IF(MAX(0,J544*(1+SUM($B$87)/12)-K544)&lt;MAX(0.0000001,$B$86*0.00000000001),0,MAX(0,J544*(1+SUM($B$87)/12)-K544)),"")</x:f>
        <x:v>0</x:v>
      </x:c>
      <x:c r="M544" s="440" t="n">
        <x:f>IF(AND(ISNUMBER(D544),ISNUMBER(K544)),D544+K544,"")</x:f>
        <x:v>4679.450723240598</x:v>
      </x:c>
      <x:c r="N544" s="440" t="n">
        <x:f>IF(AND(ISNUMBER(H544),ISNUMBER(L544)),H544+L544,"")</x:f>
        <x:v>605916.2199890695</x:v>
      </x:c>
    </x:row>
    <x:row r="545" ht="22" customHeight="1">
      <x:c r="A545" s="254" t="n">
        <x:f>145</x:f>
        <x:v>145</x:v>
      </x:c>
      <x:c r="B545" s="440" t="n">
        <x:f>IF(ISNUMBER(H544),H544,"")</x:f>
        <x:v>605916.2199890695</x:v>
      </x:c>
      <x:c r="C545" s="442" t="n">
        <x:f>IF(ISNUMBER(B545),IF(AND(145&gt;$B$173,$B$78="Refinance",ISNUMBER($B$80),$B$80&gt;=0,$B$80&lt;=1,ROUND($B$81*12,0)&gt;=1,$B$81&lt;=100,SUM($B$82)&gt;=0,SUM($B$82)&lt;=1,SUM($B$83)&gt;=0),$B$80,IF(AND($B$175&gt;0,145&gt;$B$175,ISNUMBER($B$75)),$B$75,$B$61)),"")</x:f>
        <x:v>0.0625</x:v>
      </x:c>
      <x:c r="D545" s="440" t="n">
        <x:f>IF(AND(ISNUMBER(B545),B545=0),0,IF(AND($B$171=1,I544=0,ISNUMBER(C545),ISNUMBER(IF(AND(145&lt;=$B$174,145&lt;=$B$173),B545*C545/12,IF(AND(145=$B$173+1,AND(145&gt;$B$173,$B$78="Refinance",ISNUMBER($B$80),$B$80&gt;=0,$B$80&lt;=1,ROUND($B$81*12,0)&gt;=1,$B$81&lt;=100,SUM($B$82)&gt;=0,SUM($B$82)&lt;=1,SUM($B$83)&gt;=0)),IF(B545=0,0,IF(C545=0,B545/ROUND($B$81*12,0),B545*(C545/12)/(1-(1+C545/12)^(-ROUND($B$81*12,0))))),IF(AND(NOT(AND(145&gt;$B$173,$B$78="Refinance",ISNUMBER($B$80),$B$80&gt;=0,$B$80&lt;=1,ROUND($B$81*12,0)&gt;=1,$B$81&lt;=100,SUM($B$82)&gt;=0,SUM($B$82)&lt;=1,SUM($B$83)&gt;=0)),OR(145=1,145=$B$174+1,AND($B$175&gt;0,145=$B$175+1))),IF(AND($B$170=1,$B$66&gt;0,OR($B$175=0,145&lt;=$B$175)),$B$66,IF($B$172-MAX(145-1,$B$174)&gt;0,IF(B545=0,0,IF(C545=0,B545/($B$172-MAX(145-1,$B$174)),B545*(C545/12)/(1-(1+C545/12)^(-($B$172-MAX(145-1,$B$174)))))),"")),D544))))),IF(IF(AND(145&lt;=$B$174,145&lt;=$B$173),B545*C545/12,IF(AND(145=$B$173+1,AND(145&gt;$B$173,$B$78="Refinance",ISNUMBER($B$80),$B$80&gt;=0,$B$80&lt;=1,ROUND($B$81*12,0)&gt;=1,$B$81&lt;=100,SUM($B$82)&gt;=0,SUM($B$82)&lt;=1,SUM($B$83)&gt;=0)),IF(B545=0,0,IF(C545=0,B545/ROUND($B$81*12,0),B545*(C545/12)/(1-(1+C545/12)^(-ROUND($B$81*12,0))))),IF(AND(NOT(AND(145&gt;$B$173,$B$78="Refinance",ISNUMBER($B$80),$B$80&gt;=0,$B$80&lt;=1,ROUND($B$81*12,0)&gt;=1,$B$81&lt;=100,SUM($B$82)&gt;=0,SUM($B$82)&lt;=1,SUM($B$83)&gt;=0)),OR(145=1,145=$B$174+1,AND($B$175&gt;0,145=$B$175+1))),IF(AND($B$170=1,$B$66&gt;0,OR($B$175=0,145&lt;=$B$175)),$B$66,IF($B$172-MAX(145-1,$B$174)&gt;0,IF(B545=0,0,IF(C545=0,B545/($B$172-MAX(145-1,$B$174)),B545*(C545/12)/(1-(1+C545/12)^(-($B$172-MAX(145-1,$B$174)))))),"")),D544)))+0.0000001&gt;=B545*C545/12,MIN(B545*(1+C545/12),IF(AND(145&lt;=$B$174,145&lt;=$B$173),B545*C545/12,IF(AND(145=$B$173+1,AND(145&gt;$B$173,$B$78="Refinance",ISNUMBER($B$80),$B$80&gt;=0,$B$80&lt;=1,ROUND($B$81*12,0)&gt;=1,$B$81&lt;=100,SUM($B$82)&gt;=0,SUM($B$82)&lt;=1,SUM($B$83)&gt;=0)),IF(B545=0,0,IF(C545=0,B545/ROUND($B$81*12,0),B545*(C545/12)/(1-(1+C545/12)^(-ROUND($B$81*12,0))))),IF(AND(NOT(AND(145&gt;$B$173,$B$78="Refinance",ISNUMBER($B$80),$B$80&gt;=0,$B$80&lt;=1,ROUND($B$81*12,0)&gt;=1,$B$81&lt;=100,SUM($B$82)&gt;=0,SUM($B$82)&lt;=1,SUM($B$83)&gt;=0)),OR(145=1,145=$B$174+1,AND($B$175&gt;0,145=$B$175+1))),IF(AND($B$170=1,$B$66&gt;0,OR($B$175=0,145&lt;=$B$175)),$B$66,IF($B$172-MAX(145-1,$B$174)&gt;0,IF(B545=0,0,IF(C545=0,B545/($B$172-MAX(145-1,$B$174)),B545*(C545/12)/(1-(1+C545/12)^(-($B$172-MAX(145-1,$B$174)))))),"")),D544)))),""),""))</x:f>
        <x:v>4679.450723240598</x:v>
      </x:c>
      <x:c r="E545" s="440" t="n">
        <x:f>IF(AND(145=$B$173,ISNUMBER(D545)),IF(MAX(0,B545*(1+C545/12)-D545)&lt;MAX(0.0000001,$E$17*0.00000000001),0,MAX(0,B545*(1+C545/12)-D545)),0)</x:f>
        <x:v>0</x:v>
      </x:c>
      <x:c r="F545" s="440" t="n">
        <x:f>IF($B$78="Cash payoff",E545,0)</x:f>
        <x:v>0</x:v>
      </x:c>
      <x:c r="G545" s="440" t="n">
        <x:f>IF(AND(E545&gt;0,AND($B$78="Refinance",ISNUMBER($B$80),$B$80&gt;=0,$B$80&lt;=1,ROUND($B$81*12,0)&gt;=1,$B$81&lt;=100,SUM($B$82)&gt;=0,SUM($B$82)&lt;=1,SUM($B$83)&gt;=0)),E545*SUM($B$82)+SUM($B$83),0)</x:f>
        <x:v>0</x:v>
      </x:c>
      <x:c r="H545" s="440" t="n">
        <x:f>IF(ISNUMBER(D545),IF(MAX(0,B545*(1+C545/12)-D545-F545)&lt;MAX(0.0000001,$E$17*0.00000000001),0,MAX(0,B545*(1+C545/12)-D545-F545)),IF(AND($B$171=1,I544=1),B545,""))</x:f>
        <x:v>604392.5829116052</x:v>
      </x:c>
      <x:c r="I545" s="444" t="n">
        <x:f>IF(OR(I544=1,AND(E545&gt;0,$B$78&lt;&gt;"Cash payoff",NOT(AND($B$78="Refinance",ISNUMBER($B$80),$B$80&gt;=0,$B$80&lt;=1,ROUND($B$81*12,0)&gt;=1,$B$81&lt;=100,SUM($B$82)&gt;=0,SUM($B$82)&lt;=1,SUM($B$83)&gt;=0))),AND(ISNUMBER(B545),B545&gt;0,$B$171=1,NOT(ISNUMBER(D545)))),1,0)</x:f>
        <x:v>0</x:v>
      </x:c>
      <x:c r="J545" s="440" t="n">
        <x:f>IF(ISNUMBER(L544),L544,"")</x:f>
        <x:v>0</x:v>
      </x:c>
      <x:c r="K545" s="440" t="n">
        <x:f>IF(AND(ISNUMBER(J545),J545=0),0,IF(AND($B$176=1,ISNUMBER(J545)),MIN(J545*(1+$B$87/12),IF($B$86=0,0,IF($B$87=0,$B$86/ROUND($B$88*12,0),$B$86*($B$87/12)/(1-(1+$B$87/12)^(-ROUND($B$88*12,0)))))),""))</x:f>
        <x:v>0</x:v>
      </x:c>
      <x:c r="L545" s="440" t="n">
        <x:f>IF(ISNUMBER(K545),IF(MAX(0,J545*(1+SUM($B$87)/12)-K545)&lt;MAX(0.0000001,$B$86*0.00000000001),0,MAX(0,J545*(1+SUM($B$87)/12)-K545)),"")</x:f>
        <x:v>0</x:v>
      </x:c>
      <x:c r="M545" s="440" t="n">
        <x:f>IF(AND(ISNUMBER(D545),ISNUMBER(K545)),D545+K545,"")</x:f>
        <x:v>4679.450723240598</x:v>
      </x:c>
      <x:c r="N545" s="440" t="n">
        <x:f>IF(AND(ISNUMBER(H545),ISNUMBER(L545)),H545+L545,"")</x:f>
        <x:v>604392.5829116052</x:v>
      </x:c>
    </x:row>
    <x:row r="546" ht="22" customHeight="1">
      <x:c r="A546" s="254" t="n">
        <x:f>146</x:f>
        <x:v>146</x:v>
      </x:c>
      <x:c r="B546" s="440" t="n">
        <x:f>IF(ISNUMBER(H545),H545,"")</x:f>
        <x:v>604392.5829116052</x:v>
      </x:c>
      <x:c r="C546" s="442" t="n">
        <x:f>IF(ISNUMBER(B546),IF(AND(146&gt;$B$173,$B$78="Refinance",ISNUMBER($B$80),$B$80&gt;=0,$B$80&lt;=1,ROUND($B$81*12,0)&gt;=1,$B$81&lt;=100,SUM($B$82)&gt;=0,SUM($B$82)&lt;=1,SUM($B$83)&gt;=0),$B$80,IF(AND($B$175&gt;0,146&gt;$B$175,ISNUMBER($B$75)),$B$75,$B$61)),"")</x:f>
        <x:v>0.0625</x:v>
      </x:c>
      <x:c r="D546" s="440" t="n">
        <x:f>IF(AND(ISNUMBER(B546),B546=0),0,IF(AND($B$171=1,I545=0,ISNUMBER(C546),ISNUMBER(IF(AND(146&lt;=$B$174,146&lt;=$B$173),B546*C546/12,IF(AND(146=$B$173+1,AND(146&gt;$B$173,$B$78="Refinance",ISNUMBER($B$80),$B$80&gt;=0,$B$80&lt;=1,ROUND($B$81*12,0)&gt;=1,$B$81&lt;=100,SUM($B$82)&gt;=0,SUM($B$82)&lt;=1,SUM($B$83)&gt;=0)),IF(B546=0,0,IF(C546=0,B546/ROUND($B$81*12,0),B546*(C546/12)/(1-(1+C546/12)^(-ROUND($B$81*12,0))))),IF(AND(NOT(AND(146&gt;$B$173,$B$78="Refinance",ISNUMBER($B$80),$B$80&gt;=0,$B$80&lt;=1,ROUND($B$81*12,0)&gt;=1,$B$81&lt;=100,SUM($B$82)&gt;=0,SUM($B$82)&lt;=1,SUM($B$83)&gt;=0)),OR(146=1,146=$B$174+1,AND($B$175&gt;0,146=$B$175+1))),IF(AND($B$170=1,$B$66&gt;0,OR($B$175=0,146&lt;=$B$175)),$B$66,IF($B$172-MAX(146-1,$B$174)&gt;0,IF(B546=0,0,IF(C546=0,B546/($B$172-MAX(146-1,$B$174)),B546*(C546/12)/(1-(1+C546/12)^(-($B$172-MAX(146-1,$B$174)))))),"")),D545))))),IF(IF(AND(146&lt;=$B$174,146&lt;=$B$173),B546*C546/12,IF(AND(146=$B$173+1,AND(146&gt;$B$173,$B$78="Refinance",ISNUMBER($B$80),$B$80&gt;=0,$B$80&lt;=1,ROUND($B$81*12,0)&gt;=1,$B$81&lt;=100,SUM($B$82)&gt;=0,SUM($B$82)&lt;=1,SUM($B$83)&gt;=0)),IF(B546=0,0,IF(C546=0,B546/ROUND($B$81*12,0),B546*(C546/12)/(1-(1+C546/12)^(-ROUND($B$81*12,0))))),IF(AND(NOT(AND(146&gt;$B$173,$B$78="Refinance",ISNUMBER($B$80),$B$80&gt;=0,$B$80&lt;=1,ROUND($B$81*12,0)&gt;=1,$B$81&lt;=100,SUM($B$82)&gt;=0,SUM($B$82)&lt;=1,SUM($B$83)&gt;=0)),OR(146=1,146=$B$174+1,AND($B$175&gt;0,146=$B$175+1))),IF(AND($B$170=1,$B$66&gt;0,OR($B$175=0,146&lt;=$B$175)),$B$66,IF($B$172-MAX(146-1,$B$174)&gt;0,IF(B546=0,0,IF(C546=0,B546/($B$172-MAX(146-1,$B$174)),B546*(C546/12)/(1-(1+C546/12)^(-($B$172-MAX(146-1,$B$174)))))),"")),D545)))+0.0000001&gt;=B546*C546/12,MIN(B546*(1+C546/12),IF(AND(146&lt;=$B$174,146&lt;=$B$173),B546*C546/12,IF(AND(146=$B$173+1,AND(146&gt;$B$173,$B$78="Refinance",ISNUMBER($B$80),$B$80&gt;=0,$B$80&lt;=1,ROUND($B$81*12,0)&gt;=1,$B$81&lt;=100,SUM($B$82)&gt;=0,SUM($B$82)&lt;=1,SUM($B$83)&gt;=0)),IF(B546=0,0,IF(C546=0,B546/ROUND($B$81*12,0),B546*(C546/12)/(1-(1+C546/12)^(-ROUND($B$81*12,0))))),IF(AND(NOT(AND(146&gt;$B$173,$B$78="Refinance",ISNUMBER($B$80),$B$80&gt;=0,$B$80&lt;=1,ROUND($B$81*12,0)&gt;=1,$B$81&lt;=100,SUM($B$82)&gt;=0,SUM($B$82)&lt;=1,SUM($B$83)&gt;=0)),OR(146=1,146=$B$174+1,AND($B$175&gt;0,146=$B$175+1))),IF(AND($B$170=1,$B$66&gt;0,OR($B$175=0,146&lt;=$B$175)),$B$66,IF($B$172-MAX(146-1,$B$174)&gt;0,IF(B546=0,0,IF(C546=0,B546/($B$172-MAX(146-1,$B$174)),B546*(C546/12)/(1-(1+C546/12)^(-($B$172-MAX(146-1,$B$174)))))),"")),D545)))),""),""))</x:f>
        <x:v>4679.450723240598</x:v>
      </x:c>
      <x:c r="E546" s="440" t="n">
        <x:f>IF(AND(146=$B$173,ISNUMBER(D546)),IF(MAX(0,B546*(1+C546/12)-D546)&lt;MAX(0.0000001,$E$17*0.00000000001),0,MAX(0,B546*(1+C546/12)-D546)),0)</x:f>
        <x:v>0</x:v>
      </x:c>
      <x:c r="F546" s="440" t="n">
        <x:f>IF($B$78="Cash payoff",E546,0)</x:f>
        <x:v>0</x:v>
      </x:c>
      <x:c r="G546" s="440" t="n">
        <x:f>IF(AND(E546&gt;0,AND($B$78="Refinance",ISNUMBER($B$80),$B$80&gt;=0,$B$80&lt;=1,ROUND($B$81*12,0)&gt;=1,$B$81&lt;=100,SUM($B$82)&gt;=0,SUM($B$82)&lt;=1,SUM($B$83)&gt;=0)),E546*SUM($B$82)+SUM($B$83),0)</x:f>
        <x:v>0</x:v>
      </x:c>
      <x:c r="H546" s="440" t="n">
        <x:f>IF(ISNUMBER(D546),IF(MAX(0,B546*(1+C546/12)-D546-F546)&lt;MAX(0.0000001,$E$17*0.00000000001),0,MAX(0,B546*(1+C546/12)-D546-F546)),IF(AND($B$171=1,I545=1),B546,""))</x:f>
        <x:v>602861.0102243625</x:v>
      </x:c>
      <x:c r="I546" s="444" t="n">
        <x:f>IF(OR(I545=1,AND(E546&gt;0,$B$78&lt;&gt;"Cash payoff",NOT(AND($B$78="Refinance",ISNUMBER($B$80),$B$80&gt;=0,$B$80&lt;=1,ROUND($B$81*12,0)&gt;=1,$B$81&lt;=100,SUM($B$82)&gt;=0,SUM($B$82)&lt;=1,SUM($B$83)&gt;=0))),AND(ISNUMBER(B546),B546&gt;0,$B$171=1,NOT(ISNUMBER(D546)))),1,0)</x:f>
        <x:v>0</x:v>
      </x:c>
      <x:c r="J546" s="440" t="n">
        <x:f>IF(ISNUMBER(L545),L545,"")</x:f>
        <x:v>0</x:v>
      </x:c>
      <x:c r="K546" s="440" t="n">
        <x:f>IF(AND(ISNUMBER(J546),J546=0),0,IF(AND($B$176=1,ISNUMBER(J546)),MIN(J546*(1+$B$87/12),IF($B$86=0,0,IF($B$87=0,$B$86/ROUND($B$88*12,0),$B$86*($B$87/12)/(1-(1+$B$87/12)^(-ROUND($B$88*12,0)))))),""))</x:f>
        <x:v>0</x:v>
      </x:c>
      <x:c r="L546" s="440" t="n">
        <x:f>IF(ISNUMBER(K546),IF(MAX(0,J546*(1+SUM($B$87)/12)-K546)&lt;MAX(0.0000001,$B$86*0.00000000001),0,MAX(0,J546*(1+SUM($B$87)/12)-K546)),"")</x:f>
        <x:v>0</x:v>
      </x:c>
      <x:c r="M546" s="440" t="n">
        <x:f>IF(AND(ISNUMBER(D546),ISNUMBER(K546)),D546+K546,"")</x:f>
        <x:v>4679.450723240598</x:v>
      </x:c>
      <x:c r="N546" s="440" t="n">
        <x:f>IF(AND(ISNUMBER(H546),ISNUMBER(L546)),H546+L546,"")</x:f>
        <x:v>602861.0102243625</x:v>
      </x:c>
    </x:row>
    <x:row r="547" ht="22" customHeight="1">
      <x:c r="A547" s="254" t="n">
        <x:f>147</x:f>
        <x:v>147</x:v>
      </x:c>
      <x:c r="B547" s="440" t="n">
        <x:f>IF(ISNUMBER(H546),H546,"")</x:f>
        <x:v>602861.0102243625</x:v>
      </x:c>
      <x:c r="C547" s="442" t="n">
        <x:f>IF(ISNUMBER(B547),IF(AND(147&gt;$B$173,$B$78="Refinance",ISNUMBER($B$80),$B$80&gt;=0,$B$80&lt;=1,ROUND($B$81*12,0)&gt;=1,$B$81&lt;=100,SUM($B$82)&gt;=0,SUM($B$82)&lt;=1,SUM($B$83)&gt;=0),$B$80,IF(AND($B$175&gt;0,147&gt;$B$175,ISNUMBER($B$75)),$B$75,$B$61)),"")</x:f>
        <x:v>0.0625</x:v>
      </x:c>
      <x:c r="D547" s="440" t="n">
        <x:f>IF(AND(ISNUMBER(B547),B547=0),0,IF(AND($B$171=1,I546=0,ISNUMBER(C547),ISNUMBER(IF(AND(147&lt;=$B$174,147&lt;=$B$173),B547*C547/12,IF(AND(147=$B$173+1,AND(147&gt;$B$173,$B$78="Refinance",ISNUMBER($B$80),$B$80&gt;=0,$B$80&lt;=1,ROUND($B$81*12,0)&gt;=1,$B$81&lt;=100,SUM($B$82)&gt;=0,SUM($B$82)&lt;=1,SUM($B$83)&gt;=0)),IF(B547=0,0,IF(C547=0,B547/ROUND($B$81*12,0),B547*(C547/12)/(1-(1+C547/12)^(-ROUND($B$81*12,0))))),IF(AND(NOT(AND(147&gt;$B$173,$B$78="Refinance",ISNUMBER($B$80),$B$80&gt;=0,$B$80&lt;=1,ROUND($B$81*12,0)&gt;=1,$B$81&lt;=100,SUM($B$82)&gt;=0,SUM($B$82)&lt;=1,SUM($B$83)&gt;=0)),OR(147=1,147=$B$174+1,AND($B$175&gt;0,147=$B$175+1))),IF(AND($B$170=1,$B$66&gt;0,OR($B$175=0,147&lt;=$B$175)),$B$66,IF($B$172-MAX(147-1,$B$174)&gt;0,IF(B547=0,0,IF(C547=0,B547/($B$172-MAX(147-1,$B$174)),B547*(C547/12)/(1-(1+C547/12)^(-($B$172-MAX(147-1,$B$174)))))),"")),D546))))),IF(IF(AND(147&lt;=$B$174,147&lt;=$B$173),B547*C547/12,IF(AND(147=$B$173+1,AND(147&gt;$B$173,$B$78="Refinance",ISNUMBER($B$80),$B$80&gt;=0,$B$80&lt;=1,ROUND($B$81*12,0)&gt;=1,$B$81&lt;=100,SUM($B$82)&gt;=0,SUM($B$82)&lt;=1,SUM($B$83)&gt;=0)),IF(B547=0,0,IF(C547=0,B547/ROUND($B$81*12,0),B547*(C547/12)/(1-(1+C547/12)^(-ROUND($B$81*12,0))))),IF(AND(NOT(AND(147&gt;$B$173,$B$78="Refinance",ISNUMBER($B$80),$B$80&gt;=0,$B$80&lt;=1,ROUND($B$81*12,0)&gt;=1,$B$81&lt;=100,SUM($B$82)&gt;=0,SUM($B$82)&lt;=1,SUM($B$83)&gt;=0)),OR(147=1,147=$B$174+1,AND($B$175&gt;0,147=$B$175+1))),IF(AND($B$170=1,$B$66&gt;0,OR($B$175=0,147&lt;=$B$175)),$B$66,IF($B$172-MAX(147-1,$B$174)&gt;0,IF(B547=0,0,IF(C547=0,B547/($B$172-MAX(147-1,$B$174)),B547*(C547/12)/(1-(1+C547/12)^(-($B$172-MAX(147-1,$B$174)))))),"")),D546)))+0.0000001&gt;=B547*C547/12,MIN(B547*(1+C547/12),IF(AND(147&lt;=$B$174,147&lt;=$B$173),B547*C547/12,IF(AND(147=$B$173+1,AND(147&gt;$B$173,$B$78="Refinance",ISNUMBER($B$80),$B$80&gt;=0,$B$80&lt;=1,ROUND($B$81*12,0)&gt;=1,$B$81&lt;=100,SUM($B$82)&gt;=0,SUM($B$82)&lt;=1,SUM($B$83)&gt;=0)),IF(B547=0,0,IF(C547=0,B547/ROUND($B$81*12,0),B547*(C547/12)/(1-(1+C547/12)^(-ROUND($B$81*12,0))))),IF(AND(NOT(AND(147&gt;$B$173,$B$78="Refinance",ISNUMBER($B$80),$B$80&gt;=0,$B$80&lt;=1,ROUND($B$81*12,0)&gt;=1,$B$81&lt;=100,SUM($B$82)&gt;=0,SUM($B$82)&lt;=1,SUM($B$83)&gt;=0)),OR(147=1,147=$B$174+1,AND($B$175&gt;0,147=$B$175+1))),IF(AND($B$170=1,$B$66&gt;0,OR($B$175=0,147&lt;=$B$175)),$B$66,IF($B$172-MAX(147-1,$B$174)&gt;0,IF(B547=0,0,IF(C547=0,B547/($B$172-MAX(147-1,$B$174)),B547*(C547/12)/(1-(1+C547/12)^(-($B$172-MAX(147-1,$B$174)))))),"")),D546)))),""),""))</x:f>
        <x:v>4679.450723240598</x:v>
      </x:c>
      <x:c r="E547" s="440" t="n">
        <x:f>IF(AND(147=$B$173,ISNUMBER(D547)),IF(MAX(0,B547*(1+C547/12)-D547)&lt;MAX(0.0000001,$E$17*0.00000000001),0,MAX(0,B547*(1+C547/12)-D547)),0)</x:f>
        <x:v>0</x:v>
      </x:c>
      <x:c r="F547" s="440" t="n">
        <x:f>IF($B$78="Cash payoff",E547,0)</x:f>
        <x:v>0</x:v>
      </x:c>
      <x:c r="G547" s="440" t="n">
        <x:f>IF(AND(E547&gt;0,AND($B$78="Refinance",ISNUMBER($B$80),$B$80&gt;=0,$B$80&lt;=1,ROUND($B$81*12,0)&gt;=1,$B$81&lt;=100,SUM($B$82)&gt;=0,SUM($B$82)&lt;=1,SUM($B$83)&gt;=0)),E547*SUM($B$82)+SUM($B$83),0)</x:f>
        <x:v>0</x:v>
      </x:c>
      <x:c r="H547" s="440" t="n">
        <x:f>IF(ISNUMBER(D547),IF(MAX(0,B547*(1+C547/12)-D547-F547)&lt;MAX(0.0000001,$E$17*0.00000000001),0,MAX(0,B547*(1+C547/12)-D547-F547)),IF(AND($B$171=1,I546=1),B547,""))</x:f>
        <x:v>601321.4605960404</x:v>
      </x:c>
      <x:c r="I547" s="444" t="n">
        <x:f>IF(OR(I546=1,AND(E547&gt;0,$B$78&lt;&gt;"Cash payoff",NOT(AND($B$78="Refinance",ISNUMBER($B$80),$B$80&gt;=0,$B$80&lt;=1,ROUND($B$81*12,0)&gt;=1,$B$81&lt;=100,SUM($B$82)&gt;=0,SUM($B$82)&lt;=1,SUM($B$83)&gt;=0))),AND(ISNUMBER(B547),B547&gt;0,$B$171=1,NOT(ISNUMBER(D547)))),1,0)</x:f>
        <x:v>0</x:v>
      </x:c>
      <x:c r="J547" s="440" t="n">
        <x:f>IF(ISNUMBER(L546),L546,"")</x:f>
        <x:v>0</x:v>
      </x:c>
      <x:c r="K547" s="440" t="n">
        <x:f>IF(AND(ISNUMBER(J547),J547=0),0,IF(AND($B$176=1,ISNUMBER(J547)),MIN(J547*(1+$B$87/12),IF($B$86=0,0,IF($B$87=0,$B$86/ROUND($B$88*12,0),$B$86*($B$87/12)/(1-(1+$B$87/12)^(-ROUND($B$88*12,0)))))),""))</x:f>
        <x:v>0</x:v>
      </x:c>
      <x:c r="L547" s="440" t="n">
        <x:f>IF(ISNUMBER(K547),IF(MAX(0,J547*(1+SUM($B$87)/12)-K547)&lt;MAX(0.0000001,$B$86*0.00000000001),0,MAX(0,J547*(1+SUM($B$87)/12)-K547)),"")</x:f>
        <x:v>0</x:v>
      </x:c>
      <x:c r="M547" s="440" t="n">
        <x:f>IF(AND(ISNUMBER(D547),ISNUMBER(K547)),D547+K547,"")</x:f>
        <x:v>4679.450723240598</x:v>
      </x:c>
      <x:c r="N547" s="440" t="n">
        <x:f>IF(AND(ISNUMBER(H547),ISNUMBER(L547)),H547+L547,"")</x:f>
        <x:v>601321.4605960404</x:v>
      </x:c>
    </x:row>
    <x:row r="548" ht="22" customHeight="1">
      <x:c r="A548" s="254" t="n">
        <x:f>148</x:f>
        <x:v>148</x:v>
      </x:c>
      <x:c r="B548" s="440" t="n">
        <x:f>IF(ISNUMBER(H547),H547,"")</x:f>
        <x:v>601321.4605960404</x:v>
      </x:c>
      <x:c r="C548" s="442" t="n">
        <x:f>IF(ISNUMBER(B548),IF(AND(148&gt;$B$173,$B$78="Refinance",ISNUMBER($B$80),$B$80&gt;=0,$B$80&lt;=1,ROUND($B$81*12,0)&gt;=1,$B$81&lt;=100,SUM($B$82)&gt;=0,SUM($B$82)&lt;=1,SUM($B$83)&gt;=0),$B$80,IF(AND($B$175&gt;0,148&gt;$B$175,ISNUMBER($B$75)),$B$75,$B$61)),"")</x:f>
        <x:v>0.0625</x:v>
      </x:c>
      <x:c r="D548" s="440" t="n">
        <x:f>IF(AND(ISNUMBER(B548),B548=0),0,IF(AND($B$171=1,I547=0,ISNUMBER(C548),ISNUMBER(IF(AND(148&lt;=$B$174,148&lt;=$B$173),B548*C548/12,IF(AND(148=$B$173+1,AND(148&gt;$B$173,$B$78="Refinance",ISNUMBER($B$80),$B$80&gt;=0,$B$80&lt;=1,ROUND($B$81*12,0)&gt;=1,$B$81&lt;=100,SUM($B$82)&gt;=0,SUM($B$82)&lt;=1,SUM($B$83)&gt;=0)),IF(B548=0,0,IF(C548=0,B548/ROUND($B$81*12,0),B548*(C548/12)/(1-(1+C548/12)^(-ROUND($B$81*12,0))))),IF(AND(NOT(AND(148&gt;$B$173,$B$78="Refinance",ISNUMBER($B$80),$B$80&gt;=0,$B$80&lt;=1,ROUND($B$81*12,0)&gt;=1,$B$81&lt;=100,SUM($B$82)&gt;=0,SUM($B$82)&lt;=1,SUM($B$83)&gt;=0)),OR(148=1,148=$B$174+1,AND($B$175&gt;0,148=$B$175+1))),IF(AND($B$170=1,$B$66&gt;0,OR($B$175=0,148&lt;=$B$175)),$B$66,IF($B$172-MAX(148-1,$B$174)&gt;0,IF(B548=0,0,IF(C548=0,B548/($B$172-MAX(148-1,$B$174)),B548*(C548/12)/(1-(1+C548/12)^(-($B$172-MAX(148-1,$B$174)))))),"")),D547))))),IF(IF(AND(148&lt;=$B$174,148&lt;=$B$173),B548*C548/12,IF(AND(148=$B$173+1,AND(148&gt;$B$173,$B$78="Refinance",ISNUMBER($B$80),$B$80&gt;=0,$B$80&lt;=1,ROUND($B$81*12,0)&gt;=1,$B$81&lt;=100,SUM($B$82)&gt;=0,SUM($B$82)&lt;=1,SUM($B$83)&gt;=0)),IF(B548=0,0,IF(C548=0,B548/ROUND($B$81*12,0),B548*(C548/12)/(1-(1+C548/12)^(-ROUND($B$81*12,0))))),IF(AND(NOT(AND(148&gt;$B$173,$B$78="Refinance",ISNUMBER($B$80),$B$80&gt;=0,$B$80&lt;=1,ROUND($B$81*12,0)&gt;=1,$B$81&lt;=100,SUM($B$82)&gt;=0,SUM($B$82)&lt;=1,SUM($B$83)&gt;=0)),OR(148=1,148=$B$174+1,AND($B$175&gt;0,148=$B$175+1))),IF(AND($B$170=1,$B$66&gt;0,OR($B$175=0,148&lt;=$B$175)),$B$66,IF($B$172-MAX(148-1,$B$174)&gt;0,IF(B548=0,0,IF(C548=0,B548/($B$172-MAX(148-1,$B$174)),B548*(C548/12)/(1-(1+C548/12)^(-($B$172-MAX(148-1,$B$174)))))),"")),D547)))+0.0000001&gt;=B548*C548/12,MIN(B548*(1+C548/12),IF(AND(148&lt;=$B$174,148&lt;=$B$173),B548*C548/12,IF(AND(148=$B$173+1,AND(148&gt;$B$173,$B$78="Refinance",ISNUMBER($B$80),$B$80&gt;=0,$B$80&lt;=1,ROUND($B$81*12,0)&gt;=1,$B$81&lt;=100,SUM($B$82)&gt;=0,SUM($B$82)&lt;=1,SUM($B$83)&gt;=0)),IF(B548=0,0,IF(C548=0,B548/ROUND($B$81*12,0),B548*(C548/12)/(1-(1+C548/12)^(-ROUND($B$81*12,0))))),IF(AND(NOT(AND(148&gt;$B$173,$B$78="Refinance",ISNUMBER($B$80),$B$80&gt;=0,$B$80&lt;=1,ROUND($B$81*12,0)&gt;=1,$B$81&lt;=100,SUM($B$82)&gt;=0,SUM($B$82)&lt;=1,SUM($B$83)&gt;=0)),OR(148=1,148=$B$174+1,AND($B$175&gt;0,148=$B$175+1))),IF(AND($B$170=1,$B$66&gt;0,OR($B$175=0,148&lt;=$B$175)),$B$66,IF($B$172-MAX(148-1,$B$174)&gt;0,IF(B548=0,0,IF(C548=0,B548/($B$172-MAX(148-1,$B$174)),B548*(C548/12)/(1-(1+C548/12)^(-($B$172-MAX(148-1,$B$174)))))),"")),D547)))),""),""))</x:f>
        <x:v>4679.450723240598</x:v>
      </x:c>
      <x:c r="E548" s="440" t="n">
        <x:f>IF(AND(148=$B$173,ISNUMBER(D548)),IF(MAX(0,B548*(1+C548/12)-D548)&lt;MAX(0.0000001,$E$17*0.00000000001),0,MAX(0,B548*(1+C548/12)-D548)),0)</x:f>
        <x:v>0</x:v>
      </x:c>
      <x:c r="F548" s="440" t="n">
        <x:f>IF($B$78="Cash payoff",E548,0)</x:f>
        <x:v>0</x:v>
      </x:c>
      <x:c r="G548" s="440" t="n">
        <x:f>IF(AND(E548&gt;0,AND($B$78="Refinance",ISNUMBER($B$80),$B$80&gt;=0,$B$80&lt;=1,ROUND($B$81*12,0)&gt;=1,$B$81&lt;=100,SUM($B$82)&gt;=0,SUM($B$82)&lt;=1,SUM($B$83)&gt;=0)),E548*SUM($B$82)+SUM($B$83),0)</x:f>
        <x:v>0</x:v>
      </x:c>
      <x:c r="H548" s="440" t="n">
        <x:f>IF(ISNUMBER(D548),IF(MAX(0,B548*(1+C548/12)-D548-F548)&lt;MAX(0.0000001,$E$17*0.00000000001),0,MAX(0,B548*(1+C548/12)-D548-F548)),IF(AND($B$171=1,I547=1),B548,""))</x:f>
        <x:v>599773.8924800707</x:v>
      </x:c>
      <x:c r="I548" s="444" t="n">
        <x:f>IF(OR(I547=1,AND(E548&gt;0,$B$78&lt;&gt;"Cash payoff",NOT(AND($B$78="Refinance",ISNUMBER($B$80),$B$80&gt;=0,$B$80&lt;=1,ROUND($B$81*12,0)&gt;=1,$B$81&lt;=100,SUM($B$82)&gt;=0,SUM($B$82)&lt;=1,SUM($B$83)&gt;=0))),AND(ISNUMBER(B548),B548&gt;0,$B$171=1,NOT(ISNUMBER(D548)))),1,0)</x:f>
        <x:v>0</x:v>
      </x:c>
      <x:c r="J548" s="440" t="n">
        <x:f>IF(ISNUMBER(L547),L547,"")</x:f>
        <x:v>0</x:v>
      </x:c>
      <x:c r="K548" s="440" t="n">
        <x:f>IF(AND(ISNUMBER(J548),J548=0),0,IF(AND($B$176=1,ISNUMBER(J548)),MIN(J548*(1+$B$87/12),IF($B$86=0,0,IF($B$87=0,$B$86/ROUND($B$88*12,0),$B$86*($B$87/12)/(1-(1+$B$87/12)^(-ROUND($B$88*12,0)))))),""))</x:f>
        <x:v>0</x:v>
      </x:c>
      <x:c r="L548" s="440" t="n">
        <x:f>IF(ISNUMBER(K548),IF(MAX(0,J548*(1+SUM($B$87)/12)-K548)&lt;MAX(0.0000001,$B$86*0.00000000001),0,MAX(0,J548*(1+SUM($B$87)/12)-K548)),"")</x:f>
        <x:v>0</x:v>
      </x:c>
      <x:c r="M548" s="440" t="n">
        <x:f>IF(AND(ISNUMBER(D548),ISNUMBER(K548)),D548+K548,"")</x:f>
        <x:v>4679.450723240598</x:v>
      </x:c>
      <x:c r="N548" s="440" t="n">
        <x:f>IF(AND(ISNUMBER(H548),ISNUMBER(L548)),H548+L548,"")</x:f>
        <x:v>599773.8924800707</x:v>
      </x:c>
    </x:row>
    <x:row r="549" ht="22" customHeight="1">
      <x:c r="A549" s="254" t="n">
        <x:f>149</x:f>
        <x:v>149</x:v>
      </x:c>
      <x:c r="B549" s="440" t="n">
        <x:f>IF(ISNUMBER(H548),H548,"")</x:f>
        <x:v>599773.8924800707</x:v>
      </x:c>
      <x:c r="C549" s="442" t="n">
        <x:f>IF(ISNUMBER(B549),IF(AND(149&gt;$B$173,$B$78="Refinance",ISNUMBER($B$80),$B$80&gt;=0,$B$80&lt;=1,ROUND($B$81*12,0)&gt;=1,$B$81&lt;=100,SUM($B$82)&gt;=0,SUM($B$82)&lt;=1,SUM($B$83)&gt;=0),$B$80,IF(AND($B$175&gt;0,149&gt;$B$175,ISNUMBER($B$75)),$B$75,$B$61)),"")</x:f>
        <x:v>0.0625</x:v>
      </x:c>
      <x:c r="D549" s="440" t="n">
        <x:f>IF(AND(ISNUMBER(B549),B549=0),0,IF(AND($B$171=1,I548=0,ISNUMBER(C549),ISNUMBER(IF(AND(149&lt;=$B$174,149&lt;=$B$173),B549*C549/12,IF(AND(149=$B$173+1,AND(149&gt;$B$173,$B$78="Refinance",ISNUMBER($B$80),$B$80&gt;=0,$B$80&lt;=1,ROUND($B$81*12,0)&gt;=1,$B$81&lt;=100,SUM($B$82)&gt;=0,SUM($B$82)&lt;=1,SUM($B$83)&gt;=0)),IF(B549=0,0,IF(C549=0,B549/ROUND($B$81*12,0),B549*(C549/12)/(1-(1+C549/12)^(-ROUND($B$81*12,0))))),IF(AND(NOT(AND(149&gt;$B$173,$B$78="Refinance",ISNUMBER($B$80),$B$80&gt;=0,$B$80&lt;=1,ROUND($B$81*12,0)&gt;=1,$B$81&lt;=100,SUM($B$82)&gt;=0,SUM($B$82)&lt;=1,SUM($B$83)&gt;=0)),OR(149=1,149=$B$174+1,AND($B$175&gt;0,149=$B$175+1))),IF(AND($B$170=1,$B$66&gt;0,OR($B$175=0,149&lt;=$B$175)),$B$66,IF($B$172-MAX(149-1,$B$174)&gt;0,IF(B549=0,0,IF(C549=0,B549/($B$172-MAX(149-1,$B$174)),B549*(C549/12)/(1-(1+C549/12)^(-($B$172-MAX(149-1,$B$174)))))),"")),D548))))),IF(IF(AND(149&lt;=$B$174,149&lt;=$B$173),B549*C549/12,IF(AND(149=$B$173+1,AND(149&gt;$B$173,$B$78="Refinance",ISNUMBER($B$80),$B$80&gt;=0,$B$80&lt;=1,ROUND($B$81*12,0)&gt;=1,$B$81&lt;=100,SUM($B$82)&gt;=0,SUM($B$82)&lt;=1,SUM($B$83)&gt;=0)),IF(B549=0,0,IF(C549=0,B549/ROUND($B$81*12,0),B549*(C549/12)/(1-(1+C549/12)^(-ROUND($B$81*12,0))))),IF(AND(NOT(AND(149&gt;$B$173,$B$78="Refinance",ISNUMBER($B$80),$B$80&gt;=0,$B$80&lt;=1,ROUND($B$81*12,0)&gt;=1,$B$81&lt;=100,SUM($B$82)&gt;=0,SUM($B$82)&lt;=1,SUM($B$83)&gt;=0)),OR(149=1,149=$B$174+1,AND($B$175&gt;0,149=$B$175+1))),IF(AND($B$170=1,$B$66&gt;0,OR($B$175=0,149&lt;=$B$175)),$B$66,IF($B$172-MAX(149-1,$B$174)&gt;0,IF(B549=0,0,IF(C549=0,B549/($B$172-MAX(149-1,$B$174)),B549*(C549/12)/(1-(1+C549/12)^(-($B$172-MAX(149-1,$B$174)))))),"")),D548)))+0.0000001&gt;=B549*C549/12,MIN(B549*(1+C549/12),IF(AND(149&lt;=$B$174,149&lt;=$B$173),B549*C549/12,IF(AND(149=$B$173+1,AND(149&gt;$B$173,$B$78="Refinance",ISNUMBER($B$80),$B$80&gt;=0,$B$80&lt;=1,ROUND($B$81*12,0)&gt;=1,$B$81&lt;=100,SUM($B$82)&gt;=0,SUM($B$82)&lt;=1,SUM($B$83)&gt;=0)),IF(B549=0,0,IF(C549=0,B549/ROUND($B$81*12,0),B549*(C549/12)/(1-(1+C549/12)^(-ROUND($B$81*12,0))))),IF(AND(NOT(AND(149&gt;$B$173,$B$78="Refinance",ISNUMBER($B$80),$B$80&gt;=0,$B$80&lt;=1,ROUND($B$81*12,0)&gt;=1,$B$81&lt;=100,SUM($B$82)&gt;=0,SUM($B$82)&lt;=1,SUM($B$83)&gt;=0)),OR(149=1,149=$B$174+1,AND($B$175&gt;0,149=$B$175+1))),IF(AND($B$170=1,$B$66&gt;0,OR($B$175=0,149&lt;=$B$175)),$B$66,IF($B$172-MAX(149-1,$B$174)&gt;0,IF(B549=0,0,IF(C549=0,B549/($B$172-MAX(149-1,$B$174)),B549*(C549/12)/(1-(1+C549/12)^(-($B$172-MAX(149-1,$B$174)))))),"")),D548)))),""),""))</x:f>
        <x:v>4679.450723240598</x:v>
      </x:c>
      <x:c r="E549" s="440" t="n">
        <x:f>IF(AND(149=$B$173,ISNUMBER(D549)),IF(MAX(0,B549*(1+C549/12)-D549)&lt;MAX(0.0000001,$E$17*0.00000000001),0,MAX(0,B549*(1+C549/12)-D549)),0)</x:f>
        <x:v>0</x:v>
      </x:c>
      <x:c r="F549" s="440" t="n">
        <x:f>IF($B$78="Cash payoff",E549,0)</x:f>
        <x:v>0</x:v>
      </x:c>
      <x:c r="G549" s="440" t="n">
        <x:f>IF(AND(E549&gt;0,AND($B$78="Refinance",ISNUMBER($B$80),$B$80&gt;=0,$B$80&lt;=1,ROUND($B$81*12,0)&gt;=1,$B$81&lt;=100,SUM($B$82)&gt;=0,SUM($B$82)&lt;=1,SUM($B$83)&gt;=0)),E549*SUM($B$82)+SUM($B$83),0)</x:f>
        <x:v>0</x:v>
      </x:c>
      <x:c r="H549" s="440" t="n">
        <x:f>IF(ISNUMBER(D549),IF(MAX(0,B549*(1+C549/12)-D549-F549)&lt;MAX(0.0000001,$E$17*0.00000000001),0,MAX(0,B549*(1+C549/12)-D549-F549)),IF(AND($B$171=1,I548=1),B549,""))</x:f>
        <x:v>598218.2641134971</x:v>
      </x:c>
      <x:c r="I549" s="444" t="n">
        <x:f>IF(OR(I548=1,AND(E549&gt;0,$B$78&lt;&gt;"Cash payoff",NOT(AND($B$78="Refinance",ISNUMBER($B$80),$B$80&gt;=0,$B$80&lt;=1,ROUND($B$81*12,0)&gt;=1,$B$81&lt;=100,SUM($B$82)&gt;=0,SUM($B$82)&lt;=1,SUM($B$83)&gt;=0))),AND(ISNUMBER(B549),B549&gt;0,$B$171=1,NOT(ISNUMBER(D549)))),1,0)</x:f>
        <x:v>0</x:v>
      </x:c>
      <x:c r="J549" s="440" t="n">
        <x:f>IF(ISNUMBER(L548),L548,"")</x:f>
        <x:v>0</x:v>
      </x:c>
      <x:c r="K549" s="440" t="n">
        <x:f>IF(AND(ISNUMBER(J549),J549=0),0,IF(AND($B$176=1,ISNUMBER(J549)),MIN(J549*(1+$B$87/12),IF($B$86=0,0,IF($B$87=0,$B$86/ROUND($B$88*12,0),$B$86*($B$87/12)/(1-(1+$B$87/12)^(-ROUND($B$88*12,0)))))),""))</x:f>
        <x:v>0</x:v>
      </x:c>
      <x:c r="L549" s="440" t="n">
        <x:f>IF(ISNUMBER(K549),IF(MAX(0,J549*(1+SUM($B$87)/12)-K549)&lt;MAX(0.0000001,$B$86*0.00000000001),0,MAX(0,J549*(1+SUM($B$87)/12)-K549)),"")</x:f>
        <x:v>0</x:v>
      </x:c>
      <x:c r="M549" s="440" t="n">
        <x:f>IF(AND(ISNUMBER(D549),ISNUMBER(K549)),D549+K549,"")</x:f>
        <x:v>4679.450723240598</x:v>
      </x:c>
      <x:c r="N549" s="440" t="n">
        <x:f>IF(AND(ISNUMBER(H549),ISNUMBER(L549)),H549+L549,"")</x:f>
        <x:v>598218.2641134971</x:v>
      </x:c>
    </x:row>
    <x:row r="550" ht="22" customHeight="1">
      <x:c r="A550" s="254" t="n">
        <x:f>150</x:f>
        <x:v>150</x:v>
      </x:c>
      <x:c r="B550" s="440" t="n">
        <x:f>IF(ISNUMBER(H549),H549,"")</x:f>
        <x:v>598218.2641134971</x:v>
      </x:c>
      <x:c r="C550" s="442" t="n">
        <x:f>IF(ISNUMBER(B550),IF(AND(150&gt;$B$173,$B$78="Refinance",ISNUMBER($B$80),$B$80&gt;=0,$B$80&lt;=1,ROUND($B$81*12,0)&gt;=1,$B$81&lt;=100,SUM($B$82)&gt;=0,SUM($B$82)&lt;=1,SUM($B$83)&gt;=0),$B$80,IF(AND($B$175&gt;0,150&gt;$B$175,ISNUMBER($B$75)),$B$75,$B$61)),"")</x:f>
        <x:v>0.0625</x:v>
      </x:c>
      <x:c r="D550" s="440" t="n">
        <x:f>IF(AND(ISNUMBER(B550),B550=0),0,IF(AND($B$171=1,I549=0,ISNUMBER(C550),ISNUMBER(IF(AND(150&lt;=$B$174,150&lt;=$B$173),B550*C550/12,IF(AND(150=$B$173+1,AND(150&gt;$B$173,$B$78="Refinance",ISNUMBER($B$80),$B$80&gt;=0,$B$80&lt;=1,ROUND($B$81*12,0)&gt;=1,$B$81&lt;=100,SUM($B$82)&gt;=0,SUM($B$82)&lt;=1,SUM($B$83)&gt;=0)),IF(B550=0,0,IF(C550=0,B550/ROUND($B$81*12,0),B550*(C550/12)/(1-(1+C550/12)^(-ROUND($B$81*12,0))))),IF(AND(NOT(AND(150&gt;$B$173,$B$78="Refinance",ISNUMBER($B$80),$B$80&gt;=0,$B$80&lt;=1,ROUND($B$81*12,0)&gt;=1,$B$81&lt;=100,SUM($B$82)&gt;=0,SUM($B$82)&lt;=1,SUM($B$83)&gt;=0)),OR(150=1,150=$B$174+1,AND($B$175&gt;0,150=$B$175+1))),IF(AND($B$170=1,$B$66&gt;0,OR($B$175=0,150&lt;=$B$175)),$B$66,IF($B$172-MAX(150-1,$B$174)&gt;0,IF(B550=0,0,IF(C550=0,B550/($B$172-MAX(150-1,$B$174)),B550*(C550/12)/(1-(1+C550/12)^(-($B$172-MAX(150-1,$B$174)))))),"")),D549))))),IF(IF(AND(150&lt;=$B$174,150&lt;=$B$173),B550*C550/12,IF(AND(150=$B$173+1,AND(150&gt;$B$173,$B$78="Refinance",ISNUMBER($B$80),$B$80&gt;=0,$B$80&lt;=1,ROUND($B$81*12,0)&gt;=1,$B$81&lt;=100,SUM($B$82)&gt;=0,SUM($B$82)&lt;=1,SUM($B$83)&gt;=0)),IF(B550=0,0,IF(C550=0,B550/ROUND($B$81*12,0),B550*(C550/12)/(1-(1+C550/12)^(-ROUND($B$81*12,0))))),IF(AND(NOT(AND(150&gt;$B$173,$B$78="Refinance",ISNUMBER($B$80),$B$80&gt;=0,$B$80&lt;=1,ROUND($B$81*12,0)&gt;=1,$B$81&lt;=100,SUM($B$82)&gt;=0,SUM($B$82)&lt;=1,SUM($B$83)&gt;=0)),OR(150=1,150=$B$174+1,AND($B$175&gt;0,150=$B$175+1))),IF(AND($B$170=1,$B$66&gt;0,OR($B$175=0,150&lt;=$B$175)),$B$66,IF($B$172-MAX(150-1,$B$174)&gt;0,IF(B550=0,0,IF(C550=0,B550/($B$172-MAX(150-1,$B$174)),B550*(C550/12)/(1-(1+C550/12)^(-($B$172-MAX(150-1,$B$174)))))),"")),D549)))+0.0000001&gt;=B550*C550/12,MIN(B550*(1+C550/12),IF(AND(150&lt;=$B$174,150&lt;=$B$173),B550*C550/12,IF(AND(150=$B$173+1,AND(150&gt;$B$173,$B$78="Refinance",ISNUMBER($B$80),$B$80&gt;=0,$B$80&lt;=1,ROUND($B$81*12,0)&gt;=1,$B$81&lt;=100,SUM($B$82)&gt;=0,SUM($B$82)&lt;=1,SUM($B$83)&gt;=0)),IF(B550=0,0,IF(C550=0,B550/ROUND($B$81*12,0),B550*(C550/12)/(1-(1+C550/12)^(-ROUND($B$81*12,0))))),IF(AND(NOT(AND(150&gt;$B$173,$B$78="Refinance",ISNUMBER($B$80),$B$80&gt;=0,$B$80&lt;=1,ROUND($B$81*12,0)&gt;=1,$B$81&lt;=100,SUM($B$82)&gt;=0,SUM($B$82)&lt;=1,SUM($B$83)&gt;=0)),OR(150=1,150=$B$174+1,AND($B$175&gt;0,150=$B$175+1))),IF(AND($B$170=1,$B$66&gt;0,OR($B$175=0,150&lt;=$B$175)),$B$66,IF($B$172-MAX(150-1,$B$174)&gt;0,IF(B550=0,0,IF(C550=0,B550/($B$172-MAX(150-1,$B$174)),B550*(C550/12)/(1-(1+C550/12)^(-($B$172-MAX(150-1,$B$174)))))),"")),D549)))),""),""))</x:f>
        <x:v>4679.450723240598</x:v>
      </x:c>
      <x:c r="E550" s="440" t="n">
        <x:f>IF(AND(150=$B$173,ISNUMBER(D550)),IF(MAX(0,B550*(1+C550/12)-D550)&lt;MAX(0.0000001,$E$17*0.00000000001),0,MAX(0,B550*(1+C550/12)-D550)),0)</x:f>
        <x:v>0</x:v>
      </x:c>
      <x:c r="F550" s="440" t="n">
        <x:f>IF($B$78="Cash payoff",E550,0)</x:f>
        <x:v>0</x:v>
      </x:c>
      <x:c r="G550" s="440" t="n">
        <x:f>IF(AND(E550&gt;0,AND($B$78="Refinance",ISNUMBER($B$80),$B$80&gt;=0,$B$80&lt;=1,ROUND($B$81*12,0)&gt;=1,$B$81&lt;=100,SUM($B$82)&gt;=0,SUM($B$82)&lt;=1,SUM($B$83)&gt;=0)),E550*SUM($B$82)+SUM($B$83),0)</x:f>
        <x:v>0</x:v>
      </x:c>
      <x:c r="H550" s="440" t="n">
        <x:f>IF(ISNUMBER(D550),IF(MAX(0,B550*(1+C550/12)-D550-F550)&lt;MAX(0.0000001,$E$17*0.00000000001),0,MAX(0,B550*(1+C550/12)-D550-F550)),IF(AND($B$171=1,I549=1),B550,""))</x:f>
        <x:v>596654.5335158475</x:v>
      </x:c>
      <x:c r="I550" s="444" t="n">
        <x:f>IF(OR(I549=1,AND(E550&gt;0,$B$78&lt;&gt;"Cash payoff",NOT(AND($B$78="Refinance",ISNUMBER($B$80),$B$80&gt;=0,$B$80&lt;=1,ROUND($B$81*12,0)&gt;=1,$B$81&lt;=100,SUM($B$82)&gt;=0,SUM($B$82)&lt;=1,SUM($B$83)&gt;=0))),AND(ISNUMBER(B550),B550&gt;0,$B$171=1,NOT(ISNUMBER(D550)))),1,0)</x:f>
        <x:v>0</x:v>
      </x:c>
      <x:c r="J550" s="440" t="n">
        <x:f>IF(ISNUMBER(L549),L549,"")</x:f>
        <x:v>0</x:v>
      </x:c>
      <x:c r="K550" s="440" t="n">
        <x:f>IF(AND(ISNUMBER(J550),J550=0),0,IF(AND($B$176=1,ISNUMBER(J550)),MIN(J550*(1+$B$87/12),IF($B$86=0,0,IF($B$87=0,$B$86/ROUND($B$88*12,0),$B$86*($B$87/12)/(1-(1+$B$87/12)^(-ROUND($B$88*12,0)))))),""))</x:f>
        <x:v>0</x:v>
      </x:c>
      <x:c r="L550" s="440" t="n">
        <x:f>IF(ISNUMBER(K550),IF(MAX(0,J550*(1+SUM($B$87)/12)-K550)&lt;MAX(0.0000001,$B$86*0.00000000001),0,MAX(0,J550*(1+SUM($B$87)/12)-K550)),"")</x:f>
        <x:v>0</x:v>
      </x:c>
      <x:c r="M550" s="440" t="n">
        <x:f>IF(AND(ISNUMBER(D550),ISNUMBER(K550)),D550+K550,"")</x:f>
        <x:v>4679.450723240598</x:v>
      </x:c>
      <x:c r="N550" s="440" t="n">
        <x:f>IF(AND(ISNUMBER(H550),ISNUMBER(L550)),H550+L550,"")</x:f>
        <x:v>596654.5335158475</x:v>
      </x:c>
    </x:row>
    <x:row r="551" ht="22" customHeight="1">
      <x:c r="A551" s="254" t="n">
        <x:f>151</x:f>
        <x:v>151</x:v>
      </x:c>
      <x:c r="B551" s="440" t="n">
        <x:f>IF(ISNUMBER(H550),H550,"")</x:f>
        <x:v>596654.5335158475</x:v>
      </x:c>
      <x:c r="C551" s="442" t="n">
        <x:f>IF(ISNUMBER(B551),IF(AND(151&gt;$B$173,$B$78="Refinance",ISNUMBER($B$80),$B$80&gt;=0,$B$80&lt;=1,ROUND($B$81*12,0)&gt;=1,$B$81&lt;=100,SUM($B$82)&gt;=0,SUM($B$82)&lt;=1,SUM($B$83)&gt;=0),$B$80,IF(AND($B$175&gt;0,151&gt;$B$175,ISNUMBER($B$75)),$B$75,$B$61)),"")</x:f>
        <x:v>0.0625</x:v>
      </x:c>
      <x:c r="D551" s="440" t="n">
        <x:f>IF(AND(ISNUMBER(B551),B551=0),0,IF(AND($B$171=1,I550=0,ISNUMBER(C551),ISNUMBER(IF(AND(151&lt;=$B$174,151&lt;=$B$173),B551*C551/12,IF(AND(151=$B$173+1,AND(151&gt;$B$173,$B$78="Refinance",ISNUMBER($B$80),$B$80&gt;=0,$B$80&lt;=1,ROUND($B$81*12,0)&gt;=1,$B$81&lt;=100,SUM($B$82)&gt;=0,SUM($B$82)&lt;=1,SUM($B$83)&gt;=0)),IF(B551=0,0,IF(C551=0,B551/ROUND($B$81*12,0),B551*(C551/12)/(1-(1+C551/12)^(-ROUND($B$81*12,0))))),IF(AND(NOT(AND(151&gt;$B$173,$B$78="Refinance",ISNUMBER($B$80),$B$80&gt;=0,$B$80&lt;=1,ROUND($B$81*12,0)&gt;=1,$B$81&lt;=100,SUM($B$82)&gt;=0,SUM($B$82)&lt;=1,SUM($B$83)&gt;=0)),OR(151=1,151=$B$174+1,AND($B$175&gt;0,151=$B$175+1))),IF(AND($B$170=1,$B$66&gt;0,OR($B$175=0,151&lt;=$B$175)),$B$66,IF($B$172-MAX(151-1,$B$174)&gt;0,IF(B551=0,0,IF(C551=0,B551/($B$172-MAX(151-1,$B$174)),B551*(C551/12)/(1-(1+C551/12)^(-($B$172-MAX(151-1,$B$174)))))),"")),D550))))),IF(IF(AND(151&lt;=$B$174,151&lt;=$B$173),B551*C551/12,IF(AND(151=$B$173+1,AND(151&gt;$B$173,$B$78="Refinance",ISNUMBER($B$80),$B$80&gt;=0,$B$80&lt;=1,ROUND($B$81*12,0)&gt;=1,$B$81&lt;=100,SUM($B$82)&gt;=0,SUM($B$82)&lt;=1,SUM($B$83)&gt;=0)),IF(B551=0,0,IF(C551=0,B551/ROUND($B$81*12,0),B551*(C551/12)/(1-(1+C551/12)^(-ROUND($B$81*12,0))))),IF(AND(NOT(AND(151&gt;$B$173,$B$78="Refinance",ISNUMBER($B$80),$B$80&gt;=0,$B$80&lt;=1,ROUND($B$81*12,0)&gt;=1,$B$81&lt;=100,SUM($B$82)&gt;=0,SUM($B$82)&lt;=1,SUM($B$83)&gt;=0)),OR(151=1,151=$B$174+1,AND($B$175&gt;0,151=$B$175+1))),IF(AND($B$170=1,$B$66&gt;0,OR($B$175=0,151&lt;=$B$175)),$B$66,IF($B$172-MAX(151-1,$B$174)&gt;0,IF(B551=0,0,IF(C551=0,B551/($B$172-MAX(151-1,$B$174)),B551*(C551/12)/(1-(1+C551/12)^(-($B$172-MAX(151-1,$B$174)))))),"")),D550)))+0.0000001&gt;=B551*C551/12,MIN(B551*(1+C551/12),IF(AND(151&lt;=$B$174,151&lt;=$B$173),B551*C551/12,IF(AND(151=$B$173+1,AND(151&gt;$B$173,$B$78="Refinance",ISNUMBER($B$80),$B$80&gt;=0,$B$80&lt;=1,ROUND($B$81*12,0)&gt;=1,$B$81&lt;=100,SUM($B$82)&gt;=0,SUM($B$82)&lt;=1,SUM($B$83)&gt;=0)),IF(B551=0,0,IF(C551=0,B551/ROUND($B$81*12,0),B551*(C551/12)/(1-(1+C551/12)^(-ROUND($B$81*12,0))))),IF(AND(NOT(AND(151&gt;$B$173,$B$78="Refinance",ISNUMBER($B$80),$B$80&gt;=0,$B$80&lt;=1,ROUND($B$81*12,0)&gt;=1,$B$81&lt;=100,SUM($B$82)&gt;=0,SUM($B$82)&lt;=1,SUM($B$83)&gt;=0)),OR(151=1,151=$B$174+1,AND($B$175&gt;0,151=$B$175+1))),IF(AND($B$170=1,$B$66&gt;0,OR($B$175=0,151&lt;=$B$175)),$B$66,IF($B$172-MAX(151-1,$B$174)&gt;0,IF(B551=0,0,IF(C551=0,B551/($B$172-MAX(151-1,$B$174)),B551*(C551/12)/(1-(1+C551/12)^(-($B$172-MAX(151-1,$B$174)))))),"")),D550)))),""),""))</x:f>
        <x:v>4679.450723240598</x:v>
      </x:c>
      <x:c r="E551" s="440" t="n">
        <x:f>IF(AND(151=$B$173,ISNUMBER(D551)),IF(MAX(0,B551*(1+C551/12)-D551)&lt;MAX(0.0000001,$E$17*0.00000000001),0,MAX(0,B551*(1+C551/12)-D551)),0)</x:f>
        <x:v>0</x:v>
      </x:c>
      <x:c r="F551" s="440" t="n">
        <x:f>IF($B$78="Cash payoff",E551,0)</x:f>
        <x:v>0</x:v>
      </x:c>
      <x:c r="G551" s="440" t="n">
        <x:f>IF(AND(E551&gt;0,AND($B$78="Refinance",ISNUMBER($B$80),$B$80&gt;=0,$B$80&lt;=1,ROUND($B$81*12,0)&gt;=1,$B$81&lt;=100,SUM($B$82)&gt;=0,SUM($B$82)&lt;=1,SUM($B$83)&gt;=0)),E551*SUM($B$82)+SUM($B$83),0)</x:f>
        <x:v>0</x:v>
      </x:c>
      <x:c r="H551" s="440" t="n">
        <x:f>IF(ISNUMBER(D551),IF(MAX(0,B551*(1+C551/12)-D551-F551)&lt;MAX(0.0000001,$E$17*0.00000000001),0,MAX(0,B551*(1+C551/12)-D551-F551)),IF(AND($B$171=1,I550=1),B551,""))</x:f>
        <x:v>595082.6584880019</x:v>
      </x:c>
      <x:c r="I551" s="444" t="n">
        <x:f>IF(OR(I550=1,AND(E551&gt;0,$B$78&lt;&gt;"Cash payoff",NOT(AND($B$78="Refinance",ISNUMBER($B$80),$B$80&gt;=0,$B$80&lt;=1,ROUND($B$81*12,0)&gt;=1,$B$81&lt;=100,SUM($B$82)&gt;=0,SUM($B$82)&lt;=1,SUM($B$83)&gt;=0))),AND(ISNUMBER(B551),B551&gt;0,$B$171=1,NOT(ISNUMBER(D551)))),1,0)</x:f>
        <x:v>0</x:v>
      </x:c>
      <x:c r="J551" s="440" t="n">
        <x:f>IF(ISNUMBER(L550),L550,"")</x:f>
        <x:v>0</x:v>
      </x:c>
      <x:c r="K551" s="440" t="n">
        <x:f>IF(AND(ISNUMBER(J551),J551=0),0,IF(AND($B$176=1,ISNUMBER(J551)),MIN(J551*(1+$B$87/12),IF($B$86=0,0,IF($B$87=0,$B$86/ROUND($B$88*12,0),$B$86*($B$87/12)/(1-(1+$B$87/12)^(-ROUND($B$88*12,0)))))),""))</x:f>
        <x:v>0</x:v>
      </x:c>
      <x:c r="L551" s="440" t="n">
        <x:f>IF(ISNUMBER(K551),IF(MAX(0,J551*(1+SUM($B$87)/12)-K551)&lt;MAX(0.0000001,$B$86*0.00000000001),0,MAX(0,J551*(1+SUM($B$87)/12)-K551)),"")</x:f>
        <x:v>0</x:v>
      </x:c>
      <x:c r="M551" s="440" t="n">
        <x:f>IF(AND(ISNUMBER(D551),ISNUMBER(K551)),D551+K551,"")</x:f>
        <x:v>4679.450723240598</x:v>
      </x:c>
      <x:c r="N551" s="440" t="n">
        <x:f>IF(AND(ISNUMBER(H551),ISNUMBER(L551)),H551+L551,"")</x:f>
        <x:v>595082.6584880019</x:v>
      </x:c>
    </x:row>
    <x:row r="552" ht="22" customHeight="1">
      <x:c r="A552" s="254" t="n">
        <x:f>152</x:f>
        <x:v>152</x:v>
      </x:c>
      <x:c r="B552" s="440" t="n">
        <x:f>IF(ISNUMBER(H551),H551,"")</x:f>
        <x:v>595082.6584880019</x:v>
      </x:c>
      <x:c r="C552" s="442" t="n">
        <x:f>IF(ISNUMBER(B552),IF(AND(152&gt;$B$173,$B$78="Refinance",ISNUMBER($B$80),$B$80&gt;=0,$B$80&lt;=1,ROUND($B$81*12,0)&gt;=1,$B$81&lt;=100,SUM($B$82)&gt;=0,SUM($B$82)&lt;=1,SUM($B$83)&gt;=0),$B$80,IF(AND($B$175&gt;0,152&gt;$B$175,ISNUMBER($B$75)),$B$75,$B$61)),"")</x:f>
        <x:v>0.0625</x:v>
      </x:c>
      <x:c r="D552" s="440" t="n">
        <x:f>IF(AND(ISNUMBER(B552),B552=0),0,IF(AND($B$171=1,I551=0,ISNUMBER(C552),ISNUMBER(IF(AND(152&lt;=$B$174,152&lt;=$B$173),B552*C552/12,IF(AND(152=$B$173+1,AND(152&gt;$B$173,$B$78="Refinance",ISNUMBER($B$80),$B$80&gt;=0,$B$80&lt;=1,ROUND($B$81*12,0)&gt;=1,$B$81&lt;=100,SUM($B$82)&gt;=0,SUM($B$82)&lt;=1,SUM($B$83)&gt;=0)),IF(B552=0,0,IF(C552=0,B552/ROUND($B$81*12,0),B552*(C552/12)/(1-(1+C552/12)^(-ROUND($B$81*12,0))))),IF(AND(NOT(AND(152&gt;$B$173,$B$78="Refinance",ISNUMBER($B$80),$B$80&gt;=0,$B$80&lt;=1,ROUND($B$81*12,0)&gt;=1,$B$81&lt;=100,SUM($B$82)&gt;=0,SUM($B$82)&lt;=1,SUM($B$83)&gt;=0)),OR(152=1,152=$B$174+1,AND($B$175&gt;0,152=$B$175+1))),IF(AND($B$170=1,$B$66&gt;0,OR($B$175=0,152&lt;=$B$175)),$B$66,IF($B$172-MAX(152-1,$B$174)&gt;0,IF(B552=0,0,IF(C552=0,B552/($B$172-MAX(152-1,$B$174)),B552*(C552/12)/(1-(1+C552/12)^(-($B$172-MAX(152-1,$B$174)))))),"")),D551))))),IF(IF(AND(152&lt;=$B$174,152&lt;=$B$173),B552*C552/12,IF(AND(152=$B$173+1,AND(152&gt;$B$173,$B$78="Refinance",ISNUMBER($B$80),$B$80&gt;=0,$B$80&lt;=1,ROUND($B$81*12,0)&gt;=1,$B$81&lt;=100,SUM($B$82)&gt;=0,SUM($B$82)&lt;=1,SUM($B$83)&gt;=0)),IF(B552=0,0,IF(C552=0,B552/ROUND($B$81*12,0),B552*(C552/12)/(1-(1+C552/12)^(-ROUND($B$81*12,0))))),IF(AND(NOT(AND(152&gt;$B$173,$B$78="Refinance",ISNUMBER($B$80),$B$80&gt;=0,$B$80&lt;=1,ROUND($B$81*12,0)&gt;=1,$B$81&lt;=100,SUM($B$82)&gt;=0,SUM($B$82)&lt;=1,SUM($B$83)&gt;=0)),OR(152=1,152=$B$174+1,AND($B$175&gt;0,152=$B$175+1))),IF(AND($B$170=1,$B$66&gt;0,OR($B$175=0,152&lt;=$B$175)),$B$66,IF($B$172-MAX(152-1,$B$174)&gt;0,IF(B552=0,0,IF(C552=0,B552/($B$172-MAX(152-1,$B$174)),B552*(C552/12)/(1-(1+C552/12)^(-($B$172-MAX(152-1,$B$174)))))),"")),D551)))+0.0000001&gt;=B552*C552/12,MIN(B552*(1+C552/12),IF(AND(152&lt;=$B$174,152&lt;=$B$173),B552*C552/12,IF(AND(152=$B$173+1,AND(152&gt;$B$173,$B$78="Refinance",ISNUMBER($B$80),$B$80&gt;=0,$B$80&lt;=1,ROUND($B$81*12,0)&gt;=1,$B$81&lt;=100,SUM($B$82)&gt;=0,SUM($B$82)&lt;=1,SUM($B$83)&gt;=0)),IF(B552=0,0,IF(C552=0,B552/ROUND($B$81*12,0),B552*(C552/12)/(1-(1+C552/12)^(-ROUND($B$81*12,0))))),IF(AND(NOT(AND(152&gt;$B$173,$B$78="Refinance",ISNUMBER($B$80),$B$80&gt;=0,$B$80&lt;=1,ROUND($B$81*12,0)&gt;=1,$B$81&lt;=100,SUM($B$82)&gt;=0,SUM($B$82)&lt;=1,SUM($B$83)&gt;=0)),OR(152=1,152=$B$174+1,AND($B$175&gt;0,152=$B$175+1))),IF(AND($B$170=1,$B$66&gt;0,OR($B$175=0,152&lt;=$B$175)),$B$66,IF($B$172-MAX(152-1,$B$174)&gt;0,IF(B552=0,0,IF(C552=0,B552/($B$172-MAX(152-1,$B$174)),B552*(C552/12)/(1-(1+C552/12)^(-($B$172-MAX(152-1,$B$174)))))),"")),D551)))),""),""))</x:f>
        <x:v>4679.450723240598</x:v>
      </x:c>
      <x:c r="E552" s="440" t="n">
        <x:f>IF(AND(152=$B$173,ISNUMBER(D552)),IF(MAX(0,B552*(1+C552/12)-D552)&lt;MAX(0.0000001,$E$17*0.00000000001),0,MAX(0,B552*(1+C552/12)-D552)),0)</x:f>
        <x:v>0</x:v>
      </x:c>
      <x:c r="F552" s="440" t="n">
        <x:f>IF($B$78="Cash payoff",E552,0)</x:f>
        <x:v>0</x:v>
      </x:c>
      <x:c r="G552" s="440" t="n">
        <x:f>IF(AND(E552&gt;0,AND($B$78="Refinance",ISNUMBER($B$80),$B$80&gt;=0,$B$80&lt;=1,ROUND($B$81*12,0)&gt;=1,$B$81&lt;=100,SUM($B$82)&gt;=0,SUM($B$82)&lt;=1,SUM($B$83)&gt;=0)),E552*SUM($B$82)+SUM($B$83),0)</x:f>
        <x:v>0</x:v>
      </x:c>
      <x:c r="H552" s="440" t="n">
        <x:f>IF(ISNUMBER(D552),IF(MAX(0,B552*(1+C552/12)-D552-F552)&lt;MAX(0.0000001,$E$17*0.00000000001),0,MAX(0,B552*(1+C552/12)-D552-F552)),IF(AND($B$171=1,I551=1),B552,""))</x:f>
        <x:v>593502.5966110529</x:v>
      </x:c>
      <x:c r="I552" s="444" t="n">
        <x:f>IF(OR(I551=1,AND(E552&gt;0,$B$78&lt;&gt;"Cash payoff",NOT(AND($B$78="Refinance",ISNUMBER($B$80),$B$80&gt;=0,$B$80&lt;=1,ROUND($B$81*12,0)&gt;=1,$B$81&lt;=100,SUM($B$82)&gt;=0,SUM($B$82)&lt;=1,SUM($B$83)&gt;=0))),AND(ISNUMBER(B552),B552&gt;0,$B$171=1,NOT(ISNUMBER(D552)))),1,0)</x:f>
        <x:v>0</x:v>
      </x:c>
      <x:c r="J552" s="440" t="n">
        <x:f>IF(ISNUMBER(L551),L551,"")</x:f>
        <x:v>0</x:v>
      </x:c>
      <x:c r="K552" s="440" t="n">
        <x:f>IF(AND(ISNUMBER(J552),J552=0),0,IF(AND($B$176=1,ISNUMBER(J552)),MIN(J552*(1+$B$87/12),IF($B$86=0,0,IF($B$87=0,$B$86/ROUND($B$88*12,0),$B$86*($B$87/12)/(1-(1+$B$87/12)^(-ROUND($B$88*12,0)))))),""))</x:f>
        <x:v>0</x:v>
      </x:c>
      <x:c r="L552" s="440" t="n">
        <x:f>IF(ISNUMBER(K552),IF(MAX(0,J552*(1+SUM($B$87)/12)-K552)&lt;MAX(0.0000001,$B$86*0.00000000001),0,MAX(0,J552*(1+SUM($B$87)/12)-K552)),"")</x:f>
        <x:v>0</x:v>
      </x:c>
      <x:c r="M552" s="440" t="n">
        <x:f>IF(AND(ISNUMBER(D552),ISNUMBER(K552)),D552+K552,"")</x:f>
        <x:v>4679.450723240598</x:v>
      </x:c>
      <x:c r="N552" s="440" t="n">
        <x:f>IF(AND(ISNUMBER(H552),ISNUMBER(L552)),H552+L552,"")</x:f>
        <x:v>593502.5966110529</x:v>
      </x:c>
    </x:row>
    <x:row r="553" ht="22" customHeight="1">
      <x:c r="A553" s="254" t="n">
        <x:f>153</x:f>
        <x:v>153</x:v>
      </x:c>
      <x:c r="B553" s="440" t="n">
        <x:f>IF(ISNUMBER(H552),H552,"")</x:f>
        <x:v>593502.5966110529</x:v>
      </x:c>
      <x:c r="C553" s="442" t="n">
        <x:f>IF(ISNUMBER(B553),IF(AND(153&gt;$B$173,$B$78="Refinance",ISNUMBER($B$80),$B$80&gt;=0,$B$80&lt;=1,ROUND($B$81*12,0)&gt;=1,$B$81&lt;=100,SUM($B$82)&gt;=0,SUM($B$82)&lt;=1,SUM($B$83)&gt;=0),$B$80,IF(AND($B$175&gt;0,153&gt;$B$175,ISNUMBER($B$75)),$B$75,$B$61)),"")</x:f>
        <x:v>0.0625</x:v>
      </x:c>
      <x:c r="D553" s="440" t="n">
        <x:f>IF(AND(ISNUMBER(B553),B553=0),0,IF(AND($B$171=1,I552=0,ISNUMBER(C553),ISNUMBER(IF(AND(153&lt;=$B$174,153&lt;=$B$173),B553*C553/12,IF(AND(153=$B$173+1,AND(153&gt;$B$173,$B$78="Refinance",ISNUMBER($B$80),$B$80&gt;=0,$B$80&lt;=1,ROUND($B$81*12,0)&gt;=1,$B$81&lt;=100,SUM($B$82)&gt;=0,SUM($B$82)&lt;=1,SUM($B$83)&gt;=0)),IF(B553=0,0,IF(C553=0,B553/ROUND($B$81*12,0),B553*(C553/12)/(1-(1+C553/12)^(-ROUND($B$81*12,0))))),IF(AND(NOT(AND(153&gt;$B$173,$B$78="Refinance",ISNUMBER($B$80),$B$80&gt;=0,$B$80&lt;=1,ROUND($B$81*12,0)&gt;=1,$B$81&lt;=100,SUM($B$82)&gt;=0,SUM($B$82)&lt;=1,SUM($B$83)&gt;=0)),OR(153=1,153=$B$174+1,AND($B$175&gt;0,153=$B$175+1))),IF(AND($B$170=1,$B$66&gt;0,OR($B$175=0,153&lt;=$B$175)),$B$66,IF($B$172-MAX(153-1,$B$174)&gt;0,IF(B553=0,0,IF(C553=0,B553/($B$172-MAX(153-1,$B$174)),B553*(C553/12)/(1-(1+C553/12)^(-($B$172-MAX(153-1,$B$174)))))),"")),D552))))),IF(IF(AND(153&lt;=$B$174,153&lt;=$B$173),B553*C553/12,IF(AND(153=$B$173+1,AND(153&gt;$B$173,$B$78="Refinance",ISNUMBER($B$80),$B$80&gt;=0,$B$80&lt;=1,ROUND($B$81*12,0)&gt;=1,$B$81&lt;=100,SUM($B$82)&gt;=0,SUM($B$82)&lt;=1,SUM($B$83)&gt;=0)),IF(B553=0,0,IF(C553=0,B553/ROUND($B$81*12,0),B553*(C553/12)/(1-(1+C553/12)^(-ROUND($B$81*12,0))))),IF(AND(NOT(AND(153&gt;$B$173,$B$78="Refinance",ISNUMBER($B$80),$B$80&gt;=0,$B$80&lt;=1,ROUND($B$81*12,0)&gt;=1,$B$81&lt;=100,SUM($B$82)&gt;=0,SUM($B$82)&lt;=1,SUM($B$83)&gt;=0)),OR(153=1,153=$B$174+1,AND($B$175&gt;0,153=$B$175+1))),IF(AND($B$170=1,$B$66&gt;0,OR($B$175=0,153&lt;=$B$175)),$B$66,IF($B$172-MAX(153-1,$B$174)&gt;0,IF(B553=0,0,IF(C553=0,B553/($B$172-MAX(153-1,$B$174)),B553*(C553/12)/(1-(1+C553/12)^(-($B$172-MAX(153-1,$B$174)))))),"")),D552)))+0.0000001&gt;=B553*C553/12,MIN(B553*(1+C553/12),IF(AND(153&lt;=$B$174,153&lt;=$B$173),B553*C553/12,IF(AND(153=$B$173+1,AND(153&gt;$B$173,$B$78="Refinance",ISNUMBER($B$80),$B$80&gt;=0,$B$80&lt;=1,ROUND($B$81*12,0)&gt;=1,$B$81&lt;=100,SUM($B$82)&gt;=0,SUM($B$82)&lt;=1,SUM($B$83)&gt;=0)),IF(B553=0,0,IF(C553=0,B553/ROUND($B$81*12,0),B553*(C553/12)/(1-(1+C553/12)^(-ROUND($B$81*12,0))))),IF(AND(NOT(AND(153&gt;$B$173,$B$78="Refinance",ISNUMBER($B$80),$B$80&gt;=0,$B$80&lt;=1,ROUND($B$81*12,0)&gt;=1,$B$81&lt;=100,SUM($B$82)&gt;=0,SUM($B$82)&lt;=1,SUM($B$83)&gt;=0)),OR(153=1,153=$B$174+1,AND($B$175&gt;0,153=$B$175+1))),IF(AND($B$170=1,$B$66&gt;0,OR($B$175=0,153&lt;=$B$175)),$B$66,IF($B$172-MAX(153-1,$B$174)&gt;0,IF(B553=0,0,IF(C553=0,B553/($B$172-MAX(153-1,$B$174)),B553*(C553/12)/(1-(1+C553/12)^(-($B$172-MAX(153-1,$B$174)))))),"")),D552)))),""),""))</x:f>
        <x:v>4679.450723240598</x:v>
      </x:c>
      <x:c r="E553" s="440" t="n">
        <x:f>IF(AND(153=$B$173,ISNUMBER(D553)),IF(MAX(0,B553*(1+C553/12)-D553)&lt;MAX(0.0000001,$E$17*0.00000000001),0,MAX(0,B553*(1+C553/12)-D553)),0)</x:f>
        <x:v>0</x:v>
      </x:c>
      <x:c r="F553" s="440" t="n">
        <x:f>IF($B$78="Cash payoff",E553,0)</x:f>
        <x:v>0</x:v>
      </x:c>
      <x:c r="G553" s="440" t="n">
        <x:f>IF(AND(E553&gt;0,AND($B$78="Refinance",ISNUMBER($B$80),$B$80&gt;=0,$B$80&lt;=1,ROUND($B$81*12,0)&gt;=1,$B$81&lt;=100,SUM($B$82)&gt;=0,SUM($B$82)&lt;=1,SUM($B$83)&gt;=0)),E553*SUM($B$82)+SUM($B$83),0)</x:f>
        <x:v>0</x:v>
      </x:c>
      <x:c r="H553" s="440" t="n">
        <x:f>IF(ISNUMBER(D553),IF(MAX(0,B553*(1+C553/12)-D553-F553)&lt;MAX(0.0000001,$E$17*0.00000000001),0,MAX(0,B553*(1+C553/12)-D553-F553)),IF(AND($B$171=1,I552=1),B553,""))</x:f>
        <x:v>591914.3052451614</x:v>
      </x:c>
      <x:c r="I553" s="444" t="n">
        <x:f>IF(OR(I552=1,AND(E553&gt;0,$B$78&lt;&gt;"Cash payoff",NOT(AND($B$78="Refinance",ISNUMBER($B$80),$B$80&gt;=0,$B$80&lt;=1,ROUND($B$81*12,0)&gt;=1,$B$81&lt;=100,SUM($B$82)&gt;=0,SUM($B$82)&lt;=1,SUM($B$83)&gt;=0))),AND(ISNUMBER(B553),B553&gt;0,$B$171=1,NOT(ISNUMBER(D553)))),1,0)</x:f>
        <x:v>0</x:v>
      </x:c>
      <x:c r="J553" s="440" t="n">
        <x:f>IF(ISNUMBER(L552),L552,"")</x:f>
        <x:v>0</x:v>
      </x:c>
      <x:c r="K553" s="440" t="n">
        <x:f>IF(AND(ISNUMBER(J553),J553=0),0,IF(AND($B$176=1,ISNUMBER(J553)),MIN(J553*(1+$B$87/12),IF($B$86=0,0,IF($B$87=0,$B$86/ROUND($B$88*12,0),$B$86*($B$87/12)/(1-(1+$B$87/12)^(-ROUND($B$88*12,0)))))),""))</x:f>
        <x:v>0</x:v>
      </x:c>
      <x:c r="L553" s="440" t="n">
        <x:f>IF(ISNUMBER(K553),IF(MAX(0,J553*(1+SUM($B$87)/12)-K553)&lt;MAX(0.0000001,$B$86*0.00000000001),0,MAX(0,J553*(1+SUM($B$87)/12)-K553)),"")</x:f>
        <x:v>0</x:v>
      </x:c>
      <x:c r="M553" s="440" t="n">
        <x:f>IF(AND(ISNUMBER(D553),ISNUMBER(K553)),D553+K553,"")</x:f>
        <x:v>4679.450723240598</x:v>
      </x:c>
      <x:c r="N553" s="440" t="n">
        <x:f>IF(AND(ISNUMBER(H553),ISNUMBER(L553)),H553+L553,"")</x:f>
        <x:v>591914.3052451614</x:v>
      </x:c>
    </x:row>
    <x:row r="554" ht="22" customHeight="1">
      <x:c r="A554" s="254" t="n">
        <x:f>154</x:f>
        <x:v>154</x:v>
      </x:c>
      <x:c r="B554" s="440" t="n">
        <x:f>IF(ISNUMBER(H553),H553,"")</x:f>
        <x:v>591914.3052451614</x:v>
      </x:c>
      <x:c r="C554" s="442" t="n">
        <x:f>IF(ISNUMBER(B554),IF(AND(154&gt;$B$173,$B$78="Refinance",ISNUMBER($B$80),$B$80&gt;=0,$B$80&lt;=1,ROUND($B$81*12,0)&gt;=1,$B$81&lt;=100,SUM($B$82)&gt;=0,SUM($B$82)&lt;=1,SUM($B$83)&gt;=0),$B$80,IF(AND($B$175&gt;0,154&gt;$B$175,ISNUMBER($B$75)),$B$75,$B$61)),"")</x:f>
        <x:v>0.0625</x:v>
      </x:c>
      <x:c r="D554" s="440" t="n">
        <x:f>IF(AND(ISNUMBER(B554),B554=0),0,IF(AND($B$171=1,I553=0,ISNUMBER(C554),ISNUMBER(IF(AND(154&lt;=$B$174,154&lt;=$B$173),B554*C554/12,IF(AND(154=$B$173+1,AND(154&gt;$B$173,$B$78="Refinance",ISNUMBER($B$80),$B$80&gt;=0,$B$80&lt;=1,ROUND($B$81*12,0)&gt;=1,$B$81&lt;=100,SUM($B$82)&gt;=0,SUM($B$82)&lt;=1,SUM($B$83)&gt;=0)),IF(B554=0,0,IF(C554=0,B554/ROUND($B$81*12,0),B554*(C554/12)/(1-(1+C554/12)^(-ROUND($B$81*12,0))))),IF(AND(NOT(AND(154&gt;$B$173,$B$78="Refinance",ISNUMBER($B$80),$B$80&gt;=0,$B$80&lt;=1,ROUND($B$81*12,0)&gt;=1,$B$81&lt;=100,SUM($B$82)&gt;=0,SUM($B$82)&lt;=1,SUM($B$83)&gt;=0)),OR(154=1,154=$B$174+1,AND($B$175&gt;0,154=$B$175+1))),IF(AND($B$170=1,$B$66&gt;0,OR($B$175=0,154&lt;=$B$175)),$B$66,IF($B$172-MAX(154-1,$B$174)&gt;0,IF(B554=0,0,IF(C554=0,B554/($B$172-MAX(154-1,$B$174)),B554*(C554/12)/(1-(1+C554/12)^(-($B$172-MAX(154-1,$B$174)))))),"")),D553))))),IF(IF(AND(154&lt;=$B$174,154&lt;=$B$173),B554*C554/12,IF(AND(154=$B$173+1,AND(154&gt;$B$173,$B$78="Refinance",ISNUMBER($B$80),$B$80&gt;=0,$B$80&lt;=1,ROUND($B$81*12,0)&gt;=1,$B$81&lt;=100,SUM($B$82)&gt;=0,SUM($B$82)&lt;=1,SUM($B$83)&gt;=0)),IF(B554=0,0,IF(C554=0,B554/ROUND($B$81*12,0),B554*(C554/12)/(1-(1+C554/12)^(-ROUND($B$81*12,0))))),IF(AND(NOT(AND(154&gt;$B$173,$B$78="Refinance",ISNUMBER($B$80),$B$80&gt;=0,$B$80&lt;=1,ROUND($B$81*12,0)&gt;=1,$B$81&lt;=100,SUM($B$82)&gt;=0,SUM($B$82)&lt;=1,SUM($B$83)&gt;=0)),OR(154=1,154=$B$174+1,AND($B$175&gt;0,154=$B$175+1))),IF(AND($B$170=1,$B$66&gt;0,OR($B$175=0,154&lt;=$B$175)),$B$66,IF($B$172-MAX(154-1,$B$174)&gt;0,IF(B554=0,0,IF(C554=0,B554/($B$172-MAX(154-1,$B$174)),B554*(C554/12)/(1-(1+C554/12)^(-($B$172-MAX(154-1,$B$174)))))),"")),D553)))+0.0000001&gt;=B554*C554/12,MIN(B554*(1+C554/12),IF(AND(154&lt;=$B$174,154&lt;=$B$173),B554*C554/12,IF(AND(154=$B$173+1,AND(154&gt;$B$173,$B$78="Refinance",ISNUMBER($B$80),$B$80&gt;=0,$B$80&lt;=1,ROUND($B$81*12,0)&gt;=1,$B$81&lt;=100,SUM($B$82)&gt;=0,SUM($B$82)&lt;=1,SUM($B$83)&gt;=0)),IF(B554=0,0,IF(C554=0,B554/ROUND($B$81*12,0),B554*(C554/12)/(1-(1+C554/12)^(-ROUND($B$81*12,0))))),IF(AND(NOT(AND(154&gt;$B$173,$B$78="Refinance",ISNUMBER($B$80),$B$80&gt;=0,$B$80&lt;=1,ROUND($B$81*12,0)&gt;=1,$B$81&lt;=100,SUM($B$82)&gt;=0,SUM($B$82)&lt;=1,SUM($B$83)&gt;=0)),OR(154=1,154=$B$174+1,AND($B$175&gt;0,154=$B$175+1))),IF(AND($B$170=1,$B$66&gt;0,OR($B$175=0,154&lt;=$B$175)),$B$66,IF($B$172-MAX(154-1,$B$174)&gt;0,IF(B554=0,0,IF(C554=0,B554/($B$172-MAX(154-1,$B$174)),B554*(C554/12)/(1-(1+C554/12)^(-($B$172-MAX(154-1,$B$174)))))),"")),D553)))),""),""))</x:f>
        <x:v>4679.450723240598</x:v>
      </x:c>
      <x:c r="E554" s="440" t="n">
        <x:f>IF(AND(154=$B$173,ISNUMBER(D554)),IF(MAX(0,B554*(1+C554/12)-D554)&lt;MAX(0.0000001,$E$17*0.00000000001),0,MAX(0,B554*(1+C554/12)-D554)),0)</x:f>
        <x:v>0</x:v>
      </x:c>
      <x:c r="F554" s="440" t="n">
        <x:f>IF($B$78="Cash payoff",E554,0)</x:f>
        <x:v>0</x:v>
      </x:c>
      <x:c r="G554" s="440" t="n">
        <x:f>IF(AND(E554&gt;0,AND($B$78="Refinance",ISNUMBER($B$80),$B$80&gt;=0,$B$80&lt;=1,ROUND($B$81*12,0)&gt;=1,$B$81&lt;=100,SUM($B$82)&gt;=0,SUM($B$82)&lt;=1,SUM($B$83)&gt;=0)),E554*SUM($B$82)+SUM($B$83),0)</x:f>
        <x:v>0</x:v>
      </x:c>
      <x:c r="H554" s="440" t="n">
        <x:f>IF(ISNUMBER(D554),IF(MAX(0,B554*(1+C554/12)-D554-F554)&lt;MAX(0.0000001,$E$17*0.00000000001),0,MAX(0,B554*(1+C554/12)-D554-F554)),IF(AND($B$171=1,I553=1),B554,""))</x:f>
        <x:v>590317.7415284059</x:v>
      </x:c>
      <x:c r="I554" s="444" t="n">
        <x:f>IF(OR(I553=1,AND(E554&gt;0,$B$78&lt;&gt;"Cash payoff",NOT(AND($B$78="Refinance",ISNUMBER($B$80),$B$80&gt;=0,$B$80&lt;=1,ROUND($B$81*12,0)&gt;=1,$B$81&lt;=100,SUM($B$82)&gt;=0,SUM($B$82)&lt;=1,SUM($B$83)&gt;=0))),AND(ISNUMBER(B554),B554&gt;0,$B$171=1,NOT(ISNUMBER(D554)))),1,0)</x:f>
        <x:v>0</x:v>
      </x:c>
      <x:c r="J554" s="440" t="n">
        <x:f>IF(ISNUMBER(L553),L553,"")</x:f>
        <x:v>0</x:v>
      </x:c>
      <x:c r="K554" s="440" t="n">
        <x:f>IF(AND(ISNUMBER(J554),J554=0),0,IF(AND($B$176=1,ISNUMBER(J554)),MIN(J554*(1+$B$87/12),IF($B$86=0,0,IF($B$87=0,$B$86/ROUND($B$88*12,0),$B$86*($B$87/12)/(1-(1+$B$87/12)^(-ROUND($B$88*12,0)))))),""))</x:f>
        <x:v>0</x:v>
      </x:c>
      <x:c r="L554" s="440" t="n">
        <x:f>IF(ISNUMBER(K554),IF(MAX(0,J554*(1+SUM($B$87)/12)-K554)&lt;MAX(0.0000001,$B$86*0.00000000001),0,MAX(0,J554*(1+SUM($B$87)/12)-K554)),"")</x:f>
        <x:v>0</x:v>
      </x:c>
      <x:c r="M554" s="440" t="n">
        <x:f>IF(AND(ISNUMBER(D554),ISNUMBER(K554)),D554+K554,"")</x:f>
        <x:v>4679.450723240598</x:v>
      </x:c>
      <x:c r="N554" s="440" t="n">
        <x:f>IF(AND(ISNUMBER(H554),ISNUMBER(L554)),H554+L554,"")</x:f>
        <x:v>590317.7415284059</x:v>
      </x:c>
    </x:row>
    <x:row r="555" ht="22" customHeight="1">
      <x:c r="A555" s="254" t="n">
        <x:f>155</x:f>
        <x:v>155</x:v>
      </x:c>
      <x:c r="B555" s="440" t="n">
        <x:f>IF(ISNUMBER(H554),H554,"")</x:f>
        <x:v>590317.7415284059</x:v>
      </x:c>
      <x:c r="C555" s="442" t="n">
        <x:f>IF(ISNUMBER(B555),IF(AND(155&gt;$B$173,$B$78="Refinance",ISNUMBER($B$80),$B$80&gt;=0,$B$80&lt;=1,ROUND($B$81*12,0)&gt;=1,$B$81&lt;=100,SUM($B$82)&gt;=0,SUM($B$82)&lt;=1,SUM($B$83)&gt;=0),$B$80,IF(AND($B$175&gt;0,155&gt;$B$175,ISNUMBER($B$75)),$B$75,$B$61)),"")</x:f>
        <x:v>0.0625</x:v>
      </x:c>
      <x:c r="D555" s="440" t="n">
        <x:f>IF(AND(ISNUMBER(B555),B555=0),0,IF(AND($B$171=1,I554=0,ISNUMBER(C555),ISNUMBER(IF(AND(155&lt;=$B$174,155&lt;=$B$173),B555*C555/12,IF(AND(155=$B$173+1,AND(155&gt;$B$173,$B$78="Refinance",ISNUMBER($B$80),$B$80&gt;=0,$B$80&lt;=1,ROUND($B$81*12,0)&gt;=1,$B$81&lt;=100,SUM($B$82)&gt;=0,SUM($B$82)&lt;=1,SUM($B$83)&gt;=0)),IF(B555=0,0,IF(C555=0,B555/ROUND($B$81*12,0),B555*(C555/12)/(1-(1+C555/12)^(-ROUND($B$81*12,0))))),IF(AND(NOT(AND(155&gt;$B$173,$B$78="Refinance",ISNUMBER($B$80),$B$80&gt;=0,$B$80&lt;=1,ROUND($B$81*12,0)&gt;=1,$B$81&lt;=100,SUM($B$82)&gt;=0,SUM($B$82)&lt;=1,SUM($B$83)&gt;=0)),OR(155=1,155=$B$174+1,AND($B$175&gt;0,155=$B$175+1))),IF(AND($B$170=1,$B$66&gt;0,OR($B$175=0,155&lt;=$B$175)),$B$66,IF($B$172-MAX(155-1,$B$174)&gt;0,IF(B555=0,0,IF(C555=0,B555/($B$172-MAX(155-1,$B$174)),B555*(C555/12)/(1-(1+C555/12)^(-($B$172-MAX(155-1,$B$174)))))),"")),D554))))),IF(IF(AND(155&lt;=$B$174,155&lt;=$B$173),B555*C555/12,IF(AND(155=$B$173+1,AND(155&gt;$B$173,$B$78="Refinance",ISNUMBER($B$80),$B$80&gt;=0,$B$80&lt;=1,ROUND($B$81*12,0)&gt;=1,$B$81&lt;=100,SUM($B$82)&gt;=0,SUM($B$82)&lt;=1,SUM($B$83)&gt;=0)),IF(B555=0,0,IF(C555=0,B555/ROUND($B$81*12,0),B555*(C555/12)/(1-(1+C555/12)^(-ROUND($B$81*12,0))))),IF(AND(NOT(AND(155&gt;$B$173,$B$78="Refinance",ISNUMBER($B$80),$B$80&gt;=0,$B$80&lt;=1,ROUND($B$81*12,0)&gt;=1,$B$81&lt;=100,SUM($B$82)&gt;=0,SUM($B$82)&lt;=1,SUM($B$83)&gt;=0)),OR(155=1,155=$B$174+1,AND($B$175&gt;0,155=$B$175+1))),IF(AND($B$170=1,$B$66&gt;0,OR($B$175=0,155&lt;=$B$175)),$B$66,IF($B$172-MAX(155-1,$B$174)&gt;0,IF(B555=0,0,IF(C555=0,B555/($B$172-MAX(155-1,$B$174)),B555*(C555/12)/(1-(1+C555/12)^(-($B$172-MAX(155-1,$B$174)))))),"")),D554)))+0.0000001&gt;=B555*C555/12,MIN(B555*(1+C555/12),IF(AND(155&lt;=$B$174,155&lt;=$B$173),B555*C555/12,IF(AND(155=$B$173+1,AND(155&gt;$B$173,$B$78="Refinance",ISNUMBER($B$80),$B$80&gt;=0,$B$80&lt;=1,ROUND($B$81*12,0)&gt;=1,$B$81&lt;=100,SUM($B$82)&gt;=0,SUM($B$82)&lt;=1,SUM($B$83)&gt;=0)),IF(B555=0,0,IF(C555=0,B555/ROUND($B$81*12,0),B555*(C555/12)/(1-(1+C555/12)^(-ROUND($B$81*12,0))))),IF(AND(NOT(AND(155&gt;$B$173,$B$78="Refinance",ISNUMBER($B$80),$B$80&gt;=0,$B$80&lt;=1,ROUND($B$81*12,0)&gt;=1,$B$81&lt;=100,SUM($B$82)&gt;=0,SUM($B$82)&lt;=1,SUM($B$83)&gt;=0)),OR(155=1,155=$B$174+1,AND($B$175&gt;0,155=$B$175+1))),IF(AND($B$170=1,$B$66&gt;0,OR($B$175=0,155&lt;=$B$175)),$B$66,IF($B$172-MAX(155-1,$B$174)&gt;0,IF(B555=0,0,IF(C555=0,B555/($B$172-MAX(155-1,$B$174)),B555*(C555/12)/(1-(1+C555/12)^(-($B$172-MAX(155-1,$B$174)))))),"")),D554)))),""),""))</x:f>
        <x:v>4679.450723240598</x:v>
      </x:c>
      <x:c r="E555" s="440" t="n">
        <x:f>IF(AND(155=$B$173,ISNUMBER(D555)),IF(MAX(0,B555*(1+C555/12)-D555)&lt;MAX(0.0000001,$E$17*0.00000000001),0,MAX(0,B555*(1+C555/12)-D555)),0)</x:f>
        <x:v>0</x:v>
      </x:c>
      <x:c r="F555" s="440" t="n">
        <x:f>IF($B$78="Cash payoff",E555,0)</x:f>
        <x:v>0</x:v>
      </x:c>
      <x:c r="G555" s="440" t="n">
        <x:f>IF(AND(E555&gt;0,AND($B$78="Refinance",ISNUMBER($B$80),$B$80&gt;=0,$B$80&lt;=1,ROUND($B$81*12,0)&gt;=1,$B$81&lt;=100,SUM($B$82)&gt;=0,SUM($B$82)&lt;=1,SUM($B$83)&gt;=0)),E555*SUM($B$82)+SUM($B$83),0)</x:f>
        <x:v>0</x:v>
      </x:c>
      <x:c r="H555" s="440" t="n">
        <x:f>IF(ISNUMBER(D555),IF(MAX(0,B555*(1+C555/12)-D555-F555)&lt;MAX(0.0000001,$E$17*0.00000000001),0,MAX(0,B555*(1+C555/12)-D555-F555)),IF(AND($B$171=1,I554=1),B555,""))</x:f>
        <x:v>588712.8623756258</x:v>
      </x:c>
      <x:c r="I555" s="444" t="n">
        <x:f>IF(OR(I554=1,AND(E555&gt;0,$B$78&lt;&gt;"Cash payoff",NOT(AND($B$78="Refinance",ISNUMBER($B$80),$B$80&gt;=0,$B$80&lt;=1,ROUND($B$81*12,0)&gt;=1,$B$81&lt;=100,SUM($B$82)&gt;=0,SUM($B$82)&lt;=1,SUM($B$83)&gt;=0))),AND(ISNUMBER(B555),B555&gt;0,$B$171=1,NOT(ISNUMBER(D555)))),1,0)</x:f>
        <x:v>0</x:v>
      </x:c>
      <x:c r="J555" s="440" t="n">
        <x:f>IF(ISNUMBER(L554),L554,"")</x:f>
        <x:v>0</x:v>
      </x:c>
      <x:c r="K555" s="440" t="n">
        <x:f>IF(AND(ISNUMBER(J555),J555=0),0,IF(AND($B$176=1,ISNUMBER(J555)),MIN(J555*(1+$B$87/12),IF($B$86=0,0,IF($B$87=0,$B$86/ROUND($B$88*12,0),$B$86*($B$87/12)/(1-(1+$B$87/12)^(-ROUND($B$88*12,0)))))),""))</x:f>
        <x:v>0</x:v>
      </x:c>
      <x:c r="L555" s="440" t="n">
        <x:f>IF(ISNUMBER(K555),IF(MAX(0,J555*(1+SUM($B$87)/12)-K555)&lt;MAX(0.0000001,$B$86*0.00000000001),0,MAX(0,J555*(1+SUM($B$87)/12)-K555)),"")</x:f>
        <x:v>0</x:v>
      </x:c>
      <x:c r="M555" s="440" t="n">
        <x:f>IF(AND(ISNUMBER(D555),ISNUMBER(K555)),D555+K555,"")</x:f>
        <x:v>4679.450723240598</x:v>
      </x:c>
      <x:c r="N555" s="440" t="n">
        <x:f>IF(AND(ISNUMBER(H555),ISNUMBER(L555)),H555+L555,"")</x:f>
        <x:v>588712.8623756258</x:v>
      </x:c>
    </x:row>
    <x:row r="556" ht="22" customHeight="1">
      <x:c r="A556" s="254" t="n">
        <x:f>156</x:f>
        <x:v>156</x:v>
      </x:c>
      <x:c r="B556" s="440" t="n">
        <x:f>IF(ISNUMBER(H555),H555,"")</x:f>
        <x:v>588712.8623756258</x:v>
      </x:c>
      <x:c r="C556" s="442" t="n">
        <x:f>IF(ISNUMBER(B556),IF(AND(156&gt;$B$173,$B$78="Refinance",ISNUMBER($B$80),$B$80&gt;=0,$B$80&lt;=1,ROUND($B$81*12,0)&gt;=1,$B$81&lt;=100,SUM($B$82)&gt;=0,SUM($B$82)&lt;=1,SUM($B$83)&gt;=0),$B$80,IF(AND($B$175&gt;0,156&gt;$B$175,ISNUMBER($B$75)),$B$75,$B$61)),"")</x:f>
        <x:v>0.0625</x:v>
      </x:c>
      <x:c r="D556" s="440" t="n">
        <x:f>IF(AND(ISNUMBER(B556),B556=0),0,IF(AND($B$171=1,I555=0,ISNUMBER(C556),ISNUMBER(IF(AND(156&lt;=$B$174,156&lt;=$B$173),B556*C556/12,IF(AND(156=$B$173+1,AND(156&gt;$B$173,$B$78="Refinance",ISNUMBER($B$80),$B$80&gt;=0,$B$80&lt;=1,ROUND($B$81*12,0)&gt;=1,$B$81&lt;=100,SUM($B$82)&gt;=0,SUM($B$82)&lt;=1,SUM($B$83)&gt;=0)),IF(B556=0,0,IF(C556=0,B556/ROUND($B$81*12,0),B556*(C556/12)/(1-(1+C556/12)^(-ROUND($B$81*12,0))))),IF(AND(NOT(AND(156&gt;$B$173,$B$78="Refinance",ISNUMBER($B$80),$B$80&gt;=0,$B$80&lt;=1,ROUND($B$81*12,0)&gt;=1,$B$81&lt;=100,SUM($B$82)&gt;=0,SUM($B$82)&lt;=1,SUM($B$83)&gt;=0)),OR(156=1,156=$B$174+1,AND($B$175&gt;0,156=$B$175+1))),IF(AND($B$170=1,$B$66&gt;0,OR($B$175=0,156&lt;=$B$175)),$B$66,IF($B$172-MAX(156-1,$B$174)&gt;0,IF(B556=0,0,IF(C556=0,B556/($B$172-MAX(156-1,$B$174)),B556*(C556/12)/(1-(1+C556/12)^(-($B$172-MAX(156-1,$B$174)))))),"")),D555))))),IF(IF(AND(156&lt;=$B$174,156&lt;=$B$173),B556*C556/12,IF(AND(156=$B$173+1,AND(156&gt;$B$173,$B$78="Refinance",ISNUMBER($B$80),$B$80&gt;=0,$B$80&lt;=1,ROUND($B$81*12,0)&gt;=1,$B$81&lt;=100,SUM($B$82)&gt;=0,SUM($B$82)&lt;=1,SUM($B$83)&gt;=0)),IF(B556=0,0,IF(C556=0,B556/ROUND($B$81*12,0),B556*(C556/12)/(1-(1+C556/12)^(-ROUND($B$81*12,0))))),IF(AND(NOT(AND(156&gt;$B$173,$B$78="Refinance",ISNUMBER($B$80),$B$80&gt;=0,$B$80&lt;=1,ROUND($B$81*12,0)&gt;=1,$B$81&lt;=100,SUM($B$82)&gt;=0,SUM($B$82)&lt;=1,SUM($B$83)&gt;=0)),OR(156=1,156=$B$174+1,AND($B$175&gt;0,156=$B$175+1))),IF(AND($B$170=1,$B$66&gt;0,OR($B$175=0,156&lt;=$B$175)),$B$66,IF($B$172-MAX(156-1,$B$174)&gt;0,IF(B556=0,0,IF(C556=0,B556/($B$172-MAX(156-1,$B$174)),B556*(C556/12)/(1-(1+C556/12)^(-($B$172-MAX(156-1,$B$174)))))),"")),D555)))+0.0000001&gt;=B556*C556/12,MIN(B556*(1+C556/12),IF(AND(156&lt;=$B$174,156&lt;=$B$173),B556*C556/12,IF(AND(156=$B$173+1,AND(156&gt;$B$173,$B$78="Refinance",ISNUMBER($B$80),$B$80&gt;=0,$B$80&lt;=1,ROUND($B$81*12,0)&gt;=1,$B$81&lt;=100,SUM($B$82)&gt;=0,SUM($B$82)&lt;=1,SUM($B$83)&gt;=0)),IF(B556=0,0,IF(C556=0,B556/ROUND($B$81*12,0),B556*(C556/12)/(1-(1+C556/12)^(-ROUND($B$81*12,0))))),IF(AND(NOT(AND(156&gt;$B$173,$B$78="Refinance",ISNUMBER($B$80),$B$80&gt;=0,$B$80&lt;=1,ROUND($B$81*12,0)&gt;=1,$B$81&lt;=100,SUM($B$82)&gt;=0,SUM($B$82)&lt;=1,SUM($B$83)&gt;=0)),OR(156=1,156=$B$174+1,AND($B$175&gt;0,156=$B$175+1))),IF(AND($B$170=1,$B$66&gt;0,OR($B$175=0,156&lt;=$B$175)),$B$66,IF($B$172-MAX(156-1,$B$174)&gt;0,IF(B556=0,0,IF(C556=0,B556/($B$172-MAX(156-1,$B$174)),B556*(C556/12)/(1-(1+C556/12)^(-($B$172-MAX(156-1,$B$174)))))),"")),D555)))),""),""))</x:f>
        <x:v>4679.450723240598</x:v>
      </x:c>
      <x:c r="E556" s="440" t="n">
        <x:f>IF(AND(156=$B$173,ISNUMBER(D556)),IF(MAX(0,B556*(1+C556/12)-D556)&lt;MAX(0.0000001,$E$17*0.00000000001),0,MAX(0,B556*(1+C556/12)-D556)),0)</x:f>
        <x:v>0</x:v>
      </x:c>
      <x:c r="F556" s="440" t="n">
        <x:f>IF($B$78="Cash payoff",E556,0)</x:f>
        <x:v>0</x:v>
      </x:c>
      <x:c r="G556" s="440" t="n">
        <x:f>IF(AND(E556&gt;0,AND($B$78="Refinance",ISNUMBER($B$80),$B$80&gt;=0,$B$80&lt;=1,ROUND($B$81*12,0)&gt;=1,$B$81&lt;=100,SUM($B$82)&gt;=0,SUM($B$82)&lt;=1,SUM($B$83)&gt;=0)),E556*SUM($B$82)+SUM($B$83),0)</x:f>
        <x:v>0</x:v>
      </x:c>
      <x:c r="H556" s="440" t="n">
        <x:f>IF(ISNUMBER(D556),IF(MAX(0,B556*(1+C556/12)-D556-F556)&lt;MAX(0.0000001,$E$17*0.00000000001),0,MAX(0,B556*(1+C556/12)-D556-F556)),IF(AND($B$171=1,I555=1),B556,""))</x:f>
        <x:v>587099.6244772582</x:v>
      </x:c>
      <x:c r="I556" s="444" t="n">
        <x:f>IF(OR(I555=1,AND(E556&gt;0,$B$78&lt;&gt;"Cash payoff",NOT(AND($B$78="Refinance",ISNUMBER($B$80),$B$80&gt;=0,$B$80&lt;=1,ROUND($B$81*12,0)&gt;=1,$B$81&lt;=100,SUM($B$82)&gt;=0,SUM($B$82)&lt;=1,SUM($B$83)&gt;=0))),AND(ISNUMBER(B556),B556&gt;0,$B$171=1,NOT(ISNUMBER(D556)))),1,0)</x:f>
        <x:v>0</x:v>
      </x:c>
      <x:c r="J556" s="440" t="n">
        <x:f>IF(ISNUMBER(L555),L555,"")</x:f>
        <x:v>0</x:v>
      </x:c>
      <x:c r="K556" s="440" t="n">
        <x:f>IF(AND(ISNUMBER(J556),J556=0),0,IF(AND($B$176=1,ISNUMBER(J556)),MIN(J556*(1+$B$87/12),IF($B$86=0,0,IF($B$87=0,$B$86/ROUND($B$88*12,0),$B$86*($B$87/12)/(1-(1+$B$87/12)^(-ROUND($B$88*12,0)))))),""))</x:f>
        <x:v>0</x:v>
      </x:c>
      <x:c r="L556" s="440" t="n">
        <x:f>IF(ISNUMBER(K556),IF(MAX(0,J556*(1+SUM($B$87)/12)-K556)&lt;MAX(0.0000001,$B$86*0.00000000001),0,MAX(0,J556*(1+SUM($B$87)/12)-K556)),"")</x:f>
        <x:v>0</x:v>
      </x:c>
      <x:c r="M556" s="440" t="n">
        <x:f>IF(AND(ISNUMBER(D556),ISNUMBER(K556)),D556+K556,"")</x:f>
        <x:v>4679.450723240598</x:v>
      </x:c>
      <x:c r="N556" s="440" t="n">
        <x:f>IF(AND(ISNUMBER(H556),ISNUMBER(L556)),H556+L556,"")</x:f>
        <x:v>587099.6244772582</x:v>
      </x:c>
    </x:row>
    <x:row r="557" ht="22" customHeight="1">
      <x:c r="A557" s="254" t="n">
        <x:f>157</x:f>
        <x:v>157</x:v>
      </x:c>
      <x:c r="B557" s="440" t="n">
        <x:f>IF(ISNUMBER(H556),H556,"")</x:f>
        <x:v>587099.6244772582</x:v>
      </x:c>
      <x:c r="C557" s="442" t="n">
        <x:f>IF(ISNUMBER(B557),IF(AND(157&gt;$B$173,$B$78="Refinance",ISNUMBER($B$80),$B$80&gt;=0,$B$80&lt;=1,ROUND($B$81*12,0)&gt;=1,$B$81&lt;=100,SUM($B$82)&gt;=0,SUM($B$82)&lt;=1,SUM($B$83)&gt;=0),$B$80,IF(AND($B$175&gt;0,157&gt;$B$175,ISNUMBER($B$75)),$B$75,$B$61)),"")</x:f>
        <x:v>0.0625</x:v>
      </x:c>
      <x:c r="D557" s="440" t="n">
        <x:f>IF(AND(ISNUMBER(B557),B557=0),0,IF(AND($B$171=1,I556=0,ISNUMBER(C557),ISNUMBER(IF(AND(157&lt;=$B$174,157&lt;=$B$173),B557*C557/12,IF(AND(157=$B$173+1,AND(157&gt;$B$173,$B$78="Refinance",ISNUMBER($B$80),$B$80&gt;=0,$B$80&lt;=1,ROUND($B$81*12,0)&gt;=1,$B$81&lt;=100,SUM($B$82)&gt;=0,SUM($B$82)&lt;=1,SUM($B$83)&gt;=0)),IF(B557=0,0,IF(C557=0,B557/ROUND($B$81*12,0),B557*(C557/12)/(1-(1+C557/12)^(-ROUND($B$81*12,0))))),IF(AND(NOT(AND(157&gt;$B$173,$B$78="Refinance",ISNUMBER($B$80),$B$80&gt;=0,$B$80&lt;=1,ROUND($B$81*12,0)&gt;=1,$B$81&lt;=100,SUM($B$82)&gt;=0,SUM($B$82)&lt;=1,SUM($B$83)&gt;=0)),OR(157=1,157=$B$174+1,AND($B$175&gt;0,157=$B$175+1))),IF(AND($B$170=1,$B$66&gt;0,OR($B$175=0,157&lt;=$B$175)),$B$66,IF($B$172-MAX(157-1,$B$174)&gt;0,IF(B557=0,0,IF(C557=0,B557/($B$172-MAX(157-1,$B$174)),B557*(C557/12)/(1-(1+C557/12)^(-($B$172-MAX(157-1,$B$174)))))),"")),D556))))),IF(IF(AND(157&lt;=$B$174,157&lt;=$B$173),B557*C557/12,IF(AND(157=$B$173+1,AND(157&gt;$B$173,$B$78="Refinance",ISNUMBER($B$80),$B$80&gt;=0,$B$80&lt;=1,ROUND($B$81*12,0)&gt;=1,$B$81&lt;=100,SUM($B$82)&gt;=0,SUM($B$82)&lt;=1,SUM($B$83)&gt;=0)),IF(B557=0,0,IF(C557=0,B557/ROUND($B$81*12,0),B557*(C557/12)/(1-(1+C557/12)^(-ROUND($B$81*12,0))))),IF(AND(NOT(AND(157&gt;$B$173,$B$78="Refinance",ISNUMBER($B$80),$B$80&gt;=0,$B$80&lt;=1,ROUND($B$81*12,0)&gt;=1,$B$81&lt;=100,SUM($B$82)&gt;=0,SUM($B$82)&lt;=1,SUM($B$83)&gt;=0)),OR(157=1,157=$B$174+1,AND($B$175&gt;0,157=$B$175+1))),IF(AND($B$170=1,$B$66&gt;0,OR($B$175=0,157&lt;=$B$175)),$B$66,IF($B$172-MAX(157-1,$B$174)&gt;0,IF(B557=0,0,IF(C557=0,B557/($B$172-MAX(157-1,$B$174)),B557*(C557/12)/(1-(1+C557/12)^(-($B$172-MAX(157-1,$B$174)))))),"")),D556)))+0.0000001&gt;=B557*C557/12,MIN(B557*(1+C557/12),IF(AND(157&lt;=$B$174,157&lt;=$B$173),B557*C557/12,IF(AND(157=$B$173+1,AND(157&gt;$B$173,$B$78="Refinance",ISNUMBER($B$80),$B$80&gt;=0,$B$80&lt;=1,ROUND($B$81*12,0)&gt;=1,$B$81&lt;=100,SUM($B$82)&gt;=0,SUM($B$82)&lt;=1,SUM($B$83)&gt;=0)),IF(B557=0,0,IF(C557=0,B557/ROUND($B$81*12,0),B557*(C557/12)/(1-(1+C557/12)^(-ROUND($B$81*12,0))))),IF(AND(NOT(AND(157&gt;$B$173,$B$78="Refinance",ISNUMBER($B$80),$B$80&gt;=0,$B$80&lt;=1,ROUND($B$81*12,0)&gt;=1,$B$81&lt;=100,SUM($B$82)&gt;=0,SUM($B$82)&lt;=1,SUM($B$83)&gt;=0)),OR(157=1,157=$B$174+1,AND($B$175&gt;0,157=$B$175+1))),IF(AND($B$170=1,$B$66&gt;0,OR($B$175=0,157&lt;=$B$175)),$B$66,IF($B$172-MAX(157-1,$B$174)&gt;0,IF(B557=0,0,IF(C557=0,B557/($B$172-MAX(157-1,$B$174)),B557*(C557/12)/(1-(1+C557/12)^(-($B$172-MAX(157-1,$B$174)))))),"")),D556)))),""),""))</x:f>
        <x:v>4679.450723240598</x:v>
      </x:c>
      <x:c r="E557" s="440" t="n">
        <x:f>IF(AND(157=$B$173,ISNUMBER(D557)),IF(MAX(0,B557*(1+C557/12)-D557)&lt;MAX(0.0000001,$E$17*0.00000000001),0,MAX(0,B557*(1+C557/12)-D557)),0)</x:f>
        <x:v>0</x:v>
      </x:c>
      <x:c r="F557" s="440" t="n">
        <x:f>IF($B$78="Cash payoff",E557,0)</x:f>
        <x:v>0</x:v>
      </x:c>
      <x:c r="G557" s="440" t="n">
        <x:f>IF(AND(E557&gt;0,AND($B$78="Refinance",ISNUMBER($B$80),$B$80&gt;=0,$B$80&lt;=1,ROUND($B$81*12,0)&gt;=1,$B$81&lt;=100,SUM($B$82)&gt;=0,SUM($B$82)&lt;=1,SUM($B$83)&gt;=0)),E557*SUM($B$82)+SUM($B$83),0)</x:f>
        <x:v>0</x:v>
      </x:c>
      <x:c r="H557" s="440" t="n">
        <x:f>IF(ISNUMBER(D557),IF(MAX(0,B557*(1+C557/12)-D557-F557)&lt;MAX(0.0000001,$E$17*0.00000000001),0,MAX(0,B557*(1+C557/12)-D557-F557)),IF(AND($B$171=1,I556=1),B557,""))</x:f>
        <x:v>585477.98429817</x:v>
      </x:c>
      <x:c r="I557" s="444" t="n">
        <x:f>IF(OR(I556=1,AND(E557&gt;0,$B$78&lt;&gt;"Cash payoff",NOT(AND($B$78="Refinance",ISNUMBER($B$80),$B$80&gt;=0,$B$80&lt;=1,ROUND($B$81*12,0)&gt;=1,$B$81&lt;=100,SUM($B$82)&gt;=0,SUM($B$82)&lt;=1,SUM($B$83)&gt;=0))),AND(ISNUMBER(B557),B557&gt;0,$B$171=1,NOT(ISNUMBER(D557)))),1,0)</x:f>
        <x:v>0</x:v>
      </x:c>
      <x:c r="J557" s="440" t="n">
        <x:f>IF(ISNUMBER(L556),L556,"")</x:f>
        <x:v>0</x:v>
      </x:c>
      <x:c r="K557" s="440" t="n">
        <x:f>IF(AND(ISNUMBER(J557),J557=0),0,IF(AND($B$176=1,ISNUMBER(J557)),MIN(J557*(1+$B$87/12),IF($B$86=0,0,IF($B$87=0,$B$86/ROUND($B$88*12,0),$B$86*($B$87/12)/(1-(1+$B$87/12)^(-ROUND($B$88*12,0)))))),""))</x:f>
        <x:v>0</x:v>
      </x:c>
      <x:c r="L557" s="440" t="n">
        <x:f>IF(ISNUMBER(K557),IF(MAX(0,J557*(1+SUM($B$87)/12)-K557)&lt;MAX(0.0000001,$B$86*0.00000000001),0,MAX(0,J557*(1+SUM($B$87)/12)-K557)),"")</x:f>
        <x:v>0</x:v>
      </x:c>
      <x:c r="M557" s="440" t="n">
        <x:f>IF(AND(ISNUMBER(D557),ISNUMBER(K557)),D557+K557,"")</x:f>
        <x:v>4679.450723240598</x:v>
      </x:c>
      <x:c r="N557" s="440" t="n">
        <x:f>IF(AND(ISNUMBER(H557),ISNUMBER(L557)),H557+L557,"")</x:f>
        <x:v>585477.98429817</x:v>
      </x:c>
    </x:row>
    <x:row r="558" ht="22" customHeight="1">
      <x:c r="A558" s="254" t="n">
        <x:f>158</x:f>
        <x:v>158</x:v>
      </x:c>
      <x:c r="B558" s="440" t="n">
        <x:f>IF(ISNUMBER(H557),H557,"")</x:f>
        <x:v>585477.98429817</x:v>
      </x:c>
      <x:c r="C558" s="442" t="n">
        <x:f>IF(ISNUMBER(B558),IF(AND(158&gt;$B$173,$B$78="Refinance",ISNUMBER($B$80),$B$80&gt;=0,$B$80&lt;=1,ROUND($B$81*12,0)&gt;=1,$B$81&lt;=100,SUM($B$82)&gt;=0,SUM($B$82)&lt;=1,SUM($B$83)&gt;=0),$B$80,IF(AND($B$175&gt;0,158&gt;$B$175,ISNUMBER($B$75)),$B$75,$B$61)),"")</x:f>
        <x:v>0.0625</x:v>
      </x:c>
      <x:c r="D558" s="440" t="n">
        <x:f>IF(AND(ISNUMBER(B558),B558=0),0,IF(AND($B$171=1,I557=0,ISNUMBER(C558),ISNUMBER(IF(AND(158&lt;=$B$174,158&lt;=$B$173),B558*C558/12,IF(AND(158=$B$173+1,AND(158&gt;$B$173,$B$78="Refinance",ISNUMBER($B$80),$B$80&gt;=0,$B$80&lt;=1,ROUND($B$81*12,0)&gt;=1,$B$81&lt;=100,SUM($B$82)&gt;=0,SUM($B$82)&lt;=1,SUM($B$83)&gt;=0)),IF(B558=0,0,IF(C558=0,B558/ROUND($B$81*12,0),B558*(C558/12)/(1-(1+C558/12)^(-ROUND($B$81*12,0))))),IF(AND(NOT(AND(158&gt;$B$173,$B$78="Refinance",ISNUMBER($B$80),$B$80&gt;=0,$B$80&lt;=1,ROUND($B$81*12,0)&gt;=1,$B$81&lt;=100,SUM($B$82)&gt;=0,SUM($B$82)&lt;=1,SUM($B$83)&gt;=0)),OR(158=1,158=$B$174+1,AND($B$175&gt;0,158=$B$175+1))),IF(AND($B$170=1,$B$66&gt;0,OR($B$175=0,158&lt;=$B$175)),$B$66,IF($B$172-MAX(158-1,$B$174)&gt;0,IF(B558=0,0,IF(C558=0,B558/($B$172-MAX(158-1,$B$174)),B558*(C558/12)/(1-(1+C558/12)^(-($B$172-MAX(158-1,$B$174)))))),"")),D557))))),IF(IF(AND(158&lt;=$B$174,158&lt;=$B$173),B558*C558/12,IF(AND(158=$B$173+1,AND(158&gt;$B$173,$B$78="Refinance",ISNUMBER($B$80),$B$80&gt;=0,$B$80&lt;=1,ROUND($B$81*12,0)&gt;=1,$B$81&lt;=100,SUM($B$82)&gt;=0,SUM($B$82)&lt;=1,SUM($B$83)&gt;=0)),IF(B558=0,0,IF(C558=0,B558/ROUND($B$81*12,0),B558*(C558/12)/(1-(1+C558/12)^(-ROUND($B$81*12,0))))),IF(AND(NOT(AND(158&gt;$B$173,$B$78="Refinance",ISNUMBER($B$80),$B$80&gt;=0,$B$80&lt;=1,ROUND($B$81*12,0)&gt;=1,$B$81&lt;=100,SUM($B$82)&gt;=0,SUM($B$82)&lt;=1,SUM($B$83)&gt;=0)),OR(158=1,158=$B$174+1,AND($B$175&gt;0,158=$B$175+1))),IF(AND($B$170=1,$B$66&gt;0,OR($B$175=0,158&lt;=$B$175)),$B$66,IF($B$172-MAX(158-1,$B$174)&gt;0,IF(B558=0,0,IF(C558=0,B558/($B$172-MAX(158-1,$B$174)),B558*(C558/12)/(1-(1+C558/12)^(-($B$172-MAX(158-1,$B$174)))))),"")),D557)))+0.0000001&gt;=B558*C558/12,MIN(B558*(1+C558/12),IF(AND(158&lt;=$B$174,158&lt;=$B$173),B558*C558/12,IF(AND(158=$B$173+1,AND(158&gt;$B$173,$B$78="Refinance",ISNUMBER($B$80),$B$80&gt;=0,$B$80&lt;=1,ROUND($B$81*12,0)&gt;=1,$B$81&lt;=100,SUM($B$82)&gt;=0,SUM($B$82)&lt;=1,SUM($B$83)&gt;=0)),IF(B558=0,0,IF(C558=0,B558/ROUND($B$81*12,0),B558*(C558/12)/(1-(1+C558/12)^(-ROUND($B$81*12,0))))),IF(AND(NOT(AND(158&gt;$B$173,$B$78="Refinance",ISNUMBER($B$80),$B$80&gt;=0,$B$80&lt;=1,ROUND($B$81*12,0)&gt;=1,$B$81&lt;=100,SUM($B$82)&gt;=0,SUM($B$82)&lt;=1,SUM($B$83)&gt;=0)),OR(158=1,158=$B$174+1,AND($B$175&gt;0,158=$B$175+1))),IF(AND($B$170=1,$B$66&gt;0,OR($B$175=0,158&lt;=$B$175)),$B$66,IF($B$172-MAX(158-1,$B$174)&gt;0,IF(B558=0,0,IF(C558=0,B558/($B$172-MAX(158-1,$B$174)),B558*(C558/12)/(1-(1+C558/12)^(-($B$172-MAX(158-1,$B$174)))))),"")),D557)))),""),""))</x:f>
        <x:v>4679.450723240598</x:v>
      </x:c>
      <x:c r="E558" s="440" t="n">
        <x:f>IF(AND(158=$B$173,ISNUMBER(D558)),IF(MAX(0,B558*(1+C558/12)-D558)&lt;MAX(0.0000001,$E$17*0.00000000001),0,MAX(0,B558*(1+C558/12)-D558)),0)</x:f>
        <x:v>0</x:v>
      </x:c>
      <x:c r="F558" s="440" t="n">
        <x:f>IF($B$78="Cash payoff",E558,0)</x:f>
        <x:v>0</x:v>
      </x:c>
      <x:c r="G558" s="440" t="n">
        <x:f>IF(AND(E558&gt;0,AND($B$78="Refinance",ISNUMBER($B$80),$B$80&gt;=0,$B$80&lt;=1,ROUND($B$81*12,0)&gt;=1,$B$81&lt;=100,SUM($B$82)&gt;=0,SUM($B$82)&lt;=1,SUM($B$83)&gt;=0)),E558*SUM($B$82)+SUM($B$83),0)</x:f>
        <x:v>0</x:v>
      </x:c>
      <x:c r="H558" s="440" t="n">
        <x:f>IF(ISNUMBER(D558),IF(MAX(0,B558*(1+C558/12)-D558-F558)&lt;MAX(0.0000001,$E$17*0.00000000001),0,MAX(0,B558*(1+C558/12)-D558-F558)),IF(AND($B$171=1,I557=1),B558,""))</x:f>
        <x:v>583847.8980764822</x:v>
      </x:c>
      <x:c r="I558" s="444" t="n">
        <x:f>IF(OR(I557=1,AND(E558&gt;0,$B$78&lt;&gt;"Cash payoff",NOT(AND($B$78="Refinance",ISNUMBER($B$80),$B$80&gt;=0,$B$80&lt;=1,ROUND($B$81*12,0)&gt;=1,$B$81&lt;=100,SUM($B$82)&gt;=0,SUM($B$82)&lt;=1,SUM($B$83)&gt;=0))),AND(ISNUMBER(B558),B558&gt;0,$B$171=1,NOT(ISNUMBER(D558)))),1,0)</x:f>
        <x:v>0</x:v>
      </x:c>
      <x:c r="J558" s="440" t="n">
        <x:f>IF(ISNUMBER(L557),L557,"")</x:f>
        <x:v>0</x:v>
      </x:c>
      <x:c r="K558" s="440" t="n">
        <x:f>IF(AND(ISNUMBER(J558),J558=0),0,IF(AND($B$176=1,ISNUMBER(J558)),MIN(J558*(1+$B$87/12),IF($B$86=0,0,IF($B$87=0,$B$86/ROUND($B$88*12,0),$B$86*($B$87/12)/(1-(1+$B$87/12)^(-ROUND($B$88*12,0)))))),""))</x:f>
        <x:v>0</x:v>
      </x:c>
      <x:c r="L558" s="440" t="n">
        <x:f>IF(ISNUMBER(K558),IF(MAX(0,J558*(1+SUM($B$87)/12)-K558)&lt;MAX(0.0000001,$B$86*0.00000000001),0,MAX(0,J558*(1+SUM($B$87)/12)-K558)),"")</x:f>
        <x:v>0</x:v>
      </x:c>
      <x:c r="M558" s="440" t="n">
        <x:f>IF(AND(ISNUMBER(D558),ISNUMBER(K558)),D558+K558,"")</x:f>
        <x:v>4679.450723240598</x:v>
      </x:c>
      <x:c r="N558" s="440" t="n">
        <x:f>IF(AND(ISNUMBER(H558),ISNUMBER(L558)),H558+L558,"")</x:f>
        <x:v>583847.8980764822</x:v>
      </x:c>
    </x:row>
    <x:row r="559" ht="22" customHeight="1">
      <x:c r="A559" s="254" t="n">
        <x:f>159</x:f>
        <x:v>159</x:v>
      </x:c>
      <x:c r="B559" s="440" t="n">
        <x:f>IF(ISNUMBER(H558),H558,"")</x:f>
        <x:v>583847.8980764822</x:v>
      </x:c>
      <x:c r="C559" s="442" t="n">
        <x:f>IF(ISNUMBER(B559),IF(AND(159&gt;$B$173,$B$78="Refinance",ISNUMBER($B$80),$B$80&gt;=0,$B$80&lt;=1,ROUND($B$81*12,0)&gt;=1,$B$81&lt;=100,SUM($B$82)&gt;=0,SUM($B$82)&lt;=1,SUM($B$83)&gt;=0),$B$80,IF(AND($B$175&gt;0,159&gt;$B$175,ISNUMBER($B$75)),$B$75,$B$61)),"")</x:f>
        <x:v>0.0625</x:v>
      </x:c>
      <x:c r="D559" s="440" t="n">
        <x:f>IF(AND(ISNUMBER(B559),B559=0),0,IF(AND($B$171=1,I558=0,ISNUMBER(C559),ISNUMBER(IF(AND(159&lt;=$B$174,159&lt;=$B$173),B559*C559/12,IF(AND(159=$B$173+1,AND(159&gt;$B$173,$B$78="Refinance",ISNUMBER($B$80),$B$80&gt;=0,$B$80&lt;=1,ROUND($B$81*12,0)&gt;=1,$B$81&lt;=100,SUM($B$82)&gt;=0,SUM($B$82)&lt;=1,SUM($B$83)&gt;=0)),IF(B559=0,0,IF(C559=0,B559/ROUND($B$81*12,0),B559*(C559/12)/(1-(1+C559/12)^(-ROUND($B$81*12,0))))),IF(AND(NOT(AND(159&gt;$B$173,$B$78="Refinance",ISNUMBER($B$80),$B$80&gt;=0,$B$80&lt;=1,ROUND($B$81*12,0)&gt;=1,$B$81&lt;=100,SUM($B$82)&gt;=0,SUM($B$82)&lt;=1,SUM($B$83)&gt;=0)),OR(159=1,159=$B$174+1,AND($B$175&gt;0,159=$B$175+1))),IF(AND($B$170=1,$B$66&gt;0,OR($B$175=0,159&lt;=$B$175)),$B$66,IF($B$172-MAX(159-1,$B$174)&gt;0,IF(B559=0,0,IF(C559=0,B559/($B$172-MAX(159-1,$B$174)),B559*(C559/12)/(1-(1+C559/12)^(-($B$172-MAX(159-1,$B$174)))))),"")),D558))))),IF(IF(AND(159&lt;=$B$174,159&lt;=$B$173),B559*C559/12,IF(AND(159=$B$173+1,AND(159&gt;$B$173,$B$78="Refinance",ISNUMBER($B$80),$B$80&gt;=0,$B$80&lt;=1,ROUND($B$81*12,0)&gt;=1,$B$81&lt;=100,SUM($B$82)&gt;=0,SUM($B$82)&lt;=1,SUM($B$83)&gt;=0)),IF(B559=0,0,IF(C559=0,B559/ROUND($B$81*12,0),B559*(C559/12)/(1-(1+C559/12)^(-ROUND($B$81*12,0))))),IF(AND(NOT(AND(159&gt;$B$173,$B$78="Refinance",ISNUMBER($B$80),$B$80&gt;=0,$B$80&lt;=1,ROUND($B$81*12,0)&gt;=1,$B$81&lt;=100,SUM($B$82)&gt;=0,SUM($B$82)&lt;=1,SUM($B$83)&gt;=0)),OR(159=1,159=$B$174+1,AND($B$175&gt;0,159=$B$175+1))),IF(AND($B$170=1,$B$66&gt;0,OR($B$175=0,159&lt;=$B$175)),$B$66,IF($B$172-MAX(159-1,$B$174)&gt;0,IF(B559=0,0,IF(C559=0,B559/($B$172-MAX(159-1,$B$174)),B559*(C559/12)/(1-(1+C559/12)^(-($B$172-MAX(159-1,$B$174)))))),"")),D558)))+0.0000001&gt;=B559*C559/12,MIN(B559*(1+C559/12),IF(AND(159&lt;=$B$174,159&lt;=$B$173),B559*C559/12,IF(AND(159=$B$173+1,AND(159&gt;$B$173,$B$78="Refinance",ISNUMBER($B$80),$B$80&gt;=0,$B$80&lt;=1,ROUND($B$81*12,0)&gt;=1,$B$81&lt;=100,SUM($B$82)&gt;=0,SUM($B$82)&lt;=1,SUM($B$83)&gt;=0)),IF(B559=0,0,IF(C559=0,B559/ROUND($B$81*12,0),B559*(C559/12)/(1-(1+C559/12)^(-ROUND($B$81*12,0))))),IF(AND(NOT(AND(159&gt;$B$173,$B$78="Refinance",ISNUMBER($B$80),$B$80&gt;=0,$B$80&lt;=1,ROUND($B$81*12,0)&gt;=1,$B$81&lt;=100,SUM($B$82)&gt;=0,SUM($B$82)&lt;=1,SUM($B$83)&gt;=0)),OR(159=1,159=$B$174+1,AND($B$175&gt;0,159=$B$175+1))),IF(AND($B$170=1,$B$66&gt;0,OR($B$175=0,159&lt;=$B$175)),$B$66,IF($B$172-MAX(159-1,$B$174)&gt;0,IF(B559=0,0,IF(C559=0,B559/($B$172-MAX(159-1,$B$174)),B559*(C559/12)/(1-(1+C559/12)^(-($B$172-MAX(159-1,$B$174)))))),"")),D558)))),""),""))</x:f>
        <x:v>4679.450723240598</x:v>
      </x:c>
      <x:c r="E559" s="440" t="n">
        <x:f>IF(AND(159=$B$173,ISNUMBER(D559)),IF(MAX(0,B559*(1+C559/12)-D559)&lt;MAX(0.0000001,$E$17*0.00000000001),0,MAX(0,B559*(1+C559/12)-D559)),0)</x:f>
        <x:v>0</x:v>
      </x:c>
      <x:c r="F559" s="440" t="n">
        <x:f>IF($B$78="Cash payoff",E559,0)</x:f>
        <x:v>0</x:v>
      </x:c>
      <x:c r="G559" s="440" t="n">
        <x:f>IF(AND(E559&gt;0,AND($B$78="Refinance",ISNUMBER($B$80),$B$80&gt;=0,$B$80&lt;=1,ROUND($B$81*12,0)&gt;=1,$B$81&lt;=100,SUM($B$82)&gt;=0,SUM($B$82)&lt;=1,SUM($B$83)&gt;=0)),E559*SUM($B$82)+SUM($B$83),0)</x:f>
        <x:v>0</x:v>
      </x:c>
      <x:c r="H559" s="440" t="n">
        <x:f>IF(ISNUMBER(D559),IF(MAX(0,B559*(1+C559/12)-D559-F559)&lt;MAX(0.0000001,$E$17*0.00000000001),0,MAX(0,B559*(1+C559/12)-D559-F559)),IF(AND($B$171=1,I558=1),B559,""))</x:f>
        <x:v>582209.32182239</x:v>
      </x:c>
      <x:c r="I559" s="444" t="n">
        <x:f>IF(OR(I558=1,AND(E559&gt;0,$B$78&lt;&gt;"Cash payoff",NOT(AND($B$78="Refinance",ISNUMBER($B$80),$B$80&gt;=0,$B$80&lt;=1,ROUND($B$81*12,0)&gt;=1,$B$81&lt;=100,SUM($B$82)&gt;=0,SUM($B$82)&lt;=1,SUM($B$83)&gt;=0))),AND(ISNUMBER(B559),B559&gt;0,$B$171=1,NOT(ISNUMBER(D559)))),1,0)</x:f>
        <x:v>0</x:v>
      </x:c>
      <x:c r="J559" s="440" t="n">
        <x:f>IF(ISNUMBER(L558),L558,"")</x:f>
        <x:v>0</x:v>
      </x:c>
      <x:c r="K559" s="440" t="n">
        <x:f>IF(AND(ISNUMBER(J559),J559=0),0,IF(AND($B$176=1,ISNUMBER(J559)),MIN(J559*(1+$B$87/12),IF($B$86=0,0,IF($B$87=0,$B$86/ROUND($B$88*12,0),$B$86*($B$87/12)/(1-(1+$B$87/12)^(-ROUND($B$88*12,0)))))),""))</x:f>
        <x:v>0</x:v>
      </x:c>
      <x:c r="L559" s="440" t="n">
        <x:f>IF(ISNUMBER(K559),IF(MAX(0,J559*(1+SUM($B$87)/12)-K559)&lt;MAX(0.0000001,$B$86*0.00000000001),0,MAX(0,J559*(1+SUM($B$87)/12)-K559)),"")</x:f>
        <x:v>0</x:v>
      </x:c>
      <x:c r="M559" s="440" t="n">
        <x:f>IF(AND(ISNUMBER(D559),ISNUMBER(K559)),D559+K559,"")</x:f>
        <x:v>4679.450723240598</x:v>
      </x:c>
      <x:c r="N559" s="440" t="n">
        <x:f>IF(AND(ISNUMBER(H559),ISNUMBER(L559)),H559+L559,"")</x:f>
        <x:v>582209.32182239</x:v>
      </x:c>
    </x:row>
    <x:row r="560" ht="22" customHeight="1">
      <x:c r="A560" s="254" t="n">
        <x:f>160</x:f>
        <x:v>160</x:v>
      </x:c>
      <x:c r="B560" s="440" t="n">
        <x:f>IF(ISNUMBER(H559),H559,"")</x:f>
        <x:v>582209.32182239</x:v>
      </x:c>
      <x:c r="C560" s="442" t="n">
        <x:f>IF(ISNUMBER(B560),IF(AND(160&gt;$B$173,$B$78="Refinance",ISNUMBER($B$80),$B$80&gt;=0,$B$80&lt;=1,ROUND($B$81*12,0)&gt;=1,$B$81&lt;=100,SUM($B$82)&gt;=0,SUM($B$82)&lt;=1,SUM($B$83)&gt;=0),$B$80,IF(AND($B$175&gt;0,160&gt;$B$175,ISNUMBER($B$75)),$B$75,$B$61)),"")</x:f>
        <x:v>0.0625</x:v>
      </x:c>
      <x:c r="D560" s="440" t="n">
        <x:f>IF(AND(ISNUMBER(B560),B560=0),0,IF(AND($B$171=1,I559=0,ISNUMBER(C560),ISNUMBER(IF(AND(160&lt;=$B$174,160&lt;=$B$173),B560*C560/12,IF(AND(160=$B$173+1,AND(160&gt;$B$173,$B$78="Refinance",ISNUMBER($B$80),$B$80&gt;=0,$B$80&lt;=1,ROUND($B$81*12,0)&gt;=1,$B$81&lt;=100,SUM($B$82)&gt;=0,SUM($B$82)&lt;=1,SUM($B$83)&gt;=0)),IF(B560=0,0,IF(C560=0,B560/ROUND($B$81*12,0),B560*(C560/12)/(1-(1+C560/12)^(-ROUND($B$81*12,0))))),IF(AND(NOT(AND(160&gt;$B$173,$B$78="Refinance",ISNUMBER($B$80),$B$80&gt;=0,$B$80&lt;=1,ROUND($B$81*12,0)&gt;=1,$B$81&lt;=100,SUM($B$82)&gt;=0,SUM($B$82)&lt;=1,SUM($B$83)&gt;=0)),OR(160=1,160=$B$174+1,AND($B$175&gt;0,160=$B$175+1))),IF(AND($B$170=1,$B$66&gt;0,OR($B$175=0,160&lt;=$B$175)),$B$66,IF($B$172-MAX(160-1,$B$174)&gt;0,IF(B560=0,0,IF(C560=0,B560/($B$172-MAX(160-1,$B$174)),B560*(C560/12)/(1-(1+C560/12)^(-($B$172-MAX(160-1,$B$174)))))),"")),D559))))),IF(IF(AND(160&lt;=$B$174,160&lt;=$B$173),B560*C560/12,IF(AND(160=$B$173+1,AND(160&gt;$B$173,$B$78="Refinance",ISNUMBER($B$80),$B$80&gt;=0,$B$80&lt;=1,ROUND($B$81*12,0)&gt;=1,$B$81&lt;=100,SUM($B$82)&gt;=0,SUM($B$82)&lt;=1,SUM($B$83)&gt;=0)),IF(B560=0,0,IF(C560=0,B560/ROUND($B$81*12,0),B560*(C560/12)/(1-(1+C560/12)^(-ROUND($B$81*12,0))))),IF(AND(NOT(AND(160&gt;$B$173,$B$78="Refinance",ISNUMBER($B$80),$B$80&gt;=0,$B$80&lt;=1,ROUND($B$81*12,0)&gt;=1,$B$81&lt;=100,SUM($B$82)&gt;=0,SUM($B$82)&lt;=1,SUM($B$83)&gt;=0)),OR(160=1,160=$B$174+1,AND($B$175&gt;0,160=$B$175+1))),IF(AND($B$170=1,$B$66&gt;0,OR($B$175=0,160&lt;=$B$175)),$B$66,IF($B$172-MAX(160-1,$B$174)&gt;0,IF(B560=0,0,IF(C560=0,B560/($B$172-MAX(160-1,$B$174)),B560*(C560/12)/(1-(1+C560/12)^(-($B$172-MAX(160-1,$B$174)))))),"")),D559)))+0.0000001&gt;=B560*C560/12,MIN(B560*(1+C560/12),IF(AND(160&lt;=$B$174,160&lt;=$B$173),B560*C560/12,IF(AND(160=$B$173+1,AND(160&gt;$B$173,$B$78="Refinance",ISNUMBER($B$80),$B$80&gt;=0,$B$80&lt;=1,ROUND($B$81*12,0)&gt;=1,$B$81&lt;=100,SUM($B$82)&gt;=0,SUM($B$82)&lt;=1,SUM($B$83)&gt;=0)),IF(B560=0,0,IF(C560=0,B560/ROUND($B$81*12,0),B560*(C560/12)/(1-(1+C560/12)^(-ROUND($B$81*12,0))))),IF(AND(NOT(AND(160&gt;$B$173,$B$78="Refinance",ISNUMBER($B$80),$B$80&gt;=0,$B$80&lt;=1,ROUND($B$81*12,0)&gt;=1,$B$81&lt;=100,SUM($B$82)&gt;=0,SUM($B$82)&lt;=1,SUM($B$83)&gt;=0)),OR(160=1,160=$B$174+1,AND($B$175&gt;0,160=$B$175+1))),IF(AND($B$170=1,$B$66&gt;0,OR($B$175=0,160&lt;=$B$175)),$B$66,IF($B$172-MAX(160-1,$B$174)&gt;0,IF(B560=0,0,IF(C560=0,B560/($B$172-MAX(160-1,$B$174)),B560*(C560/12)/(1-(1+C560/12)^(-($B$172-MAX(160-1,$B$174)))))),"")),D559)))),""),""))</x:f>
        <x:v>4679.450723240598</x:v>
      </x:c>
      <x:c r="E560" s="440" t="n">
        <x:f>IF(AND(160=$B$173,ISNUMBER(D560)),IF(MAX(0,B560*(1+C560/12)-D560)&lt;MAX(0.0000001,$E$17*0.00000000001),0,MAX(0,B560*(1+C560/12)-D560)),0)</x:f>
        <x:v>0</x:v>
      </x:c>
      <x:c r="F560" s="440" t="n">
        <x:f>IF($B$78="Cash payoff",E560,0)</x:f>
        <x:v>0</x:v>
      </x:c>
      <x:c r="G560" s="440" t="n">
        <x:f>IF(AND(E560&gt;0,AND($B$78="Refinance",ISNUMBER($B$80),$B$80&gt;=0,$B$80&lt;=1,ROUND($B$81*12,0)&gt;=1,$B$81&lt;=100,SUM($B$82)&gt;=0,SUM($B$82)&lt;=1,SUM($B$83)&gt;=0)),E560*SUM($B$82)+SUM($B$83),0)</x:f>
        <x:v>0</x:v>
      </x:c>
      <x:c r="H560" s="440" t="n">
        <x:f>IF(ISNUMBER(D560),IF(MAX(0,B560*(1+C560/12)-D560-F560)&lt;MAX(0.0000001,$E$17*0.00000000001),0,MAX(0,B560*(1+C560/12)-D560-F560)),IF(AND($B$171=1,I559=1),B560,""))</x:f>
        <x:v>580562.2113169743</x:v>
      </x:c>
      <x:c r="I560" s="444" t="n">
        <x:f>IF(OR(I559=1,AND(E560&gt;0,$B$78&lt;&gt;"Cash payoff",NOT(AND($B$78="Refinance",ISNUMBER($B$80),$B$80&gt;=0,$B$80&lt;=1,ROUND($B$81*12,0)&gt;=1,$B$81&lt;=100,SUM($B$82)&gt;=0,SUM($B$82)&lt;=1,SUM($B$83)&gt;=0))),AND(ISNUMBER(B560),B560&gt;0,$B$171=1,NOT(ISNUMBER(D560)))),1,0)</x:f>
        <x:v>0</x:v>
      </x:c>
      <x:c r="J560" s="440" t="n">
        <x:f>IF(ISNUMBER(L559),L559,"")</x:f>
        <x:v>0</x:v>
      </x:c>
      <x:c r="K560" s="440" t="n">
        <x:f>IF(AND(ISNUMBER(J560),J560=0),0,IF(AND($B$176=1,ISNUMBER(J560)),MIN(J560*(1+$B$87/12),IF($B$86=0,0,IF($B$87=0,$B$86/ROUND($B$88*12,0),$B$86*($B$87/12)/(1-(1+$B$87/12)^(-ROUND($B$88*12,0)))))),""))</x:f>
        <x:v>0</x:v>
      </x:c>
      <x:c r="L560" s="440" t="n">
        <x:f>IF(ISNUMBER(K560),IF(MAX(0,J560*(1+SUM($B$87)/12)-K560)&lt;MAX(0.0000001,$B$86*0.00000000001),0,MAX(0,J560*(1+SUM($B$87)/12)-K560)),"")</x:f>
        <x:v>0</x:v>
      </x:c>
      <x:c r="M560" s="440" t="n">
        <x:f>IF(AND(ISNUMBER(D560),ISNUMBER(K560)),D560+K560,"")</x:f>
        <x:v>4679.450723240598</x:v>
      </x:c>
      <x:c r="N560" s="440" t="n">
        <x:f>IF(AND(ISNUMBER(H560),ISNUMBER(L560)),H560+L560,"")</x:f>
        <x:v>580562.2113169743</x:v>
      </x:c>
    </x:row>
    <x:row r="561" ht="22" customHeight="1">
      <x:c r="A561" s="254" t="n">
        <x:f>161</x:f>
        <x:v>161</x:v>
      </x:c>
      <x:c r="B561" s="440" t="n">
        <x:f>IF(ISNUMBER(H560),H560,"")</x:f>
        <x:v>580562.2113169743</x:v>
      </x:c>
      <x:c r="C561" s="442" t="n">
        <x:f>IF(ISNUMBER(B561),IF(AND(161&gt;$B$173,$B$78="Refinance",ISNUMBER($B$80),$B$80&gt;=0,$B$80&lt;=1,ROUND($B$81*12,0)&gt;=1,$B$81&lt;=100,SUM($B$82)&gt;=0,SUM($B$82)&lt;=1,SUM($B$83)&gt;=0),$B$80,IF(AND($B$175&gt;0,161&gt;$B$175,ISNUMBER($B$75)),$B$75,$B$61)),"")</x:f>
        <x:v>0.0625</x:v>
      </x:c>
      <x:c r="D561" s="440" t="n">
        <x:f>IF(AND(ISNUMBER(B561),B561=0),0,IF(AND($B$171=1,I560=0,ISNUMBER(C561),ISNUMBER(IF(AND(161&lt;=$B$174,161&lt;=$B$173),B561*C561/12,IF(AND(161=$B$173+1,AND(161&gt;$B$173,$B$78="Refinance",ISNUMBER($B$80),$B$80&gt;=0,$B$80&lt;=1,ROUND($B$81*12,0)&gt;=1,$B$81&lt;=100,SUM($B$82)&gt;=0,SUM($B$82)&lt;=1,SUM($B$83)&gt;=0)),IF(B561=0,0,IF(C561=0,B561/ROUND($B$81*12,0),B561*(C561/12)/(1-(1+C561/12)^(-ROUND($B$81*12,0))))),IF(AND(NOT(AND(161&gt;$B$173,$B$78="Refinance",ISNUMBER($B$80),$B$80&gt;=0,$B$80&lt;=1,ROUND($B$81*12,0)&gt;=1,$B$81&lt;=100,SUM($B$82)&gt;=0,SUM($B$82)&lt;=1,SUM($B$83)&gt;=0)),OR(161=1,161=$B$174+1,AND($B$175&gt;0,161=$B$175+1))),IF(AND($B$170=1,$B$66&gt;0,OR($B$175=0,161&lt;=$B$175)),$B$66,IF($B$172-MAX(161-1,$B$174)&gt;0,IF(B561=0,0,IF(C561=0,B561/($B$172-MAX(161-1,$B$174)),B561*(C561/12)/(1-(1+C561/12)^(-($B$172-MAX(161-1,$B$174)))))),"")),D560))))),IF(IF(AND(161&lt;=$B$174,161&lt;=$B$173),B561*C561/12,IF(AND(161=$B$173+1,AND(161&gt;$B$173,$B$78="Refinance",ISNUMBER($B$80),$B$80&gt;=0,$B$80&lt;=1,ROUND($B$81*12,0)&gt;=1,$B$81&lt;=100,SUM($B$82)&gt;=0,SUM($B$82)&lt;=1,SUM($B$83)&gt;=0)),IF(B561=0,0,IF(C561=0,B561/ROUND($B$81*12,0),B561*(C561/12)/(1-(1+C561/12)^(-ROUND($B$81*12,0))))),IF(AND(NOT(AND(161&gt;$B$173,$B$78="Refinance",ISNUMBER($B$80),$B$80&gt;=0,$B$80&lt;=1,ROUND($B$81*12,0)&gt;=1,$B$81&lt;=100,SUM($B$82)&gt;=0,SUM($B$82)&lt;=1,SUM($B$83)&gt;=0)),OR(161=1,161=$B$174+1,AND($B$175&gt;0,161=$B$175+1))),IF(AND($B$170=1,$B$66&gt;0,OR($B$175=0,161&lt;=$B$175)),$B$66,IF($B$172-MAX(161-1,$B$174)&gt;0,IF(B561=0,0,IF(C561=0,B561/($B$172-MAX(161-1,$B$174)),B561*(C561/12)/(1-(1+C561/12)^(-($B$172-MAX(161-1,$B$174)))))),"")),D560)))+0.0000001&gt;=B561*C561/12,MIN(B561*(1+C561/12),IF(AND(161&lt;=$B$174,161&lt;=$B$173),B561*C561/12,IF(AND(161=$B$173+1,AND(161&gt;$B$173,$B$78="Refinance",ISNUMBER($B$80),$B$80&gt;=0,$B$80&lt;=1,ROUND($B$81*12,0)&gt;=1,$B$81&lt;=100,SUM($B$82)&gt;=0,SUM($B$82)&lt;=1,SUM($B$83)&gt;=0)),IF(B561=0,0,IF(C561=0,B561/ROUND($B$81*12,0),B561*(C561/12)/(1-(1+C561/12)^(-ROUND($B$81*12,0))))),IF(AND(NOT(AND(161&gt;$B$173,$B$78="Refinance",ISNUMBER($B$80),$B$80&gt;=0,$B$80&lt;=1,ROUND($B$81*12,0)&gt;=1,$B$81&lt;=100,SUM($B$82)&gt;=0,SUM($B$82)&lt;=1,SUM($B$83)&gt;=0)),OR(161=1,161=$B$174+1,AND($B$175&gt;0,161=$B$175+1))),IF(AND($B$170=1,$B$66&gt;0,OR($B$175=0,161&lt;=$B$175)),$B$66,IF($B$172-MAX(161-1,$B$174)&gt;0,IF(B561=0,0,IF(C561=0,B561/($B$172-MAX(161-1,$B$174)),B561*(C561/12)/(1-(1+C561/12)^(-($B$172-MAX(161-1,$B$174)))))),"")),D560)))),""),""))</x:f>
        <x:v>4679.450723240598</x:v>
      </x:c>
      <x:c r="E561" s="440" t="n">
        <x:f>IF(AND(161=$B$173,ISNUMBER(D561)),IF(MAX(0,B561*(1+C561/12)-D561)&lt;MAX(0.0000001,$E$17*0.00000000001),0,MAX(0,B561*(1+C561/12)-D561)),0)</x:f>
        <x:v>0</x:v>
      </x:c>
      <x:c r="F561" s="440" t="n">
        <x:f>IF($B$78="Cash payoff",E561,0)</x:f>
        <x:v>0</x:v>
      </x:c>
      <x:c r="G561" s="440" t="n">
        <x:f>IF(AND(E561&gt;0,AND($B$78="Refinance",ISNUMBER($B$80),$B$80&gt;=0,$B$80&lt;=1,ROUND($B$81*12,0)&gt;=1,$B$81&lt;=100,SUM($B$82)&gt;=0,SUM($B$82)&lt;=1,SUM($B$83)&gt;=0)),E561*SUM($B$82)+SUM($B$83),0)</x:f>
        <x:v>0</x:v>
      </x:c>
      <x:c r="H561" s="440" t="n">
        <x:f>IF(ISNUMBER(D561),IF(MAX(0,B561*(1+C561/12)-D561-F561)&lt;MAX(0.0000001,$E$17*0.00000000001),0,MAX(0,B561*(1+C561/12)-D561-F561)),IF(AND($B$171=1,I560=1),B561,""))</x:f>
        <x:v>578906.5221110095</x:v>
      </x:c>
      <x:c r="I561" s="444" t="n">
        <x:f>IF(OR(I560=1,AND(E561&gt;0,$B$78&lt;&gt;"Cash payoff",NOT(AND($B$78="Refinance",ISNUMBER($B$80),$B$80&gt;=0,$B$80&lt;=1,ROUND($B$81*12,0)&gt;=1,$B$81&lt;=100,SUM($B$82)&gt;=0,SUM($B$82)&lt;=1,SUM($B$83)&gt;=0))),AND(ISNUMBER(B561),B561&gt;0,$B$171=1,NOT(ISNUMBER(D561)))),1,0)</x:f>
        <x:v>0</x:v>
      </x:c>
      <x:c r="J561" s="440" t="n">
        <x:f>IF(ISNUMBER(L560),L560,"")</x:f>
        <x:v>0</x:v>
      </x:c>
      <x:c r="K561" s="440" t="n">
        <x:f>IF(AND(ISNUMBER(J561),J561=0),0,IF(AND($B$176=1,ISNUMBER(J561)),MIN(J561*(1+$B$87/12),IF($B$86=0,0,IF($B$87=0,$B$86/ROUND($B$88*12,0),$B$86*($B$87/12)/(1-(1+$B$87/12)^(-ROUND($B$88*12,0)))))),""))</x:f>
        <x:v>0</x:v>
      </x:c>
      <x:c r="L561" s="440" t="n">
        <x:f>IF(ISNUMBER(K561),IF(MAX(0,J561*(1+SUM($B$87)/12)-K561)&lt;MAX(0.0000001,$B$86*0.00000000001),0,MAX(0,J561*(1+SUM($B$87)/12)-K561)),"")</x:f>
        <x:v>0</x:v>
      </x:c>
      <x:c r="M561" s="440" t="n">
        <x:f>IF(AND(ISNUMBER(D561),ISNUMBER(K561)),D561+K561,"")</x:f>
        <x:v>4679.450723240598</x:v>
      </x:c>
      <x:c r="N561" s="440" t="n">
        <x:f>IF(AND(ISNUMBER(H561),ISNUMBER(L561)),H561+L561,"")</x:f>
        <x:v>578906.5221110095</x:v>
      </x:c>
    </x:row>
    <x:row r="562" ht="22" customHeight="1">
      <x:c r="A562" s="254" t="n">
        <x:f>162</x:f>
        <x:v>162</x:v>
      </x:c>
      <x:c r="B562" s="440" t="n">
        <x:f>IF(ISNUMBER(H561),H561,"")</x:f>
        <x:v>578906.5221110095</x:v>
      </x:c>
      <x:c r="C562" s="442" t="n">
        <x:f>IF(ISNUMBER(B562),IF(AND(162&gt;$B$173,$B$78="Refinance",ISNUMBER($B$80),$B$80&gt;=0,$B$80&lt;=1,ROUND($B$81*12,0)&gt;=1,$B$81&lt;=100,SUM($B$82)&gt;=0,SUM($B$82)&lt;=1,SUM($B$83)&gt;=0),$B$80,IF(AND($B$175&gt;0,162&gt;$B$175,ISNUMBER($B$75)),$B$75,$B$61)),"")</x:f>
        <x:v>0.0625</x:v>
      </x:c>
      <x:c r="D562" s="440" t="n">
        <x:f>IF(AND(ISNUMBER(B562),B562=0),0,IF(AND($B$171=1,I561=0,ISNUMBER(C562),ISNUMBER(IF(AND(162&lt;=$B$174,162&lt;=$B$173),B562*C562/12,IF(AND(162=$B$173+1,AND(162&gt;$B$173,$B$78="Refinance",ISNUMBER($B$80),$B$80&gt;=0,$B$80&lt;=1,ROUND($B$81*12,0)&gt;=1,$B$81&lt;=100,SUM($B$82)&gt;=0,SUM($B$82)&lt;=1,SUM($B$83)&gt;=0)),IF(B562=0,0,IF(C562=0,B562/ROUND($B$81*12,0),B562*(C562/12)/(1-(1+C562/12)^(-ROUND($B$81*12,0))))),IF(AND(NOT(AND(162&gt;$B$173,$B$78="Refinance",ISNUMBER($B$80),$B$80&gt;=0,$B$80&lt;=1,ROUND($B$81*12,0)&gt;=1,$B$81&lt;=100,SUM($B$82)&gt;=0,SUM($B$82)&lt;=1,SUM($B$83)&gt;=0)),OR(162=1,162=$B$174+1,AND($B$175&gt;0,162=$B$175+1))),IF(AND($B$170=1,$B$66&gt;0,OR($B$175=0,162&lt;=$B$175)),$B$66,IF($B$172-MAX(162-1,$B$174)&gt;0,IF(B562=0,0,IF(C562=0,B562/($B$172-MAX(162-1,$B$174)),B562*(C562/12)/(1-(1+C562/12)^(-($B$172-MAX(162-1,$B$174)))))),"")),D561))))),IF(IF(AND(162&lt;=$B$174,162&lt;=$B$173),B562*C562/12,IF(AND(162=$B$173+1,AND(162&gt;$B$173,$B$78="Refinance",ISNUMBER($B$80),$B$80&gt;=0,$B$80&lt;=1,ROUND($B$81*12,0)&gt;=1,$B$81&lt;=100,SUM($B$82)&gt;=0,SUM($B$82)&lt;=1,SUM($B$83)&gt;=0)),IF(B562=0,0,IF(C562=0,B562/ROUND($B$81*12,0),B562*(C562/12)/(1-(1+C562/12)^(-ROUND($B$81*12,0))))),IF(AND(NOT(AND(162&gt;$B$173,$B$78="Refinance",ISNUMBER($B$80),$B$80&gt;=0,$B$80&lt;=1,ROUND($B$81*12,0)&gt;=1,$B$81&lt;=100,SUM($B$82)&gt;=0,SUM($B$82)&lt;=1,SUM($B$83)&gt;=0)),OR(162=1,162=$B$174+1,AND($B$175&gt;0,162=$B$175+1))),IF(AND($B$170=1,$B$66&gt;0,OR($B$175=0,162&lt;=$B$175)),$B$66,IF($B$172-MAX(162-1,$B$174)&gt;0,IF(B562=0,0,IF(C562=0,B562/($B$172-MAX(162-1,$B$174)),B562*(C562/12)/(1-(1+C562/12)^(-($B$172-MAX(162-1,$B$174)))))),"")),D561)))+0.0000001&gt;=B562*C562/12,MIN(B562*(1+C562/12),IF(AND(162&lt;=$B$174,162&lt;=$B$173),B562*C562/12,IF(AND(162=$B$173+1,AND(162&gt;$B$173,$B$78="Refinance",ISNUMBER($B$80),$B$80&gt;=0,$B$80&lt;=1,ROUND($B$81*12,0)&gt;=1,$B$81&lt;=100,SUM($B$82)&gt;=0,SUM($B$82)&lt;=1,SUM($B$83)&gt;=0)),IF(B562=0,0,IF(C562=0,B562/ROUND($B$81*12,0),B562*(C562/12)/(1-(1+C562/12)^(-ROUND($B$81*12,0))))),IF(AND(NOT(AND(162&gt;$B$173,$B$78="Refinance",ISNUMBER($B$80),$B$80&gt;=0,$B$80&lt;=1,ROUND($B$81*12,0)&gt;=1,$B$81&lt;=100,SUM($B$82)&gt;=0,SUM($B$82)&lt;=1,SUM($B$83)&gt;=0)),OR(162=1,162=$B$174+1,AND($B$175&gt;0,162=$B$175+1))),IF(AND($B$170=1,$B$66&gt;0,OR($B$175=0,162&lt;=$B$175)),$B$66,IF($B$172-MAX(162-1,$B$174)&gt;0,IF(B562=0,0,IF(C562=0,B562/($B$172-MAX(162-1,$B$174)),B562*(C562/12)/(1-(1+C562/12)^(-($B$172-MAX(162-1,$B$174)))))),"")),D561)))),""),""))</x:f>
        <x:v>4679.450723240598</x:v>
      </x:c>
      <x:c r="E562" s="440" t="n">
        <x:f>IF(AND(162=$B$173,ISNUMBER(D562)),IF(MAX(0,B562*(1+C562/12)-D562)&lt;MAX(0.0000001,$E$17*0.00000000001),0,MAX(0,B562*(1+C562/12)-D562)),0)</x:f>
        <x:v>0</x:v>
      </x:c>
      <x:c r="F562" s="440" t="n">
        <x:f>IF($B$78="Cash payoff",E562,0)</x:f>
        <x:v>0</x:v>
      </x:c>
      <x:c r="G562" s="440" t="n">
        <x:f>IF(AND(E562&gt;0,AND($B$78="Refinance",ISNUMBER($B$80),$B$80&gt;=0,$B$80&lt;=1,ROUND($B$81*12,0)&gt;=1,$B$81&lt;=100,SUM($B$82)&gt;=0,SUM($B$82)&lt;=1,SUM($B$83)&gt;=0)),E562*SUM($B$82)+SUM($B$83),0)</x:f>
        <x:v>0</x:v>
      </x:c>
      <x:c r="H562" s="440" t="n">
        <x:f>IF(ISNUMBER(D562),IF(MAX(0,B562*(1+C562/12)-D562-F562)&lt;MAX(0.0000001,$E$17*0.00000000001),0,MAX(0,B562*(1+C562/12)-D562-F562)),IF(AND($B$171=1,I561=1),B562,""))</x:f>
        <x:v>577242.2095237636</x:v>
      </x:c>
      <x:c r="I562" s="444" t="n">
        <x:f>IF(OR(I561=1,AND(E562&gt;0,$B$78&lt;&gt;"Cash payoff",NOT(AND($B$78="Refinance",ISNUMBER($B$80),$B$80&gt;=0,$B$80&lt;=1,ROUND($B$81*12,0)&gt;=1,$B$81&lt;=100,SUM($B$82)&gt;=0,SUM($B$82)&lt;=1,SUM($B$83)&gt;=0))),AND(ISNUMBER(B562),B562&gt;0,$B$171=1,NOT(ISNUMBER(D562)))),1,0)</x:f>
        <x:v>0</x:v>
      </x:c>
      <x:c r="J562" s="440" t="n">
        <x:f>IF(ISNUMBER(L561),L561,"")</x:f>
        <x:v>0</x:v>
      </x:c>
      <x:c r="K562" s="440" t="n">
        <x:f>IF(AND(ISNUMBER(J562),J562=0),0,IF(AND($B$176=1,ISNUMBER(J562)),MIN(J562*(1+$B$87/12),IF($B$86=0,0,IF($B$87=0,$B$86/ROUND($B$88*12,0),$B$86*($B$87/12)/(1-(1+$B$87/12)^(-ROUND($B$88*12,0)))))),""))</x:f>
        <x:v>0</x:v>
      </x:c>
      <x:c r="L562" s="440" t="n">
        <x:f>IF(ISNUMBER(K562),IF(MAX(0,J562*(1+SUM($B$87)/12)-K562)&lt;MAX(0.0000001,$B$86*0.00000000001),0,MAX(0,J562*(1+SUM($B$87)/12)-K562)),"")</x:f>
        <x:v>0</x:v>
      </x:c>
      <x:c r="M562" s="440" t="n">
        <x:f>IF(AND(ISNUMBER(D562),ISNUMBER(K562)),D562+K562,"")</x:f>
        <x:v>4679.450723240598</x:v>
      </x:c>
      <x:c r="N562" s="440" t="n">
        <x:f>IF(AND(ISNUMBER(H562),ISNUMBER(L562)),H562+L562,"")</x:f>
        <x:v>577242.2095237636</x:v>
      </x:c>
    </x:row>
    <x:row r="563" ht="22" customHeight="1">
      <x:c r="A563" s="254" t="n">
        <x:f>163</x:f>
        <x:v>163</x:v>
      </x:c>
      <x:c r="B563" s="440" t="n">
        <x:f>IF(ISNUMBER(H562),H562,"")</x:f>
        <x:v>577242.2095237636</x:v>
      </x:c>
      <x:c r="C563" s="442" t="n">
        <x:f>IF(ISNUMBER(B563),IF(AND(163&gt;$B$173,$B$78="Refinance",ISNUMBER($B$80),$B$80&gt;=0,$B$80&lt;=1,ROUND($B$81*12,0)&gt;=1,$B$81&lt;=100,SUM($B$82)&gt;=0,SUM($B$82)&lt;=1,SUM($B$83)&gt;=0),$B$80,IF(AND($B$175&gt;0,163&gt;$B$175,ISNUMBER($B$75)),$B$75,$B$61)),"")</x:f>
        <x:v>0.0625</x:v>
      </x:c>
      <x:c r="D563" s="440" t="n">
        <x:f>IF(AND(ISNUMBER(B563),B563=0),0,IF(AND($B$171=1,I562=0,ISNUMBER(C563),ISNUMBER(IF(AND(163&lt;=$B$174,163&lt;=$B$173),B563*C563/12,IF(AND(163=$B$173+1,AND(163&gt;$B$173,$B$78="Refinance",ISNUMBER($B$80),$B$80&gt;=0,$B$80&lt;=1,ROUND($B$81*12,0)&gt;=1,$B$81&lt;=100,SUM($B$82)&gt;=0,SUM($B$82)&lt;=1,SUM($B$83)&gt;=0)),IF(B563=0,0,IF(C563=0,B563/ROUND($B$81*12,0),B563*(C563/12)/(1-(1+C563/12)^(-ROUND($B$81*12,0))))),IF(AND(NOT(AND(163&gt;$B$173,$B$78="Refinance",ISNUMBER($B$80),$B$80&gt;=0,$B$80&lt;=1,ROUND($B$81*12,0)&gt;=1,$B$81&lt;=100,SUM($B$82)&gt;=0,SUM($B$82)&lt;=1,SUM($B$83)&gt;=0)),OR(163=1,163=$B$174+1,AND($B$175&gt;0,163=$B$175+1))),IF(AND($B$170=1,$B$66&gt;0,OR($B$175=0,163&lt;=$B$175)),$B$66,IF($B$172-MAX(163-1,$B$174)&gt;0,IF(B563=0,0,IF(C563=0,B563/($B$172-MAX(163-1,$B$174)),B563*(C563/12)/(1-(1+C563/12)^(-($B$172-MAX(163-1,$B$174)))))),"")),D562))))),IF(IF(AND(163&lt;=$B$174,163&lt;=$B$173),B563*C563/12,IF(AND(163=$B$173+1,AND(163&gt;$B$173,$B$78="Refinance",ISNUMBER($B$80),$B$80&gt;=0,$B$80&lt;=1,ROUND($B$81*12,0)&gt;=1,$B$81&lt;=100,SUM($B$82)&gt;=0,SUM($B$82)&lt;=1,SUM($B$83)&gt;=0)),IF(B563=0,0,IF(C563=0,B563/ROUND($B$81*12,0),B563*(C563/12)/(1-(1+C563/12)^(-ROUND($B$81*12,0))))),IF(AND(NOT(AND(163&gt;$B$173,$B$78="Refinance",ISNUMBER($B$80),$B$80&gt;=0,$B$80&lt;=1,ROUND($B$81*12,0)&gt;=1,$B$81&lt;=100,SUM($B$82)&gt;=0,SUM($B$82)&lt;=1,SUM($B$83)&gt;=0)),OR(163=1,163=$B$174+1,AND($B$175&gt;0,163=$B$175+1))),IF(AND($B$170=1,$B$66&gt;0,OR($B$175=0,163&lt;=$B$175)),$B$66,IF($B$172-MAX(163-1,$B$174)&gt;0,IF(B563=0,0,IF(C563=0,B563/($B$172-MAX(163-1,$B$174)),B563*(C563/12)/(1-(1+C563/12)^(-($B$172-MAX(163-1,$B$174)))))),"")),D562)))+0.0000001&gt;=B563*C563/12,MIN(B563*(1+C563/12),IF(AND(163&lt;=$B$174,163&lt;=$B$173),B563*C563/12,IF(AND(163=$B$173+1,AND(163&gt;$B$173,$B$78="Refinance",ISNUMBER($B$80),$B$80&gt;=0,$B$80&lt;=1,ROUND($B$81*12,0)&gt;=1,$B$81&lt;=100,SUM($B$82)&gt;=0,SUM($B$82)&lt;=1,SUM($B$83)&gt;=0)),IF(B563=0,0,IF(C563=0,B563/ROUND($B$81*12,0),B563*(C563/12)/(1-(1+C563/12)^(-ROUND($B$81*12,0))))),IF(AND(NOT(AND(163&gt;$B$173,$B$78="Refinance",ISNUMBER($B$80),$B$80&gt;=0,$B$80&lt;=1,ROUND($B$81*12,0)&gt;=1,$B$81&lt;=100,SUM($B$82)&gt;=0,SUM($B$82)&lt;=1,SUM($B$83)&gt;=0)),OR(163=1,163=$B$174+1,AND($B$175&gt;0,163=$B$175+1))),IF(AND($B$170=1,$B$66&gt;0,OR($B$175=0,163&lt;=$B$175)),$B$66,IF($B$172-MAX(163-1,$B$174)&gt;0,IF(B563=0,0,IF(C563=0,B563/($B$172-MAX(163-1,$B$174)),B563*(C563/12)/(1-(1+C563/12)^(-($B$172-MAX(163-1,$B$174)))))),"")),D562)))),""),""))</x:f>
        <x:v>4679.450723240598</x:v>
      </x:c>
      <x:c r="E563" s="440" t="n">
        <x:f>IF(AND(163=$B$173,ISNUMBER(D563)),IF(MAX(0,B563*(1+C563/12)-D563)&lt;MAX(0.0000001,$E$17*0.00000000001),0,MAX(0,B563*(1+C563/12)-D563)),0)</x:f>
        <x:v>0</x:v>
      </x:c>
      <x:c r="F563" s="440" t="n">
        <x:f>IF($B$78="Cash payoff",E563,0)</x:f>
        <x:v>0</x:v>
      </x:c>
      <x:c r="G563" s="440" t="n">
        <x:f>IF(AND(E563&gt;0,AND($B$78="Refinance",ISNUMBER($B$80),$B$80&gt;=0,$B$80&lt;=1,ROUND($B$81*12,0)&gt;=1,$B$81&lt;=100,SUM($B$82)&gt;=0,SUM($B$82)&lt;=1,SUM($B$83)&gt;=0)),E563*SUM($B$82)+SUM($B$83),0)</x:f>
        <x:v>0</x:v>
      </x:c>
      <x:c r="H563" s="440" t="n">
        <x:f>IF(ISNUMBER(D563),IF(MAX(0,B563*(1+C563/12)-D563-F563)&lt;MAX(0.0000001,$E$17*0.00000000001),0,MAX(0,B563*(1+C563/12)-D563-F563)),IF(AND($B$171=1,I562=1),B563,""))</x:f>
        <x:v>575569.2286417925</x:v>
      </x:c>
      <x:c r="I563" s="444" t="n">
        <x:f>IF(OR(I562=1,AND(E563&gt;0,$B$78&lt;&gt;"Cash payoff",NOT(AND($B$78="Refinance",ISNUMBER($B$80),$B$80&gt;=0,$B$80&lt;=1,ROUND($B$81*12,0)&gt;=1,$B$81&lt;=100,SUM($B$82)&gt;=0,SUM($B$82)&lt;=1,SUM($B$83)&gt;=0))),AND(ISNUMBER(B563),B563&gt;0,$B$171=1,NOT(ISNUMBER(D563)))),1,0)</x:f>
        <x:v>0</x:v>
      </x:c>
      <x:c r="J563" s="440" t="n">
        <x:f>IF(ISNUMBER(L562),L562,"")</x:f>
        <x:v>0</x:v>
      </x:c>
      <x:c r="K563" s="440" t="n">
        <x:f>IF(AND(ISNUMBER(J563),J563=0),0,IF(AND($B$176=1,ISNUMBER(J563)),MIN(J563*(1+$B$87/12),IF($B$86=0,0,IF($B$87=0,$B$86/ROUND($B$88*12,0),$B$86*($B$87/12)/(1-(1+$B$87/12)^(-ROUND($B$88*12,0)))))),""))</x:f>
        <x:v>0</x:v>
      </x:c>
      <x:c r="L563" s="440" t="n">
        <x:f>IF(ISNUMBER(K563),IF(MAX(0,J563*(1+SUM($B$87)/12)-K563)&lt;MAX(0.0000001,$B$86*0.00000000001),0,MAX(0,J563*(1+SUM($B$87)/12)-K563)),"")</x:f>
        <x:v>0</x:v>
      </x:c>
      <x:c r="M563" s="440" t="n">
        <x:f>IF(AND(ISNUMBER(D563),ISNUMBER(K563)),D563+K563,"")</x:f>
        <x:v>4679.450723240598</x:v>
      </x:c>
      <x:c r="N563" s="440" t="n">
        <x:f>IF(AND(ISNUMBER(H563),ISNUMBER(L563)),H563+L563,"")</x:f>
        <x:v>575569.2286417925</x:v>
      </x:c>
    </x:row>
    <x:row r="564" ht="22" customHeight="1">
      <x:c r="A564" s="254" t="n">
        <x:f>164</x:f>
        <x:v>164</x:v>
      </x:c>
      <x:c r="B564" s="440" t="n">
        <x:f>IF(ISNUMBER(H563),H563,"")</x:f>
        <x:v>575569.2286417925</x:v>
      </x:c>
      <x:c r="C564" s="442" t="n">
        <x:f>IF(ISNUMBER(B564),IF(AND(164&gt;$B$173,$B$78="Refinance",ISNUMBER($B$80),$B$80&gt;=0,$B$80&lt;=1,ROUND($B$81*12,0)&gt;=1,$B$81&lt;=100,SUM($B$82)&gt;=0,SUM($B$82)&lt;=1,SUM($B$83)&gt;=0),$B$80,IF(AND($B$175&gt;0,164&gt;$B$175,ISNUMBER($B$75)),$B$75,$B$61)),"")</x:f>
        <x:v>0.0625</x:v>
      </x:c>
      <x:c r="D564" s="440" t="n">
        <x:f>IF(AND(ISNUMBER(B564),B564=0),0,IF(AND($B$171=1,I563=0,ISNUMBER(C564),ISNUMBER(IF(AND(164&lt;=$B$174,164&lt;=$B$173),B564*C564/12,IF(AND(164=$B$173+1,AND(164&gt;$B$173,$B$78="Refinance",ISNUMBER($B$80),$B$80&gt;=0,$B$80&lt;=1,ROUND($B$81*12,0)&gt;=1,$B$81&lt;=100,SUM($B$82)&gt;=0,SUM($B$82)&lt;=1,SUM($B$83)&gt;=0)),IF(B564=0,0,IF(C564=0,B564/ROUND($B$81*12,0),B564*(C564/12)/(1-(1+C564/12)^(-ROUND($B$81*12,0))))),IF(AND(NOT(AND(164&gt;$B$173,$B$78="Refinance",ISNUMBER($B$80),$B$80&gt;=0,$B$80&lt;=1,ROUND($B$81*12,0)&gt;=1,$B$81&lt;=100,SUM($B$82)&gt;=0,SUM($B$82)&lt;=1,SUM($B$83)&gt;=0)),OR(164=1,164=$B$174+1,AND($B$175&gt;0,164=$B$175+1))),IF(AND($B$170=1,$B$66&gt;0,OR($B$175=0,164&lt;=$B$175)),$B$66,IF($B$172-MAX(164-1,$B$174)&gt;0,IF(B564=0,0,IF(C564=0,B564/($B$172-MAX(164-1,$B$174)),B564*(C564/12)/(1-(1+C564/12)^(-($B$172-MAX(164-1,$B$174)))))),"")),D563))))),IF(IF(AND(164&lt;=$B$174,164&lt;=$B$173),B564*C564/12,IF(AND(164=$B$173+1,AND(164&gt;$B$173,$B$78="Refinance",ISNUMBER($B$80),$B$80&gt;=0,$B$80&lt;=1,ROUND($B$81*12,0)&gt;=1,$B$81&lt;=100,SUM($B$82)&gt;=0,SUM($B$82)&lt;=1,SUM($B$83)&gt;=0)),IF(B564=0,0,IF(C564=0,B564/ROUND($B$81*12,0),B564*(C564/12)/(1-(1+C564/12)^(-ROUND($B$81*12,0))))),IF(AND(NOT(AND(164&gt;$B$173,$B$78="Refinance",ISNUMBER($B$80),$B$80&gt;=0,$B$80&lt;=1,ROUND($B$81*12,0)&gt;=1,$B$81&lt;=100,SUM($B$82)&gt;=0,SUM($B$82)&lt;=1,SUM($B$83)&gt;=0)),OR(164=1,164=$B$174+1,AND($B$175&gt;0,164=$B$175+1))),IF(AND($B$170=1,$B$66&gt;0,OR($B$175=0,164&lt;=$B$175)),$B$66,IF($B$172-MAX(164-1,$B$174)&gt;0,IF(B564=0,0,IF(C564=0,B564/($B$172-MAX(164-1,$B$174)),B564*(C564/12)/(1-(1+C564/12)^(-($B$172-MAX(164-1,$B$174)))))),"")),D563)))+0.0000001&gt;=B564*C564/12,MIN(B564*(1+C564/12),IF(AND(164&lt;=$B$174,164&lt;=$B$173),B564*C564/12,IF(AND(164=$B$173+1,AND(164&gt;$B$173,$B$78="Refinance",ISNUMBER($B$80),$B$80&gt;=0,$B$80&lt;=1,ROUND($B$81*12,0)&gt;=1,$B$81&lt;=100,SUM($B$82)&gt;=0,SUM($B$82)&lt;=1,SUM($B$83)&gt;=0)),IF(B564=0,0,IF(C564=0,B564/ROUND($B$81*12,0),B564*(C564/12)/(1-(1+C564/12)^(-ROUND($B$81*12,0))))),IF(AND(NOT(AND(164&gt;$B$173,$B$78="Refinance",ISNUMBER($B$80),$B$80&gt;=0,$B$80&lt;=1,ROUND($B$81*12,0)&gt;=1,$B$81&lt;=100,SUM($B$82)&gt;=0,SUM($B$82)&lt;=1,SUM($B$83)&gt;=0)),OR(164=1,164=$B$174+1,AND($B$175&gt;0,164=$B$175+1))),IF(AND($B$170=1,$B$66&gt;0,OR($B$175=0,164&lt;=$B$175)),$B$66,IF($B$172-MAX(164-1,$B$174)&gt;0,IF(B564=0,0,IF(C564=0,B564/($B$172-MAX(164-1,$B$174)),B564*(C564/12)/(1-(1+C564/12)^(-($B$172-MAX(164-1,$B$174)))))),"")),D563)))),""),""))</x:f>
        <x:v>4679.450723240598</x:v>
      </x:c>
      <x:c r="E564" s="440" t="n">
        <x:f>IF(AND(164=$B$173,ISNUMBER(D564)),IF(MAX(0,B564*(1+C564/12)-D564)&lt;MAX(0.0000001,$E$17*0.00000000001),0,MAX(0,B564*(1+C564/12)-D564)),0)</x:f>
        <x:v>0</x:v>
      </x:c>
      <x:c r="F564" s="440" t="n">
        <x:f>IF($B$78="Cash payoff",E564,0)</x:f>
        <x:v>0</x:v>
      </x:c>
      <x:c r="G564" s="440" t="n">
        <x:f>IF(AND(E564&gt;0,AND($B$78="Refinance",ISNUMBER($B$80),$B$80&gt;=0,$B$80&lt;=1,ROUND($B$81*12,0)&gt;=1,$B$81&lt;=100,SUM($B$82)&gt;=0,SUM($B$82)&lt;=1,SUM($B$83)&gt;=0)),E564*SUM($B$82)+SUM($B$83),0)</x:f>
        <x:v>0</x:v>
      </x:c>
      <x:c r="H564" s="440" t="n">
        <x:f>IF(ISNUMBER(D564),IF(MAX(0,B564*(1+C564/12)-D564-F564)&lt;MAX(0.0000001,$E$17*0.00000000001),0,MAX(0,B564*(1+C564/12)-D564-F564)),IF(AND($B$171=1,I563=1),B564,""))</x:f>
        <x:v>573887.5343177279</x:v>
      </x:c>
      <x:c r="I564" s="444" t="n">
        <x:f>IF(OR(I563=1,AND(E564&gt;0,$B$78&lt;&gt;"Cash payoff",NOT(AND($B$78="Refinance",ISNUMBER($B$80),$B$80&gt;=0,$B$80&lt;=1,ROUND($B$81*12,0)&gt;=1,$B$81&lt;=100,SUM($B$82)&gt;=0,SUM($B$82)&lt;=1,SUM($B$83)&gt;=0))),AND(ISNUMBER(B564),B564&gt;0,$B$171=1,NOT(ISNUMBER(D564)))),1,0)</x:f>
        <x:v>0</x:v>
      </x:c>
      <x:c r="J564" s="440" t="n">
        <x:f>IF(ISNUMBER(L563),L563,"")</x:f>
        <x:v>0</x:v>
      </x:c>
      <x:c r="K564" s="440" t="n">
        <x:f>IF(AND(ISNUMBER(J564),J564=0),0,IF(AND($B$176=1,ISNUMBER(J564)),MIN(J564*(1+$B$87/12),IF($B$86=0,0,IF($B$87=0,$B$86/ROUND($B$88*12,0),$B$86*($B$87/12)/(1-(1+$B$87/12)^(-ROUND($B$88*12,0)))))),""))</x:f>
        <x:v>0</x:v>
      </x:c>
      <x:c r="L564" s="440" t="n">
        <x:f>IF(ISNUMBER(K564),IF(MAX(0,J564*(1+SUM($B$87)/12)-K564)&lt;MAX(0.0000001,$B$86*0.00000000001),0,MAX(0,J564*(1+SUM($B$87)/12)-K564)),"")</x:f>
        <x:v>0</x:v>
      </x:c>
      <x:c r="M564" s="440" t="n">
        <x:f>IF(AND(ISNUMBER(D564),ISNUMBER(K564)),D564+K564,"")</x:f>
        <x:v>4679.450723240598</x:v>
      </x:c>
      <x:c r="N564" s="440" t="n">
        <x:f>IF(AND(ISNUMBER(H564),ISNUMBER(L564)),H564+L564,"")</x:f>
        <x:v>573887.5343177279</x:v>
      </x:c>
    </x:row>
    <x:row r="565" ht="22" customHeight="1">
      <x:c r="A565" s="254" t="n">
        <x:f>165</x:f>
        <x:v>165</x:v>
      </x:c>
      <x:c r="B565" s="440" t="n">
        <x:f>IF(ISNUMBER(H564),H564,"")</x:f>
        <x:v>573887.5343177279</x:v>
      </x:c>
      <x:c r="C565" s="442" t="n">
        <x:f>IF(ISNUMBER(B565),IF(AND(165&gt;$B$173,$B$78="Refinance",ISNUMBER($B$80),$B$80&gt;=0,$B$80&lt;=1,ROUND($B$81*12,0)&gt;=1,$B$81&lt;=100,SUM($B$82)&gt;=0,SUM($B$82)&lt;=1,SUM($B$83)&gt;=0),$B$80,IF(AND($B$175&gt;0,165&gt;$B$175,ISNUMBER($B$75)),$B$75,$B$61)),"")</x:f>
        <x:v>0.0625</x:v>
      </x:c>
      <x:c r="D565" s="440" t="n">
        <x:f>IF(AND(ISNUMBER(B565),B565=0),0,IF(AND($B$171=1,I564=0,ISNUMBER(C565),ISNUMBER(IF(AND(165&lt;=$B$174,165&lt;=$B$173),B565*C565/12,IF(AND(165=$B$173+1,AND(165&gt;$B$173,$B$78="Refinance",ISNUMBER($B$80),$B$80&gt;=0,$B$80&lt;=1,ROUND($B$81*12,0)&gt;=1,$B$81&lt;=100,SUM($B$82)&gt;=0,SUM($B$82)&lt;=1,SUM($B$83)&gt;=0)),IF(B565=0,0,IF(C565=0,B565/ROUND($B$81*12,0),B565*(C565/12)/(1-(1+C565/12)^(-ROUND($B$81*12,0))))),IF(AND(NOT(AND(165&gt;$B$173,$B$78="Refinance",ISNUMBER($B$80),$B$80&gt;=0,$B$80&lt;=1,ROUND($B$81*12,0)&gt;=1,$B$81&lt;=100,SUM($B$82)&gt;=0,SUM($B$82)&lt;=1,SUM($B$83)&gt;=0)),OR(165=1,165=$B$174+1,AND($B$175&gt;0,165=$B$175+1))),IF(AND($B$170=1,$B$66&gt;0,OR($B$175=0,165&lt;=$B$175)),$B$66,IF($B$172-MAX(165-1,$B$174)&gt;0,IF(B565=0,0,IF(C565=0,B565/($B$172-MAX(165-1,$B$174)),B565*(C565/12)/(1-(1+C565/12)^(-($B$172-MAX(165-1,$B$174)))))),"")),D564))))),IF(IF(AND(165&lt;=$B$174,165&lt;=$B$173),B565*C565/12,IF(AND(165=$B$173+1,AND(165&gt;$B$173,$B$78="Refinance",ISNUMBER($B$80),$B$80&gt;=0,$B$80&lt;=1,ROUND($B$81*12,0)&gt;=1,$B$81&lt;=100,SUM($B$82)&gt;=0,SUM($B$82)&lt;=1,SUM($B$83)&gt;=0)),IF(B565=0,0,IF(C565=0,B565/ROUND($B$81*12,0),B565*(C565/12)/(1-(1+C565/12)^(-ROUND($B$81*12,0))))),IF(AND(NOT(AND(165&gt;$B$173,$B$78="Refinance",ISNUMBER($B$80),$B$80&gt;=0,$B$80&lt;=1,ROUND($B$81*12,0)&gt;=1,$B$81&lt;=100,SUM($B$82)&gt;=0,SUM($B$82)&lt;=1,SUM($B$83)&gt;=0)),OR(165=1,165=$B$174+1,AND($B$175&gt;0,165=$B$175+1))),IF(AND($B$170=1,$B$66&gt;0,OR($B$175=0,165&lt;=$B$175)),$B$66,IF($B$172-MAX(165-1,$B$174)&gt;0,IF(B565=0,0,IF(C565=0,B565/($B$172-MAX(165-1,$B$174)),B565*(C565/12)/(1-(1+C565/12)^(-($B$172-MAX(165-1,$B$174)))))),"")),D564)))+0.0000001&gt;=B565*C565/12,MIN(B565*(1+C565/12),IF(AND(165&lt;=$B$174,165&lt;=$B$173),B565*C565/12,IF(AND(165=$B$173+1,AND(165&gt;$B$173,$B$78="Refinance",ISNUMBER($B$80),$B$80&gt;=0,$B$80&lt;=1,ROUND($B$81*12,0)&gt;=1,$B$81&lt;=100,SUM($B$82)&gt;=0,SUM($B$82)&lt;=1,SUM($B$83)&gt;=0)),IF(B565=0,0,IF(C565=0,B565/ROUND($B$81*12,0),B565*(C565/12)/(1-(1+C565/12)^(-ROUND($B$81*12,0))))),IF(AND(NOT(AND(165&gt;$B$173,$B$78="Refinance",ISNUMBER($B$80),$B$80&gt;=0,$B$80&lt;=1,ROUND($B$81*12,0)&gt;=1,$B$81&lt;=100,SUM($B$82)&gt;=0,SUM($B$82)&lt;=1,SUM($B$83)&gt;=0)),OR(165=1,165=$B$174+1,AND($B$175&gt;0,165=$B$175+1))),IF(AND($B$170=1,$B$66&gt;0,OR($B$175=0,165&lt;=$B$175)),$B$66,IF($B$172-MAX(165-1,$B$174)&gt;0,IF(B565=0,0,IF(C565=0,B565/($B$172-MAX(165-1,$B$174)),B565*(C565/12)/(1-(1+C565/12)^(-($B$172-MAX(165-1,$B$174)))))),"")),D564)))),""),""))</x:f>
        <x:v>4679.450723240598</x:v>
      </x:c>
      <x:c r="E565" s="440" t="n">
        <x:f>IF(AND(165=$B$173,ISNUMBER(D565)),IF(MAX(0,B565*(1+C565/12)-D565)&lt;MAX(0.0000001,$E$17*0.00000000001),0,MAX(0,B565*(1+C565/12)-D565)),0)</x:f>
        <x:v>0</x:v>
      </x:c>
      <x:c r="F565" s="440" t="n">
        <x:f>IF($B$78="Cash payoff",E565,0)</x:f>
        <x:v>0</x:v>
      </x:c>
      <x:c r="G565" s="440" t="n">
        <x:f>IF(AND(E565&gt;0,AND($B$78="Refinance",ISNUMBER($B$80),$B$80&gt;=0,$B$80&lt;=1,ROUND($B$81*12,0)&gt;=1,$B$81&lt;=100,SUM($B$82)&gt;=0,SUM($B$82)&lt;=1,SUM($B$83)&gt;=0)),E565*SUM($B$82)+SUM($B$83),0)</x:f>
        <x:v>0</x:v>
      </x:c>
      <x:c r="H565" s="440" t="n">
        <x:f>IF(ISNUMBER(D565),IF(MAX(0,B565*(1+C565/12)-D565-F565)&lt;MAX(0.0000001,$E$17*0.00000000001),0,MAX(0,B565*(1+C565/12)-D565-F565)),IF(AND($B$171=1,I564=1),B565,""))</x:f>
        <x:v>572197.0811690587</x:v>
      </x:c>
      <x:c r="I565" s="444" t="n">
        <x:f>IF(OR(I564=1,AND(E565&gt;0,$B$78&lt;&gt;"Cash payoff",NOT(AND($B$78="Refinance",ISNUMBER($B$80),$B$80&gt;=0,$B$80&lt;=1,ROUND($B$81*12,0)&gt;=1,$B$81&lt;=100,SUM($B$82)&gt;=0,SUM($B$82)&lt;=1,SUM($B$83)&gt;=0))),AND(ISNUMBER(B565),B565&gt;0,$B$171=1,NOT(ISNUMBER(D565)))),1,0)</x:f>
        <x:v>0</x:v>
      </x:c>
      <x:c r="J565" s="440" t="n">
        <x:f>IF(ISNUMBER(L564),L564,"")</x:f>
        <x:v>0</x:v>
      </x:c>
      <x:c r="K565" s="440" t="n">
        <x:f>IF(AND(ISNUMBER(J565),J565=0),0,IF(AND($B$176=1,ISNUMBER(J565)),MIN(J565*(1+$B$87/12),IF($B$86=0,0,IF($B$87=0,$B$86/ROUND($B$88*12,0),$B$86*($B$87/12)/(1-(1+$B$87/12)^(-ROUND($B$88*12,0)))))),""))</x:f>
        <x:v>0</x:v>
      </x:c>
      <x:c r="L565" s="440" t="n">
        <x:f>IF(ISNUMBER(K565),IF(MAX(0,J565*(1+SUM($B$87)/12)-K565)&lt;MAX(0.0000001,$B$86*0.00000000001),0,MAX(0,J565*(1+SUM($B$87)/12)-K565)),"")</x:f>
        <x:v>0</x:v>
      </x:c>
      <x:c r="M565" s="440" t="n">
        <x:f>IF(AND(ISNUMBER(D565),ISNUMBER(K565)),D565+K565,"")</x:f>
        <x:v>4679.450723240598</x:v>
      </x:c>
      <x:c r="N565" s="440" t="n">
        <x:f>IF(AND(ISNUMBER(H565),ISNUMBER(L565)),H565+L565,"")</x:f>
        <x:v>572197.0811690587</x:v>
      </x:c>
    </x:row>
    <x:row r="566" ht="22" customHeight="1">
      <x:c r="A566" s="254" t="n">
        <x:f>166</x:f>
        <x:v>166</x:v>
      </x:c>
      <x:c r="B566" s="440" t="n">
        <x:f>IF(ISNUMBER(H565),H565,"")</x:f>
        <x:v>572197.0811690587</x:v>
      </x:c>
      <x:c r="C566" s="442" t="n">
        <x:f>IF(ISNUMBER(B566),IF(AND(166&gt;$B$173,$B$78="Refinance",ISNUMBER($B$80),$B$80&gt;=0,$B$80&lt;=1,ROUND($B$81*12,0)&gt;=1,$B$81&lt;=100,SUM($B$82)&gt;=0,SUM($B$82)&lt;=1,SUM($B$83)&gt;=0),$B$80,IF(AND($B$175&gt;0,166&gt;$B$175,ISNUMBER($B$75)),$B$75,$B$61)),"")</x:f>
        <x:v>0.0625</x:v>
      </x:c>
      <x:c r="D566" s="440" t="n">
        <x:f>IF(AND(ISNUMBER(B566),B566=0),0,IF(AND($B$171=1,I565=0,ISNUMBER(C566),ISNUMBER(IF(AND(166&lt;=$B$174,166&lt;=$B$173),B566*C566/12,IF(AND(166=$B$173+1,AND(166&gt;$B$173,$B$78="Refinance",ISNUMBER($B$80),$B$80&gt;=0,$B$80&lt;=1,ROUND($B$81*12,0)&gt;=1,$B$81&lt;=100,SUM($B$82)&gt;=0,SUM($B$82)&lt;=1,SUM($B$83)&gt;=0)),IF(B566=0,0,IF(C566=0,B566/ROUND($B$81*12,0),B566*(C566/12)/(1-(1+C566/12)^(-ROUND($B$81*12,0))))),IF(AND(NOT(AND(166&gt;$B$173,$B$78="Refinance",ISNUMBER($B$80),$B$80&gt;=0,$B$80&lt;=1,ROUND($B$81*12,0)&gt;=1,$B$81&lt;=100,SUM($B$82)&gt;=0,SUM($B$82)&lt;=1,SUM($B$83)&gt;=0)),OR(166=1,166=$B$174+1,AND($B$175&gt;0,166=$B$175+1))),IF(AND($B$170=1,$B$66&gt;0,OR($B$175=0,166&lt;=$B$175)),$B$66,IF($B$172-MAX(166-1,$B$174)&gt;0,IF(B566=0,0,IF(C566=0,B566/($B$172-MAX(166-1,$B$174)),B566*(C566/12)/(1-(1+C566/12)^(-($B$172-MAX(166-1,$B$174)))))),"")),D565))))),IF(IF(AND(166&lt;=$B$174,166&lt;=$B$173),B566*C566/12,IF(AND(166=$B$173+1,AND(166&gt;$B$173,$B$78="Refinance",ISNUMBER($B$80),$B$80&gt;=0,$B$80&lt;=1,ROUND($B$81*12,0)&gt;=1,$B$81&lt;=100,SUM($B$82)&gt;=0,SUM($B$82)&lt;=1,SUM($B$83)&gt;=0)),IF(B566=0,0,IF(C566=0,B566/ROUND($B$81*12,0),B566*(C566/12)/(1-(1+C566/12)^(-ROUND($B$81*12,0))))),IF(AND(NOT(AND(166&gt;$B$173,$B$78="Refinance",ISNUMBER($B$80),$B$80&gt;=0,$B$80&lt;=1,ROUND($B$81*12,0)&gt;=1,$B$81&lt;=100,SUM($B$82)&gt;=0,SUM($B$82)&lt;=1,SUM($B$83)&gt;=0)),OR(166=1,166=$B$174+1,AND($B$175&gt;0,166=$B$175+1))),IF(AND($B$170=1,$B$66&gt;0,OR($B$175=0,166&lt;=$B$175)),$B$66,IF($B$172-MAX(166-1,$B$174)&gt;0,IF(B566=0,0,IF(C566=0,B566/($B$172-MAX(166-1,$B$174)),B566*(C566/12)/(1-(1+C566/12)^(-($B$172-MAX(166-1,$B$174)))))),"")),D565)))+0.0000001&gt;=B566*C566/12,MIN(B566*(1+C566/12),IF(AND(166&lt;=$B$174,166&lt;=$B$173),B566*C566/12,IF(AND(166=$B$173+1,AND(166&gt;$B$173,$B$78="Refinance",ISNUMBER($B$80),$B$80&gt;=0,$B$80&lt;=1,ROUND($B$81*12,0)&gt;=1,$B$81&lt;=100,SUM($B$82)&gt;=0,SUM($B$82)&lt;=1,SUM($B$83)&gt;=0)),IF(B566=0,0,IF(C566=0,B566/ROUND($B$81*12,0),B566*(C566/12)/(1-(1+C566/12)^(-ROUND($B$81*12,0))))),IF(AND(NOT(AND(166&gt;$B$173,$B$78="Refinance",ISNUMBER($B$80),$B$80&gt;=0,$B$80&lt;=1,ROUND($B$81*12,0)&gt;=1,$B$81&lt;=100,SUM($B$82)&gt;=0,SUM($B$82)&lt;=1,SUM($B$83)&gt;=0)),OR(166=1,166=$B$174+1,AND($B$175&gt;0,166=$B$175+1))),IF(AND($B$170=1,$B$66&gt;0,OR($B$175=0,166&lt;=$B$175)),$B$66,IF($B$172-MAX(166-1,$B$174)&gt;0,IF(B566=0,0,IF(C566=0,B566/($B$172-MAX(166-1,$B$174)),B566*(C566/12)/(1-(1+C566/12)^(-($B$172-MAX(166-1,$B$174)))))),"")),D565)))),""),""))</x:f>
        <x:v>4679.450723240598</x:v>
      </x:c>
      <x:c r="E566" s="440" t="n">
        <x:f>IF(AND(166=$B$173,ISNUMBER(D566)),IF(MAX(0,B566*(1+C566/12)-D566)&lt;MAX(0.0000001,$E$17*0.00000000001),0,MAX(0,B566*(1+C566/12)-D566)),0)</x:f>
        <x:v>0</x:v>
      </x:c>
      <x:c r="F566" s="440" t="n">
        <x:f>IF($B$78="Cash payoff",E566,0)</x:f>
        <x:v>0</x:v>
      </x:c>
      <x:c r="G566" s="440" t="n">
        <x:f>IF(AND(E566&gt;0,AND($B$78="Refinance",ISNUMBER($B$80),$B$80&gt;=0,$B$80&lt;=1,ROUND($B$81*12,0)&gt;=1,$B$81&lt;=100,SUM($B$82)&gt;=0,SUM($B$82)&lt;=1,SUM($B$83)&gt;=0)),E566*SUM($B$82)+SUM($B$83),0)</x:f>
        <x:v>0</x:v>
      </x:c>
      <x:c r="H566" s="440" t="n">
        <x:f>IF(ISNUMBER(D566),IF(MAX(0,B566*(1+C566/12)-D566-F566)&lt;MAX(0.0000001,$E$17*0.00000000001),0,MAX(0,B566*(1+C566/12)-D566-F566)),IF(AND($B$171=1,I565=1),B566,""))</x:f>
        <x:v>570497.8235769069</x:v>
      </x:c>
      <x:c r="I566" s="444" t="n">
        <x:f>IF(OR(I565=1,AND(E566&gt;0,$B$78&lt;&gt;"Cash payoff",NOT(AND($B$78="Refinance",ISNUMBER($B$80),$B$80&gt;=0,$B$80&lt;=1,ROUND($B$81*12,0)&gt;=1,$B$81&lt;=100,SUM($B$82)&gt;=0,SUM($B$82)&lt;=1,SUM($B$83)&gt;=0))),AND(ISNUMBER(B566),B566&gt;0,$B$171=1,NOT(ISNUMBER(D566)))),1,0)</x:f>
        <x:v>0</x:v>
      </x:c>
      <x:c r="J566" s="440" t="n">
        <x:f>IF(ISNUMBER(L565),L565,"")</x:f>
        <x:v>0</x:v>
      </x:c>
      <x:c r="K566" s="440" t="n">
        <x:f>IF(AND(ISNUMBER(J566),J566=0),0,IF(AND($B$176=1,ISNUMBER(J566)),MIN(J566*(1+$B$87/12),IF($B$86=0,0,IF($B$87=0,$B$86/ROUND($B$88*12,0),$B$86*($B$87/12)/(1-(1+$B$87/12)^(-ROUND($B$88*12,0)))))),""))</x:f>
        <x:v>0</x:v>
      </x:c>
      <x:c r="L566" s="440" t="n">
        <x:f>IF(ISNUMBER(K566),IF(MAX(0,J566*(1+SUM($B$87)/12)-K566)&lt;MAX(0.0000001,$B$86*0.00000000001),0,MAX(0,J566*(1+SUM($B$87)/12)-K566)),"")</x:f>
        <x:v>0</x:v>
      </x:c>
      <x:c r="M566" s="440" t="n">
        <x:f>IF(AND(ISNUMBER(D566),ISNUMBER(K566)),D566+K566,"")</x:f>
        <x:v>4679.450723240598</x:v>
      </x:c>
      <x:c r="N566" s="440" t="n">
        <x:f>IF(AND(ISNUMBER(H566),ISNUMBER(L566)),H566+L566,"")</x:f>
        <x:v>570497.8235769069</x:v>
      </x:c>
    </x:row>
    <x:row r="567" ht="22" customHeight="1">
      <x:c r="A567" s="254" t="n">
        <x:f>167</x:f>
        <x:v>167</x:v>
      </x:c>
      <x:c r="B567" s="440" t="n">
        <x:f>IF(ISNUMBER(H566),H566,"")</x:f>
        <x:v>570497.8235769069</x:v>
      </x:c>
      <x:c r="C567" s="442" t="n">
        <x:f>IF(ISNUMBER(B567),IF(AND(167&gt;$B$173,$B$78="Refinance",ISNUMBER($B$80),$B$80&gt;=0,$B$80&lt;=1,ROUND($B$81*12,0)&gt;=1,$B$81&lt;=100,SUM($B$82)&gt;=0,SUM($B$82)&lt;=1,SUM($B$83)&gt;=0),$B$80,IF(AND($B$175&gt;0,167&gt;$B$175,ISNUMBER($B$75)),$B$75,$B$61)),"")</x:f>
        <x:v>0.0625</x:v>
      </x:c>
      <x:c r="D567" s="440" t="n">
        <x:f>IF(AND(ISNUMBER(B567),B567=0),0,IF(AND($B$171=1,I566=0,ISNUMBER(C567),ISNUMBER(IF(AND(167&lt;=$B$174,167&lt;=$B$173),B567*C567/12,IF(AND(167=$B$173+1,AND(167&gt;$B$173,$B$78="Refinance",ISNUMBER($B$80),$B$80&gt;=0,$B$80&lt;=1,ROUND($B$81*12,0)&gt;=1,$B$81&lt;=100,SUM($B$82)&gt;=0,SUM($B$82)&lt;=1,SUM($B$83)&gt;=0)),IF(B567=0,0,IF(C567=0,B567/ROUND($B$81*12,0),B567*(C567/12)/(1-(1+C567/12)^(-ROUND($B$81*12,0))))),IF(AND(NOT(AND(167&gt;$B$173,$B$78="Refinance",ISNUMBER($B$80),$B$80&gt;=0,$B$80&lt;=1,ROUND($B$81*12,0)&gt;=1,$B$81&lt;=100,SUM($B$82)&gt;=0,SUM($B$82)&lt;=1,SUM($B$83)&gt;=0)),OR(167=1,167=$B$174+1,AND($B$175&gt;0,167=$B$175+1))),IF(AND($B$170=1,$B$66&gt;0,OR($B$175=0,167&lt;=$B$175)),$B$66,IF($B$172-MAX(167-1,$B$174)&gt;0,IF(B567=0,0,IF(C567=0,B567/($B$172-MAX(167-1,$B$174)),B567*(C567/12)/(1-(1+C567/12)^(-($B$172-MAX(167-1,$B$174)))))),"")),D566))))),IF(IF(AND(167&lt;=$B$174,167&lt;=$B$173),B567*C567/12,IF(AND(167=$B$173+1,AND(167&gt;$B$173,$B$78="Refinance",ISNUMBER($B$80),$B$80&gt;=0,$B$80&lt;=1,ROUND($B$81*12,0)&gt;=1,$B$81&lt;=100,SUM($B$82)&gt;=0,SUM($B$82)&lt;=1,SUM($B$83)&gt;=0)),IF(B567=0,0,IF(C567=0,B567/ROUND($B$81*12,0),B567*(C567/12)/(1-(1+C567/12)^(-ROUND($B$81*12,0))))),IF(AND(NOT(AND(167&gt;$B$173,$B$78="Refinance",ISNUMBER($B$80),$B$80&gt;=0,$B$80&lt;=1,ROUND($B$81*12,0)&gt;=1,$B$81&lt;=100,SUM($B$82)&gt;=0,SUM($B$82)&lt;=1,SUM($B$83)&gt;=0)),OR(167=1,167=$B$174+1,AND($B$175&gt;0,167=$B$175+1))),IF(AND($B$170=1,$B$66&gt;0,OR($B$175=0,167&lt;=$B$175)),$B$66,IF($B$172-MAX(167-1,$B$174)&gt;0,IF(B567=0,0,IF(C567=0,B567/($B$172-MAX(167-1,$B$174)),B567*(C567/12)/(1-(1+C567/12)^(-($B$172-MAX(167-1,$B$174)))))),"")),D566)))+0.0000001&gt;=B567*C567/12,MIN(B567*(1+C567/12),IF(AND(167&lt;=$B$174,167&lt;=$B$173),B567*C567/12,IF(AND(167=$B$173+1,AND(167&gt;$B$173,$B$78="Refinance",ISNUMBER($B$80),$B$80&gt;=0,$B$80&lt;=1,ROUND($B$81*12,0)&gt;=1,$B$81&lt;=100,SUM($B$82)&gt;=0,SUM($B$82)&lt;=1,SUM($B$83)&gt;=0)),IF(B567=0,0,IF(C567=0,B567/ROUND($B$81*12,0),B567*(C567/12)/(1-(1+C567/12)^(-ROUND($B$81*12,0))))),IF(AND(NOT(AND(167&gt;$B$173,$B$78="Refinance",ISNUMBER($B$80),$B$80&gt;=0,$B$80&lt;=1,ROUND($B$81*12,0)&gt;=1,$B$81&lt;=100,SUM($B$82)&gt;=0,SUM($B$82)&lt;=1,SUM($B$83)&gt;=0)),OR(167=1,167=$B$174+1,AND($B$175&gt;0,167=$B$175+1))),IF(AND($B$170=1,$B$66&gt;0,OR($B$175=0,167&lt;=$B$175)),$B$66,IF($B$172-MAX(167-1,$B$174)&gt;0,IF(B567=0,0,IF(C567=0,B567/($B$172-MAX(167-1,$B$174)),B567*(C567/12)/(1-(1+C567/12)^(-($B$172-MAX(167-1,$B$174)))))),"")),D566)))),""),""))</x:f>
        <x:v>4679.450723240598</x:v>
      </x:c>
      <x:c r="E567" s="440" t="n">
        <x:f>IF(AND(167=$B$173,ISNUMBER(D567)),IF(MAX(0,B567*(1+C567/12)-D567)&lt;MAX(0.0000001,$E$17*0.00000000001),0,MAX(0,B567*(1+C567/12)-D567)),0)</x:f>
        <x:v>0</x:v>
      </x:c>
      <x:c r="F567" s="440" t="n">
        <x:f>IF($B$78="Cash payoff",E567,0)</x:f>
        <x:v>0</x:v>
      </x:c>
      <x:c r="G567" s="440" t="n">
        <x:f>IF(AND(E567&gt;0,AND($B$78="Refinance",ISNUMBER($B$80),$B$80&gt;=0,$B$80&lt;=1,ROUND($B$81*12,0)&gt;=1,$B$81&lt;=100,SUM($B$82)&gt;=0,SUM($B$82)&lt;=1,SUM($B$83)&gt;=0)),E567*SUM($B$82)+SUM($B$83),0)</x:f>
        <x:v>0</x:v>
      </x:c>
      <x:c r="H567" s="440" t="n">
        <x:f>IF(ISNUMBER(D567),IF(MAX(0,B567*(1+C567/12)-D567-F567)&lt;MAX(0.0000001,$E$17*0.00000000001),0,MAX(0,B567*(1+C567/12)-D567-F567)),IF(AND($B$171=1,I566=1),B567,""))</x:f>
        <x:v>568789.715684796</x:v>
      </x:c>
      <x:c r="I567" s="444" t="n">
        <x:f>IF(OR(I566=1,AND(E567&gt;0,$B$78&lt;&gt;"Cash payoff",NOT(AND($B$78="Refinance",ISNUMBER($B$80),$B$80&gt;=0,$B$80&lt;=1,ROUND($B$81*12,0)&gt;=1,$B$81&lt;=100,SUM($B$82)&gt;=0,SUM($B$82)&lt;=1,SUM($B$83)&gt;=0))),AND(ISNUMBER(B567),B567&gt;0,$B$171=1,NOT(ISNUMBER(D567)))),1,0)</x:f>
        <x:v>0</x:v>
      </x:c>
      <x:c r="J567" s="440" t="n">
        <x:f>IF(ISNUMBER(L566),L566,"")</x:f>
        <x:v>0</x:v>
      </x:c>
      <x:c r="K567" s="440" t="n">
        <x:f>IF(AND(ISNUMBER(J567),J567=0),0,IF(AND($B$176=1,ISNUMBER(J567)),MIN(J567*(1+$B$87/12),IF($B$86=0,0,IF($B$87=0,$B$86/ROUND($B$88*12,0),$B$86*($B$87/12)/(1-(1+$B$87/12)^(-ROUND($B$88*12,0)))))),""))</x:f>
        <x:v>0</x:v>
      </x:c>
      <x:c r="L567" s="440" t="n">
        <x:f>IF(ISNUMBER(K567),IF(MAX(0,J567*(1+SUM($B$87)/12)-K567)&lt;MAX(0.0000001,$B$86*0.00000000001),0,MAX(0,J567*(1+SUM($B$87)/12)-K567)),"")</x:f>
        <x:v>0</x:v>
      </x:c>
      <x:c r="M567" s="440" t="n">
        <x:f>IF(AND(ISNUMBER(D567),ISNUMBER(K567)),D567+K567,"")</x:f>
        <x:v>4679.450723240598</x:v>
      </x:c>
      <x:c r="N567" s="440" t="n">
        <x:f>IF(AND(ISNUMBER(H567),ISNUMBER(L567)),H567+L567,"")</x:f>
        <x:v>568789.715684796</x:v>
      </x:c>
    </x:row>
    <x:row r="568" ht="22" customHeight="1">
      <x:c r="A568" s="254" t="n">
        <x:f>168</x:f>
        <x:v>168</x:v>
      </x:c>
      <x:c r="B568" s="440" t="n">
        <x:f>IF(ISNUMBER(H567),H567,"")</x:f>
        <x:v>568789.715684796</x:v>
      </x:c>
      <x:c r="C568" s="442" t="n">
        <x:f>IF(ISNUMBER(B568),IF(AND(168&gt;$B$173,$B$78="Refinance",ISNUMBER($B$80),$B$80&gt;=0,$B$80&lt;=1,ROUND($B$81*12,0)&gt;=1,$B$81&lt;=100,SUM($B$82)&gt;=0,SUM($B$82)&lt;=1,SUM($B$83)&gt;=0),$B$80,IF(AND($B$175&gt;0,168&gt;$B$175,ISNUMBER($B$75)),$B$75,$B$61)),"")</x:f>
        <x:v>0.0625</x:v>
      </x:c>
      <x:c r="D568" s="440" t="n">
        <x:f>IF(AND(ISNUMBER(B568),B568=0),0,IF(AND($B$171=1,I567=0,ISNUMBER(C568),ISNUMBER(IF(AND(168&lt;=$B$174,168&lt;=$B$173),B568*C568/12,IF(AND(168=$B$173+1,AND(168&gt;$B$173,$B$78="Refinance",ISNUMBER($B$80),$B$80&gt;=0,$B$80&lt;=1,ROUND($B$81*12,0)&gt;=1,$B$81&lt;=100,SUM($B$82)&gt;=0,SUM($B$82)&lt;=1,SUM($B$83)&gt;=0)),IF(B568=0,0,IF(C568=0,B568/ROUND($B$81*12,0),B568*(C568/12)/(1-(1+C568/12)^(-ROUND($B$81*12,0))))),IF(AND(NOT(AND(168&gt;$B$173,$B$78="Refinance",ISNUMBER($B$80),$B$80&gt;=0,$B$80&lt;=1,ROUND($B$81*12,0)&gt;=1,$B$81&lt;=100,SUM($B$82)&gt;=0,SUM($B$82)&lt;=1,SUM($B$83)&gt;=0)),OR(168=1,168=$B$174+1,AND($B$175&gt;0,168=$B$175+1))),IF(AND($B$170=1,$B$66&gt;0,OR($B$175=0,168&lt;=$B$175)),$B$66,IF($B$172-MAX(168-1,$B$174)&gt;0,IF(B568=0,0,IF(C568=0,B568/($B$172-MAX(168-1,$B$174)),B568*(C568/12)/(1-(1+C568/12)^(-($B$172-MAX(168-1,$B$174)))))),"")),D567))))),IF(IF(AND(168&lt;=$B$174,168&lt;=$B$173),B568*C568/12,IF(AND(168=$B$173+1,AND(168&gt;$B$173,$B$78="Refinance",ISNUMBER($B$80),$B$80&gt;=0,$B$80&lt;=1,ROUND($B$81*12,0)&gt;=1,$B$81&lt;=100,SUM($B$82)&gt;=0,SUM($B$82)&lt;=1,SUM($B$83)&gt;=0)),IF(B568=0,0,IF(C568=0,B568/ROUND($B$81*12,0),B568*(C568/12)/(1-(1+C568/12)^(-ROUND($B$81*12,0))))),IF(AND(NOT(AND(168&gt;$B$173,$B$78="Refinance",ISNUMBER($B$80),$B$80&gt;=0,$B$80&lt;=1,ROUND($B$81*12,0)&gt;=1,$B$81&lt;=100,SUM($B$82)&gt;=0,SUM($B$82)&lt;=1,SUM($B$83)&gt;=0)),OR(168=1,168=$B$174+1,AND($B$175&gt;0,168=$B$175+1))),IF(AND($B$170=1,$B$66&gt;0,OR($B$175=0,168&lt;=$B$175)),$B$66,IF($B$172-MAX(168-1,$B$174)&gt;0,IF(B568=0,0,IF(C568=0,B568/($B$172-MAX(168-1,$B$174)),B568*(C568/12)/(1-(1+C568/12)^(-($B$172-MAX(168-1,$B$174)))))),"")),D567)))+0.0000001&gt;=B568*C568/12,MIN(B568*(1+C568/12),IF(AND(168&lt;=$B$174,168&lt;=$B$173),B568*C568/12,IF(AND(168=$B$173+1,AND(168&gt;$B$173,$B$78="Refinance",ISNUMBER($B$80),$B$80&gt;=0,$B$80&lt;=1,ROUND($B$81*12,0)&gt;=1,$B$81&lt;=100,SUM($B$82)&gt;=0,SUM($B$82)&lt;=1,SUM($B$83)&gt;=0)),IF(B568=0,0,IF(C568=0,B568/ROUND($B$81*12,0),B568*(C568/12)/(1-(1+C568/12)^(-ROUND($B$81*12,0))))),IF(AND(NOT(AND(168&gt;$B$173,$B$78="Refinance",ISNUMBER($B$80),$B$80&gt;=0,$B$80&lt;=1,ROUND($B$81*12,0)&gt;=1,$B$81&lt;=100,SUM($B$82)&gt;=0,SUM($B$82)&lt;=1,SUM($B$83)&gt;=0)),OR(168=1,168=$B$174+1,AND($B$175&gt;0,168=$B$175+1))),IF(AND($B$170=1,$B$66&gt;0,OR($B$175=0,168&lt;=$B$175)),$B$66,IF($B$172-MAX(168-1,$B$174)&gt;0,IF(B568=0,0,IF(C568=0,B568/($B$172-MAX(168-1,$B$174)),B568*(C568/12)/(1-(1+C568/12)^(-($B$172-MAX(168-1,$B$174)))))),"")),D567)))),""),""))</x:f>
        <x:v>4679.450723240598</x:v>
      </x:c>
      <x:c r="E568" s="440" t="n">
        <x:f>IF(AND(168=$B$173,ISNUMBER(D568)),IF(MAX(0,B568*(1+C568/12)-D568)&lt;MAX(0.0000001,$E$17*0.00000000001),0,MAX(0,B568*(1+C568/12)-D568)),0)</x:f>
        <x:v>0</x:v>
      </x:c>
      <x:c r="F568" s="440" t="n">
        <x:f>IF($B$78="Cash payoff",E568,0)</x:f>
        <x:v>0</x:v>
      </x:c>
      <x:c r="G568" s="440" t="n">
        <x:f>IF(AND(E568&gt;0,AND($B$78="Refinance",ISNUMBER($B$80),$B$80&gt;=0,$B$80&lt;=1,ROUND($B$81*12,0)&gt;=1,$B$81&lt;=100,SUM($B$82)&gt;=0,SUM($B$82)&lt;=1,SUM($B$83)&gt;=0)),E568*SUM($B$82)+SUM($B$83),0)</x:f>
        <x:v>0</x:v>
      </x:c>
      <x:c r="H568" s="440" t="n">
        <x:f>IF(ISNUMBER(D568),IF(MAX(0,B568*(1+C568/12)-D568-F568)&lt;MAX(0.0000001,$E$17*0.00000000001),0,MAX(0,B568*(1+C568/12)-D568-F568)),IF(AND($B$171=1,I567=1),B568,""))</x:f>
        <x:v>567072.7113974136</x:v>
      </x:c>
      <x:c r="I568" s="444" t="n">
        <x:f>IF(OR(I567=1,AND(E568&gt;0,$B$78&lt;&gt;"Cash payoff",NOT(AND($B$78="Refinance",ISNUMBER($B$80),$B$80&gt;=0,$B$80&lt;=1,ROUND($B$81*12,0)&gt;=1,$B$81&lt;=100,SUM($B$82)&gt;=0,SUM($B$82)&lt;=1,SUM($B$83)&gt;=0))),AND(ISNUMBER(B568),B568&gt;0,$B$171=1,NOT(ISNUMBER(D568)))),1,0)</x:f>
        <x:v>0</x:v>
      </x:c>
      <x:c r="J568" s="440" t="n">
        <x:f>IF(ISNUMBER(L567),L567,"")</x:f>
        <x:v>0</x:v>
      </x:c>
      <x:c r="K568" s="440" t="n">
        <x:f>IF(AND(ISNUMBER(J568),J568=0),0,IF(AND($B$176=1,ISNUMBER(J568)),MIN(J568*(1+$B$87/12),IF($B$86=0,0,IF($B$87=0,$B$86/ROUND($B$88*12,0),$B$86*($B$87/12)/(1-(1+$B$87/12)^(-ROUND($B$88*12,0)))))),""))</x:f>
        <x:v>0</x:v>
      </x:c>
      <x:c r="L568" s="440" t="n">
        <x:f>IF(ISNUMBER(K568),IF(MAX(0,J568*(1+SUM($B$87)/12)-K568)&lt;MAX(0.0000001,$B$86*0.00000000001),0,MAX(0,J568*(1+SUM($B$87)/12)-K568)),"")</x:f>
        <x:v>0</x:v>
      </x:c>
      <x:c r="M568" s="440" t="n">
        <x:f>IF(AND(ISNUMBER(D568),ISNUMBER(K568)),D568+K568,"")</x:f>
        <x:v>4679.450723240598</x:v>
      </x:c>
      <x:c r="N568" s="440" t="n">
        <x:f>IF(AND(ISNUMBER(H568),ISNUMBER(L568)),H568+L568,"")</x:f>
        <x:v>567072.7113974136</x:v>
      </x:c>
    </x:row>
    <x:row r="569" ht="22" customHeight="1">
      <x:c r="A569" s="254" t="n">
        <x:f>169</x:f>
        <x:v>169</x:v>
      </x:c>
      <x:c r="B569" s="440" t="n">
        <x:f>IF(ISNUMBER(H568),H568,"")</x:f>
        <x:v>567072.7113974136</x:v>
      </x:c>
      <x:c r="C569" s="442" t="n">
        <x:f>IF(ISNUMBER(B569),IF(AND(169&gt;$B$173,$B$78="Refinance",ISNUMBER($B$80),$B$80&gt;=0,$B$80&lt;=1,ROUND($B$81*12,0)&gt;=1,$B$81&lt;=100,SUM($B$82)&gt;=0,SUM($B$82)&lt;=1,SUM($B$83)&gt;=0),$B$80,IF(AND($B$175&gt;0,169&gt;$B$175,ISNUMBER($B$75)),$B$75,$B$61)),"")</x:f>
        <x:v>0.0625</x:v>
      </x:c>
      <x:c r="D569" s="440" t="n">
        <x:f>IF(AND(ISNUMBER(B569),B569=0),0,IF(AND($B$171=1,I568=0,ISNUMBER(C569),ISNUMBER(IF(AND(169&lt;=$B$174,169&lt;=$B$173),B569*C569/12,IF(AND(169=$B$173+1,AND(169&gt;$B$173,$B$78="Refinance",ISNUMBER($B$80),$B$80&gt;=0,$B$80&lt;=1,ROUND($B$81*12,0)&gt;=1,$B$81&lt;=100,SUM($B$82)&gt;=0,SUM($B$82)&lt;=1,SUM($B$83)&gt;=0)),IF(B569=0,0,IF(C569=0,B569/ROUND($B$81*12,0),B569*(C569/12)/(1-(1+C569/12)^(-ROUND($B$81*12,0))))),IF(AND(NOT(AND(169&gt;$B$173,$B$78="Refinance",ISNUMBER($B$80),$B$80&gt;=0,$B$80&lt;=1,ROUND($B$81*12,0)&gt;=1,$B$81&lt;=100,SUM($B$82)&gt;=0,SUM($B$82)&lt;=1,SUM($B$83)&gt;=0)),OR(169=1,169=$B$174+1,AND($B$175&gt;0,169=$B$175+1))),IF(AND($B$170=1,$B$66&gt;0,OR($B$175=0,169&lt;=$B$175)),$B$66,IF($B$172-MAX(169-1,$B$174)&gt;0,IF(B569=0,0,IF(C569=0,B569/($B$172-MAX(169-1,$B$174)),B569*(C569/12)/(1-(1+C569/12)^(-($B$172-MAX(169-1,$B$174)))))),"")),D568))))),IF(IF(AND(169&lt;=$B$174,169&lt;=$B$173),B569*C569/12,IF(AND(169=$B$173+1,AND(169&gt;$B$173,$B$78="Refinance",ISNUMBER($B$80),$B$80&gt;=0,$B$80&lt;=1,ROUND($B$81*12,0)&gt;=1,$B$81&lt;=100,SUM($B$82)&gt;=0,SUM($B$82)&lt;=1,SUM($B$83)&gt;=0)),IF(B569=0,0,IF(C569=0,B569/ROUND($B$81*12,0),B569*(C569/12)/(1-(1+C569/12)^(-ROUND($B$81*12,0))))),IF(AND(NOT(AND(169&gt;$B$173,$B$78="Refinance",ISNUMBER($B$80),$B$80&gt;=0,$B$80&lt;=1,ROUND($B$81*12,0)&gt;=1,$B$81&lt;=100,SUM($B$82)&gt;=0,SUM($B$82)&lt;=1,SUM($B$83)&gt;=0)),OR(169=1,169=$B$174+1,AND($B$175&gt;0,169=$B$175+1))),IF(AND($B$170=1,$B$66&gt;0,OR($B$175=0,169&lt;=$B$175)),$B$66,IF($B$172-MAX(169-1,$B$174)&gt;0,IF(B569=0,0,IF(C569=0,B569/($B$172-MAX(169-1,$B$174)),B569*(C569/12)/(1-(1+C569/12)^(-($B$172-MAX(169-1,$B$174)))))),"")),D568)))+0.0000001&gt;=B569*C569/12,MIN(B569*(1+C569/12),IF(AND(169&lt;=$B$174,169&lt;=$B$173),B569*C569/12,IF(AND(169=$B$173+1,AND(169&gt;$B$173,$B$78="Refinance",ISNUMBER($B$80),$B$80&gt;=0,$B$80&lt;=1,ROUND($B$81*12,0)&gt;=1,$B$81&lt;=100,SUM($B$82)&gt;=0,SUM($B$82)&lt;=1,SUM($B$83)&gt;=0)),IF(B569=0,0,IF(C569=0,B569/ROUND($B$81*12,0),B569*(C569/12)/(1-(1+C569/12)^(-ROUND($B$81*12,0))))),IF(AND(NOT(AND(169&gt;$B$173,$B$78="Refinance",ISNUMBER($B$80),$B$80&gt;=0,$B$80&lt;=1,ROUND($B$81*12,0)&gt;=1,$B$81&lt;=100,SUM($B$82)&gt;=0,SUM($B$82)&lt;=1,SUM($B$83)&gt;=0)),OR(169=1,169=$B$174+1,AND($B$175&gt;0,169=$B$175+1))),IF(AND($B$170=1,$B$66&gt;0,OR($B$175=0,169&lt;=$B$175)),$B$66,IF($B$172-MAX(169-1,$B$174)&gt;0,IF(B569=0,0,IF(C569=0,B569/($B$172-MAX(169-1,$B$174)),B569*(C569/12)/(1-(1+C569/12)^(-($B$172-MAX(169-1,$B$174)))))),"")),D568)))),""),""))</x:f>
        <x:v>4679.450723240598</x:v>
      </x:c>
      <x:c r="E569" s="440" t="n">
        <x:f>IF(AND(169=$B$173,ISNUMBER(D569)),IF(MAX(0,B569*(1+C569/12)-D569)&lt;MAX(0.0000001,$E$17*0.00000000001),0,MAX(0,B569*(1+C569/12)-D569)),0)</x:f>
        <x:v>0</x:v>
      </x:c>
      <x:c r="F569" s="440" t="n">
        <x:f>IF($B$78="Cash payoff",E569,0)</x:f>
        <x:v>0</x:v>
      </x:c>
      <x:c r="G569" s="440" t="n">
        <x:f>IF(AND(E569&gt;0,AND($B$78="Refinance",ISNUMBER($B$80),$B$80&gt;=0,$B$80&lt;=1,ROUND($B$81*12,0)&gt;=1,$B$81&lt;=100,SUM($B$82)&gt;=0,SUM($B$82)&lt;=1,SUM($B$83)&gt;=0)),E569*SUM($B$82)+SUM($B$83),0)</x:f>
        <x:v>0</x:v>
      </x:c>
      <x:c r="H569" s="440" t="n">
        <x:f>IF(ISNUMBER(D569),IF(MAX(0,B569*(1+C569/12)-D569-F569)&lt;MAX(0.0000001,$E$17*0.00000000001),0,MAX(0,B569*(1+C569/12)-D569-F569)),IF(AND($B$171=1,I568=1),B569,""))</x:f>
        <x:v>565346.7643793678</x:v>
      </x:c>
      <x:c r="I569" s="444" t="n">
        <x:f>IF(OR(I568=1,AND(E569&gt;0,$B$78&lt;&gt;"Cash payoff",NOT(AND($B$78="Refinance",ISNUMBER($B$80),$B$80&gt;=0,$B$80&lt;=1,ROUND($B$81*12,0)&gt;=1,$B$81&lt;=100,SUM($B$82)&gt;=0,SUM($B$82)&lt;=1,SUM($B$83)&gt;=0))),AND(ISNUMBER(B569),B569&gt;0,$B$171=1,NOT(ISNUMBER(D569)))),1,0)</x:f>
        <x:v>0</x:v>
      </x:c>
      <x:c r="J569" s="440" t="n">
        <x:f>IF(ISNUMBER(L568),L568,"")</x:f>
        <x:v>0</x:v>
      </x:c>
      <x:c r="K569" s="440" t="n">
        <x:f>IF(AND(ISNUMBER(J569),J569=0),0,IF(AND($B$176=1,ISNUMBER(J569)),MIN(J569*(1+$B$87/12),IF($B$86=0,0,IF($B$87=0,$B$86/ROUND($B$88*12,0),$B$86*($B$87/12)/(1-(1+$B$87/12)^(-ROUND($B$88*12,0)))))),""))</x:f>
        <x:v>0</x:v>
      </x:c>
      <x:c r="L569" s="440" t="n">
        <x:f>IF(ISNUMBER(K569),IF(MAX(0,J569*(1+SUM($B$87)/12)-K569)&lt;MAX(0.0000001,$B$86*0.00000000001),0,MAX(0,J569*(1+SUM($B$87)/12)-K569)),"")</x:f>
        <x:v>0</x:v>
      </x:c>
      <x:c r="M569" s="440" t="n">
        <x:f>IF(AND(ISNUMBER(D569),ISNUMBER(K569)),D569+K569,"")</x:f>
        <x:v>4679.450723240598</x:v>
      </x:c>
      <x:c r="N569" s="440" t="n">
        <x:f>IF(AND(ISNUMBER(H569),ISNUMBER(L569)),H569+L569,"")</x:f>
        <x:v>565346.7643793678</x:v>
      </x:c>
    </x:row>
    <x:row r="570" ht="22" customHeight="1">
      <x:c r="A570" s="254" t="n">
        <x:f>170</x:f>
        <x:v>170</x:v>
      </x:c>
      <x:c r="B570" s="440" t="n">
        <x:f>IF(ISNUMBER(H569),H569,"")</x:f>
        <x:v>565346.7643793678</x:v>
      </x:c>
      <x:c r="C570" s="442" t="n">
        <x:f>IF(ISNUMBER(B570),IF(AND(170&gt;$B$173,$B$78="Refinance",ISNUMBER($B$80),$B$80&gt;=0,$B$80&lt;=1,ROUND($B$81*12,0)&gt;=1,$B$81&lt;=100,SUM($B$82)&gt;=0,SUM($B$82)&lt;=1,SUM($B$83)&gt;=0),$B$80,IF(AND($B$175&gt;0,170&gt;$B$175,ISNUMBER($B$75)),$B$75,$B$61)),"")</x:f>
        <x:v>0.0625</x:v>
      </x:c>
      <x:c r="D570" s="440" t="n">
        <x:f>IF(AND(ISNUMBER(B570),B570=0),0,IF(AND($B$171=1,I569=0,ISNUMBER(C570),ISNUMBER(IF(AND(170&lt;=$B$174,170&lt;=$B$173),B570*C570/12,IF(AND(170=$B$173+1,AND(170&gt;$B$173,$B$78="Refinance",ISNUMBER($B$80),$B$80&gt;=0,$B$80&lt;=1,ROUND($B$81*12,0)&gt;=1,$B$81&lt;=100,SUM($B$82)&gt;=0,SUM($B$82)&lt;=1,SUM($B$83)&gt;=0)),IF(B570=0,0,IF(C570=0,B570/ROUND($B$81*12,0),B570*(C570/12)/(1-(1+C570/12)^(-ROUND($B$81*12,0))))),IF(AND(NOT(AND(170&gt;$B$173,$B$78="Refinance",ISNUMBER($B$80),$B$80&gt;=0,$B$80&lt;=1,ROUND($B$81*12,0)&gt;=1,$B$81&lt;=100,SUM($B$82)&gt;=0,SUM($B$82)&lt;=1,SUM($B$83)&gt;=0)),OR(170=1,170=$B$174+1,AND($B$175&gt;0,170=$B$175+1))),IF(AND($B$170=1,$B$66&gt;0,OR($B$175=0,170&lt;=$B$175)),$B$66,IF($B$172-MAX(170-1,$B$174)&gt;0,IF(B570=0,0,IF(C570=0,B570/($B$172-MAX(170-1,$B$174)),B570*(C570/12)/(1-(1+C570/12)^(-($B$172-MAX(170-1,$B$174)))))),"")),D569))))),IF(IF(AND(170&lt;=$B$174,170&lt;=$B$173),B570*C570/12,IF(AND(170=$B$173+1,AND(170&gt;$B$173,$B$78="Refinance",ISNUMBER($B$80),$B$80&gt;=0,$B$80&lt;=1,ROUND($B$81*12,0)&gt;=1,$B$81&lt;=100,SUM($B$82)&gt;=0,SUM($B$82)&lt;=1,SUM($B$83)&gt;=0)),IF(B570=0,0,IF(C570=0,B570/ROUND($B$81*12,0),B570*(C570/12)/(1-(1+C570/12)^(-ROUND($B$81*12,0))))),IF(AND(NOT(AND(170&gt;$B$173,$B$78="Refinance",ISNUMBER($B$80),$B$80&gt;=0,$B$80&lt;=1,ROUND($B$81*12,0)&gt;=1,$B$81&lt;=100,SUM($B$82)&gt;=0,SUM($B$82)&lt;=1,SUM($B$83)&gt;=0)),OR(170=1,170=$B$174+1,AND($B$175&gt;0,170=$B$175+1))),IF(AND($B$170=1,$B$66&gt;0,OR($B$175=0,170&lt;=$B$175)),$B$66,IF($B$172-MAX(170-1,$B$174)&gt;0,IF(B570=0,0,IF(C570=0,B570/($B$172-MAX(170-1,$B$174)),B570*(C570/12)/(1-(1+C570/12)^(-($B$172-MAX(170-1,$B$174)))))),"")),D569)))+0.0000001&gt;=B570*C570/12,MIN(B570*(1+C570/12),IF(AND(170&lt;=$B$174,170&lt;=$B$173),B570*C570/12,IF(AND(170=$B$173+1,AND(170&gt;$B$173,$B$78="Refinance",ISNUMBER($B$80),$B$80&gt;=0,$B$80&lt;=1,ROUND($B$81*12,0)&gt;=1,$B$81&lt;=100,SUM($B$82)&gt;=0,SUM($B$82)&lt;=1,SUM($B$83)&gt;=0)),IF(B570=0,0,IF(C570=0,B570/ROUND($B$81*12,0),B570*(C570/12)/(1-(1+C570/12)^(-ROUND($B$81*12,0))))),IF(AND(NOT(AND(170&gt;$B$173,$B$78="Refinance",ISNUMBER($B$80),$B$80&gt;=0,$B$80&lt;=1,ROUND($B$81*12,0)&gt;=1,$B$81&lt;=100,SUM($B$82)&gt;=0,SUM($B$82)&lt;=1,SUM($B$83)&gt;=0)),OR(170=1,170=$B$174+1,AND($B$175&gt;0,170=$B$175+1))),IF(AND($B$170=1,$B$66&gt;0,OR($B$175=0,170&lt;=$B$175)),$B$66,IF($B$172-MAX(170-1,$B$174)&gt;0,IF(B570=0,0,IF(C570=0,B570/($B$172-MAX(170-1,$B$174)),B570*(C570/12)/(1-(1+C570/12)^(-($B$172-MAX(170-1,$B$174)))))),"")),D569)))),""),""))</x:f>
        <x:v>4679.450723240598</x:v>
      </x:c>
      <x:c r="E570" s="440" t="n">
        <x:f>IF(AND(170=$B$173,ISNUMBER(D570)),IF(MAX(0,B570*(1+C570/12)-D570)&lt;MAX(0.0000001,$E$17*0.00000000001),0,MAX(0,B570*(1+C570/12)-D570)),0)</x:f>
        <x:v>0</x:v>
      </x:c>
      <x:c r="F570" s="440" t="n">
        <x:f>IF($B$78="Cash payoff",E570,0)</x:f>
        <x:v>0</x:v>
      </x:c>
      <x:c r="G570" s="440" t="n">
        <x:f>IF(AND(E570&gt;0,AND($B$78="Refinance",ISNUMBER($B$80),$B$80&gt;=0,$B$80&lt;=1,ROUND($B$81*12,0)&gt;=1,$B$81&lt;=100,SUM($B$82)&gt;=0,SUM($B$82)&lt;=1,SUM($B$83)&gt;=0)),E570*SUM($B$82)+SUM($B$83),0)</x:f>
        <x:v>0</x:v>
      </x:c>
      <x:c r="H570" s="440" t="n">
        <x:f>IF(ISNUMBER(D570),IF(MAX(0,B570*(1+C570/12)-D570-F570)&lt;MAX(0.0000001,$E$17*0.00000000001),0,MAX(0,B570*(1+C570/12)-D570-F570)),IF(AND($B$171=1,I569=1),B570,""))</x:f>
        <x:v>563611.8280539364</x:v>
      </x:c>
      <x:c r="I570" s="444" t="n">
        <x:f>IF(OR(I569=1,AND(E570&gt;0,$B$78&lt;&gt;"Cash payoff",NOT(AND($B$78="Refinance",ISNUMBER($B$80),$B$80&gt;=0,$B$80&lt;=1,ROUND($B$81*12,0)&gt;=1,$B$81&lt;=100,SUM($B$82)&gt;=0,SUM($B$82)&lt;=1,SUM($B$83)&gt;=0))),AND(ISNUMBER(B570),B570&gt;0,$B$171=1,NOT(ISNUMBER(D570)))),1,0)</x:f>
        <x:v>0</x:v>
      </x:c>
      <x:c r="J570" s="440" t="n">
        <x:f>IF(ISNUMBER(L569),L569,"")</x:f>
        <x:v>0</x:v>
      </x:c>
      <x:c r="K570" s="440" t="n">
        <x:f>IF(AND(ISNUMBER(J570),J570=0),0,IF(AND($B$176=1,ISNUMBER(J570)),MIN(J570*(1+$B$87/12),IF($B$86=0,0,IF($B$87=0,$B$86/ROUND($B$88*12,0),$B$86*($B$87/12)/(1-(1+$B$87/12)^(-ROUND($B$88*12,0)))))),""))</x:f>
        <x:v>0</x:v>
      </x:c>
      <x:c r="L570" s="440" t="n">
        <x:f>IF(ISNUMBER(K570),IF(MAX(0,J570*(1+SUM($B$87)/12)-K570)&lt;MAX(0.0000001,$B$86*0.00000000001),0,MAX(0,J570*(1+SUM($B$87)/12)-K570)),"")</x:f>
        <x:v>0</x:v>
      </x:c>
      <x:c r="M570" s="440" t="n">
        <x:f>IF(AND(ISNUMBER(D570),ISNUMBER(K570)),D570+K570,"")</x:f>
        <x:v>4679.450723240598</x:v>
      </x:c>
      <x:c r="N570" s="440" t="n">
        <x:f>IF(AND(ISNUMBER(H570),ISNUMBER(L570)),H570+L570,"")</x:f>
        <x:v>563611.8280539364</x:v>
      </x:c>
    </x:row>
    <x:row r="571" ht="22" customHeight="1">
      <x:c r="A571" s="254" t="n">
        <x:f>171</x:f>
        <x:v>171</x:v>
      </x:c>
      <x:c r="B571" s="440" t="n">
        <x:f>IF(ISNUMBER(H570),H570,"")</x:f>
        <x:v>563611.8280539364</x:v>
      </x:c>
      <x:c r="C571" s="442" t="n">
        <x:f>IF(ISNUMBER(B571),IF(AND(171&gt;$B$173,$B$78="Refinance",ISNUMBER($B$80),$B$80&gt;=0,$B$80&lt;=1,ROUND($B$81*12,0)&gt;=1,$B$81&lt;=100,SUM($B$82)&gt;=0,SUM($B$82)&lt;=1,SUM($B$83)&gt;=0),$B$80,IF(AND($B$175&gt;0,171&gt;$B$175,ISNUMBER($B$75)),$B$75,$B$61)),"")</x:f>
        <x:v>0.0625</x:v>
      </x:c>
      <x:c r="D571" s="440" t="n">
        <x:f>IF(AND(ISNUMBER(B571),B571=0),0,IF(AND($B$171=1,I570=0,ISNUMBER(C571),ISNUMBER(IF(AND(171&lt;=$B$174,171&lt;=$B$173),B571*C571/12,IF(AND(171=$B$173+1,AND(171&gt;$B$173,$B$78="Refinance",ISNUMBER($B$80),$B$80&gt;=0,$B$80&lt;=1,ROUND($B$81*12,0)&gt;=1,$B$81&lt;=100,SUM($B$82)&gt;=0,SUM($B$82)&lt;=1,SUM($B$83)&gt;=0)),IF(B571=0,0,IF(C571=0,B571/ROUND($B$81*12,0),B571*(C571/12)/(1-(1+C571/12)^(-ROUND($B$81*12,0))))),IF(AND(NOT(AND(171&gt;$B$173,$B$78="Refinance",ISNUMBER($B$80),$B$80&gt;=0,$B$80&lt;=1,ROUND($B$81*12,0)&gt;=1,$B$81&lt;=100,SUM($B$82)&gt;=0,SUM($B$82)&lt;=1,SUM($B$83)&gt;=0)),OR(171=1,171=$B$174+1,AND($B$175&gt;0,171=$B$175+1))),IF(AND($B$170=1,$B$66&gt;0,OR($B$175=0,171&lt;=$B$175)),$B$66,IF($B$172-MAX(171-1,$B$174)&gt;0,IF(B571=0,0,IF(C571=0,B571/($B$172-MAX(171-1,$B$174)),B571*(C571/12)/(1-(1+C571/12)^(-($B$172-MAX(171-1,$B$174)))))),"")),D570))))),IF(IF(AND(171&lt;=$B$174,171&lt;=$B$173),B571*C571/12,IF(AND(171=$B$173+1,AND(171&gt;$B$173,$B$78="Refinance",ISNUMBER($B$80),$B$80&gt;=0,$B$80&lt;=1,ROUND($B$81*12,0)&gt;=1,$B$81&lt;=100,SUM($B$82)&gt;=0,SUM($B$82)&lt;=1,SUM($B$83)&gt;=0)),IF(B571=0,0,IF(C571=0,B571/ROUND($B$81*12,0),B571*(C571/12)/(1-(1+C571/12)^(-ROUND($B$81*12,0))))),IF(AND(NOT(AND(171&gt;$B$173,$B$78="Refinance",ISNUMBER($B$80),$B$80&gt;=0,$B$80&lt;=1,ROUND($B$81*12,0)&gt;=1,$B$81&lt;=100,SUM($B$82)&gt;=0,SUM($B$82)&lt;=1,SUM($B$83)&gt;=0)),OR(171=1,171=$B$174+1,AND($B$175&gt;0,171=$B$175+1))),IF(AND($B$170=1,$B$66&gt;0,OR($B$175=0,171&lt;=$B$175)),$B$66,IF($B$172-MAX(171-1,$B$174)&gt;0,IF(B571=0,0,IF(C571=0,B571/($B$172-MAX(171-1,$B$174)),B571*(C571/12)/(1-(1+C571/12)^(-($B$172-MAX(171-1,$B$174)))))),"")),D570)))+0.0000001&gt;=B571*C571/12,MIN(B571*(1+C571/12),IF(AND(171&lt;=$B$174,171&lt;=$B$173),B571*C571/12,IF(AND(171=$B$173+1,AND(171&gt;$B$173,$B$78="Refinance",ISNUMBER($B$80),$B$80&gt;=0,$B$80&lt;=1,ROUND($B$81*12,0)&gt;=1,$B$81&lt;=100,SUM($B$82)&gt;=0,SUM($B$82)&lt;=1,SUM($B$83)&gt;=0)),IF(B571=0,0,IF(C571=0,B571/ROUND($B$81*12,0),B571*(C571/12)/(1-(1+C571/12)^(-ROUND($B$81*12,0))))),IF(AND(NOT(AND(171&gt;$B$173,$B$78="Refinance",ISNUMBER($B$80),$B$80&gt;=0,$B$80&lt;=1,ROUND($B$81*12,0)&gt;=1,$B$81&lt;=100,SUM($B$82)&gt;=0,SUM($B$82)&lt;=1,SUM($B$83)&gt;=0)),OR(171=1,171=$B$174+1,AND($B$175&gt;0,171=$B$175+1))),IF(AND($B$170=1,$B$66&gt;0,OR($B$175=0,171&lt;=$B$175)),$B$66,IF($B$172-MAX(171-1,$B$174)&gt;0,IF(B571=0,0,IF(C571=0,B571/($B$172-MAX(171-1,$B$174)),B571*(C571/12)/(1-(1+C571/12)^(-($B$172-MAX(171-1,$B$174)))))),"")),D570)))),""),""))</x:f>
        <x:v>4679.450723240598</x:v>
      </x:c>
      <x:c r="E571" s="440" t="n">
        <x:f>IF(AND(171=$B$173,ISNUMBER(D571)),IF(MAX(0,B571*(1+C571/12)-D571)&lt;MAX(0.0000001,$E$17*0.00000000001),0,MAX(0,B571*(1+C571/12)-D571)),0)</x:f>
        <x:v>0</x:v>
      </x:c>
      <x:c r="F571" s="440" t="n">
        <x:f>IF($B$78="Cash payoff",E571,0)</x:f>
        <x:v>0</x:v>
      </x:c>
      <x:c r="G571" s="440" t="n">
        <x:f>IF(AND(E571&gt;0,AND($B$78="Refinance",ISNUMBER($B$80),$B$80&gt;=0,$B$80&lt;=1,ROUND($B$81*12,0)&gt;=1,$B$81&lt;=100,SUM($B$82)&gt;=0,SUM($B$82)&lt;=1,SUM($B$83)&gt;=0)),E571*SUM($B$82)+SUM($B$83),0)</x:f>
        <x:v>0</x:v>
      </x:c>
      <x:c r="H571" s="440" t="n">
        <x:f>IF(ISNUMBER(D571),IF(MAX(0,B571*(1+C571/12)-D571-F571)&lt;MAX(0.0000001,$E$17*0.00000000001),0,MAX(0,B571*(1+C571/12)-D571-F571)),IF(AND($B$171=1,I570=1),B571,""))</x:f>
        <x:v>561867.8556018099</x:v>
      </x:c>
      <x:c r="I571" s="444" t="n">
        <x:f>IF(OR(I570=1,AND(E571&gt;0,$B$78&lt;&gt;"Cash payoff",NOT(AND($B$78="Refinance",ISNUMBER($B$80),$B$80&gt;=0,$B$80&lt;=1,ROUND($B$81*12,0)&gt;=1,$B$81&lt;=100,SUM($B$82)&gt;=0,SUM($B$82)&lt;=1,SUM($B$83)&gt;=0))),AND(ISNUMBER(B571),B571&gt;0,$B$171=1,NOT(ISNUMBER(D571)))),1,0)</x:f>
        <x:v>0</x:v>
      </x:c>
      <x:c r="J571" s="440" t="n">
        <x:f>IF(ISNUMBER(L570),L570,"")</x:f>
        <x:v>0</x:v>
      </x:c>
      <x:c r="K571" s="440" t="n">
        <x:f>IF(AND(ISNUMBER(J571),J571=0),0,IF(AND($B$176=1,ISNUMBER(J571)),MIN(J571*(1+$B$87/12),IF($B$86=0,0,IF($B$87=0,$B$86/ROUND($B$88*12,0),$B$86*($B$87/12)/(1-(1+$B$87/12)^(-ROUND($B$88*12,0)))))),""))</x:f>
        <x:v>0</x:v>
      </x:c>
      <x:c r="L571" s="440" t="n">
        <x:f>IF(ISNUMBER(K571),IF(MAX(0,J571*(1+SUM($B$87)/12)-K571)&lt;MAX(0.0000001,$B$86*0.00000000001),0,MAX(0,J571*(1+SUM($B$87)/12)-K571)),"")</x:f>
        <x:v>0</x:v>
      </x:c>
      <x:c r="M571" s="440" t="n">
        <x:f>IF(AND(ISNUMBER(D571),ISNUMBER(K571)),D571+K571,"")</x:f>
        <x:v>4679.450723240598</x:v>
      </x:c>
      <x:c r="N571" s="440" t="n">
        <x:f>IF(AND(ISNUMBER(H571),ISNUMBER(L571)),H571+L571,"")</x:f>
        <x:v>561867.8556018099</x:v>
      </x:c>
    </x:row>
    <x:row r="572" ht="22" customHeight="1">
      <x:c r="A572" s="254" t="n">
        <x:f>172</x:f>
        <x:v>172</x:v>
      </x:c>
      <x:c r="B572" s="440" t="n">
        <x:f>IF(ISNUMBER(H571),H571,"")</x:f>
        <x:v>561867.8556018099</x:v>
      </x:c>
      <x:c r="C572" s="442" t="n">
        <x:f>IF(ISNUMBER(B572),IF(AND(172&gt;$B$173,$B$78="Refinance",ISNUMBER($B$80),$B$80&gt;=0,$B$80&lt;=1,ROUND($B$81*12,0)&gt;=1,$B$81&lt;=100,SUM($B$82)&gt;=0,SUM($B$82)&lt;=1,SUM($B$83)&gt;=0),$B$80,IF(AND($B$175&gt;0,172&gt;$B$175,ISNUMBER($B$75)),$B$75,$B$61)),"")</x:f>
        <x:v>0.0625</x:v>
      </x:c>
      <x:c r="D572" s="440" t="n">
        <x:f>IF(AND(ISNUMBER(B572),B572=0),0,IF(AND($B$171=1,I571=0,ISNUMBER(C572),ISNUMBER(IF(AND(172&lt;=$B$174,172&lt;=$B$173),B572*C572/12,IF(AND(172=$B$173+1,AND(172&gt;$B$173,$B$78="Refinance",ISNUMBER($B$80),$B$80&gt;=0,$B$80&lt;=1,ROUND($B$81*12,0)&gt;=1,$B$81&lt;=100,SUM($B$82)&gt;=0,SUM($B$82)&lt;=1,SUM($B$83)&gt;=0)),IF(B572=0,0,IF(C572=0,B572/ROUND($B$81*12,0),B572*(C572/12)/(1-(1+C572/12)^(-ROUND($B$81*12,0))))),IF(AND(NOT(AND(172&gt;$B$173,$B$78="Refinance",ISNUMBER($B$80),$B$80&gt;=0,$B$80&lt;=1,ROUND($B$81*12,0)&gt;=1,$B$81&lt;=100,SUM($B$82)&gt;=0,SUM($B$82)&lt;=1,SUM($B$83)&gt;=0)),OR(172=1,172=$B$174+1,AND($B$175&gt;0,172=$B$175+1))),IF(AND($B$170=1,$B$66&gt;0,OR($B$175=0,172&lt;=$B$175)),$B$66,IF($B$172-MAX(172-1,$B$174)&gt;0,IF(B572=0,0,IF(C572=0,B572/($B$172-MAX(172-1,$B$174)),B572*(C572/12)/(1-(1+C572/12)^(-($B$172-MAX(172-1,$B$174)))))),"")),D571))))),IF(IF(AND(172&lt;=$B$174,172&lt;=$B$173),B572*C572/12,IF(AND(172=$B$173+1,AND(172&gt;$B$173,$B$78="Refinance",ISNUMBER($B$80),$B$80&gt;=0,$B$80&lt;=1,ROUND($B$81*12,0)&gt;=1,$B$81&lt;=100,SUM($B$82)&gt;=0,SUM($B$82)&lt;=1,SUM($B$83)&gt;=0)),IF(B572=0,0,IF(C572=0,B572/ROUND($B$81*12,0),B572*(C572/12)/(1-(1+C572/12)^(-ROUND($B$81*12,0))))),IF(AND(NOT(AND(172&gt;$B$173,$B$78="Refinance",ISNUMBER($B$80),$B$80&gt;=0,$B$80&lt;=1,ROUND($B$81*12,0)&gt;=1,$B$81&lt;=100,SUM($B$82)&gt;=0,SUM($B$82)&lt;=1,SUM($B$83)&gt;=0)),OR(172=1,172=$B$174+1,AND($B$175&gt;0,172=$B$175+1))),IF(AND($B$170=1,$B$66&gt;0,OR($B$175=0,172&lt;=$B$175)),$B$66,IF($B$172-MAX(172-1,$B$174)&gt;0,IF(B572=0,0,IF(C572=0,B572/($B$172-MAX(172-1,$B$174)),B572*(C572/12)/(1-(1+C572/12)^(-($B$172-MAX(172-1,$B$174)))))),"")),D571)))+0.0000001&gt;=B572*C572/12,MIN(B572*(1+C572/12),IF(AND(172&lt;=$B$174,172&lt;=$B$173),B572*C572/12,IF(AND(172=$B$173+1,AND(172&gt;$B$173,$B$78="Refinance",ISNUMBER($B$80),$B$80&gt;=0,$B$80&lt;=1,ROUND($B$81*12,0)&gt;=1,$B$81&lt;=100,SUM($B$82)&gt;=0,SUM($B$82)&lt;=1,SUM($B$83)&gt;=0)),IF(B572=0,0,IF(C572=0,B572/ROUND($B$81*12,0),B572*(C572/12)/(1-(1+C572/12)^(-ROUND($B$81*12,0))))),IF(AND(NOT(AND(172&gt;$B$173,$B$78="Refinance",ISNUMBER($B$80),$B$80&gt;=0,$B$80&lt;=1,ROUND($B$81*12,0)&gt;=1,$B$81&lt;=100,SUM($B$82)&gt;=0,SUM($B$82)&lt;=1,SUM($B$83)&gt;=0)),OR(172=1,172=$B$174+1,AND($B$175&gt;0,172=$B$175+1))),IF(AND($B$170=1,$B$66&gt;0,OR($B$175=0,172&lt;=$B$175)),$B$66,IF($B$172-MAX(172-1,$B$174)&gt;0,IF(B572=0,0,IF(C572=0,B572/($B$172-MAX(172-1,$B$174)),B572*(C572/12)/(1-(1+C572/12)^(-($B$172-MAX(172-1,$B$174)))))),"")),D571)))),""),""))</x:f>
        <x:v>4679.450723240598</x:v>
      </x:c>
      <x:c r="E572" s="440" t="n">
        <x:f>IF(AND(172=$B$173,ISNUMBER(D572)),IF(MAX(0,B572*(1+C572/12)-D572)&lt;MAX(0.0000001,$E$17*0.00000000001),0,MAX(0,B572*(1+C572/12)-D572)),0)</x:f>
        <x:v>0</x:v>
      </x:c>
      <x:c r="F572" s="440" t="n">
        <x:f>IF($B$78="Cash payoff",E572,0)</x:f>
        <x:v>0</x:v>
      </x:c>
      <x:c r="G572" s="440" t="n">
        <x:f>IF(AND(E572&gt;0,AND($B$78="Refinance",ISNUMBER($B$80),$B$80&gt;=0,$B$80&lt;=1,ROUND($B$81*12,0)&gt;=1,$B$81&lt;=100,SUM($B$82)&gt;=0,SUM($B$82)&lt;=1,SUM($B$83)&gt;=0)),E572*SUM($B$82)+SUM($B$83),0)</x:f>
        <x:v>0</x:v>
      </x:c>
      <x:c r="H572" s="440" t="n">
        <x:f>IF(ISNUMBER(D572),IF(MAX(0,B572*(1+C572/12)-D572-F572)&lt;MAX(0.0000001,$E$17*0.00000000001),0,MAX(0,B572*(1+C572/12)-D572-F572)),IF(AND($B$171=1,I571=1),B572,""))</x:f>
        <x:v>560114.7999598287</x:v>
      </x:c>
      <x:c r="I572" s="444" t="n">
        <x:f>IF(OR(I571=1,AND(E572&gt;0,$B$78&lt;&gt;"Cash payoff",NOT(AND($B$78="Refinance",ISNUMBER($B$80),$B$80&gt;=0,$B$80&lt;=1,ROUND($B$81*12,0)&gt;=1,$B$81&lt;=100,SUM($B$82)&gt;=0,SUM($B$82)&lt;=1,SUM($B$83)&gt;=0))),AND(ISNUMBER(B572),B572&gt;0,$B$171=1,NOT(ISNUMBER(D572)))),1,0)</x:f>
        <x:v>0</x:v>
      </x:c>
      <x:c r="J572" s="440" t="n">
        <x:f>IF(ISNUMBER(L571),L571,"")</x:f>
        <x:v>0</x:v>
      </x:c>
      <x:c r="K572" s="440" t="n">
        <x:f>IF(AND(ISNUMBER(J572),J572=0),0,IF(AND($B$176=1,ISNUMBER(J572)),MIN(J572*(1+$B$87/12),IF($B$86=0,0,IF($B$87=0,$B$86/ROUND($B$88*12,0),$B$86*($B$87/12)/(1-(1+$B$87/12)^(-ROUND($B$88*12,0)))))),""))</x:f>
        <x:v>0</x:v>
      </x:c>
      <x:c r="L572" s="440" t="n">
        <x:f>IF(ISNUMBER(K572),IF(MAX(0,J572*(1+SUM($B$87)/12)-K572)&lt;MAX(0.0000001,$B$86*0.00000000001),0,MAX(0,J572*(1+SUM($B$87)/12)-K572)),"")</x:f>
        <x:v>0</x:v>
      </x:c>
      <x:c r="M572" s="440" t="n">
        <x:f>IF(AND(ISNUMBER(D572),ISNUMBER(K572)),D572+K572,"")</x:f>
        <x:v>4679.450723240598</x:v>
      </x:c>
      <x:c r="N572" s="440" t="n">
        <x:f>IF(AND(ISNUMBER(H572),ISNUMBER(L572)),H572+L572,"")</x:f>
        <x:v>560114.7999598287</x:v>
      </x:c>
    </x:row>
    <x:row r="573" ht="22" customHeight="1">
      <x:c r="A573" s="254" t="n">
        <x:f>173</x:f>
        <x:v>173</x:v>
      </x:c>
      <x:c r="B573" s="440" t="n">
        <x:f>IF(ISNUMBER(H572),H572,"")</x:f>
        <x:v>560114.7999598287</x:v>
      </x:c>
      <x:c r="C573" s="442" t="n">
        <x:f>IF(ISNUMBER(B573),IF(AND(173&gt;$B$173,$B$78="Refinance",ISNUMBER($B$80),$B$80&gt;=0,$B$80&lt;=1,ROUND($B$81*12,0)&gt;=1,$B$81&lt;=100,SUM($B$82)&gt;=0,SUM($B$82)&lt;=1,SUM($B$83)&gt;=0),$B$80,IF(AND($B$175&gt;0,173&gt;$B$175,ISNUMBER($B$75)),$B$75,$B$61)),"")</x:f>
        <x:v>0.0625</x:v>
      </x:c>
      <x:c r="D573" s="440" t="n">
        <x:f>IF(AND(ISNUMBER(B573),B573=0),0,IF(AND($B$171=1,I572=0,ISNUMBER(C573),ISNUMBER(IF(AND(173&lt;=$B$174,173&lt;=$B$173),B573*C573/12,IF(AND(173=$B$173+1,AND(173&gt;$B$173,$B$78="Refinance",ISNUMBER($B$80),$B$80&gt;=0,$B$80&lt;=1,ROUND($B$81*12,0)&gt;=1,$B$81&lt;=100,SUM($B$82)&gt;=0,SUM($B$82)&lt;=1,SUM($B$83)&gt;=0)),IF(B573=0,0,IF(C573=0,B573/ROUND($B$81*12,0),B573*(C573/12)/(1-(1+C573/12)^(-ROUND($B$81*12,0))))),IF(AND(NOT(AND(173&gt;$B$173,$B$78="Refinance",ISNUMBER($B$80),$B$80&gt;=0,$B$80&lt;=1,ROUND($B$81*12,0)&gt;=1,$B$81&lt;=100,SUM($B$82)&gt;=0,SUM($B$82)&lt;=1,SUM($B$83)&gt;=0)),OR(173=1,173=$B$174+1,AND($B$175&gt;0,173=$B$175+1))),IF(AND($B$170=1,$B$66&gt;0,OR($B$175=0,173&lt;=$B$175)),$B$66,IF($B$172-MAX(173-1,$B$174)&gt;0,IF(B573=0,0,IF(C573=0,B573/($B$172-MAX(173-1,$B$174)),B573*(C573/12)/(1-(1+C573/12)^(-($B$172-MAX(173-1,$B$174)))))),"")),D572))))),IF(IF(AND(173&lt;=$B$174,173&lt;=$B$173),B573*C573/12,IF(AND(173=$B$173+1,AND(173&gt;$B$173,$B$78="Refinance",ISNUMBER($B$80),$B$80&gt;=0,$B$80&lt;=1,ROUND($B$81*12,0)&gt;=1,$B$81&lt;=100,SUM($B$82)&gt;=0,SUM($B$82)&lt;=1,SUM($B$83)&gt;=0)),IF(B573=0,0,IF(C573=0,B573/ROUND($B$81*12,0),B573*(C573/12)/(1-(1+C573/12)^(-ROUND($B$81*12,0))))),IF(AND(NOT(AND(173&gt;$B$173,$B$78="Refinance",ISNUMBER($B$80),$B$80&gt;=0,$B$80&lt;=1,ROUND($B$81*12,0)&gt;=1,$B$81&lt;=100,SUM($B$82)&gt;=0,SUM($B$82)&lt;=1,SUM($B$83)&gt;=0)),OR(173=1,173=$B$174+1,AND($B$175&gt;0,173=$B$175+1))),IF(AND($B$170=1,$B$66&gt;0,OR($B$175=0,173&lt;=$B$175)),$B$66,IF($B$172-MAX(173-1,$B$174)&gt;0,IF(B573=0,0,IF(C573=0,B573/($B$172-MAX(173-1,$B$174)),B573*(C573/12)/(1-(1+C573/12)^(-($B$172-MAX(173-1,$B$174)))))),"")),D572)))+0.0000001&gt;=B573*C573/12,MIN(B573*(1+C573/12),IF(AND(173&lt;=$B$174,173&lt;=$B$173),B573*C573/12,IF(AND(173=$B$173+1,AND(173&gt;$B$173,$B$78="Refinance",ISNUMBER($B$80),$B$80&gt;=0,$B$80&lt;=1,ROUND($B$81*12,0)&gt;=1,$B$81&lt;=100,SUM($B$82)&gt;=0,SUM($B$82)&lt;=1,SUM($B$83)&gt;=0)),IF(B573=0,0,IF(C573=0,B573/ROUND($B$81*12,0),B573*(C573/12)/(1-(1+C573/12)^(-ROUND($B$81*12,0))))),IF(AND(NOT(AND(173&gt;$B$173,$B$78="Refinance",ISNUMBER($B$80),$B$80&gt;=0,$B$80&lt;=1,ROUND($B$81*12,0)&gt;=1,$B$81&lt;=100,SUM($B$82)&gt;=0,SUM($B$82)&lt;=1,SUM($B$83)&gt;=0)),OR(173=1,173=$B$174+1,AND($B$175&gt;0,173=$B$175+1))),IF(AND($B$170=1,$B$66&gt;0,OR($B$175=0,173&lt;=$B$175)),$B$66,IF($B$172-MAX(173-1,$B$174)&gt;0,IF(B573=0,0,IF(C573=0,B573/($B$172-MAX(173-1,$B$174)),B573*(C573/12)/(1-(1+C573/12)^(-($B$172-MAX(173-1,$B$174)))))),"")),D572)))),""),""))</x:f>
        <x:v>4679.450723240598</x:v>
      </x:c>
      <x:c r="E573" s="440" t="n">
        <x:f>IF(AND(173=$B$173,ISNUMBER(D573)),IF(MAX(0,B573*(1+C573/12)-D573)&lt;MAX(0.0000001,$E$17*0.00000000001),0,MAX(0,B573*(1+C573/12)-D573)),0)</x:f>
        <x:v>0</x:v>
      </x:c>
      <x:c r="F573" s="440" t="n">
        <x:f>IF($B$78="Cash payoff",E573,0)</x:f>
        <x:v>0</x:v>
      </x:c>
      <x:c r="G573" s="440" t="n">
        <x:f>IF(AND(E573&gt;0,AND($B$78="Refinance",ISNUMBER($B$80),$B$80&gt;=0,$B$80&lt;=1,ROUND($B$81*12,0)&gt;=1,$B$81&lt;=100,SUM($B$82)&gt;=0,SUM($B$82)&lt;=1,SUM($B$83)&gt;=0)),E573*SUM($B$82)+SUM($B$83),0)</x:f>
        <x:v>0</x:v>
      </x:c>
      <x:c r="H573" s="440" t="n">
        <x:f>IF(ISNUMBER(D573),IF(MAX(0,B573*(1+C573/12)-D573-F573)&lt;MAX(0.0000001,$E$17*0.00000000001),0,MAX(0,B573*(1+C573/12)-D573-F573)),IF(AND($B$171=1,I572=1),B573,""))</x:f>
        <x:v>558352.6138197122</x:v>
      </x:c>
      <x:c r="I573" s="444" t="n">
        <x:f>IF(OR(I572=1,AND(E573&gt;0,$B$78&lt;&gt;"Cash payoff",NOT(AND($B$78="Refinance",ISNUMBER($B$80),$B$80&gt;=0,$B$80&lt;=1,ROUND($B$81*12,0)&gt;=1,$B$81&lt;=100,SUM($B$82)&gt;=0,SUM($B$82)&lt;=1,SUM($B$83)&gt;=0))),AND(ISNUMBER(B573),B573&gt;0,$B$171=1,NOT(ISNUMBER(D573)))),1,0)</x:f>
        <x:v>0</x:v>
      </x:c>
      <x:c r="J573" s="440" t="n">
        <x:f>IF(ISNUMBER(L572),L572,"")</x:f>
        <x:v>0</x:v>
      </x:c>
      <x:c r="K573" s="440" t="n">
        <x:f>IF(AND(ISNUMBER(J573),J573=0),0,IF(AND($B$176=1,ISNUMBER(J573)),MIN(J573*(1+$B$87/12),IF($B$86=0,0,IF($B$87=0,$B$86/ROUND($B$88*12,0),$B$86*($B$87/12)/(1-(1+$B$87/12)^(-ROUND($B$88*12,0)))))),""))</x:f>
        <x:v>0</x:v>
      </x:c>
      <x:c r="L573" s="440" t="n">
        <x:f>IF(ISNUMBER(K573),IF(MAX(0,J573*(1+SUM($B$87)/12)-K573)&lt;MAX(0.0000001,$B$86*0.00000000001),0,MAX(0,J573*(1+SUM($B$87)/12)-K573)),"")</x:f>
        <x:v>0</x:v>
      </x:c>
      <x:c r="M573" s="440" t="n">
        <x:f>IF(AND(ISNUMBER(D573),ISNUMBER(K573)),D573+K573,"")</x:f>
        <x:v>4679.450723240598</x:v>
      </x:c>
      <x:c r="N573" s="440" t="n">
        <x:f>IF(AND(ISNUMBER(H573),ISNUMBER(L573)),H573+L573,"")</x:f>
        <x:v>558352.6138197122</x:v>
      </x:c>
    </x:row>
    <x:row r="574" ht="22" customHeight="1">
      <x:c r="A574" s="254" t="n">
        <x:f>174</x:f>
        <x:v>174</x:v>
      </x:c>
      <x:c r="B574" s="440" t="n">
        <x:f>IF(ISNUMBER(H573),H573,"")</x:f>
        <x:v>558352.6138197122</x:v>
      </x:c>
      <x:c r="C574" s="442" t="n">
        <x:f>IF(ISNUMBER(B574),IF(AND(174&gt;$B$173,$B$78="Refinance",ISNUMBER($B$80),$B$80&gt;=0,$B$80&lt;=1,ROUND($B$81*12,0)&gt;=1,$B$81&lt;=100,SUM($B$82)&gt;=0,SUM($B$82)&lt;=1,SUM($B$83)&gt;=0),$B$80,IF(AND($B$175&gt;0,174&gt;$B$175,ISNUMBER($B$75)),$B$75,$B$61)),"")</x:f>
        <x:v>0.0625</x:v>
      </x:c>
      <x:c r="D574" s="440" t="n">
        <x:f>IF(AND(ISNUMBER(B574),B574=0),0,IF(AND($B$171=1,I573=0,ISNUMBER(C574),ISNUMBER(IF(AND(174&lt;=$B$174,174&lt;=$B$173),B574*C574/12,IF(AND(174=$B$173+1,AND(174&gt;$B$173,$B$78="Refinance",ISNUMBER($B$80),$B$80&gt;=0,$B$80&lt;=1,ROUND($B$81*12,0)&gt;=1,$B$81&lt;=100,SUM($B$82)&gt;=0,SUM($B$82)&lt;=1,SUM($B$83)&gt;=0)),IF(B574=0,0,IF(C574=0,B574/ROUND($B$81*12,0),B574*(C574/12)/(1-(1+C574/12)^(-ROUND($B$81*12,0))))),IF(AND(NOT(AND(174&gt;$B$173,$B$78="Refinance",ISNUMBER($B$80),$B$80&gt;=0,$B$80&lt;=1,ROUND($B$81*12,0)&gt;=1,$B$81&lt;=100,SUM($B$82)&gt;=0,SUM($B$82)&lt;=1,SUM($B$83)&gt;=0)),OR(174=1,174=$B$174+1,AND($B$175&gt;0,174=$B$175+1))),IF(AND($B$170=1,$B$66&gt;0,OR($B$175=0,174&lt;=$B$175)),$B$66,IF($B$172-MAX(174-1,$B$174)&gt;0,IF(B574=0,0,IF(C574=0,B574/($B$172-MAX(174-1,$B$174)),B574*(C574/12)/(1-(1+C574/12)^(-($B$172-MAX(174-1,$B$174)))))),"")),D573))))),IF(IF(AND(174&lt;=$B$174,174&lt;=$B$173),B574*C574/12,IF(AND(174=$B$173+1,AND(174&gt;$B$173,$B$78="Refinance",ISNUMBER($B$80),$B$80&gt;=0,$B$80&lt;=1,ROUND($B$81*12,0)&gt;=1,$B$81&lt;=100,SUM($B$82)&gt;=0,SUM($B$82)&lt;=1,SUM($B$83)&gt;=0)),IF(B574=0,0,IF(C574=0,B574/ROUND($B$81*12,0),B574*(C574/12)/(1-(1+C574/12)^(-ROUND($B$81*12,0))))),IF(AND(NOT(AND(174&gt;$B$173,$B$78="Refinance",ISNUMBER($B$80),$B$80&gt;=0,$B$80&lt;=1,ROUND($B$81*12,0)&gt;=1,$B$81&lt;=100,SUM($B$82)&gt;=0,SUM($B$82)&lt;=1,SUM($B$83)&gt;=0)),OR(174=1,174=$B$174+1,AND($B$175&gt;0,174=$B$175+1))),IF(AND($B$170=1,$B$66&gt;0,OR($B$175=0,174&lt;=$B$175)),$B$66,IF($B$172-MAX(174-1,$B$174)&gt;0,IF(B574=0,0,IF(C574=0,B574/($B$172-MAX(174-1,$B$174)),B574*(C574/12)/(1-(1+C574/12)^(-($B$172-MAX(174-1,$B$174)))))),"")),D573)))+0.0000001&gt;=B574*C574/12,MIN(B574*(1+C574/12),IF(AND(174&lt;=$B$174,174&lt;=$B$173),B574*C574/12,IF(AND(174=$B$173+1,AND(174&gt;$B$173,$B$78="Refinance",ISNUMBER($B$80),$B$80&gt;=0,$B$80&lt;=1,ROUND($B$81*12,0)&gt;=1,$B$81&lt;=100,SUM($B$82)&gt;=0,SUM($B$82)&lt;=1,SUM($B$83)&gt;=0)),IF(B574=0,0,IF(C574=0,B574/ROUND($B$81*12,0),B574*(C574/12)/(1-(1+C574/12)^(-ROUND($B$81*12,0))))),IF(AND(NOT(AND(174&gt;$B$173,$B$78="Refinance",ISNUMBER($B$80),$B$80&gt;=0,$B$80&lt;=1,ROUND($B$81*12,0)&gt;=1,$B$81&lt;=100,SUM($B$82)&gt;=0,SUM($B$82)&lt;=1,SUM($B$83)&gt;=0)),OR(174=1,174=$B$174+1,AND($B$175&gt;0,174=$B$175+1))),IF(AND($B$170=1,$B$66&gt;0,OR($B$175=0,174&lt;=$B$175)),$B$66,IF($B$172-MAX(174-1,$B$174)&gt;0,IF(B574=0,0,IF(C574=0,B574/($B$172-MAX(174-1,$B$174)),B574*(C574/12)/(1-(1+C574/12)^(-($B$172-MAX(174-1,$B$174)))))),"")),D573)))),""),""))</x:f>
        <x:v>4679.450723240598</x:v>
      </x:c>
      <x:c r="E574" s="440" t="n">
        <x:f>IF(AND(174=$B$173,ISNUMBER(D574)),IF(MAX(0,B574*(1+C574/12)-D574)&lt;MAX(0.0000001,$E$17*0.00000000001),0,MAX(0,B574*(1+C574/12)-D574)),0)</x:f>
        <x:v>0</x:v>
      </x:c>
      <x:c r="F574" s="440" t="n">
        <x:f>IF($B$78="Cash payoff",E574,0)</x:f>
        <x:v>0</x:v>
      </x:c>
      <x:c r="G574" s="440" t="n">
        <x:f>IF(AND(E574&gt;0,AND($B$78="Refinance",ISNUMBER($B$80),$B$80&gt;=0,$B$80&lt;=1,ROUND($B$81*12,0)&gt;=1,$B$81&lt;=100,SUM($B$82)&gt;=0,SUM($B$82)&lt;=1,SUM($B$83)&gt;=0)),E574*SUM($B$82)+SUM($B$83),0)</x:f>
        <x:v>0</x:v>
      </x:c>
      <x:c r="H574" s="440" t="n">
        <x:f>IF(ISNUMBER(D574),IF(MAX(0,B574*(1+C574/12)-D574-F574)&lt;MAX(0.0000001,$E$17*0.00000000001),0,MAX(0,B574*(1+C574/12)-D574-F574)),IF(AND($B$171=1,I573=1),B574,""))</x:f>
        <x:v>556581.2496267825</x:v>
      </x:c>
      <x:c r="I574" s="444" t="n">
        <x:f>IF(OR(I573=1,AND(E574&gt;0,$B$78&lt;&gt;"Cash payoff",NOT(AND($B$78="Refinance",ISNUMBER($B$80),$B$80&gt;=0,$B$80&lt;=1,ROUND($B$81*12,0)&gt;=1,$B$81&lt;=100,SUM($B$82)&gt;=0,SUM($B$82)&lt;=1,SUM($B$83)&gt;=0))),AND(ISNUMBER(B574),B574&gt;0,$B$171=1,NOT(ISNUMBER(D574)))),1,0)</x:f>
        <x:v>0</x:v>
      </x:c>
      <x:c r="J574" s="440" t="n">
        <x:f>IF(ISNUMBER(L573),L573,"")</x:f>
        <x:v>0</x:v>
      </x:c>
      <x:c r="K574" s="440" t="n">
        <x:f>IF(AND(ISNUMBER(J574),J574=0),0,IF(AND($B$176=1,ISNUMBER(J574)),MIN(J574*(1+$B$87/12),IF($B$86=0,0,IF($B$87=0,$B$86/ROUND($B$88*12,0),$B$86*($B$87/12)/(1-(1+$B$87/12)^(-ROUND($B$88*12,0)))))),""))</x:f>
        <x:v>0</x:v>
      </x:c>
      <x:c r="L574" s="440" t="n">
        <x:f>IF(ISNUMBER(K574),IF(MAX(0,J574*(1+SUM($B$87)/12)-K574)&lt;MAX(0.0000001,$B$86*0.00000000001),0,MAX(0,J574*(1+SUM($B$87)/12)-K574)),"")</x:f>
        <x:v>0</x:v>
      </x:c>
      <x:c r="M574" s="440" t="n">
        <x:f>IF(AND(ISNUMBER(D574),ISNUMBER(K574)),D574+K574,"")</x:f>
        <x:v>4679.450723240598</x:v>
      </x:c>
      <x:c r="N574" s="440" t="n">
        <x:f>IF(AND(ISNUMBER(H574),ISNUMBER(L574)),H574+L574,"")</x:f>
        <x:v>556581.2496267825</x:v>
      </x:c>
    </x:row>
    <x:row r="575" ht="22" customHeight="1">
      <x:c r="A575" s="254" t="n">
        <x:f>175</x:f>
        <x:v>175</x:v>
      </x:c>
      <x:c r="B575" s="440" t="n">
        <x:f>IF(ISNUMBER(H574),H574,"")</x:f>
        <x:v>556581.2496267825</x:v>
      </x:c>
      <x:c r="C575" s="442" t="n">
        <x:f>IF(ISNUMBER(B575),IF(AND(175&gt;$B$173,$B$78="Refinance",ISNUMBER($B$80),$B$80&gt;=0,$B$80&lt;=1,ROUND($B$81*12,0)&gt;=1,$B$81&lt;=100,SUM($B$82)&gt;=0,SUM($B$82)&lt;=1,SUM($B$83)&gt;=0),$B$80,IF(AND($B$175&gt;0,175&gt;$B$175,ISNUMBER($B$75)),$B$75,$B$61)),"")</x:f>
        <x:v>0.0625</x:v>
      </x:c>
      <x:c r="D575" s="440" t="n">
        <x:f>IF(AND(ISNUMBER(B575),B575=0),0,IF(AND($B$171=1,I574=0,ISNUMBER(C575),ISNUMBER(IF(AND(175&lt;=$B$174,175&lt;=$B$173),B575*C575/12,IF(AND(175=$B$173+1,AND(175&gt;$B$173,$B$78="Refinance",ISNUMBER($B$80),$B$80&gt;=0,$B$80&lt;=1,ROUND($B$81*12,0)&gt;=1,$B$81&lt;=100,SUM($B$82)&gt;=0,SUM($B$82)&lt;=1,SUM($B$83)&gt;=0)),IF(B575=0,0,IF(C575=0,B575/ROUND($B$81*12,0),B575*(C575/12)/(1-(1+C575/12)^(-ROUND($B$81*12,0))))),IF(AND(NOT(AND(175&gt;$B$173,$B$78="Refinance",ISNUMBER($B$80),$B$80&gt;=0,$B$80&lt;=1,ROUND($B$81*12,0)&gt;=1,$B$81&lt;=100,SUM($B$82)&gt;=0,SUM($B$82)&lt;=1,SUM($B$83)&gt;=0)),OR(175=1,175=$B$174+1,AND($B$175&gt;0,175=$B$175+1))),IF(AND($B$170=1,$B$66&gt;0,OR($B$175=0,175&lt;=$B$175)),$B$66,IF($B$172-MAX(175-1,$B$174)&gt;0,IF(B575=0,0,IF(C575=0,B575/($B$172-MAX(175-1,$B$174)),B575*(C575/12)/(1-(1+C575/12)^(-($B$172-MAX(175-1,$B$174)))))),"")),D574))))),IF(IF(AND(175&lt;=$B$174,175&lt;=$B$173),B575*C575/12,IF(AND(175=$B$173+1,AND(175&gt;$B$173,$B$78="Refinance",ISNUMBER($B$80),$B$80&gt;=0,$B$80&lt;=1,ROUND($B$81*12,0)&gt;=1,$B$81&lt;=100,SUM($B$82)&gt;=0,SUM($B$82)&lt;=1,SUM($B$83)&gt;=0)),IF(B575=0,0,IF(C575=0,B575/ROUND($B$81*12,0),B575*(C575/12)/(1-(1+C575/12)^(-ROUND($B$81*12,0))))),IF(AND(NOT(AND(175&gt;$B$173,$B$78="Refinance",ISNUMBER($B$80),$B$80&gt;=0,$B$80&lt;=1,ROUND($B$81*12,0)&gt;=1,$B$81&lt;=100,SUM($B$82)&gt;=0,SUM($B$82)&lt;=1,SUM($B$83)&gt;=0)),OR(175=1,175=$B$174+1,AND($B$175&gt;0,175=$B$175+1))),IF(AND($B$170=1,$B$66&gt;0,OR($B$175=0,175&lt;=$B$175)),$B$66,IF($B$172-MAX(175-1,$B$174)&gt;0,IF(B575=0,0,IF(C575=0,B575/($B$172-MAX(175-1,$B$174)),B575*(C575/12)/(1-(1+C575/12)^(-($B$172-MAX(175-1,$B$174)))))),"")),D574)))+0.0000001&gt;=B575*C575/12,MIN(B575*(1+C575/12),IF(AND(175&lt;=$B$174,175&lt;=$B$173),B575*C575/12,IF(AND(175=$B$173+1,AND(175&gt;$B$173,$B$78="Refinance",ISNUMBER($B$80),$B$80&gt;=0,$B$80&lt;=1,ROUND($B$81*12,0)&gt;=1,$B$81&lt;=100,SUM($B$82)&gt;=0,SUM($B$82)&lt;=1,SUM($B$83)&gt;=0)),IF(B575=0,0,IF(C575=0,B575/ROUND($B$81*12,0),B575*(C575/12)/(1-(1+C575/12)^(-ROUND($B$81*12,0))))),IF(AND(NOT(AND(175&gt;$B$173,$B$78="Refinance",ISNUMBER($B$80),$B$80&gt;=0,$B$80&lt;=1,ROUND($B$81*12,0)&gt;=1,$B$81&lt;=100,SUM($B$82)&gt;=0,SUM($B$82)&lt;=1,SUM($B$83)&gt;=0)),OR(175=1,175=$B$174+1,AND($B$175&gt;0,175=$B$175+1))),IF(AND($B$170=1,$B$66&gt;0,OR($B$175=0,175&lt;=$B$175)),$B$66,IF($B$172-MAX(175-1,$B$174)&gt;0,IF(B575=0,0,IF(C575=0,B575/($B$172-MAX(175-1,$B$174)),B575*(C575/12)/(1-(1+C575/12)^(-($B$172-MAX(175-1,$B$174)))))),"")),D574)))),""),""))</x:f>
        <x:v>4679.450723240598</x:v>
      </x:c>
      <x:c r="E575" s="440" t="n">
        <x:f>IF(AND(175=$B$173,ISNUMBER(D575)),IF(MAX(0,B575*(1+C575/12)-D575)&lt;MAX(0.0000001,$E$17*0.00000000001),0,MAX(0,B575*(1+C575/12)-D575)),0)</x:f>
        <x:v>0</x:v>
      </x:c>
      <x:c r="F575" s="440" t="n">
        <x:f>IF($B$78="Cash payoff",E575,0)</x:f>
        <x:v>0</x:v>
      </x:c>
      <x:c r="G575" s="440" t="n">
        <x:f>IF(AND(E575&gt;0,AND($B$78="Refinance",ISNUMBER($B$80),$B$80&gt;=0,$B$80&lt;=1,ROUND($B$81*12,0)&gt;=1,$B$81&lt;=100,SUM($B$82)&gt;=0,SUM($B$82)&lt;=1,SUM($B$83)&gt;=0)),E575*SUM($B$82)+SUM($B$83),0)</x:f>
        <x:v>0</x:v>
      </x:c>
      <x:c r="H575" s="440" t="n">
        <x:f>IF(ISNUMBER(D575),IF(MAX(0,B575*(1+C575/12)-D575-F575)&lt;MAX(0.0000001,$E$17*0.00000000001),0,MAX(0,B575*(1+C575/12)-D575-F575)),IF(AND($B$171=1,I574=1),B575,""))</x:f>
        <x:v>554800.6595786813</x:v>
      </x:c>
      <x:c r="I575" s="444" t="n">
        <x:f>IF(OR(I574=1,AND(E575&gt;0,$B$78&lt;&gt;"Cash payoff",NOT(AND($B$78="Refinance",ISNUMBER($B$80),$B$80&gt;=0,$B$80&lt;=1,ROUND($B$81*12,0)&gt;=1,$B$81&lt;=100,SUM($B$82)&gt;=0,SUM($B$82)&lt;=1,SUM($B$83)&gt;=0))),AND(ISNUMBER(B575),B575&gt;0,$B$171=1,NOT(ISNUMBER(D575)))),1,0)</x:f>
        <x:v>0</x:v>
      </x:c>
      <x:c r="J575" s="440" t="n">
        <x:f>IF(ISNUMBER(L574),L574,"")</x:f>
        <x:v>0</x:v>
      </x:c>
      <x:c r="K575" s="440" t="n">
        <x:f>IF(AND(ISNUMBER(J575),J575=0),0,IF(AND($B$176=1,ISNUMBER(J575)),MIN(J575*(1+$B$87/12),IF($B$86=0,0,IF($B$87=0,$B$86/ROUND($B$88*12,0),$B$86*($B$87/12)/(1-(1+$B$87/12)^(-ROUND($B$88*12,0)))))),""))</x:f>
        <x:v>0</x:v>
      </x:c>
      <x:c r="L575" s="440" t="n">
        <x:f>IF(ISNUMBER(K575),IF(MAX(0,J575*(1+SUM($B$87)/12)-K575)&lt;MAX(0.0000001,$B$86*0.00000000001),0,MAX(0,J575*(1+SUM($B$87)/12)-K575)),"")</x:f>
        <x:v>0</x:v>
      </x:c>
      <x:c r="M575" s="440" t="n">
        <x:f>IF(AND(ISNUMBER(D575),ISNUMBER(K575)),D575+K575,"")</x:f>
        <x:v>4679.450723240598</x:v>
      </x:c>
      <x:c r="N575" s="440" t="n">
        <x:f>IF(AND(ISNUMBER(H575),ISNUMBER(L575)),H575+L575,"")</x:f>
        <x:v>554800.6595786813</x:v>
      </x:c>
    </x:row>
    <x:row r="576" ht="22" customHeight="1">
      <x:c r="A576" s="254" t="n">
        <x:f>176</x:f>
        <x:v>176</x:v>
      </x:c>
      <x:c r="B576" s="440" t="n">
        <x:f>IF(ISNUMBER(H575),H575,"")</x:f>
        <x:v>554800.6595786813</x:v>
      </x:c>
      <x:c r="C576" s="442" t="n">
        <x:f>IF(ISNUMBER(B576),IF(AND(176&gt;$B$173,$B$78="Refinance",ISNUMBER($B$80),$B$80&gt;=0,$B$80&lt;=1,ROUND($B$81*12,0)&gt;=1,$B$81&lt;=100,SUM($B$82)&gt;=0,SUM($B$82)&lt;=1,SUM($B$83)&gt;=0),$B$80,IF(AND($B$175&gt;0,176&gt;$B$175,ISNUMBER($B$75)),$B$75,$B$61)),"")</x:f>
        <x:v>0.0625</x:v>
      </x:c>
      <x:c r="D576" s="440" t="n">
        <x:f>IF(AND(ISNUMBER(B576),B576=0),0,IF(AND($B$171=1,I575=0,ISNUMBER(C576),ISNUMBER(IF(AND(176&lt;=$B$174,176&lt;=$B$173),B576*C576/12,IF(AND(176=$B$173+1,AND(176&gt;$B$173,$B$78="Refinance",ISNUMBER($B$80),$B$80&gt;=0,$B$80&lt;=1,ROUND($B$81*12,0)&gt;=1,$B$81&lt;=100,SUM($B$82)&gt;=0,SUM($B$82)&lt;=1,SUM($B$83)&gt;=0)),IF(B576=0,0,IF(C576=0,B576/ROUND($B$81*12,0),B576*(C576/12)/(1-(1+C576/12)^(-ROUND($B$81*12,0))))),IF(AND(NOT(AND(176&gt;$B$173,$B$78="Refinance",ISNUMBER($B$80),$B$80&gt;=0,$B$80&lt;=1,ROUND($B$81*12,0)&gt;=1,$B$81&lt;=100,SUM($B$82)&gt;=0,SUM($B$82)&lt;=1,SUM($B$83)&gt;=0)),OR(176=1,176=$B$174+1,AND($B$175&gt;0,176=$B$175+1))),IF(AND($B$170=1,$B$66&gt;0,OR($B$175=0,176&lt;=$B$175)),$B$66,IF($B$172-MAX(176-1,$B$174)&gt;0,IF(B576=0,0,IF(C576=0,B576/($B$172-MAX(176-1,$B$174)),B576*(C576/12)/(1-(1+C576/12)^(-($B$172-MAX(176-1,$B$174)))))),"")),D575))))),IF(IF(AND(176&lt;=$B$174,176&lt;=$B$173),B576*C576/12,IF(AND(176=$B$173+1,AND(176&gt;$B$173,$B$78="Refinance",ISNUMBER($B$80),$B$80&gt;=0,$B$80&lt;=1,ROUND($B$81*12,0)&gt;=1,$B$81&lt;=100,SUM($B$82)&gt;=0,SUM($B$82)&lt;=1,SUM($B$83)&gt;=0)),IF(B576=0,0,IF(C576=0,B576/ROUND($B$81*12,0),B576*(C576/12)/(1-(1+C576/12)^(-ROUND($B$81*12,0))))),IF(AND(NOT(AND(176&gt;$B$173,$B$78="Refinance",ISNUMBER($B$80),$B$80&gt;=0,$B$80&lt;=1,ROUND($B$81*12,0)&gt;=1,$B$81&lt;=100,SUM($B$82)&gt;=0,SUM($B$82)&lt;=1,SUM($B$83)&gt;=0)),OR(176=1,176=$B$174+1,AND($B$175&gt;0,176=$B$175+1))),IF(AND($B$170=1,$B$66&gt;0,OR($B$175=0,176&lt;=$B$175)),$B$66,IF($B$172-MAX(176-1,$B$174)&gt;0,IF(B576=0,0,IF(C576=0,B576/($B$172-MAX(176-1,$B$174)),B576*(C576/12)/(1-(1+C576/12)^(-($B$172-MAX(176-1,$B$174)))))),"")),D575)))+0.0000001&gt;=B576*C576/12,MIN(B576*(1+C576/12),IF(AND(176&lt;=$B$174,176&lt;=$B$173),B576*C576/12,IF(AND(176=$B$173+1,AND(176&gt;$B$173,$B$78="Refinance",ISNUMBER($B$80),$B$80&gt;=0,$B$80&lt;=1,ROUND($B$81*12,0)&gt;=1,$B$81&lt;=100,SUM($B$82)&gt;=0,SUM($B$82)&lt;=1,SUM($B$83)&gt;=0)),IF(B576=0,0,IF(C576=0,B576/ROUND($B$81*12,0),B576*(C576/12)/(1-(1+C576/12)^(-ROUND($B$81*12,0))))),IF(AND(NOT(AND(176&gt;$B$173,$B$78="Refinance",ISNUMBER($B$80),$B$80&gt;=0,$B$80&lt;=1,ROUND($B$81*12,0)&gt;=1,$B$81&lt;=100,SUM($B$82)&gt;=0,SUM($B$82)&lt;=1,SUM($B$83)&gt;=0)),OR(176=1,176=$B$174+1,AND($B$175&gt;0,176=$B$175+1))),IF(AND($B$170=1,$B$66&gt;0,OR($B$175=0,176&lt;=$B$175)),$B$66,IF($B$172-MAX(176-1,$B$174)&gt;0,IF(B576=0,0,IF(C576=0,B576/($B$172-MAX(176-1,$B$174)),B576*(C576/12)/(1-(1+C576/12)^(-($B$172-MAX(176-1,$B$174)))))),"")),D575)))),""),""))</x:f>
        <x:v>4679.450723240598</x:v>
      </x:c>
      <x:c r="E576" s="440" t="n">
        <x:f>IF(AND(176=$B$173,ISNUMBER(D576)),IF(MAX(0,B576*(1+C576/12)-D576)&lt;MAX(0.0000001,$E$17*0.00000000001),0,MAX(0,B576*(1+C576/12)-D576)),0)</x:f>
        <x:v>0</x:v>
      </x:c>
      <x:c r="F576" s="440" t="n">
        <x:f>IF($B$78="Cash payoff",E576,0)</x:f>
        <x:v>0</x:v>
      </x:c>
      <x:c r="G576" s="440" t="n">
        <x:f>IF(AND(E576&gt;0,AND($B$78="Refinance",ISNUMBER($B$80),$B$80&gt;=0,$B$80&lt;=1,ROUND($B$81*12,0)&gt;=1,$B$81&lt;=100,SUM($B$82)&gt;=0,SUM($B$82)&lt;=1,SUM($B$83)&gt;=0)),E576*SUM($B$82)+SUM($B$83),0)</x:f>
        <x:v>0</x:v>
      </x:c>
      <x:c r="H576" s="440" t="n">
        <x:f>IF(ISNUMBER(D576),IF(MAX(0,B576*(1+C576/12)-D576-F576)&lt;MAX(0.0000001,$E$17*0.00000000001),0,MAX(0,B576*(1+C576/12)-D576-F576)),IF(AND($B$171=1,I575=1),B576,""))</x:f>
        <x:v>553010.7956240796</x:v>
      </x:c>
      <x:c r="I576" s="444" t="n">
        <x:f>IF(OR(I575=1,AND(E576&gt;0,$B$78&lt;&gt;"Cash payoff",NOT(AND($B$78="Refinance",ISNUMBER($B$80),$B$80&gt;=0,$B$80&lt;=1,ROUND($B$81*12,0)&gt;=1,$B$81&lt;=100,SUM($B$82)&gt;=0,SUM($B$82)&lt;=1,SUM($B$83)&gt;=0))),AND(ISNUMBER(B576),B576&gt;0,$B$171=1,NOT(ISNUMBER(D576)))),1,0)</x:f>
        <x:v>0</x:v>
      </x:c>
      <x:c r="J576" s="440" t="n">
        <x:f>IF(ISNUMBER(L575),L575,"")</x:f>
        <x:v>0</x:v>
      </x:c>
      <x:c r="K576" s="440" t="n">
        <x:f>IF(AND(ISNUMBER(J576),J576=0),0,IF(AND($B$176=1,ISNUMBER(J576)),MIN(J576*(1+$B$87/12),IF($B$86=0,0,IF($B$87=0,$B$86/ROUND($B$88*12,0),$B$86*($B$87/12)/(1-(1+$B$87/12)^(-ROUND($B$88*12,0)))))),""))</x:f>
        <x:v>0</x:v>
      </x:c>
      <x:c r="L576" s="440" t="n">
        <x:f>IF(ISNUMBER(K576),IF(MAX(0,J576*(1+SUM($B$87)/12)-K576)&lt;MAX(0.0000001,$B$86*0.00000000001),0,MAX(0,J576*(1+SUM($B$87)/12)-K576)),"")</x:f>
        <x:v>0</x:v>
      </x:c>
      <x:c r="M576" s="440" t="n">
        <x:f>IF(AND(ISNUMBER(D576),ISNUMBER(K576)),D576+K576,"")</x:f>
        <x:v>4679.450723240598</x:v>
      </x:c>
      <x:c r="N576" s="440" t="n">
        <x:f>IF(AND(ISNUMBER(H576),ISNUMBER(L576)),H576+L576,"")</x:f>
        <x:v>553010.7956240796</x:v>
      </x:c>
    </x:row>
    <x:row r="577" ht="22" customHeight="1">
      <x:c r="A577" s="254" t="n">
        <x:f>177</x:f>
        <x:v>177</x:v>
      </x:c>
      <x:c r="B577" s="440" t="n">
        <x:f>IF(ISNUMBER(H576),H576,"")</x:f>
        <x:v>553010.7956240796</x:v>
      </x:c>
      <x:c r="C577" s="442" t="n">
        <x:f>IF(ISNUMBER(B577),IF(AND(177&gt;$B$173,$B$78="Refinance",ISNUMBER($B$80),$B$80&gt;=0,$B$80&lt;=1,ROUND($B$81*12,0)&gt;=1,$B$81&lt;=100,SUM($B$82)&gt;=0,SUM($B$82)&lt;=1,SUM($B$83)&gt;=0),$B$80,IF(AND($B$175&gt;0,177&gt;$B$175,ISNUMBER($B$75)),$B$75,$B$61)),"")</x:f>
        <x:v>0.0625</x:v>
      </x:c>
      <x:c r="D577" s="440" t="n">
        <x:f>IF(AND(ISNUMBER(B577),B577=0),0,IF(AND($B$171=1,I576=0,ISNUMBER(C577),ISNUMBER(IF(AND(177&lt;=$B$174,177&lt;=$B$173),B577*C577/12,IF(AND(177=$B$173+1,AND(177&gt;$B$173,$B$78="Refinance",ISNUMBER($B$80),$B$80&gt;=0,$B$80&lt;=1,ROUND($B$81*12,0)&gt;=1,$B$81&lt;=100,SUM($B$82)&gt;=0,SUM($B$82)&lt;=1,SUM($B$83)&gt;=0)),IF(B577=0,0,IF(C577=0,B577/ROUND($B$81*12,0),B577*(C577/12)/(1-(1+C577/12)^(-ROUND($B$81*12,0))))),IF(AND(NOT(AND(177&gt;$B$173,$B$78="Refinance",ISNUMBER($B$80),$B$80&gt;=0,$B$80&lt;=1,ROUND($B$81*12,0)&gt;=1,$B$81&lt;=100,SUM($B$82)&gt;=0,SUM($B$82)&lt;=1,SUM($B$83)&gt;=0)),OR(177=1,177=$B$174+1,AND($B$175&gt;0,177=$B$175+1))),IF(AND($B$170=1,$B$66&gt;0,OR($B$175=0,177&lt;=$B$175)),$B$66,IF($B$172-MAX(177-1,$B$174)&gt;0,IF(B577=0,0,IF(C577=0,B577/($B$172-MAX(177-1,$B$174)),B577*(C577/12)/(1-(1+C577/12)^(-($B$172-MAX(177-1,$B$174)))))),"")),D576))))),IF(IF(AND(177&lt;=$B$174,177&lt;=$B$173),B577*C577/12,IF(AND(177=$B$173+1,AND(177&gt;$B$173,$B$78="Refinance",ISNUMBER($B$80),$B$80&gt;=0,$B$80&lt;=1,ROUND($B$81*12,0)&gt;=1,$B$81&lt;=100,SUM($B$82)&gt;=0,SUM($B$82)&lt;=1,SUM($B$83)&gt;=0)),IF(B577=0,0,IF(C577=0,B577/ROUND($B$81*12,0),B577*(C577/12)/(1-(1+C577/12)^(-ROUND($B$81*12,0))))),IF(AND(NOT(AND(177&gt;$B$173,$B$78="Refinance",ISNUMBER($B$80),$B$80&gt;=0,$B$80&lt;=1,ROUND($B$81*12,0)&gt;=1,$B$81&lt;=100,SUM($B$82)&gt;=0,SUM($B$82)&lt;=1,SUM($B$83)&gt;=0)),OR(177=1,177=$B$174+1,AND($B$175&gt;0,177=$B$175+1))),IF(AND($B$170=1,$B$66&gt;0,OR($B$175=0,177&lt;=$B$175)),$B$66,IF($B$172-MAX(177-1,$B$174)&gt;0,IF(B577=0,0,IF(C577=0,B577/($B$172-MAX(177-1,$B$174)),B577*(C577/12)/(1-(1+C577/12)^(-($B$172-MAX(177-1,$B$174)))))),"")),D576)))+0.0000001&gt;=B577*C577/12,MIN(B577*(1+C577/12),IF(AND(177&lt;=$B$174,177&lt;=$B$173),B577*C577/12,IF(AND(177=$B$173+1,AND(177&gt;$B$173,$B$78="Refinance",ISNUMBER($B$80),$B$80&gt;=0,$B$80&lt;=1,ROUND($B$81*12,0)&gt;=1,$B$81&lt;=100,SUM($B$82)&gt;=0,SUM($B$82)&lt;=1,SUM($B$83)&gt;=0)),IF(B577=0,0,IF(C577=0,B577/ROUND($B$81*12,0),B577*(C577/12)/(1-(1+C577/12)^(-ROUND($B$81*12,0))))),IF(AND(NOT(AND(177&gt;$B$173,$B$78="Refinance",ISNUMBER($B$80),$B$80&gt;=0,$B$80&lt;=1,ROUND($B$81*12,0)&gt;=1,$B$81&lt;=100,SUM($B$82)&gt;=0,SUM($B$82)&lt;=1,SUM($B$83)&gt;=0)),OR(177=1,177=$B$174+1,AND($B$175&gt;0,177=$B$175+1))),IF(AND($B$170=1,$B$66&gt;0,OR($B$175=0,177&lt;=$B$175)),$B$66,IF($B$172-MAX(177-1,$B$174)&gt;0,IF(B577=0,0,IF(C577=0,B577/($B$172-MAX(177-1,$B$174)),B577*(C577/12)/(1-(1+C577/12)^(-($B$172-MAX(177-1,$B$174)))))),"")),D576)))),""),""))</x:f>
        <x:v>4679.450723240598</x:v>
      </x:c>
      <x:c r="E577" s="440" t="n">
        <x:f>IF(AND(177=$B$173,ISNUMBER(D577)),IF(MAX(0,B577*(1+C577/12)-D577)&lt;MAX(0.0000001,$E$17*0.00000000001),0,MAX(0,B577*(1+C577/12)-D577)),0)</x:f>
        <x:v>0</x:v>
      </x:c>
      <x:c r="F577" s="440" t="n">
        <x:f>IF($B$78="Cash payoff",E577,0)</x:f>
        <x:v>0</x:v>
      </x:c>
      <x:c r="G577" s="440" t="n">
        <x:f>IF(AND(E577&gt;0,AND($B$78="Refinance",ISNUMBER($B$80),$B$80&gt;=0,$B$80&lt;=1,ROUND($B$81*12,0)&gt;=1,$B$81&lt;=100,SUM($B$82)&gt;=0,SUM($B$82)&lt;=1,SUM($B$83)&gt;=0)),E577*SUM($B$82)+SUM($B$83),0)</x:f>
        <x:v>0</x:v>
      </x:c>
      <x:c r="H577" s="440" t="n">
        <x:f>IF(ISNUMBER(D577),IF(MAX(0,B577*(1+C577/12)-D577-F577)&lt;MAX(0.0000001,$E$17*0.00000000001),0,MAX(0,B577*(1+C577/12)-D577-F577)),IF(AND($B$171=1,I576=1),B577,""))</x:f>
        <x:v>551211.6094613811</x:v>
      </x:c>
      <x:c r="I577" s="444" t="n">
        <x:f>IF(OR(I576=1,AND(E577&gt;0,$B$78&lt;&gt;"Cash payoff",NOT(AND($B$78="Refinance",ISNUMBER($B$80),$B$80&gt;=0,$B$80&lt;=1,ROUND($B$81*12,0)&gt;=1,$B$81&lt;=100,SUM($B$82)&gt;=0,SUM($B$82)&lt;=1,SUM($B$83)&gt;=0))),AND(ISNUMBER(B577),B577&gt;0,$B$171=1,NOT(ISNUMBER(D577)))),1,0)</x:f>
        <x:v>0</x:v>
      </x:c>
      <x:c r="J577" s="440" t="n">
        <x:f>IF(ISNUMBER(L576),L576,"")</x:f>
        <x:v>0</x:v>
      </x:c>
      <x:c r="K577" s="440" t="n">
        <x:f>IF(AND(ISNUMBER(J577),J577=0),0,IF(AND($B$176=1,ISNUMBER(J577)),MIN(J577*(1+$B$87/12),IF($B$86=0,0,IF($B$87=0,$B$86/ROUND($B$88*12,0),$B$86*($B$87/12)/(1-(1+$B$87/12)^(-ROUND($B$88*12,0)))))),""))</x:f>
        <x:v>0</x:v>
      </x:c>
      <x:c r="L577" s="440" t="n">
        <x:f>IF(ISNUMBER(K577),IF(MAX(0,J577*(1+SUM($B$87)/12)-K577)&lt;MAX(0.0000001,$B$86*0.00000000001),0,MAX(0,J577*(1+SUM($B$87)/12)-K577)),"")</x:f>
        <x:v>0</x:v>
      </x:c>
      <x:c r="M577" s="440" t="n">
        <x:f>IF(AND(ISNUMBER(D577),ISNUMBER(K577)),D577+K577,"")</x:f>
        <x:v>4679.450723240598</x:v>
      </x:c>
      <x:c r="N577" s="440" t="n">
        <x:f>IF(AND(ISNUMBER(H577),ISNUMBER(L577)),H577+L577,"")</x:f>
        <x:v>551211.6094613811</x:v>
      </x:c>
    </x:row>
    <x:row r="578" ht="22" customHeight="1">
      <x:c r="A578" s="254" t="n">
        <x:f>178</x:f>
        <x:v>178</x:v>
      </x:c>
      <x:c r="B578" s="440" t="n">
        <x:f>IF(ISNUMBER(H577),H577,"")</x:f>
        <x:v>551211.6094613811</x:v>
      </x:c>
      <x:c r="C578" s="442" t="n">
        <x:f>IF(ISNUMBER(B578),IF(AND(178&gt;$B$173,$B$78="Refinance",ISNUMBER($B$80),$B$80&gt;=0,$B$80&lt;=1,ROUND($B$81*12,0)&gt;=1,$B$81&lt;=100,SUM($B$82)&gt;=0,SUM($B$82)&lt;=1,SUM($B$83)&gt;=0),$B$80,IF(AND($B$175&gt;0,178&gt;$B$175,ISNUMBER($B$75)),$B$75,$B$61)),"")</x:f>
        <x:v>0.0625</x:v>
      </x:c>
      <x:c r="D578" s="440" t="n">
        <x:f>IF(AND(ISNUMBER(B578),B578=0),0,IF(AND($B$171=1,I577=0,ISNUMBER(C578),ISNUMBER(IF(AND(178&lt;=$B$174,178&lt;=$B$173),B578*C578/12,IF(AND(178=$B$173+1,AND(178&gt;$B$173,$B$78="Refinance",ISNUMBER($B$80),$B$80&gt;=0,$B$80&lt;=1,ROUND($B$81*12,0)&gt;=1,$B$81&lt;=100,SUM($B$82)&gt;=0,SUM($B$82)&lt;=1,SUM($B$83)&gt;=0)),IF(B578=0,0,IF(C578=0,B578/ROUND($B$81*12,0),B578*(C578/12)/(1-(1+C578/12)^(-ROUND($B$81*12,0))))),IF(AND(NOT(AND(178&gt;$B$173,$B$78="Refinance",ISNUMBER($B$80),$B$80&gt;=0,$B$80&lt;=1,ROUND($B$81*12,0)&gt;=1,$B$81&lt;=100,SUM($B$82)&gt;=0,SUM($B$82)&lt;=1,SUM($B$83)&gt;=0)),OR(178=1,178=$B$174+1,AND($B$175&gt;0,178=$B$175+1))),IF(AND($B$170=1,$B$66&gt;0,OR($B$175=0,178&lt;=$B$175)),$B$66,IF($B$172-MAX(178-1,$B$174)&gt;0,IF(B578=0,0,IF(C578=0,B578/($B$172-MAX(178-1,$B$174)),B578*(C578/12)/(1-(1+C578/12)^(-($B$172-MAX(178-1,$B$174)))))),"")),D577))))),IF(IF(AND(178&lt;=$B$174,178&lt;=$B$173),B578*C578/12,IF(AND(178=$B$173+1,AND(178&gt;$B$173,$B$78="Refinance",ISNUMBER($B$80),$B$80&gt;=0,$B$80&lt;=1,ROUND($B$81*12,0)&gt;=1,$B$81&lt;=100,SUM($B$82)&gt;=0,SUM($B$82)&lt;=1,SUM($B$83)&gt;=0)),IF(B578=0,0,IF(C578=0,B578/ROUND($B$81*12,0),B578*(C578/12)/(1-(1+C578/12)^(-ROUND($B$81*12,0))))),IF(AND(NOT(AND(178&gt;$B$173,$B$78="Refinance",ISNUMBER($B$80),$B$80&gt;=0,$B$80&lt;=1,ROUND($B$81*12,0)&gt;=1,$B$81&lt;=100,SUM($B$82)&gt;=0,SUM($B$82)&lt;=1,SUM($B$83)&gt;=0)),OR(178=1,178=$B$174+1,AND($B$175&gt;0,178=$B$175+1))),IF(AND($B$170=1,$B$66&gt;0,OR($B$175=0,178&lt;=$B$175)),$B$66,IF($B$172-MAX(178-1,$B$174)&gt;0,IF(B578=0,0,IF(C578=0,B578/($B$172-MAX(178-1,$B$174)),B578*(C578/12)/(1-(1+C578/12)^(-($B$172-MAX(178-1,$B$174)))))),"")),D577)))+0.0000001&gt;=B578*C578/12,MIN(B578*(1+C578/12),IF(AND(178&lt;=$B$174,178&lt;=$B$173),B578*C578/12,IF(AND(178=$B$173+1,AND(178&gt;$B$173,$B$78="Refinance",ISNUMBER($B$80),$B$80&gt;=0,$B$80&lt;=1,ROUND($B$81*12,0)&gt;=1,$B$81&lt;=100,SUM($B$82)&gt;=0,SUM($B$82)&lt;=1,SUM($B$83)&gt;=0)),IF(B578=0,0,IF(C578=0,B578/ROUND($B$81*12,0),B578*(C578/12)/(1-(1+C578/12)^(-ROUND($B$81*12,0))))),IF(AND(NOT(AND(178&gt;$B$173,$B$78="Refinance",ISNUMBER($B$80),$B$80&gt;=0,$B$80&lt;=1,ROUND($B$81*12,0)&gt;=1,$B$81&lt;=100,SUM($B$82)&gt;=0,SUM($B$82)&lt;=1,SUM($B$83)&gt;=0)),OR(178=1,178=$B$174+1,AND($B$175&gt;0,178=$B$175+1))),IF(AND($B$170=1,$B$66&gt;0,OR($B$175=0,178&lt;=$B$175)),$B$66,IF($B$172-MAX(178-1,$B$174)&gt;0,IF(B578=0,0,IF(C578=0,B578/($B$172-MAX(178-1,$B$174)),B578*(C578/12)/(1-(1+C578/12)^(-($B$172-MAX(178-1,$B$174)))))),"")),D577)))),""),""))</x:f>
        <x:v>4679.450723240598</x:v>
      </x:c>
      <x:c r="E578" s="440" t="n">
        <x:f>IF(AND(178=$B$173,ISNUMBER(D578)),IF(MAX(0,B578*(1+C578/12)-D578)&lt;MAX(0.0000001,$E$17*0.00000000001),0,MAX(0,B578*(1+C578/12)-D578)),0)</x:f>
        <x:v>0</x:v>
      </x:c>
      <x:c r="F578" s="440" t="n">
        <x:f>IF($B$78="Cash payoff",E578,0)</x:f>
        <x:v>0</x:v>
      </x:c>
      <x:c r="G578" s="440" t="n">
        <x:f>IF(AND(E578&gt;0,AND($B$78="Refinance",ISNUMBER($B$80),$B$80&gt;=0,$B$80&lt;=1,ROUND($B$81*12,0)&gt;=1,$B$81&lt;=100,SUM($B$82)&gt;=0,SUM($B$82)&lt;=1,SUM($B$83)&gt;=0)),E578*SUM($B$82)+SUM($B$83),0)</x:f>
        <x:v>0</x:v>
      </x:c>
      <x:c r="H578" s="440" t="n">
        <x:f>IF(ISNUMBER(D578),IF(MAX(0,B578*(1+C578/12)-D578-F578)&lt;MAX(0.0000001,$E$17*0.00000000001),0,MAX(0,B578*(1+C578/12)-D578-F578)),IF(AND($B$171=1,I577=1),B578,""))</x:f>
        <x:v>549403.0525374184</x:v>
      </x:c>
      <x:c r="I578" s="444" t="n">
        <x:f>IF(OR(I577=1,AND(E578&gt;0,$B$78&lt;&gt;"Cash payoff",NOT(AND($B$78="Refinance",ISNUMBER($B$80),$B$80&gt;=0,$B$80&lt;=1,ROUND($B$81*12,0)&gt;=1,$B$81&lt;=100,SUM($B$82)&gt;=0,SUM($B$82)&lt;=1,SUM($B$83)&gt;=0))),AND(ISNUMBER(B578),B578&gt;0,$B$171=1,NOT(ISNUMBER(D578)))),1,0)</x:f>
        <x:v>0</x:v>
      </x:c>
      <x:c r="J578" s="440" t="n">
        <x:f>IF(ISNUMBER(L577),L577,"")</x:f>
        <x:v>0</x:v>
      </x:c>
      <x:c r="K578" s="440" t="n">
        <x:f>IF(AND(ISNUMBER(J578),J578=0),0,IF(AND($B$176=1,ISNUMBER(J578)),MIN(J578*(1+$B$87/12),IF($B$86=0,0,IF($B$87=0,$B$86/ROUND($B$88*12,0),$B$86*($B$87/12)/(1-(1+$B$87/12)^(-ROUND($B$88*12,0)))))),""))</x:f>
        <x:v>0</x:v>
      </x:c>
      <x:c r="L578" s="440" t="n">
        <x:f>IF(ISNUMBER(K578),IF(MAX(0,J578*(1+SUM($B$87)/12)-K578)&lt;MAX(0.0000001,$B$86*0.00000000001),0,MAX(0,J578*(1+SUM($B$87)/12)-K578)),"")</x:f>
        <x:v>0</x:v>
      </x:c>
      <x:c r="M578" s="440" t="n">
        <x:f>IF(AND(ISNUMBER(D578),ISNUMBER(K578)),D578+K578,"")</x:f>
        <x:v>4679.450723240598</x:v>
      </x:c>
      <x:c r="N578" s="440" t="n">
        <x:f>IF(AND(ISNUMBER(H578),ISNUMBER(L578)),H578+L578,"")</x:f>
        <x:v>549403.0525374184</x:v>
      </x:c>
    </x:row>
    <x:row r="579" ht="22" customHeight="1">
      <x:c r="A579" s="254" t="n">
        <x:f>179</x:f>
        <x:v>179</x:v>
      </x:c>
      <x:c r="B579" s="440" t="n">
        <x:f>IF(ISNUMBER(H578),H578,"")</x:f>
        <x:v>549403.0525374184</x:v>
      </x:c>
      <x:c r="C579" s="442" t="n">
        <x:f>IF(ISNUMBER(B579),IF(AND(179&gt;$B$173,$B$78="Refinance",ISNUMBER($B$80),$B$80&gt;=0,$B$80&lt;=1,ROUND($B$81*12,0)&gt;=1,$B$81&lt;=100,SUM($B$82)&gt;=0,SUM($B$82)&lt;=1,SUM($B$83)&gt;=0),$B$80,IF(AND($B$175&gt;0,179&gt;$B$175,ISNUMBER($B$75)),$B$75,$B$61)),"")</x:f>
        <x:v>0.0625</x:v>
      </x:c>
      <x:c r="D579" s="440" t="n">
        <x:f>IF(AND(ISNUMBER(B579),B579=0),0,IF(AND($B$171=1,I578=0,ISNUMBER(C579),ISNUMBER(IF(AND(179&lt;=$B$174,179&lt;=$B$173),B579*C579/12,IF(AND(179=$B$173+1,AND(179&gt;$B$173,$B$78="Refinance",ISNUMBER($B$80),$B$80&gt;=0,$B$80&lt;=1,ROUND($B$81*12,0)&gt;=1,$B$81&lt;=100,SUM($B$82)&gt;=0,SUM($B$82)&lt;=1,SUM($B$83)&gt;=0)),IF(B579=0,0,IF(C579=0,B579/ROUND($B$81*12,0),B579*(C579/12)/(1-(1+C579/12)^(-ROUND($B$81*12,0))))),IF(AND(NOT(AND(179&gt;$B$173,$B$78="Refinance",ISNUMBER($B$80),$B$80&gt;=0,$B$80&lt;=1,ROUND($B$81*12,0)&gt;=1,$B$81&lt;=100,SUM($B$82)&gt;=0,SUM($B$82)&lt;=1,SUM($B$83)&gt;=0)),OR(179=1,179=$B$174+1,AND($B$175&gt;0,179=$B$175+1))),IF(AND($B$170=1,$B$66&gt;0,OR($B$175=0,179&lt;=$B$175)),$B$66,IF($B$172-MAX(179-1,$B$174)&gt;0,IF(B579=0,0,IF(C579=0,B579/($B$172-MAX(179-1,$B$174)),B579*(C579/12)/(1-(1+C579/12)^(-($B$172-MAX(179-1,$B$174)))))),"")),D578))))),IF(IF(AND(179&lt;=$B$174,179&lt;=$B$173),B579*C579/12,IF(AND(179=$B$173+1,AND(179&gt;$B$173,$B$78="Refinance",ISNUMBER($B$80),$B$80&gt;=0,$B$80&lt;=1,ROUND($B$81*12,0)&gt;=1,$B$81&lt;=100,SUM($B$82)&gt;=0,SUM($B$82)&lt;=1,SUM($B$83)&gt;=0)),IF(B579=0,0,IF(C579=0,B579/ROUND($B$81*12,0),B579*(C579/12)/(1-(1+C579/12)^(-ROUND($B$81*12,0))))),IF(AND(NOT(AND(179&gt;$B$173,$B$78="Refinance",ISNUMBER($B$80),$B$80&gt;=0,$B$80&lt;=1,ROUND($B$81*12,0)&gt;=1,$B$81&lt;=100,SUM($B$82)&gt;=0,SUM($B$82)&lt;=1,SUM($B$83)&gt;=0)),OR(179=1,179=$B$174+1,AND($B$175&gt;0,179=$B$175+1))),IF(AND($B$170=1,$B$66&gt;0,OR($B$175=0,179&lt;=$B$175)),$B$66,IF($B$172-MAX(179-1,$B$174)&gt;0,IF(B579=0,0,IF(C579=0,B579/($B$172-MAX(179-1,$B$174)),B579*(C579/12)/(1-(1+C579/12)^(-($B$172-MAX(179-1,$B$174)))))),"")),D578)))+0.0000001&gt;=B579*C579/12,MIN(B579*(1+C579/12),IF(AND(179&lt;=$B$174,179&lt;=$B$173),B579*C579/12,IF(AND(179=$B$173+1,AND(179&gt;$B$173,$B$78="Refinance",ISNUMBER($B$80),$B$80&gt;=0,$B$80&lt;=1,ROUND($B$81*12,0)&gt;=1,$B$81&lt;=100,SUM($B$82)&gt;=0,SUM($B$82)&lt;=1,SUM($B$83)&gt;=0)),IF(B579=0,0,IF(C579=0,B579/ROUND($B$81*12,0),B579*(C579/12)/(1-(1+C579/12)^(-ROUND($B$81*12,0))))),IF(AND(NOT(AND(179&gt;$B$173,$B$78="Refinance",ISNUMBER($B$80),$B$80&gt;=0,$B$80&lt;=1,ROUND($B$81*12,0)&gt;=1,$B$81&lt;=100,SUM($B$82)&gt;=0,SUM($B$82)&lt;=1,SUM($B$83)&gt;=0)),OR(179=1,179=$B$174+1,AND($B$175&gt;0,179=$B$175+1))),IF(AND($B$170=1,$B$66&gt;0,OR($B$175=0,179&lt;=$B$175)),$B$66,IF($B$172-MAX(179-1,$B$174)&gt;0,IF(B579=0,0,IF(C579=0,B579/($B$172-MAX(179-1,$B$174)),B579*(C579/12)/(1-(1+C579/12)^(-($B$172-MAX(179-1,$B$174)))))),"")),D578)))),""),""))</x:f>
        <x:v>4679.450723240598</x:v>
      </x:c>
      <x:c r="E579" s="440" t="n">
        <x:f>IF(AND(179=$B$173,ISNUMBER(D579)),IF(MAX(0,B579*(1+C579/12)-D579)&lt;MAX(0.0000001,$E$17*0.00000000001),0,MAX(0,B579*(1+C579/12)-D579)),0)</x:f>
        <x:v>0</x:v>
      </x:c>
      <x:c r="F579" s="440" t="n">
        <x:f>IF($B$78="Cash payoff",E579,0)</x:f>
        <x:v>0</x:v>
      </x:c>
      <x:c r="G579" s="440" t="n">
        <x:f>IF(AND(E579&gt;0,AND($B$78="Refinance",ISNUMBER($B$80),$B$80&gt;=0,$B$80&lt;=1,ROUND($B$81*12,0)&gt;=1,$B$81&lt;=100,SUM($B$82)&gt;=0,SUM($B$82)&lt;=1,SUM($B$83)&gt;=0)),E579*SUM($B$82)+SUM($B$83),0)</x:f>
        <x:v>0</x:v>
      </x:c>
      <x:c r="H579" s="440" t="n">
        <x:f>IF(ISNUMBER(D579),IF(MAX(0,B579*(1+C579/12)-D579-F579)&lt;MAX(0.0000001,$E$17*0.00000000001),0,MAX(0,B579*(1+C579/12)-D579-F579)),IF(AND($B$171=1,I578=1),B579,""))</x:f>
        <x:v>547585.0760461435</x:v>
      </x:c>
      <x:c r="I579" s="444" t="n">
        <x:f>IF(OR(I578=1,AND(E579&gt;0,$B$78&lt;&gt;"Cash payoff",NOT(AND($B$78="Refinance",ISNUMBER($B$80),$B$80&gt;=0,$B$80&lt;=1,ROUND($B$81*12,0)&gt;=1,$B$81&lt;=100,SUM($B$82)&gt;=0,SUM($B$82)&lt;=1,SUM($B$83)&gt;=0))),AND(ISNUMBER(B579),B579&gt;0,$B$171=1,NOT(ISNUMBER(D579)))),1,0)</x:f>
        <x:v>0</x:v>
      </x:c>
      <x:c r="J579" s="440" t="n">
        <x:f>IF(ISNUMBER(L578),L578,"")</x:f>
        <x:v>0</x:v>
      </x:c>
      <x:c r="K579" s="440" t="n">
        <x:f>IF(AND(ISNUMBER(J579),J579=0),0,IF(AND($B$176=1,ISNUMBER(J579)),MIN(J579*(1+$B$87/12),IF($B$86=0,0,IF($B$87=0,$B$86/ROUND($B$88*12,0),$B$86*($B$87/12)/(1-(1+$B$87/12)^(-ROUND($B$88*12,0)))))),""))</x:f>
        <x:v>0</x:v>
      </x:c>
      <x:c r="L579" s="440" t="n">
        <x:f>IF(ISNUMBER(K579),IF(MAX(0,J579*(1+SUM($B$87)/12)-K579)&lt;MAX(0.0000001,$B$86*0.00000000001),0,MAX(0,J579*(1+SUM($B$87)/12)-K579)),"")</x:f>
        <x:v>0</x:v>
      </x:c>
      <x:c r="M579" s="440" t="n">
        <x:f>IF(AND(ISNUMBER(D579),ISNUMBER(K579)),D579+K579,"")</x:f>
        <x:v>4679.450723240598</x:v>
      </x:c>
      <x:c r="N579" s="440" t="n">
        <x:f>IF(AND(ISNUMBER(H579),ISNUMBER(L579)),H579+L579,"")</x:f>
        <x:v>547585.0760461435</x:v>
      </x:c>
    </x:row>
    <x:row r="580" ht="22" customHeight="1">
      <x:c r="A580" s="254" t="n">
        <x:f>180</x:f>
        <x:v>180</x:v>
      </x:c>
      <x:c r="B580" s="440" t="n">
        <x:f>IF(ISNUMBER(H579),H579,"")</x:f>
        <x:v>547585.0760461435</x:v>
      </x:c>
      <x:c r="C580" s="442" t="n">
        <x:f>IF(ISNUMBER(B580),IF(AND(180&gt;$B$173,$B$78="Refinance",ISNUMBER($B$80),$B$80&gt;=0,$B$80&lt;=1,ROUND($B$81*12,0)&gt;=1,$B$81&lt;=100,SUM($B$82)&gt;=0,SUM($B$82)&lt;=1,SUM($B$83)&gt;=0),$B$80,IF(AND($B$175&gt;0,180&gt;$B$175,ISNUMBER($B$75)),$B$75,$B$61)),"")</x:f>
        <x:v>0.0625</x:v>
      </x:c>
      <x:c r="D580" s="440" t="n">
        <x:f>IF(AND(ISNUMBER(B580),B580=0),0,IF(AND($B$171=1,I579=0,ISNUMBER(C580),ISNUMBER(IF(AND(180&lt;=$B$174,180&lt;=$B$173),B580*C580/12,IF(AND(180=$B$173+1,AND(180&gt;$B$173,$B$78="Refinance",ISNUMBER($B$80),$B$80&gt;=0,$B$80&lt;=1,ROUND($B$81*12,0)&gt;=1,$B$81&lt;=100,SUM($B$82)&gt;=0,SUM($B$82)&lt;=1,SUM($B$83)&gt;=0)),IF(B580=0,0,IF(C580=0,B580/ROUND($B$81*12,0),B580*(C580/12)/(1-(1+C580/12)^(-ROUND($B$81*12,0))))),IF(AND(NOT(AND(180&gt;$B$173,$B$78="Refinance",ISNUMBER($B$80),$B$80&gt;=0,$B$80&lt;=1,ROUND($B$81*12,0)&gt;=1,$B$81&lt;=100,SUM($B$82)&gt;=0,SUM($B$82)&lt;=1,SUM($B$83)&gt;=0)),OR(180=1,180=$B$174+1,AND($B$175&gt;0,180=$B$175+1))),IF(AND($B$170=1,$B$66&gt;0,OR($B$175=0,180&lt;=$B$175)),$B$66,IF($B$172-MAX(180-1,$B$174)&gt;0,IF(B580=0,0,IF(C580=0,B580/($B$172-MAX(180-1,$B$174)),B580*(C580/12)/(1-(1+C580/12)^(-($B$172-MAX(180-1,$B$174)))))),"")),D579))))),IF(IF(AND(180&lt;=$B$174,180&lt;=$B$173),B580*C580/12,IF(AND(180=$B$173+1,AND(180&gt;$B$173,$B$78="Refinance",ISNUMBER($B$80),$B$80&gt;=0,$B$80&lt;=1,ROUND($B$81*12,0)&gt;=1,$B$81&lt;=100,SUM($B$82)&gt;=0,SUM($B$82)&lt;=1,SUM($B$83)&gt;=0)),IF(B580=0,0,IF(C580=0,B580/ROUND($B$81*12,0),B580*(C580/12)/(1-(1+C580/12)^(-ROUND($B$81*12,0))))),IF(AND(NOT(AND(180&gt;$B$173,$B$78="Refinance",ISNUMBER($B$80),$B$80&gt;=0,$B$80&lt;=1,ROUND($B$81*12,0)&gt;=1,$B$81&lt;=100,SUM($B$82)&gt;=0,SUM($B$82)&lt;=1,SUM($B$83)&gt;=0)),OR(180=1,180=$B$174+1,AND($B$175&gt;0,180=$B$175+1))),IF(AND($B$170=1,$B$66&gt;0,OR($B$175=0,180&lt;=$B$175)),$B$66,IF($B$172-MAX(180-1,$B$174)&gt;0,IF(B580=0,0,IF(C580=0,B580/($B$172-MAX(180-1,$B$174)),B580*(C580/12)/(1-(1+C580/12)^(-($B$172-MAX(180-1,$B$174)))))),"")),D579)))+0.0000001&gt;=B580*C580/12,MIN(B580*(1+C580/12),IF(AND(180&lt;=$B$174,180&lt;=$B$173),B580*C580/12,IF(AND(180=$B$173+1,AND(180&gt;$B$173,$B$78="Refinance",ISNUMBER($B$80),$B$80&gt;=0,$B$80&lt;=1,ROUND($B$81*12,0)&gt;=1,$B$81&lt;=100,SUM($B$82)&gt;=0,SUM($B$82)&lt;=1,SUM($B$83)&gt;=0)),IF(B580=0,0,IF(C580=0,B580/ROUND($B$81*12,0),B580*(C580/12)/(1-(1+C580/12)^(-ROUND($B$81*12,0))))),IF(AND(NOT(AND(180&gt;$B$173,$B$78="Refinance",ISNUMBER($B$80),$B$80&gt;=0,$B$80&lt;=1,ROUND($B$81*12,0)&gt;=1,$B$81&lt;=100,SUM($B$82)&gt;=0,SUM($B$82)&lt;=1,SUM($B$83)&gt;=0)),OR(180=1,180=$B$174+1,AND($B$175&gt;0,180=$B$175+1))),IF(AND($B$170=1,$B$66&gt;0,OR($B$175=0,180&lt;=$B$175)),$B$66,IF($B$172-MAX(180-1,$B$174)&gt;0,IF(B580=0,0,IF(C580=0,B580/($B$172-MAX(180-1,$B$174)),B580*(C580/12)/(1-(1+C580/12)^(-($B$172-MAX(180-1,$B$174)))))),"")),D579)))),""),""))</x:f>
        <x:v>4679.450723240598</x:v>
      </x:c>
      <x:c r="E580" s="440" t="n">
        <x:f>IF(AND(180=$B$173,ISNUMBER(D580)),IF(MAX(0,B580*(1+C580/12)-D580)&lt;MAX(0.0000001,$E$17*0.00000000001),0,MAX(0,B580*(1+C580/12)-D580)),0)</x:f>
        <x:v>0</x:v>
      </x:c>
      <x:c r="F580" s="440" t="n">
        <x:f>IF($B$78="Cash payoff",E580,0)</x:f>
        <x:v>0</x:v>
      </x:c>
      <x:c r="G580" s="440" t="n">
        <x:f>IF(AND(E580&gt;0,AND($B$78="Refinance",ISNUMBER($B$80),$B$80&gt;=0,$B$80&lt;=1,ROUND($B$81*12,0)&gt;=1,$B$81&lt;=100,SUM($B$82)&gt;=0,SUM($B$82)&lt;=1,SUM($B$83)&gt;=0)),E580*SUM($B$82)+SUM($B$83),0)</x:f>
        <x:v>0</x:v>
      </x:c>
      <x:c r="H580" s="440" t="n">
        <x:f>IF(ISNUMBER(D580),IF(MAX(0,B580*(1+C580/12)-D580-F580)&lt;MAX(0.0000001,$E$17*0.00000000001),0,MAX(0,B580*(1+C580/12)-D580-F580)),IF(AND($B$171=1,I579=1),B580,""))</x:f>
        <x:v>545757.6309273099</x:v>
      </x:c>
      <x:c r="I580" s="444" t="n">
        <x:f>IF(OR(I579=1,AND(E580&gt;0,$B$78&lt;&gt;"Cash payoff",NOT(AND($B$78="Refinance",ISNUMBER($B$80),$B$80&gt;=0,$B$80&lt;=1,ROUND($B$81*12,0)&gt;=1,$B$81&lt;=100,SUM($B$82)&gt;=0,SUM($B$82)&lt;=1,SUM($B$83)&gt;=0))),AND(ISNUMBER(B580),B580&gt;0,$B$171=1,NOT(ISNUMBER(D580)))),1,0)</x:f>
        <x:v>0</x:v>
      </x:c>
      <x:c r="J580" s="440" t="n">
        <x:f>IF(ISNUMBER(L579),L579,"")</x:f>
        <x:v>0</x:v>
      </x:c>
      <x:c r="K580" s="440" t="n">
        <x:f>IF(AND(ISNUMBER(J580),J580=0),0,IF(AND($B$176=1,ISNUMBER(J580)),MIN(J580*(1+$B$87/12),IF($B$86=0,0,IF($B$87=0,$B$86/ROUND($B$88*12,0),$B$86*($B$87/12)/(1-(1+$B$87/12)^(-ROUND($B$88*12,0)))))),""))</x:f>
        <x:v>0</x:v>
      </x:c>
      <x:c r="L580" s="440" t="n">
        <x:f>IF(ISNUMBER(K580),IF(MAX(0,J580*(1+SUM($B$87)/12)-K580)&lt;MAX(0.0000001,$B$86*0.00000000001),0,MAX(0,J580*(1+SUM($B$87)/12)-K580)),"")</x:f>
        <x:v>0</x:v>
      </x:c>
      <x:c r="M580" s="440" t="n">
        <x:f>IF(AND(ISNUMBER(D580),ISNUMBER(K580)),D580+K580,"")</x:f>
        <x:v>4679.450723240598</x:v>
      </x:c>
      <x:c r="N580" s="440" t="n">
        <x:f>IF(AND(ISNUMBER(H580),ISNUMBER(L580)),H580+L580,"")</x:f>
        <x:v>545757.6309273099</x:v>
      </x:c>
    </x:row>
    <x:row r="581" ht="22" customHeight="1">
      <x:c r="A581" s="254" t="n">
        <x:f>181</x:f>
        <x:v>181</x:v>
      </x:c>
      <x:c r="B581" s="440" t="n">
        <x:f>IF(ISNUMBER(H580),H580,"")</x:f>
        <x:v>545757.6309273099</x:v>
      </x:c>
      <x:c r="C581" s="442" t="n">
        <x:f>IF(ISNUMBER(B581),IF(AND(181&gt;$B$173,$B$78="Refinance",ISNUMBER($B$80),$B$80&gt;=0,$B$80&lt;=1,ROUND($B$81*12,0)&gt;=1,$B$81&lt;=100,SUM($B$82)&gt;=0,SUM($B$82)&lt;=1,SUM($B$83)&gt;=0),$B$80,IF(AND($B$175&gt;0,181&gt;$B$175,ISNUMBER($B$75)),$B$75,$B$61)),"")</x:f>
        <x:v>0.0625</x:v>
      </x:c>
      <x:c r="D581" s="440" t="n">
        <x:f>IF(AND(ISNUMBER(B581),B581=0),0,IF(AND($B$171=1,I580=0,ISNUMBER(C581),ISNUMBER(IF(AND(181&lt;=$B$174,181&lt;=$B$173),B581*C581/12,IF(AND(181=$B$173+1,AND(181&gt;$B$173,$B$78="Refinance",ISNUMBER($B$80),$B$80&gt;=0,$B$80&lt;=1,ROUND($B$81*12,0)&gt;=1,$B$81&lt;=100,SUM($B$82)&gt;=0,SUM($B$82)&lt;=1,SUM($B$83)&gt;=0)),IF(B581=0,0,IF(C581=0,B581/ROUND($B$81*12,0),B581*(C581/12)/(1-(1+C581/12)^(-ROUND($B$81*12,0))))),IF(AND(NOT(AND(181&gt;$B$173,$B$78="Refinance",ISNUMBER($B$80),$B$80&gt;=0,$B$80&lt;=1,ROUND($B$81*12,0)&gt;=1,$B$81&lt;=100,SUM($B$82)&gt;=0,SUM($B$82)&lt;=1,SUM($B$83)&gt;=0)),OR(181=1,181=$B$174+1,AND($B$175&gt;0,181=$B$175+1))),IF(AND($B$170=1,$B$66&gt;0,OR($B$175=0,181&lt;=$B$175)),$B$66,IF($B$172-MAX(181-1,$B$174)&gt;0,IF(B581=0,0,IF(C581=0,B581/($B$172-MAX(181-1,$B$174)),B581*(C581/12)/(1-(1+C581/12)^(-($B$172-MAX(181-1,$B$174)))))),"")),D580))))),IF(IF(AND(181&lt;=$B$174,181&lt;=$B$173),B581*C581/12,IF(AND(181=$B$173+1,AND(181&gt;$B$173,$B$78="Refinance",ISNUMBER($B$80),$B$80&gt;=0,$B$80&lt;=1,ROUND($B$81*12,0)&gt;=1,$B$81&lt;=100,SUM($B$82)&gt;=0,SUM($B$82)&lt;=1,SUM($B$83)&gt;=0)),IF(B581=0,0,IF(C581=0,B581/ROUND($B$81*12,0),B581*(C581/12)/(1-(1+C581/12)^(-ROUND($B$81*12,0))))),IF(AND(NOT(AND(181&gt;$B$173,$B$78="Refinance",ISNUMBER($B$80),$B$80&gt;=0,$B$80&lt;=1,ROUND($B$81*12,0)&gt;=1,$B$81&lt;=100,SUM($B$82)&gt;=0,SUM($B$82)&lt;=1,SUM($B$83)&gt;=0)),OR(181=1,181=$B$174+1,AND($B$175&gt;0,181=$B$175+1))),IF(AND($B$170=1,$B$66&gt;0,OR($B$175=0,181&lt;=$B$175)),$B$66,IF($B$172-MAX(181-1,$B$174)&gt;0,IF(B581=0,0,IF(C581=0,B581/($B$172-MAX(181-1,$B$174)),B581*(C581/12)/(1-(1+C581/12)^(-($B$172-MAX(181-1,$B$174)))))),"")),D580)))+0.0000001&gt;=B581*C581/12,MIN(B581*(1+C581/12),IF(AND(181&lt;=$B$174,181&lt;=$B$173),B581*C581/12,IF(AND(181=$B$173+1,AND(181&gt;$B$173,$B$78="Refinance",ISNUMBER($B$80),$B$80&gt;=0,$B$80&lt;=1,ROUND($B$81*12,0)&gt;=1,$B$81&lt;=100,SUM($B$82)&gt;=0,SUM($B$82)&lt;=1,SUM($B$83)&gt;=0)),IF(B581=0,0,IF(C581=0,B581/ROUND($B$81*12,0),B581*(C581/12)/(1-(1+C581/12)^(-ROUND($B$81*12,0))))),IF(AND(NOT(AND(181&gt;$B$173,$B$78="Refinance",ISNUMBER($B$80),$B$80&gt;=0,$B$80&lt;=1,ROUND($B$81*12,0)&gt;=1,$B$81&lt;=100,SUM($B$82)&gt;=0,SUM($B$82)&lt;=1,SUM($B$83)&gt;=0)),OR(181=1,181=$B$174+1,AND($B$175&gt;0,181=$B$175+1))),IF(AND($B$170=1,$B$66&gt;0,OR($B$175=0,181&lt;=$B$175)),$B$66,IF($B$172-MAX(181-1,$B$174)&gt;0,IF(B581=0,0,IF(C581=0,B581/($B$172-MAX(181-1,$B$174)),B581*(C581/12)/(1-(1+C581/12)^(-($B$172-MAX(181-1,$B$174)))))),"")),D580)))),""),""))</x:f>
        <x:v>4679.450723240598</x:v>
      </x:c>
      <x:c r="E581" s="440" t="n">
        <x:f>IF(AND(181=$B$173,ISNUMBER(D581)),IF(MAX(0,B581*(1+C581/12)-D581)&lt;MAX(0.0000001,$E$17*0.00000000001),0,MAX(0,B581*(1+C581/12)-D581)),0)</x:f>
        <x:v>0</x:v>
      </x:c>
      <x:c r="F581" s="440" t="n">
        <x:f>IF($B$78="Cash payoff",E581,0)</x:f>
        <x:v>0</x:v>
      </x:c>
      <x:c r="G581" s="440" t="n">
        <x:f>IF(AND(E581&gt;0,AND($B$78="Refinance",ISNUMBER($B$80),$B$80&gt;=0,$B$80&lt;=1,ROUND($B$81*12,0)&gt;=1,$B$81&lt;=100,SUM($B$82)&gt;=0,SUM($B$82)&lt;=1,SUM($B$83)&gt;=0)),E581*SUM($B$82)+SUM($B$83),0)</x:f>
        <x:v>0</x:v>
      </x:c>
      <x:c r="H581" s="440" t="n">
        <x:f>IF(ISNUMBER(D581),IF(MAX(0,B581*(1+C581/12)-D581-F581)&lt;MAX(0.0000001,$E$17*0.00000000001),0,MAX(0,B581*(1+C581/12)-D581-F581)),IF(AND($B$171=1,I580=1),B581,""))</x:f>
        <x:v>543920.667865149</x:v>
      </x:c>
      <x:c r="I581" s="444" t="n">
        <x:f>IF(OR(I580=1,AND(E581&gt;0,$B$78&lt;&gt;"Cash payoff",NOT(AND($B$78="Refinance",ISNUMBER($B$80),$B$80&gt;=0,$B$80&lt;=1,ROUND($B$81*12,0)&gt;=1,$B$81&lt;=100,SUM($B$82)&gt;=0,SUM($B$82)&lt;=1,SUM($B$83)&gt;=0))),AND(ISNUMBER(B581),B581&gt;0,$B$171=1,NOT(ISNUMBER(D581)))),1,0)</x:f>
        <x:v>0</x:v>
      </x:c>
      <x:c r="J581" s="440" t="n">
        <x:f>IF(ISNUMBER(L580),L580,"")</x:f>
        <x:v>0</x:v>
      </x:c>
      <x:c r="K581" s="440" t="n">
        <x:f>IF(AND(ISNUMBER(J581),J581=0),0,IF(AND($B$176=1,ISNUMBER(J581)),MIN(J581*(1+$B$87/12),IF($B$86=0,0,IF($B$87=0,$B$86/ROUND($B$88*12,0),$B$86*($B$87/12)/(1-(1+$B$87/12)^(-ROUND($B$88*12,0)))))),""))</x:f>
        <x:v>0</x:v>
      </x:c>
      <x:c r="L581" s="440" t="n">
        <x:f>IF(ISNUMBER(K581),IF(MAX(0,J581*(1+SUM($B$87)/12)-K581)&lt;MAX(0.0000001,$B$86*0.00000000001),0,MAX(0,J581*(1+SUM($B$87)/12)-K581)),"")</x:f>
        <x:v>0</x:v>
      </x:c>
      <x:c r="M581" s="440" t="n">
        <x:f>IF(AND(ISNUMBER(D581),ISNUMBER(K581)),D581+K581,"")</x:f>
        <x:v>4679.450723240598</x:v>
      </x:c>
      <x:c r="N581" s="440" t="n">
        <x:f>IF(AND(ISNUMBER(H581),ISNUMBER(L581)),H581+L581,"")</x:f>
        <x:v>543920.667865149</x:v>
      </x:c>
    </x:row>
    <x:row r="582" ht="22" customHeight="1">
      <x:c r="A582" s="254" t="n">
        <x:f>182</x:f>
        <x:v>182</x:v>
      </x:c>
      <x:c r="B582" s="440" t="n">
        <x:f>IF(ISNUMBER(H581),H581,"")</x:f>
        <x:v>543920.667865149</x:v>
      </x:c>
      <x:c r="C582" s="442" t="n">
        <x:f>IF(ISNUMBER(B582),IF(AND(182&gt;$B$173,$B$78="Refinance",ISNUMBER($B$80),$B$80&gt;=0,$B$80&lt;=1,ROUND($B$81*12,0)&gt;=1,$B$81&lt;=100,SUM($B$82)&gt;=0,SUM($B$82)&lt;=1,SUM($B$83)&gt;=0),$B$80,IF(AND($B$175&gt;0,182&gt;$B$175,ISNUMBER($B$75)),$B$75,$B$61)),"")</x:f>
        <x:v>0.0625</x:v>
      </x:c>
      <x:c r="D582" s="440" t="n">
        <x:f>IF(AND(ISNUMBER(B582),B582=0),0,IF(AND($B$171=1,I581=0,ISNUMBER(C582),ISNUMBER(IF(AND(182&lt;=$B$174,182&lt;=$B$173),B582*C582/12,IF(AND(182=$B$173+1,AND(182&gt;$B$173,$B$78="Refinance",ISNUMBER($B$80),$B$80&gt;=0,$B$80&lt;=1,ROUND($B$81*12,0)&gt;=1,$B$81&lt;=100,SUM($B$82)&gt;=0,SUM($B$82)&lt;=1,SUM($B$83)&gt;=0)),IF(B582=0,0,IF(C582=0,B582/ROUND($B$81*12,0),B582*(C582/12)/(1-(1+C582/12)^(-ROUND($B$81*12,0))))),IF(AND(NOT(AND(182&gt;$B$173,$B$78="Refinance",ISNUMBER($B$80),$B$80&gt;=0,$B$80&lt;=1,ROUND($B$81*12,0)&gt;=1,$B$81&lt;=100,SUM($B$82)&gt;=0,SUM($B$82)&lt;=1,SUM($B$83)&gt;=0)),OR(182=1,182=$B$174+1,AND($B$175&gt;0,182=$B$175+1))),IF(AND($B$170=1,$B$66&gt;0,OR($B$175=0,182&lt;=$B$175)),$B$66,IF($B$172-MAX(182-1,$B$174)&gt;0,IF(B582=0,0,IF(C582=0,B582/($B$172-MAX(182-1,$B$174)),B582*(C582/12)/(1-(1+C582/12)^(-($B$172-MAX(182-1,$B$174)))))),"")),D581))))),IF(IF(AND(182&lt;=$B$174,182&lt;=$B$173),B582*C582/12,IF(AND(182=$B$173+1,AND(182&gt;$B$173,$B$78="Refinance",ISNUMBER($B$80),$B$80&gt;=0,$B$80&lt;=1,ROUND($B$81*12,0)&gt;=1,$B$81&lt;=100,SUM($B$82)&gt;=0,SUM($B$82)&lt;=1,SUM($B$83)&gt;=0)),IF(B582=0,0,IF(C582=0,B582/ROUND($B$81*12,0),B582*(C582/12)/(1-(1+C582/12)^(-ROUND($B$81*12,0))))),IF(AND(NOT(AND(182&gt;$B$173,$B$78="Refinance",ISNUMBER($B$80),$B$80&gt;=0,$B$80&lt;=1,ROUND($B$81*12,0)&gt;=1,$B$81&lt;=100,SUM($B$82)&gt;=0,SUM($B$82)&lt;=1,SUM($B$83)&gt;=0)),OR(182=1,182=$B$174+1,AND($B$175&gt;0,182=$B$175+1))),IF(AND($B$170=1,$B$66&gt;0,OR($B$175=0,182&lt;=$B$175)),$B$66,IF($B$172-MAX(182-1,$B$174)&gt;0,IF(B582=0,0,IF(C582=0,B582/($B$172-MAX(182-1,$B$174)),B582*(C582/12)/(1-(1+C582/12)^(-($B$172-MAX(182-1,$B$174)))))),"")),D581)))+0.0000001&gt;=B582*C582/12,MIN(B582*(1+C582/12),IF(AND(182&lt;=$B$174,182&lt;=$B$173),B582*C582/12,IF(AND(182=$B$173+1,AND(182&gt;$B$173,$B$78="Refinance",ISNUMBER($B$80),$B$80&gt;=0,$B$80&lt;=1,ROUND($B$81*12,0)&gt;=1,$B$81&lt;=100,SUM($B$82)&gt;=0,SUM($B$82)&lt;=1,SUM($B$83)&gt;=0)),IF(B582=0,0,IF(C582=0,B582/ROUND($B$81*12,0),B582*(C582/12)/(1-(1+C582/12)^(-ROUND($B$81*12,0))))),IF(AND(NOT(AND(182&gt;$B$173,$B$78="Refinance",ISNUMBER($B$80),$B$80&gt;=0,$B$80&lt;=1,ROUND($B$81*12,0)&gt;=1,$B$81&lt;=100,SUM($B$82)&gt;=0,SUM($B$82)&lt;=1,SUM($B$83)&gt;=0)),OR(182=1,182=$B$174+1,AND($B$175&gt;0,182=$B$175+1))),IF(AND($B$170=1,$B$66&gt;0,OR($B$175=0,182&lt;=$B$175)),$B$66,IF($B$172-MAX(182-1,$B$174)&gt;0,IF(B582=0,0,IF(C582=0,B582/($B$172-MAX(182-1,$B$174)),B582*(C582/12)/(1-(1+C582/12)^(-($B$172-MAX(182-1,$B$174)))))),"")),D581)))),""),""))</x:f>
        <x:v>4679.450723240598</x:v>
      </x:c>
      <x:c r="E582" s="440" t="n">
        <x:f>IF(AND(182=$B$173,ISNUMBER(D582)),IF(MAX(0,B582*(1+C582/12)-D582)&lt;MAX(0.0000001,$E$17*0.00000000001),0,MAX(0,B582*(1+C582/12)-D582)),0)</x:f>
        <x:v>0</x:v>
      </x:c>
      <x:c r="F582" s="440" t="n">
        <x:f>IF($B$78="Cash payoff",E582,0)</x:f>
        <x:v>0</x:v>
      </x:c>
      <x:c r="G582" s="440" t="n">
        <x:f>IF(AND(E582&gt;0,AND($B$78="Refinance",ISNUMBER($B$80),$B$80&gt;=0,$B$80&lt;=1,ROUND($B$81*12,0)&gt;=1,$B$81&lt;=100,SUM($B$82)&gt;=0,SUM($B$82)&lt;=1,SUM($B$83)&gt;=0)),E582*SUM($B$82)+SUM($B$83),0)</x:f>
        <x:v>0</x:v>
      </x:c>
      <x:c r="H582" s="440" t="n">
        <x:f>IF(ISNUMBER(D582),IF(MAX(0,B582*(1+C582/12)-D582-F582)&lt;MAX(0.0000001,$E$17*0.00000000001),0,MAX(0,B582*(1+C582/12)-D582-F582)),IF(AND($B$171=1,I581=1),B582,""))</x:f>
        <x:v>542074.1372870393</x:v>
      </x:c>
      <x:c r="I582" s="444" t="n">
        <x:f>IF(OR(I581=1,AND(E582&gt;0,$B$78&lt;&gt;"Cash payoff",NOT(AND($B$78="Refinance",ISNUMBER($B$80),$B$80&gt;=0,$B$80&lt;=1,ROUND($B$81*12,0)&gt;=1,$B$81&lt;=100,SUM($B$82)&gt;=0,SUM($B$82)&lt;=1,SUM($B$83)&gt;=0))),AND(ISNUMBER(B582),B582&gt;0,$B$171=1,NOT(ISNUMBER(D582)))),1,0)</x:f>
        <x:v>0</x:v>
      </x:c>
      <x:c r="J582" s="440" t="n">
        <x:f>IF(ISNUMBER(L581),L581,"")</x:f>
        <x:v>0</x:v>
      </x:c>
      <x:c r="K582" s="440" t="n">
        <x:f>IF(AND(ISNUMBER(J582),J582=0),0,IF(AND($B$176=1,ISNUMBER(J582)),MIN(J582*(1+$B$87/12),IF($B$86=0,0,IF($B$87=0,$B$86/ROUND($B$88*12,0),$B$86*($B$87/12)/(1-(1+$B$87/12)^(-ROUND($B$88*12,0)))))),""))</x:f>
        <x:v>0</x:v>
      </x:c>
      <x:c r="L582" s="440" t="n">
        <x:f>IF(ISNUMBER(K582),IF(MAX(0,J582*(1+SUM($B$87)/12)-K582)&lt;MAX(0.0000001,$B$86*0.00000000001),0,MAX(0,J582*(1+SUM($B$87)/12)-K582)),"")</x:f>
        <x:v>0</x:v>
      </x:c>
      <x:c r="M582" s="440" t="n">
        <x:f>IF(AND(ISNUMBER(D582),ISNUMBER(K582)),D582+K582,"")</x:f>
        <x:v>4679.450723240598</x:v>
      </x:c>
      <x:c r="N582" s="440" t="n">
        <x:f>IF(AND(ISNUMBER(H582),ISNUMBER(L582)),H582+L582,"")</x:f>
        <x:v>542074.1372870393</x:v>
      </x:c>
    </x:row>
    <x:row r="583" ht="22" customHeight="1">
      <x:c r="A583" s="254" t="n">
        <x:f>183</x:f>
        <x:v>183</x:v>
      </x:c>
      <x:c r="B583" s="440" t="n">
        <x:f>IF(ISNUMBER(H582),H582,"")</x:f>
        <x:v>542074.1372870393</x:v>
      </x:c>
      <x:c r="C583" s="442" t="n">
        <x:f>IF(ISNUMBER(B583),IF(AND(183&gt;$B$173,$B$78="Refinance",ISNUMBER($B$80),$B$80&gt;=0,$B$80&lt;=1,ROUND($B$81*12,0)&gt;=1,$B$81&lt;=100,SUM($B$82)&gt;=0,SUM($B$82)&lt;=1,SUM($B$83)&gt;=0),$B$80,IF(AND($B$175&gt;0,183&gt;$B$175,ISNUMBER($B$75)),$B$75,$B$61)),"")</x:f>
        <x:v>0.0625</x:v>
      </x:c>
      <x:c r="D583" s="440" t="n">
        <x:f>IF(AND(ISNUMBER(B583),B583=0),0,IF(AND($B$171=1,I582=0,ISNUMBER(C583),ISNUMBER(IF(AND(183&lt;=$B$174,183&lt;=$B$173),B583*C583/12,IF(AND(183=$B$173+1,AND(183&gt;$B$173,$B$78="Refinance",ISNUMBER($B$80),$B$80&gt;=0,$B$80&lt;=1,ROUND($B$81*12,0)&gt;=1,$B$81&lt;=100,SUM($B$82)&gt;=0,SUM($B$82)&lt;=1,SUM($B$83)&gt;=0)),IF(B583=0,0,IF(C583=0,B583/ROUND($B$81*12,0),B583*(C583/12)/(1-(1+C583/12)^(-ROUND($B$81*12,0))))),IF(AND(NOT(AND(183&gt;$B$173,$B$78="Refinance",ISNUMBER($B$80),$B$80&gt;=0,$B$80&lt;=1,ROUND($B$81*12,0)&gt;=1,$B$81&lt;=100,SUM($B$82)&gt;=0,SUM($B$82)&lt;=1,SUM($B$83)&gt;=0)),OR(183=1,183=$B$174+1,AND($B$175&gt;0,183=$B$175+1))),IF(AND($B$170=1,$B$66&gt;0,OR($B$175=0,183&lt;=$B$175)),$B$66,IF($B$172-MAX(183-1,$B$174)&gt;0,IF(B583=0,0,IF(C583=0,B583/($B$172-MAX(183-1,$B$174)),B583*(C583/12)/(1-(1+C583/12)^(-($B$172-MAX(183-1,$B$174)))))),"")),D582))))),IF(IF(AND(183&lt;=$B$174,183&lt;=$B$173),B583*C583/12,IF(AND(183=$B$173+1,AND(183&gt;$B$173,$B$78="Refinance",ISNUMBER($B$80),$B$80&gt;=0,$B$80&lt;=1,ROUND($B$81*12,0)&gt;=1,$B$81&lt;=100,SUM($B$82)&gt;=0,SUM($B$82)&lt;=1,SUM($B$83)&gt;=0)),IF(B583=0,0,IF(C583=0,B583/ROUND($B$81*12,0),B583*(C583/12)/(1-(1+C583/12)^(-ROUND($B$81*12,0))))),IF(AND(NOT(AND(183&gt;$B$173,$B$78="Refinance",ISNUMBER($B$80),$B$80&gt;=0,$B$80&lt;=1,ROUND($B$81*12,0)&gt;=1,$B$81&lt;=100,SUM($B$82)&gt;=0,SUM($B$82)&lt;=1,SUM($B$83)&gt;=0)),OR(183=1,183=$B$174+1,AND($B$175&gt;0,183=$B$175+1))),IF(AND($B$170=1,$B$66&gt;0,OR($B$175=0,183&lt;=$B$175)),$B$66,IF($B$172-MAX(183-1,$B$174)&gt;0,IF(B583=0,0,IF(C583=0,B583/($B$172-MAX(183-1,$B$174)),B583*(C583/12)/(1-(1+C583/12)^(-($B$172-MAX(183-1,$B$174)))))),"")),D582)))+0.0000001&gt;=B583*C583/12,MIN(B583*(1+C583/12),IF(AND(183&lt;=$B$174,183&lt;=$B$173),B583*C583/12,IF(AND(183=$B$173+1,AND(183&gt;$B$173,$B$78="Refinance",ISNUMBER($B$80),$B$80&gt;=0,$B$80&lt;=1,ROUND($B$81*12,0)&gt;=1,$B$81&lt;=100,SUM($B$82)&gt;=0,SUM($B$82)&lt;=1,SUM($B$83)&gt;=0)),IF(B583=0,0,IF(C583=0,B583/ROUND($B$81*12,0),B583*(C583/12)/(1-(1+C583/12)^(-ROUND($B$81*12,0))))),IF(AND(NOT(AND(183&gt;$B$173,$B$78="Refinance",ISNUMBER($B$80),$B$80&gt;=0,$B$80&lt;=1,ROUND($B$81*12,0)&gt;=1,$B$81&lt;=100,SUM($B$82)&gt;=0,SUM($B$82)&lt;=1,SUM($B$83)&gt;=0)),OR(183=1,183=$B$174+1,AND($B$175&gt;0,183=$B$175+1))),IF(AND($B$170=1,$B$66&gt;0,OR($B$175=0,183&lt;=$B$175)),$B$66,IF($B$172-MAX(183-1,$B$174)&gt;0,IF(B583=0,0,IF(C583=0,B583/($B$172-MAX(183-1,$B$174)),B583*(C583/12)/(1-(1+C583/12)^(-($B$172-MAX(183-1,$B$174)))))),"")),D582)))),""),""))</x:f>
        <x:v>4679.450723240598</x:v>
      </x:c>
      <x:c r="E583" s="440" t="n">
        <x:f>IF(AND(183=$B$173,ISNUMBER(D583)),IF(MAX(0,B583*(1+C583/12)-D583)&lt;MAX(0.0000001,$E$17*0.00000000001),0,MAX(0,B583*(1+C583/12)-D583)),0)</x:f>
        <x:v>0</x:v>
      </x:c>
      <x:c r="F583" s="440" t="n">
        <x:f>IF($B$78="Cash payoff",E583,0)</x:f>
        <x:v>0</x:v>
      </x:c>
      <x:c r="G583" s="440" t="n">
        <x:f>IF(AND(E583&gt;0,AND($B$78="Refinance",ISNUMBER($B$80),$B$80&gt;=0,$B$80&lt;=1,ROUND($B$81*12,0)&gt;=1,$B$81&lt;=100,SUM($B$82)&gt;=0,SUM($B$82)&lt;=1,SUM($B$83)&gt;=0)),E583*SUM($B$82)+SUM($B$83),0)</x:f>
        <x:v>0</x:v>
      </x:c>
      <x:c r="H583" s="440" t="n">
        <x:f>IF(ISNUMBER(D583),IF(MAX(0,B583*(1+C583/12)-D583-F583)&lt;MAX(0.0000001,$E$17*0.00000000001),0,MAX(0,B583*(1+C583/12)-D583-F583)),IF(AND($B$171=1,I582=1),B583,""))</x:f>
        <x:v>540217.9893621686</x:v>
      </x:c>
      <x:c r="I583" s="444" t="n">
        <x:f>IF(OR(I582=1,AND(E583&gt;0,$B$78&lt;&gt;"Cash payoff",NOT(AND($B$78="Refinance",ISNUMBER($B$80),$B$80&gt;=0,$B$80&lt;=1,ROUND($B$81*12,0)&gt;=1,$B$81&lt;=100,SUM($B$82)&gt;=0,SUM($B$82)&lt;=1,SUM($B$83)&gt;=0))),AND(ISNUMBER(B583),B583&gt;0,$B$171=1,NOT(ISNUMBER(D583)))),1,0)</x:f>
        <x:v>0</x:v>
      </x:c>
      <x:c r="J583" s="440" t="n">
        <x:f>IF(ISNUMBER(L582),L582,"")</x:f>
        <x:v>0</x:v>
      </x:c>
      <x:c r="K583" s="440" t="n">
        <x:f>IF(AND(ISNUMBER(J583),J583=0),0,IF(AND($B$176=1,ISNUMBER(J583)),MIN(J583*(1+$B$87/12),IF($B$86=0,0,IF($B$87=0,$B$86/ROUND($B$88*12,0),$B$86*($B$87/12)/(1-(1+$B$87/12)^(-ROUND($B$88*12,0)))))),""))</x:f>
        <x:v>0</x:v>
      </x:c>
      <x:c r="L583" s="440" t="n">
        <x:f>IF(ISNUMBER(K583),IF(MAX(0,J583*(1+SUM($B$87)/12)-K583)&lt;MAX(0.0000001,$B$86*0.00000000001),0,MAX(0,J583*(1+SUM($B$87)/12)-K583)),"")</x:f>
        <x:v>0</x:v>
      </x:c>
      <x:c r="M583" s="440" t="n">
        <x:f>IF(AND(ISNUMBER(D583),ISNUMBER(K583)),D583+K583,"")</x:f>
        <x:v>4679.450723240598</x:v>
      </x:c>
      <x:c r="N583" s="440" t="n">
        <x:f>IF(AND(ISNUMBER(H583),ISNUMBER(L583)),H583+L583,"")</x:f>
        <x:v>540217.9893621686</x:v>
      </x:c>
    </x:row>
    <x:row r="584" ht="22" customHeight="1">
      <x:c r="A584" s="254" t="n">
        <x:f>184</x:f>
        <x:v>184</x:v>
      </x:c>
      <x:c r="B584" s="440" t="n">
        <x:f>IF(ISNUMBER(H583),H583,"")</x:f>
        <x:v>540217.9893621686</x:v>
      </x:c>
      <x:c r="C584" s="442" t="n">
        <x:f>IF(ISNUMBER(B584),IF(AND(184&gt;$B$173,$B$78="Refinance",ISNUMBER($B$80),$B$80&gt;=0,$B$80&lt;=1,ROUND($B$81*12,0)&gt;=1,$B$81&lt;=100,SUM($B$82)&gt;=0,SUM($B$82)&lt;=1,SUM($B$83)&gt;=0),$B$80,IF(AND($B$175&gt;0,184&gt;$B$175,ISNUMBER($B$75)),$B$75,$B$61)),"")</x:f>
        <x:v>0.0625</x:v>
      </x:c>
      <x:c r="D584" s="440" t="n">
        <x:f>IF(AND(ISNUMBER(B584),B584=0),0,IF(AND($B$171=1,I583=0,ISNUMBER(C584),ISNUMBER(IF(AND(184&lt;=$B$174,184&lt;=$B$173),B584*C584/12,IF(AND(184=$B$173+1,AND(184&gt;$B$173,$B$78="Refinance",ISNUMBER($B$80),$B$80&gt;=0,$B$80&lt;=1,ROUND($B$81*12,0)&gt;=1,$B$81&lt;=100,SUM($B$82)&gt;=0,SUM($B$82)&lt;=1,SUM($B$83)&gt;=0)),IF(B584=0,0,IF(C584=0,B584/ROUND($B$81*12,0),B584*(C584/12)/(1-(1+C584/12)^(-ROUND($B$81*12,0))))),IF(AND(NOT(AND(184&gt;$B$173,$B$78="Refinance",ISNUMBER($B$80),$B$80&gt;=0,$B$80&lt;=1,ROUND($B$81*12,0)&gt;=1,$B$81&lt;=100,SUM($B$82)&gt;=0,SUM($B$82)&lt;=1,SUM($B$83)&gt;=0)),OR(184=1,184=$B$174+1,AND($B$175&gt;0,184=$B$175+1))),IF(AND($B$170=1,$B$66&gt;0,OR($B$175=0,184&lt;=$B$175)),$B$66,IF($B$172-MAX(184-1,$B$174)&gt;0,IF(B584=0,0,IF(C584=0,B584/($B$172-MAX(184-1,$B$174)),B584*(C584/12)/(1-(1+C584/12)^(-($B$172-MAX(184-1,$B$174)))))),"")),D583))))),IF(IF(AND(184&lt;=$B$174,184&lt;=$B$173),B584*C584/12,IF(AND(184=$B$173+1,AND(184&gt;$B$173,$B$78="Refinance",ISNUMBER($B$80),$B$80&gt;=0,$B$80&lt;=1,ROUND($B$81*12,0)&gt;=1,$B$81&lt;=100,SUM($B$82)&gt;=0,SUM($B$82)&lt;=1,SUM($B$83)&gt;=0)),IF(B584=0,0,IF(C584=0,B584/ROUND($B$81*12,0),B584*(C584/12)/(1-(1+C584/12)^(-ROUND($B$81*12,0))))),IF(AND(NOT(AND(184&gt;$B$173,$B$78="Refinance",ISNUMBER($B$80),$B$80&gt;=0,$B$80&lt;=1,ROUND($B$81*12,0)&gt;=1,$B$81&lt;=100,SUM($B$82)&gt;=0,SUM($B$82)&lt;=1,SUM($B$83)&gt;=0)),OR(184=1,184=$B$174+1,AND($B$175&gt;0,184=$B$175+1))),IF(AND($B$170=1,$B$66&gt;0,OR($B$175=0,184&lt;=$B$175)),$B$66,IF($B$172-MAX(184-1,$B$174)&gt;0,IF(B584=0,0,IF(C584=0,B584/($B$172-MAX(184-1,$B$174)),B584*(C584/12)/(1-(1+C584/12)^(-($B$172-MAX(184-1,$B$174)))))),"")),D583)))+0.0000001&gt;=B584*C584/12,MIN(B584*(1+C584/12),IF(AND(184&lt;=$B$174,184&lt;=$B$173),B584*C584/12,IF(AND(184=$B$173+1,AND(184&gt;$B$173,$B$78="Refinance",ISNUMBER($B$80),$B$80&gt;=0,$B$80&lt;=1,ROUND($B$81*12,0)&gt;=1,$B$81&lt;=100,SUM($B$82)&gt;=0,SUM($B$82)&lt;=1,SUM($B$83)&gt;=0)),IF(B584=0,0,IF(C584=0,B584/ROUND($B$81*12,0),B584*(C584/12)/(1-(1+C584/12)^(-ROUND($B$81*12,0))))),IF(AND(NOT(AND(184&gt;$B$173,$B$78="Refinance",ISNUMBER($B$80),$B$80&gt;=0,$B$80&lt;=1,ROUND($B$81*12,0)&gt;=1,$B$81&lt;=100,SUM($B$82)&gt;=0,SUM($B$82)&lt;=1,SUM($B$83)&gt;=0)),OR(184=1,184=$B$174+1,AND($B$175&gt;0,184=$B$175+1))),IF(AND($B$170=1,$B$66&gt;0,OR($B$175=0,184&lt;=$B$175)),$B$66,IF($B$172-MAX(184-1,$B$174)&gt;0,IF(B584=0,0,IF(C584=0,B584/($B$172-MAX(184-1,$B$174)),B584*(C584/12)/(1-(1+C584/12)^(-($B$172-MAX(184-1,$B$174)))))),"")),D583)))),""),""))</x:f>
        <x:v>4679.450723240598</x:v>
      </x:c>
      <x:c r="E584" s="440" t="n">
        <x:f>IF(AND(184=$B$173,ISNUMBER(D584)),IF(MAX(0,B584*(1+C584/12)-D584)&lt;MAX(0.0000001,$E$17*0.00000000001),0,MAX(0,B584*(1+C584/12)-D584)),0)</x:f>
        <x:v>0</x:v>
      </x:c>
      <x:c r="F584" s="440" t="n">
        <x:f>IF($B$78="Cash payoff",E584,0)</x:f>
        <x:v>0</x:v>
      </x:c>
      <x:c r="G584" s="440" t="n">
        <x:f>IF(AND(E584&gt;0,AND($B$78="Refinance",ISNUMBER($B$80),$B$80&gt;=0,$B$80&lt;=1,ROUND($B$81*12,0)&gt;=1,$B$81&lt;=100,SUM($B$82)&gt;=0,SUM($B$82)&lt;=1,SUM($B$83)&gt;=0)),E584*SUM($B$82)+SUM($B$83),0)</x:f>
        <x:v>0</x:v>
      </x:c>
      <x:c r="H584" s="440" t="n">
        <x:f>IF(ISNUMBER(D584),IF(MAX(0,B584*(1+C584/12)-D584-F584)&lt;MAX(0.0000001,$E$17*0.00000000001),0,MAX(0,B584*(1+C584/12)-D584-F584)),IF(AND($B$171=1,I583=1),B584,""))</x:f>
        <x:v>538352.1740001892</x:v>
      </x:c>
      <x:c r="I584" s="444" t="n">
        <x:f>IF(OR(I583=1,AND(E584&gt;0,$B$78&lt;&gt;"Cash payoff",NOT(AND($B$78="Refinance",ISNUMBER($B$80),$B$80&gt;=0,$B$80&lt;=1,ROUND($B$81*12,0)&gt;=1,$B$81&lt;=100,SUM($B$82)&gt;=0,SUM($B$82)&lt;=1,SUM($B$83)&gt;=0))),AND(ISNUMBER(B584),B584&gt;0,$B$171=1,NOT(ISNUMBER(D584)))),1,0)</x:f>
        <x:v>0</x:v>
      </x:c>
      <x:c r="J584" s="440" t="n">
        <x:f>IF(ISNUMBER(L583),L583,"")</x:f>
        <x:v>0</x:v>
      </x:c>
      <x:c r="K584" s="440" t="n">
        <x:f>IF(AND(ISNUMBER(J584),J584=0),0,IF(AND($B$176=1,ISNUMBER(J584)),MIN(J584*(1+$B$87/12),IF($B$86=0,0,IF($B$87=0,$B$86/ROUND($B$88*12,0),$B$86*($B$87/12)/(1-(1+$B$87/12)^(-ROUND($B$88*12,0)))))),""))</x:f>
        <x:v>0</x:v>
      </x:c>
      <x:c r="L584" s="440" t="n">
        <x:f>IF(ISNUMBER(K584),IF(MAX(0,J584*(1+SUM($B$87)/12)-K584)&lt;MAX(0.0000001,$B$86*0.00000000001),0,MAX(0,J584*(1+SUM($B$87)/12)-K584)),"")</x:f>
        <x:v>0</x:v>
      </x:c>
      <x:c r="M584" s="440" t="n">
        <x:f>IF(AND(ISNUMBER(D584),ISNUMBER(K584)),D584+K584,"")</x:f>
        <x:v>4679.450723240598</x:v>
      </x:c>
      <x:c r="N584" s="440" t="n">
        <x:f>IF(AND(ISNUMBER(H584),ISNUMBER(L584)),H584+L584,"")</x:f>
        <x:v>538352.1740001892</x:v>
      </x:c>
    </x:row>
    <x:row r="585" ht="22" customHeight="1">
      <x:c r="A585" s="254" t="n">
        <x:f>185</x:f>
        <x:v>185</x:v>
      </x:c>
      <x:c r="B585" s="440" t="n">
        <x:f>IF(ISNUMBER(H584),H584,"")</x:f>
        <x:v>538352.1740001892</x:v>
      </x:c>
      <x:c r="C585" s="442" t="n">
        <x:f>IF(ISNUMBER(B585),IF(AND(185&gt;$B$173,$B$78="Refinance",ISNUMBER($B$80),$B$80&gt;=0,$B$80&lt;=1,ROUND($B$81*12,0)&gt;=1,$B$81&lt;=100,SUM($B$82)&gt;=0,SUM($B$82)&lt;=1,SUM($B$83)&gt;=0),$B$80,IF(AND($B$175&gt;0,185&gt;$B$175,ISNUMBER($B$75)),$B$75,$B$61)),"")</x:f>
        <x:v>0.0625</x:v>
      </x:c>
      <x:c r="D585" s="440" t="n">
        <x:f>IF(AND(ISNUMBER(B585),B585=0),0,IF(AND($B$171=1,I584=0,ISNUMBER(C585),ISNUMBER(IF(AND(185&lt;=$B$174,185&lt;=$B$173),B585*C585/12,IF(AND(185=$B$173+1,AND(185&gt;$B$173,$B$78="Refinance",ISNUMBER($B$80),$B$80&gt;=0,$B$80&lt;=1,ROUND($B$81*12,0)&gt;=1,$B$81&lt;=100,SUM($B$82)&gt;=0,SUM($B$82)&lt;=1,SUM($B$83)&gt;=0)),IF(B585=0,0,IF(C585=0,B585/ROUND($B$81*12,0),B585*(C585/12)/(1-(1+C585/12)^(-ROUND($B$81*12,0))))),IF(AND(NOT(AND(185&gt;$B$173,$B$78="Refinance",ISNUMBER($B$80),$B$80&gt;=0,$B$80&lt;=1,ROUND($B$81*12,0)&gt;=1,$B$81&lt;=100,SUM($B$82)&gt;=0,SUM($B$82)&lt;=1,SUM($B$83)&gt;=0)),OR(185=1,185=$B$174+1,AND($B$175&gt;0,185=$B$175+1))),IF(AND($B$170=1,$B$66&gt;0,OR($B$175=0,185&lt;=$B$175)),$B$66,IF($B$172-MAX(185-1,$B$174)&gt;0,IF(B585=0,0,IF(C585=0,B585/($B$172-MAX(185-1,$B$174)),B585*(C585/12)/(1-(1+C585/12)^(-($B$172-MAX(185-1,$B$174)))))),"")),D584))))),IF(IF(AND(185&lt;=$B$174,185&lt;=$B$173),B585*C585/12,IF(AND(185=$B$173+1,AND(185&gt;$B$173,$B$78="Refinance",ISNUMBER($B$80),$B$80&gt;=0,$B$80&lt;=1,ROUND($B$81*12,0)&gt;=1,$B$81&lt;=100,SUM($B$82)&gt;=0,SUM($B$82)&lt;=1,SUM($B$83)&gt;=0)),IF(B585=0,0,IF(C585=0,B585/ROUND($B$81*12,0),B585*(C585/12)/(1-(1+C585/12)^(-ROUND($B$81*12,0))))),IF(AND(NOT(AND(185&gt;$B$173,$B$78="Refinance",ISNUMBER($B$80),$B$80&gt;=0,$B$80&lt;=1,ROUND($B$81*12,0)&gt;=1,$B$81&lt;=100,SUM($B$82)&gt;=0,SUM($B$82)&lt;=1,SUM($B$83)&gt;=0)),OR(185=1,185=$B$174+1,AND($B$175&gt;0,185=$B$175+1))),IF(AND($B$170=1,$B$66&gt;0,OR($B$175=0,185&lt;=$B$175)),$B$66,IF($B$172-MAX(185-1,$B$174)&gt;0,IF(B585=0,0,IF(C585=0,B585/($B$172-MAX(185-1,$B$174)),B585*(C585/12)/(1-(1+C585/12)^(-($B$172-MAX(185-1,$B$174)))))),"")),D584)))+0.0000001&gt;=B585*C585/12,MIN(B585*(1+C585/12),IF(AND(185&lt;=$B$174,185&lt;=$B$173),B585*C585/12,IF(AND(185=$B$173+1,AND(185&gt;$B$173,$B$78="Refinance",ISNUMBER($B$80),$B$80&gt;=0,$B$80&lt;=1,ROUND($B$81*12,0)&gt;=1,$B$81&lt;=100,SUM($B$82)&gt;=0,SUM($B$82)&lt;=1,SUM($B$83)&gt;=0)),IF(B585=0,0,IF(C585=0,B585/ROUND($B$81*12,0),B585*(C585/12)/(1-(1+C585/12)^(-ROUND($B$81*12,0))))),IF(AND(NOT(AND(185&gt;$B$173,$B$78="Refinance",ISNUMBER($B$80),$B$80&gt;=0,$B$80&lt;=1,ROUND($B$81*12,0)&gt;=1,$B$81&lt;=100,SUM($B$82)&gt;=0,SUM($B$82)&lt;=1,SUM($B$83)&gt;=0)),OR(185=1,185=$B$174+1,AND($B$175&gt;0,185=$B$175+1))),IF(AND($B$170=1,$B$66&gt;0,OR($B$175=0,185&lt;=$B$175)),$B$66,IF($B$172-MAX(185-1,$B$174)&gt;0,IF(B585=0,0,IF(C585=0,B585/($B$172-MAX(185-1,$B$174)),B585*(C585/12)/(1-(1+C585/12)^(-($B$172-MAX(185-1,$B$174)))))),"")),D584)))),""),""))</x:f>
        <x:v>4679.450723240598</x:v>
      </x:c>
      <x:c r="E585" s="440" t="n">
        <x:f>IF(AND(185=$B$173,ISNUMBER(D585)),IF(MAX(0,B585*(1+C585/12)-D585)&lt;MAX(0.0000001,$E$17*0.00000000001),0,MAX(0,B585*(1+C585/12)-D585)),0)</x:f>
        <x:v>0</x:v>
      </x:c>
      <x:c r="F585" s="440" t="n">
        <x:f>IF($B$78="Cash payoff",E585,0)</x:f>
        <x:v>0</x:v>
      </x:c>
      <x:c r="G585" s="440" t="n">
        <x:f>IF(AND(E585&gt;0,AND($B$78="Refinance",ISNUMBER($B$80),$B$80&gt;=0,$B$80&lt;=1,ROUND($B$81*12,0)&gt;=1,$B$81&lt;=100,SUM($B$82)&gt;=0,SUM($B$82)&lt;=1,SUM($B$83)&gt;=0)),E585*SUM($B$82)+SUM($B$83),0)</x:f>
        <x:v>0</x:v>
      </x:c>
      <x:c r="H585" s="440" t="n">
        <x:f>IF(ISNUMBER(D585),IF(MAX(0,B585*(1+C585/12)-D585-F585)&lt;MAX(0.0000001,$E$17*0.00000000001),0,MAX(0,B585*(1+C585/12)-D585-F585)),IF(AND($B$171=1,I584=1),B585,""))</x:f>
        <x:v>536476.6408498662</x:v>
      </x:c>
      <x:c r="I585" s="444" t="n">
        <x:f>IF(OR(I584=1,AND(E585&gt;0,$B$78&lt;&gt;"Cash payoff",NOT(AND($B$78="Refinance",ISNUMBER($B$80),$B$80&gt;=0,$B$80&lt;=1,ROUND($B$81*12,0)&gt;=1,$B$81&lt;=100,SUM($B$82)&gt;=0,SUM($B$82)&lt;=1,SUM($B$83)&gt;=0))),AND(ISNUMBER(B585),B585&gt;0,$B$171=1,NOT(ISNUMBER(D585)))),1,0)</x:f>
        <x:v>0</x:v>
      </x:c>
      <x:c r="J585" s="440" t="n">
        <x:f>IF(ISNUMBER(L584),L584,"")</x:f>
        <x:v>0</x:v>
      </x:c>
      <x:c r="K585" s="440" t="n">
        <x:f>IF(AND(ISNUMBER(J585),J585=0),0,IF(AND($B$176=1,ISNUMBER(J585)),MIN(J585*(1+$B$87/12),IF($B$86=0,0,IF($B$87=0,$B$86/ROUND($B$88*12,0),$B$86*($B$87/12)/(1-(1+$B$87/12)^(-ROUND($B$88*12,0)))))),""))</x:f>
        <x:v>0</x:v>
      </x:c>
      <x:c r="L585" s="440" t="n">
        <x:f>IF(ISNUMBER(K585),IF(MAX(0,J585*(1+SUM($B$87)/12)-K585)&lt;MAX(0.0000001,$B$86*0.00000000001),0,MAX(0,J585*(1+SUM($B$87)/12)-K585)),"")</x:f>
        <x:v>0</x:v>
      </x:c>
      <x:c r="M585" s="440" t="n">
        <x:f>IF(AND(ISNUMBER(D585),ISNUMBER(K585)),D585+K585,"")</x:f>
        <x:v>4679.450723240598</x:v>
      </x:c>
      <x:c r="N585" s="440" t="n">
        <x:f>IF(AND(ISNUMBER(H585),ISNUMBER(L585)),H585+L585,"")</x:f>
        <x:v>536476.6408498662</x:v>
      </x:c>
    </x:row>
    <x:row r="586" ht="22" customHeight="1">
      <x:c r="A586" s="254" t="n">
        <x:f>186</x:f>
        <x:v>186</x:v>
      </x:c>
      <x:c r="B586" s="440" t="n">
        <x:f>IF(ISNUMBER(H585),H585,"")</x:f>
        <x:v>536476.6408498662</x:v>
      </x:c>
      <x:c r="C586" s="442" t="n">
        <x:f>IF(ISNUMBER(B586),IF(AND(186&gt;$B$173,$B$78="Refinance",ISNUMBER($B$80),$B$80&gt;=0,$B$80&lt;=1,ROUND($B$81*12,0)&gt;=1,$B$81&lt;=100,SUM($B$82)&gt;=0,SUM($B$82)&lt;=1,SUM($B$83)&gt;=0),$B$80,IF(AND($B$175&gt;0,186&gt;$B$175,ISNUMBER($B$75)),$B$75,$B$61)),"")</x:f>
        <x:v>0.0625</x:v>
      </x:c>
      <x:c r="D586" s="440" t="n">
        <x:f>IF(AND(ISNUMBER(B586),B586=0),0,IF(AND($B$171=1,I585=0,ISNUMBER(C586),ISNUMBER(IF(AND(186&lt;=$B$174,186&lt;=$B$173),B586*C586/12,IF(AND(186=$B$173+1,AND(186&gt;$B$173,$B$78="Refinance",ISNUMBER($B$80),$B$80&gt;=0,$B$80&lt;=1,ROUND($B$81*12,0)&gt;=1,$B$81&lt;=100,SUM($B$82)&gt;=0,SUM($B$82)&lt;=1,SUM($B$83)&gt;=0)),IF(B586=0,0,IF(C586=0,B586/ROUND($B$81*12,0),B586*(C586/12)/(1-(1+C586/12)^(-ROUND($B$81*12,0))))),IF(AND(NOT(AND(186&gt;$B$173,$B$78="Refinance",ISNUMBER($B$80),$B$80&gt;=0,$B$80&lt;=1,ROUND($B$81*12,0)&gt;=1,$B$81&lt;=100,SUM($B$82)&gt;=0,SUM($B$82)&lt;=1,SUM($B$83)&gt;=0)),OR(186=1,186=$B$174+1,AND($B$175&gt;0,186=$B$175+1))),IF(AND($B$170=1,$B$66&gt;0,OR($B$175=0,186&lt;=$B$175)),$B$66,IF($B$172-MAX(186-1,$B$174)&gt;0,IF(B586=0,0,IF(C586=0,B586/($B$172-MAX(186-1,$B$174)),B586*(C586/12)/(1-(1+C586/12)^(-($B$172-MAX(186-1,$B$174)))))),"")),D585))))),IF(IF(AND(186&lt;=$B$174,186&lt;=$B$173),B586*C586/12,IF(AND(186=$B$173+1,AND(186&gt;$B$173,$B$78="Refinance",ISNUMBER($B$80),$B$80&gt;=0,$B$80&lt;=1,ROUND($B$81*12,0)&gt;=1,$B$81&lt;=100,SUM($B$82)&gt;=0,SUM($B$82)&lt;=1,SUM($B$83)&gt;=0)),IF(B586=0,0,IF(C586=0,B586/ROUND($B$81*12,0),B586*(C586/12)/(1-(1+C586/12)^(-ROUND($B$81*12,0))))),IF(AND(NOT(AND(186&gt;$B$173,$B$78="Refinance",ISNUMBER($B$80),$B$80&gt;=0,$B$80&lt;=1,ROUND($B$81*12,0)&gt;=1,$B$81&lt;=100,SUM($B$82)&gt;=0,SUM($B$82)&lt;=1,SUM($B$83)&gt;=0)),OR(186=1,186=$B$174+1,AND($B$175&gt;0,186=$B$175+1))),IF(AND($B$170=1,$B$66&gt;0,OR($B$175=0,186&lt;=$B$175)),$B$66,IF($B$172-MAX(186-1,$B$174)&gt;0,IF(B586=0,0,IF(C586=0,B586/($B$172-MAX(186-1,$B$174)),B586*(C586/12)/(1-(1+C586/12)^(-($B$172-MAX(186-1,$B$174)))))),"")),D585)))+0.0000001&gt;=B586*C586/12,MIN(B586*(1+C586/12),IF(AND(186&lt;=$B$174,186&lt;=$B$173),B586*C586/12,IF(AND(186=$B$173+1,AND(186&gt;$B$173,$B$78="Refinance",ISNUMBER($B$80),$B$80&gt;=0,$B$80&lt;=1,ROUND($B$81*12,0)&gt;=1,$B$81&lt;=100,SUM($B$82)&gt;=0,SUM($B$82)&lt;=1,SUM($B$83)&gt;=0)),IF(B586=0,0,IF(C586=0,B586/ROUND($B$81*12,0),B586*(C586/12)/(1-(1+C586/12)^(-ROUND($B$81*12,0))))),IF(AND(NOT(AND(186&gt;$B$173,$B$78="Refinance",ISNUMBER($B$80),$B$80&gt;=0,$B$80&lt;=1,ROUND($B$81*12,0)&gt;=1,$B$81&lt;=100,SUM($B$82)&gt;=0,SUM($B$82)&lt;=1,SUM($B$83)&gt;=0)),OR(186=1,186=$B$174+1,AND($B$175&gt;0,186=$B$175+1))),IF(AND($B$170=1,$B$66&gt;0,OR($B$175=0,186&lt;=$B$175)),$B$66,IF($B$172-MAX(186-1,$B$174)&gt;0,IF(B586=0,0,IF(C586=0,B586/($B$172-MAX(186-1,$B$174)),B586*(C586/12)/(1-(1+C586/12)^(-($B$172-MAX(186-1,$B$174)))))),"")),D585)))),""),""))</x:f>
        <x:v>4679.450723240598</x:v>
      </x:c>
      <x:c r="E586" s="440" t="n">
        <x:f>IF(AND(186=$B$173,ISNUMBER(D586)),IF(MAX(0,B586*(1+C586/12)-D586)&lt;MAX(0.0000001,$E$17*0.00000000001),0,MAX(0,B586*(1+C586/12)-D586)),0)</x:f>
        <x:v>0</x:v>
      </x:c>
      <x:c r="F586" s="440" t="n">
        <x:f>IF($B$78="Cash payoff",E586,0)</x:f>
        <x:v>0</x:v>
      </x:c>
      <x:c r="G586" s="440" t="n">
        <x:f>IF(AND(E586&gt;0,AND($B$78="Refinance",ISNUMBER($B$80),$B$80&gt;=0,$B$80&lt;=1,ROUND($B$81*12,0)&gt;=1,$B$81&lt;=100,SUM($B$82)&gt;=0,SUM($B$82)&lt;=1,SUM($B$83)&gt;=0)),E586*SUM($B$82)+SUM($B$83),0)</x:f>
        <x:v>0</x:v>
      </x:c>
      <x:c r="H586" s="440" t="n">
        <x:f>IF(ISNUMBER(D586),IF(MAX(0,B586*(1+C586/12)-D586-F586)&lt;MAX(0.0000001,$E$17*0.00000000001),0,MAX(0,B586*(1+C586/12)-D586-F586)),IF(AND($B$171=1,I585=1),B586,""))</x:f>
        <x:v>534591.3392977186</x:v>
      </x:c>
      <x:c r="I586" s="444" t="n">
        <x:f>IF(OR(I585=1,AND(E586&gt;0,$B$78&lt;&gt;"Cash payoff",NOT(AND($B$78="Refinance",ISNUMBER($B$80),$B$80&gt;=0,$B$80&lt;=1,ROUND($B$81*12,0)&gt;=1,$B$81&lt;=100,SUM($B$82)&gt;=0,SUM($B$82)&lt;=1,SUM($B$83)&gt;=0))),AND(ISNUMBER(B586),B586&gt;0,$B$171=1,NOT(ISNUMBER(D586)))),1,0)</x:f>
        <x:v>0</x:v>
      </x:c>
      <x:c r="J586" s="440" t="n">
        <x:f>IF(ISNUMBER(L585),L585,"")</x:f>
        <x:v>0</x:v>
      </x:c>
      <x:c r="K586" s="440" t="n">
        <x:f>IF(AND(ISNUMBER(J586),J586=0),0,IF(AND($B$176=1,ISNUMBER(J586)),MIN(J586*(1+$B$87/12),IF($B$86=0,0,IF($B$87=0,$B$86/ROUND($B$88*12,0),$B$86*($B$87/12)/(1-(1+$B$87/12)^(-ROUND($B$88*12,0)))))),""))</x:f>
        <x:v>0</x:v>
      </x:c>
      <x:c r="L586" s="440" t="n">
        <x:f>IF(ISNUMBER(K586),IF(MAX(0,J586*(1+SUM($B$87)/12)-K586)&lt;MAX(0.0000001,$B$86*0.00000000001),0,MAX(0,J586*(1+SUM($B$87)/12)-K586)),"")</x:f>
        <x:v>0</x:v>
      </x:c>
      <x:c r="M586" s="440" t="n">
        <x:f>IF(AND(ISNUMBER(D586),ISNUMBER(K586)),D586+K586,"")</x:f>
        <x:v>4679.450723240598</x:v>
      </x:c>
      <x:c r="N586" s="440" t="n">
        <x:f>IF(AND(ISNUMBER(H586),ISNUMBER(L586)),H586+L586,"")</x:f>
        <x:v>534591.3392977186</x:v>
      </x:c>
    </x:row>
    <x:row r="587" ht="22" customHeight="1">
      <x:c r="A587" s="254" t="n">
        <x:f>187</x:f>
        <x:v>187</x:v>
      </x:c>
      <x:c r="B587" s="440" t="n">
        <x:f>IF(ISNUMBER(H586),H586,"")</x:f>
        <x:v>534591.3392977186</x:v>
      </x:c>
      <x:c r="C587" s="442" t="n">
        <x:f>IF(ISNUMBER(B587),IF(AND(187&gt;$B$173,$B$78="Refinance",ISNUMBER($B$80),$B$80&gt;=0,$B$80&lt;=1,ROUND($B$81*12,0)&gt;=1,$B$81&lt;=100,SUM($B$82)&gt;=0,SUM($B$82)&lt;=1,SUM($B$83)&gt;=0),$B$80,IF(AND($B$175&gt;0,187&gt;$B$175,ISNUMBER($B$75)),$B$75,$B$61)),"")</x:f>
        <x:v>0.0625</x:v>
      </x:c>
      <x:c r="D587" s="440" t="n">
        <x:f>IF(AND(ISNUMBER(B587),B587=0),0,IF(AND($B$171=1,I586=0,ISNUMBER(C587),ISNUMBER(IF(AND(187&lt;=$B$174,187&lt;=$B$173),B587*C587/12,IF(AND(187=$B$173+1,AND(187&gt;$B$173,$B$78="Refinance",ISNUMBER($B$80),$B$80&gt;=0,$B$80&lt;=1,ROUND($B$81*12,0)&gt;=1,$B$81&lt;=100,SUM($B$82)&gt;=0,SUM($B$82)&lt;=1,SUM($B$83)&gt;=0)),IF(B587=0,0,IF(C587=0,B587/ROUND($B$81*12,0),B587*(C587/12)/(1-(1+C587/12)^(-ROUND($B$81*12,0))))),IF(AND(NOT(AND(187&gt;$B$173,$B$78="Refinance",ISNUMBER($B$80),$B$80&gt;=0,$B$80&lt;=1,ROUND($B$81*12,0)&gt;=1,$B$81&lt;=100,SUM($B$82)&gt;=0,SUM($B$82)&lt;=1,SUM($B$83)&gt;=0)),OR(187=1,187=$B$174+1,AND($B$175&gt;0,187=$B$175+1))),IF(AND($B$170=1,$B$66&gt;0,OR($B$175=0,187&lt;=$B$175)),$B$66,IF($B$172-MAX(187-1,$B$174)&gt;0,IF(B587=0,0,IF(C587=0,B587/($B$172-MAX(187-1,$B$174)),B587*(C587/12)/(1-(1+C587/12)^(-($B$172-MAX(187-1,$B$174)))))),"")),D586))))),IF(IF(AND(187&lt;=$B$174,187&lt;=$B$173),B587*C587/12,IF(AND(187=$B$173+1,AND(187&gt;$B$173,$B$78="Refinance",ISNUMBER($B$80),$B$80&gt;=0,$B$80&lt;=1,ROUND($B$81*12,0)&gt;=1,$B$81&lt;=100,SUM($B$82)&gt;=0,SUM($B$82)&lt;=1,SUM($B$83)&gt;=0)),IF(B587=0,0,IF(C587=0,B587/ROUND($B$81*12,0),B587*(C587/12)/(1-(1+C587/12)^(-ROUND($B$81*12,0))))),IF(AND(NOT(AND(187&gt;$B$173,$B$78="Refinance",ISNUMBER($B$80),$B$80&gt;=0,$B$80&lt;=1,ROUND($B$81*12,0)&gt;=1,$B$81&lt;=100,SUM($B$82)&gt;=0,SUM($B$82)&lt;=1,SUM($B$83)&gt;=0)),OR(187=1,187=$B$174+1,AND($B$175&gt;0,187=$B$175+1))),IF(AND($B$170=1,$B$66&gt;0,OR($B$175=0,187&lt;=$B$175)),$B$66,IF($B$172-MAX(187-1,$B$174)&gt;0,IF(B587=0,0,IF(C587=0,B587/($B$172-MAX(187-1,$B$174)),B587*(C587/12)/(1-(1+C587/12)^(-($B$172-MAX(187-1,$B$174)))))),"")),D586)))+0.0000001&gt;=B587*C587/12,MIN(B587*(1+C587/12),IF(AND(187&lt;=$B$174,187&lt;=$B$173),B587*C587/12,IF(AND(187=$B$173+1,AND(187&gt;$B$173,$B$78="Refinance",ISNUMBER($B$80),$B$80&gt;=0,$B$80&lt;=1,ROUND($B$81*12,0)&gt;=1,$B$81&lt;=100,SUM($B$82)&gt;=0,SUM($B$82)&lt;=1,SUM($B$83)&gt;=0)),IF(B587=0,0,IF(C587=0,B587/ROUND($B$81*12,0),B587*(C587/12)/(1-(1+C587/12)^(-ROUND($B$81*12,0))))),IF(AND(NOT(AND(187&gt;$B$173,$B$78="Refinance",ISNUMBER($B$80),$B$80&gt;=0,$B$80&lt;=1,ROUND($B$81*12,0)&gt;=1,$B$81&lt;=100,SUM($B$82)&gt;=0,SUM($B$82)&lt;=1,SUM($B$83)&gt;=0)),OR(187=1,187=$B$174+1,AND($B$175&gt;0,187=$B$175+1))),IF(AND($B$170=1,$B$66&gt;0,OR($B$175=0,187&lt;=$B$175)),$B$66,IF($B$172-MAX(187-1,$B$174)&gt;0,IF(B587=0,0,IF(C587=0,B587/($B$172-MAX(187-1,$B$174)),B587*(C587/12)/(1-(1+C587/12)^(-($B$172-MAX(187-1,$B$174)))))),"")),D586)))),""),""))</x:f>
        <x:v>4679.450723240598</x:v>
      </x:c>
      <x:c r="E587" s="440" t="n">
        <x:f>IF(AND(187=$B$173,ISNUMBER(D587)),IF(MAX(0,B587*(1+C587/12)-D587)&lt;MAX(0.0000001,$E$17*0.00000000001),0,MAX(0,B587*(1+C587/12)-D587)),0)</x:f>
        <x:v>0</x:v>
      </x:c>
      <x:c r="F587" s="440" t="n">
        <x:f>IF($B$78="Cash payoff",E587,0)</x:f>
        <x:v>0</x:v>
      </x:c>
      <x:c r="G587" s="440" t="n">
        <x:f>IF(AND(E587&gt;0,AND($B$78="Refinance",ISNUMBER($B$80),$B$80&gt;=0,$B$80&lt;=1,ROUND($B$81*12,0)&gt;=1,$B$81&lt;=100,SUM($B$82)&gt;=0,SUM($B$82)&lt;=1,SUM($B$83)&gt;=0)),E587*SUM($B$82)+SUM($B$83),0)</x:f>
        <x:v>0</x:v>
      </x:c>
      <x:c r="H587" s="440" t="n">
        <x:f>IF(ISNUMBER(D587),IF(MAX(0,B587*(1+C587/12)-D587-F587)&lt;MAX(0.0000001,$E$17*0.00000000001),0,MAX(0,B587*(1+C587/12)-D587-F587)),IF(AND($B$171=1,I586=1),B587,""))</x:f>
        <x:v>532696.2184666536</x:v>
      </x:c>
      <x:c r="I587" s="444" t="n">
        <x:f>IF(OR(I586=1,AND(E587&gt;0,$B$78&lt;&gt;"Cash payoff",NOT(AND($B$78="Refinance",ISNUMBER($B$80),$B$80&gt;=0,$B$80&lt;=1,ROUND($B$81*12,0)&gt;=1,$B$81&lt;=100,SUM($B$82)&gt;=0,SUM($B$82)&lt;=1,SUM($B$83)&gt;=0))),AND(ISNUMBER(B587),B587&gt;0,$B$171=1,NOT(ISNUMBER(D587)))),1,0)</x:f>
        <x:v>0</x:v>
      </x:c>
      <x:c r="J587" s="440" t="n">
        <x:f>IF(ISNUMBER(L586),L586,"")</x:f>
        <x:v>0</x:v>
      </x:c>
      <x:c r="K587" s="440" t="n">
        <x:f>IF(AND(ISNUMBER(J587),J587=0),0,IF(AND($B$176=1,ISNUMBER(J587)),MIN(J587*(1+$B$87/12),IF($B$86=0,0,IF($B$87=0,$B$86/ROUND($B$88*12,0),$B$86*($B$87/12)/(1-(1+$B$87/12)^(-ROUND($B$88*12,0)))))),""))</x:f>
        <x:v>0</x:v>
      </x:c>
      <x:c r="L587" s="440" t="n">
        <x:f>IF(ISNUMBER(K587),IF(MAX(0,J587*(1+SUM($B$87)/12)-K587)&lt;MAX(0.0000001,$B$86*0.00000000001),0,MAX(0,J587*(1+SUM($B$87)/12)-K587)),"")</x:f>
        <x:v>0</x:v>
      </x:c>
      <x:c r="M587" s="440" t="n">
        <x:f>IF(AND(ISNUMBER(D587),ISNUMBER(K587)),D587+K587,"")</x:f>
        <x:v>4679.450723240598</x:v>
      </x:c>
      <x:c r="N587" s="440" t="n">
        <x:f>IF(AND(ISNUMBER(H587),ISNUMBER(L587)),H587+L587,"")</x:f>
        <x:v>532696.2184666536</x:v>
      </x:c>
    </x:row>
    <x:row r="588" ht="22" customHeight="1">
      <x:c r="A588" s="254" t="n">
        <x:f>188</x:f>
        <x:v>188</x:v>
      </x:c>
      <x:c r="B588" s="440" t="n">
        <x:f>IF(ISNUMBER(H587),H587,"")</x:f>
        <x:v>532696.2184666536</x:v>
      </x:c>
      <x:c r="C588" s="442" t="n">
        <x:f>IF(ISNUMBER(B588),IF(AND(188&gt;$B$173,$B$78="Refinance",ISNUMBER($B$80),$B$80&gt;=0,$B$80&lt;=1,ROUND($B$81*12,0)&gt;=1,$B$81&lt;=100,SUM($B$82)&gt;=0,SUM($B$82)&lt;=1,SUM($B$83)&gt;=0),$B$80,IF(AND($B$175&gt;0,188&gt;$B$175,ISNUMBER($B$75)),$B$75,$B$61)),"")</x:f>
        <x:v>0.0625</x:v>
      </x:c>
      <x:c r="D588" s="440" t="n">
        <x:f>IF(AND(ISNUMBER(B588),B588=0),0,IF(AND($B$171=1,I587=0,ISNUMBER(C588),ISNUMBER(IF(AND(188&lt;=$B$174,188&lt;=$B$173),B588*C588/12,IF(AND(188=$B$173+1,AND(188&gt;$B$173,$B$78="Refinance",ISNUMBER($B$80),$B$80&gt;=0,$B$80&lt;=1,ROUND($B$81*12,0)&gt;=1,$B$81&lt;=100,SUM($B$82)&gt;=0,SUM($B$82)&lt;=1,SUM($B$83)&gt;=0)),IF(B588=0,0,IF(C588=0,B588/ROUND($B$81*12,0),B588*(C588/12)/(1-(1+C588/12)^(-ROUND($B$81*12,0))))),IF(AND(NOT(AND(188&gt;$B$173,$B$78="Refinance",ISNUMBER($B$80),$B$80&gt;=0,$B$80&lt;=1,ROUND($B$81*12,0)&gt;=1,$B$81&lt;=100,SUM($B$82)&gt;=0,SUM($B$82)&lt;=1,SUM($B$83)&gt;=0)),OR(188=1,188=$B$174+1,AND($B$175&gt;0,188=$B$175+1))),IF(AND($B$170=1,$B$66&gt;0,OR($B$175=0,188&lt;=$B$175)),$B$66,IF($B$172-MAX(188-1,$B$174)&gt;0,IF(B588=0,0,IF(C588=0,B588/($B$172-MAX(188-1,$B$174)),B588*(C588/12)/(1-(1+C588/12)^(-($B$172-MAX(188-1,$B$174)))))),"")),D587))))),IF(IF(AND(188&lt;=$B$174,188&lt;=$B$173),B588*C588/12,IF(AND(188=$B$173+1,AND(188&gt;$B$173,$B$78="Refinance",ISNUMBER($B$80),$B$80&gt;=0,$B$80&lt;=1,ROUND($B$81*12,0)&gt;=1,$B$81&lt;=100,SUM($B$82)&gt;=0,SUM($B$82)&lt;=1,SUM($B$83)&gt;=0)),IF(B588=0,0,IF(C588=0,B588/ROUND($B$81*12,0),B588*(C588/12)/(1-(1+C588/12)^(-ROUND($B$81*12,0))))),IF(AND(NOT(AND(188&gt;$B$173,$B$78="Refinance",ISNUMBER($B$80),$B$80&gt;=0,$B$80&lt;=1,ROUND($B$81*12,0)&gt;=1,$B$81&lt;=100,SUM($B$82)&gt;=0,SUM($B$82)&lt;=1,SUM($B$83)&gt;=0)),OR(188=1,188=$B$174+1,AND($B$175&gt;0,188=$B$175+1))),IF(AND($B$170=1,$B$66&gt;0,OR($B$175=0,188&lt;=$B$175)),$B$66,IF($B$172-MAX(188-1,$B$174)&gt;0,IF(B588=0,0,IF(C588=0,B588/($B$172-MAX(188-1,$B$174)),B588*(C588/12)/(1-(1+C588/12)^(-($B$172-MAX(188-1,$B$174)))))),"")),D587)))+0.0000001&gt;=B588*C588/12,MIN(B588*(1+C588/12),IF(AND(188&lt;=$B$174,188&lt;=$B$173),B588*C588/12,IF(AND(188=$B$173+1,AND(188&gt;$B$173,$B$78="Refinance",ISNUMBER($B$80),$B$80&gt;=0,$B$80&lt;=1,ROUND($B$81*12,0)&gt;=1,$B$81&lt;=100,SUM($B$82)&gt;=0,SUM($B$82)&lt;=1,SUM($B$83)&gt;=0)),IF(B588=0,0,IF(C588=0,B588/ROUND($B$81*12,0),B588*(C588/12)/(1-(1+C588/12)^(-ROUND($B$81*12,0))))),IF(AND(NOT(AND(188&gt;$B$173,$B$78="Refinance",ISNUMBER($B$80),$B$80&gt;=0,$B$80&lt;=1,ROUND($B$81*12,0)&gt;=1,$B$81&lt;=100,SUM($B$82)&gt;=0,SUM($B$82)&lt;=1,SUM($B$83)&gt;=0)),OR(188=1,188=$B$174+1,AND($B$175&gt;0,188=$B$175+1))),IF(AND($B$170=1,$B$66&gt;0,OR($B$175=0,188&lt;=$B$175)),$B$66,IF($B$172-MAX(188-1,$B$174)&gt;0,IF(B588=0,0,IF(C588=0,B588/($B$172-MAX(188-1,$B$174)),B588*(C588/12)/(1-(1+C588/12)^(-($B$172-MAX(188-1,$B$174)))))),"")),D587)))),""),""))</x:f>
        <x:v>4679.450723240598</x:v>
      </x:c>
      <x:c r="E588" s="440" t="n">
        <x:f>IF(AND(188=$B$173,ISNUMBER(D588)),IF(MAX(0,B588*(1+C588/12)-D588)&lt;MAX(0.0000001,$E$17*0.00000000001),0,MAX(0,B588*(1+C588/12)-D588)),0)</x:f>
        <x:v>0</x:v>
      </x:c>
      <x:c r="F588" s="440" t="n">
        <x:f>IF($B$78="Cash payoff",E588,0)</x:f>
        <x:v>0</x:v>
      </x:c>
      <x:c r="G588" s="440" t="n">
        <x:f>IF(AND(E588&gt;0,AND($B$78="Refinance",ISNUMBER($B$80),$B$80&gt;=0,$B$80&lt;=1,ROUND($B$81*12,0)&gt;=1,$B$81&lt;=100,SUM($B$82)&gt;=0,SUM($B$82)&lt;=1,SUM($B$83)&gt;=0)),E588*SUM($B$82)+SUM($B$83),0)</x:f>
        <x:v>0</x:v>
      </x:c>
      <x:c r="H588" s="440" t="n">
        <x:f>IF(ISNUMBER(D588),IF(MAX(0,B588*(1+C588/12)-D588-F588)&lt;MAX(0.0000001,$E$17*0.00000000001),0,MAX(0,B588*(1+C588/12)-D588-F588)),IF(AND($B$171=1,I587=1),B588,""))</x:f>
        <x:v>530791.2272145934</x:v>
      </x:c>
      <x:c r="I588" s="444" t="n">
        <x:f>IF(OR(I587=1,AND(E588&gt;0,$B$78&lt;&gt;"Cash payoff",NOT(AND($B$78="Refinance",ISNUMBER($B$80),$B$80&gt;=0,$B$80&lt;=1,ROUND($B$81*12,0)&gt;=1,$B$81&lt;=100,SUM($B$82)&gt;=0,SUM($B$82)&lt;=1,SUM($B$83)&gt;=0))),AND(ISNUMBER(B588),B588&gt;0,$B$171=1,NOT(ISNUMBER(D588)))),1,0)</x:f>
        <x:v>0</x:v>
      </x:c>
      <x:c r="J588" s="440" t="n">
        <x:f>IF(ISNUMBER(L587),L587,"")</x:f>
        <x:v>0</x:v>
      </x:c>
      <x:c r="K588" s="440" t="n">
        <x:f>IF(AND(ISNUMBER(J588),J588=0),0,IF(AND($B$176=1,ISNUMBER(J588)),MIN(J588*(1+$B$87/12),IF($B$86=0,0,IF($B$87=0,$B$86/ROUND($B$88*12,0),$B$86*($B$87/12)/(1-(1+$B$87/12)^(-ROUND($B$88*12,0)))))),""))</x:f>
        <x:v>0</x:v>
      </x:c>
      <x:c r="L588" s="440" t="n">
        <x:f>IF(ISNUMBER(K588),IF(MAX(0,J588*(1+SUM($B$87)/12)-K588)&lt;MAX(0.0000001,$B$86*0.00000000001),0,MAX(0,J588*(1+SUM($B$87)/12)-K588)),"")</x:f>
        <x:v>0</x:v>
      </x:c>
      <x:c r="M588" s="440" t="n">
        <x:f>IF(AND(ISNUMBER(D588),ISNUMBER(K588)),D588+K588,"")</x:f>
        <x:v>4679.450723240598</x:v>
      </x:c>
      <x:c r="N588" s="440" t="n">
        <x:f>IF(AND(ISNUMBER(H588),ISNUMBER(L588)),H588+L588,"")</x:f>
        <x:v>530791.2272145934</x:v>
      </x:c>
    </x:row>
    <x:row r="589" ht="22" customHeight="1">
      <x:c r="A589" s="254" t="n">
        <x:f>189</x:f>
        <x:v>189</x:v>
      </x:c>
      <x:c r="B589" s="440" t="n">
        <x:f>IF(ISNUMBER(H588),H588,"")</x:f>
        <x:v>530791.2272145934</x:v>
      </x:c>
      <x:c r="C589" s="442" t="n">
        <x:f>IF(ISNUMBER(B589),IF(AND(189&gt;$B$173,$B$78="Refinance",ISNUMBER($B$80),$B$80&gt;=0,$B$80&lt;=1,ROUND($B$81*12,0)&gt;=1,$B$81&lt;=100,SUM($B$82)&gt;=0,SUM($B$82)&lt;=1,SUM($B$83)&gt;=0),$B$80,IF(AND($B$175&gt;0,189&gt;$B$175,ISNUMBER($B$75)),$B$75,$B$61)),"")</x:f>
        <x:v>0.0625</x:v>
      </x:c>
      <x:c r="D589" s="440" t="n">
        <x:f>IF(AND(ISNUMBER(B589),B589=0),0,IF(AND($B$171=1,I588=0,ISNUMBER(C589),ISNUMBER(IF(AND(189&lt;=$B$174,189&lt;=$B$173),B589*C589/12,IF(AND(189=$B$173+1,AND(189&gt;$B$173,$B$78="Refinance",ISNUMBER($B$80),$B$80&gt;=0,$B$80&lt;=1,ROUND($B$81*12,0)&gt;=1,$B$81&lt;=100,SUM($B$82)&gt;=0,SUM($B$82)&lt;=1,SUM($B$83)&gt;=0)),IF(B589=0,0,IF(C589=0,B589/ROUND($B$81*12,0),B589*(C589/12)/(1-(1+C589/12)^(-ROUND($B$81*12,0))))),IF(AND(NOT(AND(189&gt;$B$173,$B$78="Refinance",ISNUMBER($B$80),$B$80&gt;=0,$B$80&lt;=1,ROUND($B$81*12,0)&gt;=1,$B$81&lt;=100,SUM($B$82)&gt;=0,SUM($B$82)&lt;=1,SUM($B$83)&gt;=0)),OR(189=1,189=$B$174+1,AND($B$175&gt;0,189=$B$175+1))),IF(AND($B$170=1,$B$66&gt;0,OR($B$175=0,189&lt;=$B$175)),$B$66,IF($B$172-MAX(189-1,$B$174)&gt;0,IF(B589=0,0,IF(C589=0,B589/($B$172-MAX(189-1,$B$174)),B589*(C589/12)/(1-(1+C589/12)^(-($B$172-MAX(189-1,$B$174)))))),"")),D588))))),IF(IF(AND(189&lt;=$B$174,189&lt;=$B$173),B589*C589/12,IF(AND(189=$B$173+1,AND(189&gt;$B$173,$B$78="Refinance",ISNUMBER($B$80),$B$80&gt;=0,$B$80&lt;=1,ROUND($B$81*12,0)&gt;=1,$B$81&lt;=100,SUM($B$82)&gt;=0,SUM($B$82)&lt;=1,SUM($B$83)&gt;=0)),IF(B589=0,0,IF(C589=0,B589/ROUND($B$81*12,0),B589*(C589/12)/(1-(1+C589/12)^(-ROUND($B$81*12,0))))),IF(AND(NOT(AND(189&gt;$B$173,$B$78="Refinance",ISNUMBER($B$80),$B$80&gt;=0,$B$80&lt;=1,ROUND($B$81*12,0)&gt;=1,$B$81&lt;=100,SUM($B$82)&gt;=0,SUM($B$82)&lt;=1,SUM($B$83)&gt;=0)),OR(189=1,189=$B$174+1,AND($B$175&gt;0,189=$B$175+1))),IF(AND($B$170=1,$B$66&gt;0,OR($B$175=0,189&lt;=$B$175)),$B$66,IF($B$172-MAX(189-1,$B$174)&gt;0,IF(B589=0,0,IF(C589=0,B589/($B$172-MAX(189-1,$B$174)),B589*(C589/12)/(1-(1+C589/12)^(-($B$172-MAX(189-1,$B$174)))))),"")),D588)))+0.0000001&gt;=B589*C589/12,MIN(B589*(1+C589/12),IF(AND(189&lt;=$B$174,189&lt;=$B$173),B589*C589/12,IF(AND(189=$B$173+1,AND(189&gt;$B$173,$B$78="Refinance",ISNUMBER($B$80),$B$80&gt;=0,$B$80&lt;=1,ROUND($B$81*12,0)&gt;=1,$B$81&lt;=100,SUM($B$82)&gt;=0,SUM($B$82)&lt;=1,SUM($B$83)&gt;=0)),IF(B589=0,0,IF(C589=0,B589/ROUND($B$81*12,0),B589*(C589/12)/(1-(1+C589/12)^(-ROUND($B$81*12,0))))),IF(AND(NOT(AND(189&gt;$B$173,$B$78="Refinance",ISNUMBER($B$80),$B$80&gt;=0,$B$80&lt;=1,ROUND($B$81*12,0)&gt;=1,$B$81&lt;=100,SUM($B$82)&gt;=0,SUM($B$82)&lt;=1,SUM($B$83)&gt;=0)),OR(189=1,189=$B$174+1,AND($B$175&gt;0,189=$B$175+1))),IF(AND($B$170=1,$B$66&gt;0,OR($B$175=0,189&lt;=$B$175)),$B$66,IF($B$172-MAX(189-1,$B$174)&gt;0,IF(B589=0,0,IF(C589=0,B589/($B$172-MAX(189-1,$B$174)),B589*(C589/12)/(1-(1+C589/12)^(-($B$172-MAX(189-1,$B$174)))))),"")),D588)))),""),""))</x:f>
        <x:v>4679.450723240598</x:v>
      </x:c>
      <x:c r="E589" s="440" t="n">
        <x:f>IF(AND(189=$B$173,ISNUMBER(D589)),IF(MAX(0,B589*(1+C589/12)-D589)&lt;MAX(0.0000001,$E$17*0.00000000001),0,MAX(0,B589*(1+C589/12)-D589)),0)</x:f>
        <x:v>0</x:v>
      </x:c>
      <x:c r="F589" s="440" t="n">
        <x:f>IF($B$78="Cash payoff",E589,0)</x:f>
        <x:v>0</x:v>
      </x:c>
      <x:c r="G589" s="440" t="n">
        <x:f>IF(AND(E589&gt;0,AND($B$78="Refinance",ISNUMBER($B$80),$B$80&gt;=0,$B$80&lt;=1,ROUND($B$81*12,0)&gt;=1,$B$81&lt;=100,SUM($B$82)&gt;=0,SUM($B$82)&lt;=1,SUM($B$83)&gt;=0)),E589*SUM($B$82)+SUM($B$83),0)</x:f>
        <x:v>0</x:v>
      </x:c>
      <x:c r="H589" s="440" t="n">
        <x:f>IF(ISNUMBER(D589),IF(MAX(0,B589*(1+C589/12)-D589-F589)&lt;MAX(0.0000001,$E$17*0.00000000001),0,MAX(0,B589*(1+C589/12)-D589-F589)),IF(AND($B$171=1,I588=1),B589,""))</x:f>
        <x:v>528876.3141330954</x:v>
      </x:c>
      <x:c r="I589" s="444" t="n">
        <x:f>IF(OR(I588=1,AND(E589&gt;0,$B$78&lt;&gt;"Cash payoff",NOT(AND($B$78="Refinance",ISNUMBER($B$80),$B$80&gt;=0,$B$80&lt;=1,ROUND($B$81*12,0)&gt;=1,$B$81&lt;=100,SUM($B$82)&gt;=0,SUM($B$82)&lt;=1,SUM($B$83)&gt;=0))),AND(ISNUMBER(B589),B589&gt;0,$B$171=1,NOT(ISNUMBER(D589)))),1,0)</x:f>
        <x:v>0</x:v>
      </x:c>
      <x:c r="J589" s="440" t="n">
        <x:f>IF(ISNUMBER(L588),L588,"")</x:f>
        <x:v>0</x:v>
      </x:c>
      <x:c r="K589" s="440" t="n">
        <x:f>IF(AND(ISNUMBER(J589),J589=0),0,IF(AND($B$176=1,ISNUMBER(J589)),MIN(J589*(1+$B$87/12),IF($B$86=0,0,IF($B$87=0,$B$86/ROUND($B$88*12,0),$B$86*($B$87/12)/(1-(1+$B$87/12)^(-ROUND($B$88*12,0)))))),""))</x:f>
        <x:v>0</x:v>
      </x:c>
      <x:c r="L589" s="440" t="n">
        <x:f>IF(ISNUMBER(K589),IF(MAX(0,J589*(1+SUM($B$87)/12)-K589)&lt;MAX(0.0000001,$B$86*0.00000000001),0,MAX(0,J589*(1+SUM($B$87)/12)-K589)),"")</x:f>
        <x:v>0</x:v>
      </x:c>
      <x:c r="M589" s="440" t="n">
        <x:f>IF(AND(ISNUMBER(D589),ISNUMBER(K589)),D589+K589,"")</x:f>
        <x:v>4679.450723240598</x:v>
      </x:c>
      <x:c r="N589" s="440" t="n">
        <x:f>IF(AND(ISNUMBER(H589),ISNUMBER(L589)),H589+L589,"")</x:f>
        <x:v>528876.3141330954</x:v>
      </x:c>
    </x:row>
    <x:row r="590" ht="22" customHeight="1">
      <x:c r="A590" s="254" t="n">
        <x:f>190</x:f>
        <x:v>190</x:v>
      </x:c>
      <x:c r="B590" s="440" t="n">
        <x:f>IF(ISNUMBER(H589),H589,"")</x:f>
        <x:v>528876.3141330954</x:v>
      </x:c>
      <x:c r="C590" s="442" t="n">
        <x:f>IF(ISNUMBER(B590),IF(AND(190&gt;$B$173,$B$78="Refinance",ISNUMBER($B$80),$B$80&gt;=0,$B$80&lt;=1,ROUND($B$81*12,0)&gt;=1,$B$81&lt;=100,SUM($B$82)&gt;=0,SUM($B$82)&lt;=1,SUM($B$83)&gt;=0),$B$80,IF(AND($B$175&gt;0,190&gt;$B$175,ISNUMBER($B$75)),$B$75,$B$61)),"")</x:f>
        <x:v>0.0625</x:v>
      </x:c>
      <x:c r="D590" s="440" t="n">
        <x:f>IF(AND(ISNUMBER(B590),B590=0),0,IF(AND($B$171=1,I589=0,ISNUMBER(C590),ISNUMBER(IF(AND(190&lt;=$B$174,190&lt;=$B$173),B590*C590/12,IF(AND(190=$B$173+1,AND(190&gt;$B$173,$B$78="Refinance",ISNUMBER($B$80),$B$80&gt;=0,$B$80&lt;=1,ROUND($B$81*12,0)&gt;=1,$B$81&lt;=100,SUM($B$82)&gt;=0,SUM($B$82)&lt;=1,SUM($B$83)&gt;=0)),IF(B590=0,0,IF(C590=0,B590/ROUND($B$81*12,0),B590*(C590/12)/(1-(1+C590/12)^(-ROUND($B$81*12,0))))),IF(AND(NOT(AND(190&gt;$B$173,$B$78="Refinance",ISNUMBER($B$80),$B$80&gt;=0,$B$80&lt;=1,ROUND($B$81*12,0)&gt;=1,$B$81&lt;=100,SUM($B$82)&gt;=0,SUM($B$82)&lt;=1,SUM($B$83)&gt;=0)),OR(190=1,190=$B$174+1,AND($B$175&gt;0,190=$B$175+1))),IF(AND($B$170=1,$B$66&gt;0,OR($B$175=0,190&lt;=$B$175)),$B$66,IF($B$172-MAX(190-1,$B$174)&gt;0,IF(B590=0,0,IF(C590=0,B590/($B$172-MAX(190-1,$B$174)),B590*(C590/12)/(1-(1+C590/12)^(-($B$172-MAX(190-1,$B$174)))))),"")),D589))))),IF(IF(AND(190&lt;=$B$174,190&lt;=$B$173),B590*C590/12,IF(AND(190=$B$173+1,AND(190&gt;$B$173,$B$78="Refinance",ISNUMBER($B$80),$B$80&gt;=0,$B$80&lt;=1,ROUND($B$81*12,0)&gt;=1,$B$81&lt;=100,SUM($B$82)&gt;=0,SUM($B$82)&lt;=1,SUM($B$83)&gt;=0)),IF(B590=0,0,IF(C590=0,B590/ROUND($B$81*12,0),B590*(C590/12)/(1-(1+C590/12)^(-ROUND($B$81*12,0))))),IF(AND(NOT(AND(190&gt;$B$173,$B$78="Refinance",ISNUMBER($B$80),$B$80&gt;=0,$B$80&lt;=1,ROUND($B$81*12,0)&gt;=1,$B$81&lt;=100,SUM($B$82)&gt;=0,SUM($B$82)&lt;=1,SUM($B$83)&gt;=0)),OR(190=1,190=$B$174+1,AND($B$175&gt;0,190=$B$175+1))),IF(AND($B$170=1,$B$66&gt;0,OR($B$175=0,190&lt;=$B$175)),$B$66,IF($B$172-MAX(190-1,$B$174)&gt;0,IF(B590=0,0,IF(C590=0,B590/($B$172-MAX(190-1,$B$174)),B590*(C590/12)/(1-(1+C590/12)^(-($B$172-MAX(190-1,$B$174)))))),"")),D589)))+0.0000001&gt;=B590*C590/12,MIN(B590*(1+C590/12),IF(AND(190&lt;=$B$174,190&lt;=$B$173),B590*C590/12,IF(AND(190=$B$173+1,AND(190&gt;$B$173,$B$78="Refinance",ISNUMBER($B$80),$B$80&gt;=0,$B$80&lt;=1,ROUND($B$81*12,0)&gt;=1,$B$81&lt;=100,SUM($B$82)&gt;=0,SUM($B$82)&lt;=1,SUM($B$83)&gt;=0)),IF(B590=0,0,IF(C590=0,B590/ROUND($B$81*12,0),B590*(C590/12)/(1-(1+C590/12)^(-ROUND($B$81*12,0))))),IF(AND(NOT(AND(190&gt;$B$173,$B$78="Refinance",ISNUMBER($B$80),$B$80&gt;=0,$B$80&lt;=1,ROUND($B$81*12,0)&gt;=1,$B$81&lt;=100,SUM($B$82)&gt;=0,SUM($B$82)&lt;=1,SUM($B$83)&gt;=0)),OR(190=1,190=$B$174+1,AND($B$175&gt;0,190=$B$175+1))),IF(AND($B$170=1,$B$66&gt;0,OR($B$175=0,190&lt;=$B$175)),$B$66,IF($B$172-MAX(190-1,$B$174)&gt;0,IF(B590=0,0,IF(C590=0,B590/($B$172-MAX(190-1,$B$174)),B590*(C590/12)/(1-(1+C590/12)^(-($B$172-MAX(190-1,$B$174)))))),"")),D589)))),""),""))</x:f>
        <x:v>4679.450723240598</x:v>
      </x:c>
      <x:c r="E590" s="440" t="n">
        <x:f>IF(AND(190=$B$173,ISNUMBER(D590)),IF(MAX(0,B590*(1+C590/12)-D590)&lt;MAX(0.0000001,$E$17*0.00000000001),0,MAX(0,B590*(1+C590/12)-D590)),0)</x:f>
        <x:v>0</x:v>
      </x:c>
      <x:c r="F590" s="440" t="n">
        <x:f>IF($B$78="Cash payoff",E590,0)</x:f>
        <x:v>0</x:v>
      </x:c>
      <x:c r="G590" s="440" t="n">
        <x:f>IF(AND(E590&gt;0,AND($B$78="Refinance",ISNUMBER($B$80),$B$80&gt;=0,$B$80&lt;=1,ROUND($B$81*12,0)&gt;=1,$B$81&lt;=100,SUM($B$82)&gt;=0,SUM($B$82)&lt;=1,SUM($B$83)&gt;=0)),E590*SUM($B$82)+SUM($B$83),0)</x:f>
        <x:v>0</x:v>
      </x:c>
      <x:c r="H590" s="440" t="n">
        <x:f>IF(ISNUMBER(D590),IF(MAX(0,B590*(1+C590/12)-D590-F590)&lt;MAX(0.0000001,$E$17*0.00000000001),0,MAX(0,B590*(1+C590/12)-D590-F590)),IF(AND($B$171=1,I589=1),B590,""))</x:f>
        <x:v>526951.4275459646</x:v>
      </x:c>
      <x:c r="I590" s="444" t="n">
        <x:f>IF(OR(I589=1,AND(E590&gt;0,$B$78&lt;&gt;"Cash payoff",NOT(AND($B$78="Refinance",ISNUMBER($B$80),$B$80&gt;=0,$B$80&lt;=1,ROUND($B$81*12,0)&gt;=1,$B$81&lt;=100,SUM($B$82)&gt;=0,SUM($B$82)&lt;=1,SUM($B$83)&gt;=0))),AND(ISNUMBER(B590),B590&gt;0,$B$171=1,NOT(ISNUMBER(D590)))),1,0)</x:f>
        <x:v>0</x:v>
      </x:c>
      <x:c r="J590" s="440" t="n">
        <x:f>IF(ISNUMBER(L589),L589,"")</x:f>
        <x:v>0</x:v>
      </x:c>
      <x:c r="K590" s="440" t="n">
        <x:f>IF(AND(ISNUMBER(J590),J590=0),0,IF(AND($B$176=1,ISNUMBER(J590)),MIN(J590*(1+$B$87/12),IF($B$86=0,0,IF($B$87=0,$B$86/ROUND($B$88*12,0),$B$86*($B$87/12)/(1-(1+$B$87/12)^(-ROUND($B$88*12,0)))))),""))</x:f>
        <x:v>0</x:v>
      </x:c>
      <x:c r="L590" s="440" t="n">
        <x:f>IF(ISNUMBER(K590),IF(MAX(0,J590*(1+SUM($B$87)/12)-K590)&lt;MAX(0.0000001,$B$86*0.00000000001),0,MAX(0,J590*(1+SUM($B$87)/12)-K590)),"")</x:f>
        <x:v>0</x:v>
      </x:c>
      <x:c r="M590" s="440" t="n">
        <x:f>IF(AND(ISNUMBER(D590),ISNUMBER(K590)),D590+K590,"")</x:f>
        <x:v>4679.450723240598</x:v>
      </x:c>
      <x:c r="N590" s="440" t="n">
        <x:f>IF(AND(ISNUMBER(H590),ISNUMBER(L590)),H590+L590,"")</x:f>
        <x:v>526951.4275459646</x:v>
      </x:c>
    </x:row>
    <x:row r="591" ht="22" customHeight="1">
      <x:c r="A591" s="254" t="n">
        <x:f>191</x:f>
        <x:v>191</x:v>
      </x:c>
      <x:c r="B591" s="440" t="n">
        <x:f>IF(ISNUMBER(H590),H590,"")</x:f>
        <x:v>526951.4275459646</x:v>
      </x:c>
      <x:c r="C591" s="442" t="n">
        <x:f>IF(ISNUMBER(B591),IF(AND(191&gt;$B$173,$B$78="Refinance",ISNUMBER($B$80),$B$80&gt;=0,$B$80&lt;=1,ROUND($B$81*12,0)&gt;=1,$B$81&lt;=100,SUM($B$82)&gt;=0,SUM($B$82)&lt;=1,SUM($B$83)&gt;=0),$B$80,IF(AND($B$175&gt;0,191&gt;$B$175,ISNUMBER($B$75)),$B$75,$B$61)),"")</x:f>
        <x:v>0.0625</x:v>
      </x:c>
      <x:c r="D591" s="440" t="n">
        <x:f>IF(AND(ISNUMBER(B591),B591=0),0,IF(AND($B$171=1,I590=0,ISNUMBER(C591),ISNUMBER(IF(AND(191&lt;=$B$174,191&lt;=$B$173),B591*C591/12,IF(AND(191=$B$173+1,AND(191&gt;$B$173,$B$78="Refinance",ISNUMBER($B$80),$B$80&gt;=0,$B$80&lt;=1,ROUND($B$81*12,0)&gt;=1,$B$81&lt;=100,SUM($B$82)&gt;=0,SUM($B$82)&lt;=1,SUM($B$83)&gt;=0)),IF(B591=0,0,IF(C591=0,B591/ROUND($B$81*12,0),B591*(C591/12)/(1-(1+C591/12)^(-ROUND($B$81*12,0))))),IF(AND(NOT(AND(191&gt;$B$173,$B$78="Refinance",ISNUMBER($B$80),$B$80&gt;=0,$B$80&lt;=1,ROUND($B$81*12,0)&gt;=1,$B$81&lt;=100,SUM($B$82)&gt;=0,SUM($B$82)&lt;=1,SUM($B$83)&gt;=0)),OR(191=1,191=$B$174+1,AND($B$175&gt;0,191=$B$175+1))),IF(AND($B$170=1,$B$66&gt;0,OR($B$175=0,191&lt;=$B$175)),$B$66,IF($B$172-MAX(191-1,$B$174)&gt;0,IF(B591=0,0,IF(C591=0,B591/($B$172-MAX(191-1,$B$174)),B591*(C591/12)/(1-(1+C591/12)^(-($B$172-MAX(191-1,$B$174)))))),"")),D590))))),IF(IF(AND(191&lt;=$B$174,191&lt;=$B$173),B591*C591/12,IF(AND(191=$B$173+1,AND(191&gt;$B$173,$B$78="Refinance",ISNUMBER($B$80),$B$80&gt;=0,$B$80&lt;=1,ROUND($B$81*12,0)&gt;=1,$B$81&lt;=100,SUM($B$82)&gt;=0,SUM($B$82)&lt;=1,SUM($B$83)&gt;=0)),IF(B591=0,0,IF(C591=0,B591/ROUND($B$81*12,0),B591*(C591/12)/(1-(1+C591/12)^(-ROUND($B$81*12,0))))),IF(AND(NOT(AND(191&gt;$B$173,$B$78="Refinance",ISNUMBER($B$80),$B$80&gt;=0,$B$80&lt;=1,ROUND($B$81*12,0)&gt;=1,$B$81&lt;=100,SUM($B$82)&gt;=0,SUM($B$82)&lt;=1,SUM($B$83)&gt;=0)),OR(191=1,191=$B$174+1,AND($B$175&gt;0,191=$B$175+1))),IF(AND($B$170=1,$B$66&gt;0,OR($B$175=0,191&lt;=$B$175)),$B$66,IF($B$172-MAX(191-1,$B$174)&gt;0,IF(B591=0,0,IF(C591=0,B591/($B$172-MAX(191-1,$B$174)),B591*(C591/12)/(1-(1+C591/12)^(-($B$172-MAX(191-1,$B$174)))))),"")),D590)))+0.0000001&gt;=B591*C591/12,MIN(B591*(1+C591/12),IF(AND(191&lt;=$B$174,191&lt;=$B$173),B591*C591/12,IF(AND(191=$B$173+1,AND(191&gt;$B$173,$B$78="Refinance",ISNUMBER($B$80),$B$80&gt;=0,$B$80&lt;=1,ROUND($B$81*12,0)&gt;=1,$B$81&lt;=100,SUM($B$82)&gt;=0,SUM($B$82)&lt;=1,SUM($B$83)&gt;=0)),IF(B591=0,0,IF(C591=0,B591/ROUND($B$81*12,0),B591*(C591/12)/(1-(1+C591/12)^(-ROUND($B$81*12,0))))),IF(AND(NOT(AND(191&gt;$B$173,$B$78="Refinance",ISNUMBER($B$80),$B$80&gt;=0,$B$80&lt;=1,ROUND($B$81*12,0)&gt;=1,$B$81&lt;=100,SUM($B$82)&gt;=0,SUM($B$82)&lt;=1,SUM($B$83)&gt;=0)),OR(191=1,191=$B$174+1,AND($B$175&gt;0,191=$B$175+1))),IF(AND($B$170=1,$B$66&gt;0,OR($B$175=0,191&lt;=$B$175)),$B$66,IF($B$172-MAX(191-1,$B$174)&gt;0,IF(B591=0,0,IF(C591=0,B591/($B$172-MAX(191-1,$B$174)),B591*(C591/12)/(1-(1+C591/12)^(-($B$172-MAX(191-1,$B$174)))))),"")),D590)))),""),""))</x:f>
        <x:v>4679.450723240598</x:v>
      </x:c>
      <x:c r="E591" s="440" t="n">
        <x:f>IF(AND(191=$B$173,ISNUMBER(D591)),IF(MAX(0,B591*(1+C591/12)-D591)&lt;MAX(0.0000001,$E$17*0.00000000001),0,MAX(0,B591*(1+C591/12)-D591)),0)</x:f>
        <x:v>0</x:v>
      </x:c>
      <x:c r="F591" s="440" t="n">
        <x:f>IF($B$78="Cash payoff",E591,0)</x:f>
        <x:v>0</x:v>
      </x:c>
      <x:c r="G591" s="440" t="n">
        <x:f>IF(AND(E591&gt;0,AND($B$78="Refinance",ISNUMBER($B$80),$B$80&gt;=0,$B$80&lt;=1,ROUND($B$81*12,0)&gt;=1,$B$81&lt;=100,SUM($B$82)&gt;=0,SUM($B$82)&lt;=1,SUM($B$83)&gt;=0)),E591*SUM($B$82)+SUM($B$83),0)</x:f>
        <x:v>0</x:v>
      </x:c>
      <x:c r="H591" s="440" t="n">
        <x:f>IF(ISNUMBER(D591),IF(MAX(0,B591*(1+C591/12)-D591-F591)&lt;MAX(0.0000001,$E$17*0.00000000001),0,MAX(0,B591*(1+C591/12)-D591-F591)),IF(AND($B$171=1,I590=1),B591,""))</x:f>
        <x:v>525016.5155078592</x:v>
      </x:c>
      <x:c r="I591" s="444" t="n">
        <x:f>IF(OR(I590=1,AND(E591&gt;0,$B$78&lt;&gt;"Cash payoff",NOT(AND($B$78="Refinance",ISNUMBER($B$80),$B$80&gt;=0,$B$80&lt;=1,ROUND($B$81*12,0)&gt;=1,$B$81&lt;=100,SUM($B$82)&gt;=0,SUM($B$82)&lt;=1,SUM($B$83)&gt;=0))),AND(ISNUMBER(B591),B591&gt;0,$B$171=1,NOT(ISNUMBER(D591)))),1,0)</x:f>
        <x:v>0</x:v>
      </x:c>
      <x:c r="J591" s="440" t="n">
        <x:f>IF(ISNUMBER(L590),L590,"")</x:f>
        <x:v>0</x:v>
      </x:c>
      <x:c r="K591" s="440" t="n">
        <x:f>IF(AND(ISNUMBER(J591),J591=0),0,IF(AND($B$176=1,ISNUMBER(J591)),MIN(J591*(1+$B$87/12),IF($B$86=0,0,IF($B$87=0,$B$86/ROUND($B$88*12,0),$B$86*($B$87/12)/(1-(1+$B$87/12)^(-ROUND($B$88*12,0)))))),""))</x:f>
        <x:v>0</x:v>
      </x:c>
      <x:c r="L591" s="440" t="n">
        <x:f>IF(ISNUMBER(K591),IF(MAX(0,J591*(1+SUM($B$87)/12)-K591)&lt;MAX(0.0000001,$B$86*0.00000000001),0,MAX(0,J591*(1+SUM($B$87)/12)-K591)),"")</x:f>
        <x:v>0</x:v>
      </x:c>
      <x:c r="M591" s="440" t="n">
        <x:f>IF(AND(ISNUMBER(D591),ISNUMBER(K591)),D591+K591,"")</x:f>
        <x:v>4679.450723240598</x:v>
      </x:c>
      <x:c r="N591" s="440" t="n">
        <x:f>IF(AND(ISNUMBER(H591),ISNUMBER(L591)),H591+L591,"")</x:f>
        <x:v>525016.5155078592</x:v>
      </x:c>
    </x:row>
    <x:row r="592" ht="22" customHeight="1">
      <x:c r="A592" s="254" t="n">
        <x:f>192</x:f>
        <x:v>192</x:v>
      </x:c>
      <x:c r="B592" s="440" t="n">
        <x:f>IF(ISNUMBER(H591),H591,"")</x:f>
        <x:v>525016.5155078592</x:v>
      </x:c>
      <x:c r="C592" s="442" t="n">
        <x:f>IF(ISNUMBER(B592),IF(AND(192&gt;$B$173,$B$78="Refinance",ISNUMBER($B$80),$B$80&gt;=0,$B$80&lt;=1,ROUND($B$81*12,0)&gt;=1,$B$81&lt;=100,SUM($B$82)&gt;=0,SUM($B$82)&lt;=1,SUM($B$83)&gt;=0),$B$80,IF(AND($B$175&gt;0,192&gt;$B$175,ISNUMBER($B$75)),$B$75,$B$61)),"")</x:f>
        <x:v>0.0625</x:v>
      </x:c>
      <x:c r="D592" s="440" t="n">
        <x:f>IF(AND(ISNUMBER(B592),B592=0),0,IF(AND($B$171=1,I591=0,ISNUMBER(C592),ISNUMBER(IF(AND(192&lt;=$B$174,192&lt;=$B$173),B592*C592/12,IF(AND(192=$B$173+1,AND(192&gt;$B$173,$B$78="Refinance",ISNUMBER($B$80),$B$80&gt;=0,$B$80&lt;=1,ROUND($B$81*12,0)&gt;=1,$B$81&lt;=100,SUM($B$82)&gt;=0,SUM($B$82)&lt;=1,SUM($B$83)&gt;=0)),IF(B592=0,0,IF(C592=0,B592/ROUND($B$81*12,0),B592*(C592/12)/(1-(1+C592/12)^(-ROUND($B$81*12,0))))),IF(AND(NOT(AND(192&gt;$B$173,$B$78="Refinance",ISNUMBER($B$80),$B$80&gt;=0,$B$80&lt;=1,ROUND($B$81*12,0)&gt;=1,$B$81&lt;=100,SUM($B$82)&gt;=0,SUM($B$82)&lt;=1,SUM($B$83)&gt;=0)),OR(192=1,192=$B$174+1,AND($B$175&gt;0,192=$B$175+1))),IF(AND($B$170=1,$B$66&gt;0,OR($B$175=0,192&lt;=$B$175)),$B$66,IF($B$172-MAX(192-1,$B$174)&gt;0,IF(B592=0,0,IF(C592=0,B592/($B$172-MAX(192-1,$B$174)),B592*(C592/12)/(1-(1+C592/12)^(-($B$172-MAX(192-1,$B$174)))))),"")),D591))))),IF(IF(AND(192&lt;=$B$174,192&lt;=$B$173),B592*C592/12,IF(AND(192=$B$173+1,AND(192&gt;$B$173,$B$78="Refinance",ISNUMBER($B$80),$B$80&gt;=0,$B$80&lt;=1,ROUND($B$81*12,0)&gt;=1,$B$81&lt;=100,SUM($B$82)&gt;=0,SUM($B$82)&lt;=1,SUM($B$83)&gt;=0)),IF(B592=0,0,IF(C592=0,B592/ROUND($B$81*12,0),B592*(C592/12)/(1-(1+C592/12)^(-ROUND($B$81*12,0))))),IF(AND(NOT(AND(192&gt;$B$173,$B$78="Refinance",ISNUMBER($B$80),$B$80&gt;=0,$B$80&lt;=1,ROUND($B$81*12,0)&gt;=1,$B$81&lt;=100,SUM($B$82)&gt;=0,SUM($B$82)&lt;=1,SUM($B$83)&gt;=0)),OR(192=1,192=$B$174+1,AND($B$175&gt;0,192=$B$175+1))),IF(AND($B$170=1,$B$66&gt;0,OR($B$175=0,192&lt;=$B$175)),$B$66,IF($B$172-MAX(192-1,$B$174)&gt;0,IF(B592=0,0,IF(C592=0,B592/($B$172-MAX(192-1,$B$174)),B592*(C592/12)/(1-(1+C592/12)^(-($B$172-MAX(192-1,$B$174)))))),"")),D591)))+0.0000001&gt;=B592*C592/12,MIN(B592*(1+C592/12),IF(AND(192&lt;=$B$174,192&lt;=$B$173),B592*C592/12,IF(AND(192=$B$173+1,AND(192&gt;$B$173,$B$78="Refinance",ISNUMBER($B$80),$B$80&gt;=0,$B$80&lt;=1,ROUND($B$81*12,0)&gt;=1,$B$81&lt;=100,SUM($B$82)&gt;=0,SUM($B$82)&lt;=1,SUM($B$83)&gt;=0)),IF(B592=0,0,IF(C592=0,B592/ROUND($B$81*12,0),B592*(C592/12)/(1-(1+C592/12)^(-ROUND($B$81*12,0))))),IF(AND(NOT(AND(192&gt;$B$173,$B$78="Refinance",ISNUMBER($B$80),$B$80&gt;=0,$B$80&lt;=1,ROUND($B$81*12,0)&gt;=1,$B$81&lt;=100,SUM($B$82)&gt;=0,SUM($B$82)&lt;=1,SUM($B$83)&gt;=0)),OR(192=1,192=$B$174+1,AND($B$175&gt;0,192=$B$175+1))),IF(AND($B$170=1,$B$66&gt;0,OR($B$175=0,192&lt;=$B$175)),$B$66,IF($B$172-MAX(192-1,$B$174)&gt;0,IF(B592=0,0,IF(C592=0,B592/($B$172-MAX(192-1,$B$174)),B592*(C592/12)/(1-(1+C592/12)^(-($B$172-MAX(192-1,$B$174)))))),"")),D591)))),""),""))</x:f>
        <x:v>4679.450723240598</x:v>
      </x:c>
      <x:c r="E592" s="440" t="n">
        <x:f>IF(AND(192=$B$173,ISNUMBER(D592)),IF(MAX(0,B592*(1+C592/12)-D592)&lt;MAX(0.0000001,$E$17*0.00000000001),0,MAX(0,B592*(1+C592/12)-D592)),0)</x:f>
        <x:v>0</x:v>
      </x:c>
      <x:c r="F592" s="440" t="n">
        <x:f>IF($B$78="Cash payoff",E592,0)</x:f>
        <x:v>0</x:v>
      </x:c>
      <x:c r="G592" s="440" t="n">
        <x:f>IF(AND(E592&gt;0,AND($B$78="Refinance",ISNUMBER($B$80),$B$80&gt;=0,$B$80&lt;=1,ROUND($B$81*12,0)&gt;=1,$B$81&lt;=100,SUM($B$82)&gt;=0,SUM($B$82)&lt;=1,SUM($B$83)&gt;=0)),E592*SUM($B$82)+SUM($B$83),0)</x:f>
        <x:v>0</x:v>
      </x:c>
      <x:c r="H592" s="440" t="n">
        <x:f>IF(ISNUMBER(D592),IF(MAX(0,B592*(1+C592/12)-D592-F592)&lt;MAX(0.0000001,$E$17*0.00000000001),0,MAX(0,B592*(1+C592/12)-D592-F592)),IF(AND($B$171=1,I591=1),B592,""))</x:f>
        <x:v>523071.5258028887</x:v>
      </x:c>
      <x:c r="I592" s="444" t="n">
        <x:f>IF(OR(I591=1,AND(E592&gt;0,$B$78&lt;&gt;"Cash payoff",NOT(AND($B$78="Refinance",ISNUMBER($B$80),$B$80&gt;=0,$B$80&lt;=1,ROUND($B$81*12,0)&gt;=1,$B$81&lt;=100,SUM($B$82)&gt;=0,SUM($B$82)&lt;=1,SUM($B$83)&gt;=0))),AND(ISNUMBER(B592),B592&gt;0,$B$171=1,NOT(ISNUMBER(D592)))),1,0)</x:f>
        <x:v>0</x:v>
      </x:c>
      <x:c r="J592" s="440" t="n">
        <x:f>IF(ISNUMBER(L591),L591,"")</x:f>
        <x:v>0</x:v>
      </x:c>
      <x:c r="K592" s="440" t="n">
        <x:f>IF(AND(ISNUMBER(J592),J592=0),0,IF(AND($B$176=1,ISNUMBER(J592)),MIN(J592*(1+$B$87/12),IF($B$86=0,0,IF($B$87=0,$B$86/ROUND($B$88*12,0),$B$86*($B$87/12)/(1-(1+$B$87/12)^(-ROUND($B$88*12,0)))))),""))</x:f>
        <x:v>0</x:v>
      </x:c>
      <x:c r="L592" s="440" t="n">
        <x:f>IF(ISNUMBER(K592),IF(MAX(0,J592*(1+SUM($B$87)/12)-K592)&lt;MAX(0.0000001,$B$86*0.00000000001),0,MAX(0,J592*(1+SUM($B$87)/12)-K592)),"")</x:f>
        <x:v>0</x:v>
      </x:c>
      <x:c r="M592" s="440" t="n">
        <x:f>IF(AND(ISNUMBER(D592),ISNUMBER(K592)),D592+K592,"")</x:f>
        <x:v>4679.450723240598</x:v>
      </x:c>
      <x:c r="N592" s="440" t="n">
        <x:f>IF(AND(ISNUMBER(H592),ISNUMBER(L592)),H592+L592,"")</x:f>
        <x:v>523071.5258028887</x:v>
      </x:c>
    </x:row>
    <x:row r="593" ht="22" customHeight="1">
      <x:c r="A593" s="254" t="n">
        <x:f>193</x:f>
        <x:v>193</x:v>
      </x:c>
      <x:c r="B593" s="440" t="n">
        <x:f>IF(ISNUMBER(H592),H592,"")</x:f>
        <x:v>523071.5258028887</x:v>
      </x:c>
      <x:c r="C593" s="442" t="n">
        <x:f>IF(ISNUMBER(B593),IF(AND(193&gt;$B$173,$B$78="Refinance",ISNUMBER($B$80),$B$80&gt;=0,$B$80&lt;=1,ROUND($B$81*12,0)&gt;=1,$B$81&lt;=100,SUM($B$82)&gt;=0,SUM($B$82)&lt;=1,SUM($B$83)&gt;=0),$B$80,IF(AND($B$175&gt;0,193&gt;$B$175,ISNUMBER($B$75)),$B$75,$B$61)),"")</x:f>
        <x:v>0.0625</x:v>
      </x:c>
      <x:c r="D593" s="440" t="n">
        <x:f>IF(AND(ISNUMBER(B593),B593=0),0,IF(AND($B$171=1,I592=0,ISNUMBER(C593),ISNUMBER(IF(AND(193&lt;=$B$174,193&lt;=$B$173),B593*C593/12,IF(AND(193=$B$173+1,AND(193&gt;$B$173,$B$78="Refinance",ISNUMBER($B$80),$B$80&gt;=0,$B$80&lt;=1,ROUND($B$81*12,0)&gt;=1,$B$81&lt;=100,SUM($B$82)&gt;=0,SUM($B$82)&lt;=1,SUM($B$83)&gt;=0)),IF(B593=0,0,IF(C593=0,B593/ROUND($B$81*12,0),B593*(C593/12)/(1-(1+C593/12)^(-ROUND($B$81*12,0))))),IF(AND(NOT(AND(193&gt;$B$173,$B$78="Refinance",ISNUMBER($B$80),$B$80&gt;=0,$B$80&lt;=1,ROUND($B$81*12,0)&gt;=1,$B$81&lt;=100,SUM($B$82)&gt;=0,SUM($B$82)&lt;=1,SUM($B$83)&gt;=0)),OR(193=1,193=$B$174+1,AND($B$175&gt;0,193=$B$175+1))),IF(AND($B$170=1,$B$66&gt;0,OR($B$175=0,193&lt;=$B$175)),$B$66,IF($B$172-MAX(193-1,$B$174)&gt;0,IF(B593=0,0,IF(C593=0,B593/($B$172-MAX(193-1,$B$174)),B593*(C593/12)/(1-(1+C593/12)^(-($B$172-MAX(193-1,$B$174)))))),"")),D592))))),IF(IF(AND(193&lt;=$B$174,193&lt;=$B$173),B593*C593/12,IF(AND(193=$B$173+1,AND(193&gt;$B$173,$B$78="Refinance",ISNUMBER($B$80),$B$80&gt;=0,$B$80&lt;=1,ROUND($B$81*12,0)&gt;=1,$B$81&lt;=100,SUM($B$82)&gt;=0,SUM($B$82)&lt;=1,SUM($B$83)&gt;=0)),IF(B593=0,0,IF(C593=0,B593/ROUND($B$81*12,0),B593*(C593/12)/(1-(1+C593/12)^(-ROUND($B$81*12,0))))),IF(AND(NOT(AND(193&gt;$B$173,$B$78="Refinance",ISNUMBER($B$80),$B$80&gt;=0,$B$80&lt;=1,ROUND($B$81*12,0)&gt;=1,$B$81&lt;=100,SUM($B$82)&gt;=0,SUM($B$82)&lt;=1,SUM($B$83)&gt;=0)),OR(193=1,193=$B$174+1,AND($B$175&gt;0,193=$B$175+1))),IF(AND($B$170=1,$B$66&gt;0,OR($B$175=0,193&lt;=$B$175)),$B$66,IF($B$172-MAX(193-1,$B$174)&gt;0,IF(B593=0,0,IF(C593=0,B593/($B$172-MAX(193-1,$B$174)),B593*(C593/12)/(1-(1+C593/12)^(-($B$172-MAX(193-1,$B$174)))))),"")),D592)))+0.0000001&gt;=B593*C593/12,MIN(B593*(1+C593/12),IF(AND(193&lt;=$B$174,193&lt;=$B$173),B593*C593/12,IF(AND(193=$B$173+1,AND(193&gt;$B$173,$B$78="Refinance",ISNUMBER($B$80),$B$80&gt;=0,$B$80&lt;=1,ROUND($B$81*12,0)&gt;=1,$B$81&lt;=100,SUM($B$82)&gt;=0,SUM($B$82)&lt;=1,SUM($B$83)&gt;=0)),IF(B593=0,0,IF(C593=0,B593/ROUND($B$81*12,0),B593*(C593/12)/(1-(1+C593/12)^(-ROUND($B$81*12,0))))),IF(AND(NOT(AND(193&gt;$B$173,$B$78="Refinance",ISNUMBER($B$80),$B$80&gt;=0,$B$80&lt;=1,ROUND($B$81*12,0)&gt;=1,$B$81&lt;=100,SUM($B$82)&gt;=0,SUM($B$82)&lt;=1,SUM($B$83)&gt;=0)),OR(193=1,193=$B$174+1,AND($B$175&gt;0,193=$B$175+1))),IF(AND($B$170=1,$B$66&gt;0,OR($B$175=0,193&lt;=$B$175)),$B$66,IF($B$172-MAX(193-1,$B$174)&gt;0,IF(B593=0,0,IF(C593=0,B593/($B$172-MAX(193-1,$B$174)),B593*(C593/12)/(1-(1+C593/12)^(-($B$172-MAX(193-1,$B$174)))))),"")),D592)))),""),""))</x:f>
        <x:v>4679.450723240598</x:v>
      </x:c>
      <x:c r="E593" s="440" t="n">
        <x:f>IF(AND(193=$B$173,ISNUMBER(D593)),IF(MAX(0,B593*(1+C593/12)-D593)&lt;MAX(0.0000001,$E$17*0.00000000001),0,MAX(0,B593*(1+C593/12)-D593)),0)</x:f>
        <x:v>0</x:v>
      </x:c>
      <x:c r="F593" s="440" t="n">
        <x:f>IF($B$78="Cash payoff",E593,0)</x:f>
        <x:v>0</x:v>
      </x:c>
      <x:c r="G593" s="440" t="n">
        <x:f>IF(AND(E593&gt;0,AND($B$78="Refinance",ISNUMBER($B$80),$B$80&gt;=0,$B$80&lt;=1,ROUND($B$81*12,0)&gt;=1,$B$81&lt;=100,SUM($B$82)&gt;=0,SUM($B$82)&lt;=1,SUM($B$83)&gt;=0)),E593*SUM($B$82)+SUM($B$83),0)</x:f>
        <x:v>0</x:v>
      </x:c>
      <x:c r="H593" s="440" t="n">
        <x:f>IF(ISNUMBER(D593),IF(MAX(0,B593*(1+C593/12)-D593-F593)&lt;MAX(0.0000001,$E$17*0.00000000001),0,MAX(0,B593*(1+C593/12)-D593-F593)),IF(AND($B$171=1,I592=1),B593,""))</x:f>
        <x:v>521116.40594320477</x:v>
      </x:c>
      <x:c r="I593" s="444" t="n">
        <x:f>IF(OR(I592=1,AND(E593&gt;0,$B$78&lt;&gt;"Cash payoff",NOT(AND($B$78="Refinance",ISNUMBER($B$80),$B$80&gt;=0,$B$80&lt;=1,ROUND($B$81*12,0)&gt;=1,$B$81&lt;=100,SUM($B$82)&gt;=0,SUM($B$82)&lt;=1,SUM($B$83)&gt;=0))),AND(ISNUMBER(B593),B593&gt;0,$B$171=1,NOT(ISNUMBER(D593)))),1,0)</x:f>
        <x:v>0</x:v>
      </x:c>
      <x:c r="J593" s="440" t="n">
        <x:f>IF(ISNUMBER(L592),L592,"")</x:f>
        <x:v>0</x:v>
      </x:c>
      <x:c r="K593" s="440" t="n">
        <x:f>IF(AND(ISNUMBER(J593),J593=0),0,IF(AND($B$176=1,ISNUMBER(J593)),MIN(J593*(1+$B$87/12),IF($B$86=0,0,IF($B$87=0,$B$86/ROUND($B$88*12,0),$B$86*($B$87/12)/(1-(1+$B$87/12)^(-ROUND($B$88*12,0)))))),""))</x:f>
        <x:v>0</x:v>
      </x:c>
      <x:c r="L593" s="440" t="n">
        <x:f>IF(ISNUMBER(K593),IF(MAX(0,J593*(1+SUM($B$87)/12)-K593)&lt;MAX(0.0000001,$B$86*0.00000000001),0,MAX(0,J593*(1+SUM($B$87)/12)-K593)),"")</x:f>
        <x:v>0</x:v>
      </x:c>
      <x:c r="M593" s="440" t="n">
        <x:f>IF(AND(ISNUMBER(D593),ISNUMBER(K593)),D593+K593,"")</x:f>
        <x:v>4679.450723240598</x:v>
      </x:c>
      <x:c r="N593" s="440" t="n">
        <x:f>IF(AND(ISNUMBER(H593),ISNUMBER(L593)),H593+L593,"")</x:f>
        <x:v>521116.40594320477</x:v>
      </x:c>
    </x:row>
    <x:row r="594" ht="22" customHeight="1">
      <x:c r="A594" s="254" t="n">
        <x:f>194</x:f>
        <x:v>194</x:v>
      </x:c>
      <x:c r="B594" s="440" t="n">
        <x:f>IF(ISNUMBER(H593),H593,"")</x:f>
        <x:v>521116.40594320477</x:v>
      </x:c>
      <x:c r="C594" s="442" t="n">
        <x:f>IF(ISNUMBER(B594),IF(AND(194&gt;$B$173,$B$78="Refinance",ISNUMBER($B$80),$B$80&gt;=0,$B$80&lt;=1,ROUND($B$81*12,0)&gt;=1,$B$81&lt;=100,SUM($B$82)&gt;=0,SUM($B$82)&lt;=1,SUM($B$83)&gt;=0),$B$80,IF(AND($B$175&gt;0,194&gt;$B$175,ISNUMBER($B$75)),$B$75,$B$61)),"")</x:f>
        <x:v>0.0625</x:v>
      </x:c>
      <x:c r="D594" s="440" t="n">
        <x:f>IF(AND(ISNUMBER(B594),B594=0),0,IF(AND($B$171=1,I593=0,ISNUMBER(C594),ISNUMBER(IF(AND(194&lt;=$B$174,194&lt;=$B$173),B594*C594/12,IF(AND(194=$B$173+1,AND(194&gt;$B$173,$B$78="Refinance",ISNUMBER($B$80),$B$80&gt;=0,$B$80&lt;=1,ROUND($B$81*12,0)&gt;=1,$B$81&lt;=100,SUM($B$82)&gt;=0,SUM($B$82)&lt;=1,SUM($B$83)&gt;=0)),IF(B594=0,0,IF(C594=0,B594/ROUND($B$81*12,0),B594*(C594/12)/(1-(1+C594/12)^(-ROUND($B$81*12,0))))),IF(AND(NOT(AND(194&gt;$B$173,$B$78="Refinance",ISNUMBER($B$80),$B$80&gt;=0,$B$80&lt;=1,ROUND($B$81*12,0)&gt;=1,$B$81&lt;=100,SUM($B$82)&gt;=0,SUM($B$82)&lt;=1,SUM($B$83)&gt;=0)),OR(194=1,194=$B$174+1,AND($B$175&gt;0,194=$B$175+1))),IF(AND($B$170=1,$B$66&gt;0,OR($B$175=0,194&lt;=$B$175)),$B$66,IF($B$172-MAX(194-1,$B$174)&gt;0,IF(B594=0,0,IF(C594=0,B594/($B$172-MAX(194-1,$B$174)),B594*(C594/12)/(1-(1+C594/12)^(-($B$172-MAX(194-1,$B$174)))))),"")),D593))))),IF(IF(AND(194&lt;=$B$174,194&lt;=$B$173),B594*C594/12,IF(AND(194=$B$173+1,AND(194&gt;$B$173,$B$78="Refinance",ISNUMBER($B$80),$B$80&gt;=0,$B$80&lt;=1,ROUND($B$81*12,0)&gt;=1,$B$81&lt;=100,SUM($B$82)&gt;=0,SUM($B$82)&lt;=1,SUM($B$83)&gt;=0)),IF(B594=0,0,IF(C594=0,B594/ROUND($B$81*12,0),B594*(C594/12)/(1-(1+C594/12)^(-ROUND($B$81*12,0))))),IF(AND(NOT(AND(194&gt;$B$173,$B$78="Refinance",ISNUMBER($B$80),$B$80&gt;=0,$B$80&lt;=1,ROUND($B$81*12,0)&gt;=1,$B$81&lt;=100,SUM($B$82)&gt;=0,SUM($B$82)&lt;=1,SUM($B$83)&gt;=0)),OR(194=1,194=$B$174+1,AND($B$175&gt;0,194=$B$175+1))),IF(AND($B$170=1,$B$66&gt;0,OR($B$175=0,194&lt;=$B$175)),$B$66,IF($B$172-MAX(194-1,$B$174)&gt;0,IF(B594=0,0,IF(C594=0,B594/($B$172-MAX(194-1,$B$174)),B594*(C594/12)/(1-(1+C594/12)^(-($B$172-MAX(194-1,$B$174)))))),"")),D593)))+0.0000001&gt;=B594*C594/12,MIN(B594*(1+C594/12),IF(AND(194&lt;=$B$174,194&lt;=$B$173),B594*C594/12,IF(AND(194=$B$173+1,AND(194&gt;$B$173,$B$78="Refinance",ISNUMBER($B$80),$B$80&gt;=0,$B$80&lt;=1,ROUND($B$81*12,0)&gt;=1,$B$81&lt;=100,SUM($B$82)&gt;=0,SUM($B$82)&lt;=1,SUM($B$83)&gt;=0)),IF(B594=0,0,IF(C594=0,B594/ROUND($B$81*12,0),B594*(C594/12)/(1-(1+C594/12)^(-ROUND($B$81*12,0))))),IF(AND(NOT(AND(194&gt;$B$173,$B$78="Refinance",ISNUMBER($B$80),$B$80&gt;=0,$B$80&lt;=1,ROUND($B$81*12,0)&gt;=1,$B$81&lt;=100,SUM($B$82)&gt;=0,SUM($B$82)&lt;=1,SUM($B$83)&gt;=0)),OR(194=1,194=$B$174+1,AND($B$175&gt;0,194=$B$175+1))),IF(AND($B$170=1,$B$66&gt;0,OR($B$175=0,194&lt;=$B$175)),$B$66,IF($B$172-MAX(194-1,$B$174)&gt;0,IF(B594=0,0,IF(C594=0,B594/($B$172-MAX(194-1,$B$174)),B594*(C594/12)/(1-(1+C594/12)^(-($B$172-MAX(194-1,$B$174)))))),"")),D593)))),""),""))</x:f>
        <x:v>4679.450723240598</x:v>
      </x:c>
      <x:c r="E594" s="440" t="n">
        <x:f>IF(AND(194=$B$173,ISNUMBER(D594)),IF(MAX(0,B594*(1+C594/12)-D594)&lt;MAX(0.0000001,$E$17*0.00000000001),0,MAX(0,B594*(1+C594/12)-D594)),0)</x:f>
        <x:v>0</x:v>
      </x:c>
      <x:c r="F594" s="440" t="n">
        <x:f>IF($B$78="Cash payoff",E594,0)</x:f>
        <x:v>0</x:v>
      </x:c>
      <x:c r="G594" s="440" t="n">
        <x:f>IF(AND(E594&gt;0,AND($B$78="Refinance",ISNUMBER($B$80),$B$80&gt;=0,$B$80&lt;=1,ROUND($B$81*12,0)&gt;=1,$B$81&lt;=100,SUM($B$82)&gt;=0,SUM($B$82)&lt;=1,SUM($B$83)&gt;=0)),E594*SUM($B$82)+SUM($B$83),0)</x:f>
        <x:v>0</x:v>
      </x:c>
      <x:c r="H594" s="440" t="n">
        <x:f>IF(ISNUMBER(D594),IF(MAX(0,B594*(1+C594/12)-D594-F594)&lt;MAX(0.0000001,$E$17*0.00000000001),0,MAX(0,B594*(1+C594/12)-D594-F594)),IF(AND($B$171=1,I593=1),B594,""))</x:f>
        <x:v>519151.103167585</x:v>
      </x:c>
      <x:c r="I594" s="444" t="n">
        <x:f>IF(OR(I593=1,AND(E594&gt;0,$B$78&lt;&gt;"Cash payoff",NOT(AND($B$78="Refinance",ISNUMBER($B$80),$B$80&gt;=0,$B$80&lt;=1,ROUND($B$81*12,0)&gt;=1,$B$81&lt;=100,SUM($B$82)&gt;=0,SUM($B$82)&lt;=1,SUM($B$83)&gt;=0))),AND(ISNUMBER(B594),B594&gt;0,$B$171=1,NOT(ISNUMBER(D594)))),1,0)</x:f>
        <x:v>0</x:v>
      </x:c>
      <x:c r="J594" s="440" t="n">
        <x:f>IF(ISNUMBER(L593),L593,"")</x:f>
        <x:v>0</x:v>
      </x:c>
      <x:c r="K594" s="440" t="n">
        <x:f>IF(AND(ISNUMBER(J594),J594=0),0,IF(AND($B$176=1,ISNUMBER(J594)),MIN(J594*(1+$B$87/12),IF($B$86=0,0,IF($B$87=0,$B$86/ROUND($B$88*12,0),$B$86*($B$87/12)/(1-(1+$B$87/12)^(-ROUND($B$88*12,0)))))),""))</x:f>
        <x:v>0</x:v>
      </x:c>
      <x:c r="L594" s="440" t="n">
        <x:f>IF(ISNUMBER(K594),IF(MAX(0,J594*(1+SUM($B$87)/12)-K594)&lt;MAX(0.0000001,$B$86*0.00000000001),0,MAX(0,J594*(1+SUM($B$87)/12)-K594)),"")</x:f>
        <x:v>0</x:v>
      </x:c>
      <x:c r="M594" s="440" t="n">
        <x:f>IF(AND(ISNUMBER(D594),ISNUMBER(K594)),D594+K594,"")</x:f>
        <x:v>4679.450723240598</x:v>
      </x:c>
      <x:c r="N594" s="440" t="n">
        <x:f>IF(AND(ISNUMBER(H594),ISNUMBER(L594)),H594+L594,"")</x:f>
        <x:v>519151.103167585</x:v>
      </x:c>
    </x:row>
    <x:row r="595" ht="22" customHeight="1">
      <x:c r="A595" s="254" t="n">
        <x:f>195</x:f>
        <x:v>195</x:v>
      </x:c>
      <x:c r="B595" s="440" t="n">
        <x:f>IF(ISNUMBER(H594),H594,"")</x:f>
        <x:v>519151.103167585</x:v>
      </x:c>
      <x:c r="C595" s="442" t="n">
        <x:f>IF(ISNUMBER(B595),IF(AND(195&gt;$B$173,$B$78="Refinance",ISNUMBER($B$80),$B$80&gt;=0,$B$80&lt;=1,ROUND($B$81*12,0)&gt;=1,$B$81&lt;=100,SUM($B$82)&gt;=0,SUM($B$82)&lt;=1,SUM($B$83)&gt;=0),$B$80,IF(AND($B$175&gt;0,195&gt;$B$175,ISNUMBER($B$75)),$B$75,$B$61)),"")</x:f>
        <x:v>0.0625</x:v>
      </x:c>
      <x:c r="D595" s="440" t="n">
        <x:f>IF(AND(ISNUMBER(B595),B595=0),0,IF(AND($B$171=1,I594=0,ISNUMBER(C595),ISNUMBER(IF(AND(195&lt;=$B$174,195&lt;=$B$173),B595*C595/12,IF(AND(195=$B$173+1,AND(195&gt;$B$173,$B$78="Refinance",ISNUMBER($B$80),$B$80&gt;=0,$B$80&lt;=1,ROUND($B$81*12,0)&gt;=1,$B$81&lt;=100,SUM($B$82)&gt;=0,SUM($B$82)&lt;=1,SUM($B$83)&gt;=0)),IF(B595=0,0,IF(C595=0,B595/ROUND($B$81*12,0),B595*(C595/12)/(1-(1+C595/12)^(-ROUND($B$81*12,0))))),IF(AND(NOT(AND(195&gt;$B$173,$B$78="Refinance",ISNUMBER($B$80),$B$80&gt;=0,$B$80&lt;=1,ROUND($B$81*12,0)&gt;=1,$B$81&lt;=100,SUM($B$82)&gt;=0,SUM($B$82)&lt;=1,SUM($B$83)&gt;=0)),OR(195=1,195=$B$174+1,AND($B$175&gt;0,195=$B$175+1))),IF(AND($B$170=1,$B$66&gt;0,OR($B$175=0,195&lt;=$B$175)),$B$66,IF($B$172-MAX(195-1,$B$174)&gt;0,IF(B595=0,0,IF(C595=0,B595/($B$172-MAX(195-1,$B$174)),B595*(C595/12)/(1-(1+C595/12)^(-($B$172-MAX(195-1,$B$174)))))),"")),D594))))),IF(IF(AND(195&lt;=$B$174,195&lt;=$B$173),B595*C595/12,IF(AND(195=$B$173+1,AND(195&gt;$B$173,$B$78="Refinance",ISNUMBER($B$80),$B$80&gt;=0,$B$80&lt;=1,ROUND($B$81*12,0)&gt;=1,$B$81&lt;=100,SUM($B$82)&gt;=0,SUM($B$82)&lt;=1,SUM($B$83)&gt;=0)),IF(B595=0,0,IF(C595=0,B595/ROUND($B$81*12,0),B595*(C595/12)/(1-(1+C595/12)^(-ROUND($B$81*12,0))))),IF(AND(NOT(AND(195&gt;$B$173,$B$78="Refinance",ISNUMBER($B$80),$B$80&gt;=0,$B$80&lt;=1,ROUND($B$81*12,0)&gt;=1,$B$81&lt;=100,SUM($B$82)&gt;=0,SUM($B$82)&lt;=1,SUM($B$83)&gt;=0)),OR(195=1,195=$B$174+1,AND($B$175&gt;0,195=$B$175+1))),IF(AND($B$170=1,$B$66&gt;0,OR($B$175=0,195&lt;=$B$175)),$B$66,IF($B$172-MAX(195-1,$B$174)&gt;0,IF(B595=0,0,IF(C595=0,B595/($B$172-MAX(195-1,$B$174)),B595*(C595/12)/(1-(1+C595/12)^(-($B$172-MAX(195-1,$B$174)))))),"")),D594)))+0.0000001&gt;=B595*C595/12,MIN(B595*(1+C595/12),IF(AND(195&lt;=$B$174,195&lt;=$B$173),B595*C595/12,IF(AND(195=$B$173+1,AND(195&gt;$B$173,$B$78="Refinance",ISNUMBER($B$80),$B$80&gt;=0,$B$80&lt;=1,ROUND($B$81*12,0)&gt;=1,$B$81&lt;=100,SUM($B$82)&gt;=0,SUM($B$82)&lt;=1,SUM($B$83)&gt;=0)),IF(B595=0,0,IF(C595=0,B595/ROUND($B$81*12,0),B595*(C595/12)/(1-(1+C595/12)^(-ROUND($B$81*12,0))))),IF(AND(NOT(AND(195&gt;$B$173,$B$78="Refinance",ISNUMBER($B$80),$B$80&gt;=0,$B$80&lt;=1,ROUND($B$81*12,0)&gt;=1,$B$81&lt;=100,SUM($B$82)&gt;=0,SUM($B$82)&lt;=1,SUM($B$83)&gt;=0)),OR(195=1,195=$B$174+1,AND($B$175&gt;0,195=$B$175+1))),IF(AND($B$170=1,$B$66&gt;0,OR($B$175=0,195&lt;=$B$175)),$B$66,IF($B$172-MAX(195-1,$B$174)&gt;0,IF(B595=0,0,IF(C595=0,B595/($B$172-MAX(195-1,$B$174)),B595*(C595/12)/(1-(1+C595/12)^(-($B$172-MAX(195-1,$B$174)))))),"")),D594)))),""),""))</x:f>
        <x:v>4679.450723240598</x:v>
      </x:c>
      <x:c r="E595" s="440" t="n">
        <x:f>IF(AND(195=$B$173,ISNUMBER(D595)),IF(MAX(0,B595*(1+C595/12)-D595)&lt;MAX(0.0000001,$E$17*0.00000000001),0,MAX(0,B595*(1+C595/12)-D595)),0)</x:f>
        <x:v>0</x:v>
      </x:c>
      <x:c r="F595" s="440" t="n">
        <x:f>IF($B$78="Cash payoff",E595,0)</x:f>
        <x:v>0</x:v>
      </x:c>
      <x:c r="G595" s="440" t="n">
        <x:f>IF(AND(E595&gt;0,AND($B$78="Refinance",ISNUMBER($B$80),$B$80&gt;=0,$B$80&lt;=1,ROUND($B$81*12,0)&gt;=1,$B$81&lt;=100,SUM($B$82)&gt;=0,SUM($B$82)&lt;=1,SUM($B$83)&gt;=0)),E595*SUM($B$82)+SUM($B$83),0)</x:f>
        <x:v>0</x:v>
      </x:c>
      <x:c r="H595" s="440" t="n">
        <x:f>IF(ISNUMBER(D595),IF(MAX(0,B595*(1+C595/12)-D595-F595)&lt;MAX(0.0000001,$E$17*0.00000000001),0,MAX(0,B595*(1+C595/12)-D595-F595)),IF(AND($B$171=1,I594=1),B595,""))</x:f>
        <x:v>517175.56444000883</x:v>
      </x:c>
      <x:c r="I595" s="444" t="n">
        <x:f>IF(OR(I594=1,AND(E595&gt;0,$B$78&lt;&gt;"Cash payoff",NOT(AND($B$78="Refinance",ISNUMBER($B$80),$B$80&gt;=0,$B$80&lt;=1,ROUND($B$81*12,0)&gt;=1,$B$81&lt;=100,SUM($B$82)&gt;=0,SUM($B$82)&lt;=1,SUM($B$83)&gt;=0))),AND(ISNUMBER(B595),B595&gt;0,$B$171=1,NOT(ISNUMBER(D595)))),1,0)</x:f>
        <x:v>0</x:v>
      </x:c>
      <x:c r="J595" s="440" t="n">
        <x:f>IF(ISNUMBER(L594),L594,"")</x:f>
        <x:v>0</x:v>
      </x:c>
      <x:c r="K595" s="440" t="n">
        <x:f>IF(AND(ISNUMBER(J595),J595=0),0,IF(AND($B$176=1,ISNUMBER(J595)),MIN(J595*(1+$B$87/12),IF($B$86=0,0,IF($B$87=0,$B$86/ROUND($B$88*12,0),$B$86*($B$87/12)/(1-(1+$B$87/12)^(-ROUND($B$88*12,0)))))),""))</x:f>
        <x:v>0</x:v>
      </x:c>
      <x:c r="L595" s="440" t="n">
        <x:f>IF(ISNUMBER(K595),IF(MAX(0,J595*(1+SUM($B$87)/12)-K595)&lt;MAX(0.0000001,$B$86*0.00000000001),0,MAX(0,J595*(1+SUM($B$87)/12)-K595)),"")</x:f>
        <x:v>0</x:v>
      </x:c>
      <x:c r="M595" s="440" t="n">
        <x:f>IF(AND(ISNUMBER(D595),ISNUMBER(K595)),D595+K595,"")</x:f>
        <x:v>4679.450723240598</x:v>
      </x:c>
      <x:c r="N595" s="440" t="n">
        <x:f>IF(AND(ISNUMBER(H595),ISNUMBER(L595)),H595+L595,"")</x:f>
        <x:v>517175.56444000883</x:v>
      </x:c>
    </x:row>
    <x:row r="596" ht="22" customHeight="1">
      <x:c r="A596" s="254" t="n">
        <x:f>196</x:f>
        <x:v>196</x:v>
      </x:c>
      <x:c r="B596" s="440" t="n">
        <x:f>IF(ISNUMBER(H595),H595,"")</x:f>
        <x:v>517175.56444000883</x:v>
      </x:c>
      <x:c r="C596" s="442" t="n">
        <x:f>IF(ISNUMBER(B596),IF(AND(196&gt;$B$173,$B$78="Refinance",ISNUMBER($B$80),$B$80&gt;=0,$B$80&lt;=1,ROUND($B$81*12,0)&gt;=1,$B$81&lt;=100,SUM($B$82)&gt;=0,SUM($B$82)&lt;=1,SUM($B$83)&gt;=0),$B$80,IF(AND($B$175&gt;0,196&gt;$B$175,ISNUMBER($B$75)),$B$75,$B$61)),"")</x:f>
        <x:v>0.0625</x:v>
      </x:c>
      <x:c r="D596" s="440" t="n">
        <x:f>IF(AND(ISNUMBER(B596),B596=0),0,IF(AND($B$171=1,I595=0,ISNUMBER(C596),ISNUMBER(IF(AND(196&lt;=$B$174,196&lt;=$B$173),B596*C596/12,IF(AND(196=$B$173+1,AND(196&gt;$B$173,$B$78="Refinance",ISNUMBER($B$80),$B$80&gt;=0,$B$80&lt;=1,ROUND($B$81*12,0)&gt;=1,$B$81&lt;=100,SUM($B$82)&gt;=0,SUM($B$82)&lt;=1,SUM($B$83)&gt;=0)),IF(B596=0,0,IF(C596=0,B596/ROUND($B$81*12,0),B596*(C596/12)/(1-(1+C596/12)^(-ROUND($B$81*12,0))))),IF(AND(NOT(AND(196&gt;$B$173,$B$78="Refinance",ISNUMBER($B$80),$B$80&gt;=0,$B$80&lt;=1,ROUND($B$81*12,0)&gt;=1,$B$81&lt;=100,SUM($B$82)&gt;=0,SUM($B$82)&lt;=1,SUM($B$83)&gt;=0)),OR(196=1,196=$B$174+1,AND($B$175&gt;0,196=$B$175+1))),IF(AND($B$170=1,$B$66&gt;0,OR($B$175=0,196&lt;=$B$175)),$B$66,IF($B$172-MAX(196-1,$B$174)&gt;0,IF(B596=0,0,IF(C596=0,B596/($B$172-MAX(196-1,$B$174)),B596*(C596/12)/(1-(1+C596/12)^(-($B$172-MAX(196-1,$B$174)))))),"")),D595))))),IF(IF(AND(196&lt;=$B$174,196&lt;=$B$173),B596*C596/12,IF(AND(196=$B$173+1,AND(196&gt;$B$173,$B$78="Refinance",ISNUMBER($B$80),$B$80&gt;=0,$B$80&lt;=1,ROUND($B$81*12,0)&gt;=1,$B$81&lt;=100,SUM($B$82)&gt;=0,SUM($B$82)&lt;=1,SUM($B$83)&gt;=0)),IF(B596=0,0,IF(C596=0,B596/ROUND($B$81*12,0),B596*(C596/12)/(1-(1+C596/12)^(-ROUND($B$81*12,0))))),IF(AND(NOT(AND(196&gt;$B$173,$B$78="Refinance",ISNUMBER($B$80),$B$80&gt;=0,$B$80&lt;=1,ROUND($B$81*12,0)&gt;=1,$B$81&lt;=100,SUM($B$82)&gt;=0,SUM($B$82)&lt;=1,SUM($B$83)&gt;=0)),OR(196=1,196=$B$174+1,AND($B$175&gt;0,196=$B$175+1))),IF(AND($B$170=1,$B$66&gt;0,OR($B$175=0,196&lt;=$B$175)),$B$66,IF($B$172-MAX(196-1,$B$174)&gt;0,IF(B596=0,0,IF(C596=0,B596/($B$172-MAX(196-1,$B$174)),B596*(C596/12)/(1-(1+C596/12)^(-($B$172-MAX(196-1,$B$174)))))),"")),D595)))+0.0000001&gt;=B596*C596/12,MIN(B596*(1+C596/12),IF(AND(196&lt;=$B$174,196&lt;=$B$173),B596*C596/12,IF(AND(196=$B$173+1,AND(196&gt;$B$173,$B$78="Refinance",ISNUMBER($B$80),$B$80&gt;=0,$B$80&lt;=1,ROUND($B$81*12,0)&gt;=1,$B$81&lt;=100,SUM($B$82)&gt;=0,SUM($B$82)&lt;=1,SUM($B$83)&gt;=0)),IF(B596=0,0,IF(C596=0,B596/ROUND($B$81*12,0),B596*(C596/12)/(1-(1+C596/12)^(-ROUND($B$81*12,0))))),IF(AND(NOT(AND(196&gt;$B$173,$B$78="Refinance",ISNUMBER($B$80),$B$80&gt;=0,$B$80&lt;=1,ROUND($B$81*12,0)&gt;=1,$B$81&lt;=100,SUM($B$82)&gt;=0,SUM($B$82)&lt;=1,SUM($B$83)&gt;=0)),OR(196=1,196=$B$174+1,AND($B$175&gt;0,196=$B$175+1))),IF(AND($B$170=1,$B$66&gt;0,OR($B$175=0,196&lt;=$B$175)),$B$66,IF($B$172-MAX(196-1,$B$174)&gt;0,IF(B596=0,0,IF(C596=0,B596/($B$172-MAX(196-1,$B$174)),B596*(C596/12)/(1-(1+C596/12)^(-($B$172-MAX(196-1,$B$174)))))),"")),D595)))),""),""))</x:f>
        <x:v>4679.450723240598</x:v>
      </x:c>
      <x:c r="E596" s="440" t="n">
        <x:f>IF(AND(196=$B$173,ISNUMBER(D596)),IF(MAX(0,B596*(1+C596/12)-D596)&lt;MAX(0.0000001,$E$17*0.00000000001),0,MAX(0,B596*(1+C596/12)-D596)),0)</x:f>
        <x:v>0</x:v>
      </x:c>
      <x:c r="F596" s="440" t="n">
        <x:f>IF($B$78="Cash payoff",E596,0)</x:f>
        <x:v>0</x:v>
      </x:c>
      <x:c r="G596" s="440" t="n">
        <x:f>IF(AND(E596&gt;0,AND($B$78="Refinance",ISNUMBER($B$80),$B$80&gt;=0,$B$80&lt;=1,ROUND($B$81*12,0)&gt;=1,$B$81&lt;=100,SUM($B$82)&gt;=0,SUM($B$82)&lt;=1,SUM($B$83)&gt;=0)),E596*SUM($B$82)+SUM($B$83),0)</x:f>
        <x:v>0</x:v>
      </x:c>
      <x:c r="H596" s="440" t="n">
        <x:f>IF(ISNUMBER(D596),IF(MAX(0,B596*(1+C596/12)-D596-F596)&lt;MAX(0.0000001,$E$17*0.00000000001),0,MAX(0,B596*(1+C596/12)-D596-F596)),IF(AND($B$171=1,I595=1),B596,""))</x:f>
        <x:v>515189.73644822655</x:v>
      </x:c>
      <x:c r="I596" s="444" t="n">
        <x:f>IF(OR(I595=1,AND(E596&gt;0,$B$78&lt;&gt;"Cash payoff",NOT(AND($B$78="Refinance",ISNUMBER($B$80),$B$80&gt;=0,$B$80&lt;=1,ROUND($B$81*12,0)&gt;=1,$B$81&lt;=100,SUM($B$82)&gt;=0,SUM($B$82)&lt;=1,SUM($B$83)&gt;=0))),AND(ISNUMBER(B596),B596&gt;0,$B$171=1,NOT(ISNUMBER(D596)))),1,0)</x:f>
        <x:v>0</x:v>
      </x:c>
      <x:c r="J596" s="440" t="n">
        <x:f>IF(ISNUMBER(L595),L595,"")</x:f>
        <x:v>0</x:v>
      </x:c>
      <x:c r="K596" s="440" t="n">
        <x:f>IF(AND(ISNUMBER(J596),J596=0),0,IF(AND($B$176=1,ISNUMBER(J596)),MIN(J596*(1+$B$87/12),IF($B$86=0,0,IF($B$87=0,$B$86/ROUND($B$88*12,0),$B$86*($B$87/12)/(1-(1+$B$87/12)^(-ROUND($B$88*12,0)))))),""))</x:f>
        <x:v>0</x:v>
      </x:c>
      <x:c r="L596" s="440" t="n">
        <x:f>IF(ISNUMBER(K596),IF(MAX(0,J596*(1+SUM($B$87)/12)-K596)&lt;MAX(0.0000001,$B$86*0.00000000001),0,MAX(0,J596*(1+SUM($B$87)/12)-K596)),"")</x:f>
        <x:v>0</x:v>
      </x:c>
      <x:c r="M596" s="440" t="n">
        <x:f>IF(AND(ISNUMBER(D596),ISNUMBER(K596)),D596+K596,"")</x:f>
        <x:v>4679.450723240598</x:v>
      </x:c>
      <x:c r="N596" s="440" t="n">
        <x:f>IF(AND(ISNUMBER(H596),ISNUMBER(L596)),H596+L596,"")</x:f>
        <x:v>515189.73644822655</x:v>
      </x:c>
    </x:row>
    <x:row r="597" ht="22" customHeight="1">
      <x:c r="A597" s="254" t="n">
        <x:f>197</x:f>
        <x:v>197</x:v>
      </x:c>
      <x:c r="B597" s="440" t="n">
        <x:f>IF(ISNUMBER(H596),H596,"")</x:f>
        <x:v>515189.73644822655</x:v>
      </x:c>
      <x:c r="C597" s="442" t="n">
        <x:f>IF(ISNUMBER(B597),IF(AND(197&gt;$B$173,$B$78="Refinance",ISNUMBER($B$80),$B$80&gt;=0,$B$80&lt;=1,ROUND($B$81*12,0)&gt;=1,$B$81&lt;=100,SUM($B$82)&gt;=0,SUM($B$82)&lt;=1,SUM($B$83)&gt;=0),$B$80,IF(AND($B$175&gt;0,197&gt;$B$175,ISNUMBER($B$75)),$B$75,$B$61)),"")</x:f>
        <x:v>0.0625</x:v>
      </x:c>
      <x:c r="D597" s="440" t="n">
        <x:f>IF(AND(ISNUMBER(B597),B597=0),0,IF(AND($B$171=1,I596=0,ISNUMBER(C597),ISNUMBER(IF(AND(197&lt;=$B$174,197&lt;=$B$173),B597*C597/12,IF(AND(197=$B$173+1,AND(197&gt;$B$173,$B$78="Refinance",ISNUMBER($B$80),$B$80&gt;=0,$B$80&lt;=1,ROUND($B$81*12,0)&gt;=1,$B$81&lt;=100,SUM($B$82)&gt;=0,SUM($B$82)&lt;=1,SUM($B$83)&gt;=0)),IF(B597=0,0,IF(C597=0,B597/ROUND($B$81*12,0),B597*(C597/12)/(1-(1+C597/12)^(-ROUND($B$81*12,0))))),IF(AND(NOT(AND(197&gt;$B$173,$B$78="Refinance",ISNUMBER($B$80),$B$80&gt;=0,$B$80&lt;=1,ROUND($B$81*12,0)&gt;=1,$B$81&lt;=100,SUM($B$82)&gt;=0,SUM($B$82)&lt;=1,SUM($B$83)&gt;=0)),OR(197=1,197=$B$174+1,AND($B$175&gt;0,197=$B$175+1))),IF(AND($B$170=1,$B$66&gt;0,OR($B$175=0,197&lt;=$B$175)),$B$66,IF($B$172-MAX(197-1,$B$174)&gt;0,IF(B597=0,0,IF(C597=0,B597/($B$172-MAX(197-1,$B$174)),B597*(C597/12)/(1-(1+C597/12)^(-($B$172-MAX(197-1,$B$174)))))),"")),D596))))),IF(IF(AND(197&lt;=$B$174,197&lt;=$B$173),B597*C597/12,IF(AND(197=$B$173+1,AND(197&gt;$B$173,$B$78="Refinance",ISNUMBER($B$80),$B$80&gt;=0,$B$80&lt;=1,ROUND($B$81*12,0)&gt;=1,$B$81&lt;=100,SUM($B$82)&gt;=0,SUM($B$82)&lt;=1,SUM($B$83)&gt;=0)),IF(B597=0,0,IF(C597=0,B597/ROUND($B$81*12,0),B597*(C597/12)/(1-(1+C597/12)^(-ROUND($B$81*12,0))))),IF(AND(NOT(AND(197&gt;$B$173,$B$78="Refinance",ISNUMBER($B$80),$B$80&gt;=0,$B$80&lt;=1,ROUND($B$81*12,0)&gt;=1,$B$81&lt;=100,SUM($B$82)&gt;=0,SUM($B$82)&lt;=1,SUM($B$83)&gt;=0)),OR(197=1,197=$B$174+1,AND($B$175&gt;0,197=$B$175+1))),IF(AND($B$170=1,$B$66&gt;0,OR($B$175=0,197&lt;=$B$175)),$B$66,IF($B$172-MAX(197-1,$B$174)&gt;0,IF(B597=0,0,IF(C597=0,B597/($B$172-MAX(197-1,$B$174)),B597*(C597/12)/(1-(1+C597/12)^(-($B$172-MAX(197-1,$B$174)))))),"")),D596)))+0.0000001&gt;=B597*C597/12,MIN(B597*(1+C597/12),IF(AND(197&lt;=$B$174,197&lt;=$B$173),B597*C597/12,IF(AND(197=$B$173+1,AND(197&gt;$B$173,$B$78="Refinance",ISNUMBER($B$80),$B$80&gt;=0,$B$80&lt;=1,ROUND($B$81*12,0)&gt;=1,$B$81&lt;=100,SUM($B$82)&gt;=0,SUM($B$82)&lt;=1,SUM($B$83)&gt;=0)),IF(B597=0,0,IF(C597=0,B597/ROUND($B$81*12,0),B597*(C597/12)/(1-(1+C597/12)^(-ROUND($B$81*12,0))))),IF(AND(NOT(AND(197&gt;$B$173,$B$78="Refinance",ISNUMBER($B$80),$B$80&gt;=0,$B$80&lt;=1,ROUND($B$81*12,0)&gt;=1,$B$81&lt;=100,SUM($B$82)&gt;=0,SUM($B$82)&lt;=1,SUM($B$83)&gt;=0)),OR(197=1,197=$B$174+1,AND($B$175&gt;0,197=$B$175+1))),IF(AND($B$170=1,$B$66&gt;0,OR($B$175=0,197&lt;=$B$175)),$B$66,IF($B$172-MAX(197-1,$B$174)&gt;0,IF(B597=0,0,IF(C597=0,B597/($B$172-MAX(197-1,$B$174)),B597*(C597/12)/(1-(1+C597/12)^(-($B$172-MAX(197-1,$B$174)))))),"")),D596)))),""),""))</x:f>
        <x:v>4679.450723240598</x:v>
      </x:c>
      <x:c r="E597" s="440" t="n">
        <x:f>IF(AND(197=$B$173,ISNUMBER(D597)),IF(MAX(0,B597*(1+C597/12)-D597)&lt;MAX(0.0000001,$E$17*0.00000000001),0,MAX(0,B597*(1+C597/12)-D597)),0)</x:f>
        <x:v>0</x:v>
      </x:c>
      <x:c r="F597" s="440" t="n">
        <x:f>IF($B$78="Cash payoff",E597,0)</x:f>
        <x:v>0</x:v>
      </x:c>
      <x:c r="G597" s="440" t="n">
        <x:f>IF(AND(E597&gt;0,AND($B$78="Refinance",ISNUMBER($B$80),$B$80&gt;=0,$B$80&lt;=1,ROUND($B$81*12,0)&gt;=1,$B$81&lt;=100,SUM($B$82)&gt;=0,SUM($B$82)&lt;=1,SUM($B$83)&gt;=0)),E597*SUM($B$82)+SUM($B$83),0)</x:f>
        <x:v>0</x:v>
      </x:c>
      <x:c r="H597" s="440" t="n">
        <x:f>IF(ISNUMBER(D597),IF(MAX(0,B597*(1+C597/12)-D597-F597)&lt;MAX(0.0000001,$E$17*0.00000000001),0,MAX(0,B597*(1+C597/12)-D597-F597)),IF(AND($B$171=1,I596=1),B597,""))</x:f>
        <x:v>513193.5656023204</x:v>
      </x:c>
      <x:c r="I597" s="444" t="n">
        <x:f>IF(OR(I596=1,AND(E597&gt;0,$B$78&lt;&gt;"Cash payoff",NOT(AND($B$78="Refinance",ISNUMBER($B$80),$B$80&gt;=0,$B$80&lt;=1,ROUND($B$81*12,0)&gt;=1,$B$81&lt;=100,SUM($B$82)&gt;=0,SUM($B$82)&lt;=1,SUM($B$83)&gt;=0))),AND(ISNUMBER(B597),B597&gt;0,$B$171=1,NOT(ISNUMBER(D597)))),1,0)</x:f>
        <x:v>0</x:v>
      </x:c>
      <x:c r="J597" s="440" t="n">
        <x:f>IF(ISNUMBER(L596),L596,"")</x:f>
        <x:v>0</x:v>
      </x:c>
      <x:c r="K597" s="440" t="n">
        <x:f>IF(AND(ISNUMBER(J597),J597=0),0,IF(AND($B$176=1,ISNUMBER(J597)),MIN(J597*(1+$B$87/12),IF($B$86=0,0,IF($B$87=0,$B$86/ROUND($B$88*12,0),$B$86*($B$87/12)/(1-(1+$B$87/12)^(-ROUND($B$88*12,0)))))),""))</x:f>
        <x:v>0</x:v>
      </x:c>
      <x:c r="L597" s="440" t="n">
        <x:f>IF(ISNUMBER(K597),IF(MAX(0,J597*(1+SUM($B$87)/12)-K597)&lt;MAX(0.0000001,$B$86*0.00000000001),0,MAX(0,J597*(1+SUM($B$87)/12)-K597)),"")</x:f>
        <x:v>0</x:v>
      </x:c>
      <x:c r="M597" s="440" t="n">
        <x:f>IF(AND(ISNUMBER(D597),ISNUMBER(K597)),D597+K597,"")</x:f>
        <x:v>4679.450723240598</x:v>
      </x:c>
      <x:c r="N597" s="440" t="n">
        <x:f>IF(AND(ISNUMBER(H597),ISNUMBER(L597)),H597+L597,"")</x:f>
        <x:v>513193.5656023204</x:v>
      </x:c>
    </x:row>
    <x:row r="598" ht="22" customHeight="1">
      <x:c r="A598" s="254" t="n">
        <x:f>198</x:f>
        <x:v>198</x:v>
      </x:c>
      <x:c r="B598" s="440" t="n">
        <x:f>IF(ISNUMBER(H597),H597,"")</x:f>
        <x:v>513193.5656023204</x:v>
      </x:c>
      <x:c r="C598" s="442" t="n">
        <x:f>IF(ISNUMBER(B598),IF(AND(198&gt;$B$173,$B$78="Refinance",ISNUMBER($B$80),$B$80&gt;=0,$B$80&lt;=1,ROUND($B$81*12,0)&gt;=1,$B$81&lt;=100,SUM($B$82)&gt;=0,SUM($B$82)&lt;=1,SUM($B$83)&gt;=0),$B$80,IF(AND($B$175&gt;0,198&gt;$B$175,ISNUMBER($B$75)),$B$75,$B$61)),"")</x:f>
        <x:v>0.0625</x:v>
      </x:c>
      <x:c r="D598" s="440" t="n">
        <x:f>IF(AND(ISNUMBER(B598),B598=0),0,IF(AND($B$171=1,I597=0,ISNUMBER(C598),ISNUMBER(IF(AND(198&lt;=$B$174,198&lt;=$B$173),B598*C598/12,IF(AND(198=$B$173+1,AND(198&gt;$B$173,$B$78="Refinance",ISNUMBER($B$80),$B$80&gt;=0,$B$80&lt;=1,ROUND($B$81*12,0)&gt;=1,$B$81&lt;=100,SUM($B$82)&gt;=0,SUM($B$82)&lt;=1,SUM($B$83)&gt;=0)),IF(B598=0,0,IF(C598=0,B598/ROUND($B$81*12,0),B598*(C598/12)/(1-(1+C598/12)^(-ROUND($B$81*12,0))))),IF(AND(NOT(AND(198&gt;$B$173,$B$78="Refinance",ISNUMBER($B$80),$B$80&gt;=0,$B$80&lt;=1,ROUND($B$81*12,0)&gt;=1,$B$81&lt;=100,SUM($B$82)&gt;=0,SUM($B$82)&lt;=1,SUM($B$83)&gt;=0)),OR(198=1,198=$B$174+1,AND($B$175&gt;0,198=$B$175+1))),IF(AND($B$170=1,$B$66&gt;0,OR($B$175=0,198&lt;=$B$175)),$B$66,IF($B$172-MAX(198-1,$B$174)&gt;0,IF(B598=0,0,IF(C598=0,B598/($B$172-MAX(198-1,$B$174)),B598*(C598/12)/(1-(1+C598/12)^(-($B$172-MAX(198-1,$B$174)))))),"")),D597))))),IF(IF(AND(198&lt;=$B$174,198&lt;=$B$173),B598*C598/12,IF(AND(198=$B$173+1,AND(198&gt;$B$173,$B$78="Refinance",ISNUMBER($B$80),$B$80&gt;=0,$B$80&lt;=1,ROUND($B$81*12,0)&gt;=1,$B$81&lt;=100,SUM($B$82)&gt;=0,SUM($B$82)&lt;=1,SUM($B$83)&gt;=0)),IF(B598=0,0,IF(C598=0,B598/ROUND($B$81*12,0),B598*(C598/12)/(1-(1+C598/12)^(-ROUND($B$81*12,0))))),IF(AND(NOT(AND(198&gt;$B$173,$B$78="Refinance",ISNUMBER($B$80),$B$80&gt;=0,$B$80&lt;=1,ROUND($B$81*12,0)&gt;=1,$B$81&lt;=100,SUM($B$82)&gt;=0,SUM($B$82)&lt;=1,SUM($B$83)&gt;=0)),OR(198=1,198=$B$174+1,AND($B$175&gt;0,198=$B$175+1))),IF(AND($B$170=1,$B$66&gt;0,OR($B$175=0,198&lt;=$B$175)),$B$66,IF($B$172-MAX(198-1,$B$174)&gt;0,IF(B598=0,0,IF(C598=0,B598/($B$172-MAX(198-1,$B$174)),B598*(C598/12)/(1-(1+C598/12)^(-($B$172-MAX(198-1,$B$174)))))),"")),D597)))+0.0000001&gt;=B598*C598/12,MIN(B598*(1+C598/12),IF(AND(198&lt;=$B$174,198&lt;=$B$173),B598*C598/12,IF(AND(198=$B$173+1,AND(198&gt;$B$173,$B$78="Refinance",ISNUMBER($B$80),$B$80&gt;=0,$B$80&lt;=1,ROUND($B$81*12,0)&gt;=1,$B$81&lt;=100,SUM($B$82)&gt;=0,SUM($B$82)&lt;=1,SUM($B$83)&gt;=0)),IF(B598=0,0,IF(C598=0,B598/ROUND($B$81*12,0),B598*(C598/12)/(1-(1+C598/12)^(-ROUND($B$81*12,0))))),IF(AND(NOT(AND(198&gt;$B$173,$B$78="Refinance",ISNUMBER($B$80),$B$80&gt;=0,$B$80&lt;=1,ROUND($B$81*12,0)&gt;=1,$B$81&lt;=100,SUM($B$82)&gt;=0,SUM($B$82)&lt;=1,SUM($B$83)&gt;=0)),OR(198=1,198=$B$174+1,AND($B$175&gt;0,198=$B$175+1))),IF(AND($B$170=1,$B$66&gt;0,OR($B$175=0,198&lt;=$B$175)),$B$66,IF($B$172-MAX(198-1,$B$174)&gt;0,IF(B598=0,0,IF(C598=0,B598/($B$172-MAX(198-1,$B$174)),B598*(C598/12)/(1-(1+C598/12)^(-($B$172-MAX(198-1,$B$174)))))),"")),D597)))),""),""))</x:f>
        <x:v>4679.450723240598</x:v>
      </x:c>
      <x:c r="E598" s="440" t="n">
        <x:f>IF(AND(198=$B$173,ISNUMBER(D598)),IF(MAX(0,B598*(1+C598/12)-D598)&lt;MAX(0.0000001,$E$17*0.00000000001),0,MAX(0,B598*(1+C598/12)-D598)),0)</x:f>
        <x:v>0</x:v>
      </x:c>
      <x:c r="F598" s="440" t="n">
        <x:f>IF($B$78="Cash payoff",E598,0)</x:f>
        <x:v>0</x:v>
      </x:c>
      <x:c r="G598" s="440" t="n">
        <x:f>IF(AND(E598&gt;0,AND($B$78="Refinance",ISNUMBER($B$80),$B$80&gt;=0,$B$80&lt;=1,ROUND($B$81*12,0)&gt;=1,$B$81&lt;=100,SUM($B$82)&gt;=0,SUM($B$82)&lt;=1,SUM($B$83)&gt;=0)),E598*SUM($B$82)+SUM($B$83),0)</x:f>
        <x:v>0</x:v>
      </x:c>
      <x:c r="H598" s="440" t="n">
        <x:f>IF(ISNUMBER(D598),IF(MAX(0,B598*(1+C598/12)-D598-F598)&lt;MAX(0.0000001,$E$17*0.00000000001),0,MAX(0,B598*(1+C598/12)-D598-F598)),IF(AND($B$171=1,I597=1),B598,""))</x:f>
        <x:v>511186.99803325854</x:v>
      </x:c>
      <x:c r="I598" s="444" t="n">
        <x:f>IF(OR(I597=1,AND(E598&gt;0,$B$78&lt;&gt;"Cash payoff",NOT(AND($B$78="Refinance",ISNUMBER($B$80),$B$80&gt;=0,$B$80&lt;=1,ROUND($B$81*12,0)&gt;=1,$B$81&lt;=100,SUM($B$82)&gt;=0,SUM($B$82)&lt;=1,SUM($B$83)&gt;=0))),AND(ISNUMBER(B598),B598&gt;0,$B$171=1,NOT(ISNUMBER(D598)))),1,0)</x:f>
        <x:v>0</x:v>
      </x:c>
      <x:c r="J598" s="440" t="n">
        <x:f>IF(ISNUMBER(L597),L597,"")</x:f>
        <x:v>0</x:v>
      </x:c>
      <x:c r="K598" s="440" t="n">
        <x:f>IF(AND(ISNUMBER(J598),J598=0),0,IF(AND($B$176=1,ISNUMBER(J598)),MIN(J598*(1+$B$87/12),IF($B$86=0,0,IF($B$87=0,$B$86/ROUND($B$88*12,0),$B$86*($B$87/12)/(1-(1+$B$87/12)^(-ROUND($B$88*12,0)))))),""))</x:f>
        <x:v>0</x:v>
      </x:c>
      <x:c r="L598" s="440" t="n">
        <x:f>IF(ISNUMBER(K598),IF(MAX(0,J598*(1+SUM($B$87)/12)-K598)&lt;MAX(0.0000001,$B$86*0.00000000001),0,MAX(0,J598*(1+SUM($B$87)/12)-K598)),"")</x:f>
        <x:v>0</x:v>
      </x:c>
      <x:c r="M598" s="440" t="n">
        <x:f>IF(AND(ISNUMBER(D598),ISNUMBER(K598)),D598+K598,"")</x:f>
        <x:v>4679.450723240598</x:v>
      </x:c>
      <x:c r="N598" s="440" t="n">
        <x:f>IF(AND(ISNUMBER(H598),ISNUMBER(L598)),H598+L598,"")</x:f>
        <x:v>511186.99803325854</x:v>
      </x:c>
    </x:row>
    <x:row r="599" ht="22" customHeight="1">
      <x:c r="A599" s="254" t="n">
        <x:f>199</x:f>
        <x:v>199</x:v>
      </x:c>
      <x:c r="B599" s="440" t="n">
        <x:f>IF(ISNUMBER(H598),H598,"")</x:f>
        <x:v>511186.99803325854</x:v>
      </x:c>
      <x:c r="C599" s="442" t="n">
        <x:f>IF(ISNUMBER(B599),IF(AND(199&gt;$B$173,$B$78="Refinance",ISNUMBER($B$80),$B$80&gt;=0,$B$80&lt;=1,ROUND($B$81*12,0)&gt;=1,$B$81&lt;=100,SUM($B$82)&gt;=0,SUM($B$82)&lt;=1,SUM($B$83)&gt;=0),$B$80,IF(AND($B$175&gt;0,199&gt;$B$175,ISNUMBER($B$75)),$B$75,$B$61)),"")</x:f>
        <x:v>0.0625</x:v>
      </x:c>
      <x:c r="D599" s="440" t="n">
        <x:f>IF(AND(ISNUMBER(B599),B599=0),0,IF(AND($B$171=1,I598=0,ISNUMBER(C599),ISNUMBER(IF(AND(199&lt;=$B$174,199&lt;=$B$173),B599*C599/12,IF(AND(199=$B$173+1,AND(199&gt;$B$173,$B$78="Refinance",ISNUMBER($B$80),$B$80&gt;=0,$B$80&lt;=1,ROUND($B$81*12,0)&gt;=1,$B$81&lt;=100,SUM($B$82)&gt;=0,SUM($B$82)&lt;=1,SUM($B$83)&gt;=0)),IF(B599=0,0,IF(C599=0,B599/ROUND($B$81*12,0),B599*(C599/12)/(1-(1+C599/12)^(-ROUND($B$81*12,0))))),IF(AND(NOT(AND(199&gt;$B$173,$B$78="Refinance",ISNUMBER($B$80),$B$80&gt;=0,$B$80&lt;=1,ROUND($B$81*12,0)&gt;=1,$B$81&lt;=100,SUM($B$82)&gt;=0,SUM($B$82)&lt;=1,SUM($B$83)&gt;=0)),OR(199=1,199=$B$174+1,AND($B$175&gt;0,199=$B$175+1))),IF(AND($B$170=1,$B$66&gt;0,OR($B$175=0,199&lt;=$B$175)),$B$66,IF($B$172-MAX(199-1,$B$174)&gt;0,IF(B599=0,0,IF(C599=0,B599/($B$172-MAX(199-1,$B$174)),B599*(C599/12)/(1-(1+C599/12)^(-($B$172-MAX(199-1,$B$174)))))),"")),D598))))),IF(IF(AND(199&lt;=$B$174,199&lt;=$B$173),B599*C599/12,IF(AND(199=$B$173+1,AND(199&gt;$B$173,$B$78="Refinance",ISNUMBER($B$80),$B$80&gt;=0,$B$80&lt;=1,ROUND($B$81*12,0)&gt;=1,$B$81&lt;=100,SUM($B$82)&gt;=0,SUM($B$82)&lt;=1,SUM($B$83)&gt;=0)),IF(B599=0,0,IF(C599=0,B599/ROUND($B$81*12,0),B599*(C599/12)/(1-(1+C599/12)^(-ROUND($B$81*12,0))))),IF(AND(NOT(AND(199&gt;$B$173,$B$78="Refinance",ISNUMBER($B$80),$B$80&gt;=0,$B$80&lt;=1,ROUND($B$81*12,0)&gt;=1,$B$81&lt;=100,SUM($B$82)&gt;=0,SUM($B$82)&lt;=1,SUM($B$83)&gt;=0)),OR(199=1,199=$B$174+1,AND($B$175&gt;0,199=$B$175+1))),IF(AND($B$170=1,$B$66&gt;0,OR($B$175=0,199&lt;=$B$175)),$B$66,IF($B$172-MAX(199-1,$B$174)&gt;0,IF(B599=0,0,IF(C599=0,B599/($B$172-MAX(199-1,$B$174)),B599*(C599/12)/(1-(1+C599/12)^(-($B$172-MAX(199-1,$B$174)))))),"")),D598)))+0.0000001&gt;=B599*C599/12,MIN(B599*(1+C599/12),IF(AND(199&lt;=$B$174,199&lt;=$B$173),B599*C599/12,IF(AND(199=$B$173+1,AND(199&gt;$B$173,$B$78="Refinance",ISNUMBER($B$80),$B$80&gt;=0,$B$80&lt;=1,ROUND($B$81*12,0)&gt;=1,$B$81&lt;=100,SUM($B$82)&gt;=0,SUM($B$82)&lt;=1,SUM($B$83)&gt;=0)),IF(B599=0,0,IF(C599=0,B599/ROUND($B$81*12,0),B599*(C599/12)/(1-(1+C599/12)^(-ROUND($B$81*12,0))))),IF(AND(NOT(AND(199&gt;$B$173,$B$78="Refinance",ISNUMBER($B$80),$B$80&gt;=0,$B$80&lt;=1,ROUND($B$81*12,0)&gt;=1,$B$81&lt;=100,SUM($B$82)&gt;=0,SUM($B$82)&lt;=1,SUM($B$83)&gt;=0)),OR(199=1,199=$B$174+1,AND($B$175&gt;0,199=$B$175+1))),IF(AND($B$170=1,$B$66&gt;0,OR($B$175=0,199&lt;=$B$175)),$B$66,IF($B$172-MAX(199-1,$B$174)&gt;0,IF(B599=0,0,IF(C599=0,B599/($B$172-MAX(199-1,$B$174)),B599*(C599/12)/(1-(1+C599/12)^(-($B$172-MAX(199-1,$B$174)))))),"")),D598)))),""),""))</x:f>
        <x:v>4679.450723240598</x:v>
      </x:c>
      <x:c r="E599" s="440" t="n">
        <x:f>IF(AND(199=$B$173,ISNUMBER(D599)),IF(MAX(0,B599*(1+C599/12)-D599)&lt;MAX(0.0000001,$E$17*0.00000000001),0,MAX(0,B599*(1+C599/12)-D599)),0)</x:f>
        <x:v>0</x:v>
      </x:c>
      <x:c r="F599" s="440" t="n">
        <x:f>IF($B$78="Cash payoff",E599,0)</x:f>
        <x:v>0</x:v>
      </x:c>
      <x:c r="G599" s="440" t="n">
        <x:f>IF(AND(E599&gt;0,AND($B$78="Refinance",ISNUMBER($B$80),$B$80&gt;=0,$B$80&lt;=1,ROUND($B$81*12,0)&gt;=1,$B$81&lt;=100,SUM($B$82)&gt;=0,SUM($B$82)&lt;=1,SUM($B$83)&gt;=0)),E599*SUM($B$82)+SUM($B$83),0)</x:f>
        <x:v>0</x:v>
      </x:c>
      <x:c r="H599" s="440" t="n">
        <x:f>IF(ISNUMBER(D599),IF(MAX(0,B599*(1+C599/12)-D599-F599)&lt;MAX(0.0000001,$E$17*0.00000000001),0,MAX(0,B599*(1+C599/12)-D599-F599)),IF(AND($B$171=1,I598=1),B599,""))</x:f>
        <x:v>509169.9795914411</x:v>
      </x:c>
      <x:c r="I599" s="444" t="n">
        <x:f>IF(OR(I598=1,AND(E599&gt;0,$B$78&lt;&gt;"Cash payoff",NOT(AND($B$78="Refinance",ISNUMBER($B$80),$B$80&gt;=0,$B$80&lt;=1,ROUND($B$81*12,0)&gt;=1,$B$81&lt;=100,SUM($B$82)&gt;=0,SUM($B$82)&lt;=1,SUM($B$83)&gt;=0))),AND(ISNUMBER(B599),B599&gt;0,$B$171=1,NOT(ISNUMBER(D599)))),1,0)</x:f>
        <x:v>0</x:v>
      </x:c>
      <x:c r="J599" s="440" t="n">
        <x:f>IF(ISNUMBER(L598),L598,"")</x:f>
        <x:v>0</x:v>
      </x:c>
      <x:c r="K599" s="440" t="n">
        <x:f>IF(AND(ISNUMBER(J599),J599=0),0,IF(AND($B$176=1,ISNUMBER(J599)),MIN(J599*(1+$B$87/12),IF($B$86=0,0,IF($B$87=0,$B$86/ROUND($B$88*12,0),$B$86*($B$87/12)/(1-(1+$B$87/12)^(-ROUND($B$88*12,0)))))),""))</x:f>
        <x:v>0</x:v>
      </x:c>
      <x:c r="L599" s="440" t="n">
        <x:f>IF(ISNUMBER(K599),IF(MAX(0,J599*(1+SUM($B$87)/12)-K599)&lt;MAX(0.0000001,$B$86*0.00000000001),0,MAX(0,J599*(1+SUM($B$87)/12)-K599)),"")</x:f>
        <x:v>0</x:v>
      </x:c>
      <x:c r="M599" s="440" t="n">
        <x:f>IF(AND(ISNUMBER(D599),ISNUMBER(K599)),D599+K599,"")</x:f>
        <x:v>4679.450723240598</x:v>
      </x:c>
      <x:c r="N599" s="440" t="n">
        <x:f>IF(AND(ISNUMBER(H599),ISNUMBER(L599)),H599+L599,"")</x:f>
        <x:v>509169.9795914411</x:v>
      </x:c>
    </x:row>
    <x:row r="600" ht="22" customHeight="1">
      <x:c r="A600" s="254" t="n">
        <x:f>200</x:f>
        <x:v>200</x:v>
      </x:c>
      <x:c r="B600" s="440" t="n">
        <x:f>IF(ISNUMBER(H599),H599,"")</x:f>
        <x:v>509169.9795914411</x:v>
      </x:c>
      <x:c r="C600" s="442" t="n">
        <x:f>IF(ISNUMBER(B600),IF(AND(200&gt;$B$173,$B$78="Refinance",ISNUMBER($B$80),$B$80&gt;=0,$B$80&lt;=1,ROUND($B$81*12,0)&gt;=1,$B$81&lt;=100,SUM($B$82)&gt;=0,SUM($B$82)&lt;=1,SUM($B$83)&gt;=0),$B$80,IF(AND($B$175&gt;0,200&gt;$B$175,ISNUMBER($B$75)),$B$75,$B$61)),"")</x:f>
        <x:v>0.0625</x:v>
      </x:c>
      <x:c r="D600" s="440" t="n">
        <x:f>IF(AND(ISNUMBER(B600),B600=0),0,IF(AND($B$171=1,I599=0,ISNUMBER(C600),ISNUMBER(IF(AND(200&lt;=$B$174,200&lt;=$B$173),B600*C600/12,IF(AND(200=$B$173+1,AND(200&gt;$B$173,$B$78="Refinance",ISNUMBER($B$80),$B$80&gt;=0,$B$80&lt;=1,ROUND($B$81*12,0)&gt;=1,$B$81&lt;=100,SUM($B$82)&gt;=0,SUM($B$82)&lt;=1,SUM($B$83)&gt;=0)),IF(B600=0,0,IF(C600=0,B600/ROUND($B$81*12,0),B600*(C600/12)/(1-(1+C600/12)^(-ROUND($B$81*12,0))))),IF(AND(NOT(AND(200&gt;$B$173,$B$78="Refinance",ISNUMBER($B$80),$B$80&gt;=0,$B$80&lt;=1,ROUND($B$81*12,0)&gt;=1,$B$81&lt;=100,SUM($B$82)&gt;=0,SUM($B$82)&lt;=1,SUM($B$83)&gt;=0)),OR(200=1,200=$B$174+1,AND($B$175&gt;0,200=$B$175+1))),IF(AND($B$170=1,$B$66&gt;0,OR($B$175=0,200&lt;=$B$175)),$B$66,IF($B$172-MAX(200-1,$B$174)&gt;0,IF(B600=0,0,IF(C600=0,B600/($B$172-MAX(200-1,$B$174)),B600*(C600/12)/(1-(1+C600/12)^(-($B$172-MAX(200-1,$B$174)))))),"")),D599))))),IF(IF(AND(200&lt;=$B$174,200&lt;=$B$173),B600*C600/12,IF(AND(200=$B$173+1,AND(200&gt;$B$173,$B$78="Refinance",ISNUMBER($B$80),$B$80&gt;=0,$B$80&lt;=1,ROUND($B$81*12,0)&gt;=1,$B$81&lt;=100,SUM($B$82)&gt;=0,SUM($B$82)&lt;=1,SUM($B$83)&gt;=0)),IF(B600=0,0,IF(C600=0,B600/ROUND($B$81*12,0),B600*(C600/12)/(1-(1+C600/12)^(-ROUND($B$81*12,0))))),IF(AND(NOT(AND(200&gt;$B$173,$B$78="Refinance",ISNUMBER($B$80),$B$80&gt;=0,$B$80&lt;=1,ROUND($B$81*12,0)&gt;=1,$B$81&lt;=100,SUM($B$82)&gt;=0,SUM($B$82)&lt;=1,SUM($B$83)&gt;=0)),OR(200=1,200=$B$174+1,AND($B$175&gt;0,200=$B$175+1))),IF(AND($B$170=1,$B$66&gt;0,OR($B$175=0,200&lt;=$B$175)),$B$66,IF($B$172-MAX(200-1,$B$174)&gt;0,IF(B600=0,0,IF(C600=0,B600/($B$172-MAX(200-1,$B$174)),B600*(C600/12)/(1-(1+C600/12)^(-($B$172-MAX(200-1,$B$174)))))),"")),D599)))+0.0000001&gt;=B600*C600/12,MIN(B600*(1+C600/12),IF(AND(200&lt;=$B$174,200&lt;=$B$173),B600*C600/12,IF(AND(200=$B$173+1,AND(200&gt;$B$173,$B$78="Refinance",ISNUMBER($B$80),$B$80&gt;=0,$B$80&lt;=1,ROUND($B$81*12,0)&gt;=1,$B$81&lt;=100,SUM($B$82)&gt;=0,SUM($B$82)&lt;=1,SUM($B$83)&gt;=0)),IF(B600=0,0,IF(C600=0,B600/ROUND($B$81*12,0),B600*(C600/12)/(1-(1+C600/12)^(-ROUND($B$81*12,0))))),IF(AND(NOT(AND(200&gt;$B$173,$B$78="Refinance",ISNUMBER($B$80),$B$80&gt;=0,$B$80&lt;=1,ROUND($B$81*12,0)&gt;=1,$B$81&lt;=100,SUM($B$82)&gt;=0,SUM($B$82)&lt;=1,SUM($B$83)&gt;=0)),OR(200=1,200=$B$174+1,AND($B$175&gt;0,200=$B$175+1))),IF(AND($B$170=1,$B$66&gt;0,OR($B$175=0,200&lt;=$B$175)),$B$66,IF($B$172-MAX(200-1,$B$174)&gt;0,IF(B600=0,0,IF(C600=0,B600/($B$172-MAX(200-1,$B$174)),B600*(C600/12)/(1-(1+C600/12)^(-($B$172-MAX(200-1,$B$174)))))),"")),D599)))),""),""))</x:f>
        <x:v>4679.450723240598</x:v>
      </x:c>
      <x:c r="E600" s="440" t="n">
        <x:f>IF(AND(200=$B$173,ISNUMBER(D600)),IF(MAX(0,B600*(1+C600/12)-D600)&lt;MAX(0.0000001,$E$17*0.00000000001),0,MAX(0,B600*(1+C600/12)-D600)),0)</x:f>
        <x:v>0</x:v>
      </x:c>
      <x:c r="F600" s="440" t="n">
        <x:f>IF($B$78="Cash payoff",E600,0)</x:f>
        <x:v>0</x:v>
      </x:c>
      <x:c r="G600" s="440" t="n">
        <x:f>IF(AND(E600&gt;0,AND($B$78="Refinance",ISNUMBER($B$80),$B$80&gt;=0,$B$80&lt;=1,ROUND($B$81*12,0)&gt;=1,$B$81&lt;=100,SUM($B$82)&gt;=0,SUM($B$82)&lt;=1,SUM($B$83)&gt;=0)),E600*SUM($B$82)+SUM($B$83),0)</x:f>
        <x:v>0</x:v>
      </x:c>
      <x:c r="H600" s="440" t="n">
        <x:f>IF(ISNUMBER(D600),IF(MAX(0,B600*(1+C600/12)-D600-F600)&lt;MAX(0.0000001,$E$17*0.00000000001),0,MAX(0,B600*(1+C600/12)-D600-F600)),IF(AND($B$171=1,I599=1),B600,""))</x:f>
        <x:v>507142.4558452392</x:v>
      </x:c>
      <x:c r="I600" s="444" t="n">
        <x:f>IF(OR(I599=1,AND(E600&gt;0,$B$78&lt;&gt;"Cash payoff",NOT(AND($B$78="Refinance",ISNUMBER($B$80),$B$80&gt;=0,$B$80&lt;=1,ROUND($B$81*12,0)&gt;=1,$B$81&lt;=100,SUM($B$82)&gt;=0,SUM($B$82)&lt;=1,SUM($B$83)&gt;=0))),AND(ISNUMBER(B600),B600&gt;0,$B$171=1,NOT(ISNUMBER(D600)))),1,0)</x:f>
        <x:v>0</x:v>
      </x:c>
      <x:c r="J600" s="440" t="n">
        <x:f>IF(ISNUMBER(L599),L599,"")</x:f>
        <x:v>0</x:v>
      </x:c>
      <x:c r="K600" s="440" t="n">
        <x:f>IF(AND(ISNUMBER(J600),J600=0),0,IF(AND($B$176=1,ISNUMBER(J600)),MIN(J600*(1+$B$87/12),IF($B$86=0,0,IF($B$87=0,$B$86/ROUND($B$88*12,0),$B$86*($B$87/12)/(1-(1+$B$87/12)^(-ROUND($B$88*12,0)))))),""))</x:f>
        <x:v>0</x:v>
      </x:c>
      <x:c r="L600" s="440" t="n">
        <x:f>IF(ISNUMBER(K600),IF(MAX(0,J600*(1+SUM($B$87)/12)-K600)&lt;MAX(0.0000001,$B$86*0.00000000001),0,MAX(0,J600*(1+SUM($B$87)/12)-K600)),"")</x:f>
        <x:v>0</x:v>
      </x:c>
      <x:c r="M600" s="440" t="n">
        <x:f>IF(AND(ISNUMBER(D600),ISNUMBER(K600)),D600+K600,"")</x:f>
        <x:v>4679.450723240598</x:v>
      </x:c>
      <x:c r="N600" s="440" t="n">
        <x:f>IF(AND(ISNUMBER(H600),ISNUMBER(L600)),H600+L600,"")</x:f>
        <x:v>507142.4558452392</x:v>
      </x:c>
    </x:row>
    <x:row r="601" ht="22" customHeight="1">
      <x:c r="A601" s="254" t="n">
        <x:f>201</x:f>
        <x:v>201</x:v>
      </x:c>
      <x:c r="B601" s="440" t="n">
        <x:f>IF(ISNUMBER(H600),H600,"")</x:f>
        <x:v>507142.4558452392</x:v>
      </x:c>
      <x:c r="C601" s="442" t="n">
        <x:f>IF(ISNUMBER(B601),IF(AND(201&gt;$B$173,$B$78="Refinance",ISNUMBER($B$80),$B$80&gt;=0,$B$80&lt;=1,ROUND($B$81*12,0)&gt;=1,$B$81&lt;=100,SUM($B$82)&gt;=0,SUM($B$82)&lt;=1,SUM($B$83)&gt;=0),$B$80,IF(AND($B$175&gt;0,201&gt;$B$175,ISNUMBER($B$75)),$B$75,$B$61)),"")</x:f>
        <x:v>0.0625</x:v>
      </x:c>
      <x:c r="D601" s="440" t="n">
        <x:f>IF(AND(ISNUMBER(B601),B601=0),0,IF(AND($B$171=1,I600=0,ISNUMBER(C601),ISNUMBER(IF(AND(201&lt;=$B$174,201&lt;=$B$173),B601*C601/12,IF(AND(201=$B$173+1,AND(201&gt;$B$173,$B$78="Refinance",ISNUMBER($B$80),$B$80&gt;=0,$B$80&lt;=1,ROUND($B$81*12,0)&gt;=1,$B$81&lt;=100,SUM($B$82)&gt;=0,SUM($B$82)&lt;=1,SUM($B$83)&gt;=0)),IF(B601=0,0,IF(C601=0,B601/ROUND($B$81*12,0),B601*(C601/12)/(1-(1+C601/12)^(-ROUND($B$81*12,0))))),IF(AND(NOT(AND(201&gt;$B$173,$B$78="Refinance",ISNUMBER($B$80),$B$80&gt;=0,$B$80&lt;=1,ROUND($B$81*12,0)&gt;=1,$B$81&lt;=100,SUM($B$82)&gt;=0,SUM($B$82)&lt;=1,SUM($B$83)&gt;=0)),OR(201=1,201=$B$174+1,AND($B$175&gt;0,201=$B$175+1))),IF(AND($B$170=1,$B$66&gt;0,OR($B$175=0,201&lt;=$B$175)),$B$66,IF($B$172-MAX(201-1,$B$174)&gt;0,IF(B601=0,0,IF(C601=0,B601/($B$172-MAX(201-1,$B$174)),B601*(C601/12)/(1-(1+C601/12)^(-($B$172-MAX(201-1,$B$174)))))),"")),D600))))),IF(IF(AND(201&lt;=$B$174,201&lt;=$B$173),B601*C601/12,IF(AND(201=$B$173+1,AND(201&gt;$B$173,$B$78="Refinance",ISNUMBER($B$80),$B$80&gt;=0,$B$80&lt;=1,ROUND($B$81*12,0)&gt;=1,$B$81&lt;=100,SUM($B$82)&gt;=0,SUM($B$82)&lt;=1,SUM($B$83)&gt;=0)),IF(B601=0,0,IF(C601=0,B601/ROUND($B$81*12,0),B601*(C601/12)/(1-(1+C601/12)^(-ROUND($B$81*12,0))))),IF(AND(NOT(AND(201&gt;$B$173,$B$78="Refinance",ISNUMBER($B$80),$B$80&gt;=0,$B$80&lt;=1,ROUND($B$81*12,0)&gt;=1,$B$81&lt;=100,SUM($B$82)&gt;=0,SUM($B$82)&lt;=1,SUM($B$83)&gt;=0)),OR(201=1,201=$B$174+1,AND($B$175&gt;0,201=$B$175+1))),IF(AND($B$170=1,$B$66&gt;0,OR($B$175=0,201&lt;=$B$175)),$B$66,IF($B$172-MAX(201-1,$B$174)&gt;0,IF(B601=0,0,IF(C601=0,B601/($B$172-MAX(201-1,$B$174)),B601*(C601/12)/(1-(1+C601/12)^(-($B$172-MAX(201-1,$B$174)))))),"")),D600)))+0.0000001&gt;=B601*C601/12,MIN(B601*(1+C601/12),IF(AND(201&lt;=$B$174,201&lt;=$B$173),B601*C601/12,IF(AND(201=$B$173+1,AND(201&gt;$B$173,$B$78="Refinance",ISNUMBER($B$80),$B$80&gt;=0,$B$80&lt;=1,ROUND($B$81*12,0)&gt;=1,$B$81&lt;=100,SUM($B$82)&gt;=0,SUM($B$82)&lt;=1,SUM($B$83)&gt;=0)),IF(B601=0,0,IF(C601=0,B601/ROUND($B$81*12,0),B601*(C601/12)/(1-(1+C601/12)^(-ROUND($B$81*12,0))))),IF(AND(NOT(AND(201&gt;$B$173,$B$78="Refinance",ISNUMBER($B$80),$B$80&gt;=0,$B$80&lt;=1,ROUND($B$81*12,0)&gt;=1,$B$81&lt;=100,SUM($B$82)&gt;=0,SUM($B$82)&lt;=1,SUM($B$83)&gt;=0)),OR(201=1,201=$B$174+1,AND($B$175&gt;0,201=$B$175+1))),IF(AND($B$170=1,$B$66&gt;0,OR($B$175=0,201&lt;=$B$175)),$B$66,IF($B$172-MAX(201-1,$B$174)&gt;0,IF(B601=0,0,IF(C601=0,B601/($B$172-MAX(201-1,$B$174)),B601*(C601/12)/(1-(1+C601/12)^(-($B$172-MAX(201-1,$B$174)))))),"")),D600)))),""),""))</x:f>
        <x:v>4679.450723240598</x:v>
      </x:c>
      <x:c r="E601" s="440" t="n">
        <x:f>IF(AND(201=$B$173,ISNUMBER(D601)),IF(MAX(0,B601*(1+C601/12)-D601)&lt;MAX(0.0000001,$E$17*0.00000000001),0,MAX(0,B601*(1+C601/12)-D601)),0)</x:f>
        <x:v>0</x:v>
      </x:c>
      <x:c r="F601" s="440" t="n">
        <x:f>IF($B$78="Cash payoff",E601,0)</x:f>
        <x:v>0</x:v>
      </x:c>
      <x:c r="G601" s="440" t="n">
        <x:f>IF(AND(E601&gt;0,AND($B$78="Refinance",ISNUMBER($B$80),$B$80&gt;=0,$B$80&lt;=1,ROUND($B$81*12,0)&gt;=1,$B$81&lt;=100,SUM($B$82)&gt;=0,SUM($B$82)&lt;=1,SUM($B$83)&gt;=0)),E601*SUM($B$82)+SUM($B$83),0)</x:f>
        <x:v>0</x:v>
      </x:c>
      <x:c r="H601" s="440" t="n">
        <x:f>IF(ISNUMBER(D601),IF(MAX(0,B601*(1+C601/12)-D601-F601)&lt;MAX(0.0000001,$E$17*0.00000000001),0,MAX(0,B601*(1+C601/12)-D601-F601)),IF(AND($B$171=1,I600=1),B601,""))</x:f>
        <x:v>505104.37207952584</x:v>
      </x:c>
      <x:c r="I601" s="444" t="n">
        <x:f>IF(OR(I600=1,AND(E601&gt;0,$B$78&lt;&gt;"Cash payoff",NOT(AND($B$78="Refinance",ISNUMBER($B$80),$B$80&gt;=0,$B$80&lt;=1,ROUND($B$81*12,0)&gt;=1,$B$81&lt;=100,SUM($B$82)&gt;=0,SUM($B$82)&lt;=1,SUM($B$83)&gt;=0))),AND(ISNUMBER(B601),B601&gt;0,$B$171=1,NOT(ISNUMBER(D601)))),1,0)</x:f>
        <x:v>0</x:v>
      </x:c>
      <x:c r="J601" s="440" t="n">
        <x:f>IF(ISNUMBER(L600),L600,"")</x:f>
        <x:v>0</x:v>
      </x:c>
      <x:c r="K601" s="440" t="n">
        <x:f>IF(AND(ISNUMBER(J601),J601=0),0,IF(AND($B$176=1,ISNUMBER(J601)),MIN(J601*(1+$B$87/12),IF($B$86=0,0,IF($B$87=0,$B$86/ROUND($B$88*12,0),$B$86*($B$87/12)/(1-(1+$B$87/12)^(-ROUND($B$88*12,0)))))),""))</x:f>
        <x:v>0</x:v>
      </x:c>
      <x:c r="L601" s="440" t="n">
        <x:f>IF(ISNUMBER(K601),IF(MAX(0,J601*(1+SUM($B$87)/12)-K601)&lt;MAX(0.0000001,$B$86*0.00000000001),0,MAX(0,J601*(1+SUM($B$87)/12)-K601)),"")</x:f>
        <x:v>0</x:v>
      </x:c>
      <x:c r="M601" s="440" t="n">
        <x:f>IF(AND(ISNUMBER(D601),ISNUMBER(K601)),D601+K601,"")</x:f>
        <x:v>4679.450723240598</x:v>
      </x:c>
      <x:c r="N601" s="440" t="n">
        <x:f>IF(AND(ISNUMBER(H601),ISNUMBER(L601)),H601+L601,"")</x:f>
        <x:v>505104.37207952584</x:v>
      </x:c>
    </x:row>
    <x:row r="602" ht="22" customHeight="1">
      <x:c r="A602" s="254" t="n">
        <x:f>202</x:f>
        <x:v>202</x:v>
      </x:c>
      <x:c r="B602" s="440" t="n">
        <x:f>IF(ISNUMBER(H601),H601,"")</x:f>
        <x:v>505104.37207952584</x:v>
      </x:c>
      <x:c r="C602" s="442" t="n">
        <x:f>IF(ISNUMBER(B602),IF(AND(202&gt;$B$173,$B$78="Refinance",ISNUMBER($B$80),$B$80&gt;=0,$B$80&lt;=1,ROUND($B$81*12,0)&gt;=1,$B$81&lt;=100,SUM($B$82)&gt;=0,SUM($B$82)&lt;=1,SUM($B$83)&gt;=0),$B$80,IF(AND($B$175&gt;0,202&gt;$B$175,ISNUMBER($B$75)),$B$75,$B$61)),"")</x:f>
        <x:v>0.0625</x:v>
      </x:c>
      <x:c r="D602" s="440" t="n">
        <x:f>IF(AND(ISNUMBER(B602),B602=0),0,IF(AND($B$171=1,I601=0,ISNUMBER(C602),ISNUMBER(IF(AND(202&lt;=$B$174,202&lt;=$B$173),B602*C602/12,IF(AND(202=$B$173+1,AND(202&gt;$B$173,$B$78="Refinance",ISNUMBER($B$80),$B$80&gt;=0,$B$80&lt;=1,ROUND($B$81*12,0)&gt;=1,$B$81&lt;=100,SUM($B$82)&gt;=0,SUM($B$82)&lt;=1,SUM($B$83)&gt;=0)),IF(B602=0,0,IF(C602=0,B602/ROUND($B$81*12,0),B602*(C602/12)/(1-(1+C602/12)^(-ROUND($B$81*12,0))))),IF(AND(NOT(AND(202&gt;$B$173,$B$78="Refinance",ISNUMBER($B$80),$B$80&gt;=0,$B$80&lt;=1,ROUND($B$81*12,0)&gt;=1,$B$81&lt;=100,SUM($B$82)&gt;=0,SUM($B$82)&lt;=1,SUM($B$83)&gt;=0)),OR(202=1,202=$B$174+1,AND($B$175&gt;0,202=$B$175+1))),IF(AND($B$170=1,$B$66&gt;0,OR($B$175=0,202&lt;=$B$175)),$B$66,IF($B$172-MAX(202-1,$B$174)&gt;0,IF(B602=0,0,IF(C602=0,B602/($B$172-MAX(202-1,$B$174)),B602*(C602/12)/(1-(1+C602/12)^(-($B$172-MAX(202-1,$B$174)))))),"")),D601))))),IF(IF(AND(202&lt;=$B$174,202&lt;=$B$173),B602*C602/12,IF(AND(202=$B$173+1,AND(202&gt;$B$173,$B$78="Refinance",ISNUMBER($B$80),$B$80&gt;=0,$B$80&lt;=1,ROUND($B$81*12,0)&gt;=1,$B$81&lt;=100,SUM($B$82)&gt;=0,SUM($B$82)&lt;=1,SUM($B$83)&gt;=0)),IF(B602=0,0,IF(C602=0,B602/ROUND($B$81*12,0),B602*(C602/12)/(1-(1+C602/12)^(-ROUND($B$81*12,0))))),IF(AND(NOT(AND(202&gt;$B$173,$B$78="Refinance",ISNUMBER($B$80),$B$80&gt;=0,$B$80&lt;=1,ROUND($B$81*12,0)&gt;=1,$B$81&lt;=100,SUM($B$82)&gt;=0,SUM($B$82)&lt;=1,SUM($B$83)&gt;=0)),OR(202=1,202=$B$174+1,AND($B$175&gt;0,202=$B$175+1))),IF(AND($B$170=1,$B$66&gt;0,OR($B$175=0,202&lt;=$B$175)),$B$66,IF($B$172-MAX(202-1,$B$174)&gt;0,IF(B602=0,0,IF(C602=0,B602/($B$172-MAX(202-1,$B$174)),B602*(C602/12)/(1-(1+C602/12)^(-($B$172-MAX(202-1,$B$174)))))),"")),D601)))+0.0000001&gt;=B602*C602/12,MIN(B602*(1+C602/12),IF(AND(202&lt;=$B$174,202&lt;=$B$173),B602*C602/12,IF(AND(202=$B$173+1,AND(202&gt;$B$173,$B$78="Refinance",ISNUMBER($B$80),$B$80&gt;=0,$B$80&lt;=1,ROUND($B$81*12,0)&gt;=1,$B$81&lt;=100,SUM($B$82)&gt;=0,SUM($B$82)&lt;=1,SUM($B$83)&gt;=0)),IF(B602=0,0,IF(C602=0,B602/ROUND($B$81*12,0),B602*(C602/12)/(1-(1+C602/12)^(-ROUND($B$81*12,0))))),IF(AND(NOT(AND(202&gt;$B$173,$B$78="Refinance",ISNUMBER($B$80),$B$80&gt;=0,$B$80&lt;=1,ROUND($B$81*12,0)&gt;=1,$B$81&lt;=100,SUM($B$82)&gt;=0,SUM($B$82)&lt;=1,SUM($B$83)&gt;=0)),OR(202=1,202=$B$174+1,AND($B$175&gt;0,202=$B$175+1))),IF(AND($B$170=1,$B$66&gt;0,OR($B$175=0,202&lt;=$B$175)),$B$66,IF($B$172-MAX(202-1,$B$174)&gt;0,IF(B602=0,0,IF(C602=0,B602/($B$172-MAX(202-1,$B$174)),B602*(C602/12)/(1-(1+C602/12)^(-($B$172-MAX(202-1,$B$174)))))),"")),D601)))),""),""))</x:f>
        <x:v>4679.450723240598</x:v>
      </x:c>
      <x:c r="E602" s="440" t="n">
        <x:f>IF(AND(202=$B$173,ISNUMBER(D602)),IF(MAX(0,B602*(1+C602/12)-D602)&lt;MAX(0.0000001,$E$17*0.00000000001),0,MAX(0,B602*(1+C602/12)-D602)),0)</x:f>
        <x:v>0</x:v>
      </x:c>
      <x:c r="F602" s="440" t="n">
        <x:f>IF($B$78="Cash payoff",E602,0)</x:f>
        <x:v>0</x:v>
      </x:c>
      <x:c r="G602" s="440" t="n">
        <x:f>IF(AND(E602&gt;0,AND($B$78="Refinance",ISNUMBER($B$80),$B$80&gt;=0,$B$80&lt;=1,ROUND($B$81*12,0)&gt;=1,$B$81&lt;=100,SUM($B$82)&gt;=0,SUM($B$82)&lt;=1,SUM($B$83)&gt;=0)),E602*SUM($B$82)+SUM($B$83),0)</x:f>
        <x:v>0</x:v>
      </x:c>
      <x:c r="H602" s="440" t="n">
        <x:f>IF(ISNUMBER(D602),IF(MAX(0,B602*(1+C602/12)-D602-F602)&lt;MAX(0.0000001,$E$17*0.00000000001),0,MAX(0,B602*(1+C602/12)-D602-F602)),IF(AND($B$171=1,I601=1),B602,""))</x:f>
        <x:v>503055.6732941994</x:v>
      </x:c>
      <x:c r="I602" s="444" t="n">
        <x:f>IF(OR(I601=1,AND(E602&gt;0,$B$78&lt;&gt;"Cash payoff",NOT(AND($B$78="Refinance",ISNUMBER($B$80),$B$80&gt;=0,$B$80&lt;=1,ROUND($B$81*12,0)&gt;=1,$B$81&lt;=100,SUM($B$82)&gt;=0,SUM($B$82)&lt;=1,SUM($B$83)&gt;=0))),AND(ISNUMBER(B602),B602&gt;0,$B$171=1,NOT(ISNUMBER(D602)))),1,0)</x:f>
        <x:v>0</x:v>
      </x:c>
      <x:c r="J602" s="440" t="n">
        <x:f>IF(ISNUMBER(L601),L601,"")</x:f>
        <x:v>0</x:v>
      </x:c>
      <x:c r="K602" s="440" t="n">
        <x:f>IF(AND(ISNUMBER(J602),J602=0),0,IF(AND($B$176=1,ISNUMBER(J602)),MIN(J602*(1+$B$87/12),IF($B$86=0,0,IF($B$87=0,$B$86/ROUND($B$88*12,0),$B$86*($B$87/12)/(1-(1+$B$87/12)^(-ROUND($B$88*12,0)))))),""))</x:f>
        <x:v>0</x:v>
      </x:c>
      <x:c r="L602" s="440" t="n">
        <x:f>IF(ISNUMBER(K602),IF(MAX(0,J602*(1+SUM($B$87)/12)-K602)&lt;MAX(0.0000001,$B$86*0.00000000001),0,MAX(0,J602*(1+SUM($B$87)/12)-K602)),"")</x:f>
        <x:v>0</x:v>
      </x:c>
      <x:c r="M602" s="440" t="n">
        <x:f>IF(AND(ISNUMBER(D602),ISNUMBER(K602)),D602+K602,"")</x:f>
        <x:v>4679.450723240598</x:v>
      </x:c>
      <x:c r="N602" s="440" t="n">
        <x:f>IF(AND(ISNUMBER(H602),ISNUMBER(L602)),H602+L602,"")</x:f>
        <x:v>503055.6732941994</x:v>
      </x:c>
    </x:row>
    <x:row r="603" ht="22" customHeight="1">
      <x:c r="A603" s="254" t="n">
        <x:f>203</x:f>
        <x:v>203</x:v>
      </x:c>
      <x:c r="B603" s="440" t="n">
        <x:f>IF(ISNUMBER(H602),H602,"")</x:f>
        <x:v>503055.6732941994</x:v>
      </x:c>
      <x:c r="C603" s="442" t="n">
        <x:f>IF(ISNUMBER(B603),IF(AND(203&gt;$B$173,$B$78="Refinance",ISNUMBER($B$80),$B$80&gt;=0,$B$80&lt;=1,ROUND($B$81*12,0)&gt;=1,$B$81&lt;=100,SUM($B$82)&gt;=0,SUM($B$82)&lt;=1,SUM($B$83)&gt;=0),$B$80,IF(AND($B$175&gt;0,203&gt;$B$175,ISNUMBER($B$75)),$B$75,$B$61)),"")</x:f>
        <x:v>0.0625</x:v>
      </x:c>
      <x:c r="D603" s="440" t="n">
        <x:f>IF(AND(ISNUMBER(B603),B603=0),0,IF(AND($B$171=1,I602=0,ISNUMBER(C603),ISNUMBER(IF(AND(203&lt;=$B$174,203&lt;=$B$173),B603*C603/12,IF(AND(203=$B$173+1,AND(203&gt;$B$173,$B$78="Refinance",ISNUMBER($B$80),$B$80&gt;=0,$B$80&lt;=1,ROUND($B$81*12,0)&gt;=1,$B$81&lt;=100,SUM($B$82)&gt;=0,SUM($B$82)&lt;=1,SUM($B$83)&gt;=0)),IF(B603=0,0,IF(C603=0,B603/ROUND($B$81*12,0),B603*(C603/12)/(1-(1+C603/12)^(-ROUND($B$81*12,0))))),IF(AND(NOT(AND(203&gt;$B$173,$B$78="Refinance",ISNUMBER($B$80),$B$80&gt;=0,$B$80&lt;=1,ROUND($B$81*12,0)&gt;=1,$B$81&lt;=100,SUM($B$82)&gt;=0,SUM($B$82)&lt;=1,SUM($B$83)&gt;=0)),OR(203=1,203=$B$174+1,AND($B$175&gt;0,203=$B$175+1))),IF(AND($B$170=1,$B$66&gt;0,OR($B$175=0,203&lt;=$B$175)),$B$66,IF($B$172-MAX(203-1,$B$174)&gt;0,IF(B603=0,0,IF(C603=0,B603/($B$172-MAX(203-1,$B$174)),B603*(C603/12)/(1-(1+C603/12)^(-($B$172-MAX(203-1,$B$174)))))),"")),D602))))),IF(IF(AND(203&lt;=$B$174,203&lt;=$B$173),B603*C603/12,IF(AND(203=$B$173+1,AND(203&gt;$B$173,$B$78="Refinance",ISNUMBER($B$80),$B$80&gt;=0,$B$80&lt;=1,ROUND($B$81*12,0)&gt;=1,$B$81&lt;=100,SUM($B$82)&gt;=0,SUM($B$82)&lt;=1,SUM($B$83)&gt;=0)),IF(B603=0,0,IF(C603=0,B603/ROUND($B$81*12,0),B603*(C603/12)/(1-(1+C603/12)^(-ROUND($B$81*12,0))))),IF(AND(NOT(AND(203&gt;$B$173,$B$78="Refinance",ISNUMBER($B$80),$B$80&gt;=0,$B$80&lt;=1,ROUND($B$81*12,0)&gt;=1,$B$81&lt;=100,SUM($B$82)&gt;=0,SUM($B$82)&lt;=1,SUM($B$83)&gt;=0)),OR(203=1,203=$B$174+1,AND($B$175&gt;0,203=$B$175+1))),IF(AND($B$170=1,$B$66&gt;0,OR($B$175=0,203&lt;=$B$175)),$B$66,IF($B$172-MAX(203-1,$B$174)&gt;0,IF(B603=0,0,IF(C603=0,B603/($B$172-MAX(203-1,$B$174)),B603*(C603/12)/(1-(1+C603/12)^(-($B$172-MAX(203-1,$B$174)))))),"")),D602)))+0.0000001&gt;=B603*C603/12,MIN(B603*(1+C603/12),IF(AND(203&lt;=$B$174,203&lt;=$B$173),B603*C603/12,IF(AND(203=$B$173+1,AND(203&gt;$B$173,$B$78="Refinance",ISNUMBER($B$80),$B$80&gt;=0,$B$80&lt;=1,ROUND($B$81*12,0)&gt;=1,$B$81&lt;=100,SUM($B$82)&gt;=0,SUM($B$82)&lt;=1,SUM($B$83)&gt;=0)),IF(B603=0,0,IF(C603=0,B603/ROUND($B$81*12,0),B603*(C603/12)/(1-(1+C603/12)^(-ROUND($B$81*12,0))))),IF(AND(NOT(AND(203&gt;$B$173,$B$78="Refinance",ISNUMBER($B$80),$B$80&gt;=0,$B$80&lt;=1,ROUND($B$81*12,0)&gt;=1,$B$81&lt;=100,SUM($B$82)&gt;=0,SUM($B$82)&lt;=1,SUM($B$83)&gt;=0)),OR(203=1,203=$B$174+1,AND($B$175&gt;0,203=$B$175+1))),IF(AND($B$170=1,$B$66&gt;0,OR($B$175=0,203&lt;=$B$175)),$B$66,IF($B$172-MAX(203-1,$B$174)&gt;0,IF(B603=0,0,IF(C603=0,B603/($B$172-MAX(203-1,$B$174)),B603*(C603/12)/(1-(1+C603/12)^(-($B$172-MAX(203-1,$B$174)))))),"")),D602)))),""),""))</x:f>
        <x:v>4679.450723240598</x:v>
      </x:c>
      <x:c r="E603" s="440" t="n">
        <x:f>IF(AND(203=$B$173,ISNUMBER(D603)),IF(MAX(0,B603*(1+C603/12)-D603)&lt;MAX(0.0000001,$E$17*0.00000000001),0,MAX(0,B603*(1+C603/12)-D603)),0)</x:f>
        <x:v>0</x:v>
      </x:c>
      <x:c r="F603" s="440" t="n">
        <x:f>IF($B$78="Cash payoff",E603,0)</x:f>
        <x:v>0</x:v>
      </x:c>
      <x:c r="G603" s="440" t="n">
        <x:f>IF(AND(E603&gt;0,AND($B$78="Refinance",ISNUMBER($B$80),$B$80&gt;=0,$B$80&lt;=1,ROUND($B$81*12,0)&gt;=1,$B$81&lt;=100,SUM($B$82)&gt;=0,SUM($B$82)&lt;=1,SUM($B$83)&gt;=0)),E603*SUM($B$82)+SUM($B$83),0)</x:f>
        <x:v>0</x:v>
      </x:c>
      <x:c r="H603" s="440" t="n">
        <x:f>IF(ISNUMBER(D603),IF(MAX(0,B603*(1+C603/12)-D603-F603)&lt;MAX(0.0000001,$E$17*0.00000000001),0,MAX(0,B603*(1+C603/12)-D603-F603)),IF(AND($B$171=1,I602=1),B603,""))</x:f>
        <x:v>500996.3042026994</x:v>
      </x:c>
      <x:c r="I603" s="444" t="n">
        <x:f>IF(OR(I602=1,AND(E603&gt;0,$B$78&lt;&gt;"Cash payoff",NOT(AND($B$78="Refinance",ISNUMBER($B$80),$B$80&gt;=0,$B$80&lt;=1,ROUND($B$81*12,0)&gt;=1,$B$81&lt;=100,SUM($B$82)&gt;=0,SUM($B$82)&lt;=1,SUM($B$83)&gt;=0))),AND(ISNUMBER(B603),B603&gt;0,$B$171=1,NOT(ISNUMBER(D603)))),1,0)</x:f>
        <x:v>0</x:v>
      </x:c>
      <x:c r="J603" s="440" t="n">
        <x:f>IF(ISNUMBER(L602),L602,"")</x:f>
        <x:v>0</x:v>
      </x:c>
      <x:c r="K603" s="440" t="n">
        <x:f>IF(AND(ISNUMBER(J603),J603=0),0,IF(AND($B$176=1,ISNUMBER(J603)),MIN(J603*(1+$B$87/12),IF($B$86=0,0,IF($B$87=0,$B$86/ROUND($B$88*12,0),$B$86*($B$87/12)/(1-(1+$B$87/12)^(-ROUND($B$88*12,0)))))),""))</x:f>
        <x:v>0</x:v>
      </x:c>
      <x:c r="L603" s="440" t="n">
        <x:f>IF(ISNUMBER(K603),IF(MAX(0,J603*(1+SUM($B$87)/12)-K603)&lt;MAX(0.0000001,$B$86*0.00000000001),0,MAX(0,J603*(1+SUM($B$87)/12)-K603)),"")</x:f>
        <x:v>0</x:v>
      </x:c>
      <x:c r="M603" s="440" t="n">
        <x:f>IF(AND(ISNUMBER(D603),ISNUMBER(K603)),D603+K603,"")</x:f>
        <x:v>4679.450723240598</x:v>
      </x:c>
      <x:c r="N603" s="440" t="n">
        <x:f>IF(AND(ISNUMBER(H603),ISNUMBER(L603)),H603+L603,"")</x:f>
        <x:v>500996.3042026994</x:v>
      </x:c>
    </x:row>
    <x:row r="604" ht="22" customHeight="1">
      <x:c r="A604" s="254" t="n">
        <x:f>204</x:f>
        <x:v>204</x:v>
      </x:c>
      <x:c r="B604" s="440" t="n">
        <x:f>IF(ISNUMBER(H603),H603,"")</x:f>
        <x:v>500996.3042026994</x:v>
      </x:c>
      <x:c r="C604" s="442" t="n">
        <x:f>IF(ISNUMBER(B604),IF(AND(204&gt;$B$173,$B$78="Refinance",ISNUMBER($B$80),$B$80&gt;=0,$B$80&lt;=1,ROUND($B$81*12,0)&gt;=1,$B$81&lt;=100,SUM($B$82)&gt;=0,SUM($B$82)&lt;=1,SUM($B$83)&gt;=0),$B$80,IF(AND($B$175&gt;0,204&gt;$B$175,ISNUMBER($B$75)),$B$75,$B$61)),"")</x:f>
        <x:v>0.0625</x:v>
      </x:c>
      <x:c r="D604" s="440" t="n">
        <x:f>IF(AND(ISNUMBER(B604),B604=0),0,IF(AND($B$171=1,I603=0,ISNUMBER(C604),ISNUMBER(IF(AND(204&lt;=$B$174,204&lt;=$B$173),B604*C604/12,IF(AND(204=$B$173+1,AND(204&gt;$B$173,$B$78="Refinance",ISNUMBER($B$80),$B$80&gt;=0,$B$80&lt;=1,ROUND($B$81*12,0)&gt;=1,$B$81&lt;=100,SUM($B$82)&gt;=0,SUM($B$82)&lt;=1,SUM($B$83)&gt;=0)),IF(B604=0,0,IF(C604=0,B604/ROUND($B$81*12,0),B604*(C604/12)/(1-(1+C604/12)^(-ROUND($B$81*12,0))))),IF(AND(NOT(AND(204&gt;$B$173,$B$78="Refinance",ISNUMBER($B$80),$B$80&gt;=0,$B$80&lt;=1,ROUND($B$81*12,0)&gt;=1,$B$81&lt;=100,SUM($B$82)&gt;=0,SUM($B$82)&lt;=1,SUM($B$83)&gt;=0)),OR(204=1,204=$B$174+1,AND($B$175&gt;0,204=$B$175+1))),IF(AND($B$170=1,$B$66&gt;0,OR($B$175=0,204&lt;=$B$175)),$B$66,IF($B$172-MAX(204-1,$B$174)&gt;0,IF(B604=0,0,IF(C604=0,B604/($B$172-MAX(204-1,$B$174)),B604*(C604/12)/(1-(1+C604/12)^(-($B$172-MAX(204-1,$B$174)))))),"")),D603))))),IF(IF(AND(204&lt;=$B$174,204&lt;=$B$173),B604*C604/12,IF(AND(204=$B$173+1,AND(204&gt;$B$173,$B$78="Refinance",ISNUMBER($B$80),$B$80&gt;=0,$B$80&lt;=1,ROUND($B$81*12,0)&gt;=1,$B$81&lt;=100,SUM($B$82)&gt;=0,SUM($B$82)&lt;=1,SUM($B$83)&gt;=0)),IF(B604=0,0,IF(C604=0,B604/ROUND($B$81*12,0),B604*(C604/12)/(1-(1+C604/12)^(-ROUND($B$81*12,0))))),IF(AND(NOT(AND(204&gt;$B$173,$B$78="Refinance",ISNUMBER($B$80),$B$80&gt;=0,$B$80&lt;=1,ROUND($B$81*12,0)&gt;=1,$B$81&lt;=100,SUM($B$82)&gt;=0,SUM($B$82)&lt;=1,SUM($B$83)&gt;=0)),OR(204=1,204=$B$174+1,AND($B$175&gt;0,204=$B$175+1))),IF(AND($B$170=1,$B$66&gt;0,OR($B$175=0,204&lt;=$B$175)),$B$66,IF($B$172-MAX(204-1,$B$174)&gt;0,IF(B604=0,0,IF(C604=0,B604/($B$172-MAX(204-1,$B$174)),B604*(C604/12)/(1-(1+C604/12)^(-($B$172-MAX(204-1,$B$174)))))),"")),D603)))+0.0000001&gt;=B604*C604/12,MIN(B604*(1+C604/12),IF(AND(204&lt;=$B$174,204&lt;=$B$173),B604*C604/12,IF(AND(204=$B$173+1,AND(204&gt;$B$173,$B$78="Refinance",ISNUMBER($B$80),$B$80&gt;=0,$B$80&lt;=1,ROUND($B$81*12,0)&gt;=1,$B$81&lt;=100,SUM($B$82)&gt;=0,SUM($B$82)&lt;=1,SUM($B$83)&gt;=0)),IF(B604=0,0,IF(C604=0,B604/ROUND($B$81*12,0),B604*(C604/12)/(1-(1+C604/12)^(-ROUND($B$81*12,0))))),IF(AND(NOT(AND(204&gt;$B$173,$B$78="Refinance",ISNUMBER($B$80),$B$80&gt;=0,$B$80&lt;=1,ROUND($B$81*12,0)&gt;=1,$B$81&lt;=100,SUM($B$82)&gt;=0,SUM($B$82)&lt;=1,SUM($B$83)&gt;=0)),OR(204=1,204=$B$174+1,AND($B$175&gt;0,204=$B$175+1))),IF(AND($B$170=1,$B$66&gt;0,OR($B$175=0,204&lt;=$B$175)),$B$66,IF($B$172-MAX(204-1,$B$174)&gt;0,IF(B604=0,0,IF(C604=0,B604/($B$172-MAX(204-1,$B$174)),B604*(C604/12)/(1-(1+C604/12)^(-($B$172-MAX(204-1,$B$174)))))),"")),D603)))),""),""))</x:f>
        <x:v>4679.450723240598</x:v>
      </x:c>
      <x:c r="E604" s="440" t="n">
        <x:f>IF(AND(204=$B$173,ISNUMBER(D604)),IF(MAX(0,B604*(1+C604/12)-D604)&lt;MAX(0.0000001,$E$17*0.00000000001),0,MAX(0,B604*(1+C604/12)-D604)),0)</x:f>
        <x:v>0</x:v>
      </x:c>
      <x:c r="F604" s="440" t="n">
        <x:f>IF($B$78="Cash payoff",E604,0)</x:f>
        <x:v>0</x:v>
      </x:c>
      <x:c r="G604" s="440" t="n">
        <x:f>IF(AND(E604&gt;0,AND($B$78="Refinance",ISNUMBER($B$80),$B$80&gt;=0,$B$80&lt;=1,ROUND($B$81*12,0)&gt;=1,$B$81&lt;=100,SUM($B$82)&gt;=0,SUM($B$82)&lt;=1,SUM($B$83)&gt;=0)),E604*SUM($B$82)+SUM($B$83),0)</x:f>
        <x:v>0</x:v>
      </x:c>
      <x:c r="H604" s="440" t="n">
        <x:f>IF(ISNUMBER(D604),IF(MAX(0,B604*(1+C604/12)-D604-F604)&lt;MAX(0.0000001,$E$17*0.00000000001),0,MAX(0,B604*(1+C604/12)-D604-F604)),IF(AND($B$171=1,I603=1),B604,""))</x:f>
        <x:v>498926.2092305145</x:v>
      </x:c>
      <x:c r="I604" s="444" t="n">
        <x:f>IF(OR(I603=1,AND(E604&gt;0,$B$78&lt;&gt;"Cash payoff",NOT(AND($B$78="Refinance",ISNUMBER($B$80),$B$80&gt;=0,$B$80&lt;=1,ROUND($B$81*12,0)&gt;=1,$B$81&lt;=100,SUM($B$82)&gt;=0,SUM($B$82)&lt;=1,SUM($B$83)&gt;=0))),AND(ISNUMBER(B604),B604&gt;0,$B$171=1,NOT(ISNUMBER(D604)))),1,0)</x:f>
        <x:v>0</x:v>
      </x:c>
      <x:c r="J604" s="440" t="n">
        <x:f>IF(ISNUMBER(L603),L603,"")</x:f>
        <x:v>0</x:v>
      </x:c>
      <x:c r="K604" s="440" t="n">
        <x:f>IF(AND(ISNUMBER(J604),J604=0),0,IF(AND($B$176=1,ISNUMBER(J604)),MIN(J604*(1+$B$87/12),IF($B$86=0,0,IF($B$87=0,$B$86/ROUND($B$88*12,0),$B$86*($B$87/12)/(1-(1+$B$87/12)^(-ROUND($B$88*12,0)))))),""))</x:f>
        <x:v>0</x:v>
      </x:c>
      <x:c r="L604" s="440" t="n">
        <x:f>IF(ISNUMBER(K604),IF(MAX(0,J604*(1+SUM($B$87)/12)-K604)&lt;MAX(0.0000001,$B$86*0.00000000001),0,MAX(0,J604*(1+SUM($B$87)/12)-K604)),"")</x:f>
        <x:v>0</x:v>
      </x:c>
      <x:c r="M604" s="440" t="n">
        <x:f>IF(AND(ISNUMBER(D604),ISNUMBER(K604)),D604+K604,"")</x:f>
        <x:v>4679.450723240598</x:v>
      </x:c>
      <x:c r="N604" s="440" t="n">
        <x:f>IF(AND(ISNUMBER(H604),ISNUMBER(L604)),H604+L604,"")</x:f>
        <x:v>498926.2092305145</x:v>
      </x:c>
    </x:row>
    <x:row r="605" ht="22" customHeight="1">
      <x:c r="A605" s="254" t="n">
        <x:f>205</x:f>
        <x:v>205</x:v>
      </x:c>
      <x:c r="B605" s="440" t="n">
        <x:f>IF(ISNUMBER(H604),H604,"")</x:f>
        <x:v>498926.2092305145</x:v>
      </x:c>
      <x:c r="C605" s="442" t="n">
        <x:f>IF(ISNUMBER(B605),IF(AND(205&gt;$B$173,$B$78="Refinance",ISNUMBER($B$80),$B$80&gt;=0,$B$80&lt;=1,ROUND($B$81*12,0)&gt;=1,$B$81&lt;=100,SUM($B$82)&gt;=0,SUM($B$82)&lt;=1,SUM($B$83)&gt;=0),$B$80,IF(AND($B$175&gt;0,205&gt;$B$175,ISNUMBER($B$75)),$B$75,$B$61)),"")</x:f>
        <x:v>0.0625</x:v>
      </x:c>
      <x:c r="D605" s="440" t="n">
        <x:f>IF(AND(ISNUMBER(B605),B605=0),0,IF(AND($B$171=1,I604=0,ISNUMBER(C605),ISNUMBER(IF(AND(205&lt;=$B$174,205&lt;=$B$173),B605*C605/12,IF(AND(205=$B$173+1,AND(205&gt;$B$173,$B$78="Refinance",ISNUMBER($B$80),$B$80&gt;=0,$B$80&lt;=1,ROUND($B$81*12,0)&gt;=1,$B$81&lt;=100,SUM($B$82)&gt;=0,SUM($B$82)&lt;=1,SUM($B$83)&gt;=0)),IF(B605=0,0,IF(C605=0,B605/ROUND($B$81*12,0),B605*(C605/12)/(1-(1+C605/12)^(-ROUND($B$81*12,0))))),IF(AND(NOT(AND(205&gt;$B$173,$B$78="Refinance",ISNUMBER($B$80),$B$80&gt;=0,$B$80&lt;=1,ROUND($B$81*12,0)&gt;=1,$B$81&lt;=100,SUM($B$82)&gt;=0,SUM($B$82)&lt;=1,SUM($B$83)&gt;=0)),OR(205=1,205=$B$174+1,AND($B$175&gt;0,205=$B$175+1))),IF(AND($B$170=1,$B$66&gt;0,OR($B$175=0,205&lt;=$B$175)),$B$66,IF($B$172-MAX(205-1,$B$174)&gt;0,IF(B605=0,0,IF(C605=0,B605/($B$172-MAX(205-1,$B$174)),B605*(C605/12)/(1-(1+C605/12)^(-($B$172-MAX(205-1,$B$174)))))),"")),D604))))),IF(IF(AND(205&lt;=$B$174,205&lt;=$B$173),B605*C605/12,IF(AND(205=$B$173+1,AND(205&gt;$B$173,$B$78="Refinance",ISNUMBER($B$80),$B$80&gt;=0,$B$80&lt;=1,ROUND($B$81*12,0)&gt;=1,$B$81&lt;=100,SUM($B$82)&gt;=0,SUM($B$82)&lt;=1,SUM($B$83)&gt;=0)),IF(B605=0,0,IF(C605=0,B605/ROUND($B$81*12,0),B605*(C605/12)/(1-(1+C605/12)^(-ROUND($B$81*12,0))))),IF(AND(NOT(AND(205&gt;$B$173,$B$78="Refinance",ISNUMBER($B$80),$B$80&gt;=0,$B$80&lt;=1,ROUND($B$81*12,0)&gt;=1,$B$81&lt;=100,SUM($B$82)&gt;=0,SUM($B$82)&lt;=1,SUM($B$83)&gt;=0)),OR(205=1,205=$B$174+1,AND($B$175&gt;0,205=$B$175+1))),IF(AND($B$170=1,$B$66&gt;0,OR($B$175=0,205&lt;=$B$175)),$B$66,IF($B$172-MAX(205-1,$B$174)&gt;0,IF(B605=0,0,IF(C605=0,B605/($B$172-MAX(205-1,$B$174)),B605*(C605/12)/(1-(1+C605/12)^(-($B$172-MAX(205-1,$B$174)))))),"")),D604)))+0.0000001&gt;=B605*C605/12,MIN(B605*(1+C605/12),IF(AND(205&lt;=$B$174,205&lt;=$B$173),B605*C605/12,IF(AND(205=$B$173+1,AND(205&gt;$B$173,$B$78="Refinance",ISNUMBER($B$80),$B$80&gt;=0,$B$80&lt;=1,ROUND($B$81*12,0)&gt;=1,$B$81&lt;=100,SUM($B$82)&gt;=0,SUM($B$82)&lt;=1,SUM($B$83)&gt;=0)),IF(B605=0,0,IF(C605=0,B605/ROUND($B$81*12,0),B605*(C605/12)/(1-(1+C605/12)^(-ROUND($B$81*12,0))))),IF(AND(NOT(AND(205&gt;$B$173,$B$78="Refinance",ISNUMBER($B$80),$B$80&gt;=0,$B$80&lt;=1,ROUND($B$81*12,0)&gt;=1,$B$81&lt;=100,SUM($B$82)&gt;=0,SUM($B$82)&lt;=1,SUM($B$83)&gt;=0)),OR(205=1,205=$B$174+1,AND($B$175&gt;0,205=$B$175+1))),IF(AND($B$170=1,$B$66&gt;0,OR($B$175=0,205&lt;=$B$175)),$B$66,IF($B$172-MAX(205-1,$B$174)&gt;0,IF(B605=0,0,IF(C605=0,B605/($B$172-MAX(205-1,$B$174)),B605*(C605/12)/(1-(1+C605/12)^(-($B$172-MAX(205-1,$B$174)))))),"")),D604)))),""),""))</x:f>
        <x:v>4679.450723240598</x:v>
      </x:c>
      <x:c r="E605" s="440" t="n">
        <x:f>IF(AND(205=$B$173,ISNUMBER(D605)),IF(MAX(0,B605*(1+C605/12)-D605)&lt;MAX(0.0000001,$E$17*0.00000000001),0,MAX(0,B605*(1+C605/12)-D605)),0)</x:f>
        <x:v>0</x:v>
      </x:c>
      <x:c r="F605" s="440" t="n">
        <x:f>IF($B$78="Cash payoff",E605,0)</x:f>
        <x:v>0</x:v>
      </x:c>
      <x:c r="G605" s="440" t="n">
        <x:f>IF(AND(E605&gt;0,AND($B$78="Refinance",ISNUMBER($B$80),$B$80&gt;=0,$B$80&lt;=1,ROUND($B$81*12,0)&gt;=1,$B$81&lt;=100,SUM($B$82)&gt;=0,SUM($B$82)&lt;=1,SUM($B$83)&gt;=0)),E605*SUM($B$82)+SUM($B$83),0)</x:f>
        <x:v>0</x:v>
      </x:c>
      <x:c r="H605" s="440" t="n">
        <x:f>IF(ISNUMBER(D605),IF(MAX(0,B605*(1+C605/12)-D605-F605)&lt;MAX(0.0000001,$E$17*0.00000000001),0,MAX(0,B605*(1+C605/12)-D605-F605)),IF(AND($B$171=1,I604=1),B605,""))</x:f>
        <x:v>496845.3325136828</x:v>
      </x:c>
      <x:c r="I605" s="444" t="n">
        <x:f>IF(OR(I604=1,AND(E605&gt;0,$B$78&lt;&gt;"Cash payoff",NOT(AND($B$78="Refinance",ISNUMBER($B$80),$B$80&gt;=0,$B$80&lt;=1,ROUND($B$81*12,0)&gt;=1,$B$81&lt;=100,SUM($B$82)&gt;=0,SUM($B$82)&lt;=1,SUM($B$83)&gt;=0))),AND(ISNUMBER(B605),B605&gt;0,$B$171=1,NOT(ISNUMBER(D605)))),1,0)</x:f>
        <x:v>0</x:v>
      </x:c>
      <x:c r="J605" s="440" t="n">
        <x:f>IF(ISNUMBER(L604),L604,"")</x:f>
        <x:v>0</x:v>
      </x:c>
      <x:c r="K605" s="440" t="n">
        <x:f>IF(AND(ISNUMBER(J605),J605=0),0,IF(AND($B$176=1,ISNUMBER(J605)),MIN(J605*(1+$B$87/12),IF($B$86=0,0,IF($B$87=0,$B$86/ROUND($B$88*12,0),$B$86*($B$87/12)/(1-(1+$B$87/12)^(-ROUND($B$88*12,0)))))),""))</x:f>
        <x:v>0</x:v>
      </x:c>
      <x:c r="L605" s="440" t="n">
        <x:f>IF(ISNUMBER(K605),IF(MAX(0,J605*(1+SUM($B$87)/12)-K605)&lt;MAX(0.0000001,$B$86*0.00000000001),0,MAX(0,J605*(1+SUM($B$87)/12)-K605)),"")</x:f>
        <x:v>0</x:v>
      </x:c>
      <x:c r="M605" s="440" t="n">
        <x:f>IF(AND(ISNUMBER(D605),ISNUMBER(K605)),D605+K605,"")</x:f>
        <x:v>4679.450723240598</x:v>
      </x:c>
      <x:c r="N605" s="440" t="n">
        <x:f>IF(AND(ISNUMBER(H605),ISNUMBER(L605)),H605+L605,"")</x:f>
        <x:v>496845.3325136828</x:v>
      </x:c>
    </x:row>
    <x:row r="606" ht="22" customHeight="1">
      <x:c r="A606" s="254" t="n">
        <x:f>206</x:f>
        <x:v>206</x:v>
      </x:c>
      <x:c r="B606" s="440" t="n">
        <x:f>IF(ISNUMBER(H605),H605,"")</x:f>
        <x:v>496845.3325136828</x:v>
      </x:c>
      <x:c r="C606" s="442" t="n">
        <x:f>IF(ISNUMBER(B606),IF(AND(206&gt;$B$173,$B$78="Refinance",ISNUMBER($B$80),$B$80&gt;=0,$B$80&lt;=1,ROUND($B$81*12,0)&gt;=1,$B$81&lt;=100,SUM($B$82)&gt;=0,SUM($B$82)&lt;=1,SUM($B$83)&gt;=0),$B$80,IF(AND($B$175&gt;0,206&gt;$B$175,ISNUMBER($B$75)),$B$75,$B$61)),"")</x:f>
        <x:v>0.0625</x:v>
      </x:c>
      <x:c r="D606" s="440" t="n">
        <x:f>IF(AND(ISNUMBER(B606),B606=0),0,IF(AND($B$171=1,I605=0,ISNUMBER(C606),ISNUMBER(IF(AND(206&lt;=$B$174,206&lt;=$B$173),B606*C606/12,IF(AND(206=$B$173+1,AND(206&gt;$B$173,$B$78="Refinance",ISNUMBER($B$80),$B$80&gt;=0,$B$80&lt;=1,ROUND($B$81*12,0)&gt;=1,$B$81&lt;=100,SUM($B$82)&gt;=0,SUM($B$82)&lt;=1,SUM($B$83)&gt;=0)),IF(B606=0,0,IF(C606=0,B606/ROUND($B$81*12,0),B606*(C606/12)/(1-(1+C606/12)^(-ROUND($B$81*12,0))))),IF(AND(NOT(AND(206&gt;$B$173,$B$78="Refinance",ISNUMBER($B$80),$B$80&gt;=0,$B$80&lt;=1,ROUND($B$81*12,0)&gt;=1,$B$81&lt;=100,SUM($B$82)&gt;=0,SUM($B$82)&lt;=1,SUM($B$83)&gt;=0)),OR(206=1,206=$B$174+1,AND($B$175&gt;0,206=$B$175+1))),IF(AND($B$170=1,$B$66&gt;0,OR($B$175=0,206&lt;=$B$175)),$B$66,IF($B$172-MAX(206-1,$B$174)&gt;0,IF(B606=0,0,IF(C606=0,B606/($B$172-MAX(206-1,$B$174)),B606*(C606/12)/(1-(1+C606/12)^(-($B$172-MAX(206-1,$B$174)))))),"")),D605))))),IF(IF(AND(206&lt;=$B$174,206&lt;=$B$173),B606*C606/12,IF(AND(206=$B$173+1,AND(206&gt;$B$173,$B$78="Refinance",ISNUMBER($B$80),$B$80&gt;=0,$B$80&lt;=1,ROUND($B$81*12,0)&gt;=1,$B$81&lt;=100,SUM($B$82)&gt;=0,SUM($B$82)&lt;=1,SUM($B$83)&gt;=0)),IF(B606=0,0,IF(C606=0,B606/ROUND($B$81*12,0),B606*(C606/12)/(1-(1+C606/12)^(-ROUND($B$81*12,0))))),IF(AND(NOT(AND(206&gt;$B$173,$B$78="Refinance",ISNUMBER($B$80),$B$80&gt;=0,$B$80&lt;=1,ROUND($B$81*12,0)&gt;=1,$B$81&lt;=100,SUM($B$82)&gt;=0,SUM($B$82)&lt;=1,SUM($B$83)&gt;=0)),OR(206=1,206=$B$174+1,AND($B$175&gt;0,206=$B$175+1))),IF(AND($B$170=1,$B$66&gt;0,OR($B$175=0,206&lt;=$B$175)),$B$66,IF($B$172-MAX(206-1,$B$174)&gt;0,IF(B606=0,0,IF(C606=0,B606/($B$172-MAX(206-1,$B$174)),B606*(C606/12)/(1-(1+C606/12)^(-($B$172-MAX(206-1,$B$174)))))),"")),D605)))+0.0000001&gt;=B606*C606/12,MIN(B606*(1+C606/12),IF(AND(206&lt;=$B$174,206&lt;=$B$173),B606*C606/12,IF(AND(206=$B$173+1,AND(206&gt;$B$173,$B$78="Refinance",ISNUMBER($B$80),$B$80&gt;=0,$B$80&lt;=1,ROUND($B$81*12,0)&gt;=1,$B$81&lt;=100,SUM($B$82)&gt;=0,SUM($B$82)&lt;=1,SUM($B$83)&gt;=0)),IF(B606=0,0,IF(C606=0,B606/ROUND($B$81*12,0),B606*(C606/12)/(1-(1+C606/12)^(-ROUND($B$81*12,0))))),IF(AND(NOT(AND(206&gt;$B$173,$B$78="Refinance",ISNUMBER($B$80),$B$80&gt;=0,$B$80&lt;=1,ROUND($B$81*12,0)&gt;=1,$B$81&lt;=100,SUM($B$82)&gt;=0,SUM($B$82)&lt;=1,SUM($B$83)&gt;=0)),OR(206=1,206=$B$174+1,AND($B$175&gt;0,206=$B$175+1))),IF(AND($B$170=1,$B$66&gt;0,OR($B$175=0,206&lt;=$B$175)),$B$66,IF($B$172-MAX(206-1,$B$174)&gt;0,IF(B606=0,0,IF(C606=0,B606/($B$172-MAX(206-1,$B$174)),B606*(C606/12)/(1-(1+C606/12)^(-($B$172-MAX(206-1,$B$174)))))),"")),D605)))),""),""))</x:f>
        <x:v>4679.450723240598</x:v>
      </x:c>
      <x:c r="E606" s="440" t="n">
        <x:f>IF(AND(206=$B$173,ISNUMBER(D606)),IF(MAX(0,B606*(1+C606/12)-D606)&lt;MAX(0.0000001,$E$17*0.00000000001),0,MAX(0,B606*(1+C606/12)-D606)),0)</x:f>
        <x:v>0</x:v>
      </x:c>
      <x:c r="F606" s="440" t="n">
        <x:f>IF($B$78="Cash payoff",E606,0)</x:f>
        <x:v>0</x:v>
      </x:c>
      <x:c r="G606" s="440" t="n">
        <x:f>IF(AND(E606&gt;0,AND($B$78="Refinance",ISNUMBER($B$80),$B$80&gt;=0,$B$80&lt;=1,ROUND($B$81*12,0)&gt;=1,$B$81&lt;=100,SUM($B$82)&gt;=0,SUM($B$82)&lt;=1,SUM($B$83)&gt;=0)),E606*SUM($B$82)+SUM($B$83),0)</x:f>
        <x:v>0</x:v>
      </x:c>
      <x:c r="H606" s="440" t="n">
        <x:f>IF(ISNUMBER(D606),IF(MAX(0,B606*(1+C606/12)-D606-F606)&lt;MAX(0.0000001,$E$17*0.00000000001),0,MAX(0,B606*(1+C606/12)-D606-F606)),IF(AND($B$171=1,I605=1),B606,""))</x:f>
        <x:v>494753.6178972842</x:v>
      </x:c>
      <x:c r="I606" s="444" t="n">
        <x:f>IF(OR(I605=1,AND(E606&gt;0,$B$78&lt;&gt;"Cash payoff",NOT(AND($B$78="Refinance",ISNUMBER($B$80),$B$80&gt;=0,$B$80&lt;=1,ROUND($B$81*12,0)&gt;=1,$B$81&lt;=100,SUM($B$82)&gt;=0,SUM($B$82)&lt;=1,SUM($B$83)&gt;=0))),AND(ISNUMBER(B606),B606&gt;0,$B$171=1,NOT(ISNUMBER(D606)))),1,0)</x:f>
        <x:v>0</x:v>
      </x:c>
      <x:c r="J606" s="440" t="n">
        <x:f>IF(ISNUMBER(L605),L605,"")</x:f>
        <x:v>0</x:v>
      </x:c>
      <x:c r="K606" s="440" t="n">
        <x:f>IF(AND(ISNUMBER(J606),J606=0),0,IF(AND($B$176=1,ISNUMBER(J606)),MIN(J606*(1+$B$87/12),IF($B$86=0,0,IF($B$87=0,$B$86/ROUND($B$88*12,0),$B$86*($B$87/12)/(1-(1+$B$87/12)^(-ROUND($B$88*12,0)))))),""))</x:f>
        <x:v>0</x:v>
      </x:c>
      <x:c r="L606" s="440" t="n">
        <x:f>IF(ISNUMBER(K606),IF(MAX(0,J606*(1+SUM($B$87)/12)-K606)&lt;MAX(0.0000001,$B$86*0.00000000001),0,MAX(0,J606*(1+SUM($B$87)/12)-K606)),"")</x:f>
        <x:v>0</x:v>
      </x:c>
      <x:c r="M606" s="440" t="n">
        <x:f>IF(AND(ISNUMBER(D606),ISNUMBER(K606)),D606+K606,"")</x:f>
        <x:v>4679.450723240598</x:v>
      </x:c>
      <x:c r="N606" s="440" t="n">
        <x:f>IF(AND(ISNUMBER(H606),ISNUMBER(L606)),H606+L606,"")</x:f>
        <x:v>494753.6178972842</x:v>
      </x:c>
    </x:row>
    <x:row r="607" ht="22" customHeight="1">
      <x:c r="A607" s="254" t="n">
        <x:f>207</x:f>
        <x:v>207</x:v>
      </x:c>
      <x:c r="B607" s="440" t="n">
        <x:f>IF(ISNUMBER(H606),H606,"")</x:f>
        <x:v>494753.6178972842</x:v>
      </x:c>
      <x:c r="C607" s="442" t="n">
        <x:f>IF(ISNUMBER(B607),IF(AND(207&gt;$B$173,$B$78="Refinance",ISNUMBER($B$80),$B$80&gt;=0,$B$80&lt;=1,ROUND($B$81*12,0)&gt;=1,$B$81&lt;=100,SUM($B$82)&gt;=0,SUM($B$82)&lt;=1,SUM($B$83)&gt;=0),$B$80,IF(AND($B$175&gt;0,207&gt;$B$175,ISNUMBER($B$75)),$B$75,$B$61)),"")</x:f>
        <x:v>0.0625</x:v>
      </x:c>
      <x:c r="D607" s="440" t="n">
        <x:f>IF(AND(ISNUMBER(B607),B607=0),0,IF(AND($B$171=1,I606=0,ISNUMBER(C607),ISNUMBER(IF(AND(207&lt;=$B$174,207&lt;=$B$173),B607*C607/12,IF(AND(207=$B$173+1,AND(207&gt;$B$173,$B$78="Refinance",ISNUMBER($B$80),$B$80&gt;=0,$B$80&lt;=1,ROUND($B$81*12,0)&gt;=1,$B$81&lt;=100,SUM($B$82)&gt;=0,SUM($B$82)&lt;=1,SUM($B$83)&gt;=0)),IF(B607=0,0,IF(C607=0,B607/ROUND($B$81*12,0),B607*(C607/12)/(1-(1+C607/12)^(-ROUND($B$81*12,0))))),IF(AND(NOT(AND(207&gt;$B$173,$B$78="Refinance",ISNUMBER($B$80),$B$80&gt;=0,$B$80&lt;=1,ROUND($B$81*12,0)&gt;=1,$B$81&lt;=100,SUM($B$82)&gt;=0,SUM($B$82)&lt;=1,SUM($B$83)&gt;=0)),OR(207=1,207=$B$174+1,AND($B$175&gt;0,207=$B$175+1))),IF(AND($B$170=1,$B$66&gt;0,OR($B$175=0,207&lt;=$B$175)),$B$66,IF($B$172-MAX(207-1,$B$174)&gt;0,IF(B607=0,0,IF(C607=0,B607/($B$172-MAX(207-1,$B$174)),B607*(C607/12)/(1-(1+C607/12)^(-($B$172-MAX(207-1,$B$174)))))),"")),D606))))),IF(IF(AND(207&lt;=$B$174,207&lt;=$B$173),B607*C607/12,IF(AND(207=$B$173+1,AND(207&gt;$B$173,$B$78="Refinance",ISNUMBER($B$80),$B$80&gt;=0,$B$80&lt;=1,ROUND($B$81*12,0)&gt;=1,$B$81&lt;=100,SUM($B$82)&gt;=0,SUM($B$82)&lt;=1,SUM($B$83)&gt;=0)),IF(B607=0,0,IF(C607=0,B607/ROUND($B$81*12,0),B607*(C607/12)/(1-(1+C607/12)^(-ROUND($B$81*12,0))))),IF(AND(NOT(AND(207&gt;$B$173,$B$78="Refinance",ISNUMBER($B$80),$B$80&gt;=0,$B$80&lt;=1,ROUND($B$81*12,0)&gt;=1,$B$81&lt;=100,SUM($B$82)&gt;=0,SUM($B$82)&lt;=1,SUM($B$83)&gt;=0)),OR(207=1,207=$B$174+1,AND($B$175&gt;0,207=$B$175+1))),IF(AND($B$170=1,$B$66&gt;0,OR($B$175=0,207&lt;=$B$175)),$B$66,IF($B$172-MAX(207-1,$B$174)&gt;0,IF(B607=0,0,IF(C607=0,B607/($B$172-MAX(207-1,$B$174)),B607*(C607/12)/(1-(1+C607/12)^(-($B$172-MAX(207-1,$B$174)))))),"")),D606)))+0.0000001&gt;=B607*C607/12,MIN(B607*(1+C607/12),IF(AND(207&lt;=$B$174,207&lt;=$B$173),B607*C607/12,IF(AND(207=$B$173+1,AND(207&gt;$B$173,$B$78="Refinance",ISNUMBER($B$80),$B$80&gt;=0,$B$80&lt;=1,ROUND($B$81*12,0)&gt;=1,$B$81&lt;=100,SUM($B$82)&gt;=0,SUM($B$82)&lt;=1,SUM($B$83)&gt;=0)),IF(B607=0,0,IF(C607=0,B607/ROUND($B$81*12,0),B607*(C607/12)/(1-(1+C607/12)^(-ROUND($B$81*12,0))))),IF(AND(NOT(AND(207&gt;$B$173,$B$78="Refinance",ISNUMBER($B$80),$B$80&gt;=0,$B$80&lt;=1,ROUND($B$81*12,0)&gt;=1,$B$81&lt;=100,SUM($B$82)&gt;=0,SUM($B$82)&lt;=1,SUM($B$83)&gt;=0)),OR(207=1,207=$B$174+1,AND($B$175&gt;0,207=$B$175+1))),IF(AND($B$170=1,$B$66&gt;0,OR($B$175=0,207&lt;=$B$175)),$B$66,IF($B$172-MAX(207-1,$B$174)&gt;0,IF(B607=0,0,IF(C607=0,B607/($B$172-MAX(207-1,$B$174)),B607*(C607/12)/(1-(1+C607/12)^(-($B$172-MAX(207-1,$B$174)))))),"")),D606)))),""),""))</x:f>
        <x:v>4679.450723240598</x:v>
      </x:c>
      <x:c r="E607" s="440" t="n">
        <x:f>IF(AND(207=$B$173,ISNUMBER(D607)),IF(MAX(0,B607*(1+C607/12)-D607)&lt;MAX(0.0000001,$E$17*0.00000000001),0,MAX(0,B607*(1+C607/12)-D607)),0)</x:f>
        <x:v>0</x:v>
      </x:c>
      <x:c r="F607" s="440" t="n">
        <x:f>IF($B$78="Cash payoff",E607,0)</x:f>
        <x:v>0</x:v>
      </x:c>
      <x:c r="G607" s="440" t="n">
        <x:f>IF(AND(E607&gt;0,AND($B$78="Refinance",ISNUMBER($B$80),$B$80&gt;=0,$B$80&lt;=1,ROUND($B$81*12,0)&gt;=1,$B$81&lt;=100,SUM($B$82)&gt;=0,SUM($B$82)&lt;=1,SUM($B$83)&gt;=0)),E607*SUM($B$82)+SUM($B$83),0)</x:f>
        <x:v>0</x:v>
      </x:c>
      <x:c r="H607" s="440" t="n">
        <x:f>IF(ISNUMBER(D607),IF(MAX(0,B607*(1+C607/12)-D607-F607)&lt;MAX(0.0000001,$E$17*0.00000000001),0,MAX(0,B607*(1+C607/12)-D607-F607)),IF(AND($B$171=1,I606=1),B607,""))</x:f>
        <x:v>492651.00893392524</x:v>
      </x:c>
      <x:c r="I607" s="444" t="n">
        <x:f>IF(OR(I606=1,AND(E607&gt;0,$B$78&lt;&gt;"Cash payoff",NOT(AND($B$78="Refinance",ISNUMBER($B$80),$B$80&gt;=0,$B$80&lt;=1,ROUND($B$81*12,0)&gt;=1,$B$81&lt;=100,SUM($B$82)&gt;=0,SUM($B$82)&lt;=1,SUM($B$83)&gt;=0))),AND(ISNUMBER(B607),B607&gt;0,$B$171=1,NOT(ISNUMBER(D607)))),1,0)</x:f>
        <x:v>0</x:v>
      </x:c>
      <x:c r="J607" s="440" t="n">
        <x:f>IF(ISNUMBER(L606),L606,"")</x:f>
        <x:v>0</x:v>
      </x:c>
      <x:c r="K607" s="440" t="n">
        <x:f>IF(AND(ISNUMBER(J607),J607=0),0,IF(AND($B$176=1,ISNUMBER(J607)),MIN(J607*(1+$B$87/12),IF($B$86=0,0,IF($B$87=0,$B$86/ROUND($B$88*12,0),$B$86*($B$87/12)/(1-(1+$B$87/12)^(-ROUND($B$88*12,0)))))),""))</x:f>
        <x:v>0</x:v>
      </x:c>
      <x:c r="L607" s="440" t="n">
        <x:f>IF(ISNUMBER(K607),IF(MAX(0,J607*(1+SUM($B$87)/12)-K607)&lt;MAX(0.0000001,$B$86*0.00000000001),0,MAX(0,J607*(1+SUM($B$87)/12)-K607)),"")</x:f>
        <x:v>0</x:v>
      </x:c>
      <x:c r="M607" s="440" t="n">
        <x:f>IF(AND(ISNUMBER(D607),ISNUMBER(K607)),D607+K607,"")</x:f>
        <x:v>4679.450723240598</x:v>
      </x:c>
      <x:c r="N607" s="440" t="n">
        <x:f>IF(AND(ISNUMBER(H607),ISNUMBER(L607)),H607+L607,"")</x:f>
        <x:v>492651.00893392524</x:v>
      </x:c>
    </x:row>
    <x:row r="608" ht="22" customHeight="1">
      <x:c r="A608" s="254" t="n">
        <x:f>208</x:f>
        <x:v>208</x:v>
      </x:c>
      <x:c r="B608" s="440" t="n">
        <x:f>IF(ISNUMBER(H607),H607,"")</x:f>
        <x:v>492651.00893392524</x:v>
      </x:c>
      <x:c r="C608" s="442" t="n">
        <x:f>IF(ISNUMBER(B608),IF(AND(208&gt;$B$173,$B$78="Refinance",ISNUMBER($B$80),$B$80&gt;=0,$B$80&lt;=1,ROUND($B$81*12,0)&gt;=1,$B$81&lt;=100,SUM($B$82)&gt;=0,SUM($B$82)&lt;=1,SUM($B$83)&gt;=0),$B$80,IF(AND($B$175&gt;0,208&gt;$B$175,ISNUMBER($B$75)),$B$75,$B$61)),"")</x:f>
        <x:v>0.0625</x:v>
      </x:c>
      <x:c r="D608" s="440" t="n">
        <x:f>IF(AND(ISNUMBER(B608),B608=0),0,IF(AND($B$171=1,I607=0,ISNUMBER(C608),ISNUMBER(IF(AND(208&lt;=$B$174,208&lt;=$B$173),B608*C608/12,IF(AND(208=$B$173+1,AND(208&gt;$B$173,$B$78="Refinance",ISNUMBER($B$80),$B$80&gt;=0,$B$80&lt;=1,ROUND($B$81*12,0)&gt;=1,$B$81&lt;=100,SUM($B$82)&gt;=0,SUM($B$82)&lt;=1,SUM($B$83)&gt;=0)),IF(B608=0,0,IF(C608=0,B608/ROUND($B$81*12,0),B608*(C608/12)/(1-(1+C608/12)^(-ROUND($B$81*12,0))))),IF(AND(NOT(AND(208&gt;$B$173,$B$78="Refinance",ISNUMBER($B$80),$B$80&gt;=0,$B$80&lt;=1,ROUND($B$81*12,0)&gt;=1,$B$81&lt;=100,SUM($B$82)&gt;=0,SUM($B$82)&lt;=1,SUM($B$83)&gt;=0)),OR(208=1,208=$B$174+1,AND($B$175&gt;0,208=$B$175+1))),IF(AND($B$170=1,$B$66&gt;0,OR($B$175=0,208&lt;=$B$175)),$B$66,IF($B$172-MAX(208-1,$B$174)&gt;0,IF(B608=0,0,IF(C608=0,B608/($B$172-MAX(208-1,$B$174)),B608*(C608/12)/(1-(1+C608/12)^(-($B$172-MAX(208-1,$B$174)))))),"")),D607))))),IF(IF(AND(208&lt;=$B$174,208&lt;=$B$173),B608*C608/12,IF(AND(208=$B$173+1,AND(208&gt;$B$173,$B$78="Refinance",ISNUMBER($B$80),$B$80&gt;=0,$B$80&lt;=1,ROUND($B$81*12,0)&gt;=1,$B$81&lt;=100,SUM($B$82)&gt;=0,SUM($B$82)&lt;=1,SUM($B$83)&gt;=0)),IF(B608=0,0,IF(C608=0,B608/ROUND($B$81*12,0),B608*(C608/12)/(1-(1+C608/12)^(-ROUND($B$81*12,0))))),IF(AND(NOT(AND(208&gt;$B$173,$B$78="Refinance",ISNUMBER($B$80),$B$80&gt;=0,$B$80&lt;=1,ROUND($B$81*12,0)&gt;=1,$B$81&lt;=100,SUM($B$82)&gt;=0,SUM($B$82)&lt;=1,SUM($B$83)&gt;=0)),OR(208=1,208=$B$174+1,AND($B$175&gt;0,208=$B$175+1))),IF(AND($B$170=1,$B$66&gt;0,OR($B$175=0,208&lt;=$B$175)),$B$66,IF($B$172-MAX(208-1,$B$174)&gt;0,IF(B608=0,0,IF(C608=0,B608/($B$172-MAX(208-1,$B$174)),B608*(C608/12)/(1-(1+C608/12)^(-($B$172-MAX(208-1,$B$174)))))),"")),D607)))+0.0000001&gt;=B608*C608/12,MIN(B608*(1+C608/12),IF(AND(208&lt;=$B$174,208&lt;=$B$173),B608*C608/12,IF(AND(208=$B$173+1,AND(208&gt;$B$173,$B$78="Refinance",ISNUMBER($B$80),$B$80&gt;=0,$B$80&lt;=1,ROUND($B$81*12,0)&gt;=1,$B$81&lt;=100,SUM($B$82)&gt;=0,SUM($B$82)&lt;=1,SUM($B$83)&gt;=0)),IF(B608=0,0,IF(C608=0,B608/ROUND($B$81*12,0),B608*(C608/12)/(1-(1+C608/12)^(-ROUND($B$81*12,0))))),IF(AND(NOT(AND(208&gt;$B$173,$B$78="Refinance",ISNUMBER($B$80),$B$80&gt;=0,$B$80&lt;=1,ROUND($B$81*12,0)&gt;=1,$B$81&lt;=100,SUM($B$82)&gt;=0,SUM($B$82)&lt;=1,SUM($B$83)&gt;=0)),OR(208=1,208=$B$174+1,AND($B$175&gt;0,208=$B$175+1))),IF(AND($B$170=1,$B$66&gt;0,OR($B$175=0,208&lt;=$B$175)),$B$66,IF($B$172-MAX(208-1,$B$174)&gt;0,IF(B608=0,0,IF(C608=0,B608/($B$172-MAX(208-1,$B$174)),B608*(C608/12)/(1-(1+C608/12)^(-($B$172-MAX(208-1,$B$174)))))),"")),D607)))),""),""))</x:f>
        <x:v>4679.450723240598</x:v>
      </x:c>
      <x:c r="E608" s="440" t="n">
        <x:f>IF(AND(208=$B$173,ISNUMBER(D608)),IF(MAX(0,B608*(1+C608/12)-D608)&lt;MAX(0.0000001,$E$17*0.00000000001),0,MAX(0,B608*(1+C608/12)-D608)),0)</x:f>
        <x:v>0</x:v>
      </x:c>
      <x:c r="F608" s="440" t="n">
        <x:f>IF($B$78="Cash payoff",E608,0)</x:f>
        <x:v>0</x:v>
      </x:c>
      <x:c r="G608" s="440" t="n">
        <x:f>IF(AND(E608&gt;0,AND($B$78="Refinance",ISNUMBER($B$80),$B$80&gt;=0,$B$80&lt;=1,ROUND($B$81*12,0)&gt;=1,$B$81&lt;=100,SUM($B$82)&gt;=0,SUM($B$82)&lt;=1,SUM($B$83)&gt;=0)),E608*SUM($B$82)+SUM($B$83),0)</x:f>
        <x:v>0</x:v>
      </x:c>
      <x:c r="H608" s="440" t="n">
        <x:f>IF(ISNUMBER(D608),IF(MAX(0,B608*(1+C608/12)-D608-F608)&lt;MAX(0.0000001,$E$17*0.00000000001),0,MAX(0,B608*(1+C608/12)-D608-F608)),IF(AND($B$171=1,I607=1),B608,""))</x:f>
        <x:v>490537.4488822154</x:v>
      </x:c>
      <x:c r="I608" s="444" t="n">
        <x:f>IF(OR(I607=1,AND(E608&gt;0,$B$78&lt;&gt;"Cash payoff",NOT(AND($B$78="Refinance",ISNUMBER($B$80),$B$80&gt;=0,$B$80&lt;=1,ROUND($B$81*12,0)&gt;=1,$B$81&lt;=100,SUM($B$82)&gt;=0,SUM($B$82)&lt;=1,SUM($B$83)&gt;=0))),AND(ISNUMBER(B608),B608&gt;0,$B$171=1,NOT(ISNUMBER(D608)))),1,0)</x:f>
        <x:v>0</x:v>
      </x:c>
      <x:c r="J608" s="440" t="n">
        <x:f>IF(ISNUMBER(L607),L607,"")</x:f>
        <x:v>0</x:v>
      </x:c>
      <x:c r="K608" s="440" t="n">
        <x:f>IF(AND(ISNUMBER(J608),J608=0),0,IF(AND($B$176=1,ISNUMBER(J608)),MIN(J608*(1+$B$87/12),IF($B$86=0,0,IF($B$87=0,$B$86/ROUND($B$88*12,0),$B$86*($B$87/12)/(1-(1+$B$87/12)^(-ROUND($B$88*12,0)))))),""))</x:f>
        <x:v>0</x:v>
      </x:c>
      <x:c r="L608" s="440" t="n">
        <x:f>IF(ISNUMBER(K608),IF(MAX(0,J608*(1+SUM($B$87)/12)-K608)&lt;MAX(0.0000001,$B$86*0.00000000001),0,MAX(0,J608*(1+SUM($B$87)/12)-K608)),"")</x:f>
        <x:v>0</x:v>
      </x:c>
      <x:c r="M608" s="440" t="n">
        <x:f>IF(AND(ISNUMBER(D608),ISNUMBER(K608)),D608+K608,"")</x:f>
        <x:v>4679.450723240598</x:v>
      </x:c>
      <x:c r="N608" s="440" t="n">
        <x:f>IF(AND(ISNUMBER(H608),ISNUMBER(L608)),H608+L608,"")</x:f>
        <x:v>490537.4488822154</x:v>
      </x:c>
    </x:row>
    <x:row r="609" ht="22" customHeight="1">
      <x:c r="A609" s="254" t="n">
        <x:f>209</x:f>
        <x:v>209</x:v>
      </x:c>
      <x:c r="B609" s="440" t="n">
        <x:f>IF(ISNUMBER(H608),H608,"")</x:f>
        <x:v>490537.4488822154</x:v>
      </x:c>
      <x:c r="C609" s="442" t="n">
        <x:f>IF(ISNUMBER(B609),IF(AND(209&gt;$B$173,$B$78="Refinance",ISNUMBER($B$80),$B$80&gt;=0,$B$80&lt;=1,ROUND($B$81*12,0)&gt;=1,$B$81&lt;=100,SUM($B$82)&gt;=0,SUM($B$82)&lt;=1,SUM($B$83)&gt;=0),$B$80,IF(AND($B$175&gt;0,209&gt;$B$175,ISNUMBER($B$75)),$B$75,$B$61)),"")</x:f>
        <x:v>0.0625</x:v>
      </x:c>
      <x:c r="D609" s="440" t="n">
        <x:f>IF(AND(ISNUMBER(B609),B609=0),0,IF(AND($B$171=1,I608=0,ISNUMBER(C609),ISNUMBER(IF(AND(209&lt;=$B$174,209&lt;=$B$173),B609*C609/12,IF(AND(209=$B$173+1,AND(209&gt;$B$173,$B$78="Refinance",ISNUMBER($B$80),$B$80&gt;=0,$B$80&lt;=1,ROUND($B$81*12,0)&gt;=1,$B$81&lt;=100,SUM($B$82)&gt;=0,SUM($B$82)&lt;=1,SUM($B$83)&gt;=0)),IF(B609=0,0,IF(C609=0,B609/ROUND($B$81*12,0),B609*(C609/12)/(1-(1+C609/12)^(-ROUND($B$81*12,0))))),IF(AND(NOT(AND(209&gt;$B$173,$B$78="Refinance",ISNUMBER($B$80),$B$80&gt;=0,$B$80&lt;=1,ROUND($B$81*12,0)&gt;=1,$B$81&lt;=100,SUM($B$82)&gt;=0,SUM($B$82)&lt;=1,SUM($B$83)&gt;=0)),OR(209=1,209=$B$174+1,AND($B$175&gt;0,209=$B$175+1))),IF(AND($B$170=1,$B$66&gt;0,OR($B$175=0,209&lt;=$B$175)),$B$66,IF($B$172-MAX(209-1,$B$174)&gt;0,IF(B609=0,0,IF(C609=0,B609/($B$172-MAX(209-1,$B$174)),B609*(C609/12)/(1-(1+C609/12)^(-($B$172-MAX(209-1,$B$174)))))),"")),D608))))),IF(IF(AND(209&lt;=$B$174,209&lt;=$B$173),B609*C609/12,IF(AND(209=$B$173+1,AND(209&gt;$B$173,$B$78="Refinance",ISNUMBER($B$80),$B$80&gt;=0,$B$80&lt;=1,ROUND($B$81*12,0)&gt;=1,$B$81&lt;=100,SUM($B$82)&gt;=0,SUM($B$82)&lt;=1,SUM($B$83)&gt;=0)),IF(B609=0,0,IF(C609=0,B609/ROUND($B$81*12,0),B609*(C609/12)/(1-(1+C609/12)^(-ROUND($B$81*12,0))))),IF(AND(NOT(AND(209&gt;$B$173,$B$78="Refinance",ISNUMBER($B$80),$B$80&gt;=0,$B$80&lt;=1,ROUND($B$81*12,0)&gt;=1,$B$81&lt;=100,SUM($B$82)&gt;=0,SUM($B$82)&lt;=1,SUM($B$83)&gt;=0)),OR(209=1,209=$B$174+1,AND($B$175&gt;0,209=$B$175+1))),IF(AND($B$170=1,$B$66&gt;0,OR($B$175=0,209&lt;=$B$175)),$B$66,IF($B$172-MAX(209-1,$B$174)&gt;0,IF(B609=0,0,IF(C609=0,B609/($B$172-MAX(209-1,$B$174)),B609*(C609/12)/(1-(1+C609/12)^(-($B$172-MAX(209-1,$B$174)))))),"")),D608)))+0.0000001&gt;=B609*C609/12,MIN(B609*(1+C609/12),IF(AND(209&lt;=$B$174,209&lt;=$B$173),B609*C609/12,IF(AND(209=$B$173+1,AND(209&gt;$B$173,$B$78="Refinance",ISNUMBER($B$80),$B$80&gt;=0,$B$80&lt;=1,ROUND($B$81*12,0)&gt;=1,$B$81&lt;=100,SUM($B$82)&gt;=0,SUM($B$82)&lt;=1,SUM($B$83)&gt;=0)),IF(B609=0,0,IF(C609=0,B609/ROUND($B$81*12,0),B609*(C609/12)/(1-(1+C609/12)^(-ROUND($B$81*12,0))))),IF(AND(NOT(AND(209&gt;$B$173,$B$78="Refinance",ISNUMBER($B$80),$B$80&gt;=0,$B$80&lt;=1,ROUND($B$81*12,0)&gt;=1,$B$81&lt;=100,SUM($B$82)&gt;=0,SUM($B$82)&lt;=1,SUM($B$83)&gt;=0)),OR(209=1,209=$B$174+1,AND($B$175&gt;0,209=$B$175+1))),IF(AND($B$170=1,$B$66&gt;0,OR($B$175=0,209&lt;=$B$175)),$B$66,IF($B$172-MAX(209-1,$B$174)&gt;0,IF(B609=0,0,IF(C609=0,B609/($B$172-MAX(209-1,$B$174)),B609*(C609/12)/(1-(1+C609/12)^(-($B$172-MAX(209-1,$B$174)))))),"")),D608)))),""),""))</x:f>
        <x:v>4679.450723240598</x:v>
      </x:c>
      <x:c r="E609" s="440" t="n">
        <x:f>IF(AND(209=$B$173,ISNUMBER(D609)),IF(MAX(0,B609*(1+C609/12)-D609)&lt;MAX(0.0000001,$E$17*0.00000000001),0,MAX(0,B609*(1+C609/12)-D609)),0)</x:f>
        <x:v>0</x:v>
      </x:c>
      <x:c r="F609" s="440" t="n">
        <x:f>IF($B$78="Cash payoff",E609,0)</x:f>
        <x:v>0</x:v>
      </x:c>
      <x:c r="G609" s="440" t="n">
        <x:f>IF(AND(E609&gt;0,AND($B$78="Refinance",ISNUMBER($B$80),$B$80&gt;=0,$B$80&lt;=1,ROUND($B$81*12,0)&gt;=1,$B$81&lt;=100,SUM($B$82)&gt;=0,SUM($B$82)&lt;=1,SUM($B$83)&gt;=0)),E609*SUM($B$82)+SUM($B$83),0)</x:f>
        <x:v>0</x:v>
      </x:c>
      <x:c r="H609" s="440" t="n">
        <x:f>IF(ISNUMBER(D609),IF(MAX(0,B609*(1+C609/12)-D609-F609)&lt;MAX(0.0000001,$E$17*0.00000000001),0,MAX(0,B609*(1+C609/12)-D609-F609)),IF(AND($B$171=1,I608=1),B609,""))</x:f>
        <x:v>488412.8807052363</x:v>
      </x:c>
      <x:c r="I609" s="444" t="n">
        <x:f>IF(OR(I608=1,AND(E609&gt;0,$B$78&lt;&gt;"Cash payoff",NOT(AND($B$78="Refinance",ISNUMBER($B$80),$B$80&gt;=0,$B$80&lt;=1,ROUND($B$81*12,0)&gt;=1,$B$81&lt;=100,SUM($B$82)&gt;=0,SUM($B$82)&lt;=1,SUM($B$83)&gt;=0))),AND(ISNUMBER(B609),B609&gt;0,$B$171=1,NOT(ISNUMBER(D609)))),1,0)</x:f>
        <x:v>0</x:v>
      </x:c>
      <x:c r="J609" s="440" t="n">
        <x:f>IF(ISNUMBER(L608),L608,"")</x:f>
        <x:v>0</x:v>
      </x:c>
      <x:c r="K609" s="440" t="n">
        <x:f>IF(AND(ISNUMBER(J609),J609=0),0,IF(AND($B$176=1,ISNUMBER(J609)),MIN(J609*(1+$B$87/12),IF($B$86=0,0,IF($B$87=0,$B$86/ROUND($B$88*12,0),$B$86*($B$87/12)/(1-(1+$B$87/12)^(-ROUND($B$88*12,0)))))),""))</x:f>
        <x:v>0</x:v>
      </x:c>
      <x:c r="L609" s="440" t="n">
        <x:f>IF(ISNUMBER(K609),IF(MAX(0,J609*(1+SUM($B$87)/12)-K609)&lt;MAX(0.0000001,$B$86*0.00000000001),0,MAX(0,J609*(1+SUM($B$87)/12)-K609)),"")</x:f>
        <x:v>0</x:v>
      </x:c>
      <x:c r="M609" s="440" t="n">
        <x:f>IF(AND(ISNUMBER(D609),ISNUMBER(K609)),D609+K609,"")</x:f>
        <x:v>4679.450723240598</x:v>
      </x:c>
      <x:c r="N609" s="440" t="n">
        <x:f>IF(AND(ISNUMBER(H609),ISNUMBER(L609)),H609+L609,"")</x:f>
        <x:v>488412.8807052363</x:v>
      </x:c>
    </x:row>
    <x:row r="610" ht="22" customHeight="1">
      <x:c r="A610" s="254" t="n">
        <x:f>210</x:f>
        <x:v>210</x:v>
      </x:c>
      <x:c r="B610" s="440" t="n">
        <x:f>IF(ISNUMBER(H609),H609,"")</x:f>
        <x:v>488412.8807052363</x:v>
      </x:c>
      <x:c r="C610" s="442" t="n">
        <x:f>IF(ISNUMBER(B610),IF(AND(210&gt;$B$173,$B$78="Refinance",ISNUMBER($B$80),$B$80&gt;=0,$B$80&lt;=1,ROUND($B$81*12,0)&gt;=1,$B$81&lt;=100,SUM($B$82)&gt;=0,SUM($B$82)&lt;=1,SUM($B$83)&gt;=0),$B$80,IF(AND($B$175&gt;0,210&gt;$B$175,ISNUMBER($B$75)),$B$75,$B$61)),"")</x:f>
        <x:v>0.0625</x:v>
      </x:c>
      <x:c r="D610" s="440" t="n">
        <x:f>IF(AND(ISNUMBER(B610),B610=0),0,IF(AND($B$171=1,I609=0,ISNUMBER(C610),ISNUMBER(IF(AND(210&lt;=$B$174,210&lt;=$B$173),B610*C610/12,IF(AND(210=$B$173+1,AND(210&gt;$B$173,$B$78="Refinance",ISNUMBER($B$80),$B$80&gt;=0,$B$80&lt;=1,ROUND($B$81*12,0)&gt;=1,$B$81&lt;=100,SUM($B$82)&gt;=0,SUM($B$82)&lt;=1,SUM($B$83)&gt;=0)),IF(B610=0,0,IF(C610=0,B610/ROUND($B$81*12,0),B610*(C610/12)/(1-(1+C610/12)^(-ROUND($B$81*12,0))))),IF(AND(NOT(AND(210&gt;$B$173,$B$78="Refinance",ISNUMBER($B$80),$B$80&gt;=0,$B$80&lt;=1,ROUND($B$81*12,0)&gt;=1,$B$81&lt;=100,SUM($B$82)&gt;=0,SUM($B$82)&lt;=1,SUM($B$83)&gt;=0)),OR(210=1,210=$B$174+1,AND($B$175&gt;0,210=$B$175+1))),IF(AND($B$170=1,$B$66&gt;0,OR($B$175=0,210&lt;=$B$175)),$B$66,IF($B$172-MAX(210-1,$B$174)&gt;0,IF(B610=0,0,IF(C610=0,B610/($B$172-MAX(210-1,$B$174)),B610*(C610/12)/(1-(1+C610/12)^(-($B$172-MAX(210-1,$B$174)))))),"")),D609))))),IF(IF(AND(210&lt;=$B$174,210&lt;=$B$173),B610*C610/12,IF(AND(210=$B$173+1,AND(210&gt;$B$173,$B$78="Refinance",ISNUMBER($B$80),$B$80&gt;=0,$B$80&lt;=1,ROUND($B$81*12,0)&gt;=1,$B$81&lt;=100,SUM($B$82)&gt;=0,SUM($B$82)&lt;=1,SUM($B$83)&gt;=0)),IF(B610=0,0,IF(C610=0,B610/ROUND($B$81*12,0),B610*(C610/12)/(1-(1+C610/12)^(-ROUND($B$81*12,0))))),IF(AND(NOT(AND(210&gt;$B$173,$B$78="Refinance",ISNUMBER($B$80),$B$80&gt;=0,$B$80&lt;=1,ROUND($B$81*12,0)&gt;=1,$B$81&lt;=100,SUM($B$82)&gt;=0,SUM($B$82)&lt;=1,SUM($B$83)&gt;=0)),OR(210=1,210=$B$174+1,AND($B$175&gt;0,210=$B$175+1))),IF(AND($B$170=1,$B$66&gt;0,OR($B$175=0,210&lt;=$B$175)),$B$66,IF($B$172-MAX(210-1,$B$174)&gt;0,IF(B610=0,0,IF(C610=0,B610/($B$172-MAX(210-1,$B$174)),B610*(C610/12)/(1-(1+C610/12)^(-($B$172-MAX(210-1,$B$174)))))),"")),D609)))+0.0000001&gt;=B610*C610/12,MIN(B610*(1+C610/12),IF(AND(210&lt;=$B$174,210&lt;=$B$173),B610*C610/12,IF(AND(210=$B$173+1,AND(210&gt;$B$173,$B$78="Refinance",ISNUMBER($B$80),$B$80&gt;=0,$B$80&lt;=1,ROUND($B$81*12,0)&gt;=1,$B$81&lt;=100,SUM($B$82)&gt;=0,SUM($B$82)&lt;=1,SUM($B$83)&gt;=0)),IF(B610=0,0,IF(C610=0,B610/ROUND($B$81*12,0),B610*(C610/12)/(1-(1+C610/12)^(-ROUND($B$81*12,0))))),IF(AND(NOT(AND(210&gt;$B$173,$B$78="Refinance",ISNUMBER($B$80),$B$80&gt;=0,$B$80&lt;=1,ROUND($B$81*12,0)&gt;=1,$B$81&lt;=100,SUM($B$82)&gt;=0,SUM($B$82)&lt;=1,SUM($B$83)&gt;=0)),OR(210=1,210=$B$174+1,AND($B$175&gt;0,210=$B$175+1))),IF(AND($B$170=1,$B$66&gt;0,OR($B$175=0,210&lt;=$B$175)),$B$66,IF($B$172-MAX(210-1,$B$174)&gt;0,IF(B610=0,0,IF(C610=0,B610/($B$172-MAX(210-1,$B$174)),B610*(C610/12)/(1-(1+C610/12)^(-($B$172-MAX(210-1,$B$174)))))),"")),D609)))),""),""))</x:f>
        <x:v>4679.450723240598</x:v>
      </x:c>
      <x:c r="E610" s="440" t="n">
        <x:f>IF(AND(210=$B$173,ISNUMBER(D610)),IF(MAX(0,B610*(1+C610/12)-D610)&lt;MAX(0.0000001,$E$17*0.00000000001),0,MAX(0,B610*(1+C610/12)-D610)),0)</x:f>
        <x:v>0</x:v>
      </x:c>
      <x:c r="F610" s="440" t="n">
        <x:f>IF($B$78="Cash payoff",E610,0)</x:f>
        <x:v>0</x:v>
      </x:c>
      <x:c r="G610" s="440" t="n">
        <x:f>IF(AND(E610&gt;0,AND($B$78="Refinance",ISNUMBER($B$80),$B$80&gt;=0,$B$80&lt;=1,ROUND($B$81*12,0)&gt;=1,$B$81&lt;=100,SUM($B$82)&gt;=0,SUM($B$82)&lt;=1,SUM($B$83)&gt;=0)),E610*SUM($B$82)+SUM($B$83),0)</x:f>
        <x:v>0</x:v>
      </x:c>
      <x:c r="H610" s="440" t="n">
        <x:f>IF(ISNUMBER(D610),IF(MAX(0,B610*(1+C610/12)-D610-F610)&lt;MAX(0.0000001,$E$17*0.00000000001),0,MAX(0,B610*(1+C610/12)-D610-F610)),IF(AND($B$171=1,I609=1),B610,""))</x:f>
        <x:v>486277.2470690021</x:v>
      </x:c>
      <x:c r="I610" s="444" t="n">
        <x:f>IF(OR(I609=1,AND(E610&gt;0,$B$78&lt;&gt;"Cash payoff",NOT(AND($B$78="Refinance",ISNUMBER($B$80),$B$80&gt;=0,$B$80&lt;=1,ROUND($B$81*12,0)&gt;=1,$B$81&lt;=100,SUM($B$82)&gt;=0,SUM($B$82)&lt;=1,SUM($B$83)&gt;=0))),AND(ISNUMBER(B610),B610&gt;0,$B$171=1,NOT(ISNUMBER(D610)))),1,0)</x:f>
        <x:v>0</x:v>
      </x:c>
      <x:c r="J610" s="440" t="n">
        <x:f>IF(ISNUMBER(L609),L609,"")</x:f>
        <x:v>0</x:v>
      </x:c>
      <x:c r="K610" s="440" t="n">
        <x:f>IF(AND(ISNUMBER(J610),J610=0),0,IF(AND($B$176=1,ISNUMBER(J610)),MIN(J610*(1+$B$87/12),IF($B$86=0,0,IF($B$87=0,$B$86/ROUND($B$88*12,0),$B$86*($B$87/12)/(1-(1+$B$87/12)^(-ROUND($B$88*12,0)))))),""))</x:f>
        <x:v>0</x:v>
      </x:c>
      <x:c r="L610" s="440" t="n">
        <x:f>IF(ISNUMBER(K610),IF(MAX(0,J610*(1+SUM($B$87)/12)-K610)&lt;MAX(0.0000001,$B$86*0.00000000001),0,MAX(0,J610*(1+SUM($B$87)/12)-K610)),"")</x:f>
        <x:v>0</x:v>
      </x:c>
      <x:c r="M610" s="440" t="n">
        <x:f>IF(AND(ISNUMBER(D610),ISNUMBER(K610)),D610+K610,"")</x:f>
        <x:v>4679.450723240598</x:v>
      </x:c>
      <x:c r="N610" s="440" t="n">
        <x:f>IF(AND(ISNUMBER(H610),ISNUMBER(L610)),H610+L610,"")</x:f>
        <x:v>486277.2470690021</x:v>
      </x:c>
    </x:row>
    <x:row r="611" ht="22" customHeight="1">
      <x:c r="A611" s="254" t="n">
        <x:f>211</x:f>
        <x:v>211</x:v>
      </x:c>
      <x:c r="B611" s="440" t="n">
        <x:f>IF(ISNUMBER(H610),H610,"")</x:f>
        <x:v>486277.2470690021</x:v>
      </x:c>
      <x:c r="C611" s="442" t="n">
        <x:f>IF(ISNUMBER(B611),IF(AND(211&gt;$B$173,$B$78="Refinance",ISNUMBER($B$80),$B$80&gt;=0,$B$80&lt;=1,ROUND($B$81*12,0)&gt;=1,$B$81&lt;=100,SUM($B$82)&gt;=0,SUM($B$82)&lt;=1,SUM($B$83)&gt;=0),$B$80,IF(AND($B$175&gt;0,211&gt;$B$175,ISNUMBER($B$75)),$B$75,$B$61)),"")</x:f>
        <x:v>0.0625</x:v>
      </x:c>
      <x:c r="D611" s="440" t="n">
        <x:f>IF(AND(ISNUMBER(B611),B611=0),0,IF(AND($B$171=1,I610=0,ISNUMBER(C611),ISNUMBER(IF(AND(211&lt;=$B$174,211&lt;=$B$173),B611*C611/12,IF(AND(211=$B$173+1,AND(211&gt;$B$173,$B$78="Refinance",ISNUMBER($B$80),$B$80&gt;=0,$B$80&lt;=1,ROUND($B$81*12,0)&gt;=1,$B$81&lt;=100,SUM($B$82)&gt;=0,SUM($B$82)&lt;=1,SUM($B$83)&gt;=0)),IF(B611=0,0,IF(C611=0,B611/ROUND($B$81*12,0),B611*(C611/12)/(1-(1+C611/12)^(-ROUND($B$81*12,0))))),IF(AND(NOT(AND(211&gt;$B$173,$B$78="Refinance",ISNUMBER($B$80),$B$80&gt;=0,$B$80&lt;=1,ROUND($B$81*12,0)&gt;=1,$B$81&lt;=100,SUM($B$82)&gt;=0,SUM($B$82)&lt;=1,SUM($B$83)&gt;=0)),OR(211=1,211=$B$174+1,AND($B$175&gt;0,211=$B$175+1))),IF(AND($B$170=1,$B$66&gt;0,OR($B$175=0,211&lt;=$B$175)),$B$66,IF($B$172-MAX(211-1,$B$174)&gt;0,IF(B611=0,0,IF(C611=0,B611/($B$172-MAX(211-1,$B$174)),B611*(C611/12)/(1-(1+C611/12)^(-($B$172-MAX(211-1,$B$174)))))),"")),D610))))),IF(IF(AND(211&lt;=$B$174,211&lt;=$B$173),B611*C611/12,IF(AND(211=$B$173+1,AND(211&gt;$B$173,$B$78="Refinance",ISNUMBER($B$80),$B$80&gt;=0,$B$80&lt;=1,ROUND($B$81*12,0)&gt;=1,$B$81&lt;=100,SUM($B$82)&gt;=0,SUM($B$82)&lt;=1,SUM($B$83)&gt;=0)),IF(B611=0,0,IF(C611=0,B611/ROUND($B$81*12,0),B611*(C611/12)/(1-(1+C611/12)^(-ROUND($B$81*12,0))))),IF(AND(NOT(AND(211&gt;$B$173,$B$78="Refinance",ISNUMBER($B$80),$B$80&gt;=0,$B$80&lt;=1,ROUND($B$81*12,0)&gt;=1,$B$81&lt;=100,SUM($B$82)&gt;=0,SUM($B$82)&lt;=1,SUM($B$83)&gt;=0)),OR(211=1,211=$B$174+1,AND($B$175&gt;0,211=$B$175+1))),IF(AND($B$170=1,$B$66&gt;0,OR($B$175=0,211&lt;=$B$175)),$B$66,IF($B$172-MAX(211-1,$B$174)&gt;0,IF(B611=0,0,IF(C611=0,B611/($B$172-MAX(211-1,$B$174)),B611*(C611/12)/(1-(1+C611/12)^(-($B$172-MAX(211-1,$B$174)))))),"")),D610)))+0.0000001&gt;=B611*C611/12,MIN(B611*(1+C611/12),IF(AND(211&lt;=$B$174,211&lt;=$B$173),B611*C611/12,IF(AND(211=$B$173+1,AND(211&gt;$B$173,$B$78="Refinance",ISNUMBER($B$80),$B$80&gt;=0,$B$80&lt;=1,ROUND($B$81*12,0)&gt;=1,$B$81&lt;=100,SUM($B$82)&gt;=0,SUM($B$82)&lt;=1,SUM($B$83)&gt;=0)),IF(B611=0,0,IF(C611=0,B611/ROUND($B$81*12,0),B611*(C611/12)/(1-(1+C611/12)^(-ROUND($B$81*12,0))))),IF(AND(NOT(AND(211&gt;$B$173,$B$78="Refinance",ISNUMBER($B$80),$B$80&gt;=0,$B$80&lt;=1,ROUND($B$81*12,0)&gt;=1,$B$81&lt;=100,SUM($B$82)&gt;=0,SUM($B$82)&lt;=1,SUM($B$83)&gt;=0)),OR(211=1,211=$B$174+1,AND($B$175&gt;0,211=$B$175+1))),IF(AND($B$170=1,$B$66&gt;0,OR($B$175=0,211&lt;=$B$175)),$B$66,IF($B$172-MAX(211-1,$B$174)&gt;0,IF(B611=0,0,IF(C611=0,B611/($B$172-MAX(211-1,$B$174)),B611*(C611/12)/(1-(1+C611/12)^(-($B$172-MAX(211-1,$B$174)))))),"")),D610)))),""),""))</x:f>
        <x:v>4679.450723240598</x:v>
      </x:c>
      <x:c r="E611" s="440" t="n">
        <x:f>IF(AND(211=$B$173,ISNUMBER(D611)),IF(MAX(0,B611*(1+C611/12)-D611)&lt;MAX(0.0000001,$E$17*0.00000000001),0,MAX(0,B611*(1+C611/12)-D611)),0)</x:f>
        <x:v>0</x:v>
      </x:c>
      <x:c r="F611" s="440" t="n">
        <x:f>IF($B$78="Cash payoff",E611,0)</x:f>
        <x:v>0</x:v>
      </x:c>
      <x:c r="G611" s="440" t="n">
        <x:f>IF(AND(E611&gt;0,AND($B$78="Refinance",ISNUMBER($B$80),$B$80&gt;=0,$B$80&lt;=1,ROUND($B$81*12,0)&gt;=1,$B$81&lt;=100,SUM($B$82)&gt;=0,SUM($B$82)&lt;=1,SUM($B$83)&gt;=0)),E611*SUM($B$82)+SUM($B$83),0)</x:f>
        <x:v>0</x:v>
      </x:c>
      <x:c r="H611" s="440" t="n">
        <x:f>IF(ISNUMBER(D611),IF(MAX(0,B611*(1+C611/12)-D611-F611)&lt;MAX(0.0000001,$E$17*0.00000000001),0,MAX(0,B611*(1+C611/12)-D611-F611)),IF(AND($B$171=1,I610=1),B611,""))</x:f>
        <x:v>484130.4903409125</x:v>
      </x:c>
      <x:c r="I611" s="444" t="n">
        <x:f>IF(OR(I610=1,AND(E611&gt;0,$B$78&lt;&gt;"Cash payoff",NOT(AND($B$78="Refinance",ISNUMBER($B$80),$B$80&gt;=0,$B$80&lt;=1,ROUND($B$81*12,0)&gt;=1,$B$81&lt;=100,SUM($B$82)&gt;=0,SUM($B$82)&lt;=1,SUM($B$83)&gt;=0))),AND(ISNUMBER(B611),B611&gt;0,$B$171=1,NOT(ISNUMBER(D611)))),1,0)</x:f>
        <x:v>0</x:v>
      </x:c>
      <x:c r="J611" s="440" t="n">
        <x:f>IF(ISNUMBER(L610),L610,"")</x:f>
        <x:v>0</x:v>
      </x:c>
      <x:c r="K611" s="440" t="n">
        <x:f>IF(AND(ISNUMBER(J611),J611=0),0,IF(AND($B$176=1,ISNUMBER(J611)),MIN(J611*(1+$B$87/12),IF($B$86=0,0,IF($B$87=0,$B$86/ROUND($B$88*12,0),$B$86*($B$87/12)/(1-(1+$B$87/12)^(-ROUND($B$88*12,0)))))),""))</x:f>
        <x:v>0</x:v>
      </x:c>
      <x:c r="L611" s="440" t="n">
        <x:f>IF(ISNUMBER(K611),IF(MAX(0,J611*(1+SUM($B$87)/12)-K611)&lt;MAX(0.0000001,$B$86*0.00000000001),0,MAX(0,J611*(1+SUM($B$87)/12)-K611)),"")</x:f>
        <x:v>0</x:v>
      </x:c>
      <x:c r="M611" s="440" t="n">
        <x:f>IF(AND(ISNUMBER(D611),ISNUMBER(K611)),D611+K611,"")</x:f>
        <x:v>4679.450723240598</x:v>
      </x:c>
      <x:c r="N611" s="440" t="n">
        <x:f>IF(AND(ISNUMBER(H611),ISNUMBER(L611)),H611+L611,"")</x:f>
        <x:v>484130.4903409125</x:v>
      </x:c>
    </x:row>
    <x:row r="612" ht="22" customHeight="1">
      <x:c r="A612" s="254" t="n">
        <x:f>212</x:f>
        <x:v>212</x:v>
      </x:c>
      <x:c r="B612" s="440" t="n">
        <x:f>IF(ISNUMBER(H611),H611,"")</x:f>
        <x:v>484130.4903409125</x:v>
      </x:c>
      <x:c r="C612" s="442" t="n">
        <x:f>IF(ISNUMBER(B612),IF(AND(212&gt;$B$173,$B$78="Refinance",ISNUMBER($B$80),$B$80&gt;=0,$B$80&lt;=1,ROUND($B$81*12,0)&gt;=1,$B$81&lt;=100,SUM($B$82)&gt;=0,SUM($B$82)&lt;=1,SUM($B$83)&gt;=0),$B$80,IF(AND($B$175&gt;0,212&gt;$B$175,ISNUMBER($B$75)),$B$75,$B$61)),"")</x:f>
        <x:v>0.0625</x:v>
      </x:c>
      <x:c r="D612" s="440" t="n">
        <x:f>IF(AND(ISNUMBER(B612),B612=0),0,IF(AND($B$171=1,I611=0,ISNUMBER(C612),ISNUMBER(IF(AND(212&lt;=$B$174,212&lt;=$B$173),B612*C612/12,IF(AND(212=$B$173+1,AND(212&gt;$B$173,$B$78="Refinance",ISNUMBER($B$80),$B$80&gt;=0,$B$80&lt;=1,ROUND($B$81*12,0)&gt;=1,$B$81&lt;=100,SUM($B$82)&gt;=0,SUM($B$82)&lt;=1,SUM($B$83)&gt;=0)),IF(B612=0,0,IF(C612=0,B612/ROUND($B$81*12,0),B612*(C612/12)/(1-(1+C612/12)^(-ROUND($B$81*12,0))))),IF(AND(NOT(AND(212&gt;$B$173,$B$78="Refinance",ISNUMBER($B$80),$B$80&gt;=0,$B$80&lt;=1,ROUND($B$81*12,0)&gt;=1,$B$81&lt;=100,SUM($B$82)&gt;=0,SUM($B$82)&lt;=1,SUM($B$83)&gt;=0)),OR(212=1,212=$B$174+1,AND($B$175&gt;0,212=$B$175+1))),IF(AND($B$170=1,$B$66&gt;0,OR($B$175=0,212&lt;=$B$175)),$B$66,IF($B$172-MAX(212-1,$B$174)&gt;0,IF(B612=0,0,IF(C612=0,B612/($B$172-MAX(212-1,$B$174)),B612*(C612/12)/(1-(1+C612/12)^(-($B$172-MAX(212-1,$B$174)))))),"")),D611))))),IF(IF(AND(212&lt;=$B$174,212&lt;=$B$173),B612*C612/12,IF(AND(212=$B$173+1,AND(212&gt;$B$173,$B$78="Refinance",ISNUMBER($B$80),$B$80&gt;=0,$B$80&lt;=1,ROUND($B$81*12,0)&gt;=1,$B$81&lt;=100,SUM($B$82)&gt;=0,SUM($B$82)&lt;=1,SUM($B$83)&gt;=0)),IF(B612=0,0,IF(C612=0,B612/ROUND($B$81*12,0),B612*(C612/12)/(1-(1+C612/12)^(-ROUND($B$81*12,0))))),IF(AND(NOT(AND(212&gt;$B$173,$B$78="Refinance",ISNUMBER($B$80),$B$80&gt;=0,$B$80&lt;=1,ROUND($B$81*12,0)&gt;=1,$B$81&lt;=100,SUM($B$82)&gt;=0,SUM($B$82)&lt;=1,SUM($B$83)&gt;=0)),OR(212=1,212=$B$174+1,AND($B$175&gt;0,212=$B$175+1))),IF(AND($B$170=1,$B$66&gt;0,OR($B$175=0,212&lt;=$B$175)),$B$66,IF($B$172-MAX(212-1,$B$174)&gt;0,IF(B612=0,0,IF(C612=0,B612/($B$172-MAX(212-1,$B$174)),B612*(C612/12)/(1-(1+C612/12)^(-($B$172-MAX(212-1,$B$174)))))),"")),D611)))+0.0000001&gt;=B612*C612/12,MIN(B612*(1+C612/12),IF(AND(212&lt;=$B$174,212&lt;=$B$173),B612*C612/12,IF(AND(212=$B$173+1,AND(212&gt;$B$173,$B$78="Refinance",ISNUMBER($B$80),$B$80&gt;=0,$B$80&lt;=1,ROUND($B$81*12,0)&gt;=1,$B$81&lt;=100,SUM($B$82)&gt;=0,SUM($B$82)&lt;=1,SUM($B$83)&gt;=0)),IF(B612=0,0,IF(C612=0,B612/ROUND($B$81*12,0),B612*(C612/12)/(1-(1+C612/12)^(-ROUND($B$81*12,0))))),IF(AND(NOT(AND(212&gt;$B$173,$B$78="Refinance",ISNUMBER($B$80),$B$80&gt;=0,$B$80&lt;=1,ROUND($B$81*12,0)&gt;=1,$B$81&lt;=100,SUM($B$82)&gt;=0,SUM($B$82)&lt;=1,SUM($B$83)&gt;=0)),OR(212=1,212=$B$174+1,AND($B$175&gt;0,212=$B$175+1))),IF(AND($B$170=1,$B$66&gt;0,OR($B$175=0,212&lt;=$B$175)),$B$66,IF($B$172-MAX(212-1,$B$174)&gt;0,IF(B612=0,0,IF(C612=0,B612/($B$172-MAX(212-1,$B$174)),B612*(C612/12)/(1-(1+C612/12)^(-($B$172-MAX(212-1,$B$174)))))),"")),D611)))),""),""))</x:f>
        <x:v>4679.450723240598</x:v>
      </x:c>
      <x:c r="E612" s="440" t="n">
        <x:f>IF(AND(212=$B$173,ISNUMBER(D612)),IF(MAX(0,B612*(1+C612/12)-D612)&lt;MAX(0.0000001,$E$17*0.00000000001),0,MAX(0,B612*(1+C612/12)-D612)),0)</x:f>
        <x:v>0</x:v>
      </x:c>
      <x:c r="F612" s="440" t="n">
        <x:f>IF($B$78="Cash payoff",E612,0)</x:f>
        <x:v>0</x:v>
      </x:c>
      <x:c r="G612" s="440" t="n">
        <x:f>IF(AND(E612&gt;0,AND($B$78="Refinance",ISNUMBER($B$80),$B$80&gt;=0,$B$80&lt;=1,ROUND($B$81*12,0)&gt;=1,$B$81&lt;=100,SUM($B$82)&gt;=0,SUM($B$82)&lt;=1,SUM($B$83)&gt;=0)),E612*SUM($B$82)+SUM($B$83),0)</x:f>
        <x:v>0</x:v>
      </x:c>
      <x:c r="H612" s="440" t="n">
        <x:f>IF(ISNUMBER(D612),IF(MAX(0,B612*(1+C612/12)-D612-F612)&lt;MAX(0.0000001,$E$17*0.00000000001),0,MAX(0,B612*(1+C612/12)-D612-F612)),IF(AND($B$171=1,I611=1),B612,""))</x:f>
        <x:v>481972.5525881974</x:v>
      </x:c>
      <x:c r="I612" s="444" t="n">
        <x:f>IF(OR(I611=1,AND(E612&gt;0,$B$78&lt;&gt;"Cash payoff",NOT(AND($B$78="Refinance",ISNUMBER($B$80),$B$80&gt;=0,$B$80&lt;=1,ROUND($B$81*12,0)&gt;=1,$B$81&lt;=100,SUM($B$82)&gt;=0,SUM($B$82)&lt;=1,SUM($B$83)&gt;=0))),AND(ISNUMBER(B612),B612&gt;0,$B$171=1,NOT(ISNUMBER(D612)))),1,0)</x:f>
        <x:v>0</x:v>
      </x:c>
      <x:c r="J612" s="440" t="n">
        <x:f>IF(ISNUMBER(L611),L611,"")</x:f>
        <x:v>0</x:v>
      </x:c>
      <x:c r="K612" s="440" t="n">
        <x:f>IF(AND(ISNUMBER(J612),J612=0),0,IF(AND($B$176=1,ISNUMBER(J612)),MIN(J612*(1+$B$87/12),IF($B$86=0,0,IF($B$87=0,$B$86/ROUND($B$88*12,0),$B$86*($B$87/12)/(1-(1+$B$87/12)^(-ROUND($B$88*12,0)))))),""))</x:f>
        <x:v>0</x:v>
      </x:c>
      <x:c r="L612" s="440" t="n">
        <x:f>IF(ISNUMBER(K612),IF(MAX(0,J612*(1+SUM($B$87)/12)-K612)&lt;MAX(0.0000001,$B$86*0.00000000001),0,MAX(0,J612*(1+SUM($B$87)/12)-K612)),"")</x:f>
        <x:v>0</x:v>
      </x:c>
      <x:c r="M612" s="440" t="n">
        <x:f>IF(AND(ISNUMBER(D612),ISNUMBER(K612)),D612+K612,"")</x:f>
        <x:v>4679.450723240598</x:v>
      </x:c>
      <x:c r="N612" s="440" t="n">
        <x:f>IF(AND(ISNUMBER(H612),ISNUMBER(L612)),H612+L612,"")</x:f>
        <x:v>481972.5525881974</x:v>
      </x:c>
    </x:row>
    <x:row r="613" ht="22" customHeight="1">
      <x:c r="A613" s="254" t="n">
        <x:f>213</x:f>
        <x:v>213</x:v>
      </x:c>
      <x:c r="B613" s="440" t="n">
        <x:f>IF(ISNUMBER(H612),H612,"")</x:f>
        <x:v>481972.5525881974</x:v>
      </x:c>
      <x:c r="C613" s="442" t="n">
        <x:f>IF(ISNUMBER(B613),IF(AND(213&gt;$B$173,$B$78="Refinance",ISNUMBER($B$80),$B$80&gt;=0,$B$80&lt;=1,ROUND($B$81*12,0)&gt;=1,$B$81&lt;=100,SUM($B$82)&gt;=0,SUM($B$82)&lt;=1,SUM($B$83)&gt;=0),$B$80,IF(AND($B$175&gt;0,213&gt;$B$175,ISNUMBER($B$75)),$B$75,$B$61)),"")</x:f>
        <x:v>0.0625</x:v>
      </x:c>
      <x:c r="D613" s="440" t="n">
        <x:f>IF(AND(ISNUMBER(B613),B613=0),0,IF(AND($B$171=1,I612=0,ISNUMBER(C613),ISNUMBER(IF(AND(213&lt;=$B$174,213&lt;=$B$173),B613*C613/12,IF(AND(213=$B$173+1,AND(213&gt;$B$173,$B$78="Refinance",ISNUMBER($B$80),$B$80&gt;=0,$B$80&lt;=1,ROUND($B$81*12,0)&gt;=1,$B$81&lt;=100,SUM($B$82)&gt;=0,SUM($B$82)&lt;=1,SUM($B$83)&gt;=0)),IF(B613=0,0,IF(C613=0,B613/ROUND($B$81*12,0),B613*(C613/12)/(1-(1+C613/12)^(-ROUND($B$81*12,0))))),IF(AND(NOT(AND(213&gt;$B$173,$B$78="Refinance",ISNUMBER($B$80),$B$80&gt;=0,$B$80&lt;=1,ROUND($B$81*12,0)&gt;=1,$B$81&lt;=100,SUM($B$82)&gt;=0,SUM($B$82)&lt;=1,SUM($B$83)&gt;=0)),OR(213=1,213=$B$174+1,AND($B$175&gt;0,213=$B$175+1))),IF(AND($B$170=1,$B$66&gt;0,OR($B$175=0,213&lt;=$B$175)),$B$66,IF($B$172-MAX(213-1,$B$174)&gt;0,IF(B613=0,0,IF(C613=0,B613/($B$172-MAX(213-1,$B$174)),B613*(C613/12)/(1-(1+C613/12)^(-($B$172-MAX(213-1,$B$174)))))),"")),D612))))),IF(IF(AND(213&lt;=$B$174,213&lt;=$B$173),B613*C613/12,IF(AND(213=$B$173+1,AND(213&gt;$B$173,$B$78="Refinance",ISNUMBER($B$80),$B$80&gt;=0,$B$80&lt;=1,ROUND($B$81*12,0)&gt;=1,$B$81&lt;=100,SUM($B$82)&gt;=0,SUM($B$82)&lt;=1,SUM($B$83)&gt;=0)),IF(B613=0,0,IF(C613=0,B613/ROUND($B$81*12,0),B613*(C613/12)/(1-(1+C613/12)^(-ROUND($B$81*12,0))))),IF(AND(NOT(AND(213&gt;$B$173,$B$78="Refinance",ISNUMBER($B$80),$B$80&gt;=0,$B$80&lt;=1,ROUND($B$81*12,0)&gt;=1,$B$81&lt;=100,SUM($B$82)&gt;=0,SUM($B$82)&lt;=1,SUM($B$83)&gt;=0)),OR(213=1,213=$B$174+1,AND($B$175&gt;0,213=$B$175+1))),IF(AND($B$170=1,$B$66&gt;0,OR($B$175=0,213&lt;=$B$175)),$B$66,IF($B$172-MAX(213-1,$B$174)&gt;0,IF(B613=0,0,IF(C613=0,B613/($B$172-MAX(213-1,$B$174)),B613*(C613/12)/(1-(1+C613/12)^(-($B$172-MAX(213-1,$B$174)))))),"")),D612)))+0.0000001&gt;=B613*C613/12,MIN(B613*(1+C613/12),IF(AND(213&lt;=$B$174,213&lt;=$B$173),B613*C613/12,IF(AND(213=$B$173+1,AND(213&gt;$B$173,$B$78="Refinance",ISNUMBER($B$80),$B$80&gt;=0,$B$80&lt;=1,ROUND($B$81*12,0)&gt;=1,$B$81&lt;=100,SUM($B$82)&gt;=0,SUM($B$82)&lt;=1,SUM($B$83)&gt;=0)),IF(B613=0,0,IF(C613=0,B613/ROUND($B$81*12,0),B613*(C613/12)/(1-(1+C613/12)^(-ROUND($B$81*12,0))))),IF(AND(NOT(AND(213&gt;$B$173,$B$78="Refinance",ISNUMBER($B$80),$B$80&gt;=0,$B$80&lt;=1,ROUND($B$81*12,0)&gt;=1,$B$81&lt;=100,SUM($B$82)&gt;=0,SUM($B$82)&lt;=1,SUM($B$83)&gt;=0)),OR(213=1,213=$B$174+1,AND($B$175&gt;0,213=$B$175+1))),IF(AND($B$170=1,$B$66&gt;0,OR($B$175=0,213&lt;=$B$175)),$B$66,IF($B$172-MAX(213-1,$B$174)&gt;0,IF(B613=0,0,IF(C613=0,B613/($B$172-MAX(213-1,$B$174)),B613*(C613/12)/(1-(1+C613/12)^(-($B$172-MAX(213-1,$B$174)))))),"")),D612)))),""),""))</x:f>
        <x:v>4679.450723240598</x:v>
      </x:c>
      <x:c r="E613" s="440" t="n">
        <x:f>IF(AND(213=$B$173,ISNUMBER(D613)),IF(MAX(0,B613*(1+C613/12)-D613)&lt;MAX(0.0000001,$E$17*0.00000000001),0,MAX(0,B613*(1+C613/12)-D613)),0)</x:f>
        <x:v>0</x:v>
      </x:c>
      <x:c r="F613" s="440" t="n">
        <x:f>IF($B$78="Cash payoff",E613,0)</x:f>
        <x:v>0</x:v>
      </x:c>
      <x:c r="G613" s="440" t="n">
        <x:f>IF(AND(E613&gt;0,AND($B$78="Refinance",ISNUMBER($B$80),$B$80&gt;=0,$B$80&lt;=1,ROUND($B$81*12,0)&gt;=1,$B$81&lt;=100,SUM($B$82)&gt;=0,SUM($B$82)&lt;=1,SUM($B$83)&gt;=0)),E613*SUM($B$82)+SUM($B$83),0)</x:f>
        <x:v>0</x:v>
      </x:c>
      <x:c r="H613" s="440" t="n">
        <x:f>IF(ISNUMBER(D613),IF(MAX(0,B613*(1+C613/12)-D613-F613)&lt;MAX(0.0000001,$E$17*0.00000000001),0,MAX(0,B613*(1+C613/12)-D613-F613)),IF(AND($B$171=1,I612=1),B613,""))</x:f>
        <x:v>479803.37557635363</x:v>
      </x:c>
      <x:c r="I613" s="444" t="n">
        <x:f>IF(OR(I612=1,AND(E613&gt;0,$B$78&lt;&gt;"Cash payoff",NOT(AND($B$78="Refinance",ISNUMBER($B$80),$B$80&gt;=0,$B$80&lt;=1,ROUND($B$81*12,0)&gt;=1,$B$81&lt;=100,SUM($B$82)&gt;=0,SUM($B$82)&lt;=1,SUM($B$83)&gt;=0))),AND(ISNUMBER(B613),B613&gt;0,$B$171=1,NOT(ISNUMBER(D613)))),1,0)</x:f>
        <x:v>0</x:v>
      </x:c>
      <x:c r="J613" s="440" t="n">
        <x:f>IF(ISNUMBER(L612),L612,"")</x:f>
        <x:v>0</x:v>
      </x:c>
      <x:c r="K613" s="440" t="n">
        <x:f>IF(AND(ISNUMBER(J613),J613=0),0,IF(AND($B$176=1,ISNUMBER(J613)),MIN(J613*(1+$B$87/12),IF($B$86=0,0,IF($B$87=0,$B$86/ROUND($B$88*12,0),$B$86*($B$87/12)/(1-(1+$B$87/12)^(-ROUND($B$88*12,0)))))),""))</x:f>
        <x:v>0</x:v>
      </x:c>
      <x:c r="L613" s="440" t="n">
        <x:f>IF(ISNUMBER(K613),IF(MAX(0,J613*(1+SUM($B$87)/12)-K613)&lt;MAX(0.0000001,$B$86*0.00000000001),0,MAX(0,J613*(1+SUM($B$87)/12)-K613)),"")</x:f>
        <x:v>0</x:v>
      </x:c>
      <x:c r="M613" s="440" t="n">
        <x:f>IF(AND(ISNUMBER(D613),ISNUMBER(K613)),D613+K613,"")</x:f>
        <x:v>4679.450723240598</x:v>
      </x:c>
      <x:c r="N613" s="440" t="n">
        <x:f>IF(AND(ISNUMBER(H613),ISNUMBER(L613)),H613+L613,"")</x:f>
        <x:v>479803.37557635363</x:v>
      </x:c>
    </x:row>
    <x:row r="614" ht="22" customHeight="1">
      <x:c r="A614" s="254" t="n">
        <x:f>214</x:f>
        <x:v>214</x:v>
      </x:c>
      <x:c r="B614" s="440" t="n">
        <x:f>IF(ISNUMBER(H613),H613,"")</x:f>
        <x:v>479803.37557635363</x:v>
      </x:c>
      <x:c r="C614" s="442" t="n">
        <x:f>IF(ISNUMBER(B614),IF(AND(214&gt;$B$173,$B$78="Refinance",ISNUMBER($B$80),$B$80&gt;=0,$B$80&lt;=1,ROUND($B$81*12,0)&gt;=1,$B$81&lt;=100,SUM($B$82)&gt;=0,SUM($B$82)&lt;=1,SUM($B$83)&gt;=0),$B$80,IF(AND($B$175&gt;0,214&gt;$B$175,ISNUMBER($B$75)),$B$75,$B$61)),"")</x:f>
        <x:v>0.0625</x:v>
      </x:c>
      <x:c r="D614" s="440" t="n">
        <x:f>IF(AND(ISNUMBER(B614),B614=0),0,IF(AND($B$171=1,I613=0,ISNUMBER(C614),ISNUMBER(IF(AND(214&lt;=$B$174,214&lt;=$B$173),B614*C614/12,IF(AND(214=$B$173+1,AND(214&gt;$B$173,$B$78="Refinance",ISNUMBER($B$80),$B$80&gt;=0,$B$80&lt;=1,ROUND($B$81*12,0)&gt;=1,$B$81&lt;=100,SUM($B$82)&gt;=0,SUM($B$82)&lt;=1,SUM($B$83)&gt;=0)),IF(B614=0,0,IF(C614=0,B614/ROUND($B$81*12,0),B614*(C614/12)/(1-(1+C614/12)^(-ROUND($B$81*12,0))))),IF(AND(NOT(AND(214&gt;$B$173,$B$78="Refinance",ISNUMBER($B$80),$B$80&gt;=0,$B$80&lt;=1,ROUND($B$81*12,0)&gt;=1,$B$81&lt;=100,SUM($B$82)&gt;=0,SUM($B$82)&lt;=1,SUM($B$83)&gt;=0)),OR(214=1,214=$B$174+1,AND($B$175&gt;0,214=$B$175+1))),IF(AND($B$170=1,$B$66&gt;0,OR($B$175=0,214&lt;=$B$175)),$B$66,IF($B$172-MAX(214-1,$B$174)&gt;0,IF(B614=0,0,IF(C614=0,B614/($B$172-MAX(214-1,$B$174)),B614*(C614/12)/(1-(1+C614/12)^(-($B$172-MAX(214-1,$B$174)))))),"")),D613))))),IF(IF(AND(214&lt;=$B$174,214&lt;=$B$173),B614*C614/12,IF(AND(214=$B$173+1,AND(214&gt;$B$173,$B$78="Refinance",ISNUMBER($B$80),$B$80&gt;=0,$B$80&lt;=1,ROUND($B$81*12,0)&gt;=1,$B$81&lt;=100,SUM($B$82)&gt;=0,SUM($B$82)&lt;=1,SUM($B$83)&gt;=0)),IF(B614=0,0,IF(C614=0,B614/ROUND($B$81*12,0),B614*(C614/12)/(1-(1+C614/12)^(-ROUND($B$81*12,0))))),IF(AND(NOT(AND(214&gt;$B$173,$B$78="Refinance",ISNUMBER($B$80),$B$80&gt;=0,$B$80&lt;=1,ROUND($B$81*12,0)&gt;=1,$B$81&lt;=100,SUM($B$82)&gt;=0,SUM($B$82)&lt;=1,SUM($B$83)&gt;=0)),OR(214=1,214=$B$174+1,AND($B$175&gt;0,214=$B$175+1))),IF(AND($B$170=1,$B$66&gt;0,OR($B$175=0,214&lt;=$B$175)),$B$66,IF($B$172-MAX(214-1,$B$174)&gt;0,IF(B614=0,0,IF(C614=0,B614/($B$172-MAX(214-1,$B$174)),B614*(C614/12)/(1-(1+C614/12)^(-($B$172-MAX(214-1,$B$174)))))),"")),D613)))+0.0000001&gt;=B614*C614/12,MIN(B614*(1+C614/12),IF(AND(214&lt;=$B$174,214&lt;=$B$173),B614*C614/12,IF(AND(214=$B$173+1,AND(214&gt;$B$173,$B$78="Refinance",ISNUMBER($B$80),$B$80&gt;=0,$B$80&lt;=1,ROUND($B$81*12,0)&gt;=1,$B$81&lt;=100,SUM($B$82)&gt;=0,SUM($B$82)&lt;=1,SUM($B$83)&gt;=0)),IF(B614=0,0,IF(C614=0,B614/ROUND($B$81*12,0),B614*(C614/12)/(1-(1+C614/12)^(-ROUND($B$81*12,0))))),IF(AND(NOT(AND(214&gt;$B$173,$B$78="Refinance",ISNUMBER($B$80),$B$80&gt;=0,$B$80&lt;=1,ROUND($B$81*12,0)&gt;=1,$B$81&lt;=100,SUM($B$82)&gt;=0,SUM($B$82)&lt;=1,SUM($B$83)&gt;=0)),OR(214=1,214=$B$174+1,AND($B$175&gt;0,214=$B$175+1))),IF(AND($B$170=1,$B$66&gt;0,OR($B$175=0,214&lt;=$B$175)),$B$66,IF($B$172-MAX(214-1,$B$174)&gt;0,IF(B614=0,0,IF(C614=0,B614/($B$172-MAX(214-1,$B$174)),B614*(C614/12)/(1-(1+C614/12)^(-($B$172-MAX(214-1,$B$174)))))),"")),D613)))),""),""))</x:f>
        <x:v>4679.450723240598</x:v>
      </x:c>
      <x:c r="E614" s="440" t="n">
        <x:f>IF(AND(214=$B$173,ISNUMBER(D614)),IF(MAX(0,B614*(1+C614/12)-D614)&lt;MAX(0.0000001,$E$17*0.00000000001),0,MAX(0,B614*(1+C614/12)-D614)),0)</x:f>
        <x:v>0</x:v>
      </x:c>
      <x:c r="F614" s="440" t="n">
        <x:f>IF($B$78="Cash payoff",E614,0)</x:f>
        <x:v>0</x:v>
      </x:c>
      <x:c r="G614" s="440" t="n">
        <x:f>IF(AND(E614&gt;0,AND($B$78="Refinance",ISNUMBER($B$80),$B$80&gt;=0,$B$80&lt;=1,ROUND($B$81*12,0)&gt;=1,$B$81&lt;=100,SUM($B$82)&gt;=0,SUM($B$82)&lt;=1,SUM($B$83)&gt;=0)),E614*SUM($B$82)+SUM($B$83),0)</x:f>
        <x:v>0</x:v>
      </x:c>
      <x:c r="H614" s="440" t="n">
        <x:f>IF(ISNUMBER(D614),IF(MAX(0,B614*(1+C614/12)-D614-F614)&lt;MAX(0.0000001,$E$17*0.00000000001),0,MAX(0,B614*(1+C614/12)-D614-F614)),IF(AND($B$171=1,I613=1),B614,""))</x:f>
        <x:v>477622.90076757316</x:v>
      </x:c>
      <x:c r="I614" s="444" t="n">
        <x:f>IF(OR(I613=1,AND(E614&gt;0,$B$78&lt;&gt;"Cash payoff",NOT(AND($B$78="Refinance",ISNUMBER($B$80),$B$80&gt;=0,$B$80&lt;=1,ROUND($B$81*12,0)&gt;=1,$B$81&lt;=100,SUM($B$82)&gt;=0,SUM($B$82)&lt;=1,SUM($B$83)&gt;=0))),AND(ISNUMBER(B614),B614&gt;0,$B$171=1,NOT(ISNUMBER(D614)))),1,0)</x:f>
        <x:v>0</x:v>
      </x:c>
      <x:c r="J614" s="440" t="n">
        <x:f>IF(ISNUMBER(L613),L613,"")</x:f>
        <x:v>0</x:v>
      </x:c>
      <x:c r="K614" s="440" t="n">
        <x:f>IF(AND(ISNUMBER(J614),J614=0),0,IF(AND($B$176=1,ISNUMBER(J614)),MIN(J614*(1+$B$87/12),IF($B$86=0,0,IF($B$87=0,$B$86/ROUND($B$88*12,0),$B$86*($B$87/12)/(1-(1+$B$87/12)^(-ROUND($B$88*12,0)))))),""))</x:f>
        <x:v>0</x:v>
      </x:c>
      <x:c r="L614" s="440" t="n">
        <x:f>IF(ISNUMBER(K614),IF(MAX(0,J614*(1+SUM($B$87)/12)-K614)&lt;MAX(0.0000001,$B$86*0.00000000001),0,MAX(0,J614*(1+SUM($B$87)/12)-K614)),"")</x:f>
        <x:v>0</x:v>
      </x:c>
      <x:c r="M614" s="440" t="n">
        <x:f>IF(AND(ISNUMBER(D614),ISNUMBER(K614)),D614+K614,"")</x:f>
        <x:v>4679.450723240598</x:v>
      </x:c>
      <x:c r="N614" s="440" t="n">
        <x:f>IF(AND(ISNUMBER(H614),ISNUMBER(L614)),H614+L614,"")</x:f>
        <x:v>477622.90076757316</x:v>
      </x:c>
    </x:row>
    <x:row r="615" ht="22" customHeight="1">
      <x:c r="A615" s="254" t="n">
        <x:f>215</x:f>
        <x:v>215</x:v>
      </x:c>
      <x:c r="B615" s="440" t="n">
        <x:f>IF(ISNUMBER(H614),H614,"")</x:f>
        <x:v>477622.90076757316</x:v>
      </x:c>
      <x:c r="C615" s="442" t="n">
        <x:f>IF(ISNUMBER(B615),IF(AND(215&gt;$B$173,$B$78="Refinance",ISNUMBER($B$80),$B$80&gt;=0,$B$80&lt;=1,ROUND($B$81*12,0)&gt;=1,$B$81&lt;=100,SUM($B$82)&gt;=0,SUM($B$82)&lt;=1,SUM($B$83)&gt;=0),$B$80,IF(AND($B$175&gt;0,215&gt;$B$175,ISNUMBER($B$75)),$B$75,$B$61)),"")</x:f>
        <x:v>0.0625</x:v>
      </x:c>
      <x:c r="D615" s="440" t="n">
        <x:f>IF(AND(ISNUMBER(B615),B615=0),0,IF(AND($B$171=1,I614=0,ISNUMBER(C615),ISNUMBER(IF(AND(215&lt;=$B$174,215&lt;=$B$173),B615*C615/12,IF(AND(215=$B$173+1,AND(215&gt;$B$173,$B$78="Refinance",ISNUMBER($B$80),$B$80&gt;=0,$B$80&lt;=1,ROUND($B$81*12,0)&gt;=1,$B$81&lt;=100,SUM($B$82)&gt;=0,SUM($B$82)&lt;=1,SUM($B$83)&gt;=0)),IF(B615=0,0,IF(C615=0,B615/ROUND($B$81*12,0),B615*(C615/12)/(1-(1+C615/12)^(-ROUND($B$81*12,0))))),IF(AND(NOT(AND(215&gt;$B$173,$B$78="Refinance",ISNUMBER($B$80),$B$80&gt;=0,$B$80&lt;=1,ROUND($B$81*12,0)&gt;=1,$B$81&lt;=100,SUM($B$82)&gt;=0,SUM($B$82)&lt;=1,SUM($B$83)&gt;=0)),OR(215=1,215=$B$174+1,AND($B$175&gt;0,215=$B$175+1))),IF(AND($B$170=1,$B$66&gt;0,OR($B$175=0,215&lt;=$B$175)),$B$66,IF($B$172-MAX(215-1,$B$174)&gt;0,IF(B615=0,0,IF(C615=0,B615/($B$172-MAX(215-1,$B$174)),B615*(C615/12)/(1-(1+C615/12)^(-($B$172-MAX(215-1,$B$174)))))),"")),D614))))),IF(IF(AND(215&lt;=$B$174,215&lt;=$B$173),B615*C615/12,IF(AND(215=$B$173+1,AND(215&gt;$B$173,$B$78="Refinance",ISNUMBER($B$80),$B$80&gt;=0,$B$80&lt;=1,ROUND($B$81*12,0)&gt;=1,$B$81&lt;=100,SUM($B$82)&gt;=0,SUM($B$82)&lt;=1,SUM($B$83)&gt;=0)),IF(B615=0,0,IF(C615=0,B615/ROUND($B$81*12,0),B615*(C615/12)/(1-(1+C615/12)^(-ROUND($B$81*12,0))))),IF(AND(NOT(AND(215&gt;$B$173,$B$78="Refinance",ISNUMBER($B$80),$B$80&gt;=0,$B$80&lt;=1,ROUND($B$81*12,0)&gt;=1,$B$81&lt;=100,SUM($B$82)&gt;=0,SUM($B$82)&lt;=1,SUM($B$83)&gt;=0)),OR(215=1,215=$B$174+1,AND($B$175&gt;0,215=$B$175+1))),IF(AND($B$170=1,$B$66&gt;0,OR($B$175=0,215&lt;=$B$175)),$B$66,IF($B$172-MAX(215-1,$B$174)&gt;0,IF(B615=0,0,IF(C615=0,B615/($B$172-MAX(215-1,$B$174)),B615*(C615/12)/(1-(1+C615/12)^(-($B$172-MAX(215-1,$B$174)))))),"")),D614)))+0.0000001&gt;=B615*C615/12,MIN(B615*(1+C615/12),IF(AND(215&lt;=$B$174,215&lt;=$B$173),B615*C615/12,IF(AND(215=$B$173+1,AND(215&gt;$B$173,$B$78="Refinance",ISNUMBER($B$80),$B$80&gt;=0,$B$80&lt;=1,ROUND($B$81*12,0)&gt;=1,$B$81&lt;=100,SUM($B$82)&gt;=0,SUM($B$82)&lt;=1,SUM($B$83)&gt;=0)),IF(B615=0,0,IF(C615=0,B615/ROUND($B$81*12,0),B615*(C615/12)/(1-(1+C615/12)^(-ROUND($B$81*12,0))))),IF(AND(NOT(AND(215&gt;$B$173,$B$78="Refinance",ISNUMBER($B$80),$B$80&gt;=0,$B$80&lt;=1,ROUND($B$81*12,0)&gt;=1,$B$81&lt;=100,SUM($B$82)&gt;=0,SUM($B$82)&lt;=1,SUM($B$83)&gt;=0)),OR(215=1,215=$B$174+1,AND($B$175&gt;0,215=$B$175+1))),IF(AND($B$170=1,$B$66&gt;0,OR($B$175=0,215&lt;=$B$175)),$B$66,IF($B$172-MAX(215-1,$B$174)&gt;0,IF(B615=0,0,IF(C615=0,B615/($B$172-MAX(215-1,$B$174)),B615*(C615/12)/(1-(1+C615/12)^(-($B$172-MAX(215-1,$B$174)))))),"")),D614)))),""),""))</x:f>
        <x:v>4679.450723240598</x:v>
      </x:c>
      <x:c r="E615" s="440" t="n">
        <x:f>IF(AND(215=$B$173,ISNUMBER(D615)),IF(MAX(0,B615*(1+C615/12)-D615)&lt;MAX(0.0000001,$E$17*0.00000000001),0,MAX(0,B615*(1+C615/12)-D615)),0)</x:f>
        <x:v>0</x:v>
      </x:c>
      <x:c r="F615" s="440" t="n">
        <x:f>IF($B$78="Cash payoff",E615,0)</x:f>
        <x:v>0</x:v>
      </x:c>
      <x:c r="G615" s="440" t="n">
        <x:f>IF(AND(E615&gt;0,AND($B$78="Refinance",ISNUMBER($B$80),$B$80&gt;=0,$B$80&lt;=1,ROUND($B$81*12,0)&gt;=1,$B$81&lt;=100,SUM($B$82)&gt;=0,SUM($B$82)&lt;=1,SUM($B$83)&gt;=0)),E615*SUM($B$82)+SUM($B$83),0)</x:f>
        <x:v>0</x:v>
      </x:c>
      <x:c r="H615" s="440" t="n">
        <x:f>IF(ISNUMBER(D615),IF(MAX(0,B615*(1+C615/12)-D615-F615)&lt;MAX(0.0000001,$E$17*0.00000000001),0,MAX(0,B615*(1+C615/12)-D615-F615)),IF(AND($B$171=1,I614=1),B615,""))</x:f>
        <x:v>475431.0693191636</x:v>
      </x:c>
      <x:c r="I615" s="444" t="n">
        <x:f>IF(OR(I614=1,AND(E615&gt;0,$B$78&lt;&gt;"Cash payoff",NOT(AND($B$78="Refinance",ISNUMBER($B$80),$B$80&gt;=0,$B$80&lt;=1,ROUND($B$81*12,0)&gt;=1,$B$81&lt;=100,SUM($B$82)&gt;=0,SUM($B$82)&lt;=1,SUM($B$83)&gt;=0))),AND(ISNUMBER(B615),B615&gt;0,$B$171=1,NOT(ISNUMBER(D615)))),1,0)</x:f>
        <x:v>0</x:v>
      </x:c>
      <x:c r="J615" s="440" t="n">
        <x:f>IF(ISNUMBER(L614),L614,"")</x:f>
        <x:v>0</x:v>
      </x:c>
      <x:c r="K615" s="440" t="n">
        <x:f>IF(AND(ISNUMBER(J615),J615=0),0,IF(AND($B$176=1,ISNUMBER(J615)),MIN(J615*(1+$B$87/12),IF($B$86=0,0,IF($B$87=0,$B$86/ROUND($B$88*12,0),$B$86*($B$87/12)/(1-(1+$B$87/12)^(-ROUND($B$88*12,0)))))),""))</x:f>
        <x:v>0</x:v>
      </x:c>
      <x:c r="L615" s="440" t="n">
        <x:f>IF(ISNUMBER(K615),IF(MAX(0,J615*(1+SUM($B$87)/12)-K615)&lt;MAX(0.0000001,$B$86*0.00000000001),0,MAX(0,J615*(1+SUM($B$87)/12)-K615)),"")</x:f>
        <x:v>0</x:v>
      </x:c>
      <x:c r="M615" s="440" t="n">
        <x:f>IF(AND(ISNUMBER(D615),ISNUMBER(K615)),D615+K615,"")</x:f>
        <x:v>4679.450723240598</x:v>
      </x:c>
      <x:c r="N615" s="440" t="n">
        <x:f>IF(AND(ISNUMBER(H615),ISNUMBER(L615)),H615+L615,"")</x:f>
        <x:v>475431.0693191636</x:v>
      </x:c>
    </x:row>
    <x:row r="616" ht="22" customHeight="1">
      <x:c r="A616" s="254" t="n">
        <x:f>216</x:f>
        <x:v>216</x:v>
      </x:c>
      <x:c r="B616" s="440" t="n">
        <x:f>IF(ISNUMBER(H615),H615,"")</x:f>
        <x:v>475431.0693191636</x:v>
      </x:c>
      <x:c r="C616" s="442" t="n">
        <x:f>IF(ISNUMBER(B616),IF(AND(216&gt;$B$173,$B$78="Refinance",ISNUMBER($B$80),$B$80&gt;=0,$B$80&lt;=1,ROUND($B$81*12,0)&gt;=1,$B$81&lt;=100,SUM($B$82)&gt;=0,SUM($B$82)&lt;=1,SUM($B$83)&gt;=0),$B$80,IF(AND($B$175&gt;0,216&gt;$B$175,ISNUMBER($B$75)),$B$75,$B$61)),"")</x:f>
        <x:v>0.0625</x:v>
      </x:c>
      <x:c r="D616" s="440" t="n">
        <x:f>IF(AND(ISNUMBER(B616),B616=0),0,IF(AND($B$171=1,I615=0,ISNUMBER(C616),ISNUMBER(IF(AND(216&lt;=$B$174,216&lt;=$B$173),B616*C616/12,IF(AND(216=$B$173+1,AND(216&gt;$B$173,$B$78="Refinance",ISNUMBER($B$80),$B$80&gt;=0,$B$80&lt;=1,ROUND($B$81*12,0)&gt;=1,$B$81&lt;=100,SUM($B$82)&gt;=0,SUM($B$82)&lt;=1,SUM($B$83)&gt;=0)),IF(B616=0,0,IF(C616=0,B616/ROUND($B$81*12,0),B616*(C616/12)/(1-(1+C616/12)^(-ROUND($B$81*12,0))))),IF(AND(NOT(AND(216&gt;$B$173,$B$78="Refinance",ISNUMBER($B$80),$B$80&gt;=0,$B$80&lt;=1,ROUND($B$81*12,0)&gt;=1,$B$81&lt;=100,SUM($B$82)&gt;=0,SUM($B$82)&lt;=1,SUM($B$83)&gt;=0)),OR(216=1,216=$B$174+1,AND($B$175&gt;0,216=$B$175+1))),IF(AND($B$170=1,$B$66&gt;0,OR($B$175=0,216&lt;=$B$175)),$B$66,IF($B$172-MAX(216-1,$B$174)&gt;0,IF(B616=0,0,IF(C616=0,B616/($B$172-MAX(216-1,$B$174)),B616*(C616/12)/(1-(1+C616/12)^(-($B$172-MAX(216-1,$B$174)))))),"")),D615))))),IF(IF(AND(216&lt;=$B$174,216&lt;=$B$173),B616*C616/12,IF(AND(216=$B$173+1,AND(216&gt;$B$173,$B$78="Refinance",ISNUMBER($B$80),$B$80&gt;=0,$B$80&lt;=1,ROUND($B$81*12,0)&gt;=1,$B$81&lt;=100,SUM($B$82)&gt;=0,SUM($B$82)&lt;=1,SUM($B$83)&gt;=0)),IF(B616=0,0,IF(C616=0,B616/ROUND($B$81*12,0),B616*(C616/12)/(1-(1+C616/12)^(-ROUND($B$81*12,0))))),IF(AND(NOT(AND(216&gt;$B$173,$B$78="Refinance",ISNUMBER($B$80),$B$80&gt;=0,$B$80&lt;=1,ROUND($B$81*12,0)&gt;=1,$B$81&lt;=100,SUM($B$82)&gt;=0,SUM($B$82)&lt;=1,SUM($B$83)&gt;=0)),OR(216=1,216=$B$174+1,AND($B$175&gt;0,216=$B$175+1))),IF(AND($B$170=1,$B$66&gt;0,OR($B$175=0,216&lt;=$B$175)),$B$66,IF($B$172-MAX(216-1,$B$174)&gt;0,IF(B616=0,0,IF(C616=0,B616/($B$172-MAX(216-1,$B$174)),B616*(C616/12)/(1-(1+C616/12)^(-($B$172-MAX(216-1,$B$174)))))),"")),D615)))+0.0000001&gt;=B616*C616/12,MIN(B616*(1+C616/12),IF(AND(216&lt;=$B$174,216&lt;=$B$173),B616*C616/12,IF(AND(216=$B$173+1,AND(216&gt;$B$173,$B$78="Refinance",ISNUMBER($B$80),$B$80&gt;=0,$B$80&lt;=1,ROUND($B$81*12,0)&gt;=1,$B$81&lt;=100,SUM($B$82)&gt;=0,SUM($B$82)&lt;=1,SUM($B$83)&gt;=0)),IF(B616=0,0,IF(C616=0,B616/ROUND($B$81*12,0),B616*(C616/12)/(1-(1+C616/12)^(-ROUND($B$81*12,0))))),IF(AND(NOT(AND(216&gt;$B$173,$B$78="Refinance",ISNUMBER($B$80),$B$80&gt;=0,$B$80&lt;=1,ROUND($B$81*12,0)&gt;=1,$B$81&lt;=100,SUM($B$82)&gt;=0,SUM($B$82)&lt;=1,SUM($B$83)&gt;=0)),OR(216=1,216=$B$174+1,AND($B$175&gt;0,216=$B$175+1))),IF(AND($B$170=1,$B$66&gt;0,OR($B$175=0,216&lt;=$B$175)),$B$66,IF($B$172-MAX(216-1,$B$174)&gt;0,IF(B616=0,0,IF(C616=0,B616/($B$172-MAX(216-1,$B$174)),B616*(C616/12)/(1-(1+C616/12)^(-($B$172-MAX(216-1,$B$174)))))),"")),D615)))),""),""))</x:f>
        <x:v>4679.450723240598</x:v>
      </x:c>
      <x:c r="E616" s="440" t="n">
        <x:f>IF(AND(216=$B$173,ISNUMBER(D616)),IF(MAX(0,B616*(1+C616/12)-D616)&lt;MAX(0.0000001,$E$17*0.00000000001),0,MAX(0,B616*(1+C616/12)-D616)),0)</x:f>
        <x:v>0</x:v>
      </x:c>
      <x:c r="F616" s="440" t="n">
        <x:f>IF($B$78="Cash payoff",E616,0)</x:f>
        <x:v>0</x:v>
      </x:c>
      <x:c r="G616" s="440" t="n">
        <x:f>IF(AND(E616&gt;0,AND($B$78="Refinance",ISNUMBER($B$80),$B$80&gt;=0,$B$80&lt;=1,ROUND($B$81*12,0)&gt;=1,$B$81&lt;=100,SUM($B$82)&gt;=0,SUM($B$82)&lt;=1,SUM($B$83)&gt;=0)),E616*SUM($B$82)+SUM($B$83),0)</x:f>
        <x:v>0</x:v>
      </x:c>
      <x:c r="H616" s="440" t="n">
        <x:f>IF(ISNUMBER(D616),IF(MAX(0,B616*(1+C616/12)-D616-F616)&lt;MAX(0.0000001,$E$17*0.00000000001),0,MAX(0,B616*(1+C616/12)-D616-F616)),IF(AND($B$171=1,I615=1),B616,""))</x:f>
        <x:v>473227.8220819603</x:v>
      </x:c>
      <x:c r="I616" s="444" t="n">
        <x:f>IF(OR(I615=1,AND(E616&gt;0,$B$78&lt;&gt;"Cash payoff",NOT(AND($B$78="Refinance",ISNUMBER($B$80),$B$80&gt;=0,$B$80&lt;=1,ROUND($B$81*12,0)&gt;=1,$B$81&lt;=100,SUM($B$82)&gt;=0,SUM($B$82)&lt;=1,SUM($B$83)&gt;=0))),AND(ISNUMBER(B616),B616&gt;0,$B$171=1,NOT(ISNUMBER(D616)))),1,0)</x:f>
        <x:v>0</x:v>
      </x:c>
      <x:c r="J616" s="440" t="n">
        <x:f>IF(ISNUMBER(L615),L615,"")</x:f>
        <x:v>0</x:v>
      </x:c>
      <x:c r="K616" s="440" t="n">
        <x:f>IF(AND(ISNUMBER(J616),J616=0),0,IF(AND($B$176=1,ISNUMBER(J616)),MIN(J616*(1+$B$87/12),IF($B$86=0,0,IF($B$87=0,$B$86/ROUND($B$88*12,0),$B$86*($B$87/12)/(1-(1+$B$87/12)^(-ROUND($B$88*12,0)))))),""))</x:f>
        <x:v>0</x:v>
      </x:c>
      <x:c r="L616" s="440" t="n">
        <x:f>IF(ISNUMBER(K616),IF(MAX(0,J616*(1+SUM($B$87)/12)-K616)&lt;MAX(0.0000001,$B$86*0.00000000001),0,MAX(0,J616*(1+SUM($B$87)/12)-K616)),"")</x:f>
        <x:v>0</x:v>
      </x:c>
      <x:c r="M616" s="440" t="n">
        <x:f>IF(AND(ISNUMBER(D616),ISNUMBER(K616)),D616+K616,"")</x:f>
        <x:v>4679.450723240598</x:v>
      </x:c>
      <x:c r="N616" s="440" t="n">
        <x:f>IF(AND(ISNUMBER(H616),ISNUMBER(L616)),H616+L616,"")</x:f>
        <x:v>473227.8220819603</x:v>
      </x:c>
    </x:row>
    <x:row r="617" ht="22" customHeight="1">
      <x:c r="A617" s="254" t="n">
        <x:f>217</x:f>
        <x:v>217</x:v>
      </x:c>
      <x:c r="B617" s="440" t="n">
        <x:f>IF(ISNUMBER(H616),H616,"")</x:f>
        <x:v>473227.8220819603</x:v>
      </x:c>
      <x:c r="C617" s="442" t="n">
        <x:f>IF(ISNUMBER(B617),IF(AND(217&gt;$B$173,$B$78="Refinance",ISNUMBER($B$80),$B$80&gt;=0,$B$80&lt;=1,ROUND($B$81*12,0)&gt;=1,$B$81&lt;=100,SUM($B$82)&gt;=0,SUM($B$82)&lt;=1,SUM($B$83)&gt;=0),$B$80,IF(AND($B$175&gt;0,217&gt;$B$175,ISNUMBER($B$75)),$B$75,$B$61)),"")</x:f>
        <x:v>0.0625</x:v>
      </x:c>
      <x:c r="D617" s="440" t="n">
        <x:f>IF(AND(ISNUMBER(B617),B617=0),0,IF(AND($B$171=1,I616=0,ISNUMBER(C617),ISNUMBER(IF(AND(217&lt;=$B$174,217&lt;=$B$173),B617*C617/12,IF(AND(217=$B$173+1,AND(217&gt;$B$173,$B$78="Refinance",ISNUMBER($B$80),$B$80&gt;=0,$B$80&lt;=1,ROUND($B$81*12,0)&gt;=1,$B$81&lt;=100,SUM($B$82)&gt;=0,SUM($B$82)&lt;=1,SUM($B$83)&gt;=0)),IF(B617=0,0,IF(C617=0,B617/ROUND($B$81*12,0),B617*(C617/12)/(1-(1+C617/12)^(-ROUND($B$81*12,0))))),IF(AND(NOT(AND(217&gt;$B$173,$B$78="Refinance",ISNUMBER($B$80),$B$80&gt;=0,$B$80&lt;=1,ROUND($B$81*12,0)&gt;=1,$B$81&lt;=100,SUM($B$82)&gt;=0,SUM($B$82)&lt;=1,SUM($B$83)&gt;=0)),OR(217=1,217=$B$174+1,AND($B$175&gt;0,217=$B$175+1))),IF(AND($B$170=1,$B$66&gt;0,OR($B$175=0,217&lt;=$B$175)),$B$66,IF($B$172-MAX(217-1,$B$174)&gt;0,IF(B617=0,0,IF(C617=0,B617/($B$172-MAX(217-1,$B$174)),B617*(C617/12)/(1-(1+C617/12)^(-($B$172-MAX(217-1,$B$174)))))),"")),D616))))),IF(IF(AND(217&lt;=$B$174,217&lt;=$B$173),B617*C617/12,IF(AND(217=$B$173+1,AND(217&gt;$B$173,$B$78="Refinance",ISNUMBER($B$80),$B$80&gt;=0,$B$80&lt;=1,ROUND($B$81*12,0)&gt;=1,$B$81&lt;=100,SUM($B$82)&gt;=0,SUM($B$82)&lt;=1,SUM($B$83)&gt;=0)),IF(B617=0,0,IF(C617=0,B617/ROUND($B$81*12,0),B617*(C617/12)/(1-(1+C617/12)^(-ROUND($B$81*12,0))))),IF(AND(NOT(AND(217&gt;$B$173,$B$78="Refinance",ISNUMBER($B$80),$B$80&gt;=0,$B$80&lt;=1,ROUND($B$81*12,0)&gt;=1,$B$81&lt;=100,SUM($B$82)&gt;=0,SUM($B$82)&lt;=1,SUM($B$83)&gt;=0)),OR(217=1,217=$B$174+1,AND($B$175&gt;0,217=$B$175+1))),IF(AND($B$170=1,$B$66&gt;0,OR($B$175=0,217&lt;=$B$175)),$B$66,IF($B$172-MAX(217-1,$B$174)&gt;0,IF(B617=0,0,IF(C617=0,B617/($B$172-MAX(217-1,$B$174)),B617*(C617/12)/(1-(1+C617/12)^(-($B$172-MAX(217-1,$B$174)))))),"")),D616)))+0.0000001&gt;=B617*C617/12,MIN(B617*(1+C617/12),IF(AND(217&lt;=$B$174,217&lt;=$B$173),B617*C617/12,IF(AND(217=$B$173+1,AND(217&gt;$B$173,$B$78="Refinance",ISNUMBER($B$80),$B$80&gt;=0,$B$80&lt;=1,ROUND($B$81*12,0)&gt;=1,$B$81&lt;=100,SUM($B$82)&gt;=0,SUM($B$82)&lt;=1,SUM($B$83)&gt;=0)),IF(B617=0,0,IF(C617=0,B617/ROUND($B$81*12,0),B617*(C617/12)/(1-(1+C617/12)^(-ROUND($B$81*12,0))))),IF(AND(NOT(AND(217&gt;$B$173,$B$78="Refinance",ISNUMBER($B$80),$B$80&gt;=0,$B$80&lt;=1,ROUND($B$81*12,0)&gt;=1,$B$81&lt;=100,SUM($B$82)&gt;=0,SUM($B$82)&lt;=1,SUM($B$83)&gt;=0)),OR(217=1,217=$B$174+1,AND($B$175&gt;0,217=$B$175+1))),IF(AND($B$170=1,$B$66&gt;0,OR($B$175=0,217&lt;=$B$175)),$B$66,IF($B$172-MAX(217-1,$B$174)&gt;0,IF(B617=0,0,IF(C617=0,B617/($B$172-MAX(217-1,$B$174)),B617*(C617/12)/(1-(1+C617/12)^(-($B$172-MAX(217-1,$B$174)))))),"")),D616)))),""),""))</x:f>
        <x:v>4679.450723240598</x:v>
      </x:c>
      <x:c r="E617" s="440" t="n">
        <x:f>IF(AND(217=$B$173,ISNUMBER(D617)),IF(MAX(0,B617*(1+C617/12)-D617)&lt;MAX(0.0000001,$E$17*0.00000000001),0,MAX(0,B617*(1+C617/12)-D617)),0)</x:f>
        <x:v>0</x:v>
      </x:c>
      <x:c r="F617" s="440" t="n">
        <x:f>IF($B$78="Cash payoff",E617,0)</x:f>
        <x:v>0</x:v>
      </x:c>
      <x:c r="G617" s="440" t="n">
        <x:f>IF(AND(E617&gt;0,AND($B$78="Refinance",ISNUMBER($B$80),$B$80&gt;=0,$B$80&lt;=1,ROUND($B$81*12,0)&gt;=1,$B$81&lt;=100,SUM($B$82)&gt;=0,SUM($B$82)&lt;=1,SUM($B$83)&gt;=0)),E617*SUM($B$82)+SUM($B$83),0)</x:f>
        <x:v>0</x:v>
      </x:c>
      <x:c r="H617" s="440" t="n">
        <x:f>IF(ISNUMBER(D617),IF(MAX(0,B617*(1+C617/12)-D617-F617)&lt;MAX(0.0000001,$E$17*0.00000000001),0,MAX(0,B617*(1+C617/12)-D617-F617)),IF(AND($B$171=1,I616=1),B617,""))</x:f>
        <x:v>471013.0995987298</x:v>
      </x:c>
      <x:c r="I617" s="444" t="n">
        <x:f>IF(OR(I616=1,AND(E617&gt;0,$B$78&lt;&gt;"Cash payoff",NOT(AND($B$78="Refinance",ISNUMBER($B$80),$B$80&gt;=0,$B$80&lt;=1,ROUND($B$81*12,0)&gt;=1,$B$81&lt;=100,SUM($B$82)&gt;=0,SUM($B$82)&lt;=1,SUM($B$83)&gt;=0))),AND(ISNUMBER(B617),B617&gt;0,$B$171=1,NOT(ISNUMBER(D617)))),1,0)</x:f>
        <x:v>0</x:v>
      </x:c>
      <x:c r="J617" s="440" t="n">
        <x:f>IF(ISNUMBER(L616),L616,"")</x:f>
        <x:v>0</x:v>
      </x:c>
      <x:c r="K617" s="440" t="n">
        <x:f>IF(AND(ISNUMBER(J617),J617=0),0,IF(AND($B$176=1,ISNUMBER(J617)),MIN(J617*(1+$B$87/12),IF($B$86=0,0,IF($B$87=0,$B$86/ROUND($B$88*12,0),$B$86*($B$87/12)/(1-(1+$B$87/12)^(-ROUND($B$88*12,0)))))),""))</x:f>
        <x:v>0</x:v>
      </x:c>
      <x:c r="L617" s="440" t="n">
        <x:f>IF(ISNUMBER(K617),IF(MAX(0,J617*(1+SUM($B$87)/12)-K617)&lt;MAX(0.0000001,$B$86*0.00000000001),0,MAX(0,J617*(1+SUM($B$87)/12)-K617)),"")</x:f>
        <x:v>0</x:v>
      </x:c>
      <x:c r="M617" s="440" t="n">
        <x:f>IF(AND(ISNUMBER(D617),ISNUMBER(K617)),D617+K617,"")</x:f>
        <x:v>4679.450723240598</x:v>
      </x:c>
      <x:c r="N617" s="440" t="n">
        <x:f>IF(AND(ISNUMBER(H617),ISNUMBER(L617)),H617+L617,"")</x:f>
        <x:v>471013.0995987298</x:v>
      </x:c>
    </x:row>
    <x:row r="618" ht="22" customHeight="1">
      <x:c r="A618" s="254" t="n">
        <x:f>218</x:f>
        <x:v>218</x:v>
      </x:c>
      <x:c r="B618" s="440" t="n">
        <x:f>IF(ISNUMBER(H617),H617,"")</x:f>
        <x:v>471013.0995987298</x:v>
      </x:c>
      <x:c r="C618" s="442" t="n">
        <x:f>IF(ISNUMBER(B618),IF(AND(218&gt;$B$173,$B$78="Refinance",ISNUMBER($B$80),$B$80&gt;=0,$B$80&lt;=1,ROUND($B$81*12,0)&gt;=1,$B$81&lt;=100,SUM($B$82)&gt;=0,SUM($B$82)&lt;=1,SUM($B$83)&gt;=0),$B$80,IF(AND($B$175&gt;0,218&gt;$B$175,ISNUMBER($B$75)),$B$75,$B$61)),"")</x:f>
        <x:v>0.0625</x:v>
      </x:c>
      <x:c r="D618" s="440" t="n">
        <x:f>IF(AND(ISNUMBER(B618),B618=0),0,IF(AND($B$171=1,I617=0,ISNUMBER(C618),ISNUMBER(IF(AND(218&lt;=$B$174,218&lt;=$B$173),B618*C618/12,IF(AND(218=$B$173+1,AND(218&gt;$B$173,$B$78="Refinance",ISNUMBER($B$80),$B$80&gt;=0,$B$80&lt;=1,ROUND($B$81*12,0)&gt;=1,$B$81&lt;=100,SUM($B$82)&gt;=0,SUM($B$82)&lt;=1,SUM($B$83)&gt;=0)),IF(B618=0,0,IF(C618=0,B618/ROUND($B$81*12,0),B618*(C618/12)/(1-(1+C618/12)^(-ROUND($B$81*12,0))))),IF(AND(NOT(AND(218&gt;$B$173,$B$78="Refinance",ISNUMBER($B$80),$B$80&gt;=0,$B$80&lt;=1,ROUND($B$81*12,0)&gt;=1,$B$81&lt;=100,SUM($B$82)&gt;=0,SUM($B$82)&lt;=1,SUM($B$83)&gt;=0)),OR(218=1,218=$B$174+1,AND($B$175&gt;0,218=$B$175+1))),IF(AND($B$170=1,$B$66&gt;0,OR($B$175=0,218&lt;=$B$175)),$B$66,IF($B$172-MAX(218-1,$B$174)&gt;0,IF(B618=0,0,IF(C618=0,B618/($B$172-MAX(218-1,$B$174)),B618*(C618/12)/(1-(1+C618/12)^(-($B$172-MAX(218-1,$B$174)))))),"")),D617))))),IF(IF(AND(218&lt;=$B$174,218&lt;=$B$173),B618*C618/12,IF(AND(218=$B$173+1,AND(218&gt;$B$173,$B$78="Refinance",ISNUMBER($B$80),$B$80&gt;=0,$B$80&lt;=1,ROUND($B$81*12,0)&gt;=1,$B$81&lt;=100,SUM($B$82)&gt;=0,SUM($B$82)&lt;=1,SUM($B$83)&gt;=0)),IF(B618=0,0,IF(C618=0,B618/ROUND($B$81*12,0),B618*(C618/12)/(1-(1+C618/12)^(-ROUND($B$81*12,0))))),IF(AND(NOT(AND(218&gt;$B$173,$B$78="Refinance",ISNUMBER($B$80),$B$80&gt;=0,$B$80&lt;=1,ROUND($B$81*12,0)&gt;=1,$B$81&lt;=100,SUM($B$82)&gt;=0,SUM($B$82)&lt;=1,SUM($B$83)&gt;=0)),OR(218=1,218=$B$174+1,AND($B$175&gt;0,218=$B$175+1))),IF(AND($B$170=1,$B$66&gt;0,OR($B$175=0,218&lt;=$B$175)),$B$66,IF($B$172-MAX(218-1,$B$174)&gt;0,IF(B618=0,0,IF(C618=0,B618/($B$172-MAX(218-1,$B$174)),B618*(C618/12)/(1-(1+C618/12)^(-($B$172-MAX(218-1,$B$174)))))),"")),D617)))+0.0000001&gt;=B618*C618/12,MIN(B618*(1+C618/12),IF(AND(218&lt;=$B$174,218&lt;=$B$173),B618*C618/12,IF(AND(218=$B$173+1,AND(218&gt;$B$173,$B$78="Refinance",ISNUMBER($B$80),$B$80&gt;=0,$B$80&lt;=1,ROUND($B$81*12,0)&gt;=1,$B$81&lt;=100,SUM($B$82)&gt;=0,SUM($B$82)&lt;=1,SUM($B$83)&gt;=0)),IF(B618=0,0,IF(C618=0,B618/ROUND($B$81*12,0),B618*(C618/12)/(1-(1+C618/12)^(-ROUND($B$81*12,0))))),IF(AND(NOT(AND(218&gt;$B$173,$B$78="Refinance",ISNUMBER($B$80),$B$80&gt;=0,$B$80&lt;=1,ROUND($B$81*12,0)&gt;=1,$B$81&lt;=100,SUM($B$82)&gt;=0,SUM($B$82)&lt;=1,SUM($B$83)&gt;=0)),OR(218=1,218=$B$174+1,AND($B$175&gt;0,218=$B$175+1))),IF(AND($B$170=1,$B$66&gt;0,OR($B$175=0,218&lt;=$B$175)),$B$66,IF($B$172-MAX(218-1,$B$174)&gt;0,IF(B618=0,0,IF(C618=0,B618/($B$172-MAX(218-1,$B$174)),B618*(C618/12)/(1-(1+C618/12)^(-($B$172-MAX(218-1,$B$174)))))),"")),D617)))),""),""))</x:f>
        <x:v>4679.450723240598</x:v>
      </x:c>
      <x:c r="E618" s="440" t="n">
        <x:f>IF(AND(218=$B$173,ISNUMBER(D618)),IF(MAX(0,B618*(1+C618/12)-D618)&lt;MAX(0.0000001,$E$17*0.00000000001),0,MAX(0,B618*(1+C618/12)-D618)),0)</x:f>
        <x:v>0</x:v>
      </x:c>
      <x:c r="F618" s="440" t="n">
        <x:f>IF($B$78="Cash payoff",E618,0)</x:f>
        <x:v>0</x:v>
      </x:c>
      <x:c r="G618" s="440" t="n">
        <x:f>IF(AND(E618&gt;0,AND($B$78="Refinance",ISNUMBER($B$80),$B$80&gt;=0,$B$80&lt;=1,ROUND($B$81*12,0)&gt;=1,$B$81&lt;=100,SUM($B$82)&gt;=0,SUM($B$82)&lt;=1,SUM($B$83)&gt;=0)),E618*SUM($B$82)+SUM($B$83),0)</x:f>
        <x:v>0</x:v>
      </x:c>
      <x:c r="H618" s="440" t="n">
        <x:f>IF(ISNUMBER(D618),IF(MAX(0,B618*(1+C618/12)-D618-F618)&lt;MAX(0.0000001,$E$17*0.00000000001),0,MAX(0,B618*(1+C618/12)-D618-F618)),IF(AND($B$171=1,I617=1),B618,""))</x:f>
        <x:v>468786.84210256586</x:v>
      </x:c>
      <x:c r="I618" s="444" t="n">
        <x:f>IF(OR(I617=1,AND(E618&gt;0,$B$78&lt;&gt;"Cash payoff",NOT(AND($B$78="Refinance",ISNUMBER($B$80),$B$80&gt;=0,$B$80&lt;=1,ROUND($B$81*12,0)&gt;=1,$B$81&lt;=100,SUM($B$82)&gt;=0,SUM($B$82)&lt;=1,SUM($B$83)&gt;=0))),AND(ISNUMBER(B618),B618&gt;0,$B$171=1,NOT(ISNUMBER(D618)))),1,0)</x:f>
        <x:v>0</x:v>
      </x:c>
      <x:c r="J618" s="440" t="n">
        <x:f>IF(ISNUMBER(L617),L617,"")</x:f>
        <x:v>0</x:v>
      </x:c>
      <x:c r="K618" s="440" t="n">
        <x:f>IF(AND(ISNUMBER(J618),J618=0),0,IF(AND($B$176=1,ISNUMBER(J618)),MIN(J618*(1+$B$87/12),IF($B$86=0,0,IF($B$87=0,$B$86/ROUND($B$88*12,0),$B$86*($B$87/12)/(1-(1+$B$87/12)^(-ROUND($B$88*12,0)))))),""))</x:f>
        <x:v>0</x:v>
      </x:c>
      <x:c r="L618" s="440" t="n">
        <x:f>IF(ISNUMBER(K618),IF(MAX(0,J618*(1+SUM($B$87)/12)-K618)&lt;MAX(0.0000001,$B$86*0.00000000001),0,MAX(0,J618*(1+SUM($B$87)/12)-K618)),"")</x:f>
        <x:v>0</x:v>
      </x:c>
      <x:c r="M618" s="440" t="n">
        <x:f>IF(AND(ISNUMBER(D618),ISNUMBER(K618)),D618+K618,"")</x:f>
        <x:v>4679.450723240598</x:v>
      </x:c>
      <x:c r="N618" s="440" t="n">
        <x:f>IF(AND(ISNUMBER(H618),ISNUMBER(L618)),H618+L618,"")</x:f>
        <x:v>468786.84210256586</x:v>
      </x:c>
    </x:row>
    <x:row r="619" ht="22" customHeight="1">
      <x:c r="A619" s="254" t="n">
        <x:f>219</x:f>
        <x:v>219</x:v>
      </x:c>
      <x:c r="B619" s="440" t="n">
        <x:f>IF(ISNUMBER(H618),H618,"")</x:f>
        <x:v>468786.84210256586</x:v>
      </x:c>
      <x:c r="C619" s="442" t="n">
        <x:f>IF(ISNUMBER(B619),IF(AND(219&gt;$B$173,$B$78="Refinance",ISNUMBER($B$80),$B$80&gt;=0,$B$80&lt;=1,ROUND($B$81*12,0)&gt;=1,$B$81&lt;=100,SUM($B$82)&gt;=0,SUM($B$82)&lt;=1,SUM($B$83)&gt;=0),$B$80,IF(AND($B$175&gt;0,219&gt;$B$175,ISNUMBER($B$75)),$B$75,$B$61)),"")</x:f>
        <x:v>0.0625</x:v>
      </x:c>
      <x:c r="D619" s="440" t="n">
        <x:f>IF(AND(ISNUMBER(B619),B619=0),0,IF(AND($B$171=1,I618=0,ISNUMBER(C619),ISNUMBER(IF(AND(219&lt;=$B$174,219&lt;=$B$173),B619*C619/12,IF(AND(219=$B$173+1,AND(219&gt;$B$173,$B$78="Refinance",ISNUMBER($B$80),$B$80&gt;=0,$B$80&lt;=1,ROUND($B$81*12,0)&gt;=1,$B$81&lt;=100,SUM($B$82)&gt;=0,SUM($B$82)&lt;=1,SUM($B$83)&gt;=0)),IF(B619=0,0,IF(C619=0,B619/ROUND($B$81*12,0),B619*(C619/12)/(1-(1+C619/12)^(-ROUND($B$81*12,0))))),IF(AND(NOT(AND(219&gt;$B$173,$B$78="Refinance",ISNUMBER($B$80),$B$80&gt;=0,$B$80&lt;=1,ROUND($B$81*12,0)&gt;=1,$B$81&lt;=100,SUM($B$82)&gt;=0,SUM($B$82)&lt;=1,SUM($B$83)&gt;=0)),OR(219=1,219=$B$174+1,AND($B$175&gt;0,219=$B$175+1))),IF(AND($B$170=1,$B$66&gt;0,OR($B$175=0,219&lt;=$B$175)),$B$66,IF($B$172-MAX(219-1,$B$174)&gt;0,IF(B619=0,0,IF(C619=0,B619/($B$172-MAX(219-1,$B$174)),B619*(C619/12)/(1-(1+C619/12)^(-($B$172-MAX(219-1,$B$174)))))),"")),D618))))),IF(IF(AND(219&lt;=$B$174,219&lt;=$B$173),B619*C619/12,IF(AND(219=$B$173+1,AND(219&gt;$B$173,$B$78="Refinance",ISNUMBER($B$80),$B$80&gt;=0,$B$80&lt;=1,ROUND($B$81*12,0)&gt;=1,$B$81&lt;=100,SUM($B$82)&gt;=0,SUM($B$82)&lt;=1,SUM($B$83)&gt;=0)),IF(B619=0,0,IF(C619=0,B619/ROUND($B$81*12,0),B619*(C619/12)/(1-(1+C619/12)^(-ROUND($B$81*12,0))))),IF(AND(NOT(AND(219&gt;$B$173,$B$78="Refinance",ISNUMBER($B$80),$B$80&gt;=0,$B$80&lt;=1,ROUND($B$81*12,0)&gt;=1,$B$81&lt;=100,SUM($B$82)&gt;=0,SUM($B$82)&lt;=1,SUM($B$83)&gt;=0)),OR(219=1,219=$B$174+1,AND($B$175&gt;0,219=$B$175+1))),IF(AND($B$170=1,$B$66&gt;0,OR($B$175=0,219&lt;=$B$175)),$B$66,IF($B$172-MAX(219-1,$B$174)&gt;0,IF(B619=0,0,IF(C619=0,B619/($B$172-MAX(219-1,$B$174)),B619*(C619/12)/(1-(1+C619/12)^(-($B$172-MAX(219-1,$B$174)))))),"")),D618)))+0.0000001&gt;=B619*C619/12,MIN(B619*(1+C619/12),IF(AND(219&lt;=$B$174,219&lt;=$B$173),B619*C619/12,IF(AND(219=$B$173+1,AND(219&gt;$B$173,$B$78="Refinance",ISNUMBER($B$80),$B$80&gt;=0,$B$80&lt;=1,ROUND($B$81*12,0)&gt;=1,$B$81&lt;=100,SUM($B$82)&gt;=0,SUM($B$82)&lt;=1,SUM($B$83)&gt;=0)),IF(B619=0,0,IF(C619=0,B619/ROUND($B$81*12,0),B619*(C619/12)/(1-(1+C619/12)^(-ROUND($B$81*12,0))))),IF(AND(NOT(AND(219&gt;$B$173,$B$78="Refinance",ISNUMBER($B$80),$B$80&gt;=0,$B$80&lt;=1,ROUND($B$81*12,0)&gt;=1,$B$81&lt;=100,SUM($B$82)&gt;=0,SUM($B$82)&lt;=1,SUM($B$83)&gt;=0)),OR(219=1,219=$B$174+1,AND($B$175&gt;0,219=$B$175+1))),IF(AND($B$170=1,$B$66&gt;0,OR($B$175=0,219&lt;=$B$175)),$B$66,IF($B$172-MAX(219-1,$B$174)&gt;0,IF(B619=0,0,IF(C619=0,B619/($B$172-MAX(219-1,$B$174)),B619*(C619/12)/(1-(1+C619/12)^(-($B$172-MAX(219-1,$B$174)))))),"")),D618)))),""),""))</x:f>
        <x:v>4679.450723240598</x:v>
      </x:c>
      <x:c r="E619" s="440" t="n">
        <x:f>IF(AND(219=$B$173,ISNUMBER(D619)),IF(MAX(0,B619*(1+C619/12)-D619)&lt;MAX(0.0000001,$E$17*0.00000000001),0,MAX(0,B619*(1+C619/12)-D619)),0)</x:f>
        <x:v>0</x:v>
      </x:c>
      <x:c r="F619" s="440" t="n">
        <x:f>IF($B$78="Cash payoff",E619,0)</x:f>
        <x:v>0</x:v>
      </x:c>
      <x:c r="G619" s="440" t="n">
        <x:f>IF(AND(E619&gt;0,AND($B$78="Refinance",ISNUMBER($B$80),$B$80&gt;=0,$B$80&lt;=1,ROUND($B$81*12,0)&gt;=1,$B$81&lt;=100,SUM($B$82)&gt;=0,SUM($B$82)&lt;=1,SUM($B$83)&gt;=0)),E619*SUM($B$82)+SUM($B$83),0)</x:f>
        <x:v>0</x:v>
      </x:c>
      <x:c r="H619" s="440" t="n">
        <x:f>IF(ISNUMBER(D619),IF(MAX(0,B619*(1+C619/12)-D619-F619)&lt;MAX(0.0000001,$E$17*0.00000000001),0,MAX(0,B619*(1+C619/12)-D619-F619)),IF(AND($B$171=1,I618=1),B619,""))</x:f>
        <x:v>466548.98951527604</x:v>
      </x:c>
      <x:c r="I619" s="444" t="n">
        <x:f>IF(OR(I618=1,AND(E619&gt;0,$B$78&lt;&gt;"Cash payoff",NOT(AND($B$78="Refinance",ISNUMBER($B$80),$B$80&gt;=0,$B$80&lt;=1,ROUND($B$81*12,0)&gt;=1,$B$81&lt;=100,SUM($B$82)&gt;=0,SUM($B$82)&lt;=1,SUM($B$83)&gt;=0))),AND(ISNUMBER(B619),B619&gt;0,$B$171=1,NOT(ISNUMBER(D619)))),1,0)</x:f>
        <x:v>0</x:v>
      </x:c>
      <x:c r="J619" s="440" t="n">
        <x:f>IF(ISNUMBER(L618),L618,"")</x:f>
        <x:v>0</x:v>
      </x:c>
      <x:c r="K619" s="440" t="n">
        <x:f>IF(AND(ISNUMBER(J619),J619=0),0,IF(AND($B$176=1,ISNUMBER(J619)),MIN(J619*(1+$B$87/12),IF($B$86=0,0,IF($B$87=0,$B$86/ROUND($B$88*12,0),$B$86*($B$87/12)/(1-(1+$B$87/12)^(-ROUND($B$88*12,0)))))),""))</x:f>
        <x:v>0</x:v>
      </x:c>
      <x:c r="L619" s="440" t="n">
        <x:f>IF(ISNUMBER(K619),IF(MAX(0,J619*(1+SUM($B$87)/12)-K619)&lt;MAX(0.0000001,$B$86*0.00000000001),0,MAX(0,J619*(1+SUM($B$87)/12)-K619)),"")</x:f>
        <x:v>0</x:v>
      </x:c>
      <x:c r="M619" s="440" t="n">
        <x:f>IF(AND(ISNUMBER(D619),ISNUMBER(K619)),D619+K619,"")</x:f>
        <x:v>4679.450723240598</x:v>
      </x:c>
      <x:c r="N619" s="440" t="n">
        <x:f>IF(AND(ISNUMBER(H619),ISNUMBER(L619)),H619+L619,"")</x:f>
        <x:v>466548.98951527604</x:v>
      </x:c>
    </x:row>
    <x:row r="620" ht="22" customHeight="1">
      <x:c r="A620" s="254" t="n">
        <x:f>220</x:f>
        <x:v>220</x:v>
      </x:c>
      <x:c r="B620" s="440" t="n">
        <x:f>IF(ISNUMBER(H619),H619,"")</x:f>
        <x:v>466548.98951527604</x:v>
      </x:c>
      <x:c r="C620" s="442" t="n">
        <x:f>IF(ISNUMBER(B620),IF(AND(220&gt;$B$173,$B$78="Refinance",ISNUMBER($B$80),$B$80&gt;=0,$B$80&lt;=1,ROUND($B$81*12,0)&gt;=1,$B$81&lt;=100,SUM($B$82)&gt;=0,SUM($B$82)&lt;=1,SUM($B$83)&gt;=0),$B$80,IF(AND($B$175&gt;0,220&gt;$B$175,ISNUMBER($B$75)),$B$75,$B$61)),"")</x:f>
        <x:v>0.0625</x:v>
      </x:c>
      <x:c r="D620" s="440" t="n">
        <x:f>IF(AND(ISNUMBER(B620),B620=0),0,IF(AND($B$171=1,I619=0,ISNUMBER(C620),ISNUMBER(IF(AND(220&lt;=$B$174,220&lt;=$B$173),B620*C620/12,IF(AND(220=$B$173+1,AND(220&gt;$B$173,$B$78="Refinance",ISNUMBER($B$80),$B$80&gt;=0,$B$80&lt;=1,ROUND($B$81*12,0)&gt;=1,$B$81&lt;=100,SUM($B$82)&gt;=0,SUM($B$82)&lt;=1,SUM($B$83)&gt;=0)),IF(B620=0,0,IF(C620=0,B620/ROUND($B$81*12,0),B620*(C620/12)/(1-(1+C620/12)^(-ROUND($B$81*12,0))))),IF(AND(NOT(AND(220&gt;$B$173,$B$78="Refinance",ISNUMBER($B$80),$B$80&gt;=0,$B$80&lt;=1,ROUND($B$81*12,0)&gt;=1,$B$81&lt;=100,SUM($B$82)&gt;=0,SUM($B$82)&lt;=1,SUM($B$83)&gt;=0)),OR(220=1,220=$B$174+1,AND($B$175&gt;0,220=$B$175+1))),IF(AND($B$170=1,$B$66&gt;0,OR($B$175=0,220&lt;=$B$175)),$B$66,IF($B$172-MAX(220-1,$B$174)&gt;0,IF(B620=0,0,IF(C620=0,B620/($B$172-MAX(220-1,$B$174)),B620*(C620/12)/(1-(1+C620/12)^(-($B$172-MAX(220-1,$B$174)))))),"")),D619))))),IF(IF(AND(220&lt;=$B$174,220&lt;=$B$173),B620*C620/12,IF(AND(220=$B$173+1,AND(220&gt;$B$173,$B$78="Refinance",ISNUMBER($B$80),$B$80&gt;=0,$B$80&lt;=1,ROUND($B$81*12,0)&gt;=1,$B$81&lt;=100,SUM($B$82)&gt;=0,SUM($B$82)&lt;=1,SUM($B$83)&gt;=0)),IF(B620=0,0,IF(C620=0,B620/ROUND($B$81*12,0),B620*(C620/12)/(1-(1+C620/12)^(-ROUND($B$81*12,0))))),IF(AND(NOT(AND(220&gt;$B$173,$B$78="Refinance",ISNUMBER($B$80),$B$80&gt;=0,$B$80&lt;=1,ROUND($B$81*12,0)&gt;=1,$B$81&lt;=100,SUM($B$82)&gt;=0,SUM($B$82)&lt;=1,SUM($B$83)&gt;=0)),OR(220=1,220=$B$174+1,AND($B$175&gt;0,220=$B$175+1))),IF(AND($B$170=1,$B$66&gt;0,OR($B$175=0,220&lt;=$B$175)),$B$66,IF($B$172-MAX(220-1,$B$174)&gt;0,IF(B620=0,0,IF(C620=0,B620/($B$172-MAX(220-1,$B$174)),B620*(C620/12)/(1-(1+C620/12)^(-($B$172-MAX(220-1,$B$174)))))),"")),D619)))+0.0000001&gt;=B620*C620/12,MIN(B620*(1+C620/12),IF(AND(220&lt;=$B$174,220&lt;=$B$173),B620*C620/12,IF(AND(220=$B$173+1,AND(220&gt;$B$173,$B$78="Refinance",ISNUMBER($B$80),$B$80&gt;=0,$B$80&lt;=1,ROUND($B$81*12,0)&gt;=1,$B$81&lt;=100,SUM($B$82)&gt;=0,SUM($B$82)&lt;=1,SUM($B$83)&gt;=0)),IF(B620=0,0,IF(C620=0,B620/ROUND($B$81*12,0),B620*(C620/12)/(1-(1+C620/12)^(-ROUND($B$81*12,0))))),IF(AND(NOT(AND(220&gt;$B$173,$B$78="Refinance",ISNUMBER($B$80),$B$80&gt;=0,$B$80&lt;=1,ROUND($B$81*12,0)&gt;=1,$B$81&lt;=100,SUM($B$82)&gt;=0,SUM($B$82)&lt;=1,SUM($B$83)&gt;=0)),OR(220=1,220=$B$174+1,AND($B$175&gt;0,220=$B$175+1))),IF(AND($B$170=1,$B$66&gt;0,OR($B$175=0,220&lt;=$B$175)),$B$66,IF($B$172-MAX(220-1,$B$174)&gt;0,IF(B620=0,0,IF(C620=0,B620/($B$172-MAX(220-1,$B$174)),B620*(C620/12)/(1-(1+C620/12)^(-($B$172-MAX(220-1,$B$174)))))),"")),D619)))),""),""))</x:f>
        <x:v>4679.450723240598</x:v>
      </x:c>
      <x:c r="E620" s="440" t="n">
        <x:f>IF(AND(220=$B$173,ISNUMBER(D620)),IF(MAX(0,B620*(1+C620/12)-D620)&lt;MAX(0.0000001,$E$17*0.00000000001),0,MAX(0,B620*(1+C620/12)-D620)),0)</x:f>
        <x:v>0</x:v>
      </x:c>
      <x:c r="F620" s="440" t="n">
        <x:f>IF($B$78="Cash payoff",E620,0)</x:f>
        <x:v>0</x:v>
      </x:c>
      <x:c r="G620" s="440" t="n">
        <x:f>IF(AND(E620&gt;0,AND($B$78="Refinance",ISNUMBER($B$80),$B$80&gt;=0,$B$80&lt;=1,ROUND($B$81*12,0)&gt;=1,$B$81&lt;=100,SUM($B$82)&gt;=0,SUM($B$82)&lt;=1,SUM($B$83)&gt;=0)),E620*SUM($B$82)+SUM($B$83),0)</x:f>
        <x:v>0</x:v>
      </x:c>
      <x:c r="H620" s="440" t="n">
        <x:f>IF(ISNUMBER(D620),IF(MAX(0,B620*(1+C620/12)-D620-F620)&lt;MAX(0.0000001,$E$17*0.00000000001),0,MAX(0,B620*(1+C620/12)-D620-F620)),IF(AND($B$171=1,I619=1),B620,""))</x:f>
        <x:v>464299.4814457608</x:v>
      </x:c>
      <x:c r="I620" s="444" t="n">
        <x:f>IF(OR(I619=1,AND(E620&gt;0,$B$78&lt;&gt;"Cash payoff",NOT(AND($B$78="Refinance",ISNUMBER($B$80),$B$80&gt;=0,$B$80&lt;=1,ROUND($B$81*12,0)&gt;=1,$B$81&lt;=100,SUM($B$82)&gt;=0,SUM($B$82)&lt;=1,SUM($B$83)&gt;=0))),AND(ISNUMBER(B620),B620&gt;0,$B$171=1,NOT(ISNUMBER(D620)))),1,0)</x:f>
        <x:v>0</x:v>
      </x:c>
      <x:c r="J620" s="440" t="n">
        <x:f>IF(ISNUMBER(L619),L619,"")</x:f>
        <x:v>0</x:v>
      </x:c>
      <x:c r="K620" s="440" t="n">
        <x:f>IF(AND(ISNUMBER(J620),J620=0),0,IF(AND($B$176=1,ISNUMBER(J620)),MIN(J620*(1+$B$87/12),IF($B$86=0,0,IF($B$87=0,$B$86/ROUND($B$88*12,0),$B$86*($B$87/12)/(1-(1+$B$87/12)^(-ROUND($B$88*12,0)))))),""))</x:f>
        <x:v>0</x:v>
      </x:c>
      <x:c r="L620" s="440" t="n">
        <x:f>IF(ISNUMBER(K620),IF(MAX(0,J620*(1+SUM($B$87)/12)-K620)&lt;MAX(0.0000001,$B$86*0.00000000001),0,MAX(0,J620*(1+SUM($B$87)/12)-K620)),"")</x:f>
        <x:v>0</x:v>
      </x:c>
      <x:c r="M620" s="440" t="n">
        <x:f>IF(AND(ISNUMBER(D620),ISNUMBER(K620)),D620+K620,"")</x:f>
        <x:v>4679.450723240598</x:v>
      </x:c>
      <x:c r="N620" s="440" t="n">
        <x:f>IF(AND(ISNUMBER(H620),ISNUMBER(L620)),H620+L620,"")</x:f>
        <x:v>464299.4814457608</x:v>
      </x:c>
    </x:row>
    <x:row r="621" ht="22" customHeight="1">
      <x:c r="A621" s="254" t="n">
        <x:f>221</x:f>
        <x:v>221</x:v>
      </x:c>
      <x:c r="B621" s="440" t="n">
        <x:f>IF(ISNUMBER(H620),H620,"")</x:f>
        <x:v>464299.4814457608</x:v>
      </x:c>
      <x:c r="C621" s="442" t="n">
        <x:f>IF(ISNUMBER(B621),IF(AND(221&gt;$B$173,$B$78="Refinance",ISNUMBER($B$80),$B$80&gt;=0,$B$80&lt;=1,ROUND($B$81*12,0)&gt;=1,$B$81&lt;=100,SUM($B$82)&gt;=0,SUM($B$82)&lt;=1,SUM($B$83)&gt;=0),$B$80,IF(AND($B$175&gt;0,221&gt;$B$175,ISNUMBER($B$75)),$B$75,$B$61)),"")</x:f>
        <x:v>0.0625</x:v>
      </x:c>
      <x:c r="D621" s="440" t="n">
        <x:f>IF(AND(ISNUMBER(B621),B621=0),0,IF(AND($B$171=1,I620=0,ISNUMBER(C621),ISNUMBER(IF(AND(221&lt;=$B$174,221&lt;=$B$173),B621*C621/12,IF(AND(221=$B$173+1,AND(221&gt;$B$173,$B$78="Refinance",ISNUMBER($B$80),$B$80&gt;=0,$B$80&lt;=1,ROUND($B$81*12,0)&gt;=1,$B$81&lt;=100,SUM($B$82)&gt;=0,SUM($B$82)&lt;=1,SUM($B$83)&gt;=0)),IF(B621=0,0,IF(C621=0,B621/ROUND($B$81*12,0),B621*(C621/12)/(1-(1+C621/12)^(-ROUND($B$81*12,0))))),IF(AND(NOT(AND(221&gt;$B$173,$B$78="Refinance",ISNUMBER($B$80),$B$80&gt;=0,$B$80&lt;=1,ROUND($B$81*12,0)&gt;=1,$B$81&lt;=100,SUM($B$82)&gt;=0,SUM($B$82)&lt;=1,SUM($B$83)&gt;=0)),OR(221=1,221=$B$174+1,AND($B$175&gt;0,221=$B$175+1))),IF(AND($B$170=1,$B$66&gt;0,OR($B$175=0,221&lt;=$B$175)),$B$66,IF($B$172-MAX(221-1,$B$174)&gt;0,IF(B621=0,0,IF(C621=0,B621/($B$172-MAX(221-1,$B$174)),B621*(C621/12)/(1-(1+C621/12)^(-($B$172-MAX(221-1,$B$174)))))),"")),D620))))),IF(IF(AND(221&lt;=$B$174,221&lt;=$B$173),B621*C621/12,IF(AND(221=$B$173+1,AND(221&gt;$B$173,$B$78="Refinance",ISNUMBER($B$80),$B$80&gt;=0,$B$80&lt;=1,ROUND($B$81*12,0)&gt;=1,$B$81&lt;=100,SUM($B$82)&gt;=0,SUM($B$82)&lt;=1,SUM($B$83)&gt;=0)),IF(B621=0,0,IF(C621=0,B621/ROUND($B$81*12,0),B621*(C621/12)/(1-(1+C621/12)^(-ROUND($B$81*12,0))))),IF(AND(NOT(AND(221&gt;$B$173,$B$78="Refinance",ISNUMBER($B$80),$B$80&gt;=0,$B$80&lt;=1,ROUND($B$81*12,0)&gt;=1,$B$81&lt;=100,SUM($B$82)&gt;=0,SUM($B$82)&lt;=1,SUM($B$83)&gt;=0)),OR(221=1,221=$B$174+1,AND($B$175&gt;0,221=$B$175+1))),IF(AND($B$170=1,$B$66&gt;0,OR($B$175=0,221&lt;=$B$175)),$B$66,IF($B$172-MAX(221-1,$B$174)&gt;0,IF(B621=0,0,IF(C621=0,B621/($B$172-MAX(221-1,$B$174)),B621*(C621/12)/(1-(1+C621/12)^(-($B$172-MAX(221-1,$B$174)))))),"")),D620)))+0.0000001&gt;=B621*C621/12,MIN(B621*(1+C621/12),IF(AND(221&lt;=$B$174,221&lt;=$B$173),B621*C621/12,IF(AND(221=$B$173+1,AND(221&gt;$B$173,$B$78="Refinance",ISNUMBER($B$80),$B$80&gt;=0,$B$80&lt;=1,ROUND($B$81*12,0)&gt;=1,$B$81&lt;=100,SUM($B$82)&gt;=0,SUM($B$82)&lt;=1,SUM($B$83)&gt;=0)),IF(B621=0,0,IF(C621=0,B621/ROUND($B$81*12,0),B621*(C621/12)/(1-(1+C621/12)^(-ROUND($B$81*12,0))))),IF(AND(NOT(AND(221&gt;$B$173,$B$78="Refinance",ISNUMBER($B$80),$B$80&gt;=0,$B$80&lt;=1,ROUND($B$81*12,0)&gt;=1,$B$81&lt;=100,SUM($B$82)&gt;=0,SUM($B$82)&lt;=1,SUM($B$83)&gt;=0)),OR(221=1,221=$B$174+1,AND($B$175&gt;0,221=$B$175+1))),IF(AND($B$170=1,$B$66&gt;0,OR($B$175=0,221&lt;=$B$175)),$B$66,IF($B$172-MAX(221-1,$B$174)&gt;0,IF(B621=0,0,IF(C621=0,B621/($B$172-MAX(221-1,$B$174)),B621*(C621/12)/(1-(1+C621/12)^(-($B$172-MAX(221-1,$B$174)))))),"")),D620)))),""),""))</x:f>
        <x:v>4679.450723240598</x:v>
      </x:c>
      <x:c r="E621" s="440" t="n">
        <x:f>IF(AND(221=$B$173,ISNUMBER(D621)),IF(MAX(0,B621*(1+C621/12)-D621)&lt;MAX(0.0000001,$E$17*0.00000000001),0,MAX(0,B621*(1+C621/12)-D621)),0)</x:f>
        <x:v>0</x:v>
      </x:c>
      <x:c r="F621" s="440" t="n">
        <x:f>IF($B$78="Cash payoff",E621,0)</x:f>
        <x:v>0</x:v>
      </x:c>
      <x:c r="G621" s="440" t="n">
        <x:f>IF(AND(E621&gt;0,AND($B$78="Refinance",ISNUMBER($B$80),$B$80&gt;=0,$B$80&lt;=1,ROUND($B$81*12,0)&gt;=1,$B$81&lt;=100,SUM($B$82)&gt;=0,SUM($B$82)&lt;=1,SUM($B$83)&gt;=0)),E621*SUM($B$82)+SUM($B$83),0)</x:f>
        <x:v>0</x:v>
      </x:c>
      <x:c r="H621" s="440" t="n">
        <x:f>IF(ISNUMBER(D621),IF(MAX(0,B621*(1+C621/12)-D621-F621)&lt;MAX(0.0000001,$E$17*0.00000000001),0,MAX(0,B621*(1+C621/12)-D621-F621)),IF(AND($B$171=1,I620=1),B621,""))</x:f>
        <x:v>462038.2571883835</x:v>
      </x:c>
      <x:c r="I621" s="444" t="n">
        <x:f>IF(OR(I620=1,AND(E621&gt;0,$B$78&lt;&gt;"Cash payoff",NOT(AND($B$78="Refinance",ISNUMBER($B$80),$B$80&gt;=0,$B$80&lt;=1,ROUND($B$81*12,0)&gt;=1,$B$81&lt;=100,SUM($B$82)&gt;=0,SUM($B$82)&lt;=1,SUM($B$83)&gt;=0))),AND(ISNUMBER(B621),B621&gt;0,$B$171=1,NOT(ISNUMBER(D621)))),1,0)</x:f>
        <x:v>0</x:v>
      </x:c>
      <x:c r="J621" s="440" t="n">
        <x:f>IF(ISNUMBER(L620),L620,"")</x:f>
        <x:v>0</x:v>
      </x:c>
      <x:c r="K621" s="440" t="n">
        <x:f>IF(AND(ISNUMBER(J621),J621=0),0,IF(AND($B$176=1,ISNUMBER(J621)),MIN(J621*(1+$B$87/12),IF($B$86=0,0,IF($B$87=0,$B$86/ROUND($B$88*12,0),$B$86*($B$87/12)/(1-(1+$B$87/12)^(-ROUND($B$88*12,0)))))),""))</x:f>
        <x:v>0</x:v>
      </x:c>
      <x:c r="L621" s="440" t="n">
        <x:f>IF(ISNUMBER(K621),IF(MAX(0,J621*(1+SUM($B$87)/12)-K621)&lt;MAX(0.0000001,$B$86*0.00000000001),0,MAX(0,J621*(1+SUM($B$87)/12)-K621)),"")</x:f>
        <x:v>0</x:v>
      </x:c>
      <x:c r="M621" s="440" t="n">
        <x:f>IF(AND(ISNUMBER(D621),ISNUMBER(K621)),D621+K621,"")</x:f>
        <x:v>4679.450723240598</x:v>
      </x:c>
      <x:c r="N621" s="440" t="n">
        <x:f>IF(AND(ISNUMBER(H621),ISNUMBER(L621)),H621+L621,"")</x:f>
        <x:v>462038.2571883835</x:v>
      </x:c>
    </x:row>
    <x:row r="622" ht="22" customHeight="1">
      <x:c r="A622" s="254" t="n">
        <x:f>222</x:f>
        <x:v>222</x:v>
      </x:c>
      <x:c r="B622" s="440" t="n">
        <x:f>IF(ISNUMBER(H621),H621,"")</x:f>
        <x:v>462038.2571883835</x:v>
      </x:c>
      <x:c r="C622" s="442" t="n">
        <x:f>IF(ISNUMBER(B622),IF(AND(222&gt;$B$173,$B$78="Refinance",ISNUMBER($B$80),$B$80&gt;=0,$B$80&lt;=1,ROUND($B$81*12,0)&gt;=1,$B$81&lt;=100,SUM($B$82)&gt;=0,SUM($B$82)&lt;=1,SUM($B$83)&gt;=0),$B$80,IF(AND($B$175&gt;0,222&gt;$B$175,ISNUMBER($B$75)),$B$75,$B$61)),"")</x:f>
        <x:v>0.0625</x:v>
      </x:c>
      <x:c r="D622" s="440" t="n">
        <x:f>IF(AND(ISNUMBER(B622),B622=0),0,IF(AND($B$171=1,I621=0,ISNUMBER(C622),ISNUMBER(IF(AND(222&lt;=$B$174,222&lt;=$B$173),B622*C622/12,IF(AND(222=$B$173+1,AND(222&gt;$B$173,$B$78="Refinance",ISNUMBER($B$80),$B$80&gt;=0,$B$80&lt;=1,ROUND($B$81*12,0)&gt;=1,$B$81&lt;=100,SUM($B$82)&gt;=0,SUM($B$82)&lt;=1,SUM($B$83)&gt;=0)),IF(B622=0,0,IF(C622=0,B622/ROUND($B$81*12,0),B622*(C622/12)/(1-(1+C622/12)^(-ROUND($B$81*12,0))))),IF(AND(NOT(AND(222&gt;$B$173,$B$78="Refinance",ISNUMBER($B$80),$B$80&gt;=0,$B$80&lt;=1,ROUND($B$81*12,0)&gt;=1,$B$81&lt;=100,SUM($B$82)&gt;=0,SUM($B$82)&lt;=1,SUM($B$83)&gt;=0)),OR(222=1,222=$B$174+1,AND($B$175&gt;0,222=$B$175+1))),IF(AND($B$170=1,$B$66&gt;0,OR($B$175=0,222&lt;=$B$175)),$B$66,IF($B$172-MAX(222-1,$B$174)&gt;0,IF(B622=0,0,IF(C622=0,B622/($B$172-MAX(222-1,$B$174)),B622*(C622/12)/(1-(1+C622/12)^(-($B$172-MAX(222-1,$B$174)))))),"")),D621))))),IF(IF(AND(222&lt;=$B$174,222&lt;=$B$173),B622*C622/12,IF(AND(222=$B$173+1,AND(222&gt;$B$173,$B$78="Refinance",ISNUMBER($B$80),$B$80&gt;=0,$B$80&lt;=1,ROUND($B$81*12,0)&gt;=1,$B$81&lt;=100,SUM($B$82)&gt;=0,SUM($B$82)&lt;=1,SUM($B$83)&gt;=0)),IF(B622=0,0,IF(C622=0,B622/ROUND($B$81*12,0),B622*(C622/12)/(1-(1+C622/12)^(-ROUND($B$81*12,0))))),IF(AND(NOT(AND(222&gt;$B$173,$B$78="Refinance",ISNUMBER($B$80),$B$80&gt;=0,$B$80&lt;=1,ROUND($B$81*12,0)&gt;=1,$B$81&lt;=100,SUM($B$82)&gt;=0,SUM($B$82)&lt;=1,SUM($B$83)&gt;=0)),OR(222=1,222=$B$174+1,AND($B$175&gt;0,222=$B$175+1))),IF(AND($B$170=1,$B$66&gt;0,OR($B$175=0,222&lt;=$B$175)),$B$66,IF($B$172-MAX(222-1,$B$174)&gt;0,IF(B622=0,0,IF(C622=0,B622/($B$172-MAX(222-1,$B$174)),B622*(C622/12)/(1-(1+C622/12)^(-($B$172-MAX(222-1,$B$174)))))),"")),D621)))+0.0000001&gt;=B622*C622/12,MIN(B622*(1+C622/12),IF(AND(222&lt;=$B$174,222&lt;=$B$173),B622*C622/12,IF(AND(222=$B$173+1,AND(222&gt;$B$173,$B$78="Refinance",ISNUMBER($B$80),$B$80&gt;=0,$B$80&lt;=1,ROUND($B$81*12,0)&gt;=1,$B$81&lt;=100,SUM($B$82)&gt;=0,SUM($B$82)&lt;=1,SUM($B$83)&gt;=0)),IF(B622=0,0,IF(C622=0,B622/ROUND($B$81*12,0),B622*(C622/12)/(1-(1+C622/12)^(-ROUND($B$81*12,0))))),IF(AND(NOT(AND(222&gt;$B$173,$B$78="Refinance",ISNUMBER($B$80),$B$80&gt;=0,$B$80&lt;=1,ROUND($B$81*12,0)&gt;=1,$B$81&lt;=100,SUM($B$82)&gt;=0,SUM($B$82)&lt;=1,SUM($B$83)&gt;=0)),OR(222=1,222=$B$174+1,AND($B$175&gt;0,222=$B$175+1))),IF(AND($B$170=1,$B$66&gt;0,OR($B$175=0,222&lt;=$B$175)),$B$66,IF($B$172-MAX(222-1,$B$174)&gt;0,IF(B622=0,0,IF(C622=0,B622/($B$172-MAX(222-1,$B$174)),B622*(C622/12)/(1-(1+C622/12)^(-($B$172-MAX(222-1,$B$174)))))),"")),D621)))),""),""))</x:f>
        <x:v>4679.450723240598</x:v>
      </x:c>
      <x:c r="E622" s="440" t="n">
        <x:f>IF(AND(222=$B$173,ISNUMBER(D622)),IF(MAX(0,B622*(1+C622/12)-D622)&lt;MAX(0.0000001,$E$17*0.00000000001),0,MAX(0,B622*(1+C622/12)-D622)),0)</x:f>
        <x:v>0</x:v>
      </x:c>
      <x:c r="F622" s="440" t="n">
        <x:f>IF($B$78="Cash payoff",E622,0)</x:f>
        <x:v>0</x:v>
      </x:c>
      <x:c r="G622" s="440" t="n">
        <x:f>IF(AND(E622&gt;0,AND($B$78="Refinance",ISNUMBER($B$80),$B$80&gt;=0,$B$80&lt;=1,ROUND($B$81*12,0)&gt;=1,$B$81&lt;=100,SUM($B$82)&gt;=0,SUM($B$82)&lt;=1,SUM($B$83)&gt;=0)),E622*SUM($B$82)+SUM($B$83),0)</x:f>
        <x:v>0</x:v>
      </x:c>
      <x:c r="H622" s="440" t="n">
        <x:f>IF(ISNUMBER(D622),IF(MAX(0,B622*(1+C622/12)-D622-F622)&lt;MAX(0.0000001,$E$17*0.00000000001),0,MAX(0,B622*(1+C622/12)-D622-F622)),IF(AND($B$171=1,I621=1),B622,""))</x:f>
        <x:v>459765.25572133233</x:v>
      </x:c>
      <x:c r="I622" s="444" t="n">
        <x:f>IF(OR(I621=1,AND(E622&gt;0,$B$78&lt;&gt;"Cash payoff",NOT(AND($B$78="Refinance",ISNUMBER($B$80),$B$80&gt;=0,$B$80&lt;=1,ROUND($B$81*12,0)&gt;=1,$B$81&lt;=100,SUM($B$82)&gt;=0,SUM($B$82)&lt;=1,SUM($B$83)&gt;=0))),AND(ISNUMBER(B622),B622&gt;0,$B$171=1,NOT(ISNUMBER(D622)))),1,0)</x:f>
        <x:v>0</x:v>
      </x:c>
      <x:c r="J622" s="440" t="n">
        <x:f>IF(ISNUMBER(L621),L621,"")</x:f>
        <x:v>0</x:v>
      </x:c>
      <x:c r="K622" s="440" t="n">
        <x:f>IF(AND(ISNUMBER(J622),J622=0),0,IF(AND($B$176=1,ISNUMBER(J622)),MIN(J622*(1+$B$87/12),IF($B$86=0,0,IF($B$87=0,$B$86/ROUND($B$88*12,0),$B$86*($B$87/12)/(1-(1+$B$87/12)^(-ROUND($B$88*12,0)))))),""))</x:f>
        <x:v>0</x:v>
      </x:c>
      <x:c r="L622" s="440" t="n">
        <x:f>IF(ISNUMBER(K622),IF(MAX(0,J622*(1+SUM($B$87)/12)-K622)&lt;MAX(0.0000001,$B$86*0.00000000001),0,MAX(0,J622*(1+SUM($B$87)/12)-K622)),"")</x:f>
        <x:v>0</x:v>
      </x:c>
      <x:c r="M622" s="440" t="n">
        <x:f>IF(AND(ISNUMBER(D622),ISNUMBER(K622)),D622+K622,"")</x:f>
        <x:v>4679.450723240598</x:v>
      </x:c>
      <x:c r="N622" s="440" t="n">
        <x:f>IF(AND(ISNUMBER(H622),ISNUMBER(L622)),H622+L622,"")</x:f>
        <x:v>459765.25572133233</x:v>
      </x:c>
    </x:row>
    <x:row r="623" ht="22" customHeight="1">
      <x:c r="A623" s="254" t="n">
        <x:f>223</x:f>
        <x:v>223</x:v>
      </x:c>
      <x:c r="B623" s="440" t="n">
        <x:f>IF(ISNUMBER(H622),H622,"")</x:f>
        <x:v>459765.25572133233</x:v>
      </x:c>
      <x:c r="C623" s="442" t="n">
        <x:f>IF(ISNUMBER(B623),IF(AND(223&gt;$B$173,$B$78="Refinance",ISNUMBER($B$80),$B$80&gt;=0,$B$80&lt;=1,ROUND($B$81*12,0)&gt;=1,$B$81&lt;=100,SUM($B$82)&gt;=0,SUM($B$82)&lt;=1,SUM($B$83)&gt;=0),$B$80,IF(AND($B$175&gt;0,223&gt;$B$175,ISNUMBER($B$75)),$B$75,$B$61)),"")</x:f>
        <x:v>0.0625</x:v>
      </x:c>
      <x:c r="D623" s="440" t="n">
        <x:f>IF(AND(ISNUMBER(B623),B623=0),0,IF(AND($B$171=1,I622=0,ISNUMBER(C623),ISNUMBER(IF(AND(223&lt;=$B$174,223&lt;=$B$173),B623*C623/12,IF(AND(223=$B$173+1,AND(223&gt;$B$173,$B$78="Refinance",ISNUMBER($B$80),$B$80&gt;=0,$B$80&lt;=1,ROUND($B$81*12,0)&gt;=1,$B$81&lt;=100,SUM($B$82)&gt;=0,SUM($B$82)&lt;=1,SUM($B$83)&gt;=0)),IF(B623=0,0,IF(C623=0,B623/ROUND($B$81*12,0),B623*(C623/12)/(1-(1+C623/12)^(-ROUND($B$81*12,0))))),IF(AND(NOT(AND(223&gt;$B$173,$B$78="Refinance",ISNUMBER($B$80),$B$80&gt;=0,$B$80&lt;=1,ROUND($B$81*12,0)&gt;=1,$B$81&lt;=100,SUM($B$82)&gt;=0,SUM($B$82)&lt;=1,SUM($B$83)&gt;=0)),OR(223=1,223=$B$174+1,AND($B$175&gt;0,223=$B$175+1))),IF(AND($B$170=1,$B$66&gt;0,OR($B$175=0,223&lt;=$B$175)),$B$66,IF($B$172-MAX(223-1,$B$174)&gt;0,IF(B623=0,0,IF(C623=0,B623/($B$172-MAX(223-1,$B$174)),B623*(C623/12)/(1-(1+C623/12)^(-($B$172-MAX(223-1,$B$174)))))),"")),D622))))),IF(IF(AND(223&lt;=$B$174,223&lt;=$B$173),B623*C623/12,IF(AND(223=$B$173+1,AND(223&gt;$B$173,$B$78="Refinance",ISNUMBER($B$80),$B$80&gt;=0,$B$80&lt;=1,ROUND($B$81*12,0)&gt;=1,$B$81&lt;=100,SUM($B$82)&gt;=0,SUM($B$82)&lt;=1,SUM($B$83)&gt;=0)),IF(B623=0,0,IF(C623=0,B623/ROUND($B$81*12,0),B623*(C623/12)/(1-(1+C623/12)^(-ROUND($B$81*12,0))))),IF(AND(NOT(AND(223&gt;$B$173,$B$78="Refinance",ISNUMBER($B$80),$B$80&gt;=0,$B$80&lt;=1,ROUND($B$81*12,0)&gt;=1,$B$81&lt;=100,SUM($B$82)&gt;=0,SUM($B$82)&lt;=1,SUM($B$83)&gt;=0)),OR(223=1,223=$B$174+1,AND($B$175&gt;0,223=$B$175+1))),IF(AND($B$170=1,$B$66&gt;0,OR($B$175=0,223&lt;=$B$175)),$B$66,IF($B$172-MAX(223-1,$B$174)&gt;0,IF(B623=0,0,IF(C623=0,B623/($B$172-MAX(223-1,$B$174)),B623*(C623/12)/(1-(1+C623/12)^(-($B$172-MAX(223-1,$B$174)))))),"")),D622)))+0.0000001&gt;=B623*C623/12,MIN(B623*(1+C623/12),IF(AND(223&lt;=$B$174,223&lt;=$B$173),B623*C623/12,IF(AND(223=$B$173+1,AND(223&gt;$B$173,$B$78="Refinance",ISNUMBER($B$80),$B$80&gt;=0,$B$80&lt;=1,ROUND($B$81*12,0)&gt;=1,$B$81&lt;=100,SUM($B$82)&gt;=0,SUM($B$82)&lt;=1,SUM($B$83)&gt;=0)),IF(B623=0,0,IF(C623=0,B623/ROUND($B$81*12,0),B623*(C623/12)/(1-(1+C623/12)^(-ROUND($B$81*12,0))))),IF(AND(NOT(AND(223&gt;$B$173,$B$78="Refinance",ISNUMBER($B$80),$B$80&gt;=0,$B$80&lt;=1,ROUND($B$81*12,0)&gt;=1,$B$81&lt;=100,SUM($B$82)&gt;=0,SUM($B$82)&lt;=1,SUM($B$83)&gt;=0)),OR(223=1,223=$B$174+1,AND($B$175&gt;0,223=$B$175+1))),IF(AND($B$170=1,$B$66&gt;0,OR($B$175=0,223&lt;=$B$175)),$B$66,IF($B$172-MAX(223-1,$B$174)&gt;0,IF(B623=0,0,IF(C623=0,B623/($B$172-MAX(223-1,$B$174)),B623*(C623/12)/(1-(1+C623/12)^(-($B$172-MAX(223-1,$B$174)))))),"")),D622)))),""),""))</x:f>
        <x:v>4679.450723240598</x:v>
      </x:c>
      <x:c r="E623" s="440" t="n">
        <x:f>IF(AND(223=$B$173,ISNUMBER(D623)),IF(MAX(0,B623*(1+C623/12)-D623)&lt;MAX(0.0000001,$E$17*0.00000000001),0,MAX(0,B623*(1+C623/12)-D623)),0)</x:f>
        <x:v>0</x:v>
      </x:c>
      <x:c r="F623" s="440" t="n">
        <x:f>IF($B$78="Cash payoff",E623,0)</x:f>
        <x:v>0</x:v>
      </x:c>
      <x:c r="G623" s="440" t="n">
        <x:f>IF(AND(E623&gt;0,AND($B$78="Refinance",ISNUMBER($B$80),$B$80&gt;=0,$B$80&lt;=1,ROUND($B$81*12,0)&gt;=1,$B$81&lt;=100,SUM($B$82)&gt;=0,SUM($B$82)&lt;=1,SUM($B$83)&gt;=0)),E623*SUM($B$82)+SUM($B$83),0)</x:f>
        <x:v>0</x:v>
      </x:c>
      <x:c r="H623" s="440" t="n">
        <x:f>IF(ISNUMBER(D623),IF(MAX(0,B623*(1+C623/12)-D623-F623)&lt;MAX(0.0000001,$E$17*0.00000000001),0,MAX(0,B623*(1+C623/12)-D623-F623)),IF(AND($B$171=1,I622=1),B623,""))</x:f>
        <x:v>457480.4157049736</x:v>
      </x:c>
      <x:c r="I623" s="444" t="n">
        <x:f>IF(OR(I622=1,AND(E623&gt;0,$B$78&lt;&gt;"Cash payoff",NOT(AND($B$78="Refinance",ISNUMBER($B$80),$B$80&gt;=0,$B$80&lt;=1,ROUND($B$81*12,0)&gt;=1,$B$81&lt;=100,SUM($B$82)&gt;=0,SUM($B$82)&lt;=1,SUM($B$83)&gt;=0))),AND(ISNUMBER(B623),B623&gt;0,$B$171=1,NOT(ISNUMBER(D623)))),1,0)</x:f>
        <x:v>0</x:v>
      </x:c>
      <x:c r="J623" s="440" t="n">
        <x:f>IF(ISNUMBER(L622),L622,"")</x:f>
        <x:v>0</x:v>
      </x:c>
      <x:c r="K623" s="440" t="n">
        <x:f>IF(AND(ISNUMBER(J623),J623=0),0,IF(AND($B$176=1,ISNUMBER(J623)),MIN(J623*(1+$B$87/12),IF($B$86=0,0,IF($B$87=0,$B$86/ROUND($B$88*12,0),$B$86*($B$87/12)/(1-(1+$B$87/12)^(-ROUND($B$88*12,0)))))),""))</x:f>
        <x:v>0</x:v>
      </x:c>
      <x:c r="L623" s="440" t="n">
        <x:f>IF(ISNUMBER(K623),IF(MAX(0,J623*(1+SUM($B$87)/12)-K623)&lt;MAX(0.0000001,$B$86*0.00000000001),0,MAX(0,J623*(1+SUM($B$87)/12)-K623)),"")</x:f>
        <x:v>0</x:v>
      </x:c>
      <x:c r="M623" s="440" t="n">
        <x:f>IF(AND(ISNUMBER(D623),ISNUMBER(K623)),D623+K623,"")</x:f>
        <x:v>4679.450723240598</x:v>
      </x:c>
      <x:c r="N623" s="440" t="n">
        <x:f>IF(AND(ISNUMBER(H623),ISNUMBER(L623)),H623+L623,"")</x:f>
        <x:v>457480.4157049736</x:v>
      </x:c>
    </x:row>
    <x:row r="624" ht="22" customHeight="1">
      <x:c r="A624" s="254" t="n">
        <x:f>224</x:f>
        <x:v>224</x:v>
      </x:c>
      <x:c r="B624" s="440" t="n">
        <x:f>IF(ISNUMBER(H623),H623,"")</x:f>
        <x:v>457480.4157049736</x:v>
      </x:c>
      <x:c r="C624" s="442" t="n">
        <x:f>IF(ISNUMBER(B624),IF(AND(224&gt;$B$173,$B$78="Refinance",ISNUMBER($B$80),$B$80&gt;=0,$B$80&lt;=1,ROUND($B$81*12,0)&gt;=1,$B$81&lt;=100,SUM($B$82)&gt;=0,SUM($B$82)&lt;=1,SUM($B$83)&gt;=0),$B$80,IF(AND($B$175&gt;0,224&gt;$B$175,ISNUMBER($B$75)),$B$75,$B$61)),"")</x:f>
        <x:v>0.0625</x:v>
      </x:c>
      <x:c r="D624" s="440" t="n">
        <x:f>IF(AND(ISNUMBER(B624),B624=0),0,IF(AND($B$171=1,I623=0,ISNUMBER(C624),ISNUMBER(IF(AND(224&lt;=$B$174,224&lt;=$B$173),B624*C624/12,IF(AND(224=$B$173+1,AND(224&gt;$B$173,$B$78="Refinance",ISNUMBER($B$80),$B$80&gt;=0,$B$80&lt;=1,ROUND($B$81*12,0)&gt;=1,$B$81&lt;=100,SUM($B$82)&gt;=0,SUM($B$82)&lt;=1,SUM($B$83)&gt;=0)),IF(B624=0,0,IF(C624=0,B624/ROUND($B$81*12,0),B624*(C624/12)/(1-(1+C624/12)^(-ROUND($B$81*12,0))))),IF(AND(NOT(AND(224&gt;$B$173,$B$78="Refinance",ISNUMBER($B$80),$B$80&gt;=0,$B$80&lt;=1,ROUND($B$81*12,0)&gt;=1,$B$81&lt;=100,SUM($B$82)&gt;=0,SUM($B$82)&lt;=1,SUM($B$83)&gt;=0)),OR(224=1,224=$B$174+1,AND($B$175&gt;0,224=$B$175+1))),IF(AND($B$170=1,$B$66&gt;0,OR($B$175=0,224&lt;=$B$175)),$B$66,IF($B$172-MAX(224-1,$B$174)&gt;0,IF(B624=0,0,IF(C624=0,B624/($B$172-MAX(224-1,$B$174)),B624*(C624/12)/(1-(1+C624/12)^(-($B$172-MAX(224-1,$B$174)))))),"")),D623))))),IF(IF(AND(224&lt;=$B$174,224&lt;=$B$173),B624*C624/12,IF(AND(224=$B$173+1,AND(224&gt;$B$173,$B$78="Refinance",ISNUMBER($B$80),$B$80&gt;=0,$B$80&lt;=1,ROUND($B$81*12,0)&gt;=1,$B$81&lt;=100,SUM($B$82)&gt;=0,SUM($B$82)&lt;=1,SUM($B$83)&gt;=0)),IF(B624=0,0,IF(C624=0,B624/ROUND($B$81*12,0),B624*(C624/12)/(1-(1+C624/12)^(-ROUND($B$81*12,0))))),IF(AND(NOT(AND(224&gt;$B$173,$B$78="Refinance",ISNUMBER($B$80),$B$80&gt;=0,$B$80&lt;=1,ROUND($B$81*12,0)&gt;=1,$B$81&lt;=100,SUM($B$82)&gt;=0,SUM($B$82)&lt;=1,SUM($B$83)&gt;=0)),OR(224=1,224=$B$174+1,AND($B$175&gt;0,224=$B$175+1))),IF(AND($B$170=1,$B$66&gt;0,OR($B$175=0,224&lt;=$B$175)),$B$66,IF($B$172-MAX(224-1,$B$174)&gt;0,IF(B624=0,0,IF(C624=0,B624/($B$172-MAX(224-1,$B$174)),B624*(C624/12)/(1-(1+C624/12)^(-($B$172-MAX(224-1,$B$174)))))),"")),D623)))+0.0000001&gt;=B624*C624/12,MIN(B624*(1+C624/12),IF(AND(224&lt;=$B$174,224&lt;=$B$173),B624*C624/12,IF(AND(224=$B$173+1,AND(224&gt;$B$173,$B$78="Refinance",ISNUMBER($B$80),$B$80&gt;=0,$B$80&lt;=1,ROUND($B$81*12,0)&gt;=1,$B$81&lt;=100,SUM($B$82)&gt;=0,SUM($B$82)&lt;=1,SUM($B$83)&gt;=0)),IF(B624=0,0,IF(C624=0,B624/ROUND($B$81*12,0),B624*(C624/12)/(1-(1+C624/12)^(-ROUND($B$81*12,0))))),IF(AND(NOT(AND(224&gt;$B$173,$B$78="Refinance",ISNUMBER($B$80),$B$80&gt;=0,$B$80&lt;=1,ROUND($B$81*12,0)&gt;=1,$B$81&lt;=100,SUM($B$82)&gt;=0,SUM($B$82)&lt;=1,SUM($B$83)&gt;=0)),OR(224=1,224=$B$174+1,AND($B$175&gt;0,224=$B$175+1))),IF(AND($B$170=1,$B$66&gt;0,OR($B$175=0,224&lt;=$B$175)),$B$66,IF($B$172-MAX(224-1,$B$174)&gt;0,IF(B624=0,0,IF(C624=0,B624/($B$172-MAX(224-1,$B$174)),B624*(C624/12)/(1-(1+C624/12)^(-($B$172-MAX(224-1,$B$174)))))),"")),D623)))),""),""))</x:f>
        <x:v>4679.450723240598</x:v>
      </x:c>
      <x:c r="E624" s="440" t="n">
        <x:f>IF(AND(224=$B$173,ISNUMBER(D624)),IF(MAX(0,B624*(1+C624/12)-D624)&lt;MAX(0.0000001,$E$17*0.00000000001),0,MAX(0,B624*(1+C624/12)-D624)),0)</x:f>
        <x:v>0</x:v>
      </x:c>
      <x:c r="F624" s="440" t="n">
        <x:f>IF($B$78="Cash payoff",E624,0)</x:f>
        <x:v>0</x:v>
      </x:c>
      <x:c r="G624" s="440" t="n">
        <x:f>IF(AND(E624&gt;0,AND($B$78="Refinance",ISNUMBER($B$80),$B$80&gt;=0,$B$80&lt;=1,ROUND($B$81*12,0)&gt;=1,$B$81&lt;=100,SUM($B$82)&gt;=0,SUM($B$82)&lt;=1,SUM($B$83)&gt;=0)),E624*SUM($B$82)+SUM($B$83),0)</x:f>
        <x:v>0</x:v>
      </x:c>
      <x:c r="H624" s="440" t="n">
        <x:f>IF(ISNUMBER(D624),IF(MAX(0,B624*(1+C624/12)-D624-F624)&lt;MAX(0.0000001,$E$17*0.00000000001),0,MAX(0,B624*(1+C624/12)-D624-F624)),IF(AND($B$171=1,I623=1),B624,""))</x:f>
        <x:v>455183.67548019637</x:v>
      </x:c>
      <x:c r="I624" s="444" t="n">
        <x:f>IF(OR(I623=1,AND(E624&gt;0,$B$78&lt;&gt;"Cash payoff",NOT(AND($B$78="Refinance",ISNUMBER($B$80),$B$80&gt;=0,$B$80&lt;=1,ROUND($B$81*12,0)&gt;=1,$B$81&lt;=100,SUM($B$82)&gt;=0,SUM($B$82)&lt;=1,SUM($B$83)&gt;=0))),AND(ISNUMBER(B624),B624&gt;0,$B$171=1,NOT(ISNUMBER(D624)))),1,0)</x:f>
        <x:v>0</x:v>
      </x:c>
      <x:c r="J624" s="440" t="n">
        <x:f>IF(ISNUMBER(L623),L623,"")</x:f>
        <x:v>0</x:v>
      </x:c>
      <x:c r="K624" s="440" t="n">
        <x:f>IF(AND(ISNUMBER(J624),J624=0),0,IF(AND($B$176=1,ISNUMBER(J624)),MIN(J624*(1+$B$87/12),IF($B$86=0,0,IF($B$87=0,$B$86/ROUND($B$88*12,0),$B$86*($B$87/12)/(1-(1+$B$87/12)^(-ROUND($B$88*12,0)))))),""))</x:f>
        <x:v>0</x:v>
      </x:c>
      <x:c r="L624" s="440" t="n">
        <x:f>IF(ISNUMBER(K624),IF(MAX(0,J624*(1+SUM($B$87)/12)-K624)&lt;MAX(0.0000001,$B$86*0.00000000001),0,MAX(0,J624*(1+SUM($B$87)/12)-K624)),"")</x:f>
        <x:v>0</x:v>
      </x:c>
      <x:c r="M624" s="440" t="n">
        <x:f>IF(AND(ISNUMBER(D624),ISNUMBER(K624)),D624+K624,"")</x:f>
        <x:v>4679.450723240598</x:v>
      </x:c>
      <x:c r="N624" s="440" t="n">
        <x:f>IF(AND(ISNUMBER(H624),ISNUMBER(L624)),H624+L624,"")</x:f>
        <x:v>455183.67548019637</x:v>
      </x:c>
    </x:row>
    <x:row r="625" ht="22" customHeight="1">
      <x:c r="A625" s="254" t="n">
        <x:f>225</x:f>
        <x:v>225</x:v>
      </x:c>
      <x:c r="B625" s="440" t="n">
        <x:f>IF(ISNUMBER(H624),H624,"")</x:f>
        <x:v>455183.67548019637</x:v>
      </x:c>
      <x:c r="C625" s="442" t="n">
        <x:f>IF(ISNUMBER(B625),IF(AND(225&gt;$B$173,$B$78="Refinance",ISNUMBER($B$80),$B$80&gt;=0,$B$80&lt;=1,ROUND($B$81*12,0)&gt;=1,$B$81&lt;=100,SUM($B$82)&gt;=0,SUM($B$82)&lt;=1,SUM($B$83)&gt;=0),$B$80,IF(AND($B$175&gt;0,225&gt;$B$175,ISNUMBER($B$75)),$B$75,$B$61)),"")</x:f>
        <x:v>0.0625</x:v>
      </x:c>
      <x:c r="D625" s="440" t="n">
        <x:f>IF(AND(ISNUMBER(B625),B625=0),0,IF(AND($B$171=1,I624=0,ISNUMBER(C625),ISNUMBER(IF(AND(225&lt;=$B$174,225&lt;=$B$173),B625*C625/12,IF(AND(225=$B$173+1,AND(225&gt;$B$173,$B$78="Refinance",ISNUMBER($B$80),$B$80&gt;=0,$B$80&lt;=1,ROUND($B$81*12,0)&gt;=1,$B$81&lt;=100,SUM($B$82)&gt;=0,SUM($B$82)&lt;=1,SUM($B$83)&gt;=0)),IF(B625=0,0,IF(C625=0,B625/ROUND($B$81*12,0),B625*(C625/12)/(1-(1+C625/12)^(-ROUND($B$81*12,0))))),IF(AND(NOT(AND(225&gt;$B$173,$B$78="Refinance",ISNUMBER($B$80),$B$80&gt;=0,$B$80&lt;=1,ROUND($B$81*12,0)&gt;=1,$B$81&lt;=100,SUM($B$82)&gt;=0,SUM($B$82)&lt;=1,SUM($B$83)&gt;=0)),OR(225=1,225=$B$174+1,AND($B$175&gt;0,225=$B$175+1))),IF(AND($B$170=1,$B$66&gt;0,OR($B$175=0,225&lt;=$B$175)),$B$66,IF($B$172-MAX(225-1,$B$174)&gt;0,IF(B625=0,0,IF(C625=0,B625/($B$172-MAX(225-1,$B$174)),B625*(C625/12)/(1-(1+C625/12)^(-($B$172-MAX(225-1,$B$174)))))),"")),D624))))),IF(IF(AND(225&lt;=$B$174,225&lt;=$B$173),B625*C625/12,IF(AND(225=$B$173+1,AND(225&gt;$B$173,$B$78="Refinance",ISNUMBER($B$80),$B$80&gt;=0,$B$80&lt;=1,ROUND($B$81*12,0)&gt;=1,$B$81&lt;=100,SUM($B$82)&gt;=0,SUM($B$82)&lt;=1,SUM($B$83)&gt;=0)),IF(B625=0,0,IF(C625=0,B625/ROUND($B$81*12,0),B625*(C625/12)/(1-(1+C625/12)^(-ROUND($B$81*12,0))))),IF(AND(NOT(AND(225&gt;$B$173,$B$78="Refinance",ISNUMBER($B$80),$B$80&gt;=0,$B$80&lt;=1,ROUND($B$81*12,0)&gt;=1,$B$81&lt;=100,SUM($B$82)&gt;=0,SUM($B$82)&lt;=1,SUM($B$83)&gt;=0)),OR(225=1,225=$B$174+1,AND($B$175&gt;0,225=$B$175+1))),IF(AND($B$170=1,$B$66&gt;0,OR($B$175=0,225&lt;=$B$175)),$B$66,IF($B$172-MAX(225-1,$B$174)&gt;0,IF(B625=0,0,IF(C625=0,B625/($B$172-MAX(225-1,$B$174)),B625*(C625/12)/(1-(1+C625/12)^(-($B$172-MAX(225-1,$B$174)))))),"")),D624)))+0.0000001&gt;=B625*C625/12,MIN(B625*(1+C625/12),IF(AND(225&lt;=$B$174,225&lt;=$B$173),B625*C625/12,IF(AND(225=$B$173+1,AND(225&gt;$B$173,$B$78="Refinance",ISNUMBER($B$80),$B$80&gt;=0,$B$80&lt;=1,ROUND($B$81*12,0)&gt;=1,$B$81&lt;=100,SUM($B$82)&gt;=0,SUM($B$82)&lt;=1,SUM($B$83)&gt;=0)),IF(B625=0,0,IF(C625=0,B625/ROUND($B$81*12,0),B625*(C625/12)/(1-(1+C625/12)^(-ROUND($B$81*12,0))))),IF(AND(NOT(AND(225&gt;$B$173,$B$78="Refinance",ISNUMBER($B$80),$B$80&gt;=0,$B$80&lt;=1,ROUND($B$81*12,0)&gt;=1,$B$81&lt;=100,SUM($B$82)&gt;=0,SUM($B$82)&lt;=1,SUM($B$83)&gt;=0)),OR(225=1,225=$B$174+1,AND($B$175&gt;0,225=$B$175+1))),IF(AND($B$170=1,$B$66&gt;0,OR($B$175=0,225&lt;=$B$175)),$B$66,IF($B$172-MAX(225-1,$B$174)&gt;0,IF(B625=0,0,IF(C625=0,B625/($B$172-MAX(225-1,$B$174)),B625*(C625/12)/(1-(1+C625/12)^(-($B$172-MAX(225-1,$B$174)))))),"")),D624)))),""),""))</x:f>
        <x:v>4679.450723240598</x:v>
      </x:c>
      <x:c r="E625" s="440" t="n">
        <x:f>IF(AND(225=$B$173,ISNUMBER(D625)),IF(MAX(0,B625*(1+C625/12)-D625)&lt;MAX(0.0000001,$E$17*0.00000000001),0,MAX(0,B625*(1+C625/12)-D625)),0)</x:f>
        <x:v>0</x:v>
      </x:c>
      <x:c r="F625" s="440" t="n">
        <x:f>IF($B$78="Cash payoff",E625,0)</x:f>
        <x:v>0</x:v>
      </x:c>
      <x:c r="G625" s="440" t="n">
        <x:f>IF(AND(E625&gt;0,AND($B$78="Refinance",ISNUMBER($B$80),$B$80&gt;=0,$B$80&lt;=1,ROUND($B$81*12,0)&gt;=1,$B$81&lt;=100,SUM($B$82)&gt;=0,SUM($B$82)&lt;=1,SUM($B$83)&gt;=0)),E625*SUM($B$82)+SUM($B$83),0)</x:f>
        <x:v>0</x:v>
      </x:c>
      <x:c r="H625" s="440" t="n">
        <x:f>IF(ISNUMBER(D625),IF(MAX(0,B625*(1+C625/12)-D625-F625)&lt;MAX(0.0000001,$E$17*0.00000000001),0,MAX(0,B625*(1+C625/12)-D625-F625)),IF(AND($B$171=1,I624=1),B625,""))</x:f>
        <x:v>452874.9730667484</x:v>
      </x:c>
      <x:c r="I625" s="444" t="n">
        <x:f>IF(OR(I624=1,AND(E625&gt;0,$B$78&lt;&gt;"Cash payoff",NOT(AND($B$78="Refinance",ISNUMBER($B$80),$B$80&gt;=0,$B$80&lt;=1,ROUND($B$81*12,0)&gt;=1,$B$81&lt;=100,SUM($B$82)&gt;=0,SUM($B$82)&lt;=1,SUM($B$83)&gt;=0))),AND(ISNUMBER(B625),B625&gt;0,$B$171=1,NOT(ISNUMBER(D625)))),1,0)</x:f>
        <x:v>0</x:v>
      </x:c>
      <x:c r="J625" s="440" t="n">
        <x:f>IF(ISNUMBER(L624),L624,"")</x:f>
        <x:v>0</x:v>
      </x:c>
      <x:c r="K625" s="440" t="n">
        <x:f>IF(AND(ISNUMBER(J625),J625=0),0,IF(AND($B$176=1,ISNUMBER(J625)),MIN(J625*(1+$B$87/12),IF($B$86=0,0,IF($B$87=0,$B$86/ROUND($B$88*12,0),$B$86*($B$87/12)/(1-(1+$B$87/12)^(-ROUND($B$88*12,0)))))),""))</x:f>
        <x:v>0</x:v>
      </x:c>
      <x:c r="L625" s="440" t="n">
        <x:f>IF(ISNUMBER(K625),IF(MAX(0,J625*(1+SUM($B$87)/12)-K625)&lt;MAX(0.0000001,$B$86*0.00000000001),0,MAX(0,J625*(1+SUM($B$87)/12)-K625)),"")</x:f>
        <x:v>0</x:v>
      </x:c>
      <x:c r="M625" s="440" t="n">
        <x:f>IF(AND(ISNUMBER(D625),ISNUMBER(K625)),D625+K625,"")</x:f>
        <x:v>4679.450723240598</x:v>
      </x:c>
      <x:c r="N625" s="440" t="n">
        <x:f>IF(AND(ISNUMBER(H625),ISNUMBER(L625)),H625+L625,"")</x:f>
        <x:v>452874.9730667484</x:v>
      </x:c>
    </x:row>
    <x:row r="626" ht="22" customHeight="1">
      <x:c r="A626" s="254" t="n">
        <x:f>226</x:f>
        <x:v>226</x:v>
      </x:c>
      <x:c r="B626" s="440" t="n">
        <x:f>IF(ISNUMBER(H625),H625,"")</x:f>
        <x:v>452874.9730667484</x:v>
      </x:c>
      <x:c r="C626" s="442" t="n">
        <x:f>IF(ISNUMBER(B626),IF(AND(226&gt;$B$173,$B$78="Refinance",ISNUMBER($B$80),$B$80&gt;=0,$B$80&lt;=1,ROUND($B$81*12,0)&gt;=1,$B$81&lt;=100,SUM($B$82)&gt;=0,SUM($B$82)&lt;=1,SUM($B$83)&gt;=0),$B$80,IF(AND($B$175&gt;0,226&gt;$B$175,ISNUMBER($B$75)),$B$75,$B$61)),"")</x:f>
        <x:v>0.0625</x:v>
      </x:c>
      <x:c r="D626" s="440" t="n">
        <x:f>IF(AND(ISNUMBER(B626),B626=0),0,IF(AND($B$171=1,I625=0,ISNUMBER(C626),ISNUMBER(IF(AND(226&lt;=$B$174,226&lt;=$B$173),B626*C626/12,IF(AND(226=$B$173+1,AND(226&gt;$B$173,$B$78="Refinance",ISNUMBER($B$80),$B$80&gt;=0,$B$80&lt;=1,ROUND($B$81*12,0)&gt;=1,$B$81&lt;=100,SUM($B$82)&gt;=0,SUM($B$82)&lt;=1,SUM($B$83)&gt;=0)),IF(B626=0,0,IF(C626=0,B626/ROUND($B$81*12,0),B626*(C626/12)/(1-(1+C626/12)^(-ROUND($B$81*12,0))))),IF(AND(NOT(AND(226&gt;$B$173,$B$78="Refinance",ISNUMBER($B$80),$B$80&gt;=0,$B$80&lt;=1,ROUND($B$81*12,0)&gt;=1,$B$81&lt;=100,SUM($B$82)&gt;=0,SUM($B$82)&lt;=1,SUM($B$83)&gt;=0)),OR(226=1,226=$B$174+1,AND($B$175&gt;0,226=$B$175+1))),IF(AND($B$170=1,$B$66&gt;0,OR($B$175=0,226&lt;=$B$175)),$B$66,IF($B$172-MAX(226-1,$B$174)&gt;0,IF(B626=0,0,IF(C626=0,B626/($B$172-MAX(226-1,$B$174)),B626*(C626/12)/(1-(1+C626/12)^(-($B$172-MAX(226-1,$B$174)))))),"")),D625))))),IF(IF(AND(226&lt;=$B$174,226&lt;=$B$173),B626*C626/12,IF(AND(226=$B$173+1,AND(226&gt;$B$173,$B$78="Refinance",ISNUMBER($B$80),$B$80&gt;=0,$B$80&lt;=1,ROUND($B$81*12,0)&gt;=1,$B$81&lt;=100,SUM($B$82)&gt;=0,SUM($B$82)&lt;=1,SUM($B$83)&gt;=0)),IF(B626=0,0,IF(C626=0,B626/ROUND($B$81*12,0),B626*(C626/12)/(1-(1+C626/12)^(-ROUND($B$81*12,0))))),IF(AND(NOT(AND(226&gt;$B$173,$B$78="Refinance",ISNUMBER($B$80),$B$80&gt;=0,$B$80&lt;=1,ROUND($B$81*12,0)&gt;=1,$B$81&lt;=100,SUM($B$82)&gt;=0,SUM($B$82)&lt;=1,SUM($B$83)&gt;=0)),OR(226=1,226=$B$174+1,AND($B$175&gt;0,226=$B$175+1))),IF(AND($B$170=1,$B$66&gt;0,OR($B$175=0,226&lt;=$B$175)),$B$66,IF($B$172-MAX(226-1,$B$174)&gt;0,IF(B626=0,0,IF(C626=0,B626/($B$172-MAX(226-1,$B$174)),B626*(C626/12)/(1-(1+C626/12)^(-($B$172-MAX(226-1,$B$174)))))),"")),D625)))+0.0000001&gt;=B626*C626/12,MIN(B626*(1+C626/12),IF(AND(226&lt;=$B$174,226&lt;=$B$173),B626*C626/12,IF(AND(226=$B$173+1,AND(226&gt;$B$173,$B$78="Refinance",ISNUMBER($B$80),$B$80&gt;=0,$B$80&lt;=1,ROUND($B$81*12,0)&gt;=1,$B$81&lt;=100,SUM($B$82)&gt;=0,SUM($B$82)&lt;=1,SUM($B$83)&gt;=0)),IF(B626=0,0,IF(C626=0,B626/ROUND($B$81*12,0),B626*(C626/12)/(1-(1+C626/12)^(-ROUND($B$81*12,0))))),IF(AND(NOT(AND(226&gt;$B$173,$B$78="Refinance",ISNUMBER($B$80),$B$80&gt;=0,$B$80&lt;=1,ROUND($B$81*12,0)&gt;=1,$B$81&lt;=100,SUM($B$82)&gt;=0,SUM($B$82)&lt;=1,SUM($B$83)&gt;=0)),OR(226=1,226=$B$174+1,AND($B$175&gt;0,226=$B$175+1))),IF(AND($B$170=1,$B$66&gt;0,OR($B$175=0,226&lt;=$B$175)),$B$66,IF($B$172-MAX(226-1,$B$174)&gt;0,IF(B626=0,0,IF(C626=0,B626/($B$172-MAX(226-1,$B$174)),B626*(C626/12)/(1-(1+C626/12)^(-($B$172-MAX(226-1,$B$174)))))),"")),D625)))),""),""))</x:f>
        <x:v>4679.450723240598</x:v>
      </x:c>
      <x:c r="E626" s="440" t="n">
        <x:f>IF(AND(226=$B$173,ISNUMBER(D626)),IF(MAX(0,B626*(1+C626/12)-D626)&lt;MAX(0.0000001,$E$17*0.00000000001),0,MAX(0,B626*(1+C626/12)-D626)),0)</x:f>
        <x:v>0</x:v>
      </x:c>
      <x:c r="F626" s="440" t="n">
        <x:f>IF($B$78="Cash payoff",E626,0)</x:f>
        <x:v>0</x:v>
      </x:c>
      <x:c r="G626" s="440" t="n">
        <x:f>IF(AND(E626&gt;0,AND($B$78="Refinance",ISNUMBER($B$80),$B$80&gt;=0,$B$80&lt;=1,ROUND($B$81*12,0)&gt;=1,$B$81&lt;=100,SUM($B$82)&gt;=0,SUM($B$82)&lt;=1,SUM($B$83)&gt;=0)),E626*SUM($B$82)+SUM($B$83),0)</x:f>
        <x:v>0</x:v>
      </x:c>
      <x:c r="H626" s="440" t="n">
        <x:f>IF(ISNUMBER(D626),IF(MAX(0,B626*(1+C626/12)-D626-F626)&lt;MAX(0.0000001,$E$17*0.00000000001),0,MAX(0,B626*(1+C626/12)-D626-F626)),IF(AND($B$171=1,I625=1),B626,""))</x:f>
        <x:v>450554.24616156373</x:v>
      </x:c>
      <x:c r="I626" s="444" t="n">
        <x:f>IF(OR(I625=1,AND(E626&gt;0,$B$78&lt;&gt;"Cash payoff",NOT(AND($B$78="Refinance",ISNUMBER($B$80),$B$80&gt;=0,$B$80&lt;=1,ROUND($B$81*12,0)&gt;=1,$B$81&lt;=100,SUM($B$82)&gt;=0,SUM($B$82)&lt;=1,SUM($B$83)&gt;=0))),AND(ISNUMBER(B626),B626&gt;0,$B$171=1,NOT(ISNUMBER(D626)))),1,0)</x:f>
        <x:v>0</x:v>
      </x:c>
      <x:c r="J626" s="440" t="n">
        <x:f>IF(ISNUMBER(L625),L625,"")</x:f>
        <x:v>0</x:v>
      </x:c>
      <x:c r="K626" s="440" t="n">
        <x:f>IF(AND(ISNUMBER(J626),J626=0),0,IF(AND($B$176=1,ISNUMBER(J626)),MIN(J626*(1+$B$87/12),IF($B$86=0,0,IF($B$87=0,$B$86/ROUND($B$88*12,0),$B$86*($B$87/12)/(1-(1+$B$87/12)^(-ROUND($B$88*12,0)))))),""))</x:f>
        <x:v>0</x:v>
      </x:c>
      <x:c r="L626" s="440" t="n">
        <x:f>IF(ISNUMBER(K626),IF(MAX(0,J626*(1+SUM($B$87)/12)-K626)&lt;MAX(0.0000001,$B$86*0.00000000001),0,MAX(0,J626*(1+SUM($B$87)/12)-K626)),"")</x:f>
        <x:v>0</x:v>
      </x:c>
      <x:c r="M626" s="440" t="n">
        <x:f>IF(AND(ISNUMBER(D626),ISNUMBER(K626)),D626+K626,"")</x:f>
        <x:v>4679.450723240598</x:v>
      </x:c>
      <x:c r="N626" s="440" t="n">
        <x:f>IF(AND(ISNUMBER(H626),ISNUMBER(L626)),H626+L626,"")</x:f>
        <x:v>450554.24616156373</x:v>
      </x:c>
    </x:row>
    <x:row r="627" ht="22" customHeight="1">
      <x:c r="A627" s="254" t="n">
        <x:f>227</x:f>
        <x:v>227</x:v>
      </x:c>
      <x:c r="B627" s="440" t="n">
        <x:f>IF(ISNUMBER(H626),H626,"")</x:f>
        <x:v>450554.24616156373</x:v>
      </x:c>
      <x:c r="C627" s="442" t="n">
        <x:f>IF(ISNUMBER(B627),IF(AND(227&gt;$B$173,$B$78="Refinance",ISNUMBER($B$80),$B$80&gt;=0,$B$80&lt;=1,ROUND($B$81*12,0)&gt;=1,$B$81&lt;=100,SUM($B$82)&gt;=0,SUM($B$82)&lt;=1,SUM($B$83)&gt;=0),$B$80,IF(AND($B$175&gt;0,227&gt;$B$175,ISNUMBER($B$75)),$B$75,$B$61)),"")</x:f>
        <x:v>0.0625</x:v>
      </x:c>
      <x:c r="D627" s="440" t="n">
        <x:f>IF(AND(ISNUMBER(B627),B627=0),0,IF(AND($B$171=1,I626=0,ISNUMBER(C627),ISNUMBER(IF(AND(227&lt;=$B$174,227&lt;=$B$173),B627*C627/12,IF(AND(227=$B$173+1,AND(227&gt;$B$173,$B$78="Refinance",ISNUMBER($B$80),$B$80&gt;=0,$B$80&lt;=1,ROUND($B$81*12,0)&gt;=1,$B$81&lt;=100,SUM($B$82)&gt;=0,SUM($B$82)&lt;=1,SUM($B$83)&gt;=0)),IF(B627=0,0,IF(C627=0,B627/ROUND($B$81*12,0),B627*(C627/12)/(1-(1+C627/12)^(-ROUND($B$81*12,0))))),IF(AND(NOT(AND(227&gt;$B$173,$B$78="Refinance",ISNUMBER($B$80),$B$80&gt;=0,$B$80&lt;=1,ROUND($B$81*12,0)&gt;=1,$B$81&lt;=100,SUM($B$82)&gt;=0,SUM($B$82)&lt;=1,SUM($B$83)&gt;=0)),OR(227=1,227=$B$174+1,AND($B$175&gt;0,227=$B$175+1))),IF(AND($B$170=1,$B$66&gt;0,OR($B$175=0,227&lt;=$B$175)),$B$66,IF($B$172-MAX(227-1,$B$174)&gt;0,IF(B627=0,0,IF(C627=0,B627/($B$172-MAX(227-1,$B$174)),B627*(C627/12)/(1-(1+C627/12)^(-($B$172-MAX(227-1,$B$174)))))),"")),D626))))),IF(IF(AND(227&lt;=$B$174,227&lt;=$B$173),B627*C627/12,IF(AND(227=$B$173+1,AND(227&gt;$B$173,$B$78="Refinance",ISNUMBER($B$80),$B$80&gt;=0,$B$80&lt;=1,ROUND($B$81*12,0)&gt;=1,$B$81&lt;=100,SUM($B$82)&gt;=0,SUM($B$82)&lt;=1,SUM($B$83)&gt;=0)),IF(B627=0,0,IF(C627=0,B627/ROUND($B$81*12,0),B627*(C627/12)/(1-(1+C627/12)^(-ROUND($B$81*12,0))))),IF(AND(NOT(AND(227&gt;$B$173,$B$78="Refinance",ISNUMBER($B$80),$B$80&gt;=0,$B$80&lt;=1,ROUND($B$81*12,0)&gt;=1,$B$81&lt;=100,SUM($B$82)&gt;=0,SUM($B$82)&lt;=1,SUM($B$83)&gt;=0)),OR(227=1,227=$B$174+1,AND($B$175&gt;0,227=$B$175+1))),IF(AND($B$170=1,$B$66&gt;0,OR($B$175=0,227&lt;=$B$175)),$B$66,IF($B$172-MAX(227-1,$B$174)&gt;0,IF(B627=0,0,IF(C627=0,B627/($B$172-MAX(227-1,$B$174)),B627*(C627/12)/(1-(1+C627/12)^(-($B$172-MAX(227-1,$B$174)))))),"")),D626)))+0.0000001&gt;=B627*C627/12,MIN(B627*(1+C627/12),IF(AND(227&lt;=$B$174,227&lt;=$B$173),B627*C627/12,IF(AND(227=$B$173+1,AND(227&gt;$B$173,$B$78="Refinance",ISNUMBER($B$80),$B$80&gt;=0,$B$80&lt;=1,ROUND($B$81*12,0)&gt;=1,$B$81&lt;=100,SUM($B$82)&gt;=0,SUM($B$82)&lt;=1,SUM($B$83)&gt;=0)),IF(B627=0,0,IF(C627=0,B627/ROUND($B$81*12,0),B627*(C627/12)/(1-(1+C627/12)^(-ROUND($B$81*12,0))))),IF(AND(NOT(AND(227&gt;$B$173,$B$78="Refinance",ISNUMBER($B$80),$B$80&gt;=0,$B$80&lt;=1,ROUND($B$81*12,0)&gt;=1,$B$81&lt;=100,SUM($B$82)&gt;=0,SUM($B$82)&lt;=1,SUM($B$83)&gt;=0)),OR(227=1,227=$B$174+1,AND($B$175&gt;0,227=$B$175+1))),IF(AND($B$170=1,$B$66&gt;0,OR($B$175=0,227&lt;=$B$175)),$B$66,IF($B$172-MAX(227-1,$B$174)&gt;0,IF(B627=0,0,IF(C627=0,B627/($B$172-MAX(227-1,$B$174)),B627*(C627/12)/(1-(1+C627/12)^(-($B$172-MAX(227-1,$B$174)))))),"")),D626)))),""),""))</x:f>
        <x:v>4679.450723240598</x:v>
      </x:c>
      <x:c r="E627" s="440" t="n">
        <x:f>IF(AND(227=$B$173,ISNUMBER(D627)),IF(MAX(0,B627*(1+C627/12)-D627)&lt;MAX(0.0000001,$E$17*0.00000000001),0,MAX(0,B627*(1+C627/12)-D627)),0)</x:f>
        <x:v>0</x:v>
      </x:c>
      <x:c r="F627" s="440" t="n">
        <x:f>IF($B$78="Cash payoff",E627,0)</x:f>
        <x:v>0</x:v>
      </x:c>
      <x:c r="G627" s="440" t="n">
        <x:f>IF(AND(E627&gt;0,AND($B$78="Refinance",ISNUMBER($B$80),$B$80&gt;=0,$B$80&lt;=1,ROUND($B$81*12,0)&gt;=1,$B$81&lt;=100,SUM($B$82)&gt;=0,SUM($B$82)&lt;=1,SUM($B$83)&gt;=0)),E627*SUM($B$82)+SUM($B$83),0)</x:f>
        <x:v>0</x:v>
      </x:c>
      <x:c r="H627" s="440" t="n">
        <x:f>IF(ISNUMBER(D627),IF(MAX(0,B627*(1+C627/12)-D627-F627)&lt;MAX(0.0000001,$E$17*0.00000000001),0,MAX(0,B627*(1+C627/12)-D627-F627)),IF(AND($B$171=1,I626=1),B627,""))</x:f>
        <x:v>448221.4321370812</x:v>
      </x:c>
      <x:c r="I627" s="444" t="n">
        <x:f>IF(OR(I626=1,AND(E627&gt;0,$B$78&lt;&gt;"Cash payoff",NOT(AND($B$78="Refinance",ISNUMBER($B$80),$B$80&gt;=0,$B$80&lt;=1,ROUND($B$81*12,0)&gt;=1,$B$81&lt;=100,SUM($B$82)&gt;=0,SUM($B$82)&lt;=1,SUM($B$83)&gt;=0))),AND(ISNUMBER(B627),B627&gt;0,$B$171=1,NOT(ISNUMBER(D627)))),1,0)</x:f>
        <x:v>0</x:v>
      </x:c>
      <x:c r="J627" s="440" t="n">
        <x:f>IF(ISNUMBER(L626),L626,"")</x:f>
        <x:v>0</x:v>
      </x:c>
      <x:c r="K627" s="440" t="n">
        <x:f>IF(AND(ISNUMBER(J627),J627=0),0,IF(AND($B$176=1,ISNUMBER(J627)),MIN(J627*(1+$B$87/12),IF($B$86=0,0,IF($B$87=0,$B$86/ROUND($B$88*12,0),$B$86*($B$87/12)/(1-(1+$B$87/12)^(-ROUND($B$88*12,0)))))),""))</x:f>
        <x:v>0</x:v>
      </x:c>
      <x:c r="L627" s="440" t="n">
        <x:f>IF(ISNUMBER(K627),IF(MAX(0,J627*(1+SUM($B$87)/12)-K627)&lt;MAX(0.0000001,$B$86*0.00000000001),0,MAX(0,J627*(1+SUM($B$87)/12)-K627)),"")</x:f>
        <x:v>0</x:v>
      </x:c>
      <x:c r="M627" s="440" t="n">
        <x:f>IF(AND(ISNUMBER(D627),ISNUMBER(K627)),D627+K627,"")</x:f>
        <x:v>4679.450723240598</x:v>
      </x:c>
      <x:c r="N627" s="440" t="n">
        <x:f>IF(AND(ISNUMBER(H627),ISNUMBER(L627)),H627+L627,"")</x:f>
        <x:v>448221.4321370812</x:v>
      </x:c>
    </x:row>
    <x:row r="628" ht="22" customHeight="1">
      <x:c r="A628" s="254" t="n">
        <x:f>228</x:f>
        <x:v>228</x:v>
      </x:c>
      <x:c r="B628" s="440" t="n">
        <x:f>IF(ISNUMBER(H627),H627,"")</x:f>
        <x:v>448221.4321370812</x:v>
      </x:c>
      <x:c r="C628" s="442" t="n">
        <x:f>IF(ISNUMBER(B628),IF(AND(228&gt;$B$173,$B$78="Refinance",ISNUMBER($B$80),$B$80&gt;=0,$B$80&lt;=1,ROUND($B$81*12,0)&gt;=1,$B$81&lt;=100,SUM($B$82)&gt;=0,SUM($B$82)&lt;=1,SUM($B$83)&gt;=0),$B$80,IF(AND($B$175&gt;0,228&gt;$B$175,ISNUMBER($B$75)),$B$75,$B$61)),"")</x:f>
        <x:v>0.0625</x:v>
      </x:c>
      <x:c r="D628" s="440" t="n">
        <x:f>IF(AND(ISNUMBER(B628),B628=0),0,IF(AND($B$171=1,I627=0,ISNUMBER(C628),ISNUMBER(IF(AND(228&lt;=$B$174,228&lt;=$B$173),B628*C628/12,IF(AND(228=$B$173+1,AND(228&gt;$B$173,$B$78="Refinance",ISNUMBER($B$80),$B$80&gt;=0,$B$80&lt;=1,ROUND($B$81*12,0)&gt;=1,$B$81&lt;=100,SUM($B$82)&gt;=0,SUM($B$82)&lt;=1,SUM($B$83)&gt;=0)),IF(B628=0,0,IF(C628=0,B628/ROUND($B$81*12,0),B628*(C628/12)/(1-(1+C628/12)^(-ROUND($B$81*12,0))))),IF(AND(NOT(AND(228&gt;$B$173,$B$78="Refinance",ISNUMBER($B$80),$B$80&gt;=0,$B$80&lt;=1,ROUND($B$81*12,0)&gt;=1,$B$81&lt;=100,SUM($B$82)&gt;=0,SUM($B$82)&lt;=1,SUM($B$83)&gt;=0)),OR(228=1,228=$B$174+1,AND($B$175&gt;0,228=$B$175+1))),IF(AND($B$170=1,$B$66&gt;0,OR($B$175=0,228&lt;=$B$175)),$B$66,IF($B$172-MAX(228-1,$B$174)&gt;0,IF(B628=0,0,IF(C628=0,B628/($B$172-MAX(228-1,$B$174)),B628*(C628/12)/(1-(1+C628/12)^(-($B$172-MAX(228-1,$B$174)))))),"")),D627))))),IF(IF(AND(228&lt;=$B$174,228&lt;=$B$173),B628*C628/12,IF(AND(228=$B$173+1,AND(228&gt;$B$173,$B$78="Refinance",ISNUMBER($B$80),$B$80&gt;=0,$B$80&lt;=1,ROUND($B$81*12,0)&gt;=1,$B$81&lt;=100,SUM($B$82)&gt;=0,SUM($B$82)&lt;=1,SUM($B$83)&gt;=0)),IF(B628=0,0,IF(C628=0,B628/ROUND($B$81*12,0),B628*(C628/12)/(1-(1+C628/12)^(-ROUND($B$81*12,0))))),IF(AND(NOT(AND(228&gt;$B$173,$B$78="Refinance",ISNUMBER($B$80),$B$80&gt;=0,$B$80&lt;=1,ROUND($B$81*12,0)&gt;=1,$B$81&lt;=100,SUM($B$82)&gt;=0,SUM($B$82)&lt;=1,SUM($B$83)&gt;=0)),OR(228=1,228=$B$174+1,AND($B$175&gt;0,228=$B$175+1))),IF(AND($B$170=1,$B$66&gt;0,OR($B$175=0,228&lt;=$B$175)),$B$66,IF($B$172-MAX(228-1,$B$174)&gt;0,IF(B628=0,0,IF(C628=0,B628/($B$172-MAX(228-1,$B$174)),B628*(C628/12)/(1-(1+C628/12)^(-($B$172-MAX(228-1,$B$174)))))),"")),D627)))+0.0000001&gt;=B628*C628/12,MIN(B628*(1+C628/12),IF(AND(228&lt;=$B$174,228&lt;=$B$173),B628*C628/12,IF(AND(228=$B$173+1,AND(228&gt;$B$173,$B$78="Refinance",ISNUMBER($B$80),$B$80&gt;=0,$B$80&lt;=1,ROUND($B$81*12,0)&gt;=1,$B$81&lt;=100,SUM($B$82)&gt;=0,SUM($B$82)&lt;=1,SUM($B$83)&gt;=0)),IF(B628=0,0,IF(C628=0,B628/ROUND($B$81*12,0),B628*(C628/12)/(1-(1+C628/12)^(-ROUND($B$81*12,0))))),IF(AND(NOT(AND(228&gt;$B$173,$B$78="Refinance",ISNUMBER($B$80),$B$80&gt;=0,$B$80&lt;=1,ROUND($B$81*12,0)&gt;=1,$B$81&lt;=100,SUM($B$82)&gt;=0,SUM($B$82)&lt;=1,SUM($B$83)&gt;=0)),OR(228=1,228=$B$174+1,AND($B$175&gt;0,228=$B$175+1))),IF(AND($B$170=1,$B$66&gt;0,OR($B$175=0,228&lt;=$B$175)),$B$66,IF($B$172-MAX(228-1,$B$174)&gt;0,IF(B628=0,0,IF(C628=0,B628/($B$172-MAX(228-1,$B$174)),B628*(C628/12)/(1-(1+C628/12)^(-($B$172-MAX(228-1,$B$174)))))),"")),D627)))),""),""))</x:f>
        <x:v>4679.450723240598</x:v>
      </x:c>
      <x:c r="E628" s="440" t="n">
        <x:f>IF(AND(228=$B$173,ISNUMBER(D628)),IF(MAX(0,B628*(1+C628/12)-D628)&lt;MAX(0.0000001,$E$17*0.00000000001),0,MAX(0,B628*(1+C628/12)-D628)),0)</x:f>
        <x:v>0</x:v>
      </x:c>
      <x:c r="F628" s="440" t="n">
        <x:f>IF($B$78="Cash payoff",E628,0)</x:f>
        <x:v>0</x:v>
      </x:c>
      <x:c r="G628" s="440" t="n">
        <x:f>IF(AND(E628&gt;0,AND($B$78="Refinance",ISNUMBER($B$80),$B$80&gt;=0,$B$80&lt;=1,ROUND($B$81*12,0)&gt;=1,$B$81&lt;=100,SUM($B$82)&gt;=0,SUM($B$82)&lt;=1,SUM($B$83)&gt;=0)),E628*SUM($B$82)+SUM($B$83),0)</x:f>
        <x:v>0</x:v>
      </x:c>
      <x:c r="H628" s="440" t="n">
        <x:f>IF(ISNUMBER(D628),IF(MAX(0,B628*(1+C628/12)-D628-F628)&lt;MAX(0.0000001,$E$17*0.00000000001),0,MAX(0,B628*(1+C628/12)-D628-F628)),IF(AND($B$171=1,I627=1),B628,""))</x:f>
        <x:v>445876.46803955454</x:v>
      </x:c>
      <x:c r="I628" s="444" t="n">
        <x:f>IF(OR(I627=1,AND(E628&gt;0,$B$78&lt;&gt;"Cash payoff",NOT(AND($B$78="Refinance",ISNUMBER($B$80),$B$80&gt;=0,$B$80&lt;=1,ROUND($B$81*12,0)&gt;=1,$B$81&lt;=100,SUM($B$82)&gt;=0,SUM($B$82)&lt;=1,SUM($B$83)&gt;=0))),AND(ISNUMBER(B628),B628&gt;0,$B$171=1,NOT(ISNUMBER(D628)))),1,0)</x:f>
        <x:v>0</x:v>
      </x:c>
      <x:c r="J628" s="440" t="n">
        <x:f>IF(ISNUMBER(L627),L627,"")</x:f>
        <x:v>0</x:v>
      </x:c>
      <x:c r="K628" s="440" t="n">
        <x:f>IF(AND(ISNUMBER(J628),J628=0),0,IF(AND($B$176=1,ISNUMBER(J628)),MIN(J628*(1+$B$87/12),IF($B$86=0,0,IF($B$87=0,$B$86/ROUND($B$88*12,0),$B$86*($B$87/12)/(1-(1+$B$87/12)^(-ROUND($B$88*12,0)))))),""))</x:f>
        <x:v>0</x:v>
      </x:c>
      <x:c r="L628" s="440" t="n">
        <x:f>IF(ISNUMBER(K628),IF(MAX(0,J628*(1+SUM($B$87)/12)-K628)&lt;MAX(0.0000001,$B$86*0.00000000001),0,MAX(0,J628*(1+SUM($B$87)/12)-K628)),"")</x:f>
        <x:v>0</x:v>
      </x:c>
      <x:c r="M628" s="440" t="n">
        <x:f>IF(AND(ISNUMBER(D628),ISNUMBER(K628)),D628+K628,"")</x:f>
        <x:v>4679.450723240598</x:v>
      </x:c>
      <x:c r="N628" s="440" t="n">
        <x:f>IF(AND(ISNUMBER(H628),ISNUMBER(L628)),H628+L628,"")</x:f>
        <x:v>445876.46803955454</x:v>
      </x:c>
    </x:row>
    <x:row r="629" ht="22" customHeight="1">
      <x:c r="A629" s="254" t="n">
        <x:f>229</x:f>
        <x:v>229</x:v>
      </x:c>
      <x:c r="B629" s="440" t="n">
        <x:f>IF(ISNUMBER(H628),H628,"")</x:f>
        <x:v>445876.46803955454</x:v>
      </x:c>
      <x:c r="C629" s="442" t="n">
        <x:f>IF(ISNUMBER(B629),IF(AND(229&gt;$B$173,$B$78="Refinance",ISNUMBER($B$80),$B$80&gt;=0,$B$80&lt;=1,ROUND($B$81*12,0)&gt;=1,$B$81&lt;=100,SUM($B$82)&gt;=0,SUM($B$82)&lt;=1,SUM($B$83)&gt;=0),$B$80,IF(AND($B$175&gt;0,229&gt;$B$175,ISNUMBER($B$75)),$B$75,$B$61)),"")</x:f>
        <x:v>0.0625</x:v>
      </x:c>
      <x:c r="D629" s="440" t="n">
        <x:f>IF(AND(ISNUMBER(B629),B629=0),0,IF(AND($B$171=1,I628=0,ISNUMBER(C629),ISNUMBER(IF(AND(229&lt;=$B$174,229&lt;=$B$173),B629*C629/12,IF(AND(229=$B$173+1,AND(229&gt;$B$173,$B$78="Refinance",ISNUMBER($B$80),$B$80&gt;=0,$B$80&lt;=1,ROUND($B$81*12,0)&gt;=1,$B$81&lt;=100,SUM($B$82)&gt;=0,SUM($B$82)&lt;=1,SUM($B$83)&gt;=0)),IF(B629=0,0,IF(C629=0,B629/ROUND($B$81*12,0),B629*(C629/12)/(1-(1+C629/12)^(-ROUND($B$81*12,0))))),IF(AND(NOT(AND(229&gt;$B$173,$B$78="Refinance",ISNUMBER($B$80),$B$80&gt;=0,$B$80&lt;=1,ROUND($B$81*12,0)&gt;=1,$B$81&lt;=100,SUM($B$82)&gt;=0,SUM($B$82)&lt;=1,SUM($B$83)&gt;=0)),OR(229=1,229=$B$174+1,AND($B$175&gt;0,229=$B$175+1))),IF(AND($B$170=1,$B$66&gt;0,OR($B$175=0,229&lt;=$B$175)),$B$66,IF($B$172-MAX(229-1,$B$174)&gt;0,IF(B629=0,0,IF(C629=0,B629/($B$172-MAX(229-1,$B$174)),B629*(C629/12)/(1-(1+C629/12)^(-($B$172-MAX(229-1,$B$174)))))),"")),D628))))),IF(IF(AND(229&lt;=$B$174,229&lt;=$B$173),B629*C629/12,IF(AND(229=$B$173+1,AND(229&gt;$B$173,$B$78="Refinance",ISNUMBER($B$80),$B$80&gt;=0,$B$80&lt;=1,ROUND($B$81*12,0)&gt;=1,$B$81&lt;=100,SUM($B$82)&gt;=0,SUM($B$82)&lt;=1,SUM($B$83)&gt;=0)),IF(B629=0,0,IF(C629=0,B629/ROUND($B$81*12,0),B629*(C629/12)/(1-(1+C629/12)^(-ROUND($B$81*12,0))))),IF(AND(NOT(AND(229&gt;$B$173,$B$78="Refinance",ISNUMBER($B$80),$B$80&gt;=0,$B$80&lt;=1,ROUND($B$81*12,0)&gt;=1,$B$81&lt;=100,SUM($B$82)&gt;=0,SUM($B$82)&lt;=1,SUM($B$83)&gt;=0)),OR(229=1,229=$B$174+1,AND($B$175&gt;0,229=$B$175+1))),IF(AND($B$170=1,$B$66&gt;0,OR($B$175=0,229&lt;=$B$175)),$B$66,IF($B$172-MAX(229-1,$B$174)&gt;0,IF(B629=0,0,IF(C629=0,B629/($B$172-MAX(229-1,$B$174)),B629*(C629/12)/(1-(1+C629/12)^(-($B$172-MAX(229-1,$B$174)))))),"")),D628)))+0.0000001&gt;=B629*C629/12,MIN(B629*(1+C629/12),IF(AND(229&lt;=$B$174,229&lt;=$B$173),B629*C629/12,IF(AND(229=$B$173+1,AND(229&gt;$B$173,$B$78="Refinance",ISNUMBER($B$80),$B$80&gt;=0,$B$80&lt;=1,ROUND($B$81*12,0)&gt;=1,$B$81&lt;=100,SUM($B$82)&gt;=0,SUM($B$82)&lt;=1,SUM($B$83)&gt;=0)),IF(B629=0,0,IF(C629=0,B629/ROUND($B$81*12,0),B629*(C629/12)/(1-(1+C629/12)^(-ROUND($B$81*12,0))))),IF(AND(NOT(AND(229&gt;$B$173,$B$78="Refinance",ISNUMBER($B$80),$B$80&gt;=0,$B$80&lt;=1,ROUND($B$81*12,0)&gt;=1,$B$81&lt;=100,SUM($B$82)&gt;=0,SUM($B$82)&lt;=1,SUM($B$83)&gt;=0)),OR(229=1,229=$B$174+1,AND($B$175&gt;0,229=$B$175+1))),IF(AND($B$170=1,$B$66&gt;0,OR($B$175=0,229&lt;=$B$175)),$B$66,IF($B$172-MAX(229-1,$B$174)&gt;0,IF(B629=0,0,IF(C629=0,B629/($B$172-MAX(229-1,$B$174)),B629*(C629/12)/(1-(1+C629/12)^(-($B$172-MAX(229-1,$B$174)))))),"")),D628)))),""),""))</x:f>
        <x:v>4679.450723240598</x:v>
      </x:c>
      <x:c r="E629" s="440" t="n">
        <x:f>IF(AND(229=$B$173,ISNUMBER(D629)),IF(MAX(0,B629*(1+C629/12)-D629)&lt;MAX(0.0000001,$E$17*0.00000000001),0,MAX(0,B629*(1+C629/12)-D629)),0)</x:f>
        <x:v>0</x:v>
      </x:c>
      <x:c r="F629" s="440" t="n">
        <x:f>IF($B$78="Cash payoff",E629,0)</x:f>
        <x:v>0</x:v>
      </x:c>
      <x:c r="G629" s="440" t="n">
        <x:f>IF(AND(E629&gt;0,AND($B$78="Refinance",ISNUMBER($B$80),$B$80&gt;=0,$B$80&lt;=1,ROUND($B$81*12,0)&gt;=1,$B$81&lt;=100,SUM($B$82)&gt;=0,SUM($B$82)&lt;=1,SUM($B$83)&gt;=0)),E629*SUM($B$82)+SUM($B$83),0)</x:f>
        <x:v>0</x:v>
      </x:c>
      <x:c r="H629" s="440" t="n">
        <x:f>IF(ISNUMBER(D629),IF(MAX(0,B629*(1+C629/12)-D629-F629)&lt;MAX(0.0000001,$E$17*0.00000000001),0,MAX(0,B629*(1+C629/12)-D629-F629)),IF(AND($B$171=1,I628=1),B629,""))</x:f>
        <x:v>443519.2905873532</x:v>
      </x:c>
      <x:c r="I629" s="444" t="n">
        <x:f>IF(OR(I628=1,AND(E629&gt;0,$B$78&lt;&gt;"Cash payoff",NOT(AND($B$78="Refinance",ISNUMBER($B$80),$B$80&gt;=0,$B$80&lt;=1,ROUND($B$81*12,0)&gt;=1,$B$81&lt;=100,SUM($B$82)&gt;=0,SUM($B$82)&lt;=1,SUM($B$83)&gt;=0))),AND(ISNUMBER(B629),B629&gt;0,$B$171=1,NOT(ISNUMBER(D629)))),1,0)</x:f>
        <x:v>0</x:v>
      </x:c>
      <x:c r="J629" s="440" t="n">
        <x:f>IF(ISNUMBER(L628),L628,"")</x:f>
        <x:v>0</x:v>
      </x:c>
      <x:c r="K629" s="440" t="n">
        <x:f>IF(AND(ISNUMBER(J629),J629=0),0,IF(AND($B$176=1,ISNUMBER(J629)),MIN(J629*(1+$B$87/12),IF($B$86=0,0,IF($B$87=0,$B$86/ROUND($B$88*12,0),$B$86*($B$87/12)/(1-(1+$B$87/12)^(-ROUND($B$88*12,0)))))),""))</x:f>
        <x:v>0</x:v>
      </x:c>
      <x:c r="L629" s="440" t="n">
        <x:f>IF(ISNUMBER(K629),IF(MAX(0,J629*(1+SUM($B$87)/12)-K629)&lt;MAX(0.0000001,$B$86*0.00000000001),0,MAX(0,J629*(1+SUM($B$87)/12)-K629)),"")</x:f>
        <x:v>0</x:v>
      </x:c>
      <x:c r="M629" s="440" t="n">
        <x:f>IF(AND(ISNUMBER(D629),ISNUMBER(K629)),D629+K629,"")</x:f>
        <x:v>4679.450723240598</x:v>
      </x:c>
      <x:c r="N629" s="440" t="n">
        <x:f>IF(AND(ISNUMBER(H629),ISNUMBER(L629)),H629+L629,"")</x:f>
        <x:v>443519.2905873532</x:v>
      </x:c>
    </x:row>
    <x:row r="630" ht="22" customHeight="1">
      <x:c r="A630" s="254" t="n">
        <x:f>230</x:f>
        <x:v>230</x:v>
      </x:c>
      <x:c r="B630" s="440" t="n">
        <x:f>IF(ISNUMBER(H629),H629,"")</x:f>
        <x:v>443519.2905873532</x:v>
      </x:c>
      <x:c r="C630" s="442" t="n">
        <x:f>IF(ISNUMBER(B630),IF(AND(230&gt;$B$173,$B$78="Refinance",ISNUMBER($B$80),$B$80&gt;=0,$B$80&lt;=1,ROUND($B$81*12,0)&gt;=1,$B$81&lt;=100,SUM($B$82)&gt;=0,SUM($B$82)&lt;=1,SUM($B$83)&gt;=0),$B$80,IF(AND($B$175&gt;0,230&gt;$B$175,ISNUMBER($B$75)),$B$75,$B$61)),"")</x:f>
        <x:v>0.0625</x:v>
      </x:c>
      <x:c r="D630" s="440" t="n">
        <x:f>IF(AND(ISNUMBER(B630),B630=0),0,IF(AND($B$171=1,I629=0,ISNUMBER(C630),ISNUMBER(IF(AND(230&lt;=$B$174,230&lt;=$B$173),B630*C630/12,IF(AND(230=$B$173+1,AND(230&gt;$B$173,$B$78="Refinance",ISNUMBER($B$80),$B$80&gt;=0,$B$80&lt;=1,ROUND($B$81*12,0)&gt;=1,$B$81&lt;=100,SUM($B$82)&gt;=0,SUM($B$82)&lt;=1,SUM($B$83)&gt;=0)),IF(B630=0,0,IF(C630=0,B630/ROUND($B$81*12,0),B630*(C630/12)/(1-(1+C630/12)^(-ROUND($B$81*12,0))))),IF(AND(NOT(AND(230&gt;$B$173,$B$78="Refinance",ISNUMBER($B$80),$B$80&gt;=0,$B$80&lt;=1,ROUND($B$81*12,0)&gt;=1,$B$81&lt;=100,SUM($B$82)&gt;=0,SUM($B$82)&lt;=1,SUM($B$83)&gt;=0)),OR(230=1,230=$B$174+1,AND($B$175&gt;0,230=$B$175+1))),IF(AND($B$170=1,$B$66&gt;0,OR($B$175=0,230&lt;=$B$175)),$B$66,IF($B$172-MAX(230-1,$B$174)&gt;0,IF(B630=0,0,IF(C630=0,B630/($B$172-MAX(230-1,$B$174)),B630*(C630/12)/(1-(1+C630/12)^(-($B$172-MAX(230-1,$B$174)))))),"")),D629))))),IF(IF(AND(230&lt;=$B$174,230&lt;=$B$173),B630*C630/12,IF(AND(230=$B$173+1,AND(230&gt;$B$173,$B$78="Refinance",ISNUMBER($B$80),$B$80&gt;=0,$B$80&lt;=1,ROUND($B$81*12,0)&gt;=1,$B$81&lt;=100,SUM($B$82)&gt;=0,SUM($B$82)&lt;=1,SUM($B$83)&gt;=0)),IF(B630=0,0,IF(C630=0,B630/ROUND($B$81*12,0),B630*(C630/12)/(1-(1+C630/12)^(-ROUND($B$81*12,0))))),IF(AND(NOT(AND(230&gt;$B$173,$B$78="Refinance",ISNUMBER($B$80),$B$80&gt;=0,$B$80&lt;=1,ROUND($B$81*12,0)&gt;=1,$B$81&lt;=100,SUM($B$82)&gt;=0,SUM($B$82)&lt;=1,SUM($B$83)&gt;=0)),OR(230=1,230=$B$174+1,AND($B$175&gt;0,230=$B$175+1))),IF(AND($B$170=1,$B$66&gt;0,OR($B$175=0,230&lt;=$B$175)),$B$66,IF($B$172-MAX(230-1,$B$174)&gt;0,IF(B630=0,0,IF(C630=0,B630/($B$172-MAX(230-1,$B$174)),B630*(C630/12)/(1-(1+C630/12)^(-($B$172-MAX(230-1,$B$174)))))),"")),D629)))+0.0000001&gt;=B630*C630/12,MIN(B630*(1+C630/12),IF(AND(230&lt;=$B$174,230&lt;=$B$173),B630*C630/12,IF(AND(230=$B$173+1,AND(230&gt;$B$173,$B$78="Refinance",ISNUMBER($B$80),$B$80&gt;=0,$B$80&lt;=1,ROUND($B$81*12,0)&gt;=1,$B$81&lt;=100,SUM($B$82)&gt;=0,SUM($B$82)&lt;=1,SUM($B$83)&gt;=0)),IF(B630=0,0,IF(C630=0,B630/ROUND($B$81*12,0),B630*(C630/12)/(1-(1+C630/12)^(-ROUND($B$81*12,0))))),IF(AND(NOT(AND(230&gt;$B$173,$B$78="Refinance",ISNUMBER($B$80),$B$80&gt;=0,$B$80&lt;=1,ROUND($B$81*12,0)&gt;=1,$B$81&lt;=100,SUM($B$82)&gt;=0,SUM($B$82)&lt;=1,SUM($B$83)&gt;=0)),OR(230=1,230=$B$174+1,AND($B$175&gt;0,230=$B$175+1))),IF(AND($B$170=1,$B$66&gt;0,OR($B$175=0,230&lt;=$B$175)),$B$66,IF($B$172-MAX(230-1,$B$174)&gt;0,IF(B630=0,0,IF(C630=0,B630/($B$172-MAX(230-1,$B$174)),B630*(C630/12)/(1-(1+C630/12)^(-($B$172-MAX(230-1,$B$174)))))),"")),D629)))),""),""))</x:f>
        <x:v>4679.450723240598</x:v>
      </x:c>
      <x:c r="E630" s="440" t="n">
        <x:f>IF(AND(230=$B$173,ISNUMBER(D630)),IF(MAX(0,B630*(1+C630/12)-D630)&lt;MAX(0.0000001,$E$17*0.00000000001),0,MAX(0,B630*(1+C630/12)-D630)),0)</x:f>
        <x:v>0</x:v>
      </x:c>
      <x:c r="F630" s="440" t="n">
        <x:f>IF($B$78="Cash payoff",E630,0)</x:f>
        <x:v>0</x:v>
      </x:c>
      <x:c r="G630" s="440" t="n">
        <x:f>IF(AND(E630&gt;0,AND($B$78="Refinance",ISNUMBER($B$80),$B$80&gt;=0,$B$80&lt;=1,ROUND($B$81*12,0)&gt;=1,$B$81&lt;=100,SUM($B$82)&gt;=0,SUM($B$82)&lt;=1,SUM($B$83)&gt;=0)),E630*SUM($B$82)+SUM($B$83),0)</x:f>
        <x:v>0</x:v>
      </x:c>
      <x:c r="H630" s="440" t="n">
        <x:f>IF(ISNUMBER(D630),IF(MAX(0,B630*(1+C630/12)-D630-F630)&lt;MAX(0.0000001,$E$17*0.00000000001),0,MAX(0,B630*(1+C630/12)-D630-F630)),IF(AND($B$171=1,I629=1),B630,""))</x:f>
        <x:v>441149.836169255</x:v>
      </x:c>
      <x:c r="I630" s="444" t="n">
        <x:f>IF(OR(I629=1,AND(E630&gt;0,$B$78&lt;&gt;"Cash payoff",NOT(AND($B$78="Refinance",ISNUMBER($B$80),$B$80&gt;=0,$B$80&lt;=1,ROUND($B$81*12,0)&gt;=1,$B$81&lt;=100,SUM($B$82)&gt;=0,SUM($B$82)&lt;=1,SUM($B$83)&gt;=0))),AND(ISNUMBER(B630),B630&gt;0,$B$171=1,NOT(ISNUMBER(D630)))),1,0)</x:f>
        <x:v>0</x:v>
      </x:c>
      <x:c r="J630" s="440" t="n">
        <x:f>IF(ISNUMBER(L629),L629,"")</x:f>
        <x:v>0</x:v>
      </x:c>
      <x:c r="K630" s="440" t="n">
        <x:f>IF(AND(ISNUMBER(J630),J630=0),0,IF(AND($B$176=1,ISNUMBER(J630)),MIN(J630*(1+$B$87/12),IF($B$86=0,0,IF($B$87=0,$B$86/ROUND($B$88*12,0),$B$86*($B$87/12)/(1-(1+$B$87/12)^(-ROUND($B$88*12,0)))))),""))</x:f>
        <x:v>0</x:v>
      </x:c>
      <x:c r="L630" s="440" t="n">
        <x:f>IF(ISNUMBER(K630),IF(MAX(0,J630*(1+SUM($B$87)/12)-K630)&lt;MAX(0.0000001,$B$86*0.00000000001),0,MAX(0,J630*(1+SUM($B$87)/12)-K630)),"")</x:f>
        <x:v>0</x:v>
      </x:c>
      <x:c r="M630" s="440" t="n">
        <x:f>IF(AND(ISNUMBER(D630),ISNUMBER(K630)),D630+K630,"")</x:f>
        <x:v>4679.450723240598</x:v>
      </x:c>
      <x:c r="N630" s="440" t="n">
        <x:f>IF(AND(ISNUMBER(H630),ISNUMBER(L630)),H630+L630,"")</x:f>
        <x:v>441149.836169255</x:v>
      </x:c>
    </x:row>
    <x:row r="631" ht="22" customHeight="1">
      <x:c r="A631" s="254" t="n">
        <x:f>231</x:f>
        <x:v>231</x:v>
      </x:c>
      <x:c r="B631" s="440" t="n">
        <x:f>IF(ISNUMBER(H630),H630,"")</x:f>
        <x:v>441149.836169255</x:v>
      </x:c>
      <x:c r="C631" s="442" t="n">
        <x:f>IF(ISNUMBER(B631),IF(AND(231&gt;$B$173,$B$78="Refinance",ISNUMBER($B$80),$B$80&gt;=0,$B$80&lt;=1,ROUND($B$81*12,0)&gt;=1,$B$81&lt;=100,SUM($B$82)&gt;=0,SUM($B$82)&lt;=1,SUM($B$83)&gt;=0),$B$80,IF(AND($B$175&gt;0,231&gt;$B$175,ISNUMBER($B$75)),$B$75,$B$61)),"")</x:f>
        <x:v>0.0625</x:v>
      </x:c>
      <x:c r="D631" s="440" t="n">
        <x:f>IF(AND(ISNUMBER(B631),B631=0),0,IF(AND($B$171=1,I630=0,ISNUMBER(C631),ISNUMBER(IF(AND(231&lt;=$B$174,231&lt;=$B$173),B631*C631/12,IF(AND(231=$B$173+1,AND(231&gt;$B$173,$B$78="Refinance",ISNUMBER($B$80),$B$80&gt;=0,$B$80&lt;=1,ROUND($B$81*12,0)&gt;=1,$B$81&lt;=100,SUM($B$82)&gt;=0,SUM($B$82)&lt;=1,SUM($B$83)&gt;=0)),IF(B631=0,0,IF(C631=0,B631/ROUND($B$81*12,0),B631*(C631/12)/(1-(1+C631/12)^(-ROUND($B$81*12,0))))),IF(AND(NOT(AND(231&gt;$B$173,$B$78="Refinance",ISNUMBER($B$80),$B$80&gt;=0,$B$80&lt;=1,ROUND($B$81*12,0)&gt;=1,$B$81&lt;=100,SUM($B$82)&gt;=0,SUM($B$82)&lt;=1,SUM($B$83)&gt;=0)),OR(231=1,231=$B$174+1,AND($B$175&gt;0,231=$B$175+1))),IF(AND($B$170=1,$B$66&gt;0,OR($B$175=0,231&lt;=$B$175)),$B$66,IF($B$172-MAX(231-1,$B$174)&gt;0,IF(B631=0,0,IF(C631=0,B631/($B$172-MAX(231-1,$B$174)),B631*(C631/12)/(1-(1+C631/12)^(-($B$172-MAX(231-1,$B$174)))))),"")),D630))))),IF(IF(AND(231&lt;=$B$174,231&lt;=$B$173),B631*C631/12,IF(AND(231=$B$173+1,AND(231&gt;$B$173,$B$78="Refinance",ISNUMBER($B$80),$B$80&gt;=0,$B$80&lt;=1,ROUND($B$81*12,0)&gt;=1,$B$81&lt;=100,SUM($B$82)&gt;=0,SUM($B$82)&lt;=1,SUM($B$83)&gt;=0)),IF(B631=0,0,IF(C631=0,B631/ROUND($B$81*12,0),B631*(C631/12)/(1-(1+C631/12)^(-ROUND($B$81*12,0))))),IF(AND(NOT(AND(231&gt;$B$173,$B$78="Refinance",ISNUMBER($B$80),$B$80&gt;=0,$B$80&lt;=1,ROUND($B$81*12,0)&gt;=1,$B$81&lt;=100,SUM($B$82)&gt;=0,SUM($B$82)&lt;=1,SUM($B$83)&gt;=0)),OR(231=1,231=$B$174+1,AND($B$175&gt;0,231=$B$175+1))),IF(AND($B$170=1,$B$66&gt;0,OR($B$175=0,231&lt;=$B$175)),$B$66,IF($B$172-MAX(231-1,$B$174)&gt;0,IF(B631=0,0,IF(C631=0,B631/($B$172-MAX(231-1,$B$174)),B631*(C631/12)/(1-(1+C631/12)^(-($B$172-MAX(231-1,$B$174)))))),"")),D630)))+0.0000001&gt;=B631*C631/12,MIN(B631*(1+C631/12),IF(AND(231&lt;=$B$174,231&lt;=$B$173),B631*C631/12,IF(AND(231=$B$173+1,AND(231&gt;$B$173,$B$78="Refinance",ISNUMBER($B$80),$B$80&gt;=0,$B$80&lt;=1,ROUND($B$81*12,0)&gt;=1,$B$81&lt;=100,SUM($B$82)&gt;=0,SUM($B$82)&lt;=1,SUM($B$83)&gt;=0)),IF(B631=0,0,IF(C631=0,B631/ROUND($B$81*12,0),B631*(C631/12)/(1-(1+C631/12)^(-ROUND($B$81*12,0))))),IF(AND(NOT(AND(231&gt;$B$173,$B$78="Refinance",ISNUMBER($B$80),$B$80&gt;=0,$B$80&lt;=1,ROUND($B$81*12,0)&gt;=1,$B$81&lt;=100,SUM($B$82)&gt;=0,SUM($B$82)&lt;=1,SUM($B$83)&gt;=0)),OR(231=1,231=$B$174+1,AND($B$175&gt;0,231=$B$175+1))),IF(AND($B$170=1,$B$66&gt;0,OR($B$175=0,231&lt;=$B$175)),$B$66,IF($B$172-MAX(231-1,$B$174)&gt;0,IF(B631=0,0,IF(C631=0,B631/($B$172-MAX(231-1,$B$174)),B631*(C631/12)/(1-(1+C631/12)^(-($B$172-MAX(231-1,$B$174)))))),"")),D630)))),""),""))</x:f>
        <x:v>4679.450723240598</x:v>
      </x:c>
      <x:c r="E631" s="440" t="n">
        <x:f>IF(AND(231=$B$173,ISNUMBER(D631)),IF(MAX(0,B631*(1+C631/12)-D631)&lt;MAX(0.0000001,$E$17*0.00000000001),0,MAX(0,B631*(1+C631/12)-D631)),0)</x:f>
        <x:v>0</x:v>
      </x:c>
      <x:c r="F631" s="440" t="n">
        <x:f>IF($B$78="Cash payoff",E631,0)</x:f>
        <x:v>0</x:v>
      </x:c>
      <x:c r="G631" s="440" t="n">
        <x:f>IF(AND(E631&gt;0,AND($B$78="Refinance",ISNUMBER($B$80),$B$80&gt;=0,$B$80&lt;=1,ROUND($B$81*12,0)&gt;=1,$B$81&lt;=100,SUM($B$82)&gt;=0,SUM($B$82)&lt;=1,SUM($B$83)&gt;=0)),E631*SUM($B$82)+SUM($B$83),0)</x:f>
        <x:v>0</x:v>
      </x:c>
      <x:c r="H631" s="440" t="n">
        <x:f>IF(ISNUMBER(D631),IF(MAX(0,B631*(1+C631/12)-D631-F631)&lt;MAX(0.0000001,$E$17*0.00000000001),0,MAX(0,B631*(1+C631/12)-D631-F631)),IF(AND($B$171=1,I630=1),B631,""))</x:f>
        <x:v>438768.0408427293</x:v>
      </x:c>
      <x:c r="I631" s="444" t="n">
        <x:f>IF(OR(I630=1,AND(E631&gt;0,$B$78&lt;&gt;"Cash payoff",NOT(AND($B$78="Refinance",ISNUMBER($B$80),$B$80&gt;=0,$B$80&lt;=1,ROUND($B$81*12,0)&gt;=1,$B$81&lt;=100,SUM($B$82)&gt;=0,SUM($B$82)&lt;=1,SUM($B$83)&gt;=0))),AND(ISNUMBER(B631),B631&gt;0,$B$171=1,NOT(ISNUMBER(D631)))),1,0)</x:f>
        <x:v>0</x:v>
      </x:c>
      <x:c r="J631" s="440" t="n">
        <x:f>IF(ISNUMBER(L630),L630,"")</x:f>
        <x:v>0</x:v>
      </x:c>
      <x:c r="K631" s="440" t="n">
        <x:f>IF(AND(ISNUMBER(J631),J631=0),0,IF(AND($B$176=1,ISNUMBER(J631)),MIN(J631*(1+$B$87/12),IF($B$86=0,0,IF($B$87=0,$B$86/ROUND($B$88*12,0),$B$86*($B$87/12)/(1-(1+$B$87/12)^(-ROUND($B$88*12,0)))))),""))</x:f>
        <x:v>0</x:v>
      </x:c>
      <x:c r="L631" s="440" t="n">
        <x:f>IF(ISNUMBER(K631),IF(MAX(0,J631*(1+SUM($B$87)/12)-K631)&lt;MAX(0.0000001,$B$86*0.00000000001),0,MAX(0,J631*(1+SUM($B$87)/12)-K631)),"")</x:f>
        <x:v>0</x:v>
      </x:c>
      <x:c r="M631" s="440" t="n">
        <x:f>IF(AND(ISNUMBER(D631),ISNUMBER(K631)),D631+K631,"")</x:f>
        <x:v>4679.450723240598</x:v>
      </x:c>
      <x:c r="N631" s="440" t="n">
        <x:f>IF(AND(ISNUMBER(H631),ISNUMBER(L631)),H631+L631,"")</x:f>
        <x:v>438768.0408427293</x:v>
      </x:c>
    </x:row>
    <x:row r="632" ht="22" customHeight="1">
      <x:c r="A632" s="254" t="n">
        <x:f>232</x:f>
        <x:v>232</x:v>
      </x:c>
      <x:c r="B632" s="440" t="n">
        <x:f>IF(ISNUMBER(H631),H631,"")</x:f>
        <x:v>438768.0408427293</x:v>
      </x:c>
      <x:c r="C632" s="442" t="n">
        <x:f>IF(ISNUMBER(B632),IF(AND(232&gt;$B$173,$B$78="Refinance",ISNUMBER($B$80),$B$80&gt;=0,$B$80&lt;=1,ROUND($B$81*12,0)&gt;=1,$B$81&lt;=100,SUM($B$82)&gt;=0,SUM($B$82)&lt;=1,SUM($B$83)&gt;=0),$B$80,IF(AND($B$175&gt;0,232&gt;$B$175,ISNUMBER($B$75)),$B$75,$B$61)),"")</x:f>
        <x:v>0.0625</x:v>
      </x:c>
      <x:c r="D632" s="440" t="n">
        <x:f>IF(AND(ISNUMBER(B632),B632=0),0,IF(AND($B$171=1,I631=0,ISNUMBER(C632),ISNUMBER(IF(AND(232&lt;=$B$174,232&lt;=$B$173),B632*C632/12,IF(AND(232=$B$173+1,AND(232&gt;$B$173,$B$78="Refinance",ISNUMBER($B$80),$B$80&gt;=0,$B$80&lt;=1,ROUND($B$81*12,0)&gt;=1,$B$81&lt;=100,SUM($B$82)&gt;=0,SUM($B$82)&lt;=1,SUM($B$83)&gt;=0)),IF(B632=0,0,IF(C632=0,B632/ROUND($B$81*12,0),B632*(C632/12)/(1-(1+C632/12)^(-ROUND($B$81*12,0))))),IF(AND(NOT(AND(232&gt;$B$173,$B$78="Refinance",ISNUMBER($B$80),$B$80&gt;=0,$B$80&lt;=1,ROUND($B$81*12,0)&gt;=1,$B$81&lt;=100,SUM($B$82)&gt;=0,SUM($B$82)&lt;=1,SUM($B$83)&gt;=0)),OR(232=1,232=$B$174+1,AND($B$175&gt;0,232=$B$175+1))),IF(AND($B$170=1,$B$66&gt;0,OR($B$175=0,232&lt;=$B$175)),$B$66,IF($B$172-MAX(232-1,$B$174)&gt;0,IF(B632=0,0,IF(C632=0,B632/($B$172-MAX(232-1,$B$174)),B632*(C632/12)/(1-(1+C632/12)^(-($B$172-MAX(232-1,$B$174)))))),"")),D631))))),IF(IF(AND(232&lt;=$B$174,232&lt;=$B$173),B632*C632/12,IF(AND(232=$B$173+1,AND(232&gt;$B$173,$B$78="Refinance",ISNUMBER($B$80),$B$80&gt;=0,$B$80&lt;=1,ROUND($B$81*12,0)&gt;=1,$B$81&lt;=100,SUM($B$82)&gt;=0,SUM($B$82)&lt;=1,SUM($B$83)&gt;=0)),IF(B632=0,0,IF(C632=0,B632/ROUND($B$81*12,0),B632*(C632/12)/(1-(1+C632/12)^(-ROUND($B$81*12,0))))),IF(AND(NOT(AND(232&gt;$B$173,$B$78="Refinance",ISNUMBER($B$80),$B$80&gt;=0,$B$80&lt;=1,ROUND($B$81*12,0)&gt;=1,$B$81&lt;=100,SUM($B$82)&gt;=0,SUM($B$82)&lt;=1,SUM($B$83)&gt;=0)),OR(232=1,232=$B$174+1,AND($B$175&gt;0,232=$B$175+1))),IF(AND($B$170=1,$B$66&gt;0,OR($B$175=0,232&lt;=$B$175)),$B$66,IF($B$172-MAX(232-1,$B$174)&gt;0,IF(B632=0,0,IF(C632=0,B632/($B$172-MAX(232-1,$B$174)),B632*(C632/12)/(1-(1+C632/12)^(-($B$172-MAX(232-1,$B$174)))))),"")),D631)))+0.0000001&gt;=B632*C632/12,MIN(B632*(1+C632/12),IF(AND(232&lt;=$B$174,232&lt;=$B$173),B632*C632/12,IF(AND(232=$B$173+1,AND(232&gt;$B$173,$B$78="Refinance",ISNUMBER($B$80),$B$80&gt;=0,$B$80&lt;=1,ROUND($B$81*12,0)&gt;=1,$B$81&lt;=100,SUM($B$82)&gt;=0,SUM($B$82)&lt;=1,SUM($B$83)&gt;=0)),IF(B632=0,0,IF(C632=0,B632/ROUND($B$81*12,0),B632*(C632/12)/(1-(1+C632/12)^(-ROUND($B$81*12,0))))),IF(AND(NOT(AND(232&gt;$B$173,$B$78="Refinance",ISNUMBER($B$80),$B$80&gt;=0,$B$80&lt;=1,ROUND($B$81*12,0)&gt;=1,$B$81&lt;=100,SUM($B$82)&gt;=0,SUM($B$82)&lt;=1,SUM($B$83)&gt;=0)),OR(232=1,232=$B$174+1,AND($B$175&gt;0,232=$B$175+1))),IF(AND($B$170=1,$B$66&gt;0,OR($B$175=0,232&lt;=$B$175)),$B$66,IF($B$172-MAX(232-1,$B$174)&gt;0,IF(B632=0,0,IF(C632=0,B632/($B$172-MAX(232-1,$B$174)),B632*(C632/12)/(1-(1+C632/12)^(-($B$172-MAX(232-1,$B$174)))))),"")),D631)))),""),""))</x:f>
        <x:v>4679.450723240598</x:v>
      </x:c>
      <x:c r="E632" s="440" t="n">
        <x:f>IF(AND(232=$B$173,ISNUMBER(D632)),IF(MAX(0,B632*(1+C632/12)-D632)&lt;MAX(0.0000001,$E$17*0.00000000001),0,MAX(0,B632*(1+C632/12)-D632)),0)</x:f>
        <x:v>0</x:v>
      </x:c>
      <x:c r="F632" s="440" t="n">
        <x:f>IF($B$78="Cash payoff",E632,0)</x:f>
        <x:v>0</x:v>
      </x:c>
      <x:c r="G632" s="440" t="n">
        <x:f>IF(AND(E632&gt;0,AND($B$78="Refinance",ISNUMBER($B$80),$B$80&gt;=0,$B$80&lt;=1,ROUND($B$81*12,0)&gt;=1,$B$81&lt;=100,SUM($B$82)&gt;=0,SUM($B$82)&lt;=1,SUM($B$83)&gt;=0)),E632*SUM($B$82)+SUM($B$83),0)</x:f>
        <x:v>0</x:v>
      </x:c>
      <x:c r="H632" s="440" t="n">
        <x:f>IF(ISNUMBER(D632),IF(MAX(0,B632*(1+C632/12)-D632-F632)&lt;MAX(0.0000001,$E$17*0.00000000001),0,MAX(0,B632*(1+C632/12)-D632-F632)),IF(AND($B$171=1,I631=1),B632,""))</x:f>
        <x:v>436373.84033221117</x:v>
      </x:c>
      <x:c r="I632" s="444" t="n">
        <x:f>IF(OR(I631=1,AND(E632&gt;0,$B$78&lt;&gt;"Cash payoff",NOT(AND($B$78="Refinance",ISNUMBER($B$80),$B$80&gt;=0,$B$80&lt;=1,ROUND($B$81*12,0)&gt;=1,$B$81&lt;=100,SUM($B$82)&gt;=0,SUM($B$82)&lt;=1,SUM($B$83)&gt;=0))),AND(ISNUMBER(B632),B632&gt;0,$B$171=1,NOT(ISNUMBER(D632)))),1,0)</x:f>
        <x:v>0</x:v>
      </x:c>
      <x:c r="J632" s="440" t="n">
        <x:f>IF(ISNUMBER(L631),L631,"")</x:f>
        <x:v>0</x:v>
      </x:c>
      <x:c r="K632" s="440" t="n">
        <x:f>IF(AND(ISNUMBER(J632),J632=0),0,IF(AND($B$176=1,ISNUMBER(J632)),MIN(J632*(1+$B$87/12),IF($B$86=0,0,IF($B$87=0,$B$86/ROUND($B$88*12,0),$B$86*($B$87/12)/(1-(1+$B$87/12)^(-ROUND($B$88*12,0)))))),""))</x:f>
        <x:v>0</x:v>
      </x:c>
      <x:c r="L632" s="440" t="n">
        <x:f>IF(ISNUMBER(K632),IF(MAX(0,J632*(1+SUM($B$87)/12)-K632)&lt;MAX(0.0000001,$B$86*0.00000000001),0,MAX(0,J632*(1+SUM($B$87)/12)-K632)),"")</x:f>
        <x:v>0</x:v>
      </x:c>
      <x:c r="M632" s="440" t="n">
        <x:f>IF(AND(ISNUMBER(D632),ISNUMBER(K632)),D632+K632,"")</x:f>
        <x:v>4679.450723240598</x:v>
      </x:c>
      <x:c r="N632" s="440" t="n">
        <x:f>IF(AND(ISNUMBER(H632),ISNUMBER(L632)),H632+L632,"")</x:f>
        <x:v>436373.84033221117</x:v>
      </x:c>
    </x:row>
    <x:row r="633" ht="22" customHeight="1">
      <x:c r="A633" s="254" t="n">
        <x:f>233</x:f>
        <x:v>233</x:v>
      </x:c>
      <x:c r="B633" s="440" t="n">
        <x:f>IF(ISNUMBER(H632),H632,"")</x:f>
        <x:v>436373.84033221117</x:v>
      </x:c>
      <x:c r="C633" s="442" t="n">
        <x:f>IF(ISNUMBER(B633),IF(AND(233&gt;$B$173,$B$78="Refinance",ISNUMBER($B$80),$B$80&gt;=0,$B$80&lt;=1,ROUND($B$81*12,0)&gt;=1,$B$81&lt;=100,SUM($B$82)&gt;=0,SUM($B$82)&lt;=1,SUM($B$83)&gt;=0),$B$80,IF(AND($B$175&gt;0,233&gt;$B$175,ISNUMBER($B$75)),$B$75,$B$61)),"")</x:f>
        <x:v>0.0625</x:v>
      </x:c>
      <x:c r="D633" s="440" t="n">
        <x:f>IF(AND(ISNUMBER(B633),B633=0),0,IF(AND($B$171=1,I632=0,ISNUMBER(C633),ISNUMBER(IF(AND(233&lt;=$B$174,233&lt;=$B$173),B633*C633/12,IF(AND(233=$B$173+1,AND(233&gt;$B$173,$B$78="Refinance",ISNUMBER($B$80),$B$80&gt;=0,$B$80&lt;=1,ROUND($B$81*12,0)&gt;=1,$B$81&lt;=100,SUM($B$82)&gt;=0,SUM($B$82)&lt;=1,SUM($B$83)&gt;=0)),IF(B633=0,0,IF(C633=0,B633/ROUND($B$81*12,0),B633*(C633/12)/(1-(1+C633/12)^(-ROUND($B$81*12,0))))),IF(AND(NOT(AND(233&gt;$B$173,$B$78="Refinance",ISNUMBER($B$80),$B$80&gt;=0,$B$80&lt;=1,ROUND($B$81*12,0)&gt;=1,$B$81&lt;=100,SUM($B$82)&gt;=0,SUM($B$82)&lt;=1,SUM($B$83)&gt;=0)),OR(233=1,233=$B$174+1,AND($B$175&gt;0,233=$B$175+1))),IF(AND($B$170=1,$B$66&gt;0,OR($B$175=0,233&lt;=$B$175)),$B$66,IF($B$172-MAX(233-1,$B$174)&gt;0,IF(B633=0,0,IF(C633=0,B633/($B$172-MAX(233-1,$B$174)),B633*(C633/12)/(1-(1+C633/12)^(-($B$172-MAX(233-1,$B$174)))))),"")),D632))))),IF(IF(AND(233&lt;=$B$174,233&lt;=$B$173),B633*C633/12,IF(AND(233=$B$173+1,AND(233&gt;$B$173,$B$78="Refinance",ISNUMBER($B$80),$B$80&gt;=0,$B$80&lt;=1,ROUND($B$81*12,0)&gt;=1,$B$81&lt;=100,SUM($B$82)&gt;=0,SUM($B$82)&lt;=1,SUM($B$83)&gt;=0)),IF(B633=0,0,IF(C633=0,B633/ROUND($B$81*12,0),B633*(C633/12)/(1-(1+C633/12)^(-ROUND($B$81*12,0))))),IF(AND(NOT(AND(233&gt;$B$173,$B$78="Refinance",ISNUMBER($B$80),$B$80&gt;=0,$B$80&lt;=1,ROUND($B$81*12,0)&gt;=1,$B$81&lt;=100,SUM($B$82)&gt;=0,SUM($B$82)&lt;=1,SUM($B$83)&gt;=0)),OR(233=1,233=$B$174+1,AND($B$175&gt;0,233=$B$175+1))),IF(AND($B$170=1,$B$66&gt;0,OR($B$175=0,233&lt;=$B$175)),$B$66,IF($B$172-MAX(233-1,$B$174)&gt;0,IF(B633=0,0,IF(C633=0,B633/($B$172-MAX(233-1,$B$174)),B633*(C633/12)/(1-(1+C633/12)^(-($B$172-MAX(233-1,$B$174)))))),"")),D632)))+0.0000001&gt;=B633*C633/12,MIN(B633*(1+C633/12),IF(AND(233&lt;=$B$174,233&lt;=$B$173),B633*C633/12,IF(AND(233=$B$173+1,AND(233&gt;$B$173,$B$78="Refinance",ISNUMBER($B$80),$B$80&gt;=0,$B$80&lt;=1,ROUND($B$81*12,0)&gt;=1,$B$81&lt;=100,SUM($B$82)&gt;=0,SUM($B$82)&lt;=1,SUM($B$83)&gt;=0)),IF(B633=0,0,IF(C633=0,B633/ROUND($B$81*12,0),B633*(C633/12)/(1-(1+C633/12)^(-ROUND($B$81*12,0))))),IF(AND(NOT(AND(233&gt;$B$173,$B$78="Refinance",ISNUMBER($B$80),$B$80&gt;=0,$B$80&lt;=1,ROUND($B$81*12,0)&gt;=1,$B$81&lt;=100,SUM($B$82)&gt;=0,SUM($B$82)&lt;=1,SUM($B$83)&gt;=0)),OR(233=1,233=$B$174+1,AND($B$175&gt;0,233=$B$175+1))),IF(AND($B$170=1,$B$66&gt;0,OR($B$175=0,233&lt;=$B$175)),$B$66,IF($B$172-MAX(233-1,$B$174)&gt;0,IF(B633=0,0,IF(C633=0,B633/($B$172-MAX(233-1,$B$174)),B633*(C633/12)/(1-(1+C633/12)^(-($B$172-MAX(233-1,$B$174)))))),"")),D632)))),""),""))</x:f>
        <x:v>4679.450723240598</x:v>
      </x:c>
      <x:c r="E633" s="440" t="n">
        <x:f>IF(AND(233=$B$173,ISNUMBER(D633)),IF(MAX(0,B633*(1+C633/12)-D633)&lt;MAX(0.0000001,$E$17*0.00000000001),0,MAX(0,B633*(1+C633/12)-D633)),0)</x:f>
        <x:v>0</x:v>
      </x:c>
      <x:c r="F633" s="440" t="n">
        <x:f>IF($B$78="Cash payoff",E633,0)</x:f>
        <x:v>0</x:v>
      </x:c>
      <x:c r="G633" s="440" t="n">
        <x:f>IF(AND(E633&gt;0,AND($B$78="Refinance",ISNUMBER($B$80),$B$80&gt;=0,$B$80&lt;=1,ROUND($B$81*12,0)&gt;=1,$B$81&lt;=100,SUM($B$82)&gt;=0,SUM($B$82)&lt;=1,SUM($B$83)&gt;=0)),E633*SUM($B$82)+SUM($B$83),0)</x:f>
        <x:v>0</x:v>
      </x:c>
      <x:c r="H633" s="440" t="n">
        <x:f>IF(ISNUMBER(D633),IF(MAX(0,B633*(1+C633/12)-D633-F633)&lt;MAX(0.0000001,$E$17*0.00000000001),0,MAX(0,B633*(1+C633/12)-D633-F633)),IF(AND($B$171=1,I632=1),B633,""))</x:f>
        <x:v>433967.1700273675</x:v>
      </x:c>
      <x:c r="I633" s="444" t="n">
        <x:f>IF(OR(I632=1,AND(E633&gt;0,$B$78&lt;&gt;"Cash payoff",NOT(AND($B$78="Refinance",ISNUMBER($B$80),$B$80&gt;=0,$B$80&lt;=1,ROUND($B$81*12,0)&gt;=1,$B$81&lt;=100,SUM($B$82)&gt;=0,SUM($B$82)&lt;=1,SUM($B$83)&gt;=0))),AND(ISNUMBER(B633),B633&gt;0,$B$171=1,NOT(ISNUMBER(D633)))),1,0)</x:f>
        <x:v>0</x:v>
      </x:c>
      <x:c r="J633" s="440" t="n">
        <x:f>IF(ISNUMBER(L632),L632,"")</x:f>
        <x:v>0</x:v>
      </x:c>
      <x:c r="K633" s="440" t="n">
        <x:f>IF(AND(ISNUMBER(J633),J633=0),0,IF(AND($B$176=1,ISNUMBER(J633)),MIN(J633*(1+$B$87/12),IF($B$86=0,0,IF($B$87=0,$B$86/ROUND($B$88*12,0),$B$86*($B$87/12)/(1-(1+$B$87/12)^(-ROUND($B$88*12,0)))))),""))</x:f>
        <x:v>0</x:v>
      </x:c>
      <x:c r="L633" s="440" t="n">
        <x:f>IF(ISNUMBER(K633),IF(MAX(0,J633*(1+SUM($B$87)/12)-K633)&lt;MAX(0.0000001,$B$86*0.00000000001),0,MAX(0,J633*(1+SUM($B$87)/12)-K633)),"")</x:f>
        <x:v>0</x:v>
      </x:c>
      <x:c r="M633" s="440" t="n">
        <x:f>IF(AND(ISNUMBER(D633),ISNUMBER(K633)),D633+K633,"")</x:f>
        <x:v>4679.450723240598</x:v>
      </x:c>
      <x:c r="N633" s="440" t="n">
        <x:f>IF(AND(ISNUMBER(H633),ISNUMBER(L633)),H633+L633,"")</x:f>
        <x:v>433967.1700273675</x:v>
      </x:c>
    </x:row>
    <x:row r="634" ht="22" customHeight="1">
      <x:c r="A634" s="254" t="n">
        <x:f>234</x:f>
        <x:v>234</x:v>
      </x:c>
      <x:c r="B634" s="440" t="n">
        <x:f>IF(ISNUMBER(H633),H633,"")</x:f>
        <x:v>433967.1700273675</x:v>
      </x:c>
      <x:c r="C634" s="442" t="n">
        <x:f>IF(ISNUMBER(B634),IF(AND(234&gt;$B$173,$B$78="Refinance",ISNUMBER($B$80),$B$80&gt;=0,$B$80&lt;=1,ROUND($B$81*12,0)&gt;=1,$B$81&lt;=100,SUM($B$82)&gt;=0,SUM($B$82)&lt;=1,SUM($B$83)&gt;=0),$B$80,IF(AND($B$175&gt;0,234&gt;$B$175,ISNUMBER($B$75)),$B$75,$B$61)),"")</x:f>
        <x:v>0.0625</x:v>
      </x:c>
      <x:c r="D634" s="440" t="n">
        <x:f>IF(AND(ISNUMBER(B634),B634=0),0,IF(AND($B$171=1,I633=0,ISNUMBER(C634),ISNUMBER(IF(AND(234&lt;=$B$174,234&lt;=$B$173),B634*C634/12,IF(AND(234=$B$173+1,AND(234&gt;$B$173,$B$78="Refinance",ISNUMBER($B$80),$B$80&gt;=0,$B$80&lt;=1,ROUND($B$81*12,0)&gt;=1,$B$81&lt;=100,SUM($B$82)&gt;=0,SUM($B$82)&lt;=1,SUM($B$83)&gt;=0)),IF(B634=0,0,IF(C634=0,B634/ROUND($B$81*12,0),B634*(C634/12)/(1-(1+C634/12)^(-ROUND($B$81*12,0))))),IF(AND(NOT(AND(234&gt;$B$173,$B$78="Refinance",ISNUMBER($B$80),$B$80&gt;=0,$B$80&lt;=1,ROUND($B$81*12,0)&gt;=1,$B$81&lt;=100,SUM($B$82)&gt;=0,SUM($B$82)&lt;=1,SUM($B$83)&gt;=0)),OR(234=1,234=$B$174+1,AND($B$175&gt;0,234=$B$175+1))),IF(AND($B$170=1,$B$66&gt;0,OR($B$175=0,234&lt;=$B$175)),$B$66,IF($B$172-MAX(234-1,$B$174)&gt;0,IF(B634=0,0,IF(C634=0,B634/($B$172-MAX(234-1,$B$174)),B634*(C634/12)/(1-(1+C634/12)^(-($B$172-MAX(234-1,$B$174)))))),"")),D633))))),IF(IF(AND(234&lt;=$B$174,234&lt;=$B$173),B634*C634/12,IF(AND(234=$B$173+1,AND(234&gt;$B$173,$B$78="Refinance",ISNUMBER($B$80),$B$80&gt;=0,$B$80&lt;=1,ROUND($B$81*12,0)&gt;=1,$B$81&lt;=100,SUM($B$82)&gt;=0,SUM($B$82)&lt;=1,SUM($B$83)&gt;=0)),IF(B634=0,0,IF(C634=0,B634/ROUND($B$81*12,0),B634*(C634/12)/(1-(1+C634/12)^(-ROUND($B$81*12,0))))),IF(AND(NOT(AND(234&gt;$B$173,$B$78="Refinance",ISNUMBER($B$80),$B$80&gt;=0,$B$80&lt;=1,ROUND($B$81*12,0)&gt;=1,$B$81&lt;=100,SUM($B$82)&gt;=0,SUM($B$82)&lt;=1,SUM($B$83)&gt;=0)),OR(234=1,234=$B$174+1,AND($B$175&gt;0,234=$B$175+1))),IF(AND($B$170=1,$B$66&gt;0,OR($B$175=0,234&lt;=$B$175)),$B$66,IF($B$172-MAX(234-1,$B$174)&gt;0,IF(B634=0,0,IF(C634=0,B634/($B$172-MAX(234-1,$B$174)),B634*(C634/12)/(1-(1+C634/12)^(-($B$172-MAX(234-1,$B$174)))))),"")),D633)))+0.0000001&gt;=B634*C634/12,MIN(B634*(1+C634/12),IF(AND(234&lt;=$B$174,234&lt;=$B$173),B634*C634/12,IF(AND(234=$B$173+1,AND(234&gt;$B$173,$B$78="Refinance",ISNUMBER($B$80),$B$80&gt;=0,$B$80&lt;=1,ROUND($B$81*12,0)&gt;=1,$B$81&lt;=100,SUM($B$82)&gt;=0,SUM($B$82)&lt;=1,SUM($B$83)&gt;=0)),IF(B634=0,0,IF(C634=0,B634/ROUND($B$81*12,0),B634*(C634/12)/(1-(1+C634/12)^(-ROUND($B$81*12,0))))),IF(AND(NOT(AND(234&gt;$B$173,$B$78="Refinance",ISNUMBER($B$80),$B$80&gt;=0,$B$80&lt;=1,ROUND($B$81*12,0)&gt;=1,$B$81&lt;=100,SUM($B$82)&gt;=0,SUM($B$82)&lt;=1,SUM($B$83)&gt;=0)),OR(234=1,234=$B$174+1,AND($B$175&gt;0,234=$B$175+1))),IF(AND($B$170=1,$B$66&gt;0,OR($B$175=0,234&lt;=$B$175)),$B$66,IF($B$172-MAX(234-1,$B$174)&gt;0,IF(B634=0,0,IF(C634=0,B634/($B$172-MAX(234-1,$B$174)),B634*(C634/12)/(1-(1+C634/12)^(-($B$172-MAX(234-1,$B$174)))))),"")),D633)))),""),""))</x:f>
        <x:v>4679.450723240598</x:v>
      </x:c>
      <x:c r="E634" s="440" t="n">
        <x:f>IF(AND(234=$B$173,ISNUMBER(D634)),IF(MAX(0,B634*(1+C634/12)-D634)&lt;MAX(0.0000001,$E$17*0.00000000001),0,MAX(0,B634*(1+C634/12)-D634)),0)</x:f>
        <x:v>0</x:v>
      </x:c>
      <x:c r="F634" s="440" t="n">
        <x:f>IF($B$78="Cash payoff",E634,0)</x:f>
        <x:v>0</x:v>
      </x:c>
      <x:c r="G634" s="440" t="n">
        <x:f>IF(AND(E634&gt;0,AND($B$78="Refinance",ISNUMBER($B$80),$B$80&gt;=0,$B$80&lt;=1,ROUND($B$81*12,0)&gt;=1,$B$81&lt;=100,SUM($B$82)&gt;=0,SUM($B$82)&lt;=1,SUM($B$83)&gt;=0)),E634*SUM($B$82)+SUM($B$83),0)</x:f>
        <x:v>0</x:v>
      </x:c>
      <x:c r="H634" s="440" t="n">
        <x:f>IF(ISNUMBER(D634),IF(MAX(0,B634*(1+C634/12)-D634-F634)&lt;MAX(0.0000001,$E$17*0.00000000001),0,MAX(0,B634*(1+C634/12)-D634-F634)),IF(AND($B$171=1,I633=1),B634,""))</x:f>
        <x:v>431547.9649813527</x:v>
      </x:c>
      <x:c r="I634" s="444" t="n">
        <x:f>IF(OR(I633=1,AND(E634&gt;0,$B$78&lt;&gt;"Cash payoff",NOT(AND($B$78="Refinance",ISNUMBER($B$80),$B$80&gt;=0,$B$80&lt;=1,ROUND($B$81*12,0)&gt;=1,$B$81&lt;=100,SUM($B$82)&gt;=0,SUM($B$82)&lt;=1,SUM($B$83)&gt;=0))),AND(ISNUMBER(B634),B634&gt;0,$B$171=1,NOT(ISNUMBER(D634)))),1,0)</x:f>
        <x:v>0</x:v>
      </x:c>
      <x:c r="J634" s="440" t="n">
        <x:f>IF(ISNUMBER(L633),L633,"")</x:f>
        <x:v>0</x:v>
      </x:c>
      <x:c r="K634" s="440" t="n">
        <x:f>IF(AND(ISNUMBER(J634),J634=0),0,IF(AND($B$176=1,ISNUMBER(J634)),MIN(J634*(1+$B$87/12),IF($B$86=0,0,IF($B$87=0,$B$86/ROUND($B$88*12,0),$B$86*($B$87/12)/(1-(1+$B$87/12)^(-ROUND($B$88*12,0)))))),""))</x:f>
        <x:v>0</x:v>
      </x:c>
      <x:c r="L634" s="440" t="n">
        <x:f>IF(ISNUMBER(K634),IF(MAX(0,J634*(1+SUM($B$87)/12)-K634)&lt;MAX(0.0000001,$B$86*0.00000000001),0,MAX(0,J634*(1+SUM($B$87)/12)-K634)),"")</x:f>
        <x:v>0</x:v>
      </x:c>
      <x:c r="M634" s="440" t="n">
        <x:f>IF(AND(ISNUMBER(D634),ISNUMBER(K634)),D634+K634,"")</x:f>
        <x:v>4679.450723240598</x:v>
      </x:c>
      <x:c r="N634" s="440" t="n">
        <x:f>IF(AND(ISNUMBER(H634),ISNUMBER(L634)),H634+L634,"")</x:f>
        <x:v>431547.9649813527</x:v>
      </x:c>
    </x:row>
    <x:row r="635" ht="22" customHeight="1">
      <x:c r="A635" s="254" t="n">
        <x:f>235</x:f>
        <x:v>235</x:v>
      </x:c>
      <x:c r="B635" s="440" t="n">
        <x:f>IF(ISNUMBER(H634),H634,"")</x:f>
        <x:v>431547.9649813527</x:v>
      </x:c>
      <x:c r="C635" s="442" t="n">
        <x:f>IF(ISNUMBER(B635),IF(AND(235&gt;$B$173,$B$78="Refinance",ISNUMBER($B$80),$B$80&gt;=0,$B$80&lt;=1,ROUND($B$81*12,0)&gt;=1,$B$81&lt;=100,SUM($B$82)&gt;=0,SUM($B$82)&lt;=1,SUM($B$83)&gt;=0),$B$80,IF(AND($B$175&gt;0,235&gt;$B$175,ISNUMBER($B$75)),$B$75,$B$61)),"")</x:f>
        <x:v>0.0625</x:v>
      </x:c>
      <x:c r="D635" s="440" t="n">
        <x:f>IF(AND(ISNUMBER(B635),B635=0),0,IF(AND($B$171=1,I634=0,ISNUMBER(C635),ISNUMBER(IF(AND(235&lt;=$B$174,235&lt;=$B$173),B635*C635/12,IF(AND(235=$B$173+1,AND(235&gt;$B$173,$B$78="Refinance",ISNUMBER($B$80),$B$80&gt;=0,$B$80&lt;=1,ROUND($B$81*12,0)&gt;=1,$B$81&lt;=100,SUM($B$82)&gt;=0,SUM($B$82)&lt;=1,SUM($B$83)&gt;=0)),IF(B635=0,0,IF(C635=0,B635/ROUND($B$81*12,0),B635*(C635/12)/(1-(1+C635/12)^(-ROUND($B$81*12,0))))),IF(AND(NOT(AND(235&gt;$B$173,$B$78="Refinance",ISNUMBER($B$80),$B$80&gt;=0,$B$80&lt;=1,ROUND($B$81*12,0)&gt;=1,$B$81&lt;=100,SUM($B$82)&gt;=0,SUM($B$82)&lt;=1,SUM($B$83)&gt;=0)),OR(235=1,235=$B$174+1,AND($B$175&gt;0,235=$B$175+1))),IF(AND($B$170=1,$B$66&gt;0,OR($B$175=0,235&lt;=$B$175)),$B$66,IF($B$172-MAX(235-1,$B$174)&gt;0,IF(B635=0,0,IF(C635=0,B635/($B$172-MAX(235-1,$B$174)),B635*(C635/12)/(1-(1+C635/12)^(-($B$172-MAX(235-1,$B$174)))))),"")),D634))))),IF(IF(AND(235&lt;=$B$174,235&lt;=$B$173),B635*C635/12,IF(AND(235=$B$173+1,AND(235&gt;$B$173,$B$78="Refinance",ISNUMBER($B$80),$B$80&gt;=0,$B$80&lt;=1,ROUND($B$81*12,0)&gt;=1,$B$81&lt;=100,SUM($B$82)&gt;=0,SUM($B$82)&lt;=1,SUM($B$83)&gt;=0)),IF(B635=0,0,IF(C635=0,B635/ROUND($B$81*12,0),B635*(C635/12)/(1-(1+C635/12)^(-ROUND($B$81*12,0))))),IF(AND(NOT(AND(235&gt;$B$173,$B$78="Refinance",ISNUMBER($B$80),$B$80&gt;=0,$B$80&lt;=1,ROUND($B$81*12,0)&gt;=1,$B$81&lt;=100,SUM($B$82)&gt;=0,SUM($B$82)&lt;=1,SUM($B$83)&gt;=0)),OR(235=1,235=$B$174+1,AND($B$175&gt;0,235=$B$175+1))),IF(AND($B$170=1,$B$66&gt;0,OR($B$175=0,235&lt;=$B$175)),$B$66,IF($B$172-MAX(235-1,$B$174)&gt;0,IF(B635=0,0,IF(C635=0,B635/($B$172-MAX(235-1,$B$174)),B635*(C635/12)/(1-(1+C635/12)^(-($B$172-MAX(235-1,$B$174)))))),"")),D634)))+0.0000001&gt;=B635*C635/12,MIN(B635*(1+C635/12),IF(AND(235&lt;=$B$174,235&lt;=$B$173),B635*C635/12,IF(AND(235=$B$173+1,AND(235&gt;$B$173,$B$78="Refinance",ISNUMBER($B$80),$B$80&gt;=0,$B$80&lt;=1,ROUND($B$81*12,0)&gt;=1,$B$81&lt;=100,SUM($B$82)&gt;=0,SUM($B$82)&lt;=1,SUM($B$83)&gt;=0)),IF(B635=0,0,IF(C635=0,B635/ROUND($B$81*12,0),B635*(C635/12)/(1-(1+C635/12)^(-ROUND($B$81*12,0))))),IF(AND(NOT(AND(235&gt;$B$173,$B$78="Refinance",ISNUMBER($B$80),$B$80&gt;=0,$B$80&lt;=1,ROUND($B$81*12,0)&gt;=1,$B$81&lt;=100,SUM($B$82)&gt;=0,SUM($B$82)&lt;=1,SUM($B$83)&gt;=0)),OR(235=1,235=$B$174+1,AND($B$175&gt;0,235=$B$175+1))),IF(AND($B$170=1,$B$66&gt;0,OR($B$175=0,235&lt;=$B$175)),$B$66,IF($B$172-MAX(235-1,$B$174)&gt;0,IF(B635=0,0,IF(C635=0,B635/($B$172-MAX(235-1,$B$174)),B635*(C635/12)/(1-(1+C635/12)^(-($B$172-MAX(235-1,$B$174)))))),"")),D634)))),""),""))</x:f>
        <x:v>4679.450723240598</x:v>
      </x:c>
      <x:c r="E635" s="440" t="n">
        <x:f>IF(AND(235=$B$173,ISNUMBER(D635)),IF(MAX(0,B635*(1+C635/12)-D635)&lt;MAX(0.0000001,$E$17*0.00000000001),0,MAX(0,B635*(1+C635/12)-D635)),0)</x:f>
        <x:v>0</x:v>
      </x:c>
      <x:c r="F635" s="440" t="n">
        <x:f>IF($B$78="Cash payoff",E635,0)</x:f>
        <x:v>0</x:v>
      </x:c>
      <x:c r="G635" s="440" t="n">
        <x:f>IF(AND(E635&gt;0,AND($B$78="Refinance",ISNUMBER($B$80),$B$80&gt;=0,$B$80&lt;=1,ROUND($B$81*12,0)&gt;=1,$B$81&lt;=100,SUM($B$82)&gt;=0,SUM($B$82)&lt;=1,SUM($B$83)&gt;=0)),E635*SUM($B$82)+SUM($B$83),0)</x:f>
        <x:v>0</x:v>
      </x:c>
      <x:c r="H635" s="440" t="n">
        <x:f>IF(ISNUMBER(D635),IF(MAX(0,B635*(1+C635/12)-D635-F635)&lt;MAX(0.0000001,$E$17*0.00000000001),0,MAX(0,B635*(1+C635/12)-D635-F635)),IF(AND($B$171=1,I634=1),B635,""))</x:f>
        <x:v>429116.15990905656</x:v>
      </x:c>
      <x:c r="I635" s="444" t="n">
        <x:f>IF(OR(I634=1,AND(E635&gt;0,$B$78&lt;&gt;"Cash payoff",NOT(AND($B$78="Refinance",ISNUMBER($B$80),$B$80&gt;=0,$B$80&lt;=1,ROUND($B$81*12,0)&gt;=1,$B$81&lt;=100,SUM($B$82)&gt;=0,SUM($B$82)&lt;=1,SUM($B$83)&gt;=0))),AND(ISNUMBER(B635),B635&gt;0,$B$171=1,NOT(ISNUMBER(D635)))),1,0)</x:f>
        <x:v>0</x:v>
      </x:c>
      <x:c r="J635" s="440" t="n">
        <x:f>IF(ISNUMBER(L634),L634,"")</x:f>
        <x:v>0</x:v>
      </x:c>
      <x:c r="K635" s="440" t="n">
        <x:f>IF(AND(ISNUMBER(J635),J635=0),0,IF(AND($B$176=1,ISNUMBER(J635)),MIN(J635*(1+$B$87/12),IF($B$86=0,0,IF($B$87=0,$B$86/ROUND($B$88*12,0),$B$86*($B$87/12)/(1-(1+$B$87/12)^(-ROUND($B$88*12,0)))))),""))</x:f>
        <x:v>0</x:v>
      </x:c>
      <x:c r="L635" s="440" t="n">
        <x:f>IF(ISNUMBER(K635),IF(MAX(0,J635*(1+SUM($B$87)/12)-K635)&lt;MAX(0.0000001,$B$86*0.00000000001),0,MAX(0,J635*(1+SUM($B$87)/12)-K635)),"")</x:f>
        <x:v>0</x:v>
      </x:c>
      <x:c r="M635" s="440" t="n">
        <x:f>IF(AND(ISNUMBER(D635),ISNUMBER(K635)),D635+K635,"")</x:f>
        <x:v>4679.450723240598</x:v>
      </x:c>
      <x:c r="N635" s="440" t="n">
        <x:f>IF(AND(ISNUMBER(H635),ISNUMBER(L635)),H635+L635,"")</x:f>
        <x:v>429116.15990905656</x:v>
      </x:c>
    </x:row>
    <x:row r="636" ht="22" customHeight="1">
      <x:c r="A636" s="254" t="n">
        <x:f>236</x:f>
        <x:v>236</x:v>
      </x:c>
      <x:c r="B636" s="440" t="n">
        <x:f>IF(ISNUMBER(H635),H635,"")</x:f>
        <x:v>429116.15990905656</x:v>
      </x:c>
      <x:c r="C636" s="442" t="n">
        <x:f>IF(ISNUMBER(B636),IF(AND(236&gt;$B$173,$B$78="Refinance",ISNUMBER($B$80),$B$80&gt;=0,$B$80&lt;=1,ROUND($B$81*12,0)&gt;=1,$B$81&lt;=100,SUM($B$82)&gt;=0,SUM($B$82)&lt;=1,SUM($B$83)&gt;=0),$B$80,IF(AND($B$175&gt;0,236&gt;$B$175,ISNUMBER($B$75)),$B$75,$B$61)),"")</x:f>
        <x:v>0.0625</x:v>
      </x:c>
      <x:c r="D636" s="440" t="n">
        <x:f>IF(AND(ISNUMBER(B636),B636=0),0,IF(AND($B$171=1,I635=0,ISNUMBER(C636),ISNUMBER(IF(AND(236&lt;=$B$174,236&lt;=$B$173),B636*C636/12,IF(AND(236=$B$173+1,AND(236&gt;$B$173,$B$78="Refinance",ISNUMBER($B$80),$B$80&gt;=0,$B$80&lt;=1,ROUND($B$81*12,0)&gt;=1,$B$81&lt;=100,SUM($B$82)&gt;=0,SUM($B$82)&lt;=1,SUM($B$83)&gt;=0)),IF(B636=0,0,IF(C636=0,B636/ROUND($B$81*12,0),B636*(C636/12)/(1-(1+C636/12)^(-ROUND($B$81*12,0))))),IF(AND(NOT(AND(236&gt;$B$173,$B$78="Refinance",ISNUMBER($B$80),$B$80&gt;=0,$B$80&lt;=1,ROUND($B$81*12,0)&gt;=1,$B$81&lt;=100,SUM($B$82)&gt;=0,SUM($B$82)&lt;=1,SUM($B$83)&gt;=0)),OR(236=1,236=$B$174+1,AND($B$175&gt;0,236=$B$175+1))),IF(AND($B$170=1,$B$66&gt;0,OR($B$175=0,236&lt;=$B$175)),$B$66,IF($B$172-MAX(236-1,$B$174)&gt;0,IF(B636=0,0,IF(C636=0,B636/($B$172-MAX(236-1,$B$174)),B636*(C636/12)/(1-(1+C636/12)^(-($B$172-MAX(236-1,$B$174)))))),"")),D635))))),IF(IF(AND(236&lt;=$B$174,236&lt;=$B$173),B636*C636/12,IF(AND(236=$B$173+1,AND(236&gt;$B$173,$B$78="Refinance",ISNUMBER($B$80),$B$80&gt;=0,$B$80&lt;=1,ROUND($B$81*12,0)&gt;=1,$B$81&lt;=100,SUM($B$82)&gt;=0,SUM($B$82)&lt;=1,SUM($B$83)&gt;=0)),IF(B636=0,0,IF(C636=0,B636/ROUND($B$81*12,0),B636*(C636/12)/(1-(1+C636/12)^(-ROUND($B$81*12,0))))),IF(AND(NOT(AND(236&gt;$B$173,$B$78="Refinance",ISNUMBER($B$80),$B$80&gt;=0,$B$80&lt;=1,ROUND($B$81*12,0)&gt;=1,$B$81&lt;=100,SUM($B$82)&gt;=0,SUM($B$82)&lt;=1,SUM($B$83)&gt;=0)),OR(236=1,236=$B$174+1,AND($B$175&gt;0,236=$B$175+1))),IF(AND($B$170=1,$B$66&gt;0,OR($B$175=0,236&lt;=$B$175)),$B$66,IF($B$172-MAX(236-1,$B$174)&gt;0,IF(B636=0,0,IF(C636=0,B636/($B$172-MAX(236-1,$B$174)),B636*(C636/12)/(1-(1+C636/12)^(-($B$172-MAX(236-1,$B$174)))))),"")),D635)))+0.0000001&gt;=B636*C636/12,MIN(B636*(1+C636/12),IF(AND(236&lt;=$B$174,236&lt;=$B$173),B636*C636/12,IF(AND(236=$B$173+1,AND(236&gt;$B$173,$B$78="Refinance",ISNUMBER($B$80),$B$80&gt;=0,$B$80&lt;=1,ROUND($B$81*12,0)&gt;=1,$B$81&lt;=100,SUM($B$82)&gt;=0,SUM($B$82)&lt;=1,SUM($B$83)&gt;=0)),IF(B636=0,0,IF(C636=0,B636/ROUND($B$81*12,0),B636*(C636/12)/(1-(1+C636/12)^(-ROUND($B$81*12,0))))),IF(AND(NOT(AND(236&gt;$B$173,$B$78="Refinance",ISNUMBER($B$80),$B$80&gt;=0,$B$80&lt;=1,ROUND($B$81*12,0)&gt;=1,$B$81&lt;=100,SUM($B$82)&gt;=0,SUM($B$82)&lt;=1,SUM($B$83)&gt;=0)),OR(236=1,236=$B$174+1,AND($B$175&gt;0,236=$B$175+1))),IF(AND($B$170=1,$B$66&gt;0,OR($B$175=0,236&lt;=$B$175)),$B$66,IF($B$172-MAX(236-1,$B$174)&gt;0,IF(B636=0,0,IF(C636=0,B636/($B$172-MAX(236-1,$B$174)),B636*(C636/12)/(1-(1+C636/12)^(-($B$172-MAX(236-1,$B$174)))))),"")),D635)))),""),""))</x:f>
        <x:v>4679.450723240598</x:v>
      </x:c>
      <x:c r="E636" s="440" t="n">
        <x:f>IF(AND(236=$B$173,ISNUMBER(D636)),IF(MAX(0,B636*(1+C636/12)-D636)&lt;MAX(0.0000001,$E$17*0.00000000001),0,MAX(0,B636*(1+C636/12)-D636)),0)</x:f>
        <x:v>0</x:v>
      </x:c>
      <x:c r="F636" s="440" t="n">
        <x:f>IF($B$78="Cash payoff",E636,0)</x:f>
        <x:v>0</x:v>
      </x:c>
      <x:c r="G636" s="440" t="n">
        <x:f>IF(AND(E636&gt;0,AND($B$78="Refinance",ISNUMBER($B$80),$B$80&gt;=0,$B$80&lt;=1,ROUND($B$81*12,0)&gt;=1,$B$81&lt;=100,SUM($B$82)&gt;=0,SUM($B$82)&lt;=1,SUM($B$83)&gt;=0)),E636*SUM($B$82)+SUM($B$83),0)</x:f>
        <x:v>0</x:v>
      </x:c>
      <x:c r="H636" s="440" t="n">
        <x:f>IF(ISNUMBER(D636),IF(MAX(0,B636*(1+C636/12)-D636-F636)&lt;MAX(0.0000001,$E$17*0.00000000001),0,MAX(0,B636*(1+C636/12)-D636-F636)),IF(AND($B$171=1,I635=1),B636,""))</x:f>
        <x:v>426671.6891853422</x:v>
      </x:c>
      <x:c r="I636" s="444" t="n">
        <x:f>IF(OR(I635=1,AND(E636&gt;0,$B$78&lt;&gt;"Cash payoff",NOT(AND($B$78="Refinance",ISNUMBER($B$80),$B$80&gt;=0,$B$80&lt;=1,ROUND($B$81*12,0)&gt;=1,$B$81&lt;=100,SUM($B$82)&gt;=0,SUM($B$82)&lt;=1,SUM($B$83)&gt;=0))),AND(ISNUMBER(B636),B636&gt;0,$B$171=1,NOT(ISNUMBER(D636)))),1,0)</x:f>
        <x:v>0</x:v>
      </x:c>
      <x:c r="J636" s="440" t="n">
        <x:f>IF(ISNUMBER(L635),L635,"")</x:f>
        <x:v>0</x:v>
      </x:c>
      <x:c r="K636" s="440" t="n">
        <x:f>IF(AND(ISNUMBER(J636),J636=0),0,IF(AND($B$176=1,ISNUMBER(J636)),MIN(J636*(1+$B$87/12),IF($B$86=0,0,IF($B$87=0,$B$86/ROUND($B$88*12,0),$B$86*($B$87/12)/(1-(1+$B$87/12)^(-ROUND($B$88*12,0)))))),""))</x:f>
        <x:v>0</x:v>
      </x:c>
      <x:c r="L636" s="440" t="n">
        <x:f>IF(ISNUMBER(K636),IF(MAX(0,J636*(1+SUM($B$87)/12)-K636)&lt;MAX(0.0000001,$B$86*0.00000000001),0,MAX(0,J636*(1+SUM($B$87)/12)-K636)),"")</x:f>
        <x:v>0</x:v>
      </x:c>
      <x:c r="M636" s="440" t="n">
        <x:f>IF(AND(ISNUMBER(D636),ISNUMBER(K636)),D636+K636,"")</x:f>
        <x:v>4679.450723240598</x:v>
      </x:c>
      <x:c r="N636" s="440" t="n">
        <x:f>IF(AND(ISNUMBER(H636),ISNUMBER(L636)),H636+L636,"")</x:f>
        <x:v>426671.6891853422</x:v>
      </x:c>
    </x:row>
    <x:row r="637" ht="22" customHeight="1">
      <x:c r="A637" s="254" t="n">
        <x:f>237</x:f>
        <x:v>237</x:v>
      </x:c>
      <x:c r="B637" s="440" t="n">
        <x:f>IF(ISNUMBER(H636),H636,"")</x:f>
        <x:v>426671.6891853422</x:v>
      </x:c>
      <x:c r="C637" s="442" t="n">
        <x:f>IF(ISNUMBER(B637),IF(AND(237&gt;$B$173,$B$78="Refinance",ISNUMBER($B$80),$B$80&gt;=0,$B$80&lt;=1,ROUND($B$81*12,0)&gt;=1,$B$81&lt;=100,SUM($B$82)&gt;=0,SUM($B$82)&lt;=1,SUM($B$83)&gt;=0),$B$80,IF(AND($B$175&gt;0,237&gt;$B$175,ISNUMBER($B$75)),$B$75,$B$61)),"")</x:f>
        <x:v>0.0625</x:v>
      </x:c>
      <x:c r="D637" s="440" t="n">
        <x:f>IF(AND(ISNUMBER(B637),B637=0),0,IF(AND($B$171=1,I636=0,ISNUMBER(C637),ISNUMBER(IF(AND(237&lt;=$B$174,237&lt;=$B$173),B637*C637/12,IF(AND(237=$B$173+1,AND(237&gt;$B$173,$B$78="Refinance",ISNUMBER($B$80),$B$80&gt;=0,$B$80&lt;=1,ROUND($B$81*12,0)&gt;=1,$B$81&lt;=100,SUM($B$82)&gt;=0,SUM($B$82)&lt;=1,SUM($B$83)&gt;=0)),IF(B637=0,0,IF(C637=0,B637/ROUND($B$81*12,0),B637*(C637/12)/(1-(1+C637/12)^(-ROUND($B$81*12,0))))),IF(AND(NOT(AND(237&gt;$B$173,$B$78="Refinance",ISNUMBER($B$80),$B$80&gt;=0,$B$80&lt;=1,ROUND($B$81*12,0)&gt;=1,$B$81&lt;=100,SUM($B$82)&gt;=0,SUM($B$82)&lt;=1,SUM($B$83)&gt;=0)),OR(237=1,237=$B$174+1,AND($B$175&gt;0,237=$B$175+1))),IF(AND($B$170=1,$B$66&gt;0,OR($B$175=0,237&lt;=$B$175)),$B$66,IF($B$172-MAX(237-1,$B$174)&gt;0,IF(B637=0,0,IF(C637=0,B637/($B$172-MAX(237-1,$B$174)),B637*(C637/12)/(1-(1+C637/12)^(-($B$172-MAX(237-1,$B$174)))))),"")),D636))))),IF(IF(AND(237&lt;=$B$174,237&lt;=$B$173),B637*C637/12,IF(AND(237=$B$173+1,AND(237&gt;$B$173,$B$78="Refinance",ISNUMBER($B$80),$B$80&gt;=0,$B$80&lt;=1,ROUND($B$81*12,0)&gt;=1,$B$81&lt;=100,SUM($B$82)&gt;=0,SUM($B$82)&lt;=1,SUM($B$83)&gt;=0)),IF(B637=0,0,IF(C637=0,B637/ROUND($B$81*12,0),B637*(C637/12)/(1-(1+C637/12)^(-ROUND($B$81*12,0))))),IF(AND(NOT(AND(237&gt;$B$173,$B$78="Refinance",ISNUMBER($B$80),$B$80&gt;=0,$B$80&lt;=1,ROUND($B$81*12,0)&gt;=1,$B$81&lt;=100,SUM($B$82)&gt;=0,SUM($B$82)&lt;=1,SUM($B$83)&gt;=0)),OR(237=1,237=$B$174+1,AND($B$175&gt;0,237=$B$175+1))),IF(AND($B$170=1,$B$66&gt;0,OR($B$175=0,237&lt;=$B$175)),$B$66,IF($B$172-MAX(237-1,$B$174)&gt;0,IF(B637=0,0,IF(C637=0,B637/($B$172-MAX(237-1,$B$174)),B637*(C637/12)/(1-(1+C637/12)^(-($B$172-MAX(237-1,$B$174)))))),"")),D636)))+0.0000001&gt;=B637*C637/12,MIN(B637*(1+C637/12),IF(AND(237&lt;=$B$174,237&lt;=$B$173),B637*C637/12,IF(AND(237=$B$173+1,AND(237&gt;$B$173,$B$78="Refinance",ISNUMBER($B$80),$B$80&gt;=0,$B$80&lt;=1,ROUND($B$81*12,0)&gt;=1,$B$81&lt;=100,SUM($B$82)&gt;=0,SUM($B$82)&lt;=1,SUM($B$83)&gt;=0)),IF(B637=0,0,IF(C637=0,B637/ROUND($B$81*12,0),B637*(C637/12)/(1-(1+C637/12)^(-ROUND($B$81*12,0))))),IF(AND(NOT(AND(237&gt;$B$173,$B$78="Refinance",ISNUMBER($B$80),$B$80&gt;=0,$B$80&lt;=1,ROUND($B$81*12,0)&gt;=1,$B$81&lt;=100,SUM($B$82)&gt;=0,SUM($B$82)&lt;=1,SUM($B$83)&gt;=0)),OR(237=1,237=$B$174+1,AND($B$175&gt;0,237=$B$175+1))),IF(AND($B$170=1,$B$66&gt;0,OR($B$175=0,237&lt;=$B$175)),$B$66,IF($B$172-MAX(237-1,$B$174)&gt;0,IF(B637=0,0,IF(C637=0,B637/($B$172-MAX(237-1,$B$174)),B637*(C637/12)/(1-(1+C637/12)^(-($B$172-MAX(237-1,$B$174)))))),"")),D636)))),""),""))</x:f>
        <x:v>4679.450723240598</x:v>
      </x:c>
      <x:c r="E637" s="440" t="n">
        <x:f>IF(AND(237=$B$173,ISNUMBER(D637)),IF(MAX(0,B637*(1+C637/12)-D637)&lt;MAX(0.0000001,$E$17*0.00000000001),0,MAX(0,B637*(1+C637/12)-D637)),0)</x:f>
        <x:v>0</x:v>
      </x:c>
      <x:c r="F637" s="440" t="n">
        <x:f>IF($B$78="Cash payoff",E637,0)</x:f>
        <x:v>0</x:v>
      </x:c>
      <x:c r="G637" s="440" t="n">
        <x:f>IF(AND(E637&gt;0,AND($B$78="Refinance",ISNUMBER($B$80),$B$80&gt;=0,$B$80&lt;=1,ROUND($B$81*12,0)&gt;=1,$B$81&lt;=100,SUM($B$82)&gt;=0,SUM($B$82)&lt;=1,SUM($B$83)&gt;=0)),E637*SUM($B$82)+SUM($B$83),0)</x:f>
        <x:v>0</x:v>
      </x:c>
      <x:c r="H637" s="440" t="n">
        <x:f>IF(ISNUMBER(D637),IF(MAX(0,B637*(1+C637/12)-D637-F637)&lt;MAX(0.0000001,$E$17*0.00000000001),0,MAX(0,B637*(1+C637/12)-D637-F637)),IF(AND($B$171=1,I636=1),B637,""))</x:f>
        <x:v>424214.48684327526</x:v>
      </x:c>
      <x:c r="I637" s="444" t="n">
        <x:f>IF(OR(I636=1,AND(E637&gt;0,$B$78&lt;&gt;"Cash payoff",NOT(AND($B$78="Refinance",ISNUMBER($B$80),$B$80&gt;=0,$B$80&lt;=1,ROUND($B$81*12,0)&gt;=1,$B$81&lt;=100,SUM($B$82)&gt;=0,SUM($B$82)&lt;=1,SUM($B$83)&gt;=0))),AND(ISNUMBER(B637),B637&gt;0,$B$171=1,NOT(ISNUMBER(D637)))),1,0)</x:f>
        <x:v>0</x:v>
      </x:c>
      <x:c r="J637" s="440" t="n">
        <x:f>IF(ISNUMBER(L636),L636,"")</x:f>
        <x:v>0</x:v>
      </x:c>
      <x:c r="K637" s="440" t="n">
        <x:f>IF(AND(ISNUMBER(J637),J637=0),0,IF(AND($B$176=1,ISNUMBER(J637)),MIN(J637*(1+$B$87/12),IF($B$86=0,0,IF($B$87=0,$B$86/ROUND($B$88*12,0),$B$86*($B$87/12)/(1-(1+$B$87/12)^(-ROUND($B$88*12,0)))))),""))</x:f>
        <x:v>0</x:v>
      </x:c>
      <x:c r="L637" s="440" t="n">
        <x:f>IF(ISNUMBER(K637),IF(MAX(0,J637*(1+SUM($B$87)/12)-K637)&lt;MAX(0.0000001,$B$86*0.00000000001),0,MAX(0,J637*(1+SUM($B$87)/12)-K637)),"")</x:f>
        <x:v>0</x:v>
      </x:c>
      <x:c r="M637" s="440" t="n">
        <x:f>IF(AND(ISNUMBER(D637),ISNUMBER(K637)),D637+K637,"")</x:f>
        <x:v>4679.450723240598</x:v>
      </x:c>
      <x:c r="N637" s="440" t="n">
        <x:f>IF(AND(ISNUMBER(H637),ISNUMBER(L637)),H637+L637,"")</x:f>
        <x:v>424214.48684327526</x:v>
      </x:c>
    </x:row>
    <x:row r="638" ht="22" customHeight="1">
      <x:c r="A638" s="254" t="n">
        <x:f>238</x:f>
        <x:v>238</x:v>
      </x:c>
      <x:c r="B638" s="440" t="n">
        <x:f>IF(ISNUMBER(H637),H637,"")</x:f>
        <x:v>424214.48684327526</x:v>
      </x:c>
      <x:c r="C638" s="442" t="n">
        <x:f>IF(ISNUMBER(B638),IF(AND(238&gt;$B$173,$B$78="Refinance",ISNUMBER($B$80),$B$80&gt;=0,$B$80&lt;=1,ROUND($B$81*12,0)&gt;=1,$B$81&lt;=100,SUM($B$82)&gt;=0,SUM($B$82)&lt;=1,SUM($B$83)&gt;=0),$B$80,IF(AND($B$175&gt;0,238&gt;$B$175,ISNUMBER($B$75)),$B$75,$B$61)),"")</x:f>
        <x:v>0.0625</x:v>
      </x:c>
      <x:c r="D638" s="440" t="n">
        <x:f>IF(AND(ISNUMBER(B638),B638=0),0,IF(AND($B$171=1,I637=0,ISNUMBER(C638),ISNUMBER(IF(AND(238&lt;=$B$174,238&lt;=$B$173),B638*C638/12,IF(AND(238=$B$173+1,AND(238&gt;$B$173,$B$78="Refinance",ISNUMBER($B$80),$B$80&gt;=0,$B$80&lt;=1,ROUND($B$81*12,0)&gt;=1,$B$81&lt;=100,SUM($B$82)&gt;=0,SUM($B$82)&lt;=1,SUM($B$83)&gt;=0)),IF(B638=0,0,IF(C638=0,B638/ROUND($B$81*12,0),B638*(C638/12)/(1-(1+C638/12)^(-ROUND($B$81*12,0))))),IF(AND(NOT(AND(238&gt;$B$173,$B$78="Refinance",ISNUMBER($B$80),$B$80&gt;=0,$B$80&lt;=1,ROUND($B$81*12,0)&gt;=1,$B$81&lt;=100,SUM($B$82)&gt;=0,SUM($B$82)&lt;=1,SUM($B$83)&gt;=0)),OR(238=1,238=$B$174+1,AND($B$175&gt;0,238=$B$175+1))),IF(AND($B$170=1,$B$66&gt;0,OR($B$175=0,238&lt;=$B$175)),$B$66,IF($B$172-MAX(238-1,$B$174)&gt;0,IF(B638=0,0,IF(C638=0,B638/($B$172-MAX(238-1,$B$174)),B638*(C638/12)/(1-(1+C638/12)^(-($B$172-MAX(238-1,$B$174)))))),"")),D637))))),IF(IF(AND(238&lt;=$B$174,238&lt;=$B$173),B638*C638/12,IF(AND(238=$B$173+1,AND(238&gt;$B$173,$B$78="Refinance",ISNUMBER($B$80),$B$80&gt;=0,$B$80&lt;=1,ROUND($B$81*12,0)&gt;=1,$B$81&lt;=100,SUM($B$82)&gt;=0,SUM($B$82)&lt;=1,SUM($B$83)&gt;=0)),IF(B638=0,0,IF(C638=0,B638/ROUND($B$81*12,0),B638*(C638/12)/(1-(1+C638/12)^(-ROUND($B$81*12,0))))),IF(AND(NOT(AND(238&gt;$B$173,$B$78="Refinance",ISNUMBER($B$80),$B$80&gt;=0,$B$80&lt;=1,ROUND($B$81*12,0)&gt;=1,$B$81&lt;=100,SUM($B$82)&gt;=0,SUM($B$82)&lt;=1,SUM($B$83)&gt;=0)),OR(238=1,238=$B$174+1,AND($B$175&gt;0,238=$B$175+1))),IF(AND($B$170=1,$B$66&gt;0,OR($B$175=0,238&lt;=$B$175)),$B$66,IF($B$172-MAX(238-1,$B$174)&gt;0,IF(B638=0,0,IF(C638=0,B638/($B$172-MAX(238-1,$B$174)),B638*(C638/12)/(1-(1+C638/12)^(-($B$172-MAX(238-1,$B$174)))))),"")),D637)))+0.0000001&gt;=B638*C638/12,MIN(B638*(1+C638/12),IF(AND(238&lt;=$B$174,238&lt;=$B$173),B638*C638/12,IF(AND(238=$B$173+1,AND(238&gt;$B$173,$B$78="Refinance",ISNUMBER($B$80),$B$80&gt;=0,$B$80&lt;=1,ROUND($B$81*12,0)&gt;=1,$B$81&lt;=100,SUM($B$82)&gt;=0,SUM($B$82)&lt;=1,SUM($B$83)&gt;=0)),IF(B638=0,0,IF(C638=0,B638/ROUND($B$81*12,0),B638*(C638/12)/(1-(1+C638/12)^(-ROUND($B$81*12,0))))),IF(AND(NOT(AND(238&gt;$B$173,$B$78="Refinance",ISNUMBER($B$80),$B$80&gt;=0,$B$80&lt;=1,ROUND($B$81*12,0)&gt;=1,$B$81&lt;=100,SUM($B$82)&gt;=0,SUM($B$82)&lt;=1,SUM($B$83)&gt;=0)),OR(238=1,238=$B$174+1,AND($B$175&gt;0,238=$B$175+1))),IF(AND($B$170=1,$B$66&gt;0,OR($B$175=0,238&lt;=$B$175)),$B$66,IF($B$172-MAX(238-1,$B$174)&gt;0,IF(B638=0,0,IF(C638=0,B638/($B$172-MAX(238-1,$B$174)),B638*(C638/12)/(1-(1+C638/12)^(-($B$172-MAX(238-1,$B$174)))))),"")),D637)))),""),""))</x:f>
        <x:v>4679.450723240598</x:v>
      </x:c>
      <x:c r="E638" s="440" t="n">
        <x:f>IF(AND(238=$B$173,ISNUMBER(D638)),IF(MAX(0,B638*(1+C638/12)-D638)&lt;MAX(0.0000001,$E$17*0.00000000001),0,MAX(0,B638*(1+C638/12)-D638)),0)</x:f>
        <x:v>0</x:v>
      </x:c>
      <x:c r="F638" s="440" t="n">
        <x:f>IF($B$78="Cash payoff",E638,0)</x:f>
        <x:v>0</x:v>
      </x:c>
      <x:c r="G638" s="440" t="n">
        <x:f>IF(AND(E638&gt;0,AND($B$78="Refinance",ISNUMBER($B$80),$B$80&gt;=0,$B$80&lt;=1,ROUND($B$81*12,0)&gt;=1,$B$81&lt;=100,SUM($B$82)&gt;=0,SUM($B$82)&lt;=1,SUM($B$83)&gt;=0)),E638*SUM($B$82)+SUM($B$83),0)</x:f>
        <x:v>0</x:v>
      </x:c>
      <x:c r="H638" s="440" t="n">
        <x:f>IF(ISNUMBER(D638),IF(MAX(0,B638*(1+C638/12)-D638-F638)&lt;MAX(0.0000001,$E$17*0.00000000001),0,MAX(0,B638*(1+C638/12)-D638-F638)),IF(AND($B$171=1,I637=1),B638,""))</x:f>
        <x:v>421744.48657234333</x:v>
      </x:c>
      <x:c r="I638" s="444" t="n">
        <x:f>IF(OR(I637=1,AND(E638&gt;0,$B$78&lt;&gt;"Cash payoff",NOT(AND($B$78="Refinance",ISNUMBER($B$80),$B$80&gt;=0,$B$80&lt;=1,ROUND($B$81*12,0)&gt;=1,$B$81&lt;=100,SUM($B$82)&gt;=0,SUM($B$82)&lt;=1,SUM($B$83)&gt;=0))),AND(ISNUMBER(B638),B638&gt;0,$B$171=1,NOT(ISNUMBER(D638)))),1,0)</x:f>
        <x:v>0</x:v>
      </x:c>
      <x:c r="J638" s="440" t="n">
        <x:f>IF(ISNUMBER(L637),L637,"")</x:f>
        <x:v>0</x:v>
      </x:c>
      <x:c r="K638" s="440" t="n">
        <x:f>IF(AND(ISNUMBER(J638),J638=0),0,IF(AND($B$176=1,ISNUMBER(J638)),MIN(J638*(1+$B$87/12),IF($B$86=0,0,IF($B$87=0,$B$86/ROUND($B$88*12,0),$B$86*($B$87/12)/(1-(1+$B$87/12)^(-ROUND($B$88*12,0)))))),""))</x:f>
        <x:v>0</x:v>
      </x:c>
      <x:c r="L638" s="440" t="n">
        <x:f>IF(ISNUMBER(K638),IF(MAX(0,J638*(1+SUM($B$87)/12)-K638)&lt;MAX(0.0000001,$B$86*0.00000000001),0,MAX(0,J638*(1+SUM($B$87)/12)-K638)),"")</x:f>
        <x:v>0</x:v>
      </x:c>
      <x:c r="M638" s="440" t="n">
        <x:f>IF(AND(ISNUMBER(D638),ISNUMBER(K638)),D638+K638,"")</x:f>
        <x:v>4679.450723240598</x:v>
      </x:c>
      <x:c r="N638" s="440" t="n">
        <x:f>IF(AND(ISNUMBER(H638),ISNUMBER(L638)),H638+L638,"")</x:f>
        <x:v>421744.48657234333</x:v>
      </x:c>
    </x:row>
    <x:row r="639" ht="22" customHeight="1">
      <x:c r="A639" s="254" t="n">
        <x:f>239</x:f>
        <x:v>239</x:v>
      </x:c>
      <x:c r="B639" s="440" t="n">
        <x:f>IF(ISNUMBER(H638),H638,"")</x:f>
        <x:v>421744.48657234333</x:v>
      </x:c>
      <x:c r="C639" s="442" t="n">
        <x:f>IF(ISNUMBER(B639),IF(AND(239&gt;$B$173,$B$78="Refinance",ISNUMBER($B$80),$B$80&gt;=0,$B$80&lt;=1,ROUND($B$81*12,0)&gt;=1,$B$81&lt;=100,SUM($B$82)&gt;=0,SUM($B$82)&lt;=1,SUM($B$83)&gt;=0),$B$80,IF(AND($B$175&gt;0,239&gt;$B$175,ISNUMBER($B$75)),$B$75,$B$61)),"")</x:f>
        <x:v>0.0625</x:v>
      </x:c>
      <x:c r="D639" s="440" t="n">
        <x:f>IF(AND(ISNUMBER(B639),B639=0),0,IF(AND($B$171=1,I638=0,ISNUMBER(C639),ISNUMBER(IF(AND(239&lt;=$B$174,239&lt;=$B$173),B639*C639/12,IF(AND(239=$B$173+1,AND(239&gt;$B$173,$B$78="Refinance",ISNUMBER($B$80),$B$80&gt;=0,$B$80&lt;=1,ROUND($B$81*12,0)&gt;=1,$B$81&lt;=100,SUM($B$82)&gt;=0,SUM($B$82)&lt;=1,SUM($B$83)&gt;=0)),IF(B639=0,0,IF(C639=0,B639/ROUND($B$81*12,0),B639*(C639/12)/(1-(1+C639/12)^(-ROUND($B$81*12,0))))),IF(AND(NOT(AND(239&gt;$B$173,$B$78="Refinance",ISNUMBER($B$80),$B$80&gt;=0,$B$80&lt;=1,ROUND($B$81*12,0)&gt;=1,$B$81&lt;=100,SUM($B$82)&gt;=0,SUM($B$82)&lt;=1,SUM($B$83)&gt;=0)),OR(239=1,239=$B$174+1,AND($B$175&gt;0,239=$B$175+1))),IF(AND($B$170=1,$B$66&gt;0,OR($B$175=0,239&lt;=$B$175)),$B$66,IF($B$172-MAX(239-1,$B$174)&gt;0,IF(B639=0,0,IF(C639=0,B639/($B$172-MAX(239-1,$B$174)),B639*(C639/12)/(1-(1+C639/12)^(-($B$172-MAX(239-1,$B$174)))))),"")),D638))))),IF(IF(AND(239&lt;=$B$174,239&lt;=$B$173),B639*C639/12,IF(AND(239=$B$173+1,AND(239&gt;$B$173,$B$78="Refinance",ISNUMBER($B$80),$B$80&gt;=0,$B$80&lt;=1,ROUND($B$81*12,0)&gt;=1,$B$81&lt;=100,SUM($B$82)&gt;=0,SUM($B$82)&lt;=1,SUM($B$83)&gt;=0)),IF(B639=0,0,IF(C639=0,B639/ROUND($B$81*12,0),B639*(C639/12)/(1-(1+C639/12)^(-ROUND($B$81*12,0))))),IF(AND(NOT(AND(239&gt;$B$173,$B$78="Refinance",ISNUMBER($B$80),$B$80&gt;=0,$B$80&lt;=1,ROUND($B$81*12,0)&gt;=1,$B$81&lt;=100,SUM($B$82)&gt;=0,SUM($B$82)&lt;=1,SUM($B$83)&gt;=0)),OR(239=1,239=$B$174+1,AND($B$175&gt;0,239=$B$175+1))),IF(AND($B$170=1,$B$66&gt;0,OR($B$175=0,239&lt;=$B$175)),$B$66,IF($B$172-MAX(239-1,$B$174)&gt;0,IF(B639=0,0,IF(C639=0,B639/($B$172-MAX(239-1,$B$174)),B639*(C639/12)/(1-(1+C639/12)^(-($B$172-MAX(239-1,$B$174)))))),"")),D638)))+0.0000001&gt;=B639*C639/12,MIN(B639*(1+C639/12),IF(AND(239&lt;=$B$174,239&lt;=$B$173),B639*C639/12,IF(AND(239=$B$173+1,AND(239&gt;$B$173,$B$78="Refinance",ISNUMBER($B$80),$B$80&gt;=0,$B$80&lt;=1,ROUND($B$81*12,0)&gt;=1,$B$81&lt;=100,SUM($B$82)&gt;=0,SUM($B$82)&lt;=1,SUM($B$83)&gt;=0)),IF(B639=0,0,IF(C639=0,B639/ROUND($B$81*12,0),B639*(C639/12)/(1-(1+C639/12)^(-ROUND($B$81*12,0))))),IF(AND(NOT(AND(239&gt;$B$173,$B$78="Refinance",ISNUMBER($B$80),$B$80&gt;=0,$B$80&lt;=1,ROUND($B$81*12,0)&gt;=1,$B$81&lt;=100,SUM($B$82)&gt;=0,SUM($B$82)&lt;=1,SUM($B$83)&gt;=0)),OR(239=1,239=$B$174+1,AND($B$175&gt;0,239=$B$175+1))),IF(AND($B$170=1,$B$66&gt;0,OR($B$175=0,239&lt;=$B$175)),$B$66,IF($B$172-MAX(239-1,$B$174)&gt;0,IF(B639=0,0,IF(C639=0,B639/($B$172-MAX(239-1,$B$174)),B639*(C639/12)/(1-(1+C639/12)^(-($B$172-MAX(239-1,$B$174)))))),"")),D638)))),""),""))</x:f>
        <x:v>4679.450723240598</x:v>
      </x:c>
      <x:c r="E639" s="440" t="n">
        <x:f>IF(AND(239=$B$173,ISNUMBER(D639)),IF(MAX(0,B639*(1+C639/12)-D639)&lt;MAX(0.0000001,$E$17*0.00000000001),0,MAX(0,B639*(1+C639/12)-D639)),0)</x:f>
        <x:v>0</x:v>
      </x:c>
      <x:c r="F639" s="440" t="n">
        <x:f>IF($B$78="Cash payoff",E639,0)</x:f>
        <x:v>0</x:v>
      </x:c>
      <x:c r="G639" s="440" t="n">
        <x:f>IF(AND(E639&gt;0,AND($B$78="Refinance",ISNUMBER($B$80),$B$80&gt;=0,$B$80&lt;=1,ROUND($B$81*12,0)&gt;=1,$B$81&lt;=100,SUM($B$82)&gt;=0,SUM($B$82)&lt;=1,SUM($B$83)&gt;=0)),E639*SUM($B$82)+SUM($B$83),0)</x:f>
        <x:v>0</x:v>
      </x:c>
      <x:c r="H639" s="440" t="n">
        <x:f>IF(ISNUMBER(D639),IF(MAX(0,B639*(1+C639/12)-D639-F639)&lt;MAX(0.0000001,$E$17*0.00000000001),0,MAX(0,B639*(1+C639/12)-D639-F639)),IF(AND($B$171=1,I638=1),B639,""))</x:f>
        <x:v>419261.62171666697</x:v>
      </x:c>
      <x:c r="I639" s="444" t="n">
        <x:f>IF(OR(I638=1,AND(E639&gt;0,$B$78&lt;&gt;"Cash payoff",NOT(AND($B$78="Refinance",ISNUMBER($B$80),$B$80&gt;=0,$B$80&lt;=1,ROUND($B$81*12,0)&gt;=1,$B$81&lt;=100,SUM($B$82)&gt;=0,SUM($B$82)&lt;=1,SUM($B$83)&gt;=0))),AND(ISNUMBER(B639),B639&gt;0,$B$171=1,NOT(ISNUMBER(D639)))),1,0)</x:f>
        <x:v>0</x:v>
      </x:c>
      <x:c r="J639" s="440" t="n">
        <x:f>IF(ISNUMBER(L638),L638,"")</x:f>
        <x:v>0</x:v>
      </x:c>
      <x:c r="K639" s="440" t="n">
        <x:f>IF(AND(ISNUMBER(J639),J639=0),0,IF(AND($B$176=1,ISNUMBER(J639)),MIN(J639*(1+$B$87/12),IF($B$86=0,0,IF($B$87=0,$B$86/ROUND($B$88*12,0),$B$86*($B$87/12)/(1-(1+$B$87/12)^(-ROUND($B$88*12,0)))))),""))</x:f>
        <x:v>0</x:v>
      </x:c>
      <x:c r="L639" s="440" t="n">
        <x:f>IF(ISNUMBER(K639),IF(MAX(0,J639*(1+SUM($B$87)/12)-K639)&lt;MAX(0.0000001,$B$86*0.00000000001),0,MAX(0,J639*(1+SUM($B$87)/12)-K639)),"")</x:f>
        <x:v>0</x:v>
      </x:c>
      <x:c r="M639" s="440" t="n">
        <x:f>IF(AND(ISNUMBER(D639),ISNUMBER(K639)),D639+K639,"")</x:f>
        <x:v>4679.450723240598</x:v>
      </x:c>
      <x:c r="N639" s="440" t="n">
        <x:f>IF(AND(ISNUMBER(H639),ISNUMBER(L639)),H639+L639,"")</x:f>
        <x:v>419261.62171666697</x:v>
      </x:c>
    </x:row>
    <x:row r="640" ht="22" customHeight="1">
      <x:c r="A640" s="254" t="n">
        <x:f>240</x:f>
        <x:v>240</x:v>
      </x:c>
      <x:c r="B640" s="440" t="n">
        <x:f>IF(ISNUMBER(H639),H639,"")</x:f>
        <x:v>419261.62171666697</x:v>
      </x:c>
      <x:c r="C640" s="442" t="n">
        <x:f>IF(ISNUMBER(B640),IF(AND(240&gt;$B$173,$B$78="Refinance",ISNUMBER($B$80),$B$80&gt;=0,$B$80&lt;=1,ROUND($B$81*12,0)&gt;=1,$B$81&lt;=100,SUM($B$82)&gt;=0,SUM($B$82)&lt;=1,SUM($B$83)&gt;=0),$B$80,IF(AND($B$175&gt;0,240&gt;$B$175,ISNUMBER($B$75)),$B$75,$B$61)),"")</x:f>
        <x:v>0.0625</x:v>
      </x:c>
      <x:c r="D640" s="440" t="n">
        <x:f>IF(AND(ISNUMBER(B640),B640=0),0,IF(AND($B$171=1,I639=0,ISNUMBER(C640),ISNUMBER(IF(AND(240&lt;=$B$174,240&lt;=$B$173),B640*C640/12,IF(AND(240=$B$173+1,AND(240&gt;$B$173,$B$78="Refinance",ISNUMBER($B$80),$B$80&gt;=0,$B$80&lt;=1,ROUND($B$81*12,0)&gt;=1,$B$81&lt;=100,SUM($B$82)&gt;=0,SUM($B$82)&lt;=1,SUM($B$83)&gt;=0)),IF(B640=0,0,IF(C640=0,B640/ROUND($B$81*12,0),B640*(C640/12)/(1-(1+C640/12)^(-ROUND($B$81*12,0))))),IF(AND(NOT(AND(240&gt;$B$173,$B$78="Refinance",ISNUMBER($B$80),$B$80&gt;=0,$B$80&lt;=1,ROUND($B$81*12,0)&gt;=1,$B$81&lt;=100,SUM($B$82)&gt;=0,SUM($B$82)&lt;=1,SUM($B$83)&gt;=0)),OR(240=1,240=$B$174+1,AND($B$175&gt;0,240=$B$175+1))),IF(AND($B$170=1,$B$66&gt;0,OR($B$175=0,240&lt;=$B$175)),$B$66,IF($B$172-MAX(240-1,$B$174)&gt;0,IF(B640=0,0,IF(C640=0,B640/($B$172-MAX(240-1,$B$174)),B640*(C640/12)/(1-(1+C640/12)^(-($B$172-MAX(240-1,$B$174)))))),"")),D639))))),IF(IF(AND(240&lt;=$B$174,240&lt;=$B$173),B640*C640/12,IF(AND(240=$B$173+1,AND(240&gt;$B$173,$B$78="Refinance",ISNUMBER($B$80),$B$80&gt;=0,$B$80&lt;=1,ROUND($B$81*12,0)&gt;=1,$B$81&lt;=100,SUM($B$82)&gt;=0,SUM($B$82)&lt;=1,SUM($B$83)&gt;=0)),IF(B640=0,0,IF(C640=0,B640/ROUND($B$81*12,0),B640*(C640/12)/(1-(1+C640/12)^(-ROUND($B$81*12,0))))),IF(AND(NOT(AND(240&gt;$B$173,$B$78="Refinance",ISNUMBER($B$80),$B$80&gt;=0,$B$80&lt;=1,ROUND($B$81*12,0)&gt;=1,$B$81&lt;=100,SUM($B$82)&gt;=0,SUM($B$82)&lt;=1,SUM($B$83)&gt;=0)),OR(240=1,240=$B$174+1,AND($B$175&gt;0,240=$B$175+1))),IF(AND($B$170=1,$B$66&gt;0,OR($B$175=0,240&lt;=$B$175)),$B$66,IF($B$172-MAX(240-1,$B$174)&gt;0,IF(B640=0,0,IF(C640=0,B640/($B$172-MAX(240-1,$B$174)),B640*(C640/12)/(1-(1+C640/12)^(-($B$172-MAX(240-1,$B$174)))))),"")),D639)))+0.0000001&gt;=B640*C640/12,MIN(B640*(1+C640/12),IF(AND(240&lt;=$B$174,240&lt;=$B$173),B640*C640/12,IF(AND(240=$B$173+1,AND(240&gt;$B$173,$B$78="Refinance",ISNUMBER($B$80),$B$80&gt;=0,$B$80&lt;=1,ROUND($B$81*12,0)&gt;=1,$B$81&lt;=100,SUM($B$82)&gt;=0,SUM($B$82)&lt;=1,SUM($B$83)&gt;=0)),IF(B640=0,0,IF(C640=0,B640/ROUND($B$81*12,0),B640*(C640/12)/(1-(1+C640/12)^(-ROUND($B$81*12,0))))),IF(AND(NOT(AND(240&gt;$B$173,$B$78="Refinance",ISNUMBER($B$80),$B$80&gt;=0,$B$80&lt;=1,ROUND($B$81*12,0)&gt;=1,$B$81&lt;=100,SUM($B$82)&gt;=0,SUM($B$82)&lt;=1,SUM($B$83)&gt;=0)),OR(240=1,240=$B$174+1,AND($B$175&gt;0,240=$B$175+1))),IF(AND($B$170=1,$B$66&gt;0,OR($B$175=0,240&lt;=$B$175)),$B$66,IF($B$172-MAX(240-1,$B$174)&gt;0,IF(B640=0,0,IF(C640=0,B640/($B$172-MAX(240-1,$B$174)),B640*(C640/12)/(1-(1+C640/12)^(-($B$172-MAX(240-1,$B$174)))))),"")),D639)))),""),""))</x:f>
        <x:v>4679.450723240598</x:v>
      </x:c>
      <x:c r="E640" s="440" t="n">
        <x:f>IF(AND(240=$B$173,ISNUMBER(D640)),IF(MAX(0,B640*(1+C640/12)-D640)&lt;MAX(0.0000001,$E$17*0.00000000001),0,MAX(0,B640*(1+C640/12)-D640)),0)</x:f>
        <x:v>0</x:v>
      </x:c>
      <x:c r="F640" s="440" t="n">
        <x:f>IF($B$78="Cash payoff",E640,0)</x:f>
        <x:v>0</x:v>
      </x:c>
      <x:c r="G640" s="440" t="n">
        <x:f>IF(AND(E640&gt;0,AND($B$78="Refinance",ISNUMBER($B$80),$B$80&gt;=0,$B$80&lt;=1,ROUND($B$81*12,0)&gt;=1,$B$81&lt;=100,SUM($B$82)&gt;=0,SUM($B$82)&lt;=1,SUM($B$83)&gt;=0)),E640*SUM($B$82)+SUM($B$83),0)</x:f>
        <x:v>0</x:v>
      </x:c>
      <x:c r="H640" s="440" t="n">
        <x:f>IF(ISNUMBER(D640),IF(MAX(0,B640*(1+C640/12)-D640-F640)&lt;MAX(0.0000001,$E$17*0.00000000001),0,MAX(0,B640*(1+C640/12)-D640-F640)),IF(AND($B$171=1,I639=1),B640,""))</x:f>
        <x:v>416765.82527320064</x:v>
      </x:c>
      <x:c r="I640" s="444" t="n">
        <x:f>IF(OR(I639=1,AND(E640&gt;0,$B$78&lt;&gt;"Cash payoff",NOT(AND($B$78="Refinance",ISNUMBER($B$80),$B$80&gt;=0,$B$80&lt;=1,ROUND($B$81*12,0)&gt;=1,$B$81&lt;=100,SUM($B$82)&gt;=0,SUM($B$82)&lt;=1,SUM($B$83)&gt;=0))),AND(ISNUMBER(B640),B640&gt;0,$B$171=1,NOT(ISNUMBER(D640)))),1,0)</x:f>
        <x:v>0</x:v>
      </x:c>
      <x:c r="J640" s="440" t="n">
        <x:f>IF(ISNUMBER(L639),L639,"")</x:f>
        <x:v>0</x:v>
      </x:c>
      <x:c r="K640" s="440" t="n">
        <x:f>IF(AND(ISNUMBER(J640),J640=0),0,IF(AND($B$176=1,ISNUMBER(J640)),MIN(J640*(1+$B$87/12),IF($B$86=0,0,IF($B$87=0,$B$86/ROUND($B$88*12,0),$B$86*($B$87/12)/(1-(1+$B$87/12)^(-ROUND($B$88*12,0)))))),""))</x:f>
        <x:v>0</x:v>
      </x:c>
      <x:c r="L640" s="440" t="n">
        <x:f>IF(ISNUMBER(K640),IF(MAX(0,J640*(1+SUM($B$87)/12)-K640)&lt;MAX(0.0000001,$B$86*0.00000000001),0,MAX(0,J640*(1+SUM($B$87)/12)-K640)),"")</x:f>
        <x:v>0</x:v>
      </x:c>
      <x:c r="M640" s="440" t="n">
        <x:f>IF(AND(ISNUMBER(D640),ISNUMBER(K640)),D640+K640,"")</x:f>
        <x:v>4679.450723240598</x:v>
      </x:c>
      <x:c r="N640" s="440" t="n">
        <x:f>IF(AND(ISNUMBER(H640),ISNUMBER(L640)),H640+L640,"")</x:f>
        <x:v>416765.82527320064</x:v>
      </x:c>
    </x:row>
    <x:row r="641" ht="22" customHeight="1">
      <x:c r="A641" s="254" t="n">
        <x:f>241</x:f>
        <x:v>241</x:v>
      </x:c>
      <x:c r="B641" s="440" t="n">
        <x:f>IF(ISNUMBER(H640),H640,"")</x:f>
        <x:v>416765.82527320064</x:v>
      </x:c>
      <x:c r="C641" s="442" t="n">
        <x:f>IF(ISNUMBER(B641),IF(AND(241&gt;$B$173,$B$78="Refinance",ISNUMBER($B$80),$B$80&gt;=0,$B$80&lt;=1,ROUND($B$81*12,0)&gt;=1,$B$81&lt;=100,SUM($B$82)&gt;=0,SUM($B$82)&lt;=1,SUM($B$83)&gt;=0),$B$80,IF(AND($B$175&gt;0,241&gt;$B$175,ISNUMBER($B$75)),$B$75,$B$61)),"")</x:f>
        <x:v>0.0625</x:v>
      </x:c>
      <x:c r="D641" s="440" t="n">
        <x:f>IF(AND(ISNUMBER(B641),B641=0),0,IF(AND($B$171=1,I640=0,ISNUMBER(C641),ISNUMBER(IF(AND(241&lt;=$B$174,241&lt;=$B$173),B641*C641/12,IF(AND(241=$B$173+1,AND(241&gt;$B$173,$B$78="Refinance",ISNUMBER($B$80),$B$80&gt;=0,$B$80&lt;=1,ROUND($B$81*12,0)&gt;=1,$B$81&lt;=100,SUM($B$82)&gt;=0,SUM($B$82)&lt;=1,SUM($B$83)&gt;=0)),IF(B641=0,0,IF(C641=0,B641/ROUND($B$81*12,0),B641*(C641/12)/(1-(1+C641/12)^(-ROUND($B$81*12,0))))),IF(AND(NOT(AND(241&gt;$B$173,$B$78="Refinance",ISNUMBER($B$80),$B$80&gt;=0,$B$80&lt;=1,ROUND($B$81*12,0)&gt;=1,$B$81&lt;=100,SUM($B$82)&gt;=0,SUM($B$82)&lt;=1,SUM($B$83)&gt;=0)),OR(241=1,241=$B$174+1,AND($B$175&gt;0,241=$B$175+1))),IF(AND($B$170=1,$B$66&gt;0,OR($B$175=0,241&lt;=$B$175)),$B$66,IF($B$172-MAX(241-1,$B$174)&gt;0,IF(B641=0,0,IF(C641=0,B641/($B$172-MAX(241-1,$B$174)),B641*(C641/12)/(1-(1+C641/12)^(-($B$172-MAX(241-1,$B$174)))))),"")),D640))))),IF(IF(AND(241&lt;=$B$174,241&lt;=$B$173),B641*C641/12,IF(AND(241=$B$173+1,AND(241&gt;$B$173,$B$78="Refinance",ISNUMBER($B$80),$B$80&gt;=0,$B$80&lt;=1,ROUND($B$81*12,0)&gt;=1,$B$81&lt;=100,SUM($B$82)&gt;=0,SUM($B$82)&lt;=1,SUM($B$83)&gt;=0)),IF(B641=0,0,IF(C641=0,B641/ROUND($B$81*12,0),B641*(C641/12)/(1-(1+C641/12)^(-ROUND($B$81*12,0))))),IF(AND(NOT(AND(241&gt;$B$173,$B$78="Refinance",ISNUMBER($B$80),$B$80&gt;=0,$B$80&lt;=1,ROUND($B$81*12,0)&gt;=1,$B$81&lt;=100,SUM($B$82)&gt;=0,SUM($B$82)&lt;=1,SUM($B$83)&gt;=0)),OR(241=1,241=$B$174+1,AND($B$175&gt;0,241=$B$175+1))),IF(AND($B$170=1,$B$66&gt;0,OR($B$175=0,241&lt;=$B$175)),$B$66,IF($B$172-MAX(241-1,$B$174)&gt;0,IF(B641=0,0,IF(C641=0,B641/($B$172-MAX(241-1,$B$174)),B641*(C641/12)/(1-(1+C641/12)^(-($B$172-MAX(241-1,$B$174)))))),"")),D640)))+0.0000001&gt;=B641*C641/12,MIN(B641*(1+C641/12),IF(AND(241&lt;=$B$174,241&lt;=$B$173),B641*C641/12,IF(AND(241=$B$173+1,AND(241&gt;$B$173,$B$78="Refinance",ISNUMBER($B$80),$B$80&gt;=0,$B$80&lt;=1,ROUND($B$81*12,0)&gt;=1,$B$81&lt;=100,SUM($B$82)&gt;=0,SUM($B$82)&lt;=1,SUM($B$83)&gt;=0)),IF(B641=0,0,IF(C641=0,B641/ROUND($B$81*12,0),B641*(C641/12)/(1-(1+C641/12)^(-ROUND($B$81*12,0))))),IF(AND(NOT(AND(241&gt;$B$173,$B$78="Refinance",ISNUMBER($B$80),$B$80&gt;=0,$B$80&lt;=1,ROUND($B$81*12,0)&gt;=1,$B$81&lt;=100,SUM($B$82)&gt;=0,SUM($B$82)&lt;=1,SUM($B$83)&gt;=0)),OR(241=1,241=$B$174+1,AND($B$175&gt;0,241=$B$175+1))),IF(AND($B$170=1,$B$66&gt;0,OR($B$175=0,241&lt;=$B$175)),$B$66,IF($B$172-MAX(241-1,$B$174)&gt;0,IF(B641=0,0,IF(C641=0,B641/($B$172-MAX(241-1,$B$174)),B641*(C641/12)/(1-(1+C641/12)^(-($B$172-MAX(241-1,$B$174)))))),"")),D640)))),""),""))</x:f>
        <x:v>4679.450723240598</x:v>
      </x:c>
      <x:c r="E641" s="440" t="n">
        <x:f>IF(AND(241=$B$173,ISNUMBER(D641)),IF(MAX(0,B641*(1+C641/12)-D641)&lt;MAX(0.0000001,$E$17*0.00000000001),0,MAX(0,B641*(1+C641/12)-D641)),0)</x:f>
        <x:v>0</x:v>
      </x:c>
      <x:c r="F641" s="440" t="n">
        <x:f>IF($B$78="Cash payoff",E641,0)</x:f>
        <x:v>0</x:v>
      </x:c>
      <x:c r="G641" s="440" t="n">
        <x:f>IF(AND(E641&gt;0,AND($B$78="Refinance",ISNUMBER($B$80),$B$80&gt;=0,$B$80&lt;=1,ROUND($B$81*12,0)&gt;=1,$B$81&lt;=100,SUM($B$82)&gt;=0,SUM($B$82)&lt;=1,SUM($B$83)&gt;=0)),E641*SUM($B$82)+SUM($B$83),0)</x:f>
        <x:v>0</x:v>
      </x:c>
      <x:c r="H641" s="440" t="n">
        <x:f>IF(ISNUMBER(D641),IF(MAX(0,B641*(1+C641/12)-D641-F641)&lt;MAX(0.0000001,$E$17*0.00000000001),0,MAX(0,B641*(1+C641/12)-D641-F641)),IF(AND($B$171=1,I640=1),B641,""))</x:f>
        <x:v>414257.02988992457</x:v>
      </x:c>
      <x:c r="I641" s="444" t="n">
        <x:f>IF(OR(I640=1,AND(E641&gt;0,$B$78&lt;&gt;"Cash payoff",NOT(AND($B$78="Refinance",ISNUMBER($B$80),$B$80&gt;=0,$B$80&lt;=1,ROUND($B$81*12,0)&gt;=1,$B$81&lt;=100,SUM($B$82)&gt;=0,SUM($B$82)&lt;=1,SUM($B$83)&gt;=0))),AND(ISNUMBER(B641),B641&gt;0,$B$171=1,NOT(ISNUMBER(D641)))),1,0)</x:f>
        <x:v>0</x:v>
      </x:c>
      <x:c r="J641" s="440" t="n">
        <x:f>IF(ISNUMBER(L640),L640,"")</x:f>
        <x:v>0</x:v>
      </x:c>
      <x:c r="K641" s="440" t="n">
        <x:f>IF(AND(ISNUMBER(J641),J641=0),0,IF(AND($B$176=1,ISNUMBER(J641)),MIN(J641*(1+$B$87/12),IF($B$86=0,0,IF($B$87=0,$B$86/ROUND($B$88*12,0),$B$86*($B$87/12)/(1-(1+$B$87/12)^(-ROUND($B$88*12,0)))))),""))</x:f>
        <x:v>0</x:v>
      </x:c>
      <x:c r="L641" s="440" t="n">
        <x:f>IF(ISNUMBER(K641),IF(MAX(0,J641*(1+SUM($B$87)/12)-K641)&lt;MAX(0.0000001,$B$86*0.00000000001),0,MAX(0,J641*(1+SUM($B$87)/12)-K641)),"")</x:f>
        <x:v>0</x:v>
      </x:c>
      <x:c r="M641" s="440" t="n">
        <x:f>IF(AND(ISNUMBER(D641),ISNUMBER(K641)),D641+K641,"")</x:f>
        <x:v>4679.450723240598</x:v>
      </x:c>
      <x:c r="N641" s="440" t="n">
        <x:f>IF(AND(ISNUMBER(H641),ISNUMBER(L641)),H641+L641,"")</x:f>
        <x:v>414257.02988992457</x:v>
      </x:c>
    </x:row>
    <x:row r="642" ht="22" customHeight="1">
      <x:c r="A642" s="254" t="n">
        <x:f>242</x:f>
        <x:v>242</x:v>
      </x:c>
      <x:c r="B642" s="440" t="n">
        <x:f>IF(ISNUMBER(H641),H641,"")</x:f>
        <x:v>414257.02988992457</x:v>
      </x:c>
      <x:c r="C642" s="442" t="n">
        <x:f>IF(ISNUMBER(B642),IF(AND(242&gt;$B$173,$B$78="Refinance",ISNUMBER($B$80),$B$80&gt;=0,$B$80&lt;=1,ROUND($B$81*12,0)&gt;=1,$B$81&lt;=100,SUM($B$82)&gt;=0,SUM($B$82)&lt;=1,SUM($B$83)&gt;=0),$B$80,IF(AND($B$175&gt;0,242&gt;$B$175,ISNUMBER($B$75)),$B$75,$B$61)),"")</x:f>
        <x:v>0.0625</x:v>
      </x:c>
      <x:c r="D642" s="440" t="n">
        <x:f>IF(AND(ISNUMBER(B642),B642=0),0,IF(AND($B$171=1,I641=0,ISNUMBER(C642),ISNUMBER(IF(AND(242&lt;=$B$174,242&lt;=$B$173),B642*C642/12,IF(AND(242=$B$173+1,AND(242&gt;$B$173,$B$78="Refinance",ISNUMBER($B$80),$B$80&gt;=0,$B$80&lt;=1,ROUND($B$81*12,0)&gt;=1,$B$81&lt;=100,SUM($B$82)&gt;=0,SUM($B$82)&lt;=1,SUM($B$83)&gt;=0)),IF(B642=0,0,IF(C642=0,B642/ROUND($B$81*12,0),B642*(C642/12)/(1-(1+C642/12)^(-ROUND($B$81*12,0))))),IF(AND(NOT(AND(242&gt;$B$173,$B$78="Refinance",ISNUMBER($B$80),$B$80&gt;=0,$B$80&lt;=1,ROUND($B$81*12,0)&gt;=1,$B$81&lt;=100,SUM($B$82)&gt;=0,SUM($B$82)&lt;=1,SUM($B$83)&gt;=0)),OR(242=1,242=$B$174+1,AND($B$175&gt;0,242=$B$175+1))),IF(AND($B$170=1,$B$66&gt;0,OR($B$175=0,242&lt;=$B$175)),$B$66,IF($B$172-MAX(242-1,$B$174)&gt;0,IF(B642=0,0,IF(C642=0,B642/($B$172-MAX(242-1,$B$174)),B642*(C642/12)/(1-(1+C642/12)^(-($B$172-MAX(242-1,$B$174)))))),"")),D641))))),IF(IF(AND(242&lt;=$B$174,242&lt;=$B$173),B642*C642/12,IF(AND(242=$B$173+1,AND(242&gt;$B$173,$B$78="Refinance",ISNUMBER($B$80),$B$80&gt;=0,$B$80&lt;=1,ROUND($B$81*12,0)&gt;=1,$B$81&lt;=100,SUM($B$82)&gt;=0,SUM($B$82)&lt;=1,SUM($B$83)&gt;=0)),IF(B642=0,0,IF(C642=0,B642/ROUND($B$81*12,0),B642*(C642/12)/(1-(1+C642/12)^(-ROUND($B$81*12,0))))),IF(AND(NOT(AND(242&gt;$B$173,$B$78="Refinance",ISNUMBER($B$80),$B$80&gt;=0,$B$80&lt;=1,ROUND($B$81*12,0)&gt;=1,$B$81&lt;=100,SUM($B$82)&gt;=0,SUM($B$82)&lt;=1,SUM($B$83)&gt;=0)),OR(242=1,242=$B$174+1,AND($B$175&gt;0,242=$B$175+1))),IF(AND($B$170=1,$B$66&gt;0,OR($B$175=0,242&lt;=$B$175)),$B$66,IF($B$172-MAX(242-1,$B$174)&gt;0,IF(B642=0,0,IF(C642=0,B642/($B$172-MAX(242-1,$B$174)),B642*(C642/12)/(1-(1+C642/12)^(-($B$172-MAX(242-1,$B$174)))))),"")),D641)))+0.0000001&gt;=B642*C642/12,MIN(B642*(1+C642/12),IF(AND(242&lt;=$B$174,242&lt;=$B$173),B642*C642/12,IF(AND(242=$B$173+1,AND(242&gt;$B$173,$B$78="Refinance",ISNUMBER($B$80),$B$80&gt;=0,$B$80&lt;=1,ROUND($B$81*12,0)&gt;=1,$B$81&lt;=100,SUM($B$82)&gt;=0,SUM($B$82)&lt;=1,SUM($B$83)&gt;=0)),IF(B642=0,0,IF(C642=0,B642/ROUND($B$81*12,0),B642*(C642/12)/(1-(1+C642/12)^(-ROUND($B$81*12,0))))),IF(AND(NOT(AND(242&gt;$B$173,$B$78="Refinance",ISNUMBER($B$80),$B$80&gt;=0,$B$80&lt;=1,ROUND($B$81*12,0)&gt;=1,$B$81&lt;=100,SUM($B$82)&gt;=0,SUM($B$82)&lt;=1,SUM($B$83)&gt;=0)),OR(242=1,242=$B$174+1,AND($B$175&gt;0,242=$B$175+1))),IF(AND($B$170=1,$B$66&gt;0,OR($B$175=0,242&lt;=$B$175)),$B$66,IF($B$172-MAX(242-1,$B$174)&gt;0,IF(B642=0,0,IF(C642=0,B642/($B$172-MAX(242-1,$B$174)),B642*(C642/12)/(1-(1+C642/12)^(-($B$172-MAX(242-1,$B$174)))))),"")),D641)))),""),""))</x:f>
        <x:v>4679.450723240598</x:v>
      </x:c>
      <x:c r="E642" s="440" t="n">
        <x:f>IF(AND(242=$B$173,ISNUMBER(D642)),IF(MAX(0,B642*(1+C642/12)-D642)&lt;MAX(0.0000001,$E$17*0.00000000001),0,MAX(0,B642*(1+C642/12)-D642)),0)</x:f>
        <x:v>0</x:v>
      </x:c>
      <x:c r="F642" s="440" t="n">
        <x:f>IF($B$78="Cash payoff",E642,0)</x:f>
        <x:v>0</x:v>
      </x:c>
      <x:c r="G642" s="440" t="n">
        <x:f>IF(AND(E642&gt;0,AND($B$78="Refinance",ISNUMBER($B$80),$B$80&gt;=0,$B$80&lt;=1,ROUND($B$81*12,0)&gt;=1,$B$81&lt;=100,SUM($B$82)&gt;=0,SUM($B$82)&lt;=1,SUM($B$83)&gt;=0)),E642*SUM($B$82)+SUM($B$83),0)</x:f>
        <x:v>0</x:v>
      </x:c>
      <x:c r="H642" s="440" t="n">
        <x:f>IF(ISNUMBER(D642),IF(MAX(0,B642*(1+C642/12)-D642-F642)&lt;MAX(0.0000001,$E$17*0.00000000001),0,MAX(0,B642*(1+C642/12)-D642-F642)),IF(AND($B$171=1,I641=1),B642,""))</x:f>
        <x:v>411735.16786402726</x:v>
      </x:c>
      <x:c r="I642" s="444" t="n">
        <x:f>IF(OR(I641=1,AND(E642&gt;0,$B$78&lt;&gt;"Cash payoff",NOT(AND($B$78="Refinance",ISNUMBER($B$80),$B$80&gt;=0,$B$80&lt;=1,ROUND($B$81*12,0)&gt;=1,$B$81&lt;=100,SUM($B$82)&gt;=0,SUM($B$82)&lt;=1,SUM($B$83)&gt;=0))),AND(ISNUMBER(B642),B642&gt;0,$B$171=1,NOT(ISNUMBER(D642)))),1,0)</x:f>
        <x:v>0</x:v>
      </x:c>
      <x:c r="J642" s="440" t="n">
        <x:f>IF(ISNUMBER(L641),L641,"")</x:f>
        <x:v>0</x:v>
      </x:c>
      <x:c r="K642" s="440" t="n">
        <x:f>IF(AND(ISNUMBER(J642),J642=0),0,IF(AND($B$176=1,ISNUMBER(J642)),MIN(J642*(1+$B$87/12),IF($B$86=0,0,IF($B$87=0,$B$86/ROUND($B$88*12,0),$B$86*($B$87/12)/(1-(1+$B$87/12)^(-ROUND($B$88*12,0)))))),""))</x:f>
        <x:v>0</x:v>
      </x:c>
      <x:c r="L642" s="440" t="n">
        <x:f>IF(ISNUMBER(K642),IF(MAX(0,J642*(1+SUM($B$87)/12)-K642)&lt;MAX(0.0000001,$B$86*0.00000000001),0,MAX(0,J642*(1+SUM($B$87)/12)-K642)),"")</x:f>
        <x:v>0</x:v>
      </x:c>
      <x:c r="M642" s="440" t="n">
        <x:f>IF(AND(ISNUMBER(D642),ISNUMBER(K642)),D642+K642,"")</x:f>
        <x:v>4679.450723240598</x:v>
      </x:c>
      <x:c r="N642" s="440" t="n">
        <x:f>IF(AND(ISNUMBER(H642),ISNUMBER(L642)),H642+L642,"")</x:f>
        <x:v>411735.16786402726</x:v>
      </x:c>
    </x:row>
    <x:row r="643" ht="22" customHeight="1">
      <x:c r="A643" s="254" t="n">
        <x:f>243</x:f>
        <x:v>243</x:v>
      </x:c>
      <x:c r="B643" s="440" t="n">
        <x:f>IF(ISNUMBER(H642),H642,"")</x:f>
        <x:v>411735.16786402726</x:v>
      </x:c>
      <x:c r="C643" s="442" t="n">
        <x:f>IF(ISNUMBER(B643),IF(AND(243&gt;$B$173,$B$78="Refinance",ISNUMBER($B$80),$B$80&gt;=0,$B$80&lt;=1,ROUND($B$81*12,0)&gt;=1,$B$81&lt;=100,SUM($B$82)&gt;=0,SUM($B$82)&lt;=1,SUM($B$83)&gt;=0),$B$80,IF(AND($B$175&gt;0,243&gt;$B$175,ISNUMBER($B$75)),$B$75,$B$61)),"")</x:f>
        <x:v>0.0625</x:v>
      </x:c>
      <x:c r="D643" s="440" t="n">
        <x:f>IF(AND(ISNUMBER(B643),B643=0),0,IF(AND($B$171=1,I642=0,ISNUMBER(C643),ISNUMBER(IF(AND(243&lt;=$B$174,243&lt;=$B$173),B643*C643/12,IF(AND(243=$B$173+1,AND(243&gt;$B$173,$B$78="Refinance",ISNUMBER($B$80),$B$80&gt;=0,$B$80&lt;=1,ROUND($B$81*12,0)&gt;=1,$B$81&lt;=100,SUM($B$82)&gt;=0,SUM($B$82)&lt;=1,SUM($B$83)&gt;=0)),IF(B643=0,0,IF(C643=0,B643/ROUND($B$81*12,0),B643*(C643/12)/(1-(1+C643/12)^(-ROUND($B$81*12,0))))),IF(AND(NOT(AND(243&gt;$B$173,$B$78="Refinance",ISNUMBER($B$80),$B$80&gt;=0,$B$80&lt;=1,ROUND($B$81*12,0)&gt;=1,$B$81&lt;=100,SUM($B$82)&gt;=0,SUM($B$82)&lt;=1,SUM($B$83)&gt;=0)),OR(243=1,243=$B$174+1,AND($B$175&gt;0,243=$B$175+1))),IF(AND($B$170=1,$B$66&gt;0,OR($B$175=0,243&lt;=$B$175)),$B$66,IF($B$172-MAX(243-1,$B$174)&gt;0,IF(B643=0,0,IF(C643=0,B643/($B$172-MAX(243-1,$B$174)),B643*(C643/12)/(1-(1+C643/12)^(-($B$172-MAX(243-1,$B$174)))))),"")),D642))))),IF(IF(AND(243&lt;=$B$174,243&lt;=$B$173),B643*C643/12,IF(AND(243=$B$173+1,AND(243&gt;$B$173,$B$78="Refinance",ISNUMBER($B$80),$B$80&gt;=0,$B$80&lt;=1,ROUND($B$81*12,0)&gt;=1,$B$81&lt;=100,SUM($B$82)&gt;=0,SUM($B$82)&lt;=1,SUM($B$83)&gt;=0)),IF(B643=0,0,IF(C643=0,B643/ROUND($B$81*12,0),B643*(C643/12)/(1-(1+C643/12)^(-ROUND($B$81*12,0))))),IF(AND(NOT(AND(243&gt;$B$173,$B$78="Refinance",ISNUMBER($B$80),$B$80&gt;=0,$B$80&lt;=1,ROUND($B$81*12,0)&gt;=1,$B$81&lt;=100,SUM($B$82)&gt;=0,SUM($B$82)&lt;=1,SUM($B$83)&gt;=0)),OR(243=1,243=$B$174+1,AND($B$175&gt;0,243=$B$175+1))),IF(AND($B$170=1,$B$66&gt;0,OR($B$175=0,243&lt;=$B$175)),$B$66,IF($B$172-MAX(243-1,$B$174)&gt;0,IF(B643=0,0,IF(C643=0,B643/($B$172-MAX(243-1,$B$174)),B643*(C643/12)/(1-(1+C643/12)^(-($B$172-MAX(243-1,$B$174)))))),"")),D642)))+0.0000001&gt;=B643*C643/12,MIN(B643*(1+C643/12),IF(AND(243&lt;=$B$174,243&lt;=$B$173),B643*C643/12,IF(AND(243=$B$173+1,AND(243&gt;$B$173,$B$78="Refinance",ISNUMBER($B$80),$B$80&gt;=0,$B$80&lt;=1,ROUND($B$81*12,0)&gt;=1,$B$81&lt;=100,SUM($B$82)&gt;=0,SUM($B$82)&lt;=1,SUM($B$83)&gt;=0)),IF(B643=0,0,IF(C643=0,B643/ROUND($B$81*12,0),B643*(C643/12)/(1-(1+C643/12)^(-ROUND($B$81*12,0))))),IF(AND(NOT(AND(243&gt;$B$173,$B$78="Refinance",ISNUMBER($B$80),$B$80&gt;=0,$B$80&lt;=1,ROUND($B$81*12,0)&gt;=1,$B$81&lt;=100,SUM($B$82)&gt;=0,SUM($B$82)&lt;=1,SUM($B$83)&gt;=0)),OR(243=1,243=$B$174+1,AND($B$175&gt;0,243=$B$175+1))),IF(AND($B$170=1,$B$66&gt;0,OR($B$175=0,243&lt;=$B$175)),$B$66,IF($B$172-MAX(243-1,$B$174)&gt;0,IF(B643=0,0,IF(C643=0,B643/($B$172-MAX(243-1,$B$174)),B643*(C643/12)/(1-(1+C643/12)^(-($B$172-MAX(243-1,$B$174)))))),"")),D642)))),""),""))</x:f>
        <x:v>4679.450723240598</x:v>
      </x:c>
      <x:c r="E643" s="440" t="n">
        <x:f>IF(AND(243=$B$173,ISNUMBER(D643)),IF(MAX(0,B643*(1+C643/12)-D643)&lt;MAX(0.0000001,$E$17*0.00000000001),0,MAX(0,B643*(1+C643/12)-D643)),0)</x:f>
        <x:v>0</x:v>
      </x:c>
      <x:c r="F643" s="440" t="n">
        <x:f>IF($B$78="Cash payoff",E643,0)</x:f>
        <x:v>0</x:v>
      </x:c>
      <x:c r="G643" s="440" t="n">
        <x:f>IF(AND(E643&gt;0,AND($B$78="Refinance",ISNUMBER($B$80),$B$80&gt;=0,$B$80&lt;=1,ROUND($B$81*12,0)&gt;=1,$B$81&lt;=100,SUM($B$82)&gt;=0,SUM($B$82)&lt;=1,SUM($B$83)&gt;=0)),E643*SUM($B$82)+SUM($B$83),0)</x:f>
        <x:v>0</x:v>
      </x:c>
      <x:c r="H643" s="440" t="n">
        <x:f>IF(ISNUMBER(D643),IF(MAX(0,B643*(1+C643/12)-D643-F643)&lt;MAX(0.0000001,$E$17*0.00000000001),0,MAX(0,B643*(1+C643/12)-D643-F643)),IF(AND($B$171=1,I642=1),B643,""))</x:f>
        <x:v>409200.1711400784</x:v>
      </x:c>
      <x:c r="I643" s="444" t="n">
        <x:f>IF(OR(I642=1,AND(E643&gt;0,$B$78&lt;&gt;"Cash payoff",NOT(AND($B$78="Refinance",ISNUMBER($B$80),$B$80&gt;=0,$B$80&lt;=1,ROUND($B$81*12,0)&gt;=1,$B$81&lt;=100,SUM($B$82)&gt;=0,SUM($B$82)&lt;=1,SUM($B$83)&gt;=0))),AND(ISNUMBER(B643),B643&gt;0,$B$171=1,NOT(ISNUMBER(D643)))),1,0)</x:f>
        <x:v>0</x:v>
      </x:c>
      <x:c r="J643" s="440" t="n">
        <x:f>IF(ISNUMBER(L642),L642,"")</x:f>
        <x:v>0</x:v>
      </x:c>
      <x:c r="K643" s="440" t="n">
        <x:f>IF(AND(ISNUMBER(J643),J643=0),0,IF(AND($B$176=1,ISNUMBER(J643)),MIN(J643*(1+$B$87/12),IF($B$86=0,0,IF($B$87=0,$B$86/ROUND($B$88*12,0),$B$86*($B$87/12)/(1-(1+$B$87/12)^(-ROUND($B$88*12,0)))))),""))</x:f>
        <x:v>0</x:v>
      </x:c>
      <x:c r="L643" s="440" t="n">
        <x:f>IF(ISNUMBER(K643),IF(MAX(0,J643*(1+SUM($B$87)/12)-K643)&lt;MAX(0.0000001,$B$86*0.00000000001),0,MAX(0,J643*(1+SUM($B$87)/12)-K643)),"")</x:f>
        <x:v>0</x:v>
      </x:c>
      <x:c r="M643" s="440" t="n">
        <x:f>IF(AND(ISNUMBER(D643),ISNUMBER(K643)),D643+K643,"")</x:f>
        <x:v>4679.450723240598</x:v>
      </x:c>
      <x:c r="N643" s="440" t="n">
        <x:f>IF(AND(ISNUMBER(H643),ISNUMBER(L643)),H643+L643,"")</x:f>
        <x:v>409200.1711400784</x:v>
      </x:c>
    </x:row>
    <x:row r="644" ht="22" customHeight="1">
      <x:c r="A644" s="254" t="n">
        <x:f>244</x:f>
        <x:v>244</x:v>
      </x:c>
      <x:c r="B644" s="440" t="n">
        <x:f>IF(ISNUMBER(H643),H643,"")</x:f>
        <x:v>409200.1711400784</x:v>
      </x:c>
      <x:c r="C644" s="442" t="n">
        <x:f>IF(ISNUMBER(B644),IF(AND(244&gt;$B$173,$B$78="Refinance",ISNUMBER($B$80),$B$80&gt;=0,$B$80&lt;=1,ROUND($B$81*12,0)&gt;=1,$B$81&lt;=100,SUM($B$82)&gt;=0,SUM($B$82)&lt;=1,SUM($B$83)&gt;=0),$B$80,IF(AND($B$175&gt;0,244&gt;$B$175,ISNUMBER($B$75)),$B$75,$B$61)),"")</x:f>
        <x:v>0.0625</x:v>
      </x:c>
      <x:c r="D644" s="440" t="n">
        <x:f>IF(AND(ISNUMBER(B644),B644=0),0,IF(AND($B$171=1,I643=0,ISNUMBER(C644),ISNUMBER(IF(AND(244&lt;=$B$174,244&lt;=$B$173),B644*C644/12,IF(AND(244=$B$173+1,AND(244&gt;$B$173,$B$78="Refinance",ISNUMBER($B$80),$B$80&gt;=0,$B$80&lt;=1,ROUND($B$81*12,0)&gt;=1,$B$81&lt;=100,SUM($B$82)&gt;=0,SUM($B$82)&lt;=1,SUM($B$83)&gt;=0)),IF(B644=0,0,IF(C644=0,B644/ROUND($B$81*12,0),B644*(C644/12)/(1-(1+C644/12)^(-ROUND($B$81*12,0))))),IF(AND(NOT(AND(244&gt;$B$173,$B$78="Refinance",ISNUMBER($B$80),$B$80&gt;=0,$B$80&lt;=1,ROUND($B$81*12,0)&gt;=1,$B$81&lt;=100,SUM($B$82)&gt;=0,SUM($B$82)&lt;=1,SUM($B$83)&gt;=0)),OR(244=1,244=$B$174+1,AND($B$175&gt;0,244=$B$175+1))),IF(AND($B$170=1,$B$66&gt;0,OR($B$175=0,244&lt;=$B$175)),$B$66,IF($B$172-MAX(244-1,$B$174)&gt;0,IF(B644=0,0,IF(C644=0,B644/($B$172-MAX(244-1,$B$174)),B644*(C644/12)/(1-(1+C644/12)^(-($B$172-MAX(244-1,$B$174)))))),"")),D643))))),IF(IF(AND(244&lt;=$B$174,244&lt;=$B$173),B644*C644/12,IF(AND(244=$B$173+1,AND(244&gt;$B$173,$B$78="Refinance",ISNUMBER($B$80),$B$80&gt;=0,$B$80&lt;=1,ROUND($B$81*12,0)&gt;=1,$B$81&lt;=100,SUM($B$82)&gt;=0,SUM($B$82)&lt;=1,SUM($B$83)&gt;=0)),IF(B644=0,0,IF(C644=0,B644/ROUND($B$81*12,0),B644*(C644/12)/(1-(1+C644/12)^(-ROUND($B$81*12,0))))),IF(AND(NOT(AND(244&gt;$B$173,$B$78="Refinance",ISNUMBER($B$80),$B$80&gt;=0,$B$80&lt;=1,ROUND($B$81*12,0)&gt;=1,$B$81&lt;=100,SUM($B$82)&gt;=0,SUM($B$82)&lt;=1,SUM($B$83)&gt;=0)),OR(244=1,244=$B$174+1,AND($B$175&gt;0,244=$B$175+1))),IF(AND($B$170=1,$B$66&gt;0,OR($B$175=0,244&lt;=$B$175)),$B$66,IF($B$172-MAX(244-1,$B$174)&gt;0,IF(B644=0,0,IF(C644=0,B644/($B$172-MAX(244-1,$B$174)),B644*(C644/12)/(1-(1+C644/12)^(-($B$172-MAX(244-1,$B$174)))))),"")),D643)))+0.0000001&gt;=B644*C644/12,MIN(B644*(1+C644/12),IF(AND(244&lt;=$B$174,244&lt;=$B$173),B644*C644/12,IF(AND(244=$B$173+1,AND(244&gt;$B$173,$B$78="Refinance",ISNUMBER($B$80),$B$80&gt;=0,$B$80&lt;=1,ROUND($B$81*12,0)&gt;=1,$B$81&lt;=100,SUM($B$82)&gt;=0,SUM($B$82)&lt;=1,SUM($B$83)&gt;=0)),IF(B644=0,0,IF(C644=0,B644/ROUND($B$81*12,0),B644*(C644/12)/(1-(1+C644/12)^(-ROUND($B$81*12,0))))),IF(AND(NOT(AND(244&gt;$B$173,$B$78="Refinance",ISNUMBER($B$80),$B$80&gt;=0,$B$80&lt;=1,ROUND($B$81*12,0)&gt;=1,$B$81&lt;=100,SUM($B$82)&gt;=0,SUM($B$82)&lt;=1,SUM($B$83)&gt;=0)),OR(244=1,244=$B$174+1,AND($B$175&gt;0,244=$B$175+1))),IF(AND($B$170=1,$B$66&gt;0,OR($B$175=0,244&lt;=$B$175)),$B$66,IF($B$172-MAX(244-1,$B$174)&gt;0,IF(B644=0,0,IF(C644=0,B644/($B$172-MAX(244-1,$B$174)),B644*(C644/12)/(1-(1+C644/12)^(-($B$172-MAX(244-1,$B$174)))))),"")),D643)))),""),""))</x:f>
        <x:v>4679.450723240598</x:v>
      </x:c>
      <x:c r="E644" s="440" t="n">
        <x:f>IF(AND(244=$B$173,ISNUMBER(D644)),IF(MAX(0,B644*(1+C644/12)-D644)&lt;MAX(0.0000001,$E$17*0.00000000001),0,MAX(0,B644*(1+C644/12)-D644)),0)</x:f>
        <x:v>0</x:v>
      </x:c>
      <x:c r="F644" s="440" t="n">
        <x:f>IF($B$78="Cash payoff",E644,0)</x:f>
        <x:v>0</x:v>
      </x:c>
      <x:c r="G644" s="440" t="n">
        <x:f>IF(AND(E644&gt;0,AND($B$78="Refinance",ISNUMBER($B$80),$B$80&gt;=0,$B$80&lt;=1,ROUND($B$81*12,0)&gt;=1,$B$81&lt;=100,SUM($B$82)&gt;=0,SUM($B$82)&lt;=1,SUM($B$83)&gt;=0)),E644*SUM($B$82)+SUM($B$83),0)</x:f>
        <x:v>0</x:v>
      </x:c>
      <x:c r="H644" s="440" t="n">
        <x:f>IF(ISNUMBER(D644),IF(MAX(0,B644*(1+C644/12)-D644-F644)&lt;MAX(0.0000001,$E$17*0.00000000001),0,MAX(0,B644*(1+C644/12)-D644-F644)),IF(AND($B$171=1,I643=1),B644,""))</x:f>
        <x:v>406651.9713081923</x:v>
      </x:c>
      <x:c r="I644" s="444" t="n">
        <x:f>IF(OR(I643=1,AND(E644&gt;0,$B$78&lt;&gt;"Cash payoff",NOT(AND($B$78="Refinance",ISNUMBER($B$80),$B$80&gt;=0,$B$80&lt;=1,ROUND($B$81*12,0)&gt;=1,$B$81&lt;=100,SUM($B$82)&gt;=0,SUM($B$82)&lt;=1,SUM($B$83)&gt;=0))),AND(ISNUMBER(B644),B644&gt;0,$B$171=1,NOT(ISNUMBER(D644)))),1,0)</x:f>
        <x:v>0</x:v>
      </x:c>
      <x:c r="J644" s="440" t="n">
        <x:f>IF(ISNUMBER(L643),L643,"")</x:f>
        <x:v>0</x:v>
      </x:c>
      <x:c r="K644" s="440" t="n">
        <x:f>IF(AND(ISNUMBER(J644),J644=0),0,IF(AND($B$176=1,ISNUMBER(J644)),MIN(J644*(1+$B$87/12),IF($B$86=0,0,IF($B$87=0,$B$86/ROUND($B$88*12,0),$B$86*($B$87/12)/(1-(1+$B$87/12)^(-ROUND($B$88*12,0)))))),""))</x:f>
        <x:v>0</x:v>
      </x:c>
      <x:c r="L644" s="440" t="n">
        <x:f>IF(ISNUMBER(K644),IF(MAX(0,J644*(1+SUM($B$87)/12)-K644)&lt;MAX(0.0000001,$B$86*0.00000000001),0,MAX(0,J644*(1+SUM($B$87)/12)-K644)),"")</x:f>
        <x:v>0</x:v>
      </x:c>
      <x:c r="M644" s="440" t="n">
        <x:f>IF(AND(ISNUMBER(D644),ISNUMBER(K644)),D644+K644,"")</x:f>
        <x:v>4679.450723240598</x:v>
      </x:c>
      <x:c r="N644" s="440" t="n">
        <x:f>IF(AND(ISNUMBER(H644),ISNUMBER(L644)),H644+L644,"")</x:f>
        <x:v>406651.9713081923</x:v>
      </x:c>
    </x:row>
    <x:row r="645" ht="22" customHeight="1">
      <x:c r="A645" s="254" t="n">
        <x:f>245</x:f>
        <x:v>245</x:v>
      </x:c>
      <x:c r="B645" s="440" t="n">
        <x:f>IF(ISNUMBER(H644),H644,"")</x:f>
        <x:v>406651.9713081923</x:v>
      </x:c>
      <x:c r="C645" s="442" t="n">
        <x:f>IF(ISNUMBER(B645),IF(AND(245&gt;$B$173,$B$78="Refinance",ISNUMBER($B$80),$B$80&gt;=0,$B$80&lt;=1,ROUND($B$81*12,0)&gt;=1,$B$81&lt;=100,SUM($B$82)&gt;=0,SUM($B$82)&lt;=1,SUM($B$83)&gt;=0),$B$80,IF(AND($B$175&gt;0,245&gt;$B$175,ISNUMBER($B$75)),$B$75,$B$61)),"")</x:f>
        <x:v>0.0625</x:v>
      </x:c>
      <x:c r="D645" s="440" t="n">
        <x:f>IF(AND(ISNUMBER(B645),B645=0),0,IF(AND($B$171=1,I644=0,ISNUMBER(C645),ISNUMBER(IF(AND(245&lt;=$B$174,245&lt;=$B$173),B645*C645/12,IF(AND(245=$B$173+1,AND(245&gt;$B$173,$B$78="Refinance",ISNUMBER($B$80),$B$80&gt;=0,$B$80&lt;=1,ROUND($B$81*12,0)&gt;=1,$B$81&lt;=100,SUM($B$82)&gt;=0,SUM($B$82)&lt;=1,SUM($B$83)&gt;=0)),IF(B645=0,0,IF(C645=0,B645/ROUND($B$81*12,0),B645*(C645/12)/(1-(1+C645/12)^(-ROUND($B$81*12,0))))),IF(AND(NOT(AND(245&gt;$B$173,$B$78="Refinance",ISNUMBER($B$80),$B$80&gt;=0,$B$80&lt;=1,ROUND($B$81*12,0)&gt;=1,$B$81&lt;=100,SUM($B$82)&gt;=0,SUM($B$82)&lt;=1,SUM($B$83)&gt;=0)),OR(245=1,245=$B$174+1,AND($B$175&gt;0,245=$B$175+1))),IF(AND($B$170=1,$B$66&gt;0,OR($B$175=0,245&lt;=$B$175)),$B$66,IF($B$172-MAX(245-1,$B$174)&gt;0,IF(B645=0,0,IF(C645=0,B645/($B$172-MAX(245-1,$B$174)),B645*(C645/12)/(1-(1+C645/12)^(-($B$172-MAX(245-1,$B$174)))))),"")),D644))))),IF(IF(AND(245&lt;=$B$174,245&lt;=$B$173),B645*C645/12,IF(AND(245=$B$173+1,AND(245&gt;$B$173,$B$78="Refinance",ISNUMBER($B$80),$B$80&gt;=0,$B$80&lt;=1,ROUND($B$81*12,0)&gt;=1,$B$81&lt;=100,SUM($B$82)&gt;=0,SUM($B$82)&lt;=1,SUM($B$83)&gt;=0)),IF(B645=0,0,IF(C645=0,B645/ROUND($B$81*12,0),B645*(C645/12)/(1-(1+C645/12)^(-ROUND($B$81*12,0))))),IF(AND(NOT(AND(245&gt;$B$173,$B$78="Refinance",ISNUMBER($B$80),$B$80&gt;=0,$B$80&lt;=1,ROUND($B$81*12,0)&gt;=1,$B$81&lt;=100,SUM($B$82)&gt;=0,SUM($B$82)&lt;=1,SUM($B$83)&gt;=0)),OR(245=1,245=$B$174+1,AND($B$175&gt;0,245=$B$175+1))),IF(AND($B$170=1,$B$66&gt;0,OR($B$175=0,245&lt;=$B$175)),$B$66,IF($B$172-MAX(245-1,$B$174)&gt;0,IF(B645=0,0,IF(C645=0,B645/($B$172-MAX(245-1,$B$174)),B645*(C645/12)/(1-(1+C645/12)^(-($B$172-MAX(245-1,$B$174)))))),"")),D644)))+0.0000001&gt;=B645*C645/12,MIN(B645*(1+C645/12),IF(AND(245&lt;=$B$174,245&lt;=$B$173),B645*C645/12,IF(AND(245=$B$173+1,AND(245&gt;$B$173,$B$78="Refinance",ISNUMBER($B$80),$B$80&gt;=0,$B$80&lt;=1,ROUND($B$81*12,0)&gt;=1,$B$81&lt;=100,SUM($B$82)&gt;=0,SUM($B$82)&lt;=1,SUM($B$83)&gt;=0)),IF(B645=0,0,IF(C645=0,B645/ROUND($B$81*12,0),B645*(C645/12)/(1-(1+C645/12)^(-ROUND($B$81*12,0))))),IF(AND(NOT(AND(245&gt;$B$173,$B$78="Refinance",ISNUMBER($B$80),$B$80&gt;=0,$B$80&lt;=1,ROUND($B$81*12,0)&gt;=1,$B$81&lt;=100,SUM($B$82)&gt;=0,SUM($B$82)&lt;=1,SUM($B$83)&gt;=0)),OR(245=1,245=$B$174+1,AND($B$175&gt;0,245=$B$175+1))),IF(AND($B$170=1,$B$66&gt;0,OR($B$175=0,245&lt;=$B$175)),$B$66,IF($B$172-MAX(245-1,$B$174)&gt;0,IF(B645=0,0,IF(C645=0,B645/($B$172-MAX(245-1,$B$174)),B645*(C645/12)/(1-(1+C645/12)^(-($B$172-MAX(245-1,$B$174)))))),"")),D644)))),""),""))</x:f>
        <x:v>4679.450723240598</x:v>
      </x:c>
      <x:c r="E645" s="440" t="n">
        <x:f>IF(AND(245=$B$173,ISNUMBER(D645)),IF(MAX(0,B645*(1+C645/12)-D645)&lt;MAX(0.0000001,$E$17*0.00000000001),0,MAX(0,B645*(1+C645/12)-D645)),0)</x:f>
        <x:v>0</x:v>
      </x:c>
      <x:c r="F645" s="440" t="n">
        <x:f>IF($B$78="Cash payoff",E645,0)</x:f>
        <x:v>0</x:v>
      </x:c>
      <x:c r="G645" s="440" t="n">
        <x:f>IF(AND(E645&gt;0,AND($B$78="Refinance",ISNUMBER($B$80),$B$80&gt;=0,$B$80&lt;=1,ROUND($B$81*12,0)&gt;=1,$B$81&lt;=100,SUM($B$82)&gt;=0,SUM($B$82)&lt;=1,SUM($B$83)&gt;=0)),E645*SUM($B$82)+SUM($B$83),0)</x:f>
        <x:v>0</x:v>
      </x:c>
      <x:c r="H645" s="440" t="n">
        <x:f>IF(ISNUMBER(D645),IF(MAX(0,B645*(1+C645/12)-D645-F645)&lt;MAX(0.0000001,$E$17*0.00000000001),0,MAX(0,B645*(1+C645/12)-D645-F645)),IF(AND($B$171=1,I644=1),B645,""))</x:f>
        <x:v>404090.49960218184</x:v>
      </x:c>
      <x:c r="I645" s="444" t="n">
        <x:f>IF(OR(I644=1,AND(E645&gt;0,$B$78&lt;&gt;"Cash payoff",NOT(AND($B$78="Refinance",ISNUMBER($B$80),$B$80&gt;=0,$B$80&lt;=1,ROUND($B$81*12,0)&gt;=1,$B$81&lt;=100,SUM($B$82)&gt;=0,SUM($B$82)&lt;=1,SUM($B$83)&gt;=0))),AND(ISNUMBER(B645),B645&gt;0,$B$171=1,NOT(ISNUMBER(D645)))),1,0)</x:f>
        <x:v>0</x:v>
      </x:c>
      <x:c r="J645" s="440" t="n">
        <x:f>IF(ISNUMBER(L644),L644,"")</x:f>
        <x:v>0</x:v>
      </x:c>
      <x:c r="K645" s="440" t="n">
        <x:f>IF(AND(ISNUMBER(J645),J645=0),0,IF(AND($B$176=1,ISNUMBER(J645)),MIN(J645*(1+$B$87/12),IF($B$86=0,0,IF($B$87=0,$B$86/ROUND($B$88*12,0),$B$86*($B$87/12)/(1-(1+$B$87/12)^(-ROUND($B$88*12,0)))))),""))</x:f>
        <x:v>0</x:v>
      </x:c>
      <x:c r="L645" s="440" t="n">
        <x:f>IF(ISNUMBER(K645),IF(MAX(0,J645*(1+SUM($B$87)/12)-K645)&lt;MAX(0.0000001,$B$86*0.00000000001),0,MAX(0,J645*(1+SUM($B$87)/12)-K645)),"")</x:f>
        <x:v>0</x:v>
      </x:c>
      <x:c r="M645" s="440" t="n">
        <x:f>IF(AND(ISNUMBER(D645),ISNUMBER(K645)),D645+K645,"")</x:f>
        <x:v>4679.450723240598</x:v>
      </x:c>
      <x:c r="N645" s="440" t="n">
        <x:f>IF(AND(ISNUMBER(H645),ISNUMBER(L645)),H645+L645,"")</x:f>
        <x:v>404090.49960218184</x:v>
      </x:c>
    </x:row>
    <x:row r="646" ht="22" customHeight="1">
      <x:c r="A646" s="254" t="n">
        <x:f>246</x:f>
        <x:v>246</x:v>
      </x:c>
      <x:c r="B646" s="440" t="n">
        <x:f>IF(ISNUMBER(H645),H645,"")</x:f>
        <x:v>404090.49960218184</x:v>
      </x:c>
      <x:c r="C646" s="442" t="n">
        <x:f>IF(ISNUMBER(B646),IF(AND(246&gt;$B$173,$B$78="Refinance",ISNUMBER($B$80),$B$80&gt;=0,$B$80&lt;=1,ROUND($B$81*12,0)&gt;=1,$B$81&lt;=100,SUM($B$82)&gt;=0,SUM($B$82)&lt;=1,SUM($B$83)&gt;=0),$B$80,IF(AND($B$175&gt;0,246&gt;$B$175,ISNUMBER($B$75)),$B$75,$B$61)),"")</x:f>
        <x:v>0.0625</x:v>
      </x:c>
      <x:c r="D646" s="440" t="n">
        <x:f>IF(AND(ISNUMBER(B646),B646=0),0,IF(AND($B$171=1,I645=0,ISNUMBER(C646),ISNUMBER(IF(AND(246&lt;=$B$174,246&lt;=$B$173),B646*C646/12,IF(AND(246=$B$173+1,AND(246&gt;$B$173,$B$78="Refinance",ISNUMBER($B$80),$B$80&gt;=0,$B$80&lt;=1,ROUND($B$81*12,0)&gt;=1,$B$81&lt;=100,SUM($B$82)&gt;=0,SUM($B$82)&lt;=1,SUM($B$83)&gt;=0)),IF(B646=0,0,IF(C646=0,B646/ROUND($B$81*12,0),B646*(C646/12)/(1-(1+C646/12)^(-ROUND($B$81*12,0))))),IF(AND(NOT(AND(246&gt;$B$173,$B$78="Refinance",ISNUMBER($B$80),$B$80&gt;=0,$B$80&lt;=1,ROUND($B$81*12,0)&gt;=1,$B$81&lt;=100,SUM($B$82)&gt;=0,SUM($B$82)&lt;=1,SUM($B$83)&gt;=0)),OR(246=1,246=$B$174+1,AND($B$175&gt;0,246=$B$175+1))),IF(AND($B$170=1,$B$66&gt;0,OR($B$175=0,246&lt;=$B$175)),$B$66,IF($B$172-MAX(246-1,$B$174)&gt;0,IF(B646=0,0,IF(C646=0,B646/($B$172-MAX(246-1,$B$174)),B646*(C646/12)/(1-(1+C646/12)^(-($B$172-MAX(246-1,$B$174)))))),"")),D645))))),IF(IF(AND(246&lt;=$B$174,246&lt;=$B$173),B646*C646/12,IF(AND(246=$B$173+1,AND(246&gt;$B$173,$B$78="Refinance",ISNUMBER($B$80),$B$80&gt;=0,$B$80&lt;=1,ROUND($B$81*12,0)&gt;=1,$B$81&lt;=100,SUM($B$82)&gt;=0,SUM($B$82)&lt;=1,SUM($B$83)&gt;=0)),IF(B646=0,0,IF(C646=0,B646/ROUND($B$81*12,0),B646*(C646/12)/(1-(1+C646/12)^(-ROUND($B$81*12,0))))),IF(AND(NOT(AND(246&gt;$B$173,$B$78="Refinance",ISNUMBER($B$80),$B$80&gt;=0,$B$80&lt;=1,ROUND($B$81*12,0)&gt;=1,$B$81&lt;=100,SUM($B$82)&gt;=0,SUM($B$82)&lt;=1,SUM($B$83)&gt;=0)),OR(246=1,246=$B$174+1,AND($B$175&gt;0,246=$B$175+1))),IF(AND($B$170=1,$B$66&gt;0,OR($B$175=0,246&lt;=$B$175)),$B$66,IF($B$172-MAX(246-1,$B$174)&gt;0,IF(B646=0,0,IF(C646=0,B646/($B$172-MAX(246-1,$B$174)),B646*(C646/12)/(1-(1+C646/12)^(-($B$172-MAX(246-1,$B$174)))))),"")),D645)))+0.0000001&gt;=B646*C646/12,MIN(B646*(1+C646/12),IF(AND(246&lt;=$B$174,246&lt;=$B$173),B646*C646/12,IF(AND(246=$B$173+1,AND(246&gt;$B$173,$B$78="Refinance",ISNUMBER($B$80),$B$80&gt;=0,$B$80&lt;=1,ROUND($B$81*12,0)&gt;=1,$B$81&lt;=100,SUM($B$82)&gt;=0,SUM($B$82)&lt;=1,SUM($B$83)&gt;=0)),IF(B646=0,0,IF(C646=0,B646/ROUND($B$81*12,0),B646*(C646/12)/(1-(1+C646/12)^(-ROUND($B$81*12,0))))),IF(AND(NOT(AND(246&gt;$B$173,$B$78="Refinance",ISNUMBER($B$80),$B$80&gt;=0,$B$80&lt;=1,ROUND($B$81*12,0)&gt;=1,$B$81&lt;=100,SUM($B$82)&gt;=0,SUM($B$82)&lt;=1,SUM($B$83)&gt;=0)),OR(246=1,246=$B$174+1,AND($B$175&gt;0,246=$B$175+1))),IF(AND($B$170=1,$B$66&gt;0,OR($B$175=0,246&lt;=$B$175)),$B$66,IF($B$172-MAX(246-1,$B$174)&gt;0,IF(B646=0,0,IF(C646=0,B646/($B$172-MAX(246-1,$B$174)),B646*(C646/12)/(1-(1+C646/12)^(-($B$172-MAX(246-1,$B$174)))))),"")),D645)))),""),""))</x:f>
        <x:v>4679.450723240598</x:v>
      </x:c>
      <x:c r="E646" s="440" t="n">
        <x:f>IF(AND(246=$B$173,ISNUMBER(D646)),IF(MAX(0,B646*(1+C646/12)-D646)&lt;MAX(0.0000001,$E$17*0.00000000001),0,MAX(0,B646*(1+C646/12)-D646)),0)</x:f>
        <x:v>0</x:v>
      </x:c>
      <x:c r="F646" s="440" t="n">
        <x:f>IF($B$78="Cash payoff",E646,0)</x:f>
        <x:v>0</x:v>
      </x:c>
      <x:c r="G646" s="440" t="n">
        <x:f>IF(AND(E646&gt;0,AND($B$78="Refinance",ISNUMBER($B$80),$B$80&gt;=0,$B$80&lt;=1,ROUND($B$81*12,0)&gt;=1,$B$81&lt;=100,SUM($B$82)&gt;=0,SUM($B$82)&lt;=1,SUM($B$83)&gt;=0)),E646*SUM($B$82)+SUM($B$83),0)</x:f>
        <x:v>0</x:v>
      </x:c>
      <x:c r="H646" s="440" t="n">
        <x:f>IF(ISNUMBER(D646),IF(MAX(0,B646*(1+C646/12)-D646-F646)&lt;MAX(0.0000001,$E$17*0.00000000001),0,MAX(0,B646*(1+C646/12)-D646-F646)),IF(AND($B$171=1,I645=1),B646,""))</x:f>
        <x:v>401515.6868977026</x:v>
      </x:c>
      <x:c r="I646" s="444" t="n">
        <x:f>IF(OR(I645=1,AND(E646&gt;0,$B$78&lt;&gt;"Cash payoff",NOT(AND($B$78="Refinance",ISNUMBER($B$80),$B$80&gt;=0,$B$80&lt;=1,ROUND($B$81*12,0)&gt;=1,$B$81&lt;=100,SUM($B$82)&gt;=0,SUM($B$82)&lt;=1,SUM($B$83)&gt;=0))),AND(ISNUMBER(B646),B646&gt;0,$B$171=1,NOT(ISNUMBER(D646)))),1,0)</x:f>
        <x:v>0</x:v>
      </x:c>
      <x:c r="J646" s="440" t="n">
        <x:f>IF(ISNUMBER(L645),L645,"")</x:f>
        <x:v>0</x:v>
      </x:c>
      <x:c r="K646" s="440" t="n">
        <x:f>IF(AND(ISNUMBER(J646),J646=0),0,IF(AND($B$176=1,ISNUMBER(J646)),MIN(J646*(1+$B$87/12),IF($B$86=0,0,IF($B$87=0,$B$86/ROUND($B$88*12,0),$B$86*($B$87/12)/(1-(1+$B$87/12)^(-ROUND($B$88*12,0)))))),""))</x:f>
        <x:v>0</x:v>
      </x:c>
      <x:c r="L646" s="440" t="n">
        <x:f>IF(ISNUMBER(K646),IF(MAX(0,J646*(1+SUM($B$87)/12)-K646)&lt;MAX(0.0000001,$B$86*0.00000000001),0,MAX(0,J646*(1+SUM($B$87)/12)-K646)),"")</x:f>
        <x:v>0</x:v>
      </x:c>
      <x:c r="M646" s="440" t="n">
        <x:f>IF(AND(ISNUMBER(D646),ISNUMBER(K646)),D646+K646,"")</x:f>
        <x:v>4679.450723240598</x:v>
      </x:c>
      <x:c r="N646" s="440" t="n">
        <x:f>IF(AND(ISNUMBER(H646),ISNUMBER(L646)),H646+L646,"")</x:f>
        <x:v>401515.6868977026</x:v>
      </x:c>
    </x:row>
    <x:row r="647" ht="22" customHeight="1">
      <x:c r="A647" s="254" t="n">
        <x:f>247</x:f>
        <x:v>247</x:v>
      </x:c>
      <x:c r="B647" s="440" t="n">
        <x:f>IF(ISNUMBER(H646),H646,"")</x:f>
        <x:v>401515.6868977026</x:v>
      </x:c>
      <x:c r="C647" s="442" t="n">
        <x:f>IF(ISNUMBER(B647),IF(AND(247&gt;$B$173,$B$78="Refinance",ISNUMBER($B$80),$B$80&gt;=0,$B$80&lt;=1,ROUND($B$81*12,0)&gt;=1,$B$81&lt;=100,SUM($B$82)&gt;=0,SUM($B$82)&lt;=1,SUM($B$83)&gt;=0),$B$80,IF(AND($B$175&gt;0,247&gt;$B$175,ISNUMBER($B$75)),$B$75,$B$61)),"")</x:f>
        <x:v>0.0625</x:v>
      </x:c>
      <x:c r="D647" s="440" t="n">
        <x:f>IF(AND(ISNUMBER(B647),B647=0),0,IF(AND($B$171=1,I646=0,ISNUMBER(C647),ISNUMBER(IF(AND(247&lt;=$B$174,247&lt;=$B$173),B647*C647/12,IF(AND(247=$B$173+1,AND(247&gt;$B$173,$B$78="Refinance",ISNUMBER($B$80),$B$80&gt;=0,$B$80&lt;=1,ROUND($B$81*12,0)&gt;=1,$B$81&lt;=100,SUM($B$82)&gt;=0,SUM($B$82)&lt;=1,SUM($B$83)&gt;=0)),IF(B647=0,0,IF(C647=0,B647/ROUND($B$81*12,0),B647*(C647/12)/(1-(1+C647/12)^(-ROUND($B$81*12,0))))),IF(AND(NOT(AND(247&gt;$B$173,$B$78="Refinance",ISNUMBER($B$80),$B$80&gt;=0,$B$80&lt;=1,ROUND($B$81*12,0)&gt;=1,$B$81&lt;=100,SUM($B$82)&gt;=0,SUM($B$82)&lt;=1,SUM($B$83)&gt;=0)),OR(247=1,247=$B$174+1,AND($B$175&gt;0,247=$B$175+1))),IF(AND($B$170=1,$B$66&gt;0,OR($B$175=0,247&lt;=$B$175)),$B$66,IF($B$172-MAX(247-1,$B$174)&gt;0,IF(B647=0,0,IF(C647=0,B647/($B$172-MAX(247-1,$B$174)),B647*(C647/12)/(1-(1+C647/12)^(-($B$172-MAX(247-1,$B$174)))))),"")),D646))))),IF(IF(AND(247&lt;=$B$174,247&lt;=$B$173),B647*C647/12,IF(AND(247=$B$173+1,AND(247&gt;$B$173,$B$78="Refinance",ISNUMBER($B$80),$B$80&gt;=0,$B$80&lt;=1,ROUND($B$81*12,0)&gt;=1,$B$81&lt;=100,SUM($B$82)&gt;=0,SUM($B$82)&lt;=1,SUM($B$83)&gt;=0)),IF(B647=0,0,IF(C647=0,B647/ROUND($B$81*12,0),B647*(C647/12)/(1-(1+C647/12)^(-ROUND($B$81*12,0))))),IF(AND(NOT(AND(247&gt;$B$173,$B$78="Refinance",ISNUMBER($B$80),$B$80&gt;=0,$B$80&lt;=1,ROUND($B$81*12,0)&gt;=1,$B$81&lt;=100,SUM($B$82)&gt;=0,SUM($B$82)&lt;=1,SUM($B$83)&gt;=0)),OR(247=1,247=$B$174+1,AND($B$175&gt;0,247=$B$175+1))),IF(AND($B$170=1,$B$66&gt;0,OR($B$175=0,247&lt;=$B$175)),$B$66,IF($B$172-MAX(247-1,$B$174)&gt;0,IF(B647=0,0,IF(C647=0,B647/($B$172-MAX(247-1,$B$174)),B647*(C647/12)/(1-(1+C647/12)^(-($B$172-MAX(247-1,$B$174)))))),"")),D646)))+0.0000001&gt;=B647*C647/12,MIN(B647*(1+C647/12),IF(AND(247&lt;=$B$174,247&lt;=$B$173),B647*C647/12,IF(AND(247=$B$173+1,AND(247&gt;$B$173,$B$78="Refinance",ISNUMBER($B$80),$B$80&gt;=0,$B$80&lt;=1,ROUND($B$81*12,0)&gt;=1,$B$81&lt;=100,SUM($B$82)&gt;=0,SUM($B$82)&lt;=1,SUM($B$83)&gt;=0)),IF(B647=0,0,IF(C647=0,B647/ROUND($B$81*12,0),B647*(C647/12)/(1-(1+C647/12)^(-ROUND($B$81*12,0))))),IF(AND(NOT(AND(247&gt;$B$173,$B$78="Refinance",ISNUMBER($B$80),$B$80&gt;=0,$B$80&lt;=1,ROUND($B$81*12,0)&gt;=1,$B$81&lt;=100,SUM($B$82)&gt;=0,SUM($B$82)&lt;=1,SUM($B$83)&gt;=0)),OR(247=1,247=$B$174+1,AND($B$175&gt;0,247=$B$175+1))),IF(AND($B$170=1,$B$66&gt;0,OR($B$175=0,247&lt;=$B$175)),$B$66,IF($B$172-MAX(247-1,$B$174)&gt;0,IF(B647=0,0,IF(C647=0,B647/($B$172-MAX(247-1,$B$174)),B647*(C647/12)/(1-(1+C647/12)^(-($B$172-MAX(247-1,$B$174)))))),"")),D646)))),""),""))</x:f>
        <x:v>4679.450723240598</x:v>
      </x:c>
      <x:c r="E647" s="440" t="n">
        <x:f>IF(AND(247=$B$173,ISNUMBER(D647)),IF(MAX(0,B647*(1+C647/12)-D647)&lt;MAX(0.0000001,$E$17*0.00000000001),0,MAX(0,B647*(1+C647/12)-D647)),0)</x:f>
        <x:v>0</x:v>
      </x:c>
      <x:c r="F647" s="440" t="n">
        <x:f>IF($B$78="Cash payoff",E647,0)</x:f>
        <x:v>0</x:v>
      </x:c>
      <x:c r="G647" s="440" t="n">
        <x:f>IF(AND(E647&gt;0,AND($B$78="Refinance",ISNUMBER($B$80),$B$80&gt;=0,$B$80&lt;=1,ROUND($B$81*12,0)&gt;=1,$B$81&lt;=100,SUM($B$82)&gt;=0,SUM($B$82)&lt;=1,SUM($B$83)&gt;=0)),E647*SUM($B$82)+SUM($B$83),0)</x:f>
        <x:v>0</x:v>
      </x:c>
      <x:c r="H647" s="440" t="n">
        <x:f>IF(ISNUMBER(D647),IF(MAX(0,B647*(1+C647/12)-D647-F647)&lt;MAX(0.0000001,$E$17*0.00000000001),0,MAX(0,B647*(1+C647/12)-D647-F647)),IF(AND($B$171=1,I646=1),B647,""))</x:f>
        <x:v>398927.46371038747</x:v>
      </x:c>
      <x:c r="I647" s="444" t="n">
        <x:f>IF(OR(I646=1,AND(E647&gt;0,$B$78&lt;&gt;"Cash payoff",NOT(AND($B$78="Refinance",ISNUMBER($B$80),$B$80&gt;=0,$B$80&lt;=1,ROUND($B$81*12,0)&gt;=1,$B$81&lt;=100,SUM($B$82)&gt;=0,SUM($B$82)&lt;=1,SUM($B$83)&gt;=0))),AND(ISNUMBER(B647),B647&gt;0,$B$171=1,NOT(ISNUMBER(D647)))),1,0)</x:f>
        <x:v>0</x:v>
      </x:c>
      <x:c r="J647" s="440" t="n">
        <x:f>IF(ISNUMBER(L646),L646,"")</x:f>
        <x:v>0</x:v>
      </x:c>
      <x:c r="K647" s="440" t="n">
        <x:f>IF(AND(ISNUMBER(J647),J647=0),0,IF(AND($B$176=1,ISNUMBER(J647)),MIN(J647*(1+$B$87/12),IF($B$86=0,0,IF($B$87=0,$B$86/ROUND($B$88*12,0),$B$86*($B$87/12)/(1-(1+$B$87/12)^(-ROUND($B$88*12,0)))))),""))</x:f>
        <x:v>0</x:v>
      </x:c>
      <x:c r="L647" s="440" t="n">
        <x:f>IF(ISNUMBER(K647),IF(MAX(0,J647*(1+SUM($B$87)/12)-K647)&lt;MAX(0.0000001,$B$86*0.00000000001),0,MAX(0,J647*(1+SUM($B$87)/12)-K647)),"")</x:f>
        <x:v>0</x:v>
      </x:c>
      <x:c r="M647" s="440" t="n">
        <x:f>IF(AND(ISNUMBER(D647),ISNUMBER(K647)),D647+K647,"")</x:f>
        <x:v>4679.450723240598</x:v>
      </x:c>
      <x:c r="N647" s="440" t="n">
        <x:f>IF(AND(ISNUMBER(H647),ISNUMBER(L647)),H647+L647,"")</x:f>
        <x:v>398927.46371038747</x:v>
      </x:c>
    </x:row>
    <x:row r="648" ht="22" customHeight="1">
      <x:c r="A648" s="254" t="n">
        <x:f>248</x:f>
        <x:v>248</x:v>
      </x:c>
      <x:c r="B648" s="440" t="n">
        <x:f>IF(ISNUMBER(H647),H647,"")</x:f>
        <x:v>398927.46371038747</x:v>
      </x:c>
      <x:c r="C648" s="442" t="n">
        <x:f>IF(ISNUMBER(B648),IF(AND(248&gt;$B$173,$B$78="Refinance",ISNUMBER($B$80),$B$80&gt;=0,$B$80&lt;=1,ROUND($B$81*12,0)&gt;=1,$B$81&lt;=100,SUM($B$82)&gt;=0,SUM($B$82)&lt;=1,SUM($B$83)&gt;=0),$B$80,IF(AND($B$175&gt;0,248&gt;$B$175,ISNUMBER($B$75)),$B$75,$B$61)),"")</x:f>
        <x:v>0.0625</x:v>
      </x:c>
      <x:c r="D648" s="440" t="n">
        <x:f>IF(AND(ISNUMBER(B648),B648=0),0,IF(AND($B$171=1,I647=0,ISNUMBER(C648),ISNUMBER(IF(AND(248&lt;=$B$174,248&lt;=$B$173),B648*C648/12,IF(AND(248=$B$173+1,AND(248&gt;$B$173,$B$78="Refinance",ISNUMBER($B$80),$B$80&gt;=0,$B$80&lt;=1,ROUND($B$81*12,0)&gt;=1,$B$81&lt;=100,SUM($B$82)&gt;=0,SUM($B$82)&lt;=1,SUM($B$83)&gt;=0)),IF(B648=0,0,IF(C648=0,B648/ROUND($B$81*12,0),B648*(C648/12)/(1-(1+C648/12)^(-ROUND($B$81*12,0))))),IF(AND(NOT(AND(248&gt;$B$173,$B$78="Refinance",ISNUMBER($B$80),$B$80&gt;=0,$B$80&lt;=1,ROUND($B$81*12,0)&gt;=1,$B$81&lt;=100,SUM($B$82)&gt;=0,SUM($B$82)&lt;=1,SUM($B$83)&gt;=0)),OR(248=1,248=$B$174+1,AND($B$175&gt;0,248=$B$175+1))),IF(AND($B$170=1,$B$66&gt;0,OR($B$175=0,248&lt;=$B$175)),$B$66,IF($B$172-MAX(248-1,$B$174)&gt;0,IF(B648=0,0,IF(C648=0,B648/($B$172-MAX(248-1,$B$174)),B648*(C648/12)/(1-(1+C648/12)^(-($B$172-MAX(248-1,$B$174)))))),"")),D647))))),IF(IF(AND(248&lt;=$B$174,248&lt;=$B$173),B648*C648/12,IF(AND(248=$B$173+1,AND(248&gt;$B$173,$B$78="Refinance",ISNUMBER($B$80),$B$80&gt;=0,$B$80&lt;=1,ROUND($B$81*12,0)&gt;=1,$B$81&lt;=100,SUM($B$82)&gt;=0,SUM($B$82)&lt;=1,SUM($B$83)&gt;=0)),IF(B648=0,0,IF(C648=0,B648/ROUND($B$81*12,0),B648*(C648/12)/(1-(1+C648/12)^(-ROUND($B$81*12,0))))),IF(AND(NOT(AND(248&gt;$B$173,$B$78="Refinance",ISNUMBER($B$80),$B$80&gt;=0,$B$80&lt;=1,ROUND($B$81*12,0)&gt;=1,$B$81&lt;=100,SUM($B$82)&gt;=0,SUM($B$82)&lt;=1,SUM($B$83)&gt;=0)),OR(248=1,248=$B$174+1,AND($B$175&gt;0,248=$B$175+1))),IF(AND($B$170=1,$B$66&gt;0,OR($B$175=0,248&lt;=$B$175)),$B$66,IF($B$172-MAX(248-1,$B$174)&gt;0,IF(B648=0,0,IF(C648=0,B648/($B$172-MAX(248-1,$B$174)),B648*(C648/12)/(1-(1+C648/12)^(-($B$172-MAX(248-1,$B$174)))))),"")),D647)))+0.0000001&gt;=B648*C648/12,MIN(B648*(1+C648/12),IF(AND(248&lt;=$B$174,248&lt;=$B$173),B648*C648/12,IF(AND(248=$B$173+1,AND(248&gt;$B$173,$B$78="Refinance",ISNUMBER($B$80),$B$80&gt;=0,$B$80&lt;=1,ROUND($B$81*12,0)&gt;=1,$B$81&lt;=100,SUM($B$82)&gt;=0,SUM($B$82)&lt;=1,SUM($B$83)&gt;=0)),IF(B648=0,0,IF(C648=0,B648/ROUND($B$81*12,0),B648*(C648/12)/(1-(1+C648/12)^(-ROUND($B$81*12,0))))),IF(AND(NOT(AND(248&gt;$B$173,$B$78="Refinance",ISNUMBER($B$80),$B$80&gt;=0,$B$80&lt;=1,ROUND($B$81*12,0)&gt;=1,$B$81&lt;=100,SUM($B$82)&gt;=0,SUM($B$82)&lt;=1,SUM($B$83)&gt;=0)),OR(248=1,248=$B$174+1,AND($B$175&gt;0,248=$B$175+1))),IF(AND($B$170=1,$B$66&gt;0,OR($B$175=0,248&lt;=$B$175)),$B$66,IF($B$172-MAX(248-1,$B$174)&gt;0,IF(B648=0,0,IF(C648=0,B648/($B$172-MAX(248-1,$B$174)),B648*(C648/12)/(1-(1+C648/12)^(-($B$172-MAX(248-1,$B$174)))))),"")),D647)))),""),""))</x:f>
        <x:v>4679.450723240598</x:v>
      </x:c>
      <x:c r="E648" s="440" t="n">
        <x:f>IF(AND(248=$B$173,ISNUMBER(D648)),IF(MAX(0,B648*(1+C648/12)-D648)&lt;MAX(0.0000001,$E$17*0.00000000001),0,MAX(0,B648*(1+C648/12)-D648)),0)</x:f>
        <x:v>0</x:v>
      </x:c>
      <x:c r="F648" s="440" t="n">
        <x:f>IF($B$78="Cash payoff",E648,0)</x:f>
        <x:v>0</x:v>
      </x:c>
      <x:c r="G648" s="440" t="n">
        <x:f>IF(AND(E648&gt;0,AND($B$78="Refinance",ISNUMBER($B$80),$B$80&gt;=0,$B$80&lt;=1,ROUND($B$81*12,0)&gt;=1,$B$81&lt;=100,SUM($B$82)&gt;=0,SUM($B$82)&lt;=1,SUM($B$83)&gt;=0)),E648*SUM($B$82)+SUM($B$83),0)</x:f>
        <x:v>0</x:v>
      </x:c>
      <x:c r="H648" s="440" t="n">
        <x:f>IF(ISNUMBER(D648),IF(MAX(0,B648*(1+C648/12)-D648-F648)&lt;MAX(0.0000001,$E$17*0.00000000001),0,MAX(0,B648*(1+C648/12)-D648-F648)),IF(AND($B$171=1,I647=1),B648,""))</x:f>
        <x:v>396325.76019397174</x:v>
      </x:c>
      <x:c r="I648" s="444" t="n">
        <x:f>IF(OR(I647=1,AND(E648&gt;0,$B$78&lt;&gt;"Cash payoff",NOT(AND($B$78="Refinance",ISNUMBER($B$80),$B$80&gt;=0,$B$80&lt;=1,ROUND($B$81*12,0)&gt;=1,$B$81&lt;=100,SUM($B$82)&gt;=0,SUM($B$82)&lt;=1,SUM($B$83)&gt;=0))),AND(ISNUMBER(B648),B648&gt;0,$B$171=1,NOT(ISNUMBER(D648)))),1,0)</x:f>
        <x:v>0</x:v>
      </x:c>
      <x:c r="J648" s="440" t="n">
        <x:f>IF(ISNUMBER(L647),L647,"")</x:f>
        <x:v>0</x:v>
      </x:c>
      <x:c r="K648" s="440" t="n">
        <x:f>IF(AND(ISNUMBER(J648),J648=0),0,IF(AND($B$176=1,ISNUMBER(J648)),MIN(J648*(1+$B$87/12),IF($B$86=0,0,IF($B$87=0,$B$86/ROUND($B$88*12,0),$B$86*($B$87/12)/(1-(1+$B$87/12)^(-ROUND($B$88*12,0)))))),""))</x:f>
        <x:v>0</x:v>
      </x:c>
      <x:c r="L648" s="440" t="n">
        <x:f>IF(ISNUMBER(K648),IF(MAX(0,J648*(1+SUM($B$87)/12)-K648)&lt;MAX(0.0000001,$B$86*0.00000000001),0,MAX(0,J648*(1+SUM($B$87)/12)-K648)),"")</x:f>
        <x:v>0</x:v>
      </x:c>
      <x:c r="M648" s="440" t="n">
        <x:f>IF(AND(ISNUMBER(D648),ISNUMBER(K648)),D648+K648,"")</x:f>
        <x:v>4679.450723240598</x:v>
      </x:c>
      <x:c r="N648" s="440" t="n">
        <x:f>IF(AND(ISNUMBER(H648),ISNUMBER(L648)),H648+L648,"")</x:f>
        <x:v>396325.76019397174</x:v>
      </x:c>
    </x:row>
    <x:row r="649" ht="22" customHeight="1">
      <x:c r="A649" s="254" t="n">
        <x:f>249</x:f>
        <x:v>249</x:v>
      </x:c>
      <x:c r="B649" s="440" t="n">
        <x:f>IF(ISNUMBER(H648),H648,"")</x:f>
        <x:v>396325.76019397174</x:v>
      </x:c>
      <x:c r="C649" s="442" t="n">
        <x:f>IF(ISNUMBER(B649),IF(AND(249&gt;$B$173,$B$78="Refinance",ISNUMBER($B$80),$B$80&gt;=0,$B$80&lt;=1,ROUND($B$81*12,0)&gt;=1,$B$81&lt;=100,SUM($B$82)&gt;=0,SUM($B$82)&lt;=1,SUM($B$83)&gt;=0),$B$80,IF(AND($B$175&gt;0,249&gt;$B$175,ISNUMBER($B$75)),$B$75,$B$61)),"")</x:f>
        <x:v>0.0625</x:v>
      </x:c>
      <x:c r="D649" s="440" t="n">
        <x:f>IF(AND(ISNUMBER(B649),B649=0),0,IF(AND($B$171=1,I648=0,ISNUMBER(C649),ISNUMBER(IF(AND(249&lt;=$B$174,249&lt;=$B$173),B649*C649/12,IF(AND(249=$B$173+1,AND(249&gt;$B$173,$B$78="Refinance",ISNUMBER($B$80),$B$80&gt;=0,$B$80&lt;=1,ROUND($B$81*12,0)&gt;=1,$B$81&lt;=100,SUM($B$82)&gt;=0,SUM($B$82)&lt;=1,SUM($B$83)&gt;=0)),IF(B649=0,0,IF(C649=0,B649/ROUND($B$81*12,0),B649*(C649/12)/(1-(1+C649/12)^(-ROUND($B$81*12,0))))),IF(AND(NOT(AND(249&gt;$B$173,$B$78="Refinance",ISNUMBER($B$80),$B$80&gt;=0,$B$80&lt;=1,ROUND($B$81*12,0)&gt;=1,$B$81&lt;=100,SUM($B$82)&gt;=0,SUM($B$82)&lt;=1,SUM($B$83)&gt;=0)),OR(249=1,249=$B$174+1,AND($B$175&gt;0,249=$B$175+1))),IF(AND($B$170=1,$B$66&gt;0,OR($B$175=0,249&lt;=$B$175)),$B$66,IF($B$172-MAX(249-1,$B$174)&gt;0,IF(B649=0,0,IF(C649=0,B649/($B$172-MAX(249-1,$B$174)),B649*(C649/12)/(1-(1+C649/12)^(-($B$172-MAX(249-1,$B$174)))))),"")),D648))))),IF(IF(AND(249&lt;=$B$174,249&lt;=$B$173),B649*C649/12,IF(AND(249=$B$173+1,AND(249&gt;$B$173,$B$78="Refinance",ISNUMBER($B$80),$B$80&gt;=0,$B$80&lt;=1,ROUND($B$81*12,0)&gt;=1,$B$81&lt;=100,SUM($B$82)&gt;=0,SUM($B$82)&lt;=1,SUM($B$83)&gt;=0)),IF(B649=0,0,IF(C649=0,B649/ROUND($B$81*12,0),B649*(C649/12)/(1-(1+C649/12)^(-ROUND($B$81*12,0))))),IF(AND(NOT(AND(249&gt;$B$173,$B$78="Refinance",ISNUMBER($B$80),$B$80&gt;=0,$B$80&lt;=1,ROUND($B$81*12,0)&gt;=1,$B$81&lt;=100,SUM($B$82)&gt;=0,SUM($B$82)&lt;=1,SUM($B$83)&gt;=0)),OR(249=1,249=$B$174+1,AND($B$175&gt;0,249=$B$175+1))),IF(AND($B$170=1,$B$66&gt;0,OR($B$175=0,249&lt;=$B$175)),$B$66,IF($B$172-MAX(249-1,$B$174)&gt;0,IF(B649=0,0,IF(C649=0,B649/($B$172-MAX(249-1,$B$174)),B649*(C649/12)/(1-(1+C649/12)^(-($B$172-MAX(249-1,$B$174)))))),"")),D648)))+0.0000001&gt;=B649*C649/12,MIN(B649*(1+C649/12),IF(AND(249&lt;=$B$174,249&lt;=$B$173),B649*C649/12,IF(AND(249=$B$173+1,AND(249&gt;$B$173,$B$78="Refinance",ISNUMBER($B$80),$B$80&gt;=0,$B$80&lt;=1,ROUND($B$81*12,0)&gt;=1,$B$81&lt;=100,SUM($B$82)&gt;=0,SUM($B$82)&lt;=1,SUM($B$83)&gt;=0)),IF(B649=0,0,IF(C649=0,B649/ROUND($B$81*12,0),B649*(C649/12)/(1-(1+C649/12)^(-ROUND($B$81*12,0))))),IF(AND(NOT(AND(249&gt;$B$173,$B$78="Refinance",ISNUMBER($B$80),$B$80&gt;=0,$B$80&lt;=1,ROUND($B$81*12,0)&gt;=1,$B$81&lt;=100,SUM($B$82)&gt;=0,SUM($B$82)&lt;=1,SUM($B$83)&gt;=0)),OR(249=1,249=$B$174+1,AND($B$175&gt;0,249=$B$175+1))),IF(AND($B$170=1,$B$66&gt;0,OR($B$175=0,249&lt;=$B$175)),$B$66,IF($B$172-MAX(249-1,$B$174)&gt;0,IF(B649=0,0,IF(C649=0,B649/($B$172-MAX(249-1,$B$174)),B649*(C649/12)/(1-(1+C649/12)^(-($B$172-MAX(249-1,$B$174)))))),"")),D648)))),""),""))</x:f>
        <x:v>4679.450723240598</x:v>
      </x:c>
      <x:c r="E649" s="440" t="n">
        <x:f>IF(AND(249=$B$173,ISNUMBER(D649)),IF(MAX(0,B649*(1+C649/12)-D649)&lt;MAX(0.0000001,$E$17*0.00000000001),0,MAX(0,B649*(1+C649/12)-D649)),0)</x:f>
        <x:v>0</x:v>
      </x:c>
      <x:c r="F649" s="440" t="n">
        <x:f>IF($B$78="Cash payoff",E649,0)</x:f>
        <x:v>0</x:v>
      </x:c>
      <x:c r="G649" s="440" t="n">
        <x:f>IF(AND(E649&gt;0,AND($B$78="Refinance",ISNUMBER($B$80),$B$80&gt;=0,$B$80&lt;=1,ROUND($B$81*12,0)&gt;=1,$B$81&lt;=100,SUM($B$82)&gt;=0,SUM($B$82)&lt;=1,SUM($B$83)&gt;=0)),E649*SUM($B$82)+SUM($B$83),0)</x:f>
        <x:v>0</x:v>
      </x:c>
      <x:c r="H649" s="440" t="n">
        <x:f>IF(ISNUMBER(D649),IF(MAX(0,B649*(1+C649/12)-D649-F649)&lt;MAX(0.0000001,$E$17*0.00000000001),0,MAX(0,B649*(1+C649/12)-D649-F649)),IF(AND($B$171=1,I648=1),B649,""))</x:f>
        <x:v>393710.50613840803</x:v>
      </x:c>
      <x:c r="I649" s="444" t="n">
        <x:f>IF(OR(I648=1,AND(E649&gt;0,$B$78&lt;&gt;"Cash payoff",NOT(AND($B$78="Refinance",ISNUMBER($B$80),$B$80&gt;=0,$B$80&lt;=1,ROUND($B$81*12,0)&gt;=1,$B$81&lt;=100,SUM($B$82)&gt;=0,SUM($B$82)&lt;=1,SUM($B$83)&gt;=0))),AND(ISNUMBER(B649),B649&gt;0,$B$171=1,NOT(ISNUMBER(D649)))),1,0)</x:f>
        <x:v>0</x:v>
      </x:c>
      <x:c r="J649" s="440" t="n">
        <x:f>IF(ISNUMBER(L648),L648,"")</x:f>
        <x:v>0</x:v>
      </x:c>
      <x:c r="K649" s="440" t="n">
        <x:f>IF(AND(ISNUMBER(J649),J649=0),0,IF(AND($B$176=1,ISNUMBER(J649)),MIN(J649*(1+$B$87/12),IF($B$86=0,0,IF($B$87=0,$B$86/ROUND($B$88*12,0),$B$86*($B$87/12)/(1-(1+$B$87/12)^(-ROUND($B$88*12,0)))))),""))</x:f>
        <x:v>0</x:v>
      </x:c>
      <x:c r="L649" s="440" t="n">
        <x:f>IF(ISNUMBER(K649),IF(MAX(0,J649*(1+SUM($B$87)/12)-K649)&lt;MAX(0.0000001,$B$86*0.00000000001),0,MAX(0,J649*(1+SUM($B$87)/12)-K649)),"")</x:f>
        <x:v>0</x:v>
      </x:c>
      <x:c r="M649" s="440" t="n">
        <x:f>IF(AND(ISNUMBER(D649),ISNUMBER(K649)),D649+K649,"")</x:f>
        <x:v>4679.450723240598</x:v>
      </x:c>
      <x:c r="N649" s="440" t="n">
        <x:f>IF(AND(ISNUMBER(H649),ISNUMBER(L649)),H649+L649,"")</x:f>
        <x:v>393710.50613840803</x:v>
      </x:c>
    </x:row>
    <x:row r="650" ht="22" customHeight="1">
      <x:c r="A650" s="254" t="n">
        <x:f>250</x:f>
        <x:v>250</x:v>
      </x:c>
      <x:c r="B650" s="440" t="n">
        <x:f>IF(ISNUMBER(H649),H649,"")</x:f>
        <x:v>393710.50613840803</x:v>
      </x:c>
      <x:c r="C650" s="442" t="n">
        <x:f>IF(ISNUMBER(B650),IF(AND(250&gt;$B$173,$B$78="Refinance",ISNUMBER($B$80),$B$80&gt;=0,$B$80&lt;=1,ROUND($B$81*12,0)&gt;=1,$B$81&lt;=100,SUM($B$82)&gt;=0,SUM($B$82)&lt;=1,SUM($B$83)&gt;=0),$B$80,IF(AND($B$175&gt;0,250&gt;$B$175,ISNUMBER($B$75)),$B$75,$B$61)),"")</x:f>
        <x:v>0.0625</x:v>
      </x:c>
      <x:c r="D650" s="440" t="n">
        <x:f>IF(AND(ISNUMBER(B650),B650=0),0,IF(AND($B$171=1,I649=0,ISNUMBER(C650),ISNUMBER(IF(AND(250&lt;=$B$174,250&lt;=$B$173),B650*C650/12,IF(AND(250=$B$173+1,AND(250&gt;$B$173,$B$78="Refinance",ISNUMBER($B$80),$B$80&gt;=0,$B$80&lt;=1,ROUND($B$81*12,0)&gt;=1,$B$81&lt;=100,SUM($B$82)&gt;=0,SUM($B$82)&lt;=1,SUM($B$83)&gt;=0)),IF(B650=0,0,IF(C650=0,B650/ROUND($B$81*12,0),B650*(C650/12)/(1-(1+C650/12)^(-ROUND($B$81*12,0))))),IF(AND(NOT(AND(250&gt;$B$173,$B$78="Refinance",ISNUMBER($B$80),$B$80&gt;=0,$B$80&lt;=1,ROUND($B$81*12,0)&gt;=1,$B$81&lt;=100,SUM($B$82)&gt;=0,SUM($B$82)&lt;=1,SUM($B$83)&gt;=0)),OR(250=1,250=$B$174+1,AND($B$175&gt;0,250=$B$175+1))),IF(AND($B$170=1,$B$66&gt;0,OR($B$175=0,250&lt;=$B$175)),$B$66,IF($B$172-MAX(250-1,$B$174)&gt;0,IF(B650=0,0,IF(C650=0,B650/($B$172-MAX(250-1,$B$174)),B650*(C650/12)/(1-(1+C650/12)^(-($B$172-MAX(250-1,$B$174)))))),"")),D649))))),IF(IF(AND(250&lt;=$B$174,250&lt;=$B$173),B650*C650/12,IF(AND(250=$B$173+1,AND(250&gt;$B$173,$B$78="Refinance",ISNUMBER($B$80),$B$80&gt;=0,$B$80&lt;=1,ROUND($B$81*12,0)&gt;=1,$B$81&lt;=100,SUM($B$82)&gt;=0,SUM($B$82)&lt;=1,SUM($B$83)&gt;=0)),IF(B650=0,0,IF(C650=0,B650/ROUND($B$81*12,0),B650*(C650/12)/(1-(1+C650/12)^(-ROUND($B$81*12,0))))),IF(AND(NOT(AND(250&gt;$B$173,$B$78="Refinance",ISNUMBER($B$80),$B$80&gt;=0,$B$80&lt;=1,ROUND($B$81*12,0)&gt;=1,$B$81&lt;=100,SUM($B$82)&gt;=0,SUM($B$82)&lt;=1,SUM($B$83)&gt;=0)),OR(250=1,250=$B$174+1,AND($B$175&gt;0,250=$B$175+1))),IF(AND($B$170=1,$B$66&gt;0,OR($B$175=0,250&lt;=$B$175)),$B$66,IF($B$172-MAX(250-1,$B$174)&gt;0,IF(B650=0,0,IF(C650=0,B650/($B$172-MAX(250-1,$B$174)),B650*(C650/12)/(1-(1+C650/12)^(-($B$172-MAX(250-1,$B$174)))))),"")),D649)))+0.0000001&gt;=B650*C650/12,MIN(B650*(1+C650/12),IF(AND(250&lt;=$B$174,250&lt;=$B$173),B650*C650/12,IF(AND(250=$B$173+1,AND(250&gt;$B$173,$B$78="Refinance",ISNUMBER($B$80),$B$80&gt;=0,$B$80&lt;=1,ROUND($B$81*12,0)&gt;=1,$B$81&lt;=100,SUM($B$82)&gt;=0,SUM($B$82)&lt;=1,SUM($B$83)&gt;=0)),IF(B650=0,0,IF(C650=0,B650/ROUND($B$81*12,0),B650*(C650/12)/(1-(1+C650/12)^(-ROUND($B$81*12,0))))),IF(AND(NOT(AND(250&gt;$B$173,$B$78="Refinance",ISNUMBER($B$80),$B$80&gt;=0,$B$80&lt;=1,ROUND($B$81*12,0)&gt;=1,$B$81&lt;=100,SUM($B$82)&gt;=0,SUM($B$82)&lt;=1,SUM($B$83)&gt;=0)),OR(250=1,250=$B$174+1,AND($B$175&gt;0,250=$B$175+1))),IF(AND($B$170=1,$B$66&gt;0,OR($B$175=0,250&lt;=$B$175)),$B$66,IF($B$172-MAX(250-1,$B$174)&gt;0,IF(B650=0,0,IF(C650=0,B650/($B$172-MAX(250-1,$B$174)),B650*(C650/12)/(1-(1+C650/12)^(-($B$172-MAX(250-1,$B$174)))))),"")),D649)))),""),""))</x:f>
        <x:v>4679.450723240598</x:v>
      </x:c>
      <x:c r="E650" s="440" t="n">
        <x:f>IF(AND(250=$B$173,ISNUMBER(D650)),IF(MAX(0,B650*(1+C650/12)-D650)&lt;MAX(0.0000001,$E$17*0.00000000001),0,MAX(0,B650*(1+C650/12)-D650)),0)</x:f>
        <x:v>0</x:v>
      </x:c>
      <x:c r="F650" s="440" t="n">
        <x:f>IF($B$78="Cash payoff",E650,0)</x:f>
        <x:v>0</x:v>
      </x:c>
      <x:c r="G650" s="440" t="n">
        <x:f>IF(AND(E650&gt;0,AND($B$78="Refinance",ISNUMBER($B$80),$B$80&gt;=0,$B$80&lt;=1,ROUND($B$81*12,0)&gt;=1,$B$81&lt;=100,SUM($B$82)&gt;=0,SUM($B$82)&lt;=1,SUM($B$83)&gt;=0)),E650*SUM($B$82)+SUM($B$83),0)</x:f>
        <x:v>0</x:v>
      </x:c>
      <x:c r="H650" s="440" t="n">
        <x:f>IF(ISNUMBER(D650),IF(MAX(0,B650*(1+C650/12)-D650-F650)&lt;MAX(0.0000001,$E$17*0.00000000001),0,MAX(0,B650*(1+C650/12)-D650-F650)),IF(AND($B$171=1,I649=1),B650,""))</x:f>
        <x:v>391081.6309679716</x:v>
      </x:c>
      <x:c r="I650" s="444" t="n">
        <x:f>IF(OR(I649=1,AND(E650&gt;0,$B$78&lt;&gt;"Cash payoff",NOT(AND($B$78="Refinance",ISNUMBER($B$80),$B$80&gt;=0,$B$80&lt;=1,ROUND($B$81*12,0)&gt;=1,$B$81&lt;=100,SUM($B$82)&gt;=0,SUM($B$82)&lt;=1,SUM($B$83)&gt;=0))),AND(ISNUMBER(B650),B650&gt;0,$B$171=1,NOT(ISNUMBER(D650)))),1,0)</x:f>
        <x:v>0</x:v>
      </x:c>
      <x:c r="J650" s="440" t="n">
        <x:f>IF(ISNUMBER(L649),L649,"")</x:f>
        <x:v>0</x:v>
      </x:c>
      <x:c r="K650" s="440" t="n">
        <x:f>IF(AND(ISNUMBER(J650),J650=0),0,IF(AND($B$176=1,ISNUMBER(J650)),MIN(J650*(1+$B$87/12),IF($B$86=0,0,IF($B$87=0,$B$86/ROUND($B$88*12,0),$B$86*($B$87/12)/(1-(1+$B$87/12)^(-ROUND($B$88*12,0)))))),""))</x:f>
        <x:v>0</x:v>
      </x:c>
      <x:c r="L650" s="440" t="n">
        <x:f>IF(ISNUMBER(K650),IF(MAX(0,J650*(1+SUM($B$87)/12)-K650)&lt;MAX(0.0000001,$B$86*0.00000000001),0,MAX(0,J650*(1+SUM($B$87)/12)-K650)),"")</x:f>
        <x:v>0</x:v>
      </x:c>
      <x:c r="M650" s="440" t="n">
        <x:f>IF(AND(ISNUMBER(D650),ISNUMBER(K650)),D650+K650,"")</x:f>
        <x:v>4679.450723240598</x:v>
      </x:c>
      <x:c r="N650" s="440" t="n">
        <x:f>IF(AND(ISNUMBER(H650),ISNUMBER(L650)),H650+L650,"")</x:f>
        <x:v>391081.6309679716</x:v>
      </x:c>
    </x:row>
    <x:row r="651" ht="22" customHeight="1">
      <x:c r="A651" s="254" t="n">
        <x:f>251</x:f>
        <x:v>251</x:v>
      </x:c>
      <x:c r="B651" s="440" t="n">
        <x:f>IF(ISNUMBER(H650),H650,"")</x:f>
        <x:v>391081.6309679716</x:v>
      </x:c>
      <x:c r="C651" s="442" t="n">
        <x:f>IF(ISNUMBER(B651),IF(AND(251&gt;$B$173,$B$78="Refinance",ISNUMBER($B$80),$B$80&gt;=0,$B$80&lt;=1,ROUND($B$81*12,0)&gt;=1,$B$81&lt;=100,SUM($B$82)&gt;=0,SUM($B$82)&lt;=1,SUM($B$83)&gt;=0),$B$80,IF(AND($B$175&gt;0,251&gt;$B$175,ISNUMBER($B$75)),$B$75,$B$61)),"")</x:f>
        <x:v>0.0625</x:v>
      </x:c>
      <x:c r="D651" s="440" t="n">
        <x:f>IF(AND(ISNUMBER(B651),B651=0),0,IF(AND($B$171=1,I650=0,ISNUMBER(C651),ISNUMBER(IF(AND(251&lt;=$B$174,251&lt;=$B$173),B651*C651/12,IF(AND(251=$B$173+1,AND(251&gt;$B$173,$B$78="Refinance",ISNUMBER($B$80),$B$80&gt;=0,$B$80&lt;=1,ROUND($B$81*12,0)&gt;=1,$B$81&lt;=100,SUM($B$82)&gt;=0,SUM($B$82)&lt;=1,SUM($B$83)&gt;=0)),IF(B651=0,0,IF(C651=0,B651/ROUND($B$81*12,0),B651*(C651/12)/(1-(1+C651/12)^(-ROUND($B$81*12,0))))),IF(AND(NOT(AND(251&gt;$B$173,$B$78="Refinance",ISNUMBER($B$80),$B$80&gt;=0,$B$80&lt;=1,ROUND($B$81*12,0)&gt;=1,$B$81&lt;=100,SUM($B$82)&gt;=0,SUM($B$82)&lt;=1,SUM($B$83)&gt;=0)),OR(251=1,251=$B$174+1,AND($B$175&gt;0,251=$B$175+1))),IF(AND($B$170=1,$B$66&gt;0,OR($B$175=0,251&lt;=$B$175)),$B$66,IF($B$172-MAX(251-1,$B$174)&gt;0,IF(B651=0,0,IF(C651=0,B651/($B$172-MAX(251-1,$B$174)),B651*(C651/12)/(1-(1+C651/12)^(-($B$172-MAX(251-1,$B$174)))))),"")),D650))))),IF(IF(AND(251&lt;=$B$174,251&lt;=$B$173),B651*C651/12,IF(AND(251=$B$173+1,AND(251&gt;$B$173,$B$78="Refinance",ISNUMBER($B$80),$B$80&gt;=0,$B$80&lt;=1,ROUND($B$81*12,0)&gt;=1,$B$81&lt;=100,SUM($B$82)&gt;=0,SUM($B$82)&lt;=1,SUM($B$83)&gt;=0)),IF(B651=0,0,IF(C651=0,B651/ROUND($B$81*12,0),B651*(C651/12)/(1-(1+C651/12)^(-ROUND($B$81*12,0))))),IF(AND(NOT(AND(251&gt;$B$173,$B$78="Refinance",ISNUMBER($B$80),$B$80&gt;=0,$B$80&lt;=1,ROUND($B$81*12,0)&gt;=1,$B$81&lt;=100,SUM($B$82)&gt;=0,SUM($B$82)&lt;=1,SUM($B$83)&gt;=0)),OR(251=1,251=$B$174+1,AND($B$175&gt;0,251=$B$175+1))),IF(AND($B$170=1,$B$66&gt;0,OR($B$175=0,251&lt;=$B$175)),$B$66,IF($B$172-MAX(251-1,$B$174)&gt;0,IF(B651=0,0,IF(C651=0,B651/($B$172-MAX(251-1,$B$174)),B651*(C651/12)/(1-(1+C651/12)^(-($B$172-MAX(251-1,$B$174)))))),"")),D650)))+0.0000001&gt;=B651*C651/12,MIN(B651*(1+C651/12),IF(AND(251&lt;=$B$174,251&lt;=$B$173),B651*C651/12,IF(AND(251=$B$173+1,AND(251&gt;$B$173,$B$78="Refinance",ISNUMBER($B$80),$B$80&gt;=0,$B$80&lt;=1,ROUND($B$81*12,0)&gt;=1,$B$81&lt;=100,SUM($B$82)&gt;=0,SUM($B$82)&lt;=1,SUM($B$83)&gt;=0)),IF(B651=0,0,IF(C651=0,B651/ROUND($B$81*12,0),B651*(C651/12)/(1-(1+C651/12)^(-ROUND($B$81*12,0))))),IF(AND(NOT(AND(251&gt;$B$173,$B$78="Refinance",ISNUMBER($B$80),$B$80&gt;=0,$B$80&lt;=1,ROUND($B$81*12,0)&gt;=1,$B$81&lt;=100,SUM($B$82)&gt;=0,SUM($B$82)&lt;=1,SUM($B$83)&gt;=0)),OR(251=1,251=$B$174+1,AND($B$175&gt;0,251=$B$175+1))),IF(AND($B$170=1,$B$66&gt;0,OR($B$175=0,251&lt;=$B$175)),$B$66,IF($B$172-MAX(251-1,$B$174)&gt;0,IF(B651=0,0,IF(C651=0,B651/($B$172-MAX(251-1,$B$174)),B651*(C651/12)/(1-(1+C651/12)^(-($B$172-MAX(251-1,$B$174)))))),"")),D650)))),""),""))</x:f>
        <x:v>4679.450723240598</x:v>
      </x:c>
      <x:c r="E651" s="440" t="n">
        <x:f>IF(AND(251=$B$173,ISNUMBER(D651)),IF(MAX(0,B651*(1+C651/12)-D651)&lt;MAX(0.0000001,$E$17*0.00000000001),0,MAX(0,B651*(1+C651/12)-D651)),0)</x:f>
        <x:v>0</x:v>
      </x:c>
      <x:c r="F651" s="440" t="n">
        <x:f>IF($B$78="Cash payoff",E651,0)</x:f>
        <x:v>0</x:v>
      </x:c>
      <x:c r="G651" s="440" t="n">
        <x:f>IF(AND(E651&gt;0,AND($B$78="Refinance",ISNUMBER($B$80),$B$80&gt;=0,$B$80&lt;=1,ROUND($B$81*12,0)&gt;=1,$B$81&lt;=100,SUM($B$82)&gt;=0,SUM($B$82)&lt;=1,SUM($B$83)&gt;=0)),E651*SUM($B$82)+SUM($B$83),0)</x:f>
        <x:v>0</x:v>
      </x:c>
      <x:c r="H651" s="440" t="n">
        <x:f>IF(ISNUMBER(D651),IF(MAX(0,B651*(1+C651/12)-D651-F651)&lt;MAX(0.0000001,$E$17*0.00000000001),0,MAX(0,B651*(1+C651/12)-D651-F651)),IF(AND($B$171=1,I650=1),B651,""))</x:f>
        <x:v>388439.06373935577</x:v>
      </x:c>
      <x:c r="I651" s="444" t="n">
        <x:f>IF(OR(I650=1,AND(E651&gt;0,$B$78&lt;&gt;"Cash payoff",NOT(AND($B$78="Refinance",ISNUMBER($B$80),$B$80&gt;=0,$B$80&lt;=1,ROUND($B$81*12,0)&gt;=1,$B$81&lt;=100,SUM($B$82)&gt;=0,SUM($B$82)&lt;=1,SUM($B$83)&gt;=0))),AND(ISNUMBER(B651),B651&gt;0,$B$171=1,NOT(ISNUMBER(D651)))),1,0)</x:f>
        <x:v>0</x:v>
      </x:c>
      <x:c r="J651" s="440" t="n">
        <x:f>IF(ISNUMBER(L650),L650,"")</x:f>
        <x:v>0</x:v>
      </x:c>
      <x:c r="K651" s="440" t="n">
        <x:f>IF(AND(ISNUMBER(J651),J651=0),0,IF(AND($B$176=1,ISNUMBER(J651)),MIN(J651*(1+$B$87/12),IF($B$86=0,0,IF($B$87=0,$B$86/ROUND($B$88*12,0),$B$86*($B$87/12)/(1-(1+$B$87/12)^(-ROUND($B$88*12,0)))))),""))</x:f>
        <x:v>0</x:v>
      </x:c>
      <x:c r="L651" s="440" t="n">
        <x:f>IF(ISNUMBER(K651),IF(MAX(0,J651*(1+SUM($B$87)/12)-K651)&lt;MAX(0.0000001,$B$86*0.00000000001),0,MAX(0,J651*(1+SUM($B$87)/12)-K651)),"")</x:f>
        <x:v>0</x:v>
      </x:c>
      <x:c r="M651" s="440" t="n">
        <x:f>IF(AND(ISNUMBER(D651),ISNUMBER(K651)),D651+K651,"")</x:f>
        <x:v>4679.450723240598</x:v>
      </x:c>
      <x:c r="N651" s="440" t="n">
        <x:f>IF(AND(ISNUMBER(H651),ISNUMBER(L651)),H651+L651,"")</x:f>
        <x:v>388439.06373935577</x:v>
      </x:c>
    </x:row>
    <x:row r="652" ht="22" customHeight="1">
      <x:c r="A652" s="254" t="n">
        <x:f>252</x:f>
        <x:v>252</x:v>
      </x:c>
      <x:c r="B652" s="440" t="n">
        <x:f>IF(ISNUMBER(H651),H651,"")</x:f>
        <x:v>388439.06373935577</x:v>
      </x:c>
      <x:c r="C652" s="442" t="n">
        <x:f>IF(ISNUMBER(B652),IF(AND(252&gt;$B$173,$B$78="Refinance",ISNUMBER($B$80),$B$80&gt;=0,$B$80&lt;=1,ROUND($B$81*12,0)&gt;=1,$B$81&lt;=100,SUM($B$82)&gt;=0,SUM($B$82)&lt;=1,SUM($B$83)&gt;=0),$B$80,IF(AND($B$175&gt;0,252&gt;$B$175,ISNUMBER($B$75)),$B$75,$B$61)),"")</x:f>
        <x:v>0.0625</x:v>
      </x:c>
      <x:c r="D652" s="440" t="n">
        <x:f>IF(AND(ISNUMBER(B652),B652=0),0,IF(AND($B$171=1,I651=0,ISNUMBER(C652),ISNUMBER(IF(AND(252&lt;=$B$174,252&lt;=$B$173),B652*C652/12,IF(AND(252=$B$173+1,AND(252&gt;$B$173,$B$78="Refinance",ISNUMBER($B$80),$B$80&gt;=0,$B$80&lt;=1,ROUND($B$81*12,0)&gt;=1,$B$81&lt;=100,SUM($B$82)&gt;=0,SUM($B$82)&lt;=1,SUM($B$83)&gt;=0)),IF(B652=0,0,IF(C652=0,B652/ROUND($B$81*12,0),B652*(C652/12)/(1-(1+C652/12)^(-ROUND($B$81*12,0))))),IF(AND(NOT(AND(252&gt;$B$173,$B$78="Refinance",ISNUMBER($B$80),$B$80&gt;=0,$B$80&lt;=1,ROUND($B$81*12,0)&gt;=1,$B$81&lt;=100,SUM($B$82)&gt;=0,SUM($B$82)&lt;=1,SUM($B$83)&gt;=0)),OR(252=1,252=$B$174+1,AND($B$175&gt;0,252=$B$175+1))),IF(AND($B$170=1,$B$66&gt;0,OR($B$175=0,252&lt;=$B$175)),$B$66,IF($B$172-MAX(252-1,$B$174)&gt;0,IF(B652=0,0,IF(C652=0,B652/($B$172-MAX(252-1,$B$174)),B652*(C652/12)/(1-(1+C652/12)^(-($B$172-MAX(252-1,$B$174)))))),"")),D651))))),IF(IF(AND(252&lt;=$B$174,252&lt;=$B$173),B652*C652/12,IF(AND(252=$B$173+1,AND(252&gt;$B$173,$B$78="Refinance",ISNUMBER($B$80),$B$80&gt;=0,$B$80&lt;=1,ROUND($B$81*12,0)&gt;=1,$B$81&lt;=100,SUM($B$82)&gt;=0,SUM($B$82)&lt;=1,SUM($B$83)&gt;=0)),IF(B652=0,0,IF(C652=0,B652/ROUND($B$81*12,0),B652*(C652/12)/(1-(1+C652/12)^(-ROUND($B$81*12,0))))),IF(AND(NOT(AND(252&gt;$B$173,$B$78="Refinance",ISNUMBER($B$80),$B$80&gt;=0,$B$80&lt;=1,ROUND($B$81*12,0)&gt;=1,$B$81&lt;=100,SUM($B$82)&gt;=0,SUM($B$82)&lt;=1,SUM($B$83)&gt;=0)),OR(252=1,252=$B$174+1,AND($B$175&gt;0,252=$B$175+1))),IF(AND($B$170=1,$B$66&gt;0,OR($B$175=0,252&lt;=$B$175)),$B$66,IF($B$172-MAX(252-1,$B$174)&gt;0,IF(B652=0,0,IF(C652=0,B652/($B$172-MAX(252-1,$B$174)),B652*(C652/12)/(1-(1+C652/12)^(-($B$172-MAX(252-1,$B$174)))))),"")),D651)))+0.0000001&gt;=B652*C652/12,MIN(B652*(1+C652/12),IF(AND(252&lt;=$B$174,252&lt;=$B$173),B652*C652/12,IF(AND(252=$B$173+1,AND(252&gt;$B$173,$B$78="Refinance",ISNUMBER($B$80),$B$80&gt;=0,$B$80&lt;=1,ROUND($B$81*12,0)&gt;=1,$B$81&lt;=100,SUM($B$82)&gt;=0,SUM($B$82)&lt;=1,SUM($B$83)&gt;=0)),IF(B652=0,0,IF(C652=0,B652/ROUND($B$81*12,0),B652*(C652/12)/(1-(1+C652/12)^(-ROUND($B$81*12,0))))),IF(AND(NOT(AND(252&gt;$B$173,$B$78="Refinance",ISNUMBER($B$80),$B$80&gt;=0,$B$80&lt;=1,ROUND($B$81*12,0)&gt;=1,$B$81&lt;=100,SUM($B$82)&gt;=0,SUM($B$82)&lt;=1,SUM($B$83)&gt;=0)),OR(252=1,252=$B$174+1,AND($B$175&gt;0,252=$B$175+1))),IF(AND($B$170=1,$B$66&gt;0,OR($B$175=0,252&lt;=$B$175)),$B$66,IF($B$172-MAX(252-1,$B$174)&gt;0,IF(B652=0,0,IF(C652=0,B652/($B$172-MAX(252-1,$B$174)),B652*(C652/12)/(1-(1+C652/12)^(-($B$172-MAX(252-1,$B$174)))))),"")),D651)))),""),""))</x:f>
        <x:v>4679.450723240598</x:v>
      </x:c>
      <x:c r="E652" s="440" t="n">
        <x:f>IF(AND(252=$B$173,ISNUMBER(D652)),IF(MAX(0,B652*(1+C652/12)-D652)&lt;MAX(0.0000001,$E$17*0.00000000001),0,MAX(0,B652*(1+C652/12)-D652)),0)</x:f>
        <x:v>0</x:v>
      </x:c>
      <x:c r="F652" s="440" t="n">
        <x:f>IF($B$78="Cash payoff",E652,0)</x:f>
        <x:v>0</x:v>
      </x:c>
      <x:c r="G652" s="440" t="n">
        <x:f>IF(AND(E652&gt;0,AND($B$78="Refinance",ISNUMBER($B$80),$B$80&gt;=0,$B$80&lt;=1,ROUND($B$81*12,0)&gt;=1,$B$81&lt;=100,SUM($B$82)&gt;=0,SUM($B$82)&lt;=1,SUM($B$83)&gt;=0)),E652*SUM($B$82)+SUM($B$83),0)</x:f>
        <x:v>0</x:v>
      </x:c>
      <x:c r="H652" s="440" t="n">
        <x:f>IF(ISNUMBER(D652),IF(MAX(0,B652*(1+C652/12)-D652-F652)&lt;MAX(0.0000001,$E$17*0.00000000001),0,MAX(0,B652*(1+C652/12)-D652-F652)),IF(AND($B$171=1,I651=1),B652,""))</x:f>
        <x:v>385782.7331397576</x:v>
      </x:c>
      <x:c r="I652" s="444" t="n">
        <x:f>IF(OR(I651=1,AND(E652&gt;0,$B$78&lt;&gt;"Cash payoff",NOT(AND($B$78="Refinance",ISNUMBER($B$80),$B$80&gt;=0,$B$80&lt;=1,ROUND($B$81*12,0)&gt;=1,$B$81&lt;=100,SUM($B$82)&gt;=0,SUM($B$82)&lt;=1,SUM($B$83)&gt;=0))),AND(ISNUMBER(B652),B652&gt;0,$B$171=1,NOT(ISNUMBER(D652)))),1,0)</x:f>
        <x:v>0</x:v>
      </x:c>
      <x:c r="J652" s="440" t="n">
        <x:f>IF(ISNUMBER(L651),L651,"")</x:f>
        <x:v>0</x:v>
      </x:c>
      <x:c r="K652" s="440" t="n">
        <x:f>IF(AND(ISNUMBER(J652),J652=0),0,IF(AND($B$176=1,ISNUMBER(J652)),MIN(J652*(1+$B$87/12),IF($B$86=0,0,IF($B$87=0,$B$86/ROUND($B$88*12,0),$B$86*($B$87/12)/(1-(1+$B$87/12)^(-ROUND($B$88*12,0)))))),""))</x:f>
        <x:v>0</x:v>
      </x:c>
      <x:c r="L652" s="440" t="n">
        <x:f>IF(ISNUMBER(K652),IF(MAX(0,J652*(1+SUM($B$87)/12)-K652)&lt;MAX(0.0000001,$B$86*0.00000000001),0,MAX(0,J652*(1+SUM($B$87)/12)-K652)),"")</x:f>
        <x:v>0</x:v>
      </x:c>
      <x:c r="M652" s="440" t="n">
        <x:f>IF(AND(ISNUMBER(D652),ISNUMBER(K652)),D652+K652,"")</x:f>
        <x:v>4679.450723240598</x:v>
      </x:c>
      <x:c r="N652" s="440" t="n">
        <x:f>IF(AND(ISNUMBER(H652),ISNUMBER(L652)),H652+L652,"")</x:f>
        <x:v>385782.7331397576</x:v>
      </x:c>
    </x:row>
    <x:row r="653" ht="22" customHeight="1">
      <x:c r="A653" s="254" t="n">
        <x:f>253</x:f>
        <x:v>253</x:v>
      </x:c>
      <x:c r="B653" s="440" t="n">
        <x:f>IF(ISNUMBER(H652),H652,"")</x:f>
        <x:v>385782.7331397576</x:v>
      </x:c>
      <x:c r="C653" s="442" t="n">
        <x:f>IF(ISNUMBER(B653),IF(AND(253&gt;$B$173,$B$78="Refinance",ISNUMBER($B$80),$B$80&gt;=0,$B$80&lt;=1,ROUND($B$81*12,0)&gt;=1,$B$81&lt;=100,SUM($B$82)&gt;=0,SUM($B$82)&lt;=1,SUM($B$83)&gt;=0),$B$80,IF(AND($B$175&gt;0,253&gt;$B$175,ISNUMBER($B$75)),$B$75,$B$61)),"")</x:f>
        <x:v>0.0625</x:v>
      </x:c>
      <x:c r="D653" s="440" t="n">
        <x:f>IF(AND(ISNUMBER(B653),B653=0),0,IF(AND($B$171=1,I652=0,ISNUMBER(C653),ISNUMBER(IF(AND(253&lt;=$B$174,253&lt;=$B$173),B653*C653/12,IF(AND(253=$B$173+1,AND(253&gt;$B$173,$B$78="Refinance",ISNUMBER($B$80),$B$80&gt;=0,$B$80&lt;=1,ROUND($B$81*12,0)&gt;=1,$B$81&lt;=100,SUM($B$82)&gt;=0,SUM($B$82)&lt;=1,SUM($B$83)&gt;=0)),IF(B653=0,0,IF(C653=0,B653/ROUND($B$81*12,0),B653*(C653/12)/(1-(1+C653/12)^(-ROUND($B$81*12,0))))),IF(AND(NOT(AND(253&gt;$B$173,$B$78="Refinance",ISNUMBER($B$80),$B$80&gt;=0,$B$80&lt;=1,ROUND($B$81*12,0)&gt;=1,$B$81&lt;=100,SUM($B$82)&gt;=0,SUM($B$82)&lt;=1,SUM($B$83)&gt;=0)),OR(253=1,253=$B$174+1,AND($B$175&gt;0,253=$B$175+1))),IF(AND($B$170=1,$B$66&gt;0,OR($B$175=0,253&lt;=$B$175)),$B$66,IF($B$172-MAX(253-1,$B$174)&gt;0,IF(B653=0,0,IF(C653=0,B653/($B$172-MAX(253-1,$B$174)),B653*(C653/12)/(1-(1+C653/12)^(-($B$172-MAX(253-1,$B$174)))))),"")),D652))))),IF(IF(AND(253&lt;=$B$174,253&lt;=$B$173),B653*C653/12,IF(AND(253=$B$173+1,AND(253&gt;$B$173,$B$78="Refinance",ISNUMBER($B$80),$B$80&gt;=0,$B$80&lt;=1,ROUND($B$81*12,0)&gt;=1,$B$81&lt;=100,SUM($B$82)&gt;=0,SUM($B$82)&lt;=1,SUM($B$83)&gt;=0)),IF(B653=0,0,IF(C653=0,B653/ROUND($B$81*12,0),B653*(C653/12)/(1-(1+C653/12)^(-ROUND($B$81*12,0))))),IF(AND(NOT(AND(253&gt;$B$173,$B$78="Refinance",ISNUMBER($B$80),$B$80&gt;=0,$B$80&lt;=1,ROUND($B$81*12,0)&gt;=1,$B$81&lt;=100,SUM($B$82)&gt;=0,SUM($B$82)&lt;=1,SUM($B$83)&gt;=0)),OR(253=1,253=$B$174+1,AND($B$175&gt;0,253=$B$175+1))),IF(AND($B$170=1,$B$66&gt;0,OR($B$175=0,253&lt;=$B$175)),$B$66,IF($B$172-MAX(253-1,$B$174)&gt;0,IF(B653=0,0,IF(C653=0,B653/($B$172-MAX(253-1,$B$174)),B653*(C653/12)/(1-(1+C653/12)^(-($B$172-MAX(253-1,$B$174)))))),"")),D652)))+0.0000001&gt;=B653*C653/12,MIN(B653*(1+C653/12),IF(AND(253&lt;=$B$174,253&lt;=$B$173),B653*C653/12,IF(AND(253=$B$173+1,AND(253&gt;$B$173,$B$78="Refinance",ISNUMBER($B$80),$B$80&gt;=0,$B$80&lt;=1,ROUND($B$81*12,0)&gt;=1,$B$81&lt;=100,SUM($B$82)&gt;=0,SUM($B$82)&lt;=1,SUM($B$83)&gt;=0)),IF(B653=0,0,IF(C653=0,B653/ROUND($B$81*12,0),B653*(C653/12)/(1-(1+C653/12)^(-ROUND($B$81*12,0))))),IF(AND(NOT(AND(253&gt;$B$173,$B$78="Refinance",ISNUMBER($B$80),$B$80&gt;=0,$B$80&lt;=1,ROUND($B$81*12,0)&gt;=1,$B$81&lt;=100,SUM($B$82)&gt;=0,SUM($B$82)&lt;=1,SUM($B$83)&gt;=0)),OR(253=1,253=$B$174+1,AND($B$175&gt;0,253=$B$175+1))),IF(AND($B$170=1,$B$66&gt;0,OR($B$175=0,253&lt;=$B$175)),$B$66,IF($B$172-MAX(253-1,$B$174)&gt;0,IF(B653=0,0,IF(C653=0,B653/($B$172-MAX(253-1,$B$174)),B653*(C653/12)/(1-(1+C653/12)^(-($B$172-MAX(253-1,$B$174)))))),"")),D652)))),""),""))</x:f>
        <x:v>4679.450723240598</x:v>
      </x:c>
      <x:c r="E653" s="440" t="n">
        <x:f>IF(AND(253=$B$173,ISNUMBER(D653)),IF(MAX(0,B653*(1+C653/12)-D653)&lt;MAX(0.0000001,$E$17*0.00000000001),0,MAX(0,B653*(1+C653/12)-D653)),0)</x:f>
        <x:v>0</x:v>
      </x:c>
      <x:c r="F653" s="440" t="n">
        <x:f>IF($B$78="Cash payoff",E653,0)</x:f>
        <x:v>0</x:v>
      </x:c>
      <x:c r="G653" s="440" t="n">
        <x:f>IF(AND(E653&gt;0,AND($B$78="Refinance",ISNUMBER($B$80),$B$80&gt;=0,$B$80&lt;=1,ROUND($B$81*12,0)&gt;=1,$B$81&lt;=100,SUM($B$82)&gt;=0,SUM($B$82)&lt;=1,SUM($B$83)&gt;=0)),E653*SUM($B$82)+SUM($B$83),0)</x:f>
        <x:v>0</x:v>
      </x:c>
      <x:c r="H653" s="440" t="n">
        <x:f>IF(ISNUMBER(D653),IF(MAX(0,B653*(1+C653/12)-D653-F653)&lt;MAX(0.0000001,$E$17*0.00000000001),0,MAX(0,B653*(1+C653/12)-D653-F653)),IF(AND($B$171=1,I652=1),B653,""))</x:f>
        <x:v>383112.5674849532</x:v>
      </x:c>
      <x:c r="I653" s="444" t="n">
        <x:f>IF(OR(I652=1,AND(E653&gt;0,$B$78&lt;&gt;"Cash payoff",NOT(AND($B$78="Refinance",ISNUMBER($B$80),$B$80&gt;=0,$B$80&lt;=1,ROUND($B$81*12,0)&gt;=1,$B$81&lt;=100,SUM($B$82)&gt;=0,SUM($B$82)&lt;=1,SUM($B$83)&gt;=0))),AND(ISNUMBER(B653),B653&gt;0,$B$171=1,NOT(ISNUMBER(D653)))),1,0)</x:f>
        <x:v>0</x:v>
      </x:c>
      <x:c r="J653" s="440" t="n">
        <x:f>IF(ISNUMBER(L652),L652,"")</x:f>
        <x:v>0</x:v>
      </x:c>
      <x:c r="K653" s="440" t="n">
        <x:f>IF(AND(ISNUMBER(J653),J653=0),0,IF(AND($B$176=1,ISNUMBER(J653)),MIN(J653*(1+$B$87/12),IF($B$86=0,0,IF($B$87=0,$B$86/ROUND($B$88*12,0),$B$86*($B$87/12)/(1-(1+$B$87/12)^(-ROUND($B$88*12,0)))))),""))</x:f>
        <x:v>0</x:v>
      </x:c>
      <x:c r="L653" s="440" t="n">
        <x:f>IF(ISNUMBER(K653),IF(MAX(0,J653*(1+SUM($B$87)/12)-K653)&lt;MAX(0.0000001,$B$86*0.00000000001),0,MAX(0,J653*(1+SUM($B$87)/12)-K653)),"")</x:f>
        <x:v>0</x:v>
      </x:c>
      <x:c r="M653" s="440" t="n">
        <x:f>IF(AND(ISNUMBER(D653),ISNUMBER(K653)),D653+K653,"")</x:f>
        <x:v>4679.450723240598</x:v>
      </x:c>
      <x:c r="N653" s="440" t="n">
        <x:f>IF(AND(ISNUMBER(H653),ISNUMBER(L653)),H653+L653,"")</x:f>
        <x:v>383112.5674849532</x:v>
      </x:c>
    </x:row>
    <x:row r="654" ht="22" customHeight="1">
      <x:c r="A654" s="254" t="n">
        <x:f>254</x:f>
        <x:v>254</x:v>
      </x:c>
      <x:c r="B654" s="440" t="n">
        <x:f>IF(ISNUMBER(H653),H653,"")</x:f>
        <x:v>383112.5674849532</x:v>
      </x:c>
      <x:c r="C654" s="442" t="n">
        <x:f>IF(ISNUMBER(B654),IF(AND(254&gt;$B$173,$B$78="Refinance",ISNUMBER($B$80),$B$80&gt;=0,$B$80&lt;=1,ROUND($B$81*12,0)&gt;=1,$B$81&lt;=100,SUM($B$82)&gt;=0,SUM($B$82)&lt;=1,SUM($B$83)&gt;=0),$B$80,IF(AND($B$175&gt;0,254&gt;$B$175,ISNUMBER($B$75)),$B$75,$B$61)),"")</x:f>
        <x:v>0.0625</x:v>
      </x:c>
      <x:c r="D654" s="440" t="n">
        <x:f>IF(AND(ISNUMBER(B654),B654=0),0,IF(AND($B$171=1,I653=0,ISNUMBER(C654),ISNUMBER(IF(AND(254&lt;=$B$174,254&lt;=$B$173),B654*C654/12,IF(AND(254=$B$173+1,AND(254&gt;$B$173,$B$78="Refinance",ISNUMBER($B$80),$B$80&gt;=0,$B$80&lt;=1,ROUND($B$81*12,0)&gt;=1,$B$81&lt;=100,SUM($B$82)&gt;=0,SUM($B$82)&lt;=1,SUM($B$83)&gt;=0)),IF(B654=0,0,IF(C654=0,B654/ROUND($B$81*12,0),B654*(C654/12)/(1-(1+C654/12)^(-ROUND($B$81*12,0))))),IF(AND(NOT(AND(254&gt;$B$173,$B$78="Refinance",ISNUMBER($B$80),$B$80&gt;=0,$B$80&lt;=1,ROUND($B$81*12,0)&gt;=1,$B$81&lt;=100,SUM($B$82)&gt;=0,SUM($B$82)&lt;=1,SUM($B$83)&gt;=0)),OR(254=1,254=$B$174+1,AND($B$175&gt;0,254=$B$175+1))),IF(AND($B$170=1,$B$66&gt;0,OR($B$175=0,254&lt;=$B$175)),$B$66,IF($B$172-MAX(254-1,$B$174)&gt;0,IF(B654=0,0,IF(C654=0,B654/($B$172-MAX(254-1,$B$174)),B654*(C654/12)/(1-(1+C654/12)^(-($B$172-MAX(254-1,$B$174)))))),"")),D653))))),IF(IF(AND(254&lt;=$B$174,254&lt;=$B$173),B654*C654/12,IF(AND(254=$B$173+1,AND(254&gt;$B$173,$B$78="Refinance",ISNUMBER($B$80),$B$80&gt;=0,$B$80&lt;=1,ROUND($B$81*12,0)&gt;=1,$B$81&lt;=100,SUM($B$82)&gt;=0,SUM($B$82)&lt;=1,SUM($B$83)&gt;=0)),IF(B654=0,0,IF(C654=0,B654/ROUND($B$81*12,0),B654*(C654/12)/(1-(1+C654/12)^(-ROUND($B$81*12,0))))),IF(AND(NOT(AND(254&gt;$B$173,$B$78="Refinance",ISNUMBER($B$80),$B$80&gt;=0,$B$80&lt;=1,ROUND($B$81*12,0)&gt;=1,$B$81&lt;=100,SUM($B$82)&gt;=0,SUM($B$82)&lt;=1,SUM($B$83)&gt;=0)),OR(254=1,254=$B$174+1,AND($B$175&gt;0,254=$B$175+1))),IF(AND($B$170=1,$B$66&gt;0,OR($B$175=0,254&lt;=$B$175)),$B$66,IF($B$172-MAX(254-1,$B$174)&gt;0,IF(B654=0,0,IF(C654=0,B654/($B$172-MAX(254-1,$B$174)),B654*(C654/12)/(1-(1+C654/12)^(-($B$172-MAX(254-1,$B$174)))))),"")),D653)))+0.0000001&gt;=B654*C654/12,MIN(B654*(1+C654/12),IF(AND(254&lt;=$B$174,254&lt;=$B$173),B654*C654/12,IF(AND(254=$B$173+1,AND(254&gt;$B$173,$B$78="Refinance",ISNUMBER($B$80),$B$80&gt;=0,$B$80&lt;=1,ROUND($B$81*12,0)&gt;=1,$B$81&lt;=100,SUM($B$82)&gt;=0,SUM($B$82)&lt;=1,SUM($B$83)&gt;=0)),IF(B654=0,0,IF(C654=0,B654/ROUND($B$81*12,0),B654*(C654/12)/(1-(1+C654/12)^(-ROUND($B$81*12,0))))),IF(AND(NOT(AND(254&gt;$B$173,$B$78="Refinance",ISNUMBER($B$80),$B$80&gt;=0,$B$80&lt;=1,ROUND($B$81*12,0)&gt;=1,$B$81&lt;=100,SUM($B$82)&gt;=0,SUM($B$82)&lt;=1,SUM($B$83)&gt;=0)),OR(254=1,254=$B$174+1,AND($B$175&gt;0,254=$B$175+1))),IF(AND($B$170=1,$B$66&gt;0,OR($B$175=0,254&lt;=$B$175)),$B$66,IF($B$172-MAX(254-1,$B$174)&gt;0,IF(B654=0,0,IF(C654=0,B654/($B$172-MAX(254-1,$B$174)),B654*(C654/12)/(1-(1+C654/12)^(-($B$172-MAX(254-1,$B$174)))))),"")),D653)))),""),""))</x:f>
        <x:v>4679.450723240598</x:v>
      </x:c>
      <x:c r="E654" s="440" t="n">
        <x:f>IF(AND(254=$B$173,ISNUMBER(D654)),IF(MAX(0,B654*(1+C654/12)-D654)&lt;MAX(0.0000001,$E$17*0.00000000001),0,MAX(0,B654*(1+C654/12)-D654)),0)</x:f>
        <x:v>0</x:v>
      </x:c>
      <x:c r="F654" s="440" t="n">
        <x:f>IF($B$78="Cash payoff",E654,0)</x:f>
        <x:v>0</x:v>
      </x:c>
      <x:c r="G654" s="440" t="n">
        <x:f>IF(AND(E654&gt;0,AND($B$78="Refinance",ISNUMBER($B$80),$B$80&gt;=0,$B$80&lt;=1,ROUND($B$81*12,0)&gt;=1,$B$81&lt;=100,SUM($B$82)&gt;=0,SUM($B$82)&lt;=1,SUM($B$83)&gt;=0)),E654*SUM($B$82)+SUM($B$83),0)</x:f>
        <x:v>0</x:v>
      </x:c>
      <x:c r="H654" s="440" t="n">
        <x:f>IF(ISNUMBER(D654),IF(MAX(0,B654*(1+C654/12)-D654-F654)&lt;MAX(0.0000001,$E$17*0.00000000001),0,MAX(0,B654*(1+C654/12)-D654-F654)),IF(AND($B$171=1,I653=1),B654,""))</x:f>
        <x:v>380428.4947173634</x:v>
      </x:c>
      <x:c r="I654" s="444" t="n">
        <x:f>IF(OR(I653=1,AND(E654&gt;0,$B$78&lt;&gt;"Cash payoff",NOT(AND($B$78="Refinance",ISNUMBER($B$80),$B$80&gt;=0,$B$80&lt;=1,ROUND($B$81*12,0)&gt;=1,$B$81&lt;=100,SUM($B$82)&gt;=0,SUM($B$82)&lt;=1,SUM($B$83)&gt;=0))),AND(ISNUMBER(B654),B654&gt;0,$B$171=1,NOT(ISNUMBER(D654)))),1,0)</x:f>
        <x:v>0</x:v>
      </x:c>
      <x:c r="J654" s="440" t="n">
        <x:f>IF(ISNUMBER(L653),L653,"")</x:f>
        <x:v>0</x:v>
      </x:c>
      <x:c r="K654" s="440" t="n">
        <x:f>IF(AND(ISNUMBER(J654),J654=0),0,IF(AND($B$176=1,ISNUMBER(J654)),MIN(J654*(1+$B$87/12),IF($B$86=0,0,IF($B$87=0,$B$86/ROUND($B$88*12,0),$B$86*($B$87/12)/(1-(1+$B$87/12)^(-ROUND($B$88*12,0)))))),""))</x:f>
        <x:v>0</x:v>
      </x:c>
      <x:c r="L654" s="440" t="n">
        <x:f>IF(ISNUMBER(K654),IF(MAX(0,J654*(1+SUM($B$87)/12)-K654)&lt;MAX(0.0000001,$B$86*0.00000000001),0,MAX(0,J654*(1+SUM($B$87)/12)-K654)),"")</x:f>
        <x:v>0</x:v>
      </x:c>
      <x:c r="M654" s="440" t="n">
        <x:f>IF(AND(ISNUMBER(D654),ISNUMBER(K654)),D654+K654,"")</x:f>
        <x:v>4679.450723240598</x:v>
      </x:c>
      <x:c r="N654" s="440" t="n">
        <x:f>IF(AND(ISNUMBER(H654),ISNUMBER(L654)),H654+L654,"")</x:f>
        <x:v>380428.4947173634</x:v>
      </x:c>
    </x:row>
    <x:row r="655" ht="22" customHeight="1">
      <x:c r="A655" s="254" t="n">
        <x:f>255</x:f>
        <x:v>255</x:v>
      </x:c>
      <x:c r="B655" s="440" t="n">
        <x:f>IF(ISNUMBER(H654),H654,"")</x:f>
        <x:v>380428.4947173634</x:v>
      </x:c>
      <x:c r="C655" s="442" t="n">
        <x:f>IF(ISNUMBER(B655),IF(AND(255&gt;$B$173,$B$78="Refinance",ISNUMBER($B$80),$B$80&gt;=0,$B$80&lt;=1,ROUND($B$81*12,0)&gt;=1,$B$81&lt;=100,SUM($B$82)&gt;=0,SUM($B$82)&lt;=1,SUM($B$83)&gt;=0),$B$80,IF(AND($B$175&gt;0,255&gt;$B$175,ISNUMBER($B$75)),$B$75,$B$61)),"")</x:f>
        <x:v>0.0625</x:v>
      </x:c>
      <x:c r="D655" s="440" t="n">
        <x:f>IF(AND(ISNUMBER(B655),B655=0),0,IF(AND($B$171=1,I654=0,ISNUMBER(C655),ISNUMBER(IF(AND(255&lt;=$B$174,255&lt;=$B$173),B655*C655/12,IF(AND(255=$B$173+1,AND(255&gt;$B$173,$B$78="Refinance",ISNUMBER($B$80),$B$80&gt;=0,$B$80&lt;=1,ROUND($B$81*12,0)&gt;=1,$B$81&lt;=100,SUM($B$82)&gt;=0,SUM($B$82)&lt;=1,SUM($B$83)&gt;=0)),IF(B655=0,0,IF(C655=0,B655/ROUND($B$81*12,0),B655*(C655/12)/(1-(1+C655/12)^(-ROUND($B$81*12,0))))),IF(AND(NOT(AND(255&gt;$B$173,$B$78="Refinance",ISNUMBER($B$80),$B$80&gt;=0,$B$80&lt;=1,ROUND($B$81*12,0)&gt;=1,$B$81&lt;=100,SUM($B$82)&gt;=0,SUM($B$82)&lt;=1,SUM($B$83)&gt;=0)),OR(255=1,255=$B$174+1,AND($B$175&gt;0,255=$B$175+1))),IF(AND($B$170=1,$B$66&gt;0,OR($B$175=0,255&lt;=$B$175)),$B$66,IF($B$172-MAX(255-1,$B$174)&gt;0,IF(B655=0,0,IF(C655=0,B655/($B$172-MAX(255-1,$B$174)),B655*(C655/12)/(1-(1+C655/12)^(-($B$172-MAX(255-1,$B$174)))))),"")),D654))))),IF(IF(AND(255&lt;=$B$174,255&lt;=$B$173),B655*C655/12,IF(AND(255=$B$173+1,AND(255&gt;$B$173,$B$78="Refinance",ISNUMBER($B$80),$B$80&gt;=0,$B$80&lt;=1,ROUND($B$81*12,0)&gt;=1,$B$81&lt;=100,SUM($B$82)&gt;=0,SUM($B$82)&lt;=1,SUM($B$83)&gt;=0)),IF(B655=0,0,IF(C655=0,B655/ROUND($B$81*12,0),B655*(C655/12)/(1-(1+C655/12)^(-ROUND($B$81*12,0))))),IF(AND(NOT(AND(255&gt;$B$173,$B$78="Refinance",ISNUMBER($B$80),$B$80&gt;=0,$B$80&lt;=1,ROUND($B$81*12,0)&gt;=1,$B$81&lt;=100,SUM($B$82)&gt;=0,SUM($B$82)&lt;=1,SUM($B$83)&gt;=0)),OR(255=1,255=$B$174+1,AND($B$175&gt;0,255=$B$175+1))),IF(AND($B$170=1,$B$66&gt;0,OR($B$175=0,255&lt;=$B$175)),$B$66,IF($B$172-MAX(255-1,$B$174)&gt;0,IF(B655=0,0,IF(C655=0,B655/($B$172-MAX(255-1,$B$174)),B655*(C655/12)/(1-(1+C655/12)^(-($B$172-MAX(255-1,$B$174)))))),"")),D654)))+0.0000001&gt;=B655*C655/12,MIN(B655*(1+C655/12),IF(AND(255&lt;=$B$174,255&lt;=$B$173),B655*C655/12,IF(AND(255=$B$173+1,AND(255&gt;$B$173,$B$78="Refinance",ISNUMBER($B$80),$B$80&gt;=0,$B$80&lt;=1,ROUND($B$81*12,0)&gt;=1,$B$81&lt;=100,SUM($B$82)&gt;=0,SUM($B$82)&lt;=1,SUM($B$83)&gt;=0)),IF(B655=0,0,IF(C655=0,B655/ROUND($B$81*12,0),B655*(C655/12)/(1-(1+C655/12)^(-ROUND($B$81*12,0))))),IF(AND(NOT(AND(255&gt;$B$173,$B$78="Refinance",ISNUMBER($B$80),$B$80&gt;=0,$B$80&lt;=1,ROUND($B$81*12,0)&gt;=1,$B$81&lt;=100,SUM($B$82)&gt;=0,SUM($B$82)&lt;=1,SUM($B$83)&gt;=0)),OR(255=1,255=$B$174+1,AND($B$175&gt;0,255=$B$175+1))),IF(AND($B$170=1,$B$66&gt;0,OR($B$175=0,255&lt;=$B$175)),$B$66,IF($B$172-MAX(255-1,$B$174)&gt;0,IF(B655=0,0,IF(C655=0,B655/($B$172-MAX(255-1,$B$174)),B655*(C655/12)/(1-(1+C655/12)^(-($B$172-MAX(255-1,$B$174)))))),"")),D654)))),""),""))</x:f>
        <x:v>4679.450723240598</x:v>
      </x:c>
      <x:c r="E655" s="440" t="n">
        <x:f>IF(AND(255=$B$173,ISNUMBER(D655)),IF(MAX(0,B655*(1+C655/12)-D655)&lt;MAX(0.0000001,$E$17*0.00000000001),0,MAX(0,B655*(1+C655/12)-D655)),0)</x:f>
        <x:v>0</x:v>
      </x:c>
      <x:c r="F655" s="440" t="n">
        <x:f>IF($B$78="Cash payoff",E655,0)</x:f>
        <x:v>0</x:v>
      </x:c>
      <x:c r="G655" s="440" t="n">
        <x:f>IF(AND(E655&gt;0,AND($B$78="Refinance",ISNUMBER($B$80),$B$80&gt;=0,$B$80&lt;=1,ROUND($B$81*12,0)&gt;=1,$B$81&lt;=100,SUM($B$82)&gt;=0,SUM($B$82)&lt;=1,SUM($B$83)&gt;=0)),E655*SUM($B$82)+SUM($B$83),0)</x:f>
        <x:v>0</x:v>
      </x:c>
      <x:c r="H655" s="440" t="n">
        <x:f>IF(ISNUMBER(D655),IF(MAX(0,B655*(1+C655/12)-D655-F655)&lt;MAX(0.0000001,$E$17*0.00000000001),0,MAX(0,B655*(1+C655/12)-D655-F655)),IF(AND($B$171=1,I654=1),B655,""))</x:f>
        <x:v>377730.442404109</x:v>
      </x:c>
      <x:c r="I655" s="444" t="n">
        <x:f>IF(OR(I654=1,AND(E655&gt;0,$B$78&lt;&gt;"Cash payoff",NOT(AND($B$78="Refinance",ISNUMBER($B$80),$B$80&gt;=0,$B$80&lt;=1,ROUND($B$81*12,0)&gt;=1,$B$81&lt;=100,SUM($B$82)&gt;=0,SUM($B$82)&lt;=1,SUM($B$83)&gt;=0))),AND(ISNUMBER(B655),B655&gt;0,$B$171=1,NOT(ISNUMBER(D655)))),1,0)</x:f>
        <x:v>0</x:v>
      </x:c>
      <x:c r="J655" s="440" t="n">
        <x:f>IF(ISNUMBER(L654),L654,"")</x:f>
        <x:v>0</x:v>
      </x:c>
      <x:c r="K655" s="440" t="n">
        <x:f>IF(AND(ISNUMBER(J655),J655=0),0,IF(AND($B$176=1,ISNUMBER(J655)),MIN(J655*(1+$B$87/12),IF($B$86=0,0,IF($B$87=0,$B$86/ROUND($B$88*12,0),$B$86*($B$87/12)/(1-(1+$B$87/12)^(-ROUND($B$88*12,0)))))),""))</x:f>
        <x:v>0</x:v>
      </x:c>
      <x:c r="L655" s="440" t="n">
        <x:f>IF(ISNUMBER(K655),IF(MAX(0,J655*(1+SUM($B$87)/12)-K655)&lt;MAX(0.0000001,$B$86*0.00000000001),0,MAX(0,J655*(1+SUM($B$87)/12)-K655)),"")</x:f>
        <x:v>0</x:v>
      </x:c>
      <x:c r="M655" s="440" t="n">
        <x:f>IF(AND(ISNUMBER(D655),ISNUMBER(K655)),D655+K655,"")</x:f>
        <x:v>4679.450723240598</x:v>
      </x:c>
      <x:c r="N655" s="440" t="n">
        <x:f>IF(AND(ISNUMBER(H655),ISNUMBER(L655)),H655+L655,"")</x:f>
        <x:v>377730.442404109</x:v>
      </x:c>
    </x:row>
    <x:row r="656" ht="22" customHeight="1">
      <x:c r="A656" s="254" t="n">
        <x:f>256</x:f>
        <x:v>256</x:v>
      </x:c>
      <x:c r="B656" s="440" t="n">
        <x:f>IF(ISNUMBER(H655),H655,"")</x:f>
        <x:v>377730.442404109</x:v>
      </x:c>
      <x:c r="C656" s="442" t="n">
        <x:f>IF(ISNUMBER(B656),IF(AND(256&gt;$B$173,$B$78="Refinance",ISNUMBER($B$80),$B$80&gt;=0,$B$80&lt;=1,ROUND($B$81*12,0)&gt;=1,$B$81&lt;=100,SUM($B$82)&gt;=0,SUM($B$82)&lt;=1,SUM($B$83)&gt;=0),$B$80,IF(AND($B$175&gt;0,256&gt;$B$175,ISNUMBER($B$75)),$B$75,$B$61)),"")</x:f>
        <x:v>0.0625</x:v>
      </x:c>
      <x:c r="D656" s="440" t="n">
        <x:f>IF(AND(ISNUMBER(B656),B656=0),0,IF(AND($B$171=1,I655=0,ISNUMBER(C656),ISNUMBER(IF(AND(256&lt;=$B$174,256&lt;=$B$173),B656*C656/12,IF(AND(256=$B$173+1,AND(256&gt;$B$173,$B$78="Refinance",ISNUMBER($B$80),$B$80&gt;=0,$B$80&lt;=1,ROUND($B$81*12,0)&gt;=1,$B$81&lt;=100,SUM($B$82)&gt;=0,SUM($B$82)&lt;=1,SUM($B$83)&gt;=0)),IF(B656=0,0,IF(C656=0,B656/ROUND($B$81*12,0),B656*(C656/12)/(1-(1+C656/12)^(-ROUND($B$81*12,0))))),IF(AND(NOT(AND(256&gt;$B$173,$B$78="Refinance",ISNUMBER($B$80),$B$80&gt;=0,$B$80&lt;=1,ROUND($B$81*12,0)&gt;=1,$B$81&lt;=100,SUM($B$82)&gt;=0,SUM($B$82)&lt;=1,SUM($B$83)&gt;=0)),OR(256=1,256=$B$174+1,AND($B$175&gt;0,256=$B$175+1))),IF(AND($B$170=1,$B$66&gt;0,OR($B$175=0,256&lt;=$B$175)),$B$66,IF($B$172-MAX(256-1,$B$174)&gt;0,IF(B656=0,0,IF(C656=0,B656/($B$172-MAX(256-1,$B$174)),B656*(C656/12)/(1-(1+C656/12)^(-($B$172-MAX(256-1,$B$174)))))),"")),D655))))),IF(IF(AND(256&lt;=$B$174,256&lt;=$B$173),B656*C656/12,IF(AND(256=$B$173+1,AND(256&gt;$B$173,$B$78="Refinance",ISNUMBER($B$80),$B$80&gt;=0,$B$80&lt;=1,ROUND($B$81*12,0)&gt;=1,$B$81&lt;=100,SUM($B$82)&gt;=0,SUM($B$82)&lt;=1,SUM($B$83)&gt;=0)),IF(B656=0,0,IF(C656=0,B656/ROUND($B$81*12,0),B656*(C656/12)/(1-(1+C656/12)^(-ROUND($B$81*12,0))))),IF(AND(NOT(AND(256&gt;$B$173,$B$78="Refinance",ISNUMBER($B$80),$B$80&gt;=0,$B$80&lt;=1,ROUND($B$81*12,0)&gt;=1,$B$81&lt;=100,SUM($B$82)&gt;=0,SUM($B$82)&lt;=1,SUM($B$83)&gt;=0)),OR(256=1,256=$B$174+1,AND($B$175&gt;0,256=$B$175+1))),IF(AND($B$170=1,$B$66&gt;0,OR($B$175=0,256&lt;=$B$175)),$B$66,IF($B$172-MAX(256-1,$B$174)&gt;0,IF(B656=0,0,IF(C656=0,B656/($B$172-MAX(256-1,$B$174)),B656*(C656/12)/(1-(1+C656/12)^(-($B$172-MAX(256-1,$B$174)))))),"")),D655)))+0.0000001&gt;=B656*C656/12,MIN(B656*(1+C656/12),IF(AND(256&lt;=$B$174,256&lt;=$B$173),B656*C656/12,IF(AND(256=$B$173+1,AND(256&gt;$B$173,$B$78="Refinance",ISNUMBER($B$80),$B$80&gt;=0,$B$80&lt;=1,ROUND($B$81*12,0)&gt;=1,$B$81&lt;=100,SUM($B$82)&gt;=0,SUM($B$82)&lt;=1,SUM($B$83)&gt;=0)),IF(B656=0,0,IF(C656=0,B656/ROUND($B$81*12,0),B656*(C656/12)/(1-(1+C656/12)^(-ROUND($B$81*12,0))))),IF(AND(NOT(AND(256&gt;$B$173,$B$78="Refinance",ISNUMBER($B$80),$B$80&gt;=0,$B$80&lt;=1,ROUND($B$81*12,0)&gt;=1,$B$81&lt;=100,SUM($B$82)&gt;=0,SUM($B$82)&lt;=1,SUM($B$83)&gt;=0)),OR(256=1,256=$B$174+1,AND($B$175&gt;0,256=$B$175+1))),IF(AND($B$170=1,$B$66&gt;0,OR($B$175=0,256&lt;=$B$175)),$B$66,IF($B$172-MAX(256-1,$B$174)&gt;0,IF(B656=0,0,IF(C656=0,B656/($B$172-MAX(256-1,$B$174)),B656*(C656/12)/(1-(1+C656/12)^(-($B$172-MAX(256-1,$B$174)))))),"")),D655)))),""),""))</x:f>
        <x:v>4679.450723240598</x:v>
      </x:c>
      <x:c r="E656" s="440" t="n">
        <x:f>IF(AND(256=$B$173,ISNUMBER(D656)),IF(MAX(0,B656*(1+C656/12)-D656)&lt;MAX(0.0000001,$E$17*0.00000000001),0,MAX(0,B656*(1+C656/12)-D656)),0)</x:f>
        <x:v>0</x:v>
      </x:c>
      <x:c r="F656" s="440" t="n">
        <x:f>IF($B$78="Cash payoff",E656,0)</x:f>
        <x:v>0</x:v>
      </x:c>
      <x:c r="G656" s="440" t="n">
        <x:f>IF(AND(E656&gt;0,AND($B$78="Refinance",ISNUMBER($B$80),$B$80&gt;=0,$B$80&lt;=1,ROUND($B$81*12,0)&gt;=1,$B$81&lt;=100,SUM($B$82)&gt;=0,SUM($B$82)&lt;=1,SUM($B$83)&gt;=0)),E656*SUM($B$82)+SUM($B$83),0)</x:f>
        <x:v>0</x:v>
      </x:c>
      <x:c r="H656" s="440" t="n">
        <x:f>IF(ISNUMBER(D656),IF(MAX(0,B656*(1+C656/12)-D656-F656)&lt;MAX(0.0000001,$E$17*0.00000000001),0,MAX(0,B656*(1+C656/12)-D656-F656)),IF(AND($B$171=1,I655=1),B656,""))</x:f>
        <x:v>375018.3377350564</x:v>
      </x:c>
      <x:c r="I656" s="444" t="n">
        <x:f>IF(OR(I655=1,AND(E656&gt;0,$B$78&lt;&gt;"Cash payoff",NOT(AND($B$78="Refinance",ISNUMBER($B$80),$B$80&gt;=0,$B$80&lt;=1,ROUND($B$81*12,0)&gt;=1,$B$81&lt;=100,SUM($B$82)&gt;=0,SUM($B$82)&lt;=1,SUM($B$83)&gt;=0))),AND(ISNUMBER(B656),B656&gt;0,$B$171=1,NOT(ISNUMBER(D656)))),1,0)</x:f>
        <x:v>0</x:v>
      </x:c>
      <x:c r="J656" s="440" t="n">
        <x:f>IF(ISNUMBER(L655),L655,"")</x:f>
        <x:v>0</x:v>
      </x:c>
      <x:c r="K656" s="440" t="n">
        <x:f>IF(AND(ISNUMBER(J656),J656=0),0,IF(AND($B$176=1,ISNUMBER(J656)),MIN(J656*(1+$B$87/12),IF($B$86=0,0,IF($B$87=0,$B$86/ROUND($B$88*12,0),$B$86*($B$87/12)/(1-(1+$B$87/12)^(-ROUND($B$88*12,0)))))),""))</x:f>
        <x:v>0</x:v>
      </x:c>
      <x:c r="L656" s="440" t="n">
        <x:f>IF(ISNUMBER(K656),IF(MAX(0,J656*(1+SUM($B$87)/12)-K656)&lt;MAX(0.0000001,$B$86*0.00000000001),0,MAX(0,J656*(1+SUM($B$87)/12)-K656)),"")</x:f>
        <x:v>0</x:v>
      </x:c>
      <x:c r="M656" s="440" t="n">
        <x:f>IF(AND(ISNUMBER(D656),ISNUMBER(K656)),D656+K656,"")</x:f>
        <x:v>4679.450723240598</x:v>
      </x:c>
      <x:c r="N656" s="440" t="n">
        <x:f>IF(AND(ISNUMBER(H656),ISNUMBER(L656)),H656+L656,"")</x:f>
        <x:v>375018.3377350564</x:v>
      </x:c>
    </x:row>
    <x:row r="657" ht="22" customHeight="1">
      <x:c r="A657" s="254" t="n">
        <x:f>257</x:f>
        <x:v>257</x:v>
      </x:c>
      <x:c r="B657" s="440" t="n">
        <x:f>IF(ISNUMBER(H656),H656,"")</x:f>
        <x:v>375018.3377350564</x:v>
      </x:c>
      <x:c r="C657" s="442" t="n">
        <x:f>IF(ISNUMBER(B657),IF(AND(257&gt;$B$173,$B$78="Refinance",ISNUMBER($B$80),$B$80&gt;=0,$B$80&lt;=1,ROUND($B$81*12,0)&gt;=1,$B$81&lt;=100,SUM($B$82)&gt;=0,SUM($B$82)&lt;=1,SUM($B$83)&gt;=0),$B$80,IF(AND($B$175&gt;0,257&gt;$B$175,ISNUMBER($B$75)),$B$75,$B$61)),"")</x:f>
        <x:v>0.0625</x:v>
      </x:c>
      <x:c r="D657" s="440" t="n">
        <x:f>IF(AND(ISNUMBER(B657),B657=0),0,IF(AND($B$171=1,I656=0,ISNUMBER(C657),ISNUMBER(IF(AND(257&lt;=$B$174,257&lt;=$B$173),B657*C657/12,IF(AND(257=$B$173+1,AND(257&gt;$B$173,$B$78="Refinance",ISNUMBER($B$80),$B$80&gt;=0,$B$80&lt;=1,ROUND($B$81*12,0)&gt;=1,$B$81&lt;=100,SUM($B$82)&gt;=0,SUM($B$82)&lt;=1,SUM($B$83)&gt;=0)),IF(B657=0,0,IF(C657=0,B657/ROUND($B$81*12,0),B657*(C657/12)/(1-(1+C657/12)^(-ROUND($B$81*12,0))))),IF(AND(NOT(AND(257&gt;$B$173,$B$78="Refinance",ISNUMBER($B$80),$B$80&gt;=0,$B$80&lt;=1,ROUND($B$81*12,0)&gt;=1,$B$81&lt;=100,SUM($B$82)&gt;=0,SUM($B$82)&lt;=1,SUM($B$83)&gt;=0)),OR(257=1,257=$B$174+1,AND($B$175&gt;0,257=$B$175+1))),IF(AND($B$170=1,$B$66&gt;0,OR($B$175=0,257&lt;=$B$175)),$B$66,IF($B$172-MAX(257-1,$B$174)&gt;0,IF(B657=0,0,IF(C657=0,B657/($B$172-MAX(257-1,$B$174)),B657*(C657/12)/(1-(1+C657/12)^(-($B$172-MAX(257-1,$B$174)))))),"")),D656))))),IF(IF(AND(257&lt;=$B$174,257&lt;=$B$173),B657*C657/12,IF(AND(257=$B$173+1,AND(257&gt;$B$173,$B$78="Refinance",ISNUMBER($B$80),$B$80&gt;=0,$B$80&lt;=1,ROUND($B$81*12,0)&gt;=1,$B$81&lt;=100,SUM($B$82)&gt;=0,SUM($B$82)&lt;=1,SUM($B$83)&gt;=0)),IF(B657=0,0,IF(C657=0,B657/ROUND($B$81*12,0),B657*(C657/12)/(1-(1+C657/12)^(-ROUND($B$81*12,0))))),IF(AND(NOT(AND(257&gt;$B$173,$B$78="Refinance",ISNUMBER($B$80),$B$80&gt;=0,$B$80&lt;=1,ROUND($B$81*12,0)&gt;=1,$B$81&lt;=100,SUM($B$82)&gt;=0,SUM($B$82)&lt;=1,SUM($B$83)&gt;=0)),OR(257=1,257=$B$174+1,AND($B$175&gt;0,257=$B$175+1))),IF(AND($B$170=1,$B$66&gt;0,OR($B$175=0,257&lt;=$B$175)),$B$66,IF($B$172-MAX(257-1,$B$174)&gt;0,IF(B657=0,0,IF(C657=0,B657/($B$172-MAX(257-1,$B$174)),B657*(C657/12)/(1-(1+C657/12)^(-($B$172-MAX(257-1,$B$174)))))),"")),D656)))+0.0000001&gt;=B657*C657/12,MIN(B657*(1+C657/12),IF(AND(257&lt;=$B$174,257&lt;=$B$173),B657*C657/12,IF(AND(257=$B$173+1,AND(257&gt;$B$173,$B$78="Refinance",ISNUMBER($B$80),$B$80&gt;=0,$B$80&lt;=1,ROUND($B$81*12,0)&gt;=1,$B$81&lt;=100,SUM($B$82)&gt;=0,SUM($B$82)&lt;=1,SUM($B$83)&gt;=0)),IF(B657=0,0,IF(C657=0,B657/ROUND($B$81*12,0),B657*(C657/12)/(1-(1+C657/12)^(-ROUND($B$81*12,0))))),IF(AND(NOT(AND(257&gt;$B$173,$B$78="Refinance",ISNUMBER($B$80),$B$80&gt;=0,$B$80&lt;=1,ROUND($B$81*12,0)&gt;=1,$B$81&lt;=100,SUM($B$82)&gt;=0,SUM($B$82)&lt;=1,SUM($B$83)&gt;=0)),OR(257=1,257=$B$174+1,AND($B$175&gt;0,257=$B$175+1))),IF(AND($B$170=1,$B$66&gt;0,OR($B$175=0,257&lt;=$B$175)),$B$66,IF($B$172-MAX(257-1,$B$174)&gt;0,IF(B657=0,0,IF(C657=0,B657/($B$172-MAX(257-1,$B$174)),B657*(C657/12)/(1-(1+C657/12)^(-($B$172-MAX(257-1,$B$174)))))),"")),D656)))),""),""))</x:f>
        <x:v>4679.450723240598</x:v>
      </x:c>
      <x:c r="E657" s="440" t="n">
        <x:f>IF(AND(257=$B$173,ISNUMBER(D657)),IF(MAX(0,B657*(1+C657/12)-D657)&lt;MAX(0.0000001,$E$17*0.00000000001),0,MAX(0,B657*(1+C657/12)-D657)),0)</x:f>
        <x:v>0</x:v>
      </x:c>
      <x:c r="F657" s="440" t="n">
        <x:f>IF($B$78="Cash payoff",E657,0)</x:f>
        <x:v>0</x:v>
      </x:c>
      <x:c r="G657" s="440" t="n">
        <x:f>IF(AND(E657&gt;0,AND($B$78="Refinance",ISNUMBER($B$80),$B$80&gt;=0,$B$80&lt;=1,ROUND($B$81*12,0)&gt;=1,$B$81&lt;=100,SUM($B$82)&gt;=0,SUM($B$82)&lt;=1,SUM($B$83)&gt;=0)),E657*SUM($B$82)+SUM($B$83),0)</x:f>
        <x:v>0</x:v>
      </x:c>
      <x:c r="H657" s="440" t="n">
        <x:f>IF(ISNUMBER(D657),IF(MAX(0,B657*(1+C657/12)-D657-F657)&lt;MAX(0.0000001,$E$17*0.00000000001),0,MAX(0,B657*(1+C657/12)-D657-F657)),IF(AND($B$171=1,I656=1),B657,""))</x:f>
        <x:v>372292.1075208525</x:v>
      </x:c>
      <x:c r="I657" s="444" t="n">
        <x:f>IF(OR(I656=1,AND(E657&gt;0,$B$78&lt;&gt;"Cash payoff",NOT(AND($B$78="Refinance",ISNUMBER($B$80),$B$80&gt;=0,$B$80&lt;=1,ROUND($B$81*12,0)&gt;=1,$B$81&lt;=100,SUM($B$82)&gt;=0,SUM($B$82)&lt;=1,SUM($B$83)&gt;=0))),AND(ISNUMBER(B657),B657&gt;0,$B$171=1,NOT(ISNUMBER(D657)))),1,0)</x:f>
        <x:v>0</x:v>
      </x:c>
      <x:c r="J657" s="440" t="n">
        <x:f>IF(ISNUMBER(L656),L656,"")</x:f>
        <x:v>0</x:v>
      </x:c>
      <x:c r="K657" s="440" t="n">
        <x:f>IF(AND(ISNUMBER(J657),J657=0),0,IF(AND($B$176=1,ISNUMBER(J657)),MIN(J657*(1+$B$87/12),IF($B$86=0,0,IF($B$87=0,$B$86/ROUND($B$88*12,0),$B$86*($B$87/12)/(1-(1+$B$87/12)^(-ROUND($B$88*12,0)))))),""))</x:f>
        <x:v>0</x:v>
      </x:c>
      <x:c r="L657" s="440" t="n">
        <x:f>IF(ISNUMBER(K657),IF(MAX(0,J657*(1+SUM($B$87)/12)-K657)&lt;MAX(0.0000001,$B$86*0.00000000001),0,MAX(0,J657*(1+SUM($B$87)/12)-K657)),"")</x:f>
        <x:v>0</x:v>
      </x:c>
      <x:c r="M657" s="440" t="n">
        <x:f>IF(AND(ISNUMBER(D657),ISNUMBER(K657)),D657+K657,"")</x:f>
        <x:v>4679.450723240598</x:v>
      </x:c>
      <x:c r="N657" s="440" t="n">
        <x:f>IF(AND(ISNUMBER(H657),ISNUMBER(L657)),H657+L657,"")</x:f>
        <x:v>372292.1075208525</x:v>
      </x:c>
    </x:row>
    <x:row r="658" ht="22" customHeight="1">
      <x:c r="A658" s="254" t="n">
        <x:f>258</x:f>
        <x:v>258</x:v>
      </x:c>
      <x:c r="B658" s="440" t="n">
        <x:f>IF(ISNUMBER(H657),H657,"")</x:f>
        <x:v>372292.1075208525</x:v>
      </x:c>
      <x:c r="C658" s="442" t="n">
        <x:f>IF(ISNUMBER(B658),IF(AND(258&gt;$B$173,$B$78="Refinance",ISNUMBER($B$80),$B$80&gt;=0,$B$80&lt;=1,ROUND($B$81*12,0)&gt;=1,$B$81&lt;=100,SUM($B$82)&gt;=0,SUM($B$82)&lt;=1,SUM($B$83)&gt;=0),$B$80,IF(AND($B$175&gt;0,258&gt;$B$175,ISNUMBER($B$75)),$B$75,$B$61)),"")</x:f>
        <x:v>0.0625</x:v>
      </x:c>
      <x:c r="D658" s="440" t="n">
        <x:f>IF(AND(ISNUMBER(B658),B658=0),0,IF(AND($B$171=1,I657=0,ISNUMBER(C658),ISNUMBER(IF(AND(258&lt;=$B$174,258&lt;=$B$173),B658*C658/12,IF(AND(258=$B$173+1,AND(258&gt;$B$173,$B$78="Refinance",ISNUMBER($B$80),$B$80&gt;=0,$B$80&lt;=1,ROUND($B$81*12,0)&gt;=1,$B$81&lt;=100,SUM($B$82)&gt;=0,SUM($B$82)&lt;=1,SUM($B$83)&gt;=0)),IF(B658=0,0,IF(C658=0,B658/ROUND($B$81*12,0),B658*(C658/12)/(1-(1+C658/12)^(-ROUND($B$81*12,0))))),IF(AND(NOT(AND(258&gt;$B$173,$B$78="Refinance",ISNUMBER($B$80),$B$80&gt;=0,$B$80&lt;=1,ROUND($B$81*12,0)&gt;=1,$B$81&lt;=100,SUM($B$82)&gt;=0,SUM($B$82)&lt;=1,SUM($B$83)&gt;=0)),OR(258=1,258=$B$174+1,AND($B$175&gt;0,258=$B$175+1))),IF(AND($B$170=1,$B$66&gt;0,OR($B$175=0,258&lt;=$B$175)),$B$66,IF($B$172-MAX(258-1,$B$174)&gt;0,IF(B658=0,0,IF(C658=0,B658/($B$172-MAX(258-1,$B$174)),B658*(C658/12)/(1-(1+C658/12)^(-($B$172-MAX(258-1,$B$174)))))),"")),D657))))),IF(IF(AND(258&lt;=$B$174,258&lt;=$B$173),B658*C658/12,IF(AND(258=$B$173+1,AND(258&gt;$B$173,$B$78="Refinance",ISNUMBER($B$80),$B$80&gt;=0,$B$80&lt;=1,ROUND($B$81*12,0)&gt;=1,$B$81&lt;=100,SUM($B$82)&gt;=0,SUM($B$82)&lt;=1,SUM($B$83)&gt;=0)),IF(B658=0,0,IF(C658=0,B658/ROUND($B$81*12,0),B658*(C658/12)/(1-(1+C658/12)^(-ROUND($B$81*12,0))))),IF(AND(NOT(AND(258&gt;$B$173,$B$78="Refinance",ISNUMBER($B$80),$B$80&gt;=0,$B$80&lt;=1,ROUND($B$81*12,0)&gt;=1,$B$81&lt;=100,SUM($B$82)&gt;=0,SUM($B$82)&lt;=1,SUM($B$83)&gt;=0)),OR(258=1,258=$B$174+1,AND($B$175&gt;0,258=$B$175+1))),IF(AND($B$170=1,$B$66&gt;0,OR($B$175=0,258&lt;=$B$175)),$B$66,IF($B$172-MAX(258-1,$B$174)&gt;0,IF(B658=0,0,IF(C658=0,B658/($B$172-MAX(258-1,$B$174)),B658*(C658/12)/(1-(1+C658/12)^(-($B$172-MAX(258-1,$B$174)))))),"")),D657)))+0.0000001&gt;=B658*C658/12,MIN(B658*(1+C658/12),IF(AND(258&lt;=$B$174,258&lt;=$B$173),B658*C658/12,IF(AND(258=$B$173+1,AND(258&gt;$B$173,$B$78="Refinance",ISNUMBER($B$80),$B$80&gt;=0,$B$80&lt;=1,ROUND($B$81*12,0)&gt;=1,$B$81&lt;=100,SUM($B$82)&gt;=0,SUM($B$82)&lt;=1,SUM($B$83)&gt;=0)),IF(B658=0,0,IF(C658=0,B658/ROUND($B$81*12,0),B658*(C658/12)/(1-(1+C658/12)^(-ROUND($B$81*12,0))))),IF(AND(NOT(AND(258&gt;$B$173,$B$78="Refinance",ISNUMBER($B$80),$B$80&gt;=0,$B$80&lt;=1,ROUND($B$81*12,0)&gt;=1,$B$81&lt;=100,SUM($B$82)&gt;=0,SUM($B$82)&lt;=1,SUM($B$83)&gt;=0)),OR(258=1,258=$B$174+1,AND($B$175&gt;0,258=$B$175+1))),IF(AND($B$170=1,$B$66&gt;0,OR($B$175=0,258&lt;=$B$175)),$B$66,IF($B$172-MAX(258-1,$B$174)&gt;0,IF(B658=0,0,IF(C658=0,B658/($B$172-MAX(258-1,$B$174)),B658*(C658/12)/(1-(1+C658/12)^(-($B$172-MAX(258-1,$B$174)))))),"")),D657)))),""),""))</x:f>
        <x:v>4679.450723240598</x:v>
      </x:c>
      <x:c r="E658" s="440" t="n">
        <x:f>IF(AND(258=$B$173,ISNUMBER(D658)),IF(MAX(0,B658*(1+C658/12)-D658)&lt;MAX(0.0000001,$E$17*0.00000000001),0,MAX(0,B658*(1+C658/12)-D658)),0)</x:f>
        <x:v>0</x:v>
      </x:c>
      <x:c r="F658" s="440" t="n">
        <x:f>IF($B$78="Cash payoff",E658,0)</x:f>
        <x:v>0</x:v>
      </x:c>
      <x:c r="G658" s="440" t="n">
        <x:f>IF(AND(E658&gt;0,AND($B$78="Refinance",ISNUMBER($B$80),$B$80&gt;=0,$B$80&lt;=1,ROUND($B$81*12,0)&gt;=1,$B$81&lt;=100,SUM($B$82)&gt;=0,SUM($B$82)&lt;=1,SUM($B$83)&gt;=0)),E658*SUM($B$82)+SUM($B$83),0)</x:f>
        <x:v>0</x:v>
      </x:c>
      <x:c r="H658" s="440" t="n">
        <x:f>IF(ISNUMBER(D658),IF(MAX(0,B658*(1+C658/12)-D658-F658)&lt;MAX(0.0000001,$E$17*0.00000000001),0,MAX(0,B658*(1+C658/12)-D658-F658)),IF(AND($B$171=1,I657=1),B658,""))</x:f>
        <x:v>369551.67819094966</x:v>
      </x:c>
      <x:c r="I658" s="444" t="n">
        <x:f>IF(OR(I657=1,AND(E658&gt;0,$B$78&lt;&gt;"Cash payoff",NOT(AND($B$78="Refinance",ISNUMBER($B$80),$B$80&gt;=0,$B$80&lt;=1,ROUND($B$81*12,0)&gt;=1,$B$81&lt;=100,SUM($B$82)&gt;=0,SUM($B$82)&lt;=1,SUM($B$83)&gt;=0))),AND(ISNUMBER(B658),B658&gt;0,$B$171=1,NOT(ISNUMBER(D658)))),1,0)</x:f>
        <x:v>0</x:v>
      </x:c>
      <x:c r="J658" s="440" t="n">
        <x:f>IF(ISNUMBER(L657),L657,"")</x:f>
        <x:v>0</x:v>
      </x:c>
      <x:c r="K658" s="440" t="n">
        <x:f>IF(AND(ISNUMBER(J658),J658=0),0,IF(AND($B$176=1,ISNUMBER(J658)),MIN(J658*(1+$B$87/12),IF($B$86=0,0,IF($B$87=0,$B$86/ROUND($B$88*12,0),$B$86*($B$87/12)/(1-(1+$B$87/12)^(-ROUND($B$88*12,0)))))),""))</x:f>
        <x:v>0</x:v>
      </x:c>
      <x:c r="L658" s="440" t="n">
        <x:f>IF(ISNUMBER(K658),IF(MAX(0,J658*(1+SUM($B$87)/12)-K658)&lt;MAX(0.0000001,$B$86*0.00000000001),0,MAX(0,J658*(1+SUM($B$87)/12)-K658)),"")</x:f>
        <x:v>0</x:v>
      </x:c>
      <x:c r="M658" s="440" t="n">
        <x:f>IF(AND(ISNUMBER(D658),ISNUMBER(K658)),D658+K658,"")</x:f>
        <x:v>4679.450723240598</x:v>
      </x:c>
      <x:c r="N658" s="440" t="n">
        <x:f>IF(AND(ISNUMBER(H658),ISNUMBER(L658)),H658+L658,"")</x:f>
        <x:v>369551.67819094966</x:v>
      </x:c>
    </x:row>
    <x:row r="659" ht="22" customHeight="1">
      <x:c r="A659" s="254" t="n">
        <x:f>259</x:f>
        <x:v>259</x:v>
      </x:c>
      <x:c r="B659" s="440" t="n">
        <x:f>IF(ISNUMBER(H658),H658,"")</x:f>
        <x:v>369551.67819094966</x:v>
      </x:c>
      <x:c r="C659" s="442" t="n">
        <x:f>IF(ISNUMBER(B659),IF(AND(259&gt;$B$173,$B$78="Refinance",ISNUMBER($B$80),$B$80&gt;=0,$B$80&lt;=1,ROUND($B$81*12,0)&gt;=1,$B$81&lt;=100,SUM($B$82)&gt;=0,SUM($B$82)&lt;=1,SUM($B$83)&gt;=0),$B$80,IF(AND($B$175&gt;0,259&gt;$B$175,ISNUMBER($B$75)),$B$75,$B$61)),"")</x:f>
        <x:v>0.0625</x:v>
      </x:c>
      <x:c r="D659" s="440" t="n">
        <x:f>IF(AND(ISNUMBER(B659),B659=0),0,IF(AND($B$171=1,I658=0,ISNUMBER(C659),ISNUMBER(IF(AND(259&lt;=$B$174,259&lt;=$B$173),B659*C659/12,IF(AND(259=$B$173+1,AND(259&gt;$B$173,$B$78="Refinance",ISNUMBER($B$80),$B$80&gt;=0,$B$80&lt;=1,ROUND($B$81*12,0)&gt;=1,$B$81&lt;=100,SUM($B$82)&gt;=0,SUM($B$82)&lt;=1,SUM($B$83)&gt;=0)),IF(B659=0,0,IF(C659=0,B659/ROUND($B$81*12,0),B659*(C659/12)/(1-(1+C659/12)^(-ROUND($B$81*12,0))))),IF(AND(NOT(AND(259&gt;$B$173,$B$78="Refinance",ISNUMBER($B$80),$B$80&gt;=0,$B$80&lt;=1,ROUND($B$81*12,0)&gt;=1,$B$81&lt;=100,SUM($B$82)&gt;=0,SUM($B$82)&lt;=1,SUM($B$83)&gt;=0)),OR(259=1,259=$B$174+1,AND($B$175&gt;0,259=$B$175+1))),IF(AND($B$170=1,$B$66&gt;0,OR($B$175=0,259&lt;=$B$175)),$B$66,IF($B$172-MAX(259-1,$B$174)&gt;0,IF(B659=0,0,IF(C659=0,B659/($B$172-MAX(259-1,$B$174)),B659*(C659/12)/(1-(1+C659/12)^(-($B$172-MAX(259-1,$B$174)))))),"")),D658))))),IF(IF(AND(259&lt;=$B$174,259&lt;=$B$173),B659*C659/12,IF(AND(259=$B$173+1,AND(259&gt;$B$173,$B$78="Refinance",ISNUMBER($B$80),$B$80&gt;=0,$B$80&lt;=1,ROUND($B$81*12,0)&gt;=1,$B$81&lt;=100,SUM($B$82)&gt;=0,SUM($B$82)&lt;=1,SUM($B$83)&gt;=0)),IF(B659=0,0,IF(C659=0,B659/ROUND($B$81*12,0),B659*(C659/12)/(1-(1+C659/12)^(-ROUND($B$81*12,0))))),IF(AND(NOT(AND(259&gt;$B$173,$B$78="Refinance",ISNUMBER($B$80),$B$80&gt;=0,$B$80&lt;=1,ROUND($B$81*12,0)&gt;=1,$B$81&lt;=100,SUM($B$82)&gt;=0,SUM($B$82)&lt;=1,SUM($B$83)&gt;=0)),OR(259=1,259=$B$174+1,AND($B$175&gt;0,259=$B$175+1))),IF(AND($B$170=1,$B$66&gt;0,OR($B$175=0,259&lt;=$B$175)),$B$66,IF($B$172-MAX(259-1,$B$174)&gt;0,IF(B659=0,0,IF(C659=0,B659/($B$172-MAX(259-1,$B$174)),B659*(C659/12)/(1-(1+C659/12)^(-($B$172-MAX(259-1,$B$174)))))),"")),D658)))+0.0000001&gt;=B659*C659/12,MIN(B659*(1+C659/12),IF(AND(259&lt;=$B$174,259&lt;=$B$173),B659*C659/12,IF(AND(259=$B$173+1,AND(259&gt;$B$173,$B$78="Refinance",ISNUMBER($B$80),$B$80&gt;=0,$B$80&lt;=1,ROUND($B$81*12,0)&gt;=1,$B$81&lt;=100,SUM($B$82)&gt;=0,SUM($B$82)&lt;=1,SUM($B$83)&gt;=0)),IF(B659=0,0,IF(C659=0,B659/ROUND($B$81*12,0),B659*(C659/12)/(1-(1+C659/12)^(-ROUND($B$81*12,0))))),IF(AND(NOT(AND(259&gt;$B$173,$B$78="Refinance",ISNUMBER($B$80),$B$80&gt;=0,$B$80&lt;=1,ROUND($B$81*12,0)&gt;=1,$B$81&lt;=100,SUM($B$82)&gt;=0,SUM($B$82)&lt;=1,SUM($B$83)&gt;=0)),OR(259=1,259=$B$174+1,AND($B$175&gt;0,259=$B$175+1))),IF(AND($B$170=1,$B$66&gt;0,OR($B$175=0,259&lt;=$B$175)),$B$66,IF($B$172-MAX(259-1,$B$174)&gt;0,IF(B659=0,0,IF(C659=0,B659/($B$172-MAX(259-1,$B$174)),B659*(C659/12)/(1-(1+C659/12)^(-($B$172-MAX(259-1,$B$174)))))),"")),D658)))),""),""))</x:f>
        <x:v>4679.450723240598</x:v>
      </x:c>
      <x:c r="E659" s="440" t="n">
        <x:f>IF(AND(259=$B$173,ISNUMBER(D659)),IF(MAX(0,B659*(1+C659/12)-D659)&lt;MAX(0.0000001,$E$17*0.00000000001),0,MAX(0,B659*(1+C659/12)-D659)),0)</x:f>
        <x:v>0</x:v>
      </x:c>
      <x:c r="F659" s="440" t="n">
        <x:f>IF($B$78="Cash payoff",E659,0)</x:f>
        <x:v>0</x:v>
      </x:c>
      <x:c r="G659" s="440" t="n">
        <x:f>IF(AND(E659&gt;0,AND($B$78="Refinance",ISNUMBER($B$80),$B$80&gt;=0,$B$80&lt;=1,ROUND($B$81*12,0)&gt;=1,$B$81&lt;=100,SUM($B$82)&gt;=0,SUM($B$82)&lt;=1,SUM($B$83)&gt;=0)),E659*SUM($B$82)+SUM($B$83),0)</x:f>
        <x:v>0</x:v>
      </x:c>
      <x:c r="H659" s="440" t="n">
        <x:f>IF(ISNUMBER(D659),IF(MAX(0,B659*(1+C659/12)-D659-F659)&lt;MAX(0.0000001,$E$17*0.00000000001),0,MAX(0,B659*(1+C659/12)-D659-F659)),IF(AND($B$171=1,I658=1),B659,""))</x:f>
        <x:v>366796.9757916202</x:v>
      </x:c>
      <x:c r="I659" s="444" t="n">
        <x:f>IF(OR(I658=1,AND(E659&gt;0,$B$78&lt;&gt;"Cash payoff",NOT(AND($B$78="Refinance",ISNUMBER($B$80),$B$80&gt;=0,$B$80&lt;=1,ROUND($B$81*12,0)&gt;=1,$B$81&lt;=100,SUM($B$82)&gt;=0,SUM($B$82)&lt;=1,SUM($B$83)&gt;=0))),AND(ISNUMBER(B659),B659&gt;0,$B$171=1,NOT(ISNUMBER(D659)))),1,0)</x:f>
        <x:v>0</x:v>
      </x:c>
      <x:c r="J659" s="440" t="n">
        <x:f>IF(ISNUMBER(L658),L658,"")</x:f>
        <x:v>0</x:v>
      </x:c>
      <x:c r="K659" s="440" t="n">
        <x:f>IF(AND(ISNUMBER(J659),J659=0),0,IF(AND($B$176=1,ISNUMBER(J659)),MIN(J659*(1+$B$87/12),IF($B$86=0,0,IF($B$87=0,$B$86/ROUND($B$88*12,0),$B$86*($B$87/12)/(1-(1+$B$87/12)^(-ROUND($B$88*12,0)))))),""))</x:f>
        <x:v>0</x:v>
      </x:c>
      <x:c r="L659" s="440" t="n">
        <x:f>IF(ISNUMBER(K659),IF(MAX(0,J659*(1+SUM($B$87)/12)-K659)&lt;MAX(0.0000001,$B$86*0.00000000001),0,MAX(0,J659*(1+SUM($B$87)/12)-K659)),"")</x:f>
        <x:v>0</x:v>
      </x:c>
      <x:c r="M659" s="440" t="n">
        <x:f>IF(AND(ISNUMBER(D659),ISNUMBER(K659)),D659+K659,"")</x:f>
        <x:v>4679.450723240598</x:v>
      </x:c>
      <x:c r="N659" s="440" t="n">
        <x:f>IF(AND(ISNUMBER(H659),ISNUMBER(L659)),H659+L659,"")</x:f>
        <x:v>366796.9757916202</x:v>
      </x:c>
    </x:row>
    <x:row r="660" ht="22" customHeight="1">
      <x:c r="A660" s="254" t="n">
        <x:f>260</x:f>
        <x:v>260</x:v>
      </x:c>
      <x:c r="B660" s="440" t="n">
        <x:f>IF(ISNUMBER(H659),H659,"")</x:f>
        <x:v>366796.9757916202</x:v>
      </x:c>
      <x:c r="C660" s="442" t="n">
        <x:f>IF(ISNUMBER(B660),IF(AND(260&gt;$B$173,$B$78="Refinance",ISNUMBER($B$80),$B$80&gt;=0,$B$80&lt;=1,ROUND($B$81*12,0)&gt;=1,$B$81&lt;=100,SUM($B$82)&gt;=0,SUM($B$82)&lt;=1,SUM($B$83)&gt;=0),$B$80,IF(AND($B$175&gt;0,260&gt;$B$175,ISNUMBER($B$75)),$B$75,$B$61)),"")</x:f>
        <x:v>0.0625</x:v>
      </x:c>
      <x:c r="D660" s="440" t="n">
        <x:f>IF(AND(ISNUMBER(B660),B660=0),0,IF(AND($B$171=1,I659=0,ISNUMBER(C660),ISNUMBER(IF(AND(260&lt;=$B$174,260&lt;=$B$173),B660*C660/12,IF(AND(260=$B$173+1,AND(260&gt;$B$173,$B$78="Refinance",ISNUMBER($B$80),$B$80&gt;=0,$B$80&lt;=1,ROUND($B$81*12,0)&gt;=1,$B$81&lt;=100,SUM($B$82)&gt;=0,SUM($B$82)&lt;=1,SUM($B$83)&gt;=0)),IF(B660=0,0,IF(C660=0,B660/ROUND($B$81*12,0),B660*(C660/12)/(1-(1+C660/12)^(-ROUND($B$81*12,0))))),IF(AND(NOT(AND(260&gt;$B$173,$B$78="Refinance",ISNUMBER($B$80),$B$80&gt;=0,$B$80&lt;=1,ROUND($B$81*12,0)&gt;=1,$B$81&lt;=100,SUM($B$82)&gt;=0,SUM($B$82)&lt;=1,SUM($B$83)&gt;=0)),OR(260=1,260=$B$174+1,AND($B$175&gt;0,260=$B$175+1))),IF(AND($B$170=1,$B$66&gt;0,OR($B$175=0,260&lt;=$B$175)),$B$66,IF($B$172-MAX(260-1,$B$174)&gt;0,IF(B660=0,0,IF(C660=0,B660/($B$172-MAX(260-1,$B$174)),B660*(C660/12)/(1-(1+C660/12)^(-($B$172-MAX(260-1,$B$174)))))),"")),D659))))),IF(IF(AND(260&lt;=$B$174,260&lt;=$B$173),B660*C660/12,IF(AND(260=$B$173+1,AND(260&gt;$B$173,$B$78="Refinance",ISNUMBER($B$80),$B$80&gt;=0,$B$80&lt;=1,ROUND($B$81*12,0)&gt;=1,$B$81&lt;=100,SUM($B$82)&gt;=0,SUM($B$82)&lt;=1,SUM($B$83)&gt;=0)),IF(B660=0,0,IF(C660=0,B660/ROUND($B$81*12,0),B660*(C660/12)/(1-(1+C660/12)^(-ROUND($B$81*12,0))))),IF(AND(NOT(AND(260&gt;$B$173,$B$78="Refinance",ISNUMBER($B$80),$B$80&gt;=0,$B$80&lt;=1,ROUND($B$81*12,0)&gt;=1,$B$81&lt;=100,SUM($B$82)&gt;=0,SUM($B$82)&lt;=1,SUM($B$83)&gt;=0)),OR(260=1,260=$B$174+1,AND($B$175&gt;0,260=$B$175+1))),IF(AND($B$170=1,$B$66&gt;0,OR($B$175=0,260&lt;=$B$175)),$B$66,IF($B$172-MAX(260-1,$B$174)&gt;0,IF(B660=0,0,IF(C660=0,B660/($B$172-MAX(260-1,$B$174)),B660*(C660/12)/(1-(1+C660/12)^(-($B$172-MAX(260-1,$B$174)))))),"")),D659)))+0.0000001&gt;=B660*C660/12,MIN(B660*(1+C660/12),IF(AND(260&lt;=$B$174,260&lt;=$B$173),B660*C660/12,IF(AND(260=$B$173+1,AND(260&gt;$B$173,$B$78="Refinance",ISNUMBER($B$80),$B$80&gt;=0,$B$80&lt;=1,ROUND($B$81*12,0)&gt;=1,$B$81&lt;=100,SUM($B$82)&gt;=0,SUM($B$82)&lt;=1,SUM($B$83)&gt;=0)),IF(B660=0,0,IF(C660=0,B660/ROUND($B$81*12,0),B660*(C660/12)/(1-(1+C660/12)^(-ROUND($B$81*12,0))))),IF(AND(NOT(AND(260&gt;$B$173,$B$78="Refinance",ISNUMBER($B$80),$B$80&gt;=0,$B$80&lt;=1,ROUND($B$81*12,0)&gt;=1,$B$81&lt;=100,SUM($B$82)&gt;=0,SUM($B$82)&lt;=1,SUM($B$83)&gt;=0)),OR(260=1,260=$B$174+1,AND($B$175&gt;0,260=$B$175+1))),IF(AND($B$170=1,$B$66&gt;0,OR($B$175=0,260&lt;=$B$175)),$B$66,IF($B$172-MAX(260-1,$B$174)&gt;0,IF(B660=0,0,IF(C660=0,B660/($B$172-MAX(260-1,$B$174)),B660*(C660/12)/(1-(1+C660/12)^(-($B$172-MAX(260-1,$B$174)))))),"")),D659)))),""),""))</x:f>
        <x:v>4679.450723240598</x:v>
      </x:c>
      <x:c r="E660" s="440" t="n">
        <x:f>IF(AND(260=$B$173,ISNUMBER(D660)),IF(MAX(0,B660*(1+C660/12)-D660)&lt;MAX(0.0000001,$E$17*0.00000000001),0,MAX(0,B660*(1+C660/12)-D660)),0)</x:f>
        <x:v>0</x:v>
      </x:c>
      <x:c r="F660" s="440" t="n">
        <x:f>IF($B$78="Cash payoff",E660,0)</x:f>
        <x:v>0</x:v>
      </x:c>
      <x:c r="G660" s="440" t="n">
        <x:f>IF(AND(E660&gt;0,AND($B$78="Refinance",ISNUMBER($B$80),$B$80&gt;=0,$B$80&lt;=1,ROUND($B$81*12,0)&gt;=1,$B$81&lt;=100,SUM($B$82)&gt;=0,SUM($B$82)&lt;=1,SUM($B$83)&gt;=0)),E660*SUM($B$82)+SUM($B$83),0)</x:f>
        <x:v>0</x:v>
      </x:c>
      <x:c r="H660" s="440" t="n">
        <x:f>IF(ISNUMBER(D660),IF(MAX(0,B660*(1+C660/12)-D660-F660)&lt;MAX(0.0000001,$E$17*0.00000000001),0,MAX(0,B660*(1+C660/12)-D660-F660)),IF(AND($B$171=1,I659=1),B660,""))</x:f>
        <x:v>364027.9259839609</x:v>
      </x:c>
      <x:c r="I660" s="444" t="n">
        <x:f>IF(OR(I659=1,AND(E660&gt;0,$B$78&lt;&gt;"Cash payoff",NOT(AND($B$78="Refinance",ISNUMBER($B$80),$B$80&gt;=0,$B$80&lt;=1,ROUND($B$81*12,0)&gt;=1,$B$81&lt;=100,SUM($B$82)&gt;=0,SUM($B$82)&lt;=1,SUM($B$83)&gt;=0))),AND(ISNUMBER(B660),B660&gt;0,$B$171=1,NOT(ISNUMBER(D660)))),1,0)</x:f>
        <x:v>0</x:v>
      </x:c>
      <x:c r="J660" s="440" t="n">
        <x:f>IF(ISNUMBER(L659),L659,"")</x:f>
        <x:v>0</x:v>
      </x:c>
      <x:c r="K660" s="440" t="n">
        <x:f>IF(AND(ISNUMBER(J660),J660=0),0,IF(AND($B$176=1,ISNUMBER(J660)),MIN(J660*(1+$B$87/12),IF($B$86=0,0,IF($B$87=0,$B$86/ROUND($B$88*12,0),$B$86*($B$87/12)/(1-(1+$B$87/12)^(-ROUND($B$88*12,0)))))),""))</x:f>
        <x:v>0</x:v>
      </x:c>
      <x:c r="L660" s="440" t="n">
        <x:f>IF(ISNUMBER(K660),IF(MAX(0,J660*(1+SUM($B$87)/12)-K660)&lt;MAX(0.0000001,$B$86*0.00000000001),0,MAX(0,J660*(1+SUM($B$87)/12)-K660)),"")</x:f>
        <x:v>0</x:v>
      </x:c>
      <x:c r="M660" s="440" t="n">
        <x:f>IF(AND(ISNUMBER(D660),ISNUMBER(K660)),D660+K660,"")</x:f>
        <x:v>4679.450723240598</x:v>
      </x:c>
      <x:c r="N660" s="440" t="n">
        <x:f>IF(AND(ISNUMBER(H660),ISNUMBER(L660)),H660+L660,"")</x:f>
        <x:v>364027.9259839609</x:v>
      </x:c>
    </x:row>
    <x:row r="661" ht="22" customHeight="1">
      <x:c r="A661" s="254" t="n">
        <x:f>261</x:f>
        <x:v>261</x:v>
      </x:c>
      <x:c r="B661" s="440" t="n">
        <x:f>IF(ISNUMBER(H660),H660,"")</x:f>
        <x:v>364027.9259839609</x:v>
      </x:c>
      <x:c r="C661" s="442" t="n">
        <x:f>IF(ISNUMBER(B661),IF(AND(261&gt;$B$173,$B$78="Refinance",ISNUMBER($B$80),$B$80&gt;=0,$B$80&lt;=1,ROUND($B$81*12,0)&gt;=1,$B$81&lt;=100,SUM($B$82)&gt;=0,SUM($B$82)&lt;=1,SUM($B$83)&gt;=0),$B$80,IF(AND($B$175&gt;0,261&gt;$B$175,ISNUMBER($B$75)),$B$75,$B$61)),"")</x:f>
        <x:v>0.0625</x:v>
      </x:c>
      <x:c r="D661" s="440" t="n">
        <x:f>IF(AND(ISNUMBER(B661),B661=0),0,IF(AND($B$171=1,I660=0,ISNUMBER(C661),ISNUMBER(IF(AND(261&lt;=$B$174,261&lt;=$B$173),B661*C661/12,IF(AND(261=$B$173+1,AND(261&gt;$B$173,$B$78="Refinance",ISNUMBER($B$80),$B$80&gt;=0,$B$80&lt;=1,ROUND($B$81*12,0)&gt;=1,$B$81&lt;=100,SUM($B$82)&gt;=0,SUM($B$82)&lt;=1,SUM($B$83)&gt;=0)),IF(B661=0,0,IF(C661=0,B661/ROUND($B$81*12,0),B661*(C661/12)/(1-(1+C661/12)^(-ROUND($B$81*12,0))))),IF(AND(NOT(AND(261&gt;$B$173,$B$78="Refinance",ISNUMBER($B$80),$B$80&gt;=0,$B$80&lt;=1,ROUND($B$81*12,0)&gt;=1,$B$81&lt;=100,SUM($B$82)&gt;=0,SUM($B$82)&lt;=1,SUM($B$83)&gt;=0)),OR(261=1,261=$B$174+1,AND($B$175&gt;0,261=$B$175+1))),IF(AND($B$170=1,$B$66&gt;0,OR($B$175=0,261&lt;=$B$175)),$B$66,IF($B$172-MAX(261-1,$B$174)&gt;0,IF(B661=0,0,IF(C661=0,B661/($B$172-MAX(261-1,$B$174)),B661*(C661/12)/(1-(1+C661/12)^(-($B$172-MAX(261-1,$B$174)))))),"")),D660))))),IF(IF(AND(261&lt;=$B$174,261&lt;=$B$173),B661*C661/12,IF(AND(261=$B$173+1,AND(261&gt;$B$173,$B$78="Refinance",ISNUMBER($B$80),$B$80&gt;=0,$B$80&lt;=1,ROUND($B$81*12,0)&gt;=1,$B$81&lt;=100,SUM($B$82)&gt;=0,SUM($B$82)&lt;=1,SUM($B$83)&gt;=0)),IF(B661=0,0,IF(C661=0,B661/ROUND($B$81*12,0),B661*(C661/12)/(1-(1+C661/12)^(-ROUND($B$81*12,0))))),IF(AND(NOT(AND(261&gt;$B$173,$B$78="Refinance",ISNUMBER($B$80),$B$80&gt;=0,$B$80&lt;=1,ROUND($B$81*12,0)&gt;=1,$B$81&lt;=100,SUM($B$82)&gt;=0,SUM($B$82)&lt;=1,SUM($B$83)&gt;=0)),OR(261=1,261=$B$174+1,AND($B$175&gt;0,261=$B$175+1))),IF(AND($B$170=1,$B$66&gt;0,OR($B$175=0,261&lt;=$B$175)),$B$66,IF($B$172-MAX(261-1,$B$174)&gt;0,IF(B661=0,0,IF(C661=0,B661/($B$172-MAX(261-1,$B$174)),B661*(C661/12)/(1-(1+C661/12)^(-($B$172-MAX(261-1,$B$174)))))),"")),D660)))+0.0000001&gt;=B661*C661/12,MIN(B661*(1+C661/12),IF(AND(261&lt;=$B$174,261&lt;=$B$173),B661*C661/12,IF(AND(261=$B$173+1,AND(261&gt;$B$173,$B$78="Refinance",ISNUMBER($B$80),$B$80&gt;=0,$B$80&lt;=1,ROUND($B$81*12,0)&gt;=1,$B$81&lt;=100,SUM($B$82)&gt;=0,SUM($B$82)&lt;=1,SUM($B$83)&gt;=0)),IF(B661=0,0,IF(C661=0,B661/ROUND($B$81*12,0),B661*(C661/12)/(1-(1+C661/12)^(-ROUND($B$81*12,0))))),IF(AND(NOT(AND(261&gt;$B$173,$B$78="Refinance",ISNUMBER($B$80),$B$80&gt;=0,$B$80&lt;=1,ROUND($B$81*12,0)&gt;=1,$B$81&lt;=100,SUM($B$82)&gt;=0,SUM($B$82)&lt;=1,SUM($B$83)&gt;=0)),OR(261=1,261=$B$174+1,AND($B$175&gt;0,261=$B$175+1))),IF(AND($B$170=1,$B$66&gt;0,OR($B$175=0,261&lt;=$B$175)),$B$66,IF($B$172-MAX(261-1,$B$174)&gt;0,IF(B661=0,0,IF(C661=0,B661/($B$172-MAX(261-1,$B$174)),B661*(C661/12)/(1-(1+C661/12)^(-($B$172-MAX(261-1,$B$174)))))),"")),D660)))),""),""))</x:f>
        <x:v>4679.450723240598</x:v>
      </x:c>
      <x:c r="E661" s="440" t="n">
        <x:f>IF(AND(261=$B$173,ISNUMBER(D661)),IF(MAX(0,B661*(1+C661/12)-D661)&lt;MAX(0.0000001,$E$17*0.00000000001),0,MAX(0,B661*(1+C661/12)-D661)),0)</x:f>
        <x:v>0</x:v>
      </x:c>
      <x:c r="F661" s="440" t="n">
        <x:f>IF($B$78="Cash payoff",E661,0)</x:f>
        <x:v>0</x:v>
      </x:c>
      <x:c r="G661" s="440" t="n">
        <x:f>IF(AND(E661&gt;0,AND($B$78="Refinance",ISNUMBER($B$80),$B$80&gt;=0,$B$80&lt;=1,ROUND($B$81*12,0)&gt;=1,$B$81&lt;=100,SUM($B$82)&gt;=0,SUM($B$82)&lt;=1,SUM($B$83)&gt;=0)),E661*SUM($B$82)+SUM($B$83),0)</x:f>
        <x:v>0</x:v>
      </x:c>
      <x:c r="H661" s="440" t="n">
        <x:f>IF(ISNUMBER(D661),IF(MAX(0,B661*(1+C661/12)-D661-F661)&lt;MAX(0.0000001,$E$17*0.00000000001),0,MAX(0,B661*(1+C661/12)-D661-F661)),IF(AND($B$171=1,I660=1),B661,""))</x:f>
        <x:v>361244.4540418867</x:v>
      </x:c>
      <x:c r="I661" s="444" t="n">
        <x:f>IF(OR(I660=1,AND(E661&gt;0,$B$78&lt;&gt;"Cash payoff",NOT(AND($B$78="Refinance",ISNUMBER($B$80),$B$80&gt;=0,$B$80&lt;=1,ROUND($B$81*12,0)&gt;=1,$B$81&lt;=100,SUM($B$82)&gt;=0,SUM($B$82)&lt;=1,SUM($B$83)&gt;=0))),AND(ISNUMBER(B661),B661&gt;0,$B$171=1,NOT(ISNUMBER(D661)))),1,0)</x:f>
        <x:v>0</x:v>
      </x:c>
      <x:c r="J661" s="440" t="n">
        <x:f>IF(ISNUMBER(L660),L660,"")</x:f>
        <x:v>0</x:v>
      </x:c>
      <x:c r="K661" s="440" t="n">
        <x:f>IF(AND(ISNUMBER(J661),J661=0),0,IF(AND($B$176=1,ISNUMBER(J661)),MIN(J661*(1+$B$87/12),IF($B$86=0,0,IF($B$87=0,$B$86/ROUND($B$88*12,0),$B$86*($B$87/12)/(1-(1+$B$87/12)^(-ROUND($B$88*12,0)))))),""))</x:f>
        <x:v>0</x:v>
      </x:c>
      <x:c r="L661" s="440" t="n">
        <x:f>IF(ISNUMBER(K661),IF(MAX(0,J661*(1+SUM($B$87)/12)-K661)&lt;MAX(0.0000001,$B$86*0.00000000001),0,MAX(0,J661*(1+SUM($B$87)/12)-K661)),"")</x:f>
        <x:v>0</x:v>
      </x:c>
      <x:c r="M661" s="440" t="n">
        <x:f>IF(AND(ISNUMBER(D661),ISNUMBER(K661)),D661+K661,"")</x:f>
        <x:v>4679.450723240598</x:v>
      </x:c>
      <x:c r="N661" s="440" t="n">
        <x:f>IF(AND(ISNUMBER(H661),ISNUMBER(L661)),H661+L661,"")</x:f>
        <x:v>361244.4540418867</x:v>
      </x:c>
    </x:row>
    <x:row r="662" ht="22" customHeight="1">
      <x:c r="A662" s="254" t="n">
        <x:f>262</x:f>
        <x:v>262</x:v>
      </x:c>
      <x:c r="B662" s="440" t="n">
        <x:f>IF(ISNUMBER(H661),H661,"")</x:f>
        <x:v>361244.4540418867</x:v>
      </x:c>
      <x:c r="C662" s="442" t="n">
        <x:f>IF(ISNUMBER(B662),IF(AND(262&gt;$B$173,$B$78="Refinance",ISNUMBER($B$80),$B$80&gt;=0,$B$80&lt;=1,ROUND($B$81*12,0)&gt;=1,$B$81&lt;=100,SUM($B$82)&gt;=0,SUM($B$82)&lt;=1,SUM($B$83)&gt;=0),$B$80,IF(AND($B$175&gt;0,262&gt;$B$175,ISNUMBER($B$75)),$B$75,$B$61)),"")</x:f>
        <x:v>0.0625</x:v>
      </x:c>
      <x:c r="D662" s="440" t="n">
        <x:f>IF(AND(ISNUMBER(B662),B662=0),0,IF(AND($B$171=1,I661=0,ISNUMBER(C662),ISNUMBER(IF(AND(262&lt;=$B$174,262&lt;=$B$173),B662*C662/12,IF(AND(262=$B$173+1,AND(262&gt;$B$173,$B$78="Refinance",ISNUMBER($B$80),$B$80&gt;=0,$B$80&lt;=1,ROUND($B$81*12,0)&gt;=1,$B$81&lt;=100,SUM($B$82)&gt;=0,SUM($B$82)&lt;=1,SUM($B$83)&gt;=0)),IF(B662=0,0,IF(C662=0,B662/ROUND($B$81*12,0),B662*(C662/12)/(1-(1+C662/12)^(-ROUND($B$81*12,0))))),IF(AND(NOT(AND(262&gt;$B$173,$B$78="Refinance",ISNUMBER($B$80),$B$80&gt;=0,$B$80&lt;=1,ROUND($B$81*12,0)&gt;=1,$B$81&lt;=100,SUM($B$82)&gt;=0,SUM($B$82)&lt;=1,SUM($B$83)&gt;=0)),OR(262=1,262=$B$174+1,AND($B$175&gt;0,262=$B$175+1))),IF(AND($B$170=1,$B$66&gt;0,OR($B$175=0,262&lt;=$B$175)),$B$66,IF($B$172-MAX(262-1,$B$174)&gt;0,IF(B662=0,0,IF(C662=0,B662/($B$172-MAX(262-1,$B$174)),B662*(C662/12)/(1-(1+C662/12)^(-($B$172-MAX(262-1,$B$174)))))),"")),D661))))),IF(IF(AND(262&lt;=$B$174,262&lt;=$B$173),B662*C662/12,IF(AND(262=$B$173+1,AND(262&gt;$B$173,$B$78="Refinance",ISNUMBER($B$80),$B$80&gt;=0,$B$80&lt;=1,ROUND($B$81*12,0)&gt;=1,$B$81&lt;=100,SUM($B$82)&gt;=0,SUM($B$82)&lt;=1,SUM($B$83)&gt;=0)),IF(B662=0,0,IF(C662=0,B662/ROUND($B$81*12,0),B662*(C662/12)/(1-(1+C662/12)^(-ROUND($B$81*12,0))))),IF(AND(NOT(AND(262&gt;$B$173,$B$78="Refinance",ISNUMBER($B$80),$B$80&gt;=0,$B$80&lt;=1,ROUND($B$81*12,0)&gt;=1,$B$81&lt;=100,SUM($B$82)&gt;=0,SUM($B$82)&lt;=1,SUM($B$83)&gt;=0)),OR(262=1,262=$B$174+1,AND($B$175&gt;0,262=$B$175+1))),IF(AND($B$170=1,$B$66&gt;0,OR($B$175=0,262&lt;=$B$175)),$B$66,IF($B$172-MAX(262-1,$B$174)&gt;0,IF(B662=0,0,IF(C662=0,B662/($B$172-MAX(262-1,$B$174)),B662*(C662/12)/(1-(1+C662/12)^(-($B$172-MAX(262-1,$B$174)))))),"")),D661)))+0.0000001&gt;=B662*C662/12,MIN(B662*(1+C662/12),IF(AND(262&lt;=$B$174,262&lt;=$B$173),B662*C662/12,IF(AND(262=$B$173+1,AND(262&gt;$B$173,$B$78="Refinance",ISNUMBER($B$80),$B$80&gt;=0,$B$80&lt;=1,ROUND($B$81*12,0)&gt;=1,$B$81&lt;=100,SUM($B$82)&gt;=0,SUM($B$82)&lt;=1,SUM($B$83)&gt;=0)),IF(B662=0,0,IF(C662=0,B662/ROUND($B$81*12,0),B662*(C662/12)/(1-(1+C662/12)^(-ROUND($B$81*12,0))))),IF(AND(NOT(AND(262&gt;$B$173,$B$78="Refinance",ISNUMBER($B$80),$B$80&gt;=0,$B$80&lt;=1,ROUND($B$81*12,0)&gt;=1,$B$81&lt;=100,SUM($B$82)&gt;=0,SUM($B$82)&lt;=1,SUM($B$83)&gt;=0)),OR(262=1,262=$B$174+1,AND($B$175&gt;0,262=$B$175+1))),IF(AND($B$170=1,$B$66&gt;0,OR($B$175=0,262&lt;=$B$175)),$B$66,IF($B$172-MAX(262-1,$B$174)&gt;0,IF(B662=0,0,IF(C662=0,B662/($B$172-MAX(262-1,$B$174)),B662*(C662/12)/(1-(1+C662/12)^(-($B$172-MAX(262-1,$B$174)))))),"")),D661)))),""),""))</x:f>
        <x:v>4679.450723240598</x:v>
      </x:c>
      <x:c r="E662" s="440" t="n">
        <x:f>IF(AND(262=$B$173,ISNUMBER(D662)),IF(MAX(0,B662*(1+C662/12)-D662)&lt;MAX(0.0000001,$E$17*0.00000000001),0,MAX(0,B662*(1+C662/12)-D662)),0)</x:f>
        <x:v>0</x:v>
      </x:c>
      <x:c r="F662" s="440" t="n">
        <x:f>IF($B$78="Cash payoff",E662,0)</x:f>
        <x:v>0</x:v>
      </x:c>
      <x:c r="G662" s="440" t="n">
        <x:f>IF(AND(E662&gt;0,AND($B$78="Refinance",ISNUMBER($B$80),$B$80&gt;=0,$B$80&lt;=1,ROUND($B$81*12,0)&gt;=1,$B$81&lt;=100,SUM($B$82)&gt;=0,SUM($B$82)&lt;=1,SUM($B$83)&gt;=0)),E662*SUM($B$82)+SUM($B$83),0)</x:f>
        <x:v>0</x:v>
      </x:c>
      <x:c r="H662" s="440" t="n">
        <x:f>IF(ISNUMBER(D662),IF(MAX(0,B662*(1+C662/12)-D662-F662)&lt;MAX(0.0000001,$E$17*0.00000000001),0,MAX(0,B662*(1+C662/12)-D662-F662)),IF(AND($B$171=1,I661=1),B662,""))</x:f>
        <x:v>358446.48485011427</x:v>
      </x:c>
      <x:c r="I662" s="444" t="n">
        <x:f>IF(OR(I661=1,AND(E662&gt;0,$B$78&lt;&gt;"Cash payoff",NOT(AND($B$78="Refinance",ISNUMBER($B$80),$B$80&gt;=0,$B$80&lt;=1,ROUND($B$81*12,0)&gt;=1,$B$81&lt;=100,SUM($B$82)&gt;=0,SUM($B$82)&lt;=1,SUM($B$83)&gt;=0))),AND(ISNUMBER(B662),B662&gt;0,$B$171=1,NOT(ISNUMBER(D662)))),1,0)</x:f>
        <x:v>0</x:v>
      </x:c>
      <x:c r="J662" s="440" t="n">
        <x:f>IF(ISNUMBER(L661),L661,"")</x:f>
        <x:v>0</x:v>
      </x:c>
      <x:c r="K662" s="440" t="n">
        <x:f>IF(AND(ISNUMBER(J662),J662=0),0,IF(AND($B$176=1,ISNUMBER(J662)),MIN(J662*(1+$B$87/12),IF($B$86=0,0,IF($B$87=0,$B$86/ROUND($B$88*12,0),$B$86*($B$87/12)/(1-(1+$B$87/12)^(-ROUND($B$88*12,0)))))),""))</x:f>
        <x:v>0</x:v>
      </x:c>
      <x:c r="L662" s="440" t="n">
        <x:f>IF(ISNUMBER(K662),IF(MAX(0,J662*(1+SUM($B$87)/12)-K662)&lt;MAX(0.0000001,$B$86*0.00000000001),0,MAX(0,J662*(1+SUM($B$87)/12)-K662)),"")</x:f>
        <x:v>0</x:v>
      </x:c>
      <x:c r="M662" s="440" t="n">
        <x:f>IF(AND(ISNUMBER(D662),ISNUMBER(K662)),D662+K662,"")</x:f>
        <x:v>4679.450723240598</x:v>
      </x:c>
      <x:c r="N662" s="440" t="n">
        <x:f>IF(AND(ISNUMBER(H662),ISNUMBER(L662)),H662+L662,"")</x:f>
        <x:v>358446.48485011427</x:v>
      </x:c>
    </x:row>
    <x:row r="663" ht="22" customHeight="1">
      <x:c r="A663" s="254" t="n">
        <x:f>263</x:f>
        <x:v>263</x:v>
      </x:c>
      <x:c r="B663" s="440" t="n">
        <x:f>IF(ISNUMBER(H662),H662,"")</x:f>
        <x:v>358446.48485011427</x:v>
      </x:c>
      <x:c r="C663" s="442" t="n">
        <x:f>IF(ISNUMBER(B663),IF(AND(263&gt;$B$173,$B$78="Refinance",ISNUMBER($B$80),$B$80&gt;=0,$B$80&lt;=1,ROUND($B$81*12,0)&gt;=1,$B$81&lt;=100,SUM($B$82)&gt;=0,SUM($B$82)&lt;=1,SUM($B$83)&gt;=0),$B$80,IF(AND($B$175&gt;0,263&gt;$B$175,ISNUMBER($B$75)),$B$75,$B$61)),"")</x:f>
        <x:v>0.0625</x:v>
      </x:c>
      <x:c r="D663" s="440" t="n">
        <x:f>IF(AND(ISNUMBER(B663),B663=0),0,IF(AND($B$171=1,I662=0,ISNUMBER(C663),ISNUMBER(IF(AND(263&lt;=$B$174,263&lt;=$B$173),B663*C663/12,IF(AND(263=$B$173+1,AND(263&gt;$B$173,$B$78="Refinance",ISNUMBER($B$80),$B$80&gt;=0,$B$80&lt;=1,ROUND($B$81*12,0)&gt;=1,$B$81&lt;=100,SUM($B$82)&gt;=0,SUM($B$82)&lt;=1,SUM($B$83)&gt;=0)),IF(B663=0,0,IF(C663=0,B663/ROUND($B$81*12,0),B663*(C663/12)/(1-(1+C663/12)^(-ROUND($B$81*12,0))))),IF(AND(NOT(AND(263&gt;$B$173,$B$78="Refinance",ISNUMBER($B$80),$B$80&gt;=0,$B$80&lt;=1,ROUND($B$81*12,0)&gt;=1,$B$81&lt;=100,SUM($B$82)&gt;=0,SUM($B$82)&lt;=1,SUM($B$83)&gt;=0)),OR(263=1,263=$B$174+1,AND($B$175&gt;0,263=$B$175+1))),IF(AND($B$170=1,$B$66&gt;0,OR($B$175=0,263&lt;=$B$175)),$B$66,IF($B$172-MAX(263-1,$B$174)&gt;0,IF(B663=0,0,IF(C663=0,B663/($B$172-MAX(263-1,$B$174)),B663*(C663/12)/(1-(1+C663/12)^(-($B$172-MAX(263-1,$B$174)))))),"")),D662))))),IF(IF(AND(263&lt;=$B$174,263&lt;=$B$173),B663*C663/12,IF(AND(263=$B$173+1,AND(263&gt;$B$173,$B$78="Refinance",ISNUMBER($B$80),$B$80&gt;=0,$B$80&lt;=1,ROUND($B$81*12,0)&gt;=1,$B$81&lt;=100,SUM($B$82)&gt;=0,SUM($B$82)&lt;=1,SUM($B$83)&gt;=0)),IF(B663=0,0,IF(C663=0,B663/ROUND($B$81*12,0),B663*(C663/12)/(1-(1+C663/12)^(-ROUND($B$81*12,0))))),IF(AND(NOT(AND(263&gt;$B$173,$B$78="Refinance",ISNUMBER($B$80),$B$80&gt;=0,$B$80&lt;=1,ROUND($B$81*12,0)&gt;=1,$B$81&lt;=100,SUM($B$82)&gt;=0,SUM($B$82)&lt;=1,SUM($B$83)&gt;=0)),OR(263=1,263=$B$174+1,AND($B$175&gt;0,263=$B$175+1))),IF(AND($B$170=1,$B$66&gt;0,OR($B$175=0,263&lt;=$B$175)),$B$66,IF($B$172-MAX(263-1,$B$174)&gt;0,IF(B663=0,0,IF(C663=0,B663/($B$172-MAX(263-1,$B$174)),B663*(C663/12)/(1-(1+C663/12)^(-($B$172-MAX(263-1,$B$174)))))),"")),D662)))+0.0000001&gt;=B663*C663/12,MIN(B663*(1+C663/12),IF(AND(263&lt;=$B$174,263&lt;=$B$173),B663*C663/12,IF(AND(263=$B$173+1,AND(263&gt;$B$173,$B$78="Refinance",ISNUMBER($B$80),$B$80&gt;=0,$B$80&lt;=1,ROUND($B$81*12,0)&gt;=1,$B$81&lt;=100,SUM($B$82)&gt;=0,SUM($B$82)&lt;=1,SUM($B$83)&gt;=0)),IF(B663=0,0,IF(C663=0,B663/ROUND($B$81*12,0),B663*(C663/12)/(1-(1+C663/12)^(-ROUND($B$81*12,0))))),IF(AND(NOT(AND(263&gt;$B$173,$B$78="Refinance",ISNUMBER($B$80),$B$80&gt;=0,$B$80&lt;=1,ROUND($B$81*12,0)&gt;=1,$B$81&lt;=100,SUM($B$82)&gt;=0,SUM($B$82)&lt;=1,SUM($B$83)&gt;=0)),OR(263=1,263=$B$174+1,AND($B$175&gt;0,263=$B$175+1))),IF(AND($B$170=1,$B$66&gt;0,OR($B$175=0,263&lt;=$B$175)),$B$66,IF($B$172-MAX(263-1,$B$174)&gt;0,IF(B663=0,0,IF(C663=0,B663/($B$172-MAX(263-1,$B$174)),B663*(C663/12)/(1-(1+C663/12)^(-($B$172-MAX(263-1,$B$174)))))),"")),D662)))),""),""))</x:f>
        <x:v>4679.450723240598</x:v>
      </x:c>
      <x:c r="E663" s="440" t="n">
        <x:f>IF(AND(263=$B$173,ISNUMBER(D663)),IF(MAX(0,B663*(1+C663/12)-D663)&lt;MAX(0.0000001,$E$17*0.00000000001),0,MAX(0,B663*(1+C663/12)-D663)),0)</x:f>
        <x:v>0</x:v>
      </x:c>
      <x:c r="F663" s="440" t="n">
        <x:f>IF($B$78="Cash payoff",E663,0)</x:f>
        <x:v>0</x:v>
      </x:c>
      <x:c r="G663" s="440" t="n">
        <x:f>IF(AND(E663&gt;0,AND($B$78="Refinance",ISNUMBER($B$80),$B$80&gt;=0,$B$80&lt;=1,ROUND($B$81*12,0)&gt;=1,$B$81&lt;=100,SUM($B$82)&gt;=0,SUM($B$82)&lt;=1,SUM($B$83)&gt;=0)),E663*SUM($B$82)+SUM($B$83),0)</x:f>
        <x:v>0</x:v>
      </x:c>
      <x:c r="H663" s="440" t="n">
        <x:f>IF(ISNUMBER(D663),IF(MAX(0,B663*(1+C663/12)-D663-F663)&lt;MAX(0.0000001,$E$17*0.00000000001),0,MAX(0,B663*(1+C663/12)-D663-F663)),IF(AND($B$171=1,I662=1),B663,""))</x:f>
        <x:v>355633.9429021346</x:v>
      </x:c>
      <x:c r="I663" s="444" t="n">
        <x:f>IF(OR(I662=1,AND(E663&gt;0,$B$78&lt;&gt;"Cash payoff",NOT(AND($B$78="Refinance",ISNUMBER($B$80),$B$80&gt;=0,$B$80&lt;=1,ROUND($B$81*12,0)&gt;=1,$B$81&lt;=100,SUM($B$82)&gt;=0,SUM($B$82)&lt;=1,SUM($B$83)&gt;=0))),AND(ISNUMBER(B663),B663&gt;0,$B$171=1,NOT(ISNUMBER(D663)))),1,0)</x:f>
        <x:v>0</x:v>
      </x:c>
      <x:c r="J663" s="440" t="n">
        <x:f>IF(ISNUMBER(L662),L662,"")</x:f>
        <x:v>0</x:v>
      </x:c>
      <x:c r="K663" s="440" t="n">
        <x:f>IF(AND(ISNUMBER(J663),J663=0),0,IF(AND($B$176=1,ISNUMBER(J663)),MIN(J663*(1+$B$87/12),IF($B$86=0,0,IF($B$87=0,$B$86/ROUND($B$88*12,0),$B$86*($B$87/12)/(1-(1+$B$87/12)^(-ROUND($B$88*12,0)))))),""))</x:f>
        <x:v>0</x:v>
      </x:c>
      <x:c r="L663" s="440" t="n">
        <x:f>IF(ISNUMBER(K663),IF(MAX(0,J663*(1+SUM($B$87)/12)-K663)&lt;MAX(0.0000001,$B$86*0.00000000001),0,MAX(0,J663*(1+SUM($B$87)/12)-K663)),"")</x:f>
        <x:v>0</x:v>
      </x:c>
      <x:c r="M663" s="440" t="n">
        <x:f>IF(AND(ISNUMBER(D663),ISNUMBER(K663)),D663+K663,"")</x:f>
        <x:v>4679.450723240598</x:v>
      </x:c>
      <x:c r="N663" s="440" t="n">
        <x:f>IF(AND(ISNUMBER(H663),ISNUMBER(L663)),H663+L663,"")</x:f>
        <x:v>355633.9429021346</x:v>
      </x:c>
    </x:row>
    <x:row r="664" ht="22" customHeight="1">
      <x:c r="A664" s="254" t="n">
        <x:f>264</x:f>
        <x:v>264</x:v>
      </x:c>
      <x:c r="B664" s="440" t="n">
        <x:f>IF(ISNUMBER(H663),H663,"")</x:f>
        <x:v>355633.9429021346</x:v>
      </x:c>
      <x:c r="C664" s="442" t="n">
        <x:f>IF(ISNUMBER(B664),IF(AND(264&gt;$B$173,$B$78="Refinance",ISNUMBER($B$80),$B$80&gt;=0,$B$80&lt;=1,ROUND($B$81*12,0)&gt;=1,$B$81&lt;=100,SUM($B$82)&gt;=0,SUM($B$82)&lt;=1,SUM($B$83)&gt;=0),$B$80,IF(AND($B$175&gt;0,264&gt;$B$175,ISNUMBER($B$75)),$B$75,$B$61)),"")</x:f>
        <x:v>0.0625</x:v>
      </x:c>
      <x:c r="D664" s="440" t="n">
        <x:f>IF(AND(ISNUMBER(B664),B664=0),0,IF(AND($B$171=1,I663=0,ISNUMBER(C664),ISNUMBER(IF(AND(264&lt;=$B$174,264&lt;=$B$173),B664*C664/12,IF(AND(264=$B$173+1,AND(264&gt;$B$173,$B$78="Refinance",ISNUMBER($B$80),$B$80&gt;=0,$B$80&lt;=1,ROUND($B$81*12,0)&gt;=1,$B$81&lt;=100,SUM($B$82)&gt;=0,SUM($B$82)&lt;=1,SUM($B$83)&gt;=0)),IF(B664=0,0,IF(C664=0,B664/ROUND($B$81*12,0),B664*(C664/12)/(1-(1+C664/12)^(-ROUND($B$81*12,0))))),IF(AND(NOT(AND(264&gt;$B$173,$B$78="Refinance",ISNUMBER($B$80),$B$80&gt;=0,$B$80&lt;=1,ROUND($B$81*12,0)&gt;=1,$B$81&lt;=100,SUM($B$82)&gt;=0,SUM($B$82)&lt;=1,SUM($B$83)&gt;=0)),OR(264=1,264=$B$174+1,AND($B$175&gt;0,264=$B$175+1))),IF(AND($B$170=1,$B$66&gt;0,OR($B$175=0,264&lt;=$B$175)),$B$66,IF($B$172-MAX(264-1,$B$174)&gt;0,IF(B664=0,0,IF(C664=0,B664/($B$172-MAX(264-1,$B$174)),B664*(C664/12)/(1-(1+C664/12)^(-($B$172-MAX(264-1,$B$174)))))),"")),D663))))),IF(IF(AND(264&lt;=$B$174,264&lt;=$B$173),B664*C664/12,IF(AND(264=$B$173+1,AND(264&gt;$B$173,$B$78="Refinance",ISNUMBER($B$80),$B$80&gt;=0,$B$80&lt;=1,ROUND($B$81*12,0)&gt;=1,$B$81&lt;=100,SUM($B$82)&gt;=0,SUM($B$82)&lt;=1,SUM($B$83)&gt;=0)),IF(B664=0,0,IF(C664=0,B664/ROUND($B$81*12,0),B664*(C664/12)/(1-(1+C664/12)^(-ROUND($B$81*12,0))))),IF(AND(NOT(AND(264&gt;$B$173,$B$78="Refinance",ISNUMBER($B$80),$B$80&gt;=0,$B$80&lt;=1,ROUND($B$81*12,0)&gt;=1,$B$81&lt;=100,SUM($B$82)&gt;=0,SUM($B$82)&lt;=1,SUM($B$83)&gt;=0)),OR(264=1,264=$B$174+1,AND($B$175&gt;0,264=$B$175+1))),IF(AND($B$170=1,$B$66&gt;0,OR($B$175=0,264&lt;=$B$175)),$B$66,IF($B$172-MAX(264-1,$B$174)&gt;0,IF(B664=0,0,IF(C664=0,B664/($B$172-MAX(264-1,$B$174)),B664*(C664/12)/(1-(1+C664/12)^(-($B$172-MAX(264-1,$B$174)))))),"")),D663)))+0.0000001&gt;=B664*C664/12,MIN(B664*(1+C664/12),IF(AND(264&lt;=$B$174,264&lt;=$B$173),B664*C664/12,IF(AND(264=$B$173+1,AND(264&gt;$B$173,$B$78="Refinance",ISNUMBER($B$80),$B$80&gt;=0,$B$80&lt;=1,ROUND($B$81*12,0)&gt;=1,$B$81&lt;=100,SUM($B$82)&gt;=0,SUM($B$82)&lt;=1,SUM($B$83)&gt;=0)),IF(B664=0,0,IF(C664=0,B664/ROUND($B$81*12,0),B664*(C664/12)/(1-(1+C664/12)^(-ROUND($B$81*12,0))))),IF(AND(NOT(AND(264&gt;$B$173,$B$78="Refinance",ISNUMBER($B$80),$B$80&gt;=0,$B$80&lt;=1,ROUND($B$81*12,0)&gt;=1,$B$81&lt;=100,SUM($B$82)&gt;=0,SUM($B$82)&lt;=1,SUM($B$83)&gt;=0)),OR(264=1,264=$B$174+1,AND($B$175&gt;0,264=$B$175+1))),IF(AND($B$170=1,$B$66&gt;0,OR($B$175=0,264&lt;=$B$175)),$B$66,IF($B$172-MAX(264-1,$B$174)&gt;0,IF(B664=0,0,IF(C664=0,B664/($B$172-MAX(264-1,$B$174)),B664*(C664/12)/(1-(1+C664/12)^(-($B$172-MAX(264-1,$B$174)))))),"")),D663)))),""),""))</x:f>
        <x:v>4679.450723240598</x:v>
      </x:c>
      <x:c r="E664" s="440" t="n">
        <x:f>IF(AND(264=$B$173,ISNUMBER(D664)),IF(MAX(0,B664*(1+C664/12)-D664)&lt;MAX(0.0000001,$E$17*0.00000000001),0,MAX(0,B664*(1+C664/12)-D664)),0)</x:f>
        <x:v>0</x:v>
      </x:c>
      <x:c r="F664" s="440" t="n">
        <x:f>IF($B$78="Cash payoff",E664,0)</x:f>
        <x:v>0</x:v>
      </x:c>
      <x:c r="G664" s="440" t="n">
        <x:f>IF(AND(E664&gt;0,AND($B$78="Refinance",ISNUMBER($B$80),$B$80&gt;=0,$B$80&lt;=1,ROUND($B$81*12,0)&gt;=1,$B$81&lt;=100,SUM($B$82)&gt;=0,SUM($B$82)&lt;=1,SUM($B$83)&gt;=0)),E664*SUM($B$82)+SUM($B$83),0)</x:f>
        <x:v>0</x:v>
      </x:c>
      <x:c r="H664" s="440" t="n">
        <x:f>IF(ISNUMBER(D664),IF(MAX(0,B664*(1+C664/12)-D664-F664)&lt;MAX(0.0000001,$E$17*0.00000000001),0,MAX(0,B664*(1+C664/12)-D664-F664)),IF(AND($B$171=1,I663=1),B664,""))</x:f>
        <x:v>352806.75229817594</x:v>
      </x:c>
      <x:c r="I664" s="444" t="n">
        <x:f>IF(OR(I663=1,AND(E664&gt;0,$B$78&lt;&gt;"Cash payoff",NOT(AND($B$78="Refinance",ISNUMBER($B$80),$B$80&gt;=0,$B$80&lt;=1,ROUND($B$81*12,0)&gt;=1,$B$81&lt;=100,SUM($B$82)&gt;=0,SUM($B$82)&lt;=1,SUM($B$83)&gt;=0))),AND(ISNUMBER(B664),B664&gt;0,$B$171=1,NOT(ISNUMBER(D664)))),1,0)</x:f>
        <x:v>0</x:v>
      </x:c>
      <x:c r="J664" s="440" t="n">
        <x:f>IF(ISNUMBER(L663),L663,"")</x:f>
        <x:v>0</x:v>
      </x:c>
      <x:c r="K664" s="440" t="n">
        <x:f>IF(AND(ISNUMBER(J664),J664=0),0,IF(AND($B$176=1,ISNUMBER(J664)),MIN(J664*(1+$B$87/12),IF($B$86=0,0,IF($B$87=0,$B$86/ROUND($B$88*12,0),$B$86*($B$87/12)/(1-(1+$B$87/12)^(-ROUND($B$88*12,0)))))),""))</x:f>
        <x:v>0</x:v>
      </x:c>
      <x:c r="L664" s="440" t="n">
        <x:f>IF(ISNUMBER(K664),IF(MAX(0,J664*(1+SUM($B$87)/12)-K664)&lt;MAX(0.0000001,$B$86*0.00000000001),0,MAX(0,J664*(1+SUM($B$87)/12)-K664)),"")</x:f>
        <x:v>0</x:v>
      </x:c>
      <x:c r="M664" s="440" t="n">
        <x:f>IF(AND(ISNUMBER(D664),ISNUMBER(K664)),D664+K664,"")</x:f>
        <x:v>4679.450723240598</x:v>
      </x:c>
      <x:c r="N664" s="440" t="n">
        <x:f>IF(AND(ISNUMBER(H664),ISNUMBER(L664)),H664+L664,"")</x:f>
        <x:v>352806.75229817594</x:v>
      </x:c>
    </x:row>
    <x:row r="665" ht="22" customHeight="1">
      <x:c r="A665" s="254" t="n">
        <x:f>265</x:f>
        <x:v>265</x:v>
      </x:c>
      <x:c r="B665" s="440" t="n">
        <x:f>IF(ISNUMBER(H664),H664,"")</x:f>
        <x:v>352806.75229817594</x:v>
      </x:c>
      <x:c r="C665" s="442" t="n">
        <x:f>IF(ISNUMBER(B665),IF(AND(265&gt;$B$173,$B$78="Refinance",ISNUMBER($B$80),$B$80&gt;=0,$B$80&lt;=1,ROUND($B$81*12,0)&gt;=1,$B$81&lt;=100,SUM($B$82)&gt;=0,SUM($B$82)&lt;=1,SUM($B$83)&gt;=0),$B$80,IF(AND($B$175&gt;0,265&gt;$B$175,ISNUMBER($B$75)),$B$75,$B$61)),"")</x:f>
        <x:v>0.0625</x:v>
      </x:c>
      <x:c r="D665" s="440" t="n">
        <x:f>IF(AND(ISNUMBER(B665),B665=0),0,IF(AND($B$171=1,I664=0,ISNUMBER(C665),ISNUMBER(IF(AND(265&lt;=$B$174,265&lt;=$B$173),B665*C665/12,IF(AND(265=$B$173+1,AND(265&gt;$B$173,$B$78="Refinance",ISNUMBER($B$80),$B$80&gt;=0,$B$80&lt;=1,ROUND($B$81*12,0)&gt;=1,$B$81&lt;=100,SUM($B$82)&gt;=0,SUM($B$82)&lt;=1,SUM($B$83)&gt;=0)),IF(B665=0,0,IF(C665=0,B665/ROUND($B$81*12,0),B665*(C665/12)/(1-(1+C665/12)^(-ROUND($B$81*12,0))))),IF(AND(NOT(AND(265&gt;$B$173,$B$78="Refinance",ISNUMBER($B$80),$B$80&gt;=0,$B$80&lt;=1,ROUND($B$81*12,0)&gt;=1,$B$81&lt;=100,SUM($B$82)&gt;=0,SUM($B$82)&lt;=1,SUM($B$83)&gt;=0)),OR(265=1,265=$B$174+1,AND($B$175&gt;0,265=$B$175+1))),IF(AND($B$170=1,$B$66&gt;0,OR($B$175=0,265&lt;=$B$175)),$B$66,IF($B$172-MAX(265-1,$B$174)&gt;0,IF(B665=0,0,IF(C665=0,B665/($B$172-MAX(265-1,$B$174)),B665*(C665/12)/(1-(1+C665/12)^(-($B$172-MAX(265-1,$B$174)))))),"")),D664))))),IF(IF(AND(265&lt;=$B$174,265&lt;=$B$173),B665*C665/12,IF(AND(265=$B$173+1,AND(265&gt;$B$173,$B$78="Refinance",ISNUMBER($B$80),$B$80&gt;=0,$B$80&lt;=1,ROUND($B$81*12,0)&gt;=1,$B$81&lt;=100,SUM($B$82)&gt;=0,SUM($B$82)&lt;=1,SUM($B$83)&gt;=0)),IF(B665=0,0,IF(C665=0,B665/ROUND($B$81*12,0),B665*(C665/12)/(1-(1+C665/12)^(-ROUND($B$81*12,0))))),IF(AND(NOT(AND(265&gt;$B$173,$B$78="Refinance",ISNUMBER($B$80),$B$80&gt;=0,$B$80&lt;=1,ROUND($B$81*12,0)&gt;=1,$B$81&lt;=100,SUM($B$82)&gt;=0,SUM($B$82)&lt;=1,SUM($B$83)&gt;=0)),OR(265=1,265=$B$174+1,AND($B$175&gt;0,265=$B$175+1))),IF(AND($B$170=1,$B$66&gt;0,OR($B$175=0,265&lt;=$B$175)),$B$66,IF($B$172-MAX(265-1,$B$174)&gt;0,IF(B665=0,0,IF(C665=0,B665/($B$172-MAX(265-1,$B$174)),B665*(C665/12)/(1-(1+C665/12)^(-($B$172-MAX(265-1,$B$174)))))),"")),D664)))+0.0000001&gt;=B665*C665/12,MIN(B665*(1+C665/12),IF(AND(265&lt;=$B$174,265&lt;=$B$173),B665*C665/12,IF(AND(265=$B$173+1,AND(265&gt;$B$173,$B$78="Refinance",ISNUMBER($B$80),$B$80&gt;=0,$B$80&lt;=1,ROUND($B$81*12,0)&gt;=1,$B$81&lt;=100,SUM($B$82)&gt;=0,SUM($B$82)&lt;=1,SUM($B$83)&gt;=0)),IF(B665=0,0,IF(C665=0,B665/ROUND($B$81*12,0),B665*(C665/12)/(1-(1+C665/12)^(-ROUND($B$81*12,0))))),IF(AND(NOT(AND(265&gt;$B$173,$B$78="Refinance",ISNUMBER($B$80),$B$80&gt;=0,$B$80&lt;=1,ROUND($B$81*12,0)&gt;=1,$B$81&lt;=100,SUM($B$82)&gt;=0,SUM($B$82)&lt;=1,SUM($B$83)&gt;=0)),OR(265=1,265=$B$174+1,AND($B$175&gt;0,265=$B$175+1))),IF(AND($B$170=1,$B$66&gt;0,OR($B$175=0,265&lt;=$B$175)),$B$66,IF($B$172-MAX(265-1,$B$174)&gt;0,IF(B665=0,0,IF(C665=0,B665/($B$172-MAX(265-1,$B$174)),B665*(C665/12)/(1-(1+C665/12)^(-($B$172-MAX(265-1,$B$174)))))),"")),D664)))),""),""))</x:f>
        <x:v>4679.450723240598</x:v>
      </x:c>
      <x:c r="E665" s="440" t="n">
        <x:f>IF(AND(265=$B$173,ISNUMBER(D665)),IF(MAX(0,B665*(1+C665/12)-D665)&lt;MAX(0.0000001,$E$17*0.00000000001),0,MAX(0,B665*(1+C665/12)-D665)),0)</x:f>
        <x:v>0</x:v>
      </x:c>
      <x:c r="F665" s="440" t="n">
        <x:f>IF($B$78="Cash payoff",E665,0)</x:f>
        <x:v>0</x:v>
      </x:c>
      <x:c r="G665" s="440" t="n">
        <x:f>IF(AND(E665&gt;0,AND($B$78="Refinance",ISNUMBER($B$80),$B$80&gt;=0,$B$80&lt;=1,ROUND($B$81*12,0)&gt;=1,$B$81&lt;=100,SUM($B$82)&gt;=0,SUM($B$82)&lt;=1,SUM($B$83)&gt;=0)),E665*SUM($B$82)+SUM($B$83),0)</x:f>
        <x:v>0</x:v>
      </x:c>
      <x:c r="H665" s="440" t="n">
        <x:f>IF(ISNUMBER(D665),IF(MAX(0,B665*(1+C665/12)-D665-F665)&lt;MAX(0.0000001,$E$17*0.00000000001),0,MAX(0,B665*(1+C665/12)-D665-F665)),IF(AND($B$171=1,I664=1),B665,""))</x:f>
        <x:v>349964.83674315497</x:v>
      </x:c>
      <x:c r="I665" s="444" t="n">
        <x:f>IF(OR(I664=1,AND(E665&gt;0,$B$78&lt;&gt;"Cash payoff",NOT(AND($B$78="Refinance",ISNUMBER($B$80),$B$80&gt;=0,$B$80&lt;=1,ROUND($B$81*12,0)&gt;=1,$B$81&lt;=100,SUM($B$82)&gt;=0,SUM($B$82)&lt;=1,SUM($B$83)&gt;=0))),AND(ISNUMBER(B665),B665&gt;0,$B$171=1,NOT(ISNUMBER(D665)))),1,0)</x:f>
        <x:v>0</x:v>
      </x:c>
      <x:c r="J665" s="440" t="n">
        <x:f>IF(ISNUMBER(L664),L664,"")</x:f>
        <x:v>0</x:v>
      </x:c>
      <x:c r="K665" s="440" t="n">
        <x:f>IF(AND(ISNUMBER(J665),J665=0),0,IF(AND($B$176=1,ISNUMBER(J665)),MIN(J665*(1+$B$87/12),IF($B$86=0,0,IF($B$87=0,$B$86/ROUND($B$88*12,0),$B$86*($B$87/12)/(1-(1+$B$87/12)^(-ROUND($B$88*12,0)))))),""))</x:f>
        <x:v>0</x:v>
      </x:c>
      <x:c r="L665" s="440" t="n">
        <x:f>IF(ISNUMBER(K665),IF(MAX(0,J665*(1+SUM($B$87)/12)-K665)&lt;MAX(0.0000001,$B$86*0.00000000001),0,MAX(0,J665*(1+SUM($B$87)/12)-K665)),"")</x:f>
        <x:v>0</x:v>
      </x:c>
      <x:c r="M665" s="440" t="n">
        <x:f>IF(AND(ISNUMBER(D665),ISNUMBER(K665)),D665+K665,"")</x:f>
        <x:v>4679.450723240598</x:v>
      </x:c>
      <x:c r="N665" s="440" t="n">
        <x:f>IF(AND(ISNUMBER(H665),ISNUMBER(L665)),H665+L665,"")</x:f>
        <x:v>349964.83674315497</x:v>
      </x:c>
    </x:row>
    <x:row r="666" ht="22" customHeight="1">
      <x:c r="A666" s="254" t="n">
        <x:f>266</x:f>
        <x:v>266</x:v>
      </x:c>
      <x:c r="B666" s="440" t="n">
        <x:f>IF(ISNUMBER(H665),H665,"")</x:f>
        <x:v>349964.83674315497</x:v>
      </x:c>
      <x:c r="C666" s="442" t="n">
        <x:f>IF(ISNUMBER(B666),IF(AND(266&gt;$B$173,$B$78="Refinance",ISNUMBER($B$80),$B$80&gt;=0,$B$80&lt;=1,ROUND($B$81*12,0)&gt;=1,$B$81&lt;=100,SUM($B$82)&gt;=0,SUM($B$82)&lt;=1,SUM($B$83)&gt;=0),$B$80,IF(AND($B$175&gt;0,266&gt;$B$175,ISNUMBER($B$75)),$B$75,$B$61)),"")</x:f>
        <x:v>0.0625</x:v>
      </x:c>
      <x:c r="D666" s="440" t="n">
        <x:f>IF(AND(ISNUMBER(B666),B666=0),0,IF(AND($B$171=1,I665=0,ISNUMBER(C666),ISNUMBER(IF(AND(266&lt;=$B$174,266&lt;=$B$173),B666*C666/12,IF(AND(266=$B$173+1,AND(266&gt;$B$173,$B$78="Refinance",ISNUMBER($B$80),$B$80&gt;=0,$B$80&lt;=1,ROUND($B$81*12,0)&gt;=1,$B$81&lt;=100,SUM($B$82)&gt;=0,SUM($B$82)&lt;=1,SUM($B$83)&gt;=0)),IF(B666=0,0,IF(C666=0,B666/ROUND($B$81*12,0),B666*(C666/12)/(1-(1+C666/12)^(-ROUND($B$81*12,0))))),IF(AND(NOT(AND(266&gt;$B$173,$B$78="Refinance",ISNUMBER($B$80),$B$80&gt;=0,$B$80&lt;=1,ROUND($B$81*12,0)&gt;=1,$B$81&lt;=100,SUM($B$82)&gt;=0,SUM($B$82)&lt;=1,SUM($B$83)&gt;=0)),OR(266=1,266=$B$174+1,AND($B$175&gt;0,266=$B$175+1))),IF(AND($B$170=1,$B$66&gt;0,OR($B$175=0,266&lt;=$B$175)),$B$66,IF($B$172-MAX(266-1,$B$174)&gt;0,IF(B666=0,0,IF(C666=0,B666/($B$172-MAX(266-1,$B$174)),B666*(C666/12)/(1-(1+C666/12)^(-($B$172-MAX(266-1,$B$174)))))),"")),D665))))),IF(IF(AND(266&lt;=$B$174,266&lt;=$B$173),B666*C666/12,IF(AND(266=$B$173+1,AND(266&gt;$B$173,$B$78="Refinance",ISNUMBER($B$80),$B$80&gt;=0,$B$80&lt;=1,ROUND($B$81*12,0)&gt;=1,$B$81&lt;=100,SUM($B$82)&gt;=0,SUM($B$82)&lt;=1,SUM($B$83)&gt;=0)),IF(B666=0,0,IF(C666=0,B666/ROUND($B$81*12,0),B666*(C666/12)/(1-(1+C666/12)^(-ROUND($B$81*12,0))))),IF(AND(NOT(AND(266&gt;$B$173,$B$78="Refinance",ISNUMBER($B$80),$B$80&gt;=0,$B$80&lt;=1,ROUND($B$81*12,0)&gt;=1,$B$81&lt;=100,SUM($B$82)&gt;=0,SUM($B$82)&lt;=1,SUM($B$83)&gt;=0)),OR(266=1,266=$B$174+1,AND($B$175&gt;0,266=$B$175+1))),IF(AND($B$170=1,$B$66&gt;0,OR($B$175=0,266&lt;=$B$175)),$B$66,IF($B$172-MAX(266-1,$B$174)&gt;0,IF(B666=0,0,IF(C666=0,B666/($B$172-MAX(266-1,$B$174)),B666*(C666/12)/(1-(1+C666/12)^(-($B$172-MAX(266-1,$B$174)))))),"")),D665)))+0.0000001&gt;=B666*C666/12,MIN(B666*(1+C666/12),IF(AND(266&lt;=$B$174,266&lt;=$B$173),B666*C666/12,IF(AND(266=$B$173+1,AND(266&gt;$B$173,$B$78="Refinance",ISNUMBER($B$80),$B$80&gt;=0,$B$80&lt;=1,ROUND($B$81*12,0)&gt;=1,$B$81&lt;=100,SUM($B$82)&gt;=0,SUM($B$82)&lt;=1,SUM($B$83)&gt;=0)),IF(B666=0,0,IF(C666=0,B666/ROUND($B$81*12,0),B666*(C666/12)/(1-(1+C666/12)^(-ROUND($B$81*12,0))))),IF(AND(NOT(AND(266&gt;$B$173,$B$78="Refinance",ISNUMBER($B$80),$B$80&gt;=0,$B$80&lt;=1,ROUND($B$81*12,0)&gt;=1,$B$81&lt;=100,SUM($B$82)&gt;=0,SUM($B$82)&lt;=1,SUM($B$83)&gt;=0)),OR(266=1,266=$B$174+1,AND($B$175&gt;0,266=$B$175+1))),IF(AND($B$170=1,$B$66&gt;0,OR($B$175=0,266&lt;=$B$175)),$B$66,IF($B$172-MAX(266-1,$B$174)&gt;0,IF(B666=0,0,IF(C666=0,B666/($B$172-MAX(266-1,$B$174)),B666*(C666/12)/(1-(1+C666/12)^(-($B$172-MAX(266-1,$B$174)))))),"")),D665)))),""),""))</x:f>
        <x:v>4679.450723240598</x:v>
      </x:c>
      <x:c r="E666" s="440" t="n">
        <x:f>IF(AND(266=$B$173,ISNUMBER(D666)),IF(MAX(0,B666*(1+C666/12)-D666)&lt;MAX(0.0000001,$E$17*0.00000000001),0,MAX(0,B666*(1+C666/12)-D666)),0)</x:f>
        <x:v>0</x:v>
      </x:c>
      <x:c r="F666" s="440" t="n">
        <x:f>IF($B$78="Cash payoff",E666,0)</x:f>
        <x:v>0</x:v>
      </x:c>
      <x:c r="G666" s="440" t="n">
        <x:f>IF(AND(E666&gt;0,AND($B$78="Refinance",ISNUMBER($B$80),$B$80&gt;=0,$B$80&lt;=1,ROUND($B$81*12,0)&gt;=1,$B$81&lt;=100,SUM($B$82)&gt;=0,SUM($B$82)&lt;=1,SUM($B$83)&gt;=0)),E666*SUM($B$82)+SUM($B$83),0)</x:f>
        <x:v>0</x:v>
      </x:c>
      <x:c r="H666" s="440" t="n">
        <x:f>IF(ISNUMBER(D666),IF(MAX(0,B666*(1+C666/12)-D666-F666)&lt;MAX(0.0000001,$E$17*0.00000000001),0,MAX(0,B666*(1+C666/12)-D666-F666)),IF(AND($B$171=1,I665=1),B666,""))</x:f>
        <x:v>347108.11954461824</x:v>
      </x:c>
      <x:c r="I666" s="444" t="n">
        <x:f>IF(OR(I665=1,AND(E666&gt;0,$B$78&lt;&gt;"Cash payoff",NOT(AND($B$78="Refinance",ISNUMBER($B$80),$B$80&gt;=0,$B$80&lt;=1,ROUND($B$81*12,0)&gt;=1,$B$81&lt;=100,SUM($B$82)&gt;=0,SUM($B$82)&lt;=1,SUM($B$83)&gt;=0))),AND(ISNUMBER(B666),B666&gt;0,$B$171=1,NOT(ISNUMBER(D666)))),1,0)</x:f>
        <x:v>0</x:v>
      </x:c>
      <x:c r="J666" s="440" t="n">
        <x:f>IF(ISNUMBER(L665),L665,"")</x:f>
        <x:v>0</x:v>
      </x:c>
      <x:c r="K666" s="440" t="n">
        <x:f>IF(AND(ISNUMBER(J666),J666=0),0,IF(AND($B$176=1,ISNUMBER(J666)),MIN(J666*(1+$B$87/12),IF($B$86=0,0,IF($B$87=0,$B$86/ROUND($B$88*12,0),$B$86*($B$87/12)/(1-(1+$B$87/12)^(-ROUND($B$88*12,0)))))),""))</x:f>
        <x:v>0</x:v>
      </x:c>
      <x:c r="L666" s="440" t="n">
        <x:f>IF(ISNUMBER(K666),IF(MAX(0,J666*(1+SUM($B$87)/12)-K666)&lt;MAX(0.0000001,$B$86*0.00000000001),0,MAX(0,J666*(1+SUM($B$87)/12)-K666)),"")</x:f>
        <x:v>0</x:v>
      </x:c>
      <x:c r="M666" s="440" t="n">
        <x:f>IF(AND(ISNUMBER(D666),ISNUMBER(K666)),D666+K666,"")</x:f>
        <x:v>4679.450723240598</x:v>
      </x:c>
      <x:c r="N666" s="440" t="n">
        <x:f>IF(AND(ISNUMBER(H666),ISNUMBER(L666)),H666+L666,"")</x:f>
        <x:v>347108.11954461824</x:v>
      </x:c>
    </x:row>
    <x:row r="667" ht="22" customHeight="1">
      <x:c r="A667" s="254" t="n">
        <x:f>267</x:f>
        <x:v>267</x:v>
      </x:c>
      <x:c r="B667" s="440" t="n">
        <x:f>IF(ISNUMBER(H666),H666,"")</x:f>
        <x:v>347108.11954461824</x:v>
      </x:c>
      <x:c r="C667" s="442" t="n">
        <x:f>IF(ISNUMBER(B667),IF(AND(267&gt;$B$173,$B$78="Refinance",ISNUMBER($B$80),$B$80&gt;=0,$B$80&lt;=1,ROUND($B$81*12,0)&gt;=1,$B$81&lt;=100,SUM($B$82)&gt;=0,SUM($B$82)&lt;=1,SUM($B$83)&gt;=0),$B$80,IF(AND($B$175&gt;0,267&gt;$B$175,ISNUMBER($B$75)),$B$75,$B$61)),"")</x:f>
        <x:v>0.0625</x:v>
      </x:c>
      <x:c r="D667" s="440" t="n">
        <x:f>IF(AND(ISNUMBER(B667),B667=0),0,IF(AND($B$171=1,I666=0,ISNUMBER(C667),ISNUMBER(IF(AND(267&lt;=$B$174,267&lt;=$B$173),B667*C667/12,IF(AND(267=$B$173+1,AND(267&gt;$B$173,$B$78="Refinance",ISNUMBER($B$80),$B$80&gt;=0,$B$80&lt;=1,ROUND($B$81*12,0)&gt;=1,$B$81&lt;=100,SUM($B$82)&gt;=0,SUM($B$82)&lt;=1,SUM($B$83)&gt;=0)),IF(B667=0,0,IF(C667=0,B667/ROUND($B$81*12,0),B667*(C667/12)/(1-(1+C667/12)^(-ROUND($B$81*12,0))))),IF(AND(NOT(AND(267&gt;$B$173,$B$78="Refinance",ISNUMBER($B$80),$B$80&gt;=0,$B$80&lt;=1,ROUND($B$81*12,0)&gt;=1,$B$81&lt;=100,SUM($B$82)&gt;=0,SUM($B$82)&lt;=1,SUM($B$83)&gt;=0)),OR(267=1,267=$B$174+1,AND($B$175&gt;0,267=$B$175+1))),IF(AND($B$170=1,$B$66&gt;0,OR($B$175=0,267&lt;=$B$175)),$B$66,IF($B$172-MAX(267-1,$B$174)&gt;0,IF(B667=0,0,IF(C667=0,B667/($B$172-MAX(267-1,$B$174)),B667*(C667/12)/(1-(1+C667/12)^(-($B$172-MAX(267-1,$B$174)))))),"")),D666))))),IF(IF(AND(267&lt;=$B$174,267&lt;=$B$173),B667*C667/12,IF(AND(267=$B$173+1,AND(267&gt;$B$173,$B$78="Refinance",ISNUMBER($B$80),$B$80&gt;=0,$B$80&lt;=1,ROUND($B$81*12,0)&gt;=1,$B$81&lt;=100,SUM($B$82)&gt;=0,SUM($B$82)&lt;=1,SUM($B$83)&gt;=0)),IF(B667=0,0,IF(C667=0,B667/ROUND($B$81*12,0),B667*(C667/12)/(1-(1+C667/12)^(-ROUND($B$81*12,0))))),IF(AND(NOT(AND(267&gt;$B$173,$B$78="Refinance",ISNUMBER($B$80),$B$80&gt;=0,$B$80&lt;=1,ROUND($B$81*12,0)&gt;=1,$B$81&lt;=100,SUM($B$82)&gt;=0,SUM($B$82)&lt;=1,SUM($B$83)&gt;=0)),OR(267=1,267=$B$174+1,AND($B$175&gt;0,267=$B$175+1))),IF(AND($B$170=1,$B$66&gt;0,OR($B$175=0,267&lt;=$B$175)),$B$66,IF($B$172-MAX(267-1,$B$174)&gt;0,IF(B667=0,0,IF(C667=0,B667/($B$172-MAX(267-1,$B$174)),B667*(C667/12)/(1-(1+C667/12)^(-($B$172-MAX(267-1,$B$174)))))),"")),D666)))+0.0000001&gt;=B667*C667/12,MIN(B667*(1+C667/12),IF(AND(267&lt;=$B$174,267&lt;=$B$173),B667*C667/12,IF(AND(267=$B$173+1,AND(267&gt;$B$173,$B$78="Refinance",ISNUMBER($B$80),$B$80&gt;=0,$B$80&lt;=1,ROUND($B$81*12,0)&gt;=1,$B$81&lt;=100,SUM($B$82)&gt;=0,SUM($B$82)&lt;=1,SUM($B$83)&gt;=0)),IF(B667=0,0,IF(C667=0,B667/ROUND($B$81*12,0),B667*(C667/12)/(1-(1+C667/12)^(-ROUND($B$81*12,0))))),IF(AND(NOT(AND(267&gt;$B$173,$B$78="Refinance",ISNUMBER($B$80),$B$80&gt;=0,$B$80&lt;=1,ROUND($B$81*12,0)&gt;=1,$B$81&lt;=100,SUM($B$82)&gt;=0,SUM($B$82)&lt;=1,SUM($B$83)&gt;=0)),OR(267=1,267=$B$174+1,AND($B$175&gt;0,267=$B$175+1))),IF(AND($B$170=1,$B$66&gt;0,OR($B$175=0,267&lt;=$B$175)),$B$66,IF($B$172-MAX(267-1,$B$174)&gt;0,IF(B667=0,0,IF(C667=0,B667/($B$172-MAX(267-1,$B$174)),B667*(C667/12)/(1-(1+C667/12)^(-($B$172-MAX(267-1,$B$174)))))),"")),D666)))),""),""))</x:f>
        <x:v>4679.450723240598</x:v>
      </x:c>
      <x:c r="E667" s="440" t="n">
        <x:f>IF(AND(267=$B$173,ISNUMBER(D667)),IF(MAX(0,B667*(1+C667/12)-D667)&lt;MAX(0.0000001,$E$17*0.00000000001),0,MAX(0,B667*(1+C667/12)-D667)),0)</x:f>
        <x:v>0</x:v>
      </x:c>
      <x:c r="F667" s="440" t="n">
        <x:f>IF($B$78="Cash payoff",E667,0)</x:f>
        <x:v>0</x:v>
      </x:c>
      <x:c r="G667" s="440" t="n">
        <x:f>IF(AND(E667&gt;0,AND($B$78="Refinance",ISNUMBER($B$80),$B$80&gt;=0,$B$80&lt;=1,ROUND($B$81*12,0)&gt;=1,$B$81&lt;=100,SUM($B$82)&gt;=0,SUM($B$82)&lt;=1,SUM($B$83)&gt;=0)),E667*SUM($B$82)+SUM($B$83),0)</x:f>
        <x:v>0</x:v>
      </x:c>
      <x:c r="H667" s="440" t="n">
        <x:f>IF(ISNUMBER(D667),IF(MAX(0,B667*(1+C667/12)-D667-F667)&lt;MAX(0.0000001,$E$17*0.00000000001),0,MAX(0,B667*(1+C667/12)-D667-F667)),IF(AND($B$171=1,I666=1),B667,""))</x:f>
        <x:v>344236.5236106725</x:v>
      </x:c>
      <x:c r="I667" s="444" t="n">
        <x:f>IF(OR(I666=1,AND(E667&gt;0,$B$78&lt;&gt;"Cash payoff",NOT(AND($B$78="Refinance",ISNUMBER($B$80),$B$80&gt;=0,$B$80&lt;=1,ROUND($B$81*12,0)&gt;=1,$B$81&lt;=100,SUM($B$82)&gt;=0,SUM($B$82)&lt;=1,SUM($B$83)&gt;=0))),AND(ISNUMBER(B667),B667&gt;0,$B$171=1,NOT(ISNUMBER(D667)))),1,0)</x:f>
        <x:v>0</x:v>
      </x:c>
      <x:c r="J667" s="440" t="n">
        <x:f>IF(ISNUMBER(L666),L666,"")</x:f>
        <x:v>0</x:v>
      </x:c>
      <x:c r="K667" s="440" t="n">
        <x:f>IF(AND(ISNUMBER(J667),J667=0),0,IF(AND($B$176=1,ISNUMBER(J667)),MIN(J667*(1+$B$87/12),IF($B$86=0,0,IF($B$87=0,$B$86/ROUND($B$88*12,0),$B$86*($B$87/12)/(1-(1+$B$87/12)^(-ROUND($B$88*12,0)))))),""))</x:f>
        <x:v>0</x:v>
      </x:c>
      <x:c r="L667" s="440" t="n">
        <x:f>IF(ISNUMBER(K667),IF(MAX(0,J667*(1+SUM($B$87)/12)-K667)&lt;MAX(0.0000001,$B$86*0.00000000001),0,MAX(0,J667*(1+SUM($B$87)/12)-K667)),"")</x:f>
        <x:v>0</x:v>
      </x:c>
      <x:c r="M667" s="440" t="n">
        <x:f>IF(AND(ISNUMBER(D667),ISNUMBER(K667)),D667+K667,"")</x:f>
        <x:v>4679.450723240598</x:v>
      </x:c>
      <x:c r="N667" s="440" t="n">
        <x:f>IF(AND(ISNUMBER(H667),ISNUMBER(L667)),H667+L667,"")</x:f>
        <x:v>344236.5236106725</x:v>
      </x:c>
    </x:row>
    <x:row r="668" ht="22" customHeight="1">
      <x:c r="A668" s="254" t="n">
        <x:f>268</x:f>
        <x:v>268</x:v>
      </x:c>
      <x:c r="B668" s="440" t="n">
        <x:f>IF(ISNUMBER(H667),H667,"")</x:f>
        <x:v>344236.5236106725</x:v>
      </x:c>
      <x:c r="C668" s="442" t="n">
        <x:f>IF(ISNUMBER(B668),IF(AND(268&gt;$B$173,$B$78="Refinance",ISNUMBER($B$80),$B$80&gt;=0,$B$80&lt;=1,ROUND($B$81*12,0)&gt;=1,$B$81&lt;=100,SUM($B$82)&gt;=0,SUM($B$82)&lt;=1,SUM($B$83)&gt;=0),$B$80,IF(AND($B$175&gt;0,268&gt;$B$175,ISNUMBER($B$75)),$B$75,$B$61)),"")</x:f>
        <x:v>0.0625</x:v>
      </x:c>
      <x:c r="D668" s="440" t="n">
        <x:f>IF(AND(ISNUMBER(B668),B668=0),0,IF(AND($B$171=1,I667=0,ISNUMBER(C668),ISNUMBER(IF(AND(268&lt;=$B$174,268&lt;=$B$173),B668*C668/12,IF(AND(268=$B$173+1,AND(268&gt;$B$173,$B$78="Refinance",ISNUMBER($B$80),$B$80&gt;=0,$B$80&lt;=1,ROUND($B$81*12,0)&gt;=1,$B$81&lt;=100,SUM($B$82)&gt;=0,SUM($B$82)&lt;=1,SUM($B$83)&gt;=0)),IF(B668=0,0,IF(C668=0,B668/ROUND($B$81*12,0),B668*(C668/12)/(1-(1+C668/12)^(-ROUND($B$81*12,0))))),IF(AND(NOT(AND(268&gt;$B$173,$B$78="Refinance",ISNUMBER($B$80),$B$80&gt;=0,$B$80&lt;=1,ROUND($B$81*12,0)&gt;=1,$B$81&lt;=100,SUM($B$82)&gt;=0,SUM($B$82)&lt;=1,SUM($B$83)&gt;=0)),OR(268=1,268=$B$174+1,AND($B$175&gt;0,268=$B$175+1))),IF(AND($B$170=1,$B$66&gt;0,OR($B$175=0,268&lt;=$B$175)),$B$66,IF($B$172-MAX(268-1,$B$174)&gt;0,IF(B668=0,0,IF(C668=0,B668/($B$172-MAX(268-1,$B$174)),B668*(C668/12)/(1-(1+C668/12)^(-($B$172-MAX(268-1,$B$174)))))),"")),D667))))),IF(IF(AND(268&lt;=$B$174,268&lt;=$B$173),B668*C668/12,IF(AND(268=$B$173+1,AND(268&gt;$B$173,$B$78="Refinance",ISNUMBER($B$80),$B$80&gt;=0,$B$80&lt;=1,ROUND($B$81*12,0)&gt;=1,$B$81&lt;=100,SUM($B$82)&gt;=0,SUM($B$82)&lt;=1,SUM($B$83)&gt;=0)),IF(B668=0,0,IF(C668=0,B668/ROUND($B$81*12,0),B668*(C668/12)/(1-(1+C668/12)^(-ROUND($B$81*12,0))))),IF(AND(NOT(AND(268&gt;$B$173,$B$78="Refinance",ISNUMBER($B$80),$B$80&gt;=0,$B$80&lt;=1,ROUND($B$81*12,0)&gt;=1,$B$81&lt;=100,SUM($B$82)&gt;=0,SUM($B$82)&lt;=1,SUM($B$83)&gt;=0)),OR(268=1,268=$B$174+1,AND($B$175&gt;0,268=$B$175+1))),IF(AND($B$170=1,$B$66&gt;0,OR($B$175=0,268&lt;=$B$175)),$B$66,IF($B$172-MAX(268-1,$B$174)&gt;0,IF(B668=0,0,IF(C668=0,B668/($B$172-MAX(268-1,$B$174)),B668*(C668/12)/(1-(1+C668/12)^(-($B$172-MAX(268-1,$B$174)))))),"")),D667)))+0.0000001&gt;=B668*C668/12,MIN(B668*(1+C668/12),IF(AND(268&lt;=$B$174,268&lt;=$B$173),B668*C668/12,IF(AND(268=$B$173+1,AND(268&gt;$B$173,$B$78="Refinance",ISNUMBER($B$80),$B$80&gt;=0,$B$80&lt;=1,ROUND($B$81*12,0)&gt;=1,$B$81&lt;=100,SUM($B$82)&gt;=0,SUM($B$82)&lt;=1,SUM($B$83)&gt;=0)),IF(B668=0,0,IF(C668=0,B668/ROUND($B$81*12,0),B668*(C668/12)/(1-(1+C668/12)^(-ROUND($B$81*12,0))))),IF(AND(NOT(AND(268&gt;$B$173,$B$78="Refinance",ISNUMBER($B$80),$B$80&gt;=0,$B$80&lt;=1,ROUND($B$81*12,0)&gt;=1,$B$81&lt;=100,SUM($B$82)&gt;=0,SUM($B$82)&lt;=1,SUM($B$83)&gt;=0)),OR(268=1,268=$B$174+1,AND($B$175&gt;0,268=$B$175+1))),IF(AND($B$170=1,$B$66&gt;0,OR($B$175=0,268&lt;=$B$175)),$B$66,IF($B$172-MAX(268-1,$B$174)&gt;0,IF(B668=0,0,IF(C668=0,B668/($B$172-MAX(268-1,$B$174)),B668*(C668/12)/(1-(1+C668/12)^(-($B$172-MAX(268-1,$B$174)))))),"")),D667)))),""),""))</x:f>
        <x:v>4679.450723240598</x:v>
      </x:c>
      <x:c r="E668" s="440" t="n">
        <x:f>IF(AND(268=$B$173,ISNUMBER(D668)),IF(MAX(0,B668*(1+C668/12)-D668)&lt;MAX(0.0000001,$E$17*0.00000000001),0,MAX(0,B668*(1+C668/12)-D668)),0)</x:f>
        <x:v>0</x:v>
      </x:c>
      <x:c r="F668" s="440" t="n">
        <x:f>IF($B$78="Cash payoff",E668,0)</x:f>
        <x:v>0</x:v>
      </x:c>
      <x:c r="G668" s="440" t="n">
        <x:f>IF(AND(E668&gt;0,AND($B$78="Refinance",ISNUMBER($B$80),$B$80&gt;=0,$B$80&lt;=1,ROUND($B$81*12,0)&gt;=1,$B$81&lt;=100,SUM($B$82)&gt;=0,SUM($B$82)&lt;=1,SUM($B$83)&gt;=0)),E668*SUM($B$82)+SUM($B$83),0)</x:f>
        <x:v>0</x:v>
      </x:c>
      <x:c r="H668" s="440" t="n">
        <x:f>IF(ISNUMBER(D668),IF(MAX(0,B668*(1+C668/12)-D668-F668)&lt;MAX(0.0000001,$E$17*0.00000000001),0,MAX(0,B668*(1+C668/12)-D668-F668)),IF(AND($B$171=1,I667=1),B668,""))</x:f>
        <x:v>341349.9714479041</x:v>
      </x:c>
      <x:c r="I668" s="444" t="n">
        <x:f>IF(OR(I667=1,AND(E668&gt;0,$B$78&lt;&gt;"Cash payoff",NOT(AND($B$78="Refinance",ISNUMBER($B$80),$B$80&gt;=0,$B$80&lt;=1,ROUND($B$81*12,0)&gt;=1,$B$81&lt;=100,SUM($B$82)&gt;=0,SUM($B$82)&lt;=1,SUM($B$83)&gt;=0))),AND(ISNUMBER(B668),B668&gt;0,$B$171=1,NOT(ISNUMBER(D668)))),1,0)</x:f>
        <x:v>0</x:v>
      </x:c>
      <x:c r="J668" s="440" t="n">
        <x:f>IF(ISNUMBER(L667),L667,"")</x:f>
        <x:v>0</x:v>
      </x:c>
      <x:c r="K668" s="440" t="n">
        <x:f>IF(AND(ISNUMBER(J668),J668=0),0,IF(AND($B$176=1,ISNUMBER(J668)),MIN(J668*(1+$B$87/12),IF($B$86=0,0,IF($B$87=0,$B$86/ROUND($B$88*12,0),$B$86*($B$87/12)/(1-(1+$B$87/12)^(-ROUND($B$88*12,0)))))),""))</x:f>
        <x:v>0</x:v>
      </x:c>
      <x:c r="L668" s="440" t="n">
        <x:f>IF(ISNUMBER(K668),IF(MAX(0,J668*(1+SUM($B$87)/12)-K668)&lt;MAX(0.0000001,$B$86*0.00000000001),0,MAX(0,J668*(1+SUM($B$87)/12)-K668)),"")</x:f>
        <x:v>0</x:v>
      </x:c>
      <x:c r="M668" s="440" t="n">
        <x:f>IF(AND(ISNUMBER(D668),ISNUMBER(K668)),D668+K668,"")</x:f>
        <x:v>4679.450723240598</x:v>
      </x:c>
      <x:c r="N668" s="440" t="n">
        <x:f>IF(AND(ISNUMBER(H668),ISNUMBER(L668)),H668+L668,"")</x:f>
        <x:v>341349.9714479041</x:v>
      </x:c>
    </x:row>
    <x:row r="669" ht="22" customHeight="1">
      <x:c r="A669" s="254" t="n">
        <x:f>269</x:f>
        <x:v>269</x:v>
      </x:c>
      <x:c r="B669" s="440" t="n">
        <x:f>IF(ISNUMBER(H668),H668,"")</x:f>
        <x:v>341349.9714479041</x:v>
      </x:c>
      <x:c r="C669" s="442" t="n">
        <x:f>IF(ISNUMBER(B669),IF(AND(269&gt;$B$173,$B$78="Refinance",ISNUMBER($B$80),$B$80&gt;=0,$B$80&lt;=1,ROUND($B$81*12,0)&gt;=1,$B$81&lt;=100,SUM($B$82)&gt;=0,SUM($B$82)&lt;=1,SUM($B$83)&gt;=0),$B$80,IF(AND($B$175&gt;0,269&gt;$B$175,ISNUMBER($B$75)),$B$75,$B$61)),"")</x:f>
        <x:v>0.0625</x:v>
      </x:c>
      <x:c r="D669" s="440" t="n">
        <x:f>IF(AND(ISNUMBER(B669),B669=0),0,IF(AND($B$171=1,I668=0,ISNUMBER(C669),ISNUMBER(IF(AND(269&lt;=$B$174,269&lt;=$B$173),B669*C669/12,IF(AND(269=$B$173+1,AND(269&gt;$B$173,$B$78="Refinance",ISNUMBER($B$80),$B$80&gt;=0,$B$80&lt;=1,ROUND($B$81*12,0)&gt;=1,$B$81&lt;=100,SUM($B$82)&gt;=0,SUM($B$82)&lt;=1,SUM($B$83)&gt;=0)),IF(B669=0,0,IF(C669=0,B669/ROUND($B$81*12,0),B669*(C669/12)/(1-(1+C669/12)^(-ROUND($B$81*12,0))))),IF(AND(NOT(AND(269&gt;$B$173,$B$78="Refinance",ISNUMBER($B$80),$B$80&gt;=0,$B$80&lt;=1,ROUND($B$81*12,0)&gt;=1,$B$81&lt;=100,SUM($B$82)&gt;=0,SUM($B$82)&lt;=1,SUM($B$83)&gt;=0)),OR(269=1,269=$B$174+1,AND($B$175&gt;0,269=$B$175+1))),IF(AND($B$170=1,$B$66&gt;0,OR($B$175=0,269&lt;=$B$175)),$B$66,IF($B$172-MAX(269-1,$B$174)&gt;0,IF(B669=0,0,IF(C669=0,B669/($B$172-MAX(269-1,$B$174)),B669*(C669/12)/(1-(1+C669/12)^(-($B$172-MAX(269-1,$B$174)))))),"")),D668))))),IF(IF(AND(269&lt;=$B$174,269&lt;=$B$173),B669*C669/12,IF(AND(269=$B$173+1,AND(269&gt;$B$173,$B$78="Refinance",ISNUMBER($B$80),$B$80&gt;=0,$B$80&lt;=1,ROUND($B$81*12,0)&gt;=1,$B$81&lt;=100,SUM($B$82)&gt;=0,SUM($B$82)&lt;=1,SUM($B$83)&gt;=0)),IF(B669=0,0,IF(C669=0,B669/ROUND($B$81*12,0),B669*(C669/12)/(1-(1+C669/12)^(-ROUND($B$81*12,0))))),IF(AND(NOT(AND(269&gt;$B$173,$B$78="Refinance",ISNUMBER($B$80),$B$80&gt;=0,$B$80&lt;=1,ROUND($B$81*12,0)&gt;=1,$B$81&lt;=100,SUM($B$82)&gt;=0,SUM($B$82)&lt;=1,SUM($B$83)&gt;=0)),OR(269=1,269=$B$174+1,AND($B$175&gt;0,269=$B$175+1))),IF(AND($B$170=1,$B$66&gt;0,OR($B$175=0,269&lt;=$B$175)),$B$66,IF($B$172-MAX(269-1,$B$174)&gt;0,IF(B669=0,0,IF(C669=0,B669/($B$172-MAX(269-1,$B$174)),B669*(C669/12)/(1-(1+C669/12)^(-($B$172-MAX(269-1,$B$174)))))),"")),D668)))+0.0000001&gt;=B669*C669/12,MIN(B669*(1+C669/12),IF(AND(269&lt;=$B$174,269&lt;=$B$173),B669*C669/12,IF(AND(269=$B$173+1,AND(269&gt;$B$173,$B$78="Refinance",ISNUMBER($B$80),$B$80&gt;=0,$B$80&lt;=1,ROUND($B$81*12,0)&gt;=1,$B$81&lt;=100,SUM($B$82)&gt;=0,SUM($B$82)&lt;=1,SUM($B$83)&gt;=0)),IF(B669=0,0,IF(C669=0,B669/ROUND($B$81*12,0),B669*(C669/12)/(1-(1+C669/12)^(-ROUND($B$81*12,0))))),IF(AND(NOT(AND(269&gt;$B$173,$B$78="Refinance",ISNUMBER($B$80),$B$80&gt;=0,$B$80&lt;=1,ROUND($B$81*12,0)&gt;=1,$B$81&lt;=100,SUM($B$82)&gt;=0,SUM($B$82)&lt;=1,SUM($B$83)&gt;=0)),OR(269=1,269=$B$174+1,AND($B$175&gt;0,269=$B$175+1))),IF(AND($B$170=1,$B$66&gt;0,OR($B$175=0,269&lt;=$B$175)),$B$66,IF($B$172-MAX(269-1,$B$174)&gt;0,IF(B669=0,0,IF(C669=0,B669/($B$172-MAX(269-1,$B$174)),B669*(C669/12)/(1-(1+C669/12)^(-($B$172-MAX(269-1,$B$174)))))),"")),D668)))),""),""))</x:f>
        <x:v>4679.450723240598</x:v>
      </x:c>
      <x:c r="E669" s="440" t="n">
        <x:f>IF(AND(269=$B$173,ISNUMBER(D669)),IF(MAX(0,B669*(1+C669/12)-D669)&lt;MAX(0.0000001,$E$17*0.00000000001),0,MAX(0,B669*(1+C669/12)-D669)),0)</x:f>
        <x:v>0</x:v>
      </x:c>
      <x:c r="F669" s="440" t="n">
        <x:f>IF($B$78="Cash payoff",E669,0)</x:f>
        <x:v>0</x:v>
      </x:c>
      <x:c r="G669" s="440" t="n">
        <x:f>IF(AND(E669&gt;0,AND($B$78="Refinance",ISNUMBER($B$80),$B$80&gt;=0,$B$80&lt;=1,ROUND($B$81*12,0)&gt;=1,$B$81&lt;=100,SUM($B$82)&gt;=0,SUM($B$82)&lt;=1,SUM($B$83)&gt;=0)),E669*SUM($B$82)+SUM($B$83),0)</x:f>
        <x:v>0</x:v>
      </x:c>
      <x:c r="H669" s="440" t="n">
        <x:f>IF(ISNUMBER(D669),IF(MAX(0,B669*(1+C669/12)-D669-F669)&lt;MAX(0.0000001,$E$17*0.00000000001),0,MAX(0,B669*(1+C669/12)-D669-F669)),IF(AND($B$171=1,I668=1),B669,""))</x:f>
        <x:v>338448.385159288</x:v>
      </x:c>
      <x:c r="I669" s="444" t="n">
        <x:f>IF(OR(I668=1,AND(E669&gt;0,$B$78&lt;&gt;"Cash payoff",NOT(AND($B$78="Refinance",ISNUMBER($B$80),$B$80&gt;=0,$B$80&lt;=1,ROUND($B$81*12,0)&gt;=1,$B$81&lt;=100,SUM($B$82)&gt;=0,SUM($B$82)&lt;=1,SUM($B$83)&gt;=0))),AND(ISNUMBER(B669),B669&gt;0,$B$171=1,NOT(ISNUMBER(D669)))),1,0)</x:f>
        <x:v>0</x:v>
      </x:c>
      <x:c r="J669" s="440" t="n">
        <x:f>IF(ISNUMBER(L668),L668,"")</x:f>
        <x:v>0</x:v>
      </x:c>
      <x:c r="K669" s="440" t="n">
        <x:f>IF(AND(ISNUMBER(J669),J669=0),0,IF(AND($B$176=1,ISNUMBER(J669)),MIN(J669*(1+$B$87/12),IF($B$86=0,0,IF($B$87=0,$B$86/ROUND($B$88*12,0),$B$86*($B$87/12)/(1-(1+$B$87/12)^(-ROUND($B$88*12,0)))))),""))</x:f>
        <x:v>0</x:v>
      </x:c>
      <x:c r="L669" s="440" t="n">
        <x:f>IF(ISNUMBER(K669),IF(MAX(0,J669*(1+SUM($B$87)/12)-K669)&lt;MAX(0.0000001,$B$86*0.00000000001),0,MAX(0,J669*(1+SUM($B$87)/12)-K669)),"")</x:f>
        <x:v>0</x:v>
      </x:c>
      <x:c r="M669" s="440" t="n">
        <x:f>IF(AND(ISNUMBER(D669),ISNUMBER(K669)),D669+K669,"")</x:f>
        <x:v>4679.450723240598</x:v>
      </x:c>
      <x:c r="N669" s="440" t="n">
        <x:f>IF(AND(ISNUMBER(H669),ISNUMBER(L669)),H669+L669,"")</x:f>
        <x:v>338448.385159288</x:v>
      </x:c>
    </x:row>
    <x:row r="670" ht="22" customHeight="1">
      <x:c r="A670" s="254" t="n">
        <x:f>270</x:f>
        <x:v>270</x:v>
      </x:c>
      <x:c r="B670" s="440" t="n">
        <x:f>IF(ISNUMBER(H669),H669,"")</x:f>
        <x:v>338448.385159288</x:v>
      </x:c>
      <x:c r="C670" s="442" t="n">
        <x:f>IF(ISNUMBER(B670),IF(AND(270&gt;$B$173,$B$78="Refinance",ISNUMBER($B$80),$B$80&gt;=0,$B$80&lt;=1,ROUND($B$81*12,0)&gt;=1,$B$81&lt;=100,SUM($B$82)&gt;=0,SUM($B$82)&lt;=1,SUM($B$83)&gt;=0),$B$80,IF(AND($B$175&gt;0,270&gt;$B$175,ISNUMBER($B$75)),$B$75,$B$61)),"")</x:f>
        <x:v>0.0625</x:v>
      </x:c>
      <x:c r="D670" s="440" t="n">
        <x:f>IF(AND(ISNUMBER(B670),B670=0),0,IF(AND($B$171=1,I669=0,ISNUMBER(C670),ISNUMBER(IF(AND(270&lt;=$B$174,270&lt;=$B$173),B670*C670/12,IF(AND(270=$B$173+1,AND(270&gt;$B$173,$B$78="Refinance",ISNUMBER($B$80),$B$80&gt;=0,$B$80&lt;=1,ROUND($B$81*12,0)&gt;=1,$B$81&lt;=100,SUM($B$82)&gt;=0,SUM($B$82)&lt;=1,SUM($B$83)&gt;=0)),IF(B670=0,0,IF(C670=0,B670/ROUND($B$81*12,0),B670*(C670/12)/(1-(1+C670/12)^(-ROUND($B$81*12,0))))),IF(AND(NOT(AND(270&gt;$B$173,$B$78="Refinance",ISNUMBER($B$80),$B$80&gt;=0,$B$80&lt;=1,ROUND($B$81*12,0)&gt;=1,$B$81&lt;=100,SUM($B$82)&gt;=0,SUM($B$82)&lt;=1,SUM($B$83)&gt;=0)),OR(270=1,270=$B$174+1,AND($B$175&gt;0,270=$B$175+1))),IF(AND($B$170=1,$B$66&gt;0,OR($B$175=0,270&lt;=$B$175)),$B$66,IF($B$172-MAX(270-1,$B$174)&gt;0,IF(B670=0,0,IF(C670=0,B670/($B$172-MAX(270-1,$B$174)),B670*(C670/12)/(1-(1+C670/12)^(-($B$172-MAX(270-1,$B$174)))))),"")),D669))))),IF(IF(AND(270&lt;=$B$174,270&lt;=$B$173),B670*C670/12,IF(AND(270=$B$173+1,AND(270&gt;$B$173,$B$78="Refinance",ISNUMBER($B$80),$B$80&gt;=0,$B$80&lt;=1,ROUND($B$81*12,0)&gt;=1,$B$81&lt;=100,SUM($B$82)&gt;=0,SUM($B$82)&lt;=1,SUM($B$83)&gt;=0)),IF(B670=0,0,IF(C670=0,B670/ROUND($B$81*12,0),B670*(C670/12)/(1-(1+C670/12)^(-ROUND($B$81*12,0))))),IF(AND(NOT(AND(270&gt;$B$173,$B$78="Refinance",ISNUMBER($B$80),$B$80&gt;=0,$B$80&lt;=1,ROUND($B$81*12,0)&gt;=1,$B$81&lt;=100,SUM($B$82)&gt;=0,SUM($B$82)&lt;=1,SUM($B$83)&gt;=0)),OR(270=1,270=$B$174+1,AND($B$175&gt;0,270=$B$175+1))),IF(AND($B$170=1,$B$66&gt;0,OR($B$175=0,270&lt;=$B$175)),$B$66,IF($B$172-MAX(270-1,$B$174)&gt;0,IF(B670=0,0,IF(C670=0,B670/($B$172-MAX(270-1,$B$174)),B670*(C670/12)/(1-(1+C670/12)^(-($B$172-MAX(270-1,$B$174)))))),"")),D669)))+0.0000001&gt;=B670*C670/12,MIN(B670*(1+C670/12),IF(AND(270&lt;=$B$174,270&lt;=$B$173),B670*C670/12,IF(AND(270=$B$173+1,AND(270&gt;$B$173,$B$78="Refinance",ISNUMBER($B$80),$B$80&gt;=0,$B$80&lt;=1,ROUND($B$81*12,0)&gt;=1,$B$81&lt;=100,SUM($B$82)&gt;=0,SUM($B$82)&lt;=1,SUM($B$83)&gt;=0)),IF(B670=0,0,IF(C670=0,B670/ROUND($B$81*12,0),B670*(C670/12)/(1-(1+C670/12)^(-ROUND($B$81*12,0))))),IF(AND(NOT(AND(270&gt;$B$173,$B$78="Refinance",ISNUMBER($B$80),$B$80&gt;=0,$B$80&lt;=1,ROUND($B$81*12,0)&gt;=1,$B$81&lt;=100,SUM($B$82)&gt;=0,SUM($B$82)&lt;=1,SUM($B$83)&gt;=0)),OR(270=1,270=$B$174+1,AND($B$175&gt;0,270=$B$175+1))),IF(AND($B$170=1,$B$66&gt;0,OR($B$175=0,270&lt;=$B$175)),$B$66,IF($B$172-MAX(270-1,$B$174)&gt;0,IF(B670=0,0,IF(C670=0,B670/($B$172-MAX(270-1,$B$174)),B670*(C670/12)/(1-(1+C670/12)^(-($B$172-MAX(270-1,$B$174)))))),"")),D669)))),""),""))</x:f>
        <x:v>4679.450723240598</x:v>
      </x:c>
      <x:c r="E670" s="440" t="n">
        <x:f>IF(AND(270=$B$173,ISNUMBER(D670)),IF(MAX(0,B670*(1+C670/12)-D670)&lt;MAX(0.0000001,$E$17*0.00000000001),0,MAX(0,B670*(1+C670/12)-D670)),0)</x:f>
        <x:v>0</x:v>
      </x:c>
      <x:c r="F670" s="440" t="n">
        <x:f>IF($B$78="Cash payoff",E670,0)</x:f>
        <x:v>0</x:v>
      </x:c>
      <x:c r="G670" s="440" t="n">
        <x:f>IF(AND(E670&gt;0,AND($B$78="Refinance",ISNUMBER($B$80),$B$80&gt;=0,$B$80&lt;=1,ROUND($B$81*12,0)&gt;=1,$B$81&lt;=100,SUM($B$82)&gt;=0,SUM($B$82)&lt;=1,SUM($B$83)&gt;=0)),E670*SUM($B$82)+SUM($B$83),0)</x:f>
        <x:v>0</x:v>
      </x:c>
      <x:c r="H670" s="440" t="n">
        <x:f>IF(ISNUMBER(D670),IF(MAX(0,B670*(1+C670/12)-D670-F670)&lt;MAX(0.0000001,$E$17*0.00000000001),0,MAX(0,B670*(1+C670/12)-D670-F670)),IF(AND($B$171=1,I669=1),B670,""))</x:f>
        <x:v>335531.6864420853</x:v>
      </x:c>
      <x:c r="I670" s="444" t="n">
        <x:f>IF(OR(I669=1,AND(E670&gt;0,$B$78&lt;&gt;"Cash payoff",NOT(AND($B$78="Refinance",ISNUMBER($B$80),$B$80&gt;=0,$B$80&lt;=1,ROUND($B$81*12,0)&gt;=1,$B$81&lt;=100,SUM($B$82)&gt;=0,SUM($B$82)&lt;=1,SUM($B$83)&gt;=0))),AND(ISNUMBER(B670),B670&gt;0,$B$171=1,NOT(ISNUMBER(D670)))),1,0)</x:f>
        <x:v>0</x:v>
      </x:c>
      <x:c r="J670" s="440" t="n">
        <x:f>IF(ISNUMBER(L669),L669,"")</x:f>
        <x:v>0</x:v>
      </x:c>
      <x:c r="K670" s="440" t="n">
        <x:f>IF(AND(ISNUMBER(J670),J670=0),0,IF(AND($B$176=1,ISNUMBER(J670)),MIN(J670*(1+$B$87/12),IF($B$86=0,0,IF($B$87=0,$B$86/ROUND($B$88*12,0),$B$86*($B$87/12)/(1-(1+$B$87/12)^(-ROUND($B$88*12,0)))))),""))</x:f>
        <x:v>0</x:v>
      </x:c>
      <x:c r="L670" s="440" t="n">
        <x:f>IF(ISNUMBER(K670),IF(MAX(0,J670*(1+SUM($B$87)/12)-K670)&lt;MAX(0.0000001,$B$86*0.00000000001),0,MAX(0,J670*(1+SUM($B$87)/12)-K670)),"")</x:f>
        <x:v>0</x:v>
      </x:c>
      <x:c r="M670" s="440" t="n">
        <x:f>IF(AND(ISNUMBER(D670),ISNUMBER(K670)),D670+K670,"")</x:f>
        <x:v>4679.450723240598</x:v>
      </x:c>
      <x:c r="N670" s="440" t="n">
        <x:f>IF(AND(ISNUMBER(H670),ISNUMBER(L670)),H670+L670,"")</x:f>
        <x:v>335531.6864420853</x:v>
      </x:c>
    </x:row>
    <x:row r="671" ht="22" customHeight="1">
      <x:c r="A671" s="254" t="n">
        <x:f>271</x:f>
        <x:v>271</x:v>
      </x:c>
      <x:c r="B671" s="440" t="n">
        <x:f>IF(ISNUMBER(H670),H670,"")</x:f>
        <x:v>335531.6864420853</x:v>
      </x:c>
      <x:c r="C671" s="442" t="n">
        <x:f>IF(ISNUMBER(B671),IF(AND(271&gt;$B$173,$B$78="Refinance",ISNUMBER($B$80),$B$80&gt;=0,$B$80&lt;=1,ROUND($B$81*12,0)&gt;=1,$B$81&lt;=100,SUM($B$82)&gt;=0,SUM($B$82)&lt;=1,SUM($B$83)&gt;=0),$B$80,IF(AND($B$175&gt;0,271&gt;$B$175,ISNUMBER($B$75)),$B$75,$B$61)),"")</x:f>
        <x:v>0.0625</x:v>
      </x:c>
      <x:c r="D671" s="440" t="n">
        <x:f>IF(AND(ISNUMBER(B671),B671=0),0,IF(AND($B$171=1,I670=0,ISNUMBER(C671),ISNUMBER(IF(AND(271&lt;=$B$174,271&lt;=$B$173),B671*C671/12,IF(AND(271=$B$173+1,AND(271&gt;$B$173,$B$78="Refinance",ISNUMBER($B$80),$B$80&gt;=0,$B$80&lt;=1,ROUND($B$81*12,0)&gt;=1,$B$81&lt;=100,SUM($B$82)&gt;=0,SUM($B$82)&lt;=1,SUM($B$83)&gt;=0)),IF(B671=0,0,IF(C671=0,B671/ROUND($B$81*12,0),B671*(C671/12)/(1-(1+C671/12)^(-ROUND($B$81*12,0))))),IF(AND(NOT(AND(271&gt;$B$173,$B$78="Refinance",ISNUMBER($B$80),$B$80&gt;=0,$B$80&lt;=1,ROUND($B$81*12,0)&gt;=1,$B$81&lt;=100,SUM($B$82)&gt;=0,SUM($B$82)&lt;=1,SUM($B$83)&gt;=0)),OR(271=1,271=$B$174+1,AND($B$175&gt;0,271=$B$175+1))),IF(AND($B$170=1,$B$66&gt;0,OR($B$175=0,271&lt;=$B$175)),$B$66,IF($B$172-MAX(271-1,$B$174)&gt;0,IF(B671=0,0,IF(C671=0,B671/($B$172-MAX(271-1,$B$174)),B671*(C671/12)/(1-(1+C671/12)^(-($B$172-MAX(271-1,$B$174)))))),"")),D670))))),IF(IF(AND(271&lt;=$B$174,271&lt;=$B$173),B671*C671/12,IF(AND(271=$B$173+1,AND(271&gt;$B$173,$B$78="Refinance",ISNUMBER($B$80),$B$80&gt;=0,$B$80&lt;=1,ROUND($B$81*12,0)&gt;=1,$B$81&lt;=100,SUM($B$82)&gt;=0,SUM($B$82)&lt;=1,SUM($B$83)&gt;=0)),IF(B671=0,0,IF(C671=0,B671/ROUND($B$81*12,0),B671*(C671/12)/(1-(1+C671/12)^(-ROUND($B$81*12,0))))),IF(AND(NOT(AND(271&gt;$B$173,$B$78="Refinance",ISNUMBER($B$80),$B$80&gt;=0,$B$80&lt;=1,ROUND($B$81*12,0)&gt;=1,$B$81&lt;=100,SUM($B$82)&gt;=0,SUM($B$82)&lt;=1,SUM($B$83)&gt;=0)),OR(271=1,271=$B$174+1,AND($B$175&gt;0,271=$B$175+1))),IF(AND($B$170=1,$B$66&gt;0,OR($B$175=0,271&lt;=$B$175)),$B$66,IF($B$172-MAX(271-1,$B$174)&gt;0,IF(B671=0,0,IF(C671=0,B671/($B$172-MAX(271-1,$B$174)),B671*(C671/12)/(1-(1+C671/12)^(-($B$172-MAX(271-1,$B$174)))))),"")),D670)))+0.0000001&gt;=B671*C671/12,MIN(B671*(1+C671/12),IF(AND(271&lt;=$B$174,271&lt;=$B$173),B671*C671/12,IF(AND(271=$B$173+1,AND(271&gt;$B$173,$B$78="Refinance",ISNUMBER($B$80),$B$80&gt;=0,$B$80&lt;=1,ROUND($B$81*12,0)&gt;=1,$B$81&lt;=100,SUM($B$82)&gt;=0,SUM($B$82)&lt;=1,SUM($B$83)&gt;=0)),IF(B671=0,0,IF(C671=0,B671/ROUND($B$81*12,0),B671*(C671/12)/(1-(1+C671/12)^(-ROUND($B$81*12,0))))),IF(AND(NOT(AND(271&gt;$B$173,$B$78="Refinance",ISNUMBER($B$80),$B$80&gt;=0,$B$80&lt;=1,ROUND($B$81*12,0)&gt;=1,$B$81&lt;=100,SUM($B$82)&gt;=0,SUM($B$82)&lt;=1,SUM($B$83)&gt;=0)),OR(271=1,271=$B$174+1,AND($B$175&gt;0,271=$B$175+1))),IF(AND($B$170=1,$B$66&gt;0,OR($B$175=0,271&lt;=$B$175)),$B$66,IF($B$172-MAX(271-1,$B$174)&gt;0,IF(B671=0,0,IF(C671=0,B671/($B$172-MAX(271-1,$B$174)),B671*(C671/12)/(1-(1+C671/12)^(-($B$172-MAX(271-1,$B$174)))))),"")),D670)))),""),""))</x:f>
        <x:v>4679.450723240598</x:v>
      </x:c>
      <x:c r="E671" s="440" t="n">
        <x:f>IF(AND(271=$B$173,ISNUMBER(D671)),IF(MAX(0,B671*(1+C671/12)-D671)&lt;MAX(0.0000001,$E$17*0.00000000001),0,MAX(0,B671*(1+C671/12)-D671)),0)</x:f>
        <x:v>0</x:v>
      </x:c>
      <x:c r="F671" s="440" t="n">
        <x:f>IF($B$78="Cash payoff",E671,0)</x:f>
        <x:v>0</x:v>
      </x:c>
      <x:c r="G671" s="440" t="n">
        <x:f>IF(AND(E671&gt;0,AND($B$78="Refinance",ISNUMBER($B$80),$B$80&gt;=0,$B$80&lt;=1,ROUND($B$81*12,0)&gt;=1,$B$81&lt;=100,SUM($B$82)&gt;=0,SUM($B$82)&lt;=1,SUM($B$83)&gt;=0)),E671*SUM($B$82)+SUM($B$83),0)</x:f>
        <x:v>0</x:v>
      </x:c>
      <x:c r="H671" s="440" t="n">
        <x:f>IF(ISNUMBER(D671),IF(MAX(0,B671*(1+C671/12)-D671-F671)&lt;MAX(0.0000001,$E$17*0.00000000001),0,MAX(0,B671*(1+C671/12)-D671-F671)),IF(AND($B$171=1,I670=1),B671,""))</x:f>
        <x:v>332599.7965857305</x:v>
      </x:c>
      <x:c r="I671" s="444" t="n">
        <x:f>IF(OR(I670=1,AND(E671&gt;0,$B$78&lt;&gt;"Cash payoff",NOT(AND($B$78="Refinance",ISNUMBER($B$80),$B$80&gt;=0,$B$80&lt;=1,ROUND($B$81*12,0)&gt;=1,$B$81&lt;=100,SUM($B$82)&gt;=0,SUM($B$82)&lt;=1,SUM($B$83)&gt;=0))),AND(ISNUMBER(B671),B671&gt;0,$B$171=1,NOT(ISNUMBER(D671)))),1,0)</x:f>
        <x:v>0</x:v>
      </x:c>
      <x:c r="J671" s="440" t="n">
        <x:f>IF(ISNUMBER(L670),L670,"")</x:f>
        <x:v>0</x:v>
      </x:c>
      <x:c r="K671" s="440" t="n">
        <x:f>IF(AND(ISNUMBER(J671),J671=0),0,IF(AND($B$176=1,ISNUMBER(J671)),MIN(J671*(1+$B$87/12),IF($B$86=0,0,IF($B$87=0,$B$86/ROUND($B$88*12,0),$B$86*($B$87/12)/(1-(1+$B$87/12)^(-ROUND($B$88*12,0)))))),""))</x:f>
        <x:v>0</x:v>
      </x:c>
      <x:c r="L671" s="440" t="n">
        <x:f>IF(ISNUMBER(K671),IF(MAX(0,J671*(1+SUM($B$87)/12)-K671)&lt;MAX(0.0000001,$B$86*0.00000000001),0,MAX(0,J671*(1+SUM($B$87)/12)-K671)),"")</x:f>
        <x:v>0</x:v>
      </x:c>
      <x:c r="M671" s="440" t="n">
        <x:f>IF(AND(ISNUMBER(D671),ISNUMBER(K671)),D671+K671,"")</x:f>
        <x:v>4679.450723240598</x:v>
      </x:c>
      <x:c r="N671" s="440" t="n">
        <x:f>IF(AND(ISNUMBER(H671),ISNUMBER(L671)),H671+L671,"")</x:f>
        <x:v>332599.7965857305</x:v>
      </x:c>
    </x:row>
    <x:row r="672" ht="22" customHeight="1">
      <x:c r="A672" s="254" t="n">
        <x:f>272</x:f>
        <x:v>272</x:v>
      </x:c>
      <x:c r="B672" s="440" t="n">
        <x:f>IF(ISNUMBER(H671),H671,"")</x:f>
        <x:v>332599.7965857305</x:v>
      </x:c>
      <x:c r="C672" s="442" t="n">
        <x:f>IF(ISNUMBER(B672),IF(AND(272&gt;$B$173,$B$78="Refinance",ISNUMBER($B$80),$B$80&gt;=0,$B$80&lt;=1,ROUND($B$81*12,0)&gt;=1,$B$81&lt;=100,SUM($B$82)&gt;=0,SUM($B$82)&lt;=1,SUM($B$83)&gt;=0),$B$80,IF(AND($B$175&gt;0,272&gt;$B$175,ISNUMBER($B$75)),$B$75,$B$61)),"")</x:f>
        <x:v>0.0625</x:v>
      </x:c>
      <x:c r="D672" s="440" t="n">
        <x:f>IF(AND(ISNUMBER(B672),B672=0),0,IF(AND($B$171=1,I671=0,ISNUMBER(C672),ISNUMBER(IF(AND(272&lt;=$B$174,272&lt;=$B$173),B672*C672/12,IF(AND(272=$B$173+1,AND(272&gt;$B$173,$B$78="Refinance",ISNUMBER($B$80),$B$80&gt;=0,$B$80&lt;=1,ROUND($B$81*12,0)&gt;=1,$B$81&lt;=100,SUM($B$82)&gt;=0,SUM($B$82)&lt;=1,SUM($B$83)&gt;=0)),IF(B672=0,0,IF(C672=0,B672/ROUND($B$81*12,0),B672*(C672/12)/(1-(1+C672/12)^(-ROUND($B$81*12,0))))),IF(AND(NOT(AND(272&gt;$B$173,$B$78="Refinance",ISNUMBER($B$80),$B$80&gt;=0,$B$80&lt;=1,ROUND($B$81*12,0)&gt;=1,$B$81&lt;=100,SUM($B$82)&gt;=0,SUM($B$82)&lt;=1,SUM($B$83)&gt;=0)),OR(272=1,272=$B$174+1,AND($B$175&gt;0,272=$B$175+1))),IF(AND($B$170=1,$B$66&gt;0,OR($B$175=0,272&lt;=$B$175)),$B$66,IF($B$172-MAX(272-1,$B$174)&gt;0,IF(B672=0,0,IF(C672=0,B672/($B$172-MAX(272-1,$B$174)),B672*(C672/12)/(1-(1+C672/12)^(-($B$172-MAX(272-1,$B$174)))))),"")),D671))))),IF(IF(AND(272&lt;=$B$174,272&lt;=$B$173),B672*C672/12,IF(AND(272=$B$173+1,AND(272&gt;$B$173,$B$78="Refinance",ISNUMBER($B$80),$B$80&gt;=0,$B$80&lt;=1,ROUND($B$81*12,0)&gt;=1,$B$81&lt;=100,SUM($B$82)&gt;=0,SUM($B$82)&lt;=1,SUM($B$83)&gt;=0)),IF(B672=0,0,IF(C672=0,B672/ROUND($B$81*12,0),B672*(C672/12)/(1-(1+C672/12)^(-ROUND($B$81*12,0))))),IF(AND(NOT(AND(272&gt;$B$173,$B$78="Refinance",ISNUMBER($B$80),$B$80&gt;=0,$B$80&lt;=1,ROUND($B$81*12,0)&gt;=1,$B$81&lt;=100,SUM($B$82)&gt;=0,SUM($B$82)&lt;=1,SUM($B$83)&gt;=0)),OR(272=1,272=$B$174+1,AND($B$175&gt;0,272=$B$175+1))),IF(AND($B$170=1,$B$66&gt;0,OR($B$175=0,272&lt;=$B$175)),$B$66,IF($B$172-MAX(272-1,$B$174)&gt;0,IF(B672=0,0,IF(C672=0,B672/($B$172-MAX(272-1,$B$174)),B672*(C672/12)/(1-(1+C672/12)^(-($B$172-MAX(272-1,$B$174)))))),"")),D671)))+0.0000001&gt;=B672*C672/12,MIN(B672*(1+C672/12),IF(AND(272&lt;=$B$174,272&lt;=$B$173),B672*C672/12,IF(AND(272=$B$173+1,AND(272&gt;$B$173,$B$78="Refinance",ISNUMBER($B$80),$B$80&gt;=0,$B$80&lt;=1,ROUND($B$81*12,0)&gt;=1,$B$81&lt;=100,SUM($B$82)&gt;=0,SUM($B$82)&lt;=1,SUM($B$83)&gt;=0)),IF(B672=0,0,IF(C672=0,B672/ROUND($B$81*12,0),B672*(C672/12)/(1-(1+C672/12)^(-ROUND($B$81*12,0))))),IF(AND(NOT(AND(272&gt;$B$173,$B$78="Refinance",ISNUMBER($B$80),$B$80&gt;=0,$B$80&lt;=1,ROUND($B$81*12,0)&gt;=1,$B$81&lt;=100,SUM($B$82)&gt;=0,SUM($B$82)&lt;=1,SUM($B$83)&gt;=0)),OR(272=1,272=$B$174+1,AND($B$175&gt;0,272=$B$175+1))),IF(AND($B$170=1,$B$66&gt;0,OR($B$175=0,272&lt;=$B$175)),$B$66,IF($B$172-MAX(272-1,$B$174)&gt;0,IF(B672=0,0,IF(C672=0,B672/($B$172-MAX(272-1,$B$174)),B672*(C672/12)/(1-(1+C672/12)^(-($B$172-MAX(272-1,$B$174)))))),"")),D671)))),""),""))</x:f>
        <x:v>4679.450723240598</x:v>
      </x:c>
      <x:c r="E672" s="440" t="n">
        <x:f>IF(AND(272=$B$173,ISNUMBER(D672)),IF(MAX(0,B672*(1+C672/12)-D672)&lt;MAX(0.0000001,$E$17*0.00000000001),0,MAX(0,B672*(1+C672/12)-D672)),0)</x:f>
        <x:v>0</x:v>
      </x:c>
      <x:c r="F672" s="440" t="n">
        <x:f>IF($B$78="Cash payoff",E672,0)</x:f>
        <x:v>0</x:v>
      </x:c>
      <x:c r="G672" s="440" t="n">
        <x:f>IF(AND(E672&gt;0,AND($B$78="Refinance",ISNUMBER($B$80),$B$80&gt;=0,$B$80&lt;=1,ROUND($B$81*12,0)&gt;=1,$B$81&lt;=100,SUM($B$82)&gt;=0,SUM($B$82)&lt;=1,SUM($B$83)&gt;=0)),E672*SUM($B$82)+SUM($B$83),0)</x:f>
        <x:v>0</x:v>
      </x:c>
      <x:c r="H672" s="440" t="n">
        <x:f>IF(ISNUMBER(D672),IF(MAX(0,B672*(1+C672/12)-D672-F672)&lt;MAX(0.0000001,$E$17*0.00000000001),0,MAX(0,B672*(1+C672/12)-D672-F672)),IF(AND($B$171=1,I671=1),B672,""))</x:f>
        <x:v>329652.63646970724</x:v>
      </x:c>
      <x:c r="I672" s="444" t="n">
        <x:f>IF(OR(I671=1,AND(E672&gt;0,$B$78&lt;&gt;"Cash payoff",NOT(AND($B$78="Refinance",ISNUMBER($B$80),$B$80&gt;=0,$B$80&lt;=1,ROUND($B$81*12,0)&gt;=1,$B$81&lt;=100,SUM($B$82)&gt;=0,SUM($B$82)&lt;=1,SUM($B$83)&gt;=0))),AND(ISNUMBER(B672),B672&gt;0,$B$171=1,NOT(ISNUMBER(D672)))),1,0)</x:f>
        <x:v>0</x:v>
      </x:c>
      <x:c r="J672" s="440" t="n">
        <x:f>IF(ISNUMBER(L671),L671,"")</x:f>
        <x:v>0</x:v>
      </x:c>
      <x:c r="K672" s="440" t="n">
        <x:f>IF(AND(ISNUMBER(J672),J672=0),0,IF(AND($B$176=1,ISNUMBER(J672)),MIN(J672*(1+$B$87/12),IF($B$86=0,0,IF($B$87=0,$B$86/ROUND($B$88*12,0),$B$86*($B$87/12)/(1-(1+$B$87/12)^(-ROUND($B$88*12,0)))))),""))</x:f>
        <x:v>0</x:v>
      </x:c>
      <x:c r="L672" s="440" t="n">
        <x:f>IF(ISNUMBER(K672),IF(MAX(0,J672*(1+SUM($B$87)/12)-K672)&lt;MAX(0.0000001,$B$86*0.00000000001),0,MAX(0,J672*(1+SUM($B$87)/12)-K672)),"")</x:f>
        <x:v>0</x:v>
      </x:c>
      <x:c r="M672" s="440" t="n">
        <x:f>IF(AND(ISNUMBER(D672),ISNUMBER(K672)),D672+K672,"")</x:f>
        <x:v>4679.450723240598</x:v>
      </x:c>
      <x:c r="N672" s="440" t="n">
        <x:f>IF(AND(ISNUMBER(H672),ISNUMBER(L672)),H672+L672,"")</x:f>
        <x:v>329652.63646970724</x:v>
      </x:c>
    </x:row>
    <x:row r="673" ht="22" customHeight="1">
      <x:c r="A673" s="254" t="n">
        <x:f>273</x:f>
        <x:v>273</x:v>
      </x:c>
      <x:c r="B673" s="440" t="n">
        <x:f>IF(ISNUMBER(H672),H672,"")</x:f>
        <x:v>329652.63646970724</x:v>
      </x:c>
      <x:c r="C673" s="442" t="n">
        <x:f>IF(ISNUMBER(B673),IF(AND(273&gt;$B$173,$B$78="Refinance",ISNUMBER($B$80),$B$80&gt;=0,$B$80&lt;=1,ROUND($B$81*12,0)&gt;=1,$B$81&lt;=100,SUM($B$82)&gt;=0,SUM($B$82)&lt;=1,SUM($B$83)&gt;=0),$B$80,IF(AND($B$175&gt;0,273&gt;$B$175,ISNUMBER($B$75)),$B$75,$B$61)),"")</x:f>
        <x:v>0.0625</x:v>
      </x:c>
      <x:c r="D673" s="440" t="n">
        <x:f>IF(AND(ISNUMBER(B673),B673=0),0,IF(AND($B$171=1,I672=0,ISNUMBER(C673),ISNUMBER(IF(AND(273&lt;=$B$174,273&lt;=$B$173),B673*C673/12,IF(AND(273=$B$173+1,AND(273&gt;$B$173,$B$78="Refinance",ISNUMBER($B$80),$B$80&gt;=0,$B$80&lt;=1,ROUND($B$81*12,0)&gt;=1,$B$81&lt;=100,SUM($B$82)&gt;=0,SUM($B$82)&lt;=1,SUM($B$83)&gt;=0)),IF(B673=0,0,IF(C673=0,B673/ROUND($B$81*12,0),B673*(C673/12)/(1-(1+C673/12)^(-ROUND($B$81*12,0))))),IF(AND(NOT(AND(273&gt;$B$173,$B$78="Refinance",ISNUMBER($B$80),$B$80&gt;=0,$B$80&lt;=1,ROUND($B$81*12,0)&gt;=1,$B$81&lt;=100,SUM($B$82)&gt;=0,SUM($B$82)&lt;=1,SUM($B$83)&gt;=0)),OR(273=1,273=$B$174+1,AND($B$175&gt;0,273=$B$175+1))),IF(AND($B$170=1,$B$66&gt;0,OR($B$175=0,273&lt;=$B$175)),$B$66,IF($B$172-MAX(273-1,$B$174)&gt;0,IF(B673=0,0,IF(C673=0,B673/($B$172-MAX(273-1,$B$174)),B673*(C673/12)/(1-(1+C673/12)^(-($B$172-MAX(273-1,$B$174)))))),"")),D672))))),IF(IF(AND(273&lt;=$B$174,273&lt;=$B$173),B673*C673/12,IF(AND(273=$B$173+1,AND(273&gt;$B$173,$B$78="Refinance",ISNUMBER($B$80),$B$80&gt;=0,$B$80&lt;=1,ROUND($B$81*12,0)&gt;=1,$B$81&lt;=100,SUM($B$82)&gt;=0,SUM($B$82)&lt;=1,SUM($B$83)&gt;=0)),IF(B673=0,0,IF(C673=0,B673/ROUND($B$81*12,0),B673*(C673/12)/(1-(1+C673/12)^(-ROUND($B$81*12,0))))),IF(AND(NOT(AND(273&gt;$B$173,$B$78="Refinance",ISNUMBER($B$80),$B$80&gt;=0,$B$80&lt;=1,ROUND($B$81*12,0)&gt;=1,$B$81&lt;=100,SUM($B$82)&gt;=0,SUM($B$82)&lt;=1,SUM($B$83)&gt;=0)),OR(273=1,273=$B$174+1,AND($B$175&gt;0,273=$B$175+1))),IF(AND($B$170=1,$B$66&gt;0,OR($B$175=0,273&lt;=$B$175)),$B$66,IF($B$172-MAX(273-1,$B$174)&gt;0,IF(B673=0,0,IF(C673=0,B673/($B$172-MAX(273-1,$B$174)),B673*(C673/12)/(1-(1+C673/12)^(-($B$172-MAX(273-1,$B$174)))))),"")),D672)))+0.0000001&gt;=B673*C673/12,MIN(B673*(1+C673/12),IF(AND(273&lt;=$B$174,273&lt;=$B$173),B673*C673/12,IF(AND(273=$B$173+1,AND(273&gt;$B$173,$B$78="Refinance",ISNUMBER($B$80),$B$80&gt;=0,$B$80&lt;=1,ROUND($B$81*12,0)&gt;=1,$B$81&lt;=100,SUM($B$82)&gt;=0,SUM($B$82)&lt;=1,SUM($B$83)&gt;=0)),IF(B673=0,0,IF(C673=0,B673/ROUND($B$81*12,0),B673*(C673/12)/(1-(1+C673/12)^(-ROUND($B$81*12,0))))),IF(AND(NOT(AND(273&gt;$B$173,$B$78="Refinance",ISNUMBER($B$80),$B$80&gt;=0,$B$80&lt;=1,ROUND($B$81*12,0)&gt;=1,$B$81&lt;=100,SUM($B$82)&gt;=0,SUM($B$82)&lt;=1,SUM($B$83)&gt;=0)),OR(273=1,273=$B$174+1,AND($B$175&gt;0,273=$B$175+1))),IF(AND($B$170=1,$B$66&gt;0,OR($B$175=0,273&lt;=$B$175)),$B$66,IF($B$172-MAX(273-1,$B$174)&gt;0,IF(B673=0,0,IF(C673=0,B673/($B$172-MAX(273-1,$B$174)),B673*(C673/12)/(1-(1+C673/12)^(-($B$172-MAX(273-1,$B$174)))))),"")),D672)))),""),""))</x:f>
        <x:v>4679.450723240598</x:v>
      </x:c>
      <x:c r="E673" s="440" t="n">
        <x:f>IF(AND(273=$B$173,ISNUMBER(D673)),IF(MAX(0,B673*(1+C673/12)-D673)&lt;MAX(0.0000001,$E$17*0.00000000001),0,MAX(0,B673*(1+C673/12)-D673)),0)</x:f>
        <x:v>0</x:v>
      </x:c>
      <x:c r="F673" s="440" t="n">
        <x:f>IF($B$78="Cash payoff",E673,0)</x:f>
        <x:v>0</x:v>
      </x:c>
      <x:c r="G673" s="440" t="n">
        <x:f>IF(AND(E673&gt;0,AND($B$78="Refinance",ISNUMBER($B$80),$B$80&gt;=0,$B$80&lt;=1,ROUND($B$81*12,0)&gt;=1,$B$81&lt;=100,SUM($B$82)&gt;=0,SUM($B$82)&lt;=1,SUM($B$83)&gt;=0)),E673*SUM($B$82)+SUM($B$83),0)</x:f>
        <x:v>0</x:v>
      </x:c>
      <x:c r="H673" s="440" t="n">
        <x:f>IF(ISNUMBER(D673),IF(MAX(0,B673*(1+C673/12)-D673-F673)&lt;MAX(0.0000001,$E$17*0.00000000001),0,MAX(0,B673*(1+C673/12)-D673-F673)),IF(AND($B$171=1,I672=1),B673,""))</x:f>
        <x:v>326690.126561413</x:v>
      </x:c>
      <x:c r="I673" s="444" t="n">
        <x:f>IF(OR(I672=1,AND(E673&gt;0,$B$78&lt;&gt;"Cash payoff",NOT(AND($B$78="Refinance",ISNUMBER($B$80),$B$80&gt;=0,$B$80&lt;=1,ROUND($B$81*12,0)&gt;=1,$B$81&lt;=100,SUM($B$82)&gt;=0,SUM($B$82)&lt;=1,SUM($B$83)&gt;=0))),AND(ISNUMBER(B673),B673&gt;0,$B$171=1,NOT(ISNUMBER(D673)))),1,0)</x:f>
        <x:v>0</x:v>
      </x:c>
      <x:c r="J673" s="440" t="n">
        <x:f>IF(ISNUMBER(L672),L672,"")</x:f>
        <x:v>0</x:v>
      </x:c>
      <x:c r="K673" s="440" t="n">
        <x:f>IF(AND(ISNUMBER(J673),J673=0),0,IF(AND($B$176=1,ISNUMBER(J673)),MIN(J673*(1+$B$87/12),IF($B$86=0,0,IF($B$87=0,$B$86/ROUND($B$88*12,0),$B$86*($B$87/12)/(1-(1+$B$87/12)^(-ROUND($B$88*12,0)))))),""))</x:f>
        <x:v>0</x:v>
      </x:c>
      <x:c r="L673" s="440" t="n">
        <x:f>IF(ISNUMBER(K673),IF(MAX(0,J673*(1+SUM($B$87)/12)-K673)&lt;MAX(0.0000001,$B$86*0.00000000001),0,MAX(0,J673*(1+SUM($B$87)/12)-K673)),"")</x:f>
        <x:v>0</x:v>
      </x:c>
      <x:c r="M673" s="440" t="n">
        <x:f>IF(AND(ISNUMBER(D673),ISNUMBER(K673)),D673+K673,"")</x:f>
        <x:v>4679.450723240598</x:v>
      </x:c>
      <x:c r="N673" s="440" t="n">
        <x:f>IF(AND(ISNUMBER(H673),ISNUMBER(L673)),H673+L673,"")</x:f>
        <x:v>326690.126561413</x:v>
      </x:c>
    </x:row>
    <x:row r="674" ht="22" customHeight="1">
      <x:c r="A674" s="254" t="n">
        <x:f>274</x:f>
        <x:v>274</x:v>
      </x:c>
      <x:c r="B674" s="440" t="n">
        <x:f>IF(ISNUMBER(H673),H673,"")</x:f>
        <x:v>326690.126561413</x:v>
      </x:c>
      <x:c r="C674" s="442" t="n">
        <x:f>IF(ISNUMBER(B674),IF(AND(274&gt;$B$173,$B$78="Refinance",ISNUMBER($B$80),$B$80&gt;=0,$B$80&lt;=1,ROUND($B$81*12,0)&gt;=1,$B$81&lt;=100,SUM($B$82)&gt;=0,SUM($B$82)&lt;=1,SUM($B$83)&gt;=0),$B$80,IF(AND($B$175&gt;0,274&gt;$B$175,ISNUMBER($B$75)),$B$75,$B$61)),"")</x:f>
        <x:v>0.0625</x:v>
      </x:c>
      <x:c r="D674" s="440" t="n">
        <x:f>IF(AND(ISNUMBER(B674),B674=0),0,IF(AND($B$171=1,I673=0,ISNUMBER(C674),ISNUMBER(IF(AND(274&lt;=$B$174,274&lt;=$B$173),B674*C674/12,IF(AND(274=$B$173+1,AND(274&gt;$B$173,$B$78="Refinance",ISNUMBER($B$80),$B$80&gt;=0,$B$80&lt;=1,ROUND($B$81*12,0)&gt;=1,$B$81&lt;=100,SUM($B$82)&gt;=0,SUM($B$82)&lt;=1,SUM($B$83)&gt;=0)),IF(B674=0,0,IF(C674=0,B674/ROUND($B$81*12,0),B674*(C674/12)/(1-(1+C674/12)^(-ROUND($B$81*12,0))))),IF(AND(NOT(AND(274&gt;$B$173,$B$78="Refinance",ISNUMBER($B$80),$B$80&gt;=0,$B$80&lt;=1,ROUND($B$81*12,0)&gt;=1,$B$81&lt;=100,SUM($B$82)&gt;=0,SUM($B$82)&lt;=1,SUM($B$83)&gt;=0)),OR(274=1,274=$B$174+1,AND($B$175&gt;0,274=$B$175+1))),IF(AND($B$170=1,$B$66&gt;0,OR($B$175=0,274&lt;=$B$175)),$B$66,IF($B$172-MAX(274-1,$B$174)&gt;0,IF(B674=0,0,IF(C674=0,B674/($B$172-MAX(274-1,$B$174)),B674*(C674/12)/(1-(1+C674/12)^(-($B$172-MAX(274-1,$B$174)))))),"")),D673))))),IF(IF(AND(274&lt;=$B$174,274&lt;=$B$173),B674*C674/12,IF(AND(274=$B$173+1,AND(274&gt;$B$173,$B$78="Refinance",ISNUMBER($B$80),$B$80&gt;=0,$B$80&lt;=1,ROUND($B$81*12,0)&gt;=1,$B$81&lt;=100,SUM($B$82)&gt;=0,SUM($B$82)&lt;=1,SUM($B$83)&gt;=0)),IF(B674=0,0,IF(C674=0,B674/ROUND($B$81*12,0),B674*(C674/12)/(1-(1+C674/12)^(-ROUND($B$81*12,0))))),IF(AND(NOT(AND(274&gt;$B$173,$B$78="Refinance",ISNUMBER($B$80),$B$80&gt;=0,$B$80&lt;=1,ROUND($B$81*12,0)&gt;=1,$B$81&lt;=100,SUM($B$82)&gt;=0,SUM($B$82)&lt;=1,SUM($B$83)&gt;=0)),OR(274=1,274=$B$174+1,AND($B$175&gt;0,274=$B$175+1))),IF(AND($B$170=1,$B$66&gt;0,OR($B$175=0,274&lt;=$B$175)),$B$66,IF($B$172-MAX(274-1,$B$174)&gt;0,IF(B674=0,0,IF(C674=0,B674/($B$172-MAX(274-1,$B$174)),B674*(C674/12)/(1-(1+C674/12)^(-($B$172-MAX(274-1,$B$174)))))),"")),D673)))+0.0000001&gt;=B674*C674/12,MIN(B674*(1+C674/12),IF(AND(274&lt;=$B$174,274&lt;=$B$173),B674*C674/12,IF(AND(274=$B$173+1,AND(274&gt;$B$173,$B$78="Refinance",ISNUMBER($B$80),$B$80&gt;=0,$B$80&lt;=1,ROUND($B$81*12,0)&gt;=1,$B$81&lt;=100,SUM($B$82)&gt;=0,SUM($B$82)&lt;=1,SUM($B$83)&gt;=0)),IF(B674=0,0,IF(C674=0,B674/ROUND($B$81*12,0),B674*(C674/12)/(1-(1+C674/12)^(-ROUND($B$81*12,0))))),IF(AND(NOT(AND(274&gt;$B$173,$B$78="Refinance",ISNUMBER($B$80),$B$80&gt;=0,$B$80&lt;=1,ROUND($B$81*12,0)&gt;=1,$B$81&lt;=100,SUM($B$82)&gt;=0,SUM($B$82)&lt;=1,SUM($B$83)&gt;=0)),OR(274=1,274=$B$174+1,AND($B$175&gt;0,274=$B$175+1))),IF(AND($B$170=1,$B$66&gt;0,OR($B$175=0,274&lt;=$B$175)),$B$66,IF($B$172-MAX(274-1,$B$174)&gt;0,IF(B674=0,0,IF(C674=0,B674/($B$172-MAX(274-1,$B$174)),B674*(C674/12)/(1-(1+C674/12)^(-($B$172-MAX(274-1,$B$174)))))),"")),D673)))),""),""))</x:f>
        <x:v>4679.450723240598</x:v>
      </x:c>
      <x:c r="E674" s="440" t="n">
        <x:f>IF(AND(274=$B$173,ISNUMBER(D674)),IF(MAX(0,B674*(1+C674/12)-D674)&lt;MAX(0.0000001,$E$17*0.00000000001),0,MAX(0,B674*(1+C674/12)-D674)),0)</x:f>
        <x:v>0</x:v>
      </x:c>
      <x:c r="F674" s="440" t="n">
        <x:f>IF($B$78="Cash payoff",E674,0)</x:f>
        <x:v>0</x:v>
      </x:c>
      <x:c r="G674" s="440" t="n">
        <x:f>IF(AND(E674&gt;0,AND($B$78="Refinance",ISNUMBER($B$80),$B$80&gt;=0,$B$80&lt;=1,ROUND($B$81*12,0)&gt;=1,$B$81&lt;=100,SUM($B$82)&gt;=0,SUM($B$82)&lt;=1,SUM($B$83)&gt;=0)),E674*SUM($B$82)+SUM($B$83),0)</x:f>
        <x:v>0</x:v>
      </x:c>
      <x:c r="H674" s="440" t="n">
        <x:f>IF(ISNUMBER(D674),IF(MAX(0,B674*(1+C674/12)-D674-F674)&lt;MAX(0.0000001,$E$17*0.00000000001),0,MAX(0,B674*(1+C674/12)-D674-F674)),IF(AND($B$171=1,I673=1),B674,""))</x:f>
        <x:v>323712.18691401306</x:v>
      </x:c>
      <x:c r="I674" s="444" t="n">
        <x:f>IF(OR(I673=1,AND(E674&gt;0,$B$78&lt;&gt;"Cash payoff",NOT(AND($B$78="Refinance",ISNUMBER($B$80),$B$80&gt;=0,$B$80&lt;=1,ROUND($B$81*12,0)&gt;=1,$B$81&lt;=100,SUM($B$82)&gt;=0,SUM($B$82)&lt;=1,SUM($B$83)&gt;=0))),AND(ISNUMBER(B674),B674&gt;0,$B$171=1,NOT(ISNUMBER(D674)))),1,0)</x:f>
        <x:v>0</x:v>
      </x:c>
      <x:c r="J674" s="440" t="n">
        <x:f>IF(ISNUMBER(L673),L673,"")</x:f>
        <x:v>0</x:v>
      </x:c>
      <x:c r="K674" s="440" t="n">
        <x:f>IF(AND(ISNUMBER(J674),J674=0),0,IF(AND($B$176=1,ISNUMBER(J674)),MIN(J674*(1+$B$87/12),IF($B$86=0,0,IF($B$87=0,$B$86/ROUND($B$88*12,0),$B$86*($B$87/12)/(1-(1+$B$87/12)^(-ROUND($B$88*12,0)))))),""))</x:f>
        <x:v>0</x:v>
      </x:c>
      <x:c r="L674" s="440" t="n">
        <x:f>IF(ISNUMBER(K674),IF(MAX(0,J674*(1+SUM($B$87)/12)-K674)&lt;MAX(0.0000001,$B$86*0.00000000001),0,MAX(0,J674*(1+SUM($B$87)/12)-K674)),"")</x:f>
        <x:v>0</x:v>
      </x:c>
      <x:c r="M674" s="440" t="n">
        <x:f>IF(AND(ISNUMBER(D674),ISNUMBER(K674)),D674+K674,"")</x:f>
        <x:v>4679.450723240598</x:v>
      </x:c>
      <x:c r="N674" s="440" t="n">
        <x:f>IF(AND(ISNUMBER(H674),ISNUMBER(L674)),H674+L674,"")</x:f>
        <x:v>323712.18691401306</x:v>
      </x:c>
    </x:row>
    <x:row r="675" ht="22" customHeight="1">
      <x:c r="A675" s="254" t="n">
        <x:f>275</x:f>
        <x:v>275</x:v>
      </x:c>
      <x:c r="B675" s="440" t="n">
        <x:f>IF(ISNUMBER(H674),H674,"")</x:f>
        <x:v>323712.18691401306</x:v>
      </x:c>
      <x:c r="C675" s="442" t="n">
        <x:f>IF(ISNUMBER(B675),IF(AND(275&gt;$B$173,$B$78="Refinance",ISNUMBER($B$80),$B$80&gt;=0,$B$80&lt;=1,ROUND($B$81*12,0)&gt;=1,$B$81&lt;=100,SUM($B$82)&gt;=0,SUM($B$82)&lt;=1,SUM($B$83)&gt;=0),$B$80,IF(AND($B$175&gt;0,275&gt;$B$175,ISNUMBER($B$75)),$B$75,$B$61)),"")</x:f>
        <x:v>0.0625</x:v>
      </x:c>
      <x:c r="D675" s="440" t="n">
        <x:f>IF(AND(ISNUMBER(B675),B675=0),0,IF(AND($B$171=1,I674=0,ISNUMBER(C675),ISNUMBER(IF(AND(275&lt;=$B$174,275&lt;=$B$173),B675*C675/12,IF(AND(275=$B$173+1,AND(275&gt;$B$173,$B$78="Refinance",ISNUMBER($B$80),$B$80&gt;=0,$B$80&lt;=1,ROUND($B$81*12,0)&gt;=1,$B$81&lt;=100,SUM($B$82)&gt;=0,SUM($B$82)&lt;=1,SUM($B$83)&gt;=0)),IF(B675=0,0,IF(C675=0,B675/ROUND($B$81*12,0),B675*(C675/12)/(1-(1+C675/12)^(-ROUND($B$81*12,0))))),IF(AND(NOT(AND(275&gt;$B$173,$B$78="Refinance",ISNUMBER($B$80),$B$80&gt;=0,$B$80&lt;=1,ROUND($B$81*12,0)&gt;=1,$B$81&lt;=100,SUM($B$82)&gt;=0,SUM($B$82)&lt;=1,SUM($B$83)&gt;=0)),OR(275=1,275=$B$174+1,AND($B$175&gt;0,275=$B$175+1))),IF(AND($B$170=1,$B$66&gt;0,OR($B$175=0,275&lt;=$B$175)),$B$66,IF($B$172-MAX(275-1,$B$174)&gt;0,IF(B675=0,0,IF(C675=0,B675/($B$172-MAX(275-1,$B$174)),B675*(C675/12)/(1-(1+C675/12)^(-($B$172-MAX(275-1,$B$174)))))),"")),D674))))),IF(IF(AND(275&lt;=$B$174,275&lt;=$B$173),B675*C675/12,IF(AND(275=$B$173+1,AND(275&gt;$B$173,$B$78="Refinance",ISNUMBER($B$80),$B$80&gt;=0,$B$80&lt;=1,ROUND($B$81*12,0)&gt;=1,$B$81&lt;=100,SUM($B$82)&gt;=0,SUM($B$82)&lt;=1,SUM($B$83)&gt;=0)),IF(B675=0,0,IF(C675=0,B675/ROUND($B$81*12,0),B675*(C675/12)/(1-(1+C675/12)^(-ROUND($B$81*12,0))))),IF(AND(NOT(AND(275&gt;$B$173,$B$78="Refinance",ISNUMBER($B$80),$B$80&gt;=0,$B$80&lt;=1,ROUND($B$81*12,0)&gt;=1,$B$81&lt;=100,SUM($B$82)&gt;=0,SUM($B$82)&lt;=1,SUM($B$83)&gt;=0)),OR(275=1,275=$B$174+1,AND($B$175&gt;0,275=$B$175+1))),IF(AND($B$170=1,$B$66&gt;0,OR($B$175=0,275&lt;=$B$175)),$B$66,IF($B$172-MAX(275-1,$B$174)&gt;0,IF(B675=0,0,IF(C675=0,B675/($B$172-MAX(275-1,$B$174)),B675*(C675/12)/(1-(1+C675/12)^(-($B$172-MAX(275-1,$B$174)))))),"")),D674)))+0.0000001&gt;=B675*C675/12,MIN(B675*(1+C675/12),IF(AND(275&lt;=$B$174,275&lt;=$B$173),B675*C675/12,IF(AND(275=$B$173+1,AND(275&gt;$B$173,$B$78="Refinance",ISNUMBER($B$80),$B$80&gt;=0,$B$80&lt;=1,ROUND($B$81*12,0)&gt;=1,$B$81&lt;=100,SUM($B$82)&gt;=0,SUM($B$82)&lt;=1,SUM($B$83)&gt;=0)),IF(B675=0,0,IF(C675=0,B675/ROUND($B$81*12,0),B675*(C675/12)/(1-(1+C675/12)^(-ROUND($B$81*12,0))))),IF(AND(NOT(AND(275&gt;$B$173,$B$78="Refinance",ISNUMBER($B$80),$B$80&gt;=0,$B$80&lt;=1,ROUND($B$81*12,0)&gt;=1,$B$81&lt;=100,SUM($B$82)&gt;=0,SUM($B$82)&lt;=1,SUM($B$83)&gt;=0)),OR(275=1,275=$B$174+1,AND($B$175&gt;0,275=$B$175+1))),IF(AND($B$170=1,$B$66&gt;0,OR($B$175=0,275&lt;=$B$175)),$B$66,IF($B$172-MAX(275-1,$B$174)&gt;0,IF(B675=0,0,IF(C675=0,B675/($B$172-MAX(275-1,$B$174)),B675*(C675/12)/(1-(1+C675/12)^(-($B$172-MAX(275-1,$B$174)))))),"")),D674)))),""),""))</x:f>
        <x:v>4679.450723240598</x:v>
      </x:c>
      <x:c r="E675" s="440" t="n">
        <x:f>IF(AND(275=$B$173,ISNUMBER(D675)),IF(MAX(0,B675*(1+C675/12)-D675)&lt;MAX(0.0000001,$E$17*0.00000000001),0,MAX(0,B675*(1+C675/12)-D675)),0)</x:f>
        <x:v>0</x:v>
      </x:c>
      <x:c r="F675" s="440" t="n">
        <x:f>IF($B$78="Cash payoff",E675,0)</x:f>
        <x:v>0</x:v>
      </x:c>
      <x:c r="G675" s="440" t="n">
        <x:f>IF(AND(E675&gt;0,AND($B$78="Refinance",ISNUMBER($B$80),$B$80&gt;=0,$B$80&lt;=1,ROUND($B$81*12,0)&gt;=1,$B$81&lt;=100,SUM($B$82)&gt;=0,SUM($B$82)&lt;=1,SUM($B$83)&gt;=0)),E675*SUM($B$82)+SUM($B$83),0)</x:f>
        <x:v>0</x:v>
      </x:c>
      <x:c r="H675" s="440" t="n">
        <x:f>IF(ISNUMBER(D675),IF(MAX(0,B675*(1+C675/12)-D675-F675)&lt;MAX(0.0000001,$E$17*0.00000000001),0,MAX(0,B675*(1+C675/12)-D675-F675)),IF(AND($B$171=1,I674=1),B675,""))</x:f>
        <x:v>320718.7371642829</x:v>
      </x:c>
      <x:c r="I675" s="444" t="n">
        <x:f>IF(OR(I674=1,AND(E675&gt;0,$B$78&lt;&gt;"Cash payoff",NOT(AND($B$78="Refinance",ISNUMBER($B$80),$B$80&gt;=0,$B$80&lt;=1,ROUND($B$81*12,0)&gt;=1,$B$81&lt;=100,SUM($B$82)&gt;=0,SUM($B$82)&lt;=1,SUM($B$83)&gt;=0))),AND(ISNUMBER(B675),B675&gt;0,$B$171=1,NOT(ISNUMBER(D675)))),1,0)</x:f>
        <x:v>0</x:v>
      </x:c>
      <x:c r="J675" s="440" t="n">
        <x:f>IF(ISNUMBER(L674),L674,"")</x:f>
        <x:v>0</x:v>
      </x:c>
      <x:c r="K675" s="440" t="n">
        <x:f>IF(AND(ISNUMBER(J675),J675=0),0,IF(AND($B$176=1,ISNUMBER(J675)),MIN(J675*(1+$B$87/12),IF($B$86=0,0,IF($B$87=0,$B$86/ROUND($B$88*12,0),$B$86*($B$87/12)/(1-(1+$B$87/12)^(-ROUND($B$88*12,0)))))),""))</x:f>
        <x:v>0</x:v>
      </x:c>
      <x:c r="L675" s="440" t="n">
        <x:f>IF(ISNUMBER(K675),IF(MAX(0,J675*(1+SUM($B$87)/12)-K675)&lt;MAX(0.0000001,$B$86*0.00000000001),0,MAX(0,J675*(1+SUM($B$87)/12)-K675)),"")</x:f>
        <x:v>0</x:v>
      </x:c>
      <x:c r="M675" s="440" t="n">
        <x:f>IF(AND(ISNUMBER(D675),ISNUMBER(K675)),D675+K675,"")</x:f>
        <x:v>4679.450723240598</x:v>
      </x:c>
      <x:c r="N675" s="440" t="n">
        <x:f>IF(AND(ISNUMBER(H675),ISNUMBER(L675)),H675+L675,"")</x:f>
        <x:v>320718.7371642829</x:v>
      </x:c>
    </x:row>
    <x:row r="676" ht="22" customHeight="1">
      <x:c r="A676" s="254" t="n">
        <x:f>276</x:f>
        <x:v>276</x:v>
      </x:c>
      <x:c r="B676" s="440" t="n">
        <x:f>IF(ISNUMBER(H675),H675,"")</x:f>
        <x:v>320718.7371642829</x:v>
      </x:c>
      <x:c r="C676" s="442" t="n">
        <x:f>IF(ISNUMBER(B676),IF(AND(276&gt;$B$173,$B$78="Refinance",ISNUMBER($B$80),$B$80&gt;=0,$B$80&lt;=1,ROUND($B$81*12,0)&gt;=1,$B$81&lt;=100,SUM($B$82)&gt;=0,SUM($B$82)&lt;=1,SUM($B$83)&gt;=0),$B$80,IF(AND($B$175&gt;0,276&gt;$B$175,ISNUMBER($B$75)),$B$75,$B$61)),"")</x:f>
        <x:v>0.0625</x:v>
      </x:c>
      <x:c r="D676" s="440" t="n">
        <x:f>IF(AND(ISNUMBER(B676),B676=0),0,IF(AND($B$171=1,I675=0,ISNUMBER(C676),ISNUMBER(IF(AND(276&lt;=$B$174,276&lt;=$B$173),B676*C676/12,IF(AND(276=$B$173+1,AND(276&gt;$B$173,$B$78="Refinance",ISNUMBER($B$80),$B$80&gt;=0,$B$80&lt;=1,ROUND($B$81*12,0)&gt;=1,$B$81&lt;=100,SUM($B$82)&gt;=0,SUM($B$82)&lt;=1,SUM($B$83)&gt;=0)),IF(B676=0,0,IF(C676=0,B676/ROUND($B$81*12,0),B676*(C676/12)/(1-(1+C676/12)^(-ROUND($B$81*12,0))))),IF(AND(NOT(AND(276&gt;$B$173,$B$78="Refinance",ISNUMBER($B$80),$B$80&gt;=0,$B$80&lt;=1,ROUND($B$81*12,0)&gt;=1,$B$81&lt;=100,SUM($B$82)&gt;=0,SUM($B$82)&lt;=1,SUM($B$83)&gt;=0)),OR(276=1,276=$B$174+1,AND($B$175&gt;0,276=$B$175+1))),IF(AND($B$170=1,$B$66&gt;0,OR($B$175=0,276&lt;=$B$175)),$B$66,IF($B$172-MAX(276-1,$B$174)&gt;0,IF(B676=0,0,IF(C676=0,B676/($B$172-MAX(276-1,$B$174)),B676*(C676/12)/(1-(1+C676/12)^(-($B$172-MAX(276-1,$B$174)))))),"")),D675))))),IF(IF(AND(276&lt;=$B$174,276&lt;=$B$173),B676*C676/12,IF(AND(276=$B$173+1,AND(276&gt;$B$173,$B$78="Refinance",ISNUMBER($B$80),$B$80&gt;=0,$B$80&lt;=1,ROUND($B$81*12,0)&gt;=1,$B$81&lt;=100,SUM($B$82)&gt;=0,SUM($B$82)&lt;=1,SUM($B$83)&gt;=0)),IF(B676=0,0,IF(C676=0,B676/ROUND($B$81*12,0),B676*(C676/12)/(1-(1+C676/12)^(-ROUND($B$81*12,0))))),IF(AND(NOT(AND(276&gt;$B$173,$B$78="Refinance",ISNUMBER($B$80),$B$80&gt;=0,$B$80&lt;=1,ROUND($B$81*12,0)&gt;=1,$B$81&lt;=100,SUM($B$82)&gt;=0,SUM($B$82)&lt;=1,SUM($B$83)&gt;=0)),OR(276=1,276=$B$174+1,AND($B$175&gt;0,276=$B$175+1))),IF(AND($B$170=1,$B$66&gt;0,OR($B$175=0,276&lt;=$B$175)),$B$66,IF($B$172-MAX(276-1,$B$174)&gt;0,IF(B676=0,0,IF(C676=0,B676/($B$172-MAX(276-1,$B$174)),B676*(C676/12)/(1-(1+C676/12)^(-($B$172-MAX(276-1,$B$174)))))),"")),D675)))+0.0000001&gt;=B676*C676/12,MIN(B676*(1+C676/12),IF(AND(276&lt;=$B$174,276&lt;=$B$173),B676*C676/12,IF(AND(276=$B$173+1,AND(276&gt;$B$173,$B$78="Refinance",ISNUMBER($B$80),$B$80&gt;=0,$B$80&lt;=1,ROUND($B$81*12,0)&gt;=1,$B$81&lt;=100,SUM($B$82)&gt;=0,SUM($B$82)&lt;=1,SUM($B$83)&gt;=0)),IF(B676=0,0,IF(C676=0,B676/ROUND($B$81*12,0),B676*(C676/12)/(1-(1+C676/12)^(-ROUND($B$81*12,0))))),IF(AND(NOT(AND(276&gt;$B$173,$B$78="Refinance",ISNUMBER($B$80),$B$80&gt;=0,$B$80&lt;=1,ROUND($B$81*12,0)&gt;=1,$B$81&lt;=100,SUM($B$82)&gt;=0,SUM($B$82)&lt;=1,SUM($B$83)&gt;=0)),OR(276=1,276=$B$174+1,AND($B$175&gt;0,276=$B$175+1))),IF(AND($B$170=1,$B$66&gt;0,OR($B$175=0,276&lt;=$B$175)),$B$66,IF($B$172-MAX(276-1,$B$174)&gt;0,IF(B676=0,0,IF(C676=0,B676/($B$172-MAX(276-1,$B$174)),B676*(C676/12)/(1-(1+C676/12)^(-($B$172-MAX(276-1,$B$174)))))),"")),D675)))),""),""))</x:f>
        <x:v>4679.450723240598</x:v>
      </x:c>
      <x:c r="E676" s="440" t="n">
        <x:f>IF(AND(276=$B$173,ISNUMBER(D676)),IF(MAX(0,B676*(1+C676/12)-D676)&lt;MAX(0.0000001,$E$17*0.00000000001),0,MAX(0,B676*(1+C676/12)-D676)),0)</x:f>
        <x:v>0</x:v>
      </x:c>
      <x:c r="F676" s="440" t="n">
        <x:f>IF($B$78="Cash payoff",E676,0)</x:f>
        <x:v>0</x:v>
      </x:c>
      <x:c r="G676" s="440" t="n">
        <x:f>IF(AND(E676&gt;0,AND($B$78="Refinance",ISNUMBER($B$80),$B$80&gt;=0,$B$80&lt;=1,ROUND($B$81*12,0)&gt;=1,$B$81&lt;=100,SUM($B$82)&gt;=0,SUM($B$82)&lt;=1,SUM($B$83)&gt;=0)),E676*SUM($B$82)+SUM($B$83),0)</x:f>
        <x:v>0</x:v>
      </x:c>
      <x:c r="H676" s="440" t="n">
        <x:f>IF(ISNUMBER(D676),IF(MAX(0,B676*(1+C676/12)-D676-F676)&lt;MAX(0.0000001,$E$17*0.00000000001),0,MAX(0,B676*(1+C676/12)-D676-F676)),IF(AND($B$171=1,I675=1),B676,""))</x:f>
        <x:v>317709.69653043954</x:v>
      </x:c>
      <x:c r="I676" s="444" t="n">
        <x:f>IF(OR(I675=1,AND(E676&gt;0,$B$78&lt;&gt;"Cash payoff",NOT(AND($B$78="Refinance",ISNUMBER($B$80),$B$80&gt;=0,$B$80&lt;=1,ROUND($B$81*12,0)&gt;=1,$B$81&lt;=100,SUM($B$82)&gt;=0,SUM($B$82)&lt;=1,SUM($B$83)&gt;=0))),AND(ISNUMBER(B676),B676&gt;0,$B$171=1,NOT(ISNUMBER(D676)))),1,0)</x:f>
        <x:v>0</x:v>
      </x:c>
      <x:c r="J676" s="440" t="n">
        <x:f>IF(ISNUMBER(L675),L675,"")</x:f>
        <x:v>0</x:v>
      </x:c>
      <x:c r="K676" s="440" t="n">
        <x:f>IF(AND(ISNUMBER(J676),J676=0),0,IF(AND($B$176=1,ISNUMBER(J676)),MIN(J676*(1+$B$87/12),IF($B$86=0,0,IF($B$87=0,$B$86/ROUND($B$88*12,0),$B$86*($B$87/12)/(1-(1+$B$87/12)^(-ROUND($B$88*12,0)))))),""))</x:f>
        <x:v>0</x:v>
      </x:c>
      <x:c r="L676" s="440" t="n">
        <x:f>IF(ISNUMBER(K676),IF(MAX(0,J676*(1+SUM($B$87)/12)-K676)&lt;MAX(0.0000001,$B$86*0.00000000001),0,MAX(0,J676*(1+SUM($B$87)/12)-K676)),"")</x:f>
        <x:v>0</x:v>
      </x:c>
      <x:c r="M676" s="440" t="n">
        <x:f>IF(AND(ISNUMBER(D676),ISNUMBER(K676)),D676+K676,"")</x:f>
        <x:v>4679.450723240598</x:v>
      </x:c>
      <x:c r="N676" s="440" t="n">
        <x:f>IF(AND(ISNUMBER(H676),ISNUMBER(L676)),H676+L676,"")</x:f>
        <x:v>317709.69653043954</x:v>
      </x:c>
    </x:row>
    <x:row r="677" ht="22" customHeight="1">
      <x:c r="A677" s="254" t="n">
        <x:f>277</x:f>
        <x:v>277</x:v>
      </x:c>
      <x:c r="B677" s="440" t="n">
        <x:f>IF(ISNUMBER(H676),H676,"")</x:f>
        <x:v>317709.69653043954</x:v>
      </x:c>
      <x:c r="C677" s="442" t="n">
        <x:f>IF(ISNUMBER(B677),IF(AND(277&gt;$B$173,$B$78="Refinance",ISNUMBER($B$80),$B$80&gt;=0,$B$80&lt;=1,ROUND($B$81*12,0)&gt;=1,$B$81&lt;=100,SUM($B$82)&gt;=0,SUM($B$82)&lt;=1,SUM($B$83)&gt;=0),$B$80,IF(AND($B$175&gt;0,277&gt;$B$175,ISNUMBER($B$75)),$B$75,$B$61)),"")</x:f>
        <x:v>0.0625</x:v>
      </x:c>
      <x:c r="D677" s="440" t="n">
        <x:f>IF(AND(ISNUMBER(B677),B677=0),0,IF(AND($B$171=1,I676=0,ISNUMBER(C677),ISNUMBER(IF(AND(277&lt;=$B$174,277&lt;=$B$173),B677*C677/12,IF(AND(277=$B$173+1,AND(277&gt;$B$173,$B$78="Refinance",ISNUMBER($B$80),$B$80&gt;=0,$B$80&lt;=1,ROUND($B$81*12,0)&gt;=1,$B$81&lt;=100,SUM($B$82)&gt;=0,SUM($B$82)&lt;=1,SUM($B$83)&gt;=0)),IF(B677=0,0,IF(C677=0,B677/ROUND($B$81*12,0),B677*(C677/12)/(1-(1+C677/12)^(-ROUND($B$81*12,0))))),IF(AND(NOT(AND(277&gt;$B$173,$B$78="Refinance",ISNUMBER($B$80),$B$80&gt;=0,$B$80&lt;=1,ROUND($B$81*12,0)&gt;=1,$B$81&lt;=100,SUM($B$82)&gt;=0,SUM($B$82)&lt;=1,SUM($B$83)&gt;=0)),OR(277=1,277=$B$174+1,AND($B$175&gt;0,277=$B$175+1))),IF(AND($B$170=1,$B$66&gt;0,OR($B$175=0,277&lt;=$B$175)),$B$66,IF($B$172-MAX(277-1,$B$174)&gt;0,IF(B677=0,0,IF(C677=0,B677/($B$172-MAX(277-1,$B$174)),B677*(C677/12)/(1-(1+C677/12)^(-($B$172-MAX(277-1,$B$174)))))),"")),D676))))),IF(IF(AND(277&lt;=$B$174,277&lt;=$B$173),B677*C677/12,IF(AND(277=$B$173+1,AND(277&gt;$B$173,$B$78="Refinance",ISNUMBER($B$80),$B$80&gt;=0,$B$80&lt;=1,ROUND($B$81*12,0)&gt;=1,$B$81&lt;=100,SUM($B$82)&gt;=0,SUM($B$82)&lt;=1,SUM($B$83)&gt;=0)),IF(B677=0,0,IF(C677=0,B677/ROUND($B$81*12,0),B677*(C677/12)/(1-(1+C677/12)^(-ROUND($B$81*12,0))))),IF(AND(NOT(AND(277&gt;$B$173,$B$78="Refinance",ISNUMBER($B$80),$B$80&gt;=0,$B$80&lt;=1,ROUND($B$81*12,0)&gt;=1,$B$81&lt;=100,SUM($B$82)&gt;=0,SUM($B$82)&lt;=1,SUM($B$83)&gt;=0)),OR(277=1,277=$B$174+1,AND($B$175&gt;0,277=$B$175+1))),IF(AND($B$170=1,$B$66&gt;0,OR($B$175=0,277&lt;=$B$175)),$B$66,IF($B$172-MAX(277-1,$B$174)&gt;0,IF(B677=0,0,IF(C677=0,B677/($B$172-MAX(277-1,$B$174)),B677*(C677/12)/(1-(1+C677/12)^(-($B$172-MAX(277-1,$B$174)))))),"")),D676)))+0.0000001&gt;=B677*C677/12,MIN(B677*(1+C677/12),IF(AND(277&lt;=$B$174,277&lt;=$B$173),B677*C677/12,IF(AND(277=$B$173+1,AND(277&gt;$B$173,$B$78="Refinance",ISNUMBER($B$80),$B$80&gt;=0,$B$80&lt;=1,ROUND($B$81*12,0)&gt;=1,$B$81&lt;=100,SUM($B$82)&gt;=0,SUM($B$82)&lt;=1,SUM($B$83)&gt;=0)),IF(B677=0,0,IF(C677=0,B677/ROUND($B$81*12,0),B677*(C677/12)/(1-(1+C677/12)^(-ROUND($B$81*12,0))))),IF(AND(NOT(AND(277&gt;$B$173,$B$78="Refinance",ISNUMBER($B$80),$B$80&gt;=0,$B$80&lt;=1,ROUND($B$81*12,0)&gt;=1,$B$81&lt;=100,SUM($B$82)&gt;=0,SUM($B$82)&lt;=1,SUM($B$83)&gt;=0)),OR(277=1,277=$B$174+1,AND($B$175&gt;0,277=$B$175+1))),IF(AND($B$170=1,$B$66&gt;0,OR($B$175=0,277&lt;=$B$175)),$B$66,IF($B$172-MAX(277-1,$B$174)&gt;0,IF(B677=0,0,IF(C677=0,B677/($B$172-MAX(277-1,$B$174)),B677*(C677/12)/(1-(1+C677/12)^(-($B$172-MAX(277-1,$B$174)))))),"")),D676)))),""),""))</x:f>
        <x:v>4679.450723240598</x:v>
      </x:c>
      <x:c r="E677" s="440" t="n">
        <x:f>IF(AND(277=$B$173,ISNUMBER(D677)),IF(MAX(0,B677*(1+C677/12)-D677)&lt;MAX(0.0000001,$E$17*0.00000000001),0,MAX(0,B677*(1+C677/12)-D677)),0)</x:f>
        <x:v>0</x:v>
      </x:c>
      <x:c r="F677" s="440" t="n">
        <x:f>IF($B$78="Cash payoff",E677,0)</x:f>
        <x:v>0</x:v>
      </x:c>
      <x:c r="G677" s="440" t="n">
        <x:f>IF(AND(E677&gt;0,AND($B$78="Refinance",ISNUMBER($B$80),$B$80&gt;=0,$B$80&lt;=1,ROUND($B$81*12,0)&gt;=1,$B$81&lt;=100,SUM($B$82)&gt;=0,SUM($B$82)&lt;=1,SUM($B$83)&gt;=0)),E677*SUM($B$82)+SUM($B$83),0)</x:f>
        <x:v>0</x:v>
      </x:c>
      <x:c r="H677" s="440" t="n">
        <x:f>IF(ISNUMBER(D677),IF(MAX(0,B677*(1+C677/12)-D677-F677)&lt;MAX(0.0000001,$E$17*0.00000000001),0,MAX(0,B677*(1+C677/12)-D677-F677)),IF(AND($B$171=1,I676=1),B677,""))</x:f>
        <x:v>314684.9838099616</x:v>
      </x:c>
      <x:c r="I677" s="444" t="n">
        <x:f>IF(OR(I676=1,AND(E677&gt;0,$B$78&lt;&gt;"Cash payoff",NOT(AND($B$78="Refinance",ISNUMBER($B$80),$B$80&gt;=0,$B$80&lt;=1,ROUND($B$81*12,0)&gt;=1,$B$81&lt;=100,SUM($B$82)&gt;=0,SUM($B$82)&lt;=1,SUM($B$83)&gt;=0))),AND(ISNUMBER(B677),B677&gt;0,$B$171=1,NOT(ISNUMBER(D677)))),1,0)</x:f>
        <x:v>0</x:v>
      </x:c>
      <x:c r="J677" s="440" t="n">
        <x:f>IF(ISNUMBER(L676),L676,"")</x:f>
        <x:v>0</x:v>
      </x:c>
      <x:c r="K677" s="440" t="n">
        <x:f>IF(AND(ISNUMBER(J677),J677=0),0,IF(AND($B$176=1,ISNUMBER(J677)),MIN(J677*(1+$B$87/12),IF($B$86=0,0,IF($B$87=0,$B$86/ROUND($B$88*12,0),$B$86*($B$87/12)/(1-(1+$B$87/12)^(-ROUND($B$88*12,0)))))),""))</x:f>
        <x:v>0</x:v>
      </x:c>
      <x:c r="L677" s="440" t="n">
        <x:f>IF(ISNUMBER(K677),IF(MAX(0,J677*(1+SUM($B$87)/12)-K677)&lt;MAX(0.0000001,$B$86*0.00000000001),0,MAX(0,J677*(1+SUM($B$87)/12)-K677)),"")</x:f>
        <x:v>0</x:v>
      </x:c>
      <x:c r="M677" s="440" t="n">
        <x:f>IF(AND(ISNUMBER(D677),ISNUMBER(K677)),D677+K677,"")</x:f>
        <x:v>4679.450723240598</x:v>
      </x:c>
      <x:c r="N677" s="440" t="n">
        <x:f>IF(AND(ISNUMBER(H677),ISNUMBER(L677)),H677+L677,"")</x:f>
        <x:v>314684.9838099616</x:v>
      </x:c>
    </x:row>
    <x:row r="678" ht="22" customHeight="1">
      <x:c r="A678" s="254" t="n">
        <x:f>278</x:f>
        <x:v>278</x:v>
      </x:c>
      <x:c r="B678" s="440" t="n">
        <x:f>IF(ISNUMBER(H677),H677,"")</x:f>
        <x:v>314684.9838099616</x:v>
      </x:c>
      <x:c r="C678" s="442" t="n">
        <x:f>IF(ISNUMBER(B678),IF(AND(278&gt;$B$173,$B$78="Refinance",ISNUMBER($B$80),$B$80&gt;=0,$B$80&lt;=1,ROUND($B$81*12,0)&gt;=1,$B$81&lt;=100,SUM($B$82)&gt;=0,SUM($B$82)&lt;=1,SUM($B$83)&gt;=0),$B$80,IF(AND($B$175&gt;0,278&gt;$B$175,ISNUMBER($B$75)),$B$75,$B$61)),"")</x:f>
        <x:v>0.0625</x:v>
      </x:c>
      <x:c r="D678" s="440" t="n">
        <x:f>IF(AND(ISNUMBER(B678),B678=0),0,IF(AND($B$171=1,I677=0,ISNUMBER(C678),ISNUMBER(IF(AND(278&lt;=$B$174,278&lt;=$B$173),B678*C678/12,IF(AND(278=$B$173+1,AND(278&gt;$B$173,$B$78="Refinance",ISNUMBER($B$80),$B$80&gt;=0,$B$80&lt;=1,ROUND($B$81*12,0)&gt;=1,$B$81&lt;=100,SUM($B$82)&gt;=0,SUM($B$82)&lt;=1,SUM($B$83)&gt;=0)),IF(B678=0,0,IF(C678=0,B678/ROUND($B$81*12,0),B678*(C678/12)/(1-(1+C678/12)^(-ROUND($B$81*12,0))))),IF(AND(NOT(AND(278&gt;$B$173,$B$78="Refinance",ISNUMBER($B$80),$B$80&gt;=0,$B$80&lt;=1,ROUND($B$81*12,0)&gt;=1,$B$81&lt;=100,SUM($B$82)&gt;=0,SUM($B$82)&lt;=1,SUM($B$83)&gt;=0)),OR(278=1,278=$B$174+1,AND($B$175&gt;0,278=$B$175+1))),IF(AND($B$170=1,$B$66&gt;0,OR($B$175=0,278&lt;=$B$175)),$B$66,IF($B$172-MAX(278-1,$B$174)&gt;0,IF(B678=0,0,IF(C678=0,B678/($B$172-MAX(278-1,$B$174)),B678*(C678/12)/(1-(1+C678/12)^(-($B$172-MAX(278-1,$B$174)))))),"")),D677))))),IF(IF(AND(278&lt;=$B$174,278&lt;=$B$173),B678*C678/12,IF(AND(278=$B$173+1,AND(278&gt;$B$173,$B$78="Refinance",ISNUMBER($B$80),$B$80&gt;=0,$B$80&lt;=1,ROUND($B$81*12,0)&gt;=1,$B$81&lt;=100,SUM($B$82)&gt;=0,SUM($B$82)&lt;=1,SUM($B$83)&gt;=0)),IF(B678=0,0,IF(C678=0,B678/ROUND($B$81*12,0),B678*(C678/12)/(1-(1+C678/12)^(-ROUND($B$81*12,0))))),IF(AND(NOT(AND(278&gt;$B$173,$B$78="Refinance",ISNUMBER($B$80),$B$80&gt;=0,$B$80&lt;=1,ROUND($B$81*12,0)&gt;=1,$B$81&lt;=100,SUM($B$82)&gt;=0,SUM($B$82)&lt;=1,SUM($B$83)&gt;=0)),OR(278=1,278=$B$174+1,AND($B$175&gt;0,278=$B$175+1))),IF(AND($B$170=1,$B$66&gt;0,OR($B$175=0,278&lt;=$B$175)),$B$66,IF($B$172-MAX(278-1,$B$174)&gt;0,IF(B678=0,0,IF(C678=0,B678/($B$172-MAX(278-1,$B$174)),B678*(C678/12)/(1-(1+C678/12)^(-($B$172-MAX(278-1,$B$174)))))),"")),D677)))+0.0000001&gt;=B678*C678/12,MIN(B678*(1+C678/12),IF(AND(278&lt;=$B$174,278&lt;=$B$173),B678*C678/12,IF(AND(278=$B$173+1,AND(278&gt;$B$173,$B$78="Refinance",ISNUMBER($B$80),$B$80&gt;=0,$B$80&lt;=1,ROUND($B$81*12,0)&gt;=1,$B$81&lt;=100,SUM($B$82)&gt;=0,SUM($B$82)&lt;=1,SUM($B$83)&gt;=0)),IF(B678=0,0,IF(C678=0,B678/ROUND($B$81*12,0),B678*(C678/12)/(1-(1+C678/12)^(-ROUND($B$81*12,0))))),IF(AND(NOT(AND(278&gt;$B$173,$B$78="Refinance",ISNUMBER($B$80),$B$80&gt;=0,$B$80&lt;=1,ROUND($B$81*12,0)&gt;=1,$B$81&lt;=100,SUM($B$82)&gt;=0,SUM($B$82)&lt;=1,SUM($B$83)&gt;=0)),OR(278=1,278=$B$174+1,AND($B$175&gt;0,278=$B$175+1))),IF(AND($B$170=1,$B$66&gt;0,OR($B$175=0,278&lt;=$B$175)),$B$66,IF($B$172-MAX(278-1,$B$174)&gt;0,IF(B678=0,0,IF(C678=0,B678/($B$172-MAX(278-1,$B$174)),B678*(C678/12)/(1-(1+C678/12)^(-($B$172-MAX(278-1,$B$174)))))),"")),D677)))),""),""))</x:f>
        <x:v>4679.450723240598</x:v>
      </x:c>
      <x:c r="E678" s="440" t="n">
        <x:f>IF(AND(278=$B$173,ISNUMBER(D678)),IF(MAX(0,B678*(1+C678/12)-D678)&lt;MAX(0.0000001,$E$17*0.00000000001),0,MAX(0,B678*(1+C678/12)-D678)),0)</x:f>
        <x:v>0</x:v>
      </x:c>
      <x:c r="F678" s="440" t="n">
        <x:f>IF($B$78="Cash payoff",E678,0)</x:f>
        <x:v>0</x:v>
      </x:c>
      <x:c r="G678" s="440" t="n">
        <x:f>IF(AND(E678&gt;0,AND($B$78="Refinance",ISNUMBER($B$80),$B$80&gt;=0,$B$80&lt;=1,ROUND($B$81*12,0)&gt;=1,$B$81&lt;=100,SUM($B$82)&gt;=0,SUM($B$82)&lt;=1,SUM($B$83)&gt;=0)),E678*SUM($B$82)+SUM($B$83),0)</x:f>
        <x:v>0</x:v>
      </x:c>
      <x:c r="H678" s="440" t="n">
        <x:f>IF(ISNUMBER(D678),IF(MAX(0,B678*(1+C678/12)-D678-F678)&lt;MAX(0.0000001,$E$17*0.00000000001),0,MAX(0,B678*(1+C678/12)-D678-F678)),IF(AND($B$171=1,I677=1),B678,""))</x:f>
        <x:v>311644.5173773978</x:v>
      </x:c>
      <x:c r="I678" s="444" t="n">
        <x:f>IF(OR(I677=1,AND(E678&gt;0,$B$78&lt;&gt;"Cash payoff",NOT(AND($B$78="Refinance",ISNUMBER($B$80),$B$80&gt;=0,$B$80&lt;=1,ROUND($B$81*12,0)&gt;=1,$B$81&lt;=100,SUM($B$82)&gt;=0,SUM($B$82)&lt;=1,SUM($B$83)&gt;=0))),AND(ISNUMBER(B678),B678&gt;0,$B$171=1,NOT(ISNUMBER(D678)))),1,0)</x:f>
        <x:v>0</x:v>
      </x:c>
      <x:c r="J678" s="440" t="n">
        <x:f>IF(ISNUMBER(L677),L677,"")</x:f>
        <x:v>0</x:v>
      </x:c>
      <x:c r="K678" s="440" t="n">
        <x:f>IF(AND(ISNUMBER(J678),J678=0),0,IF(AND($B$176=1,ISNUMBER(J678)),MIN(J678*(1+$B$87/12),IF($B$86=0,0,IF($B$87=0,$B$86/ROUND($B$88*12,0),$B$86*($B$87/12)/(1-(1+$B$87/12)^(-ROUND($B$88*12,0)))))),""))</x:f>
        <x:v>0</x:v>
      </x:c>
      <x:c r="L678" s="440" t="n">
        <x:f>IF(ISNUMBER(K678),IF(MAX(0,J678*(1+SUM($B$87)/12)-K678)&lt;MAX(0.0000001,$B$86*0.00000000001),0,MAX(0,J678*(1+SUM($B$87)/12)-K678)),"")</x:f>
        <x:v>0</x:v>
      </x:c>
      <x:c r="M678" s="440" t="n">
        <x:f>IF(AND(ISNUMBER(D678),ISNUMBER(K678)),D678+K678,"")</x:f>
        <x:v>4679.450723240598</x:v>
      </x:c>
      <x:c r="N678" s="440" t="n">
        <x:f>IF(AND(ISNUMBER(H678),ISNUMBER(L678)),H678+L678,"")</x:f>
        <x:v>311644.5173773978</x:v>
      </x:c>
    </x:row>
    <x:row r="679" ht="22" customHeight="1">
      <x:c r="A679" s="254" t="n">
        <x:f>279</x:f>
        <x:v>279</x:v>
      </x:c>
      <x:c r="B679" s="440" t="n">
        <x:f>IF(ISNUMBER(H678),H678,"")</x:f>
        <x:v>311644.5173773978</x:v>
      </x:c>
      <x:c r="C679" s="442" t="n">
        <x:f>IF(ISNUMBER(B679),IF(AND(279&gt;$B$173,$B$78="Refinance",ISNUMBER($B$80),$B$80&gt;=0,$B$80&lt;=1,ROUND($B$81*12,0)&gt;=1,$B$81&lt;=100,SUM($B$82)&gt;=0,SUM($B$82)&lt;=1,SUM($B$83)&gt;=0),$B$80,IF(AND($B$175&gt;0,279&gt;$B$175,ISNUMBER($B$75)),$B$75,$B$61)),"")</x:f>
        <x:v>0.0625</x:v>
      </x:c>
      <x:c r="D679" s="440" t="n">
        <x:f>IF(AND(ISNUMBER(B679),B679=0),0,IF(AND($B$171=1,I678=0,ISNUMBER(C679),ISNUMBER(IF(AND(279&lt;=$B$174,279&lt;=$B$173),B679*C679/12,IF(AND(279=$B$173+1,AND(279&gt;$B$173,$B$78="Refinance",ISNUMBER($B$80),$B$80&gt;=0,$B$80&lt;=1,ROUND($B$81*12,0)&gt;=1,$B$81&lt;=100,SUM($B$82)&gt;=0,SUM($B$82)&lt;=1,SUM($B$83)&gt;=0)),IF(B679=0,0,IF(C679=0,B679/ROUND($B$81*12,0),B679*(C679/12)/(1-(1+C679/12)^(-ROUND($B$81*12,0))))),IF(AND(NOT(AND(279&gt;$B$173,$B$78="Refinance",ISNUMBER($B$80),$B$80&gt;=0,$B$80&lt;=1,ROUND($B$81*12,0)&gt;=1,$B$81&lt;=100,SUM($B$82)&gt;=0,SUM($B$82)&lt;=1,SUM($B$83)&gt;=0)),OR(279=1,279=$B$174+1,AND($B$175&gt;0,279=$B$175+1))),IF(AND($B$170=1,$B$66&gt;0,OR($B$175=0,279&lt;=$B$175)),$B$66,IF($B$172-MAX(279-1,$B$174)&gt;0,IF(B679=0,0,IF(C679=0,B679/($B$172-MAX(279-1,$B$174)),B679*(C679/12)/(1-(1+C679/12)^(-($B$172-MAX(279-1,$B$174)))))),"")),D678))))),IF(IF(AND(279&lt;=$B$174,279&lt;=$B$173),B679*C679/12,IF(AND(279=$B$173+1,AND(279&gt;$B$173,$B$78="Refinance",ISNUMBER($B$80),$B$80&gt;=0,$B$80&lt;=1,ROUND($B$81*12,0)&gt;=1,$B$81&lt;=100,SUM($B$82)&gt;=0,SUM($B$82)&lt;=1,SUM($B$83)&gt;=0)),IF(B679=0,0,IF(C679=0,B679/ROUND($B$81*12,0),B679*(C679/12)/(1-(1+C679/12)^(-ROUND($B$81*12,0))))),IF(AND(NOT(AND(279&gt;$B$173,$B$78="Refinance",ISNUMBER($B$80),$B$80&gt;=0,$B$80&lt;=1,ROUND($B$81*12,0)&gt;=1,$B$81&lt;=100,SUM($B$82)&gt;=0,SUM($B$82)&lt;=1,SUM($B$83)&gt;=0)),OR(279=1,279=$B$174+1,AND($B$175&gt;0,279=$B$175+1))),IF(AND($B$170=1,$B$66&gt;0,OR($B$175=0,279&lt;=$B$175)),$B$66,IF($B$172-MAX(279-1,$B$174)&gt;0,IF(B679=0,0,IF(C679=0,B679/($B$172-MAX(279-1,$B$174)),B679*(C679/12)/(1-(1+C679/12)^(-($B$172-MAX(279-1,$B$174)))))),"")),D678)))+0.0000001&gt;=B679*C679/12,MIN(B679*(1+C679/12),IF(AND(279&lt;=$B$174,279&lt;=$B$173),B679*C679/12,IF(AND(279=$B$173+1,AND(279&gt;$B$173,$B$78="Refinance",ISNUMBER($B$80),$B$80&gt;=0,$B$80&lt;=1,ROUND($B$81*12,0)&gt;=1,$B$81&lt;=100,SUM($B$82)&gt;=0,SUM($B$82)&lt;=1,SUM($B$83)&gt;=0)),IF(B679=0,0,IF(C679=0,B679/ROUND($B$81*12,0),B679*(C679/12)/(1-(1+C679/12)^(-ROUND($B$81*12,0))))),IF(AND(NOT(AND(279&gt;$B$173,$B$78="Refinance",ISNUMBER($B$80),$B$80&gt;=0,$B$80&lt;=1,ROUND($B$81*12,0)&gt;=1,$B$81&lt;=100,SUM($B$82)&gt;=0,SUM($B$82)&lt;=1,SUM($B$83)&gt;=0)),OR(279=1,279=$B$174+1,AND($B$175&gt;0,279=$B$175+1))),IF(AND($B$170=1,$B$66&gt;0,OR($B$175=0,279&lt;=$B$175)),$B$66,IF($B$172-MAX(279-1,$B$174)&gt;0,IF(B679=0,0,IF(C679=0,B679/($B$172-MAX(279-1,$B$174)),B679*(C679/12)/(1-(1+C679/12)^(-($B$172-MAX(279-1,$B$174)))))),"")),D678)))),""),""))</x:f>
        <x:v>4679.450723240598</x:v>
      </x:c>
      <x:c r="E679" s="440" t="n">
        <x:f>IF(AND(279=$B$173,ISNUMBER(D679)),IF(MAX(0,B679*(1+C679/12)-D679)&lt;MAX(0.0000001,$E$17*0.00000000001),0,MAX(0,B679*(1+C679/12)-D679)),0)</x:f>
        <x:v>0</x:v>
      </x:c>
      <x:c r="F679" s="440" t="n">
        <x:f>IF($B$78="Cash payoff",E679,0)</x:f>
        <x:v>0</x:v>
      </x:c>
      <x:c r="G679" s="440" t="n">
        <x:f>IF(AND(E679&gt;0,AND($B$78="Refinance",ISNUMBER($B$80),$B$80&gt;=0,$B$80&lt;=1,ROUND($B$81*12,0)&gt;=1,$B$81&lt;=100,SUM($B$82)&gt;=0,SUM($B$82)&lt;=1,SUM($B$83)&gt;=0)),E679*SUM($B$82)+SUM($B$83),0)</x:f>
        <x:v>0</x:v>
      </x:c>
      <x:c r="H679" s="440" t="n">
        <x:f>IF(ISNUMBER(D679),IF(MAX(0,B679*(1+C679/12)-D679-F679)&lt;MAX(0.0000001,$E$17*0.00000000001),0,MAX(0,B679*(1+C679/12)-D679-F679)),IF(AND($B$171=1,I678=1),B679,""))</x:f>
        <x:v>308588.21518216445</x:v>
      </x:c>
      <x:c r="I679" s="444" t="n">
        <x:f>IF(OR(I678=1,AND(E679&gt;0,$B$78&lt;&gt;"Cash payoff",NOT(AND($B$78="Refinance",ISNUMBER($B$80),$B$80&gt;=0,$B$80&lt;=1,ROUND($B$81*12,0)&gt;=1,$B$81&lt;=100,SUM($B$82)&gt;=0,SUM($B$82)&lt;=1,SUM($B$83)&gt;=0))),AND(ISNUMBER(B679),B679&gt;0,$B$171=1,NOT(ISNUMBER(D679)))),1,0)</x:f>
        <x:v>0</x:v>
      </x:c>
      <x:c r="J679" s="440" t="n">
        <x:f>IF(ISNUMBER(L678),L678,"")</x:f>
        <x:v>0</x:v>
      </x:c>
      <x:c r="K679" s="440" t="n">
        <x:f>IF(AND(ISNUMBER(J679),J679=0),0,IF(AND($B$176=1,ISNUMBER(J679)),MIN(J679*(1+$B$87/12),IF($B$86=0,0,IF($B$87=0,$B$86/ROUND($B$88*12,0),$B$86*($B$87/12)/(1-(1+$B$87/12)^(-ROUND($B$88*12,0)))))),""))</x:f>
        <x:v>0</x:v>
      </x:c>
      <x:c r="L679" s="440" t="n">
        <x:f>IF(ISNUMBER(K679),IF(MAX(0,J679*(1+SUM($B$87)/12)-K679)&lt;MAX(0.0000001,$B$86*0.00000000001),0,MAX(0,J679*(1+SUM($B$87)/12)-K679)),"")</x:f>
        <x:v>0</x:v>
      </x:c>
      <x:c r="M679" s="440" t="n">
        <x:f>IF(AND(ISNUMBER(D679),ISNUMBER(K679)),D679+K679,"")</x:f>
        <x:v>4679.450723240598</x:v>
      </x:c>
      <x:c r="N679" s="440" t="n">
        <x:f>IF(AND(ISNUMBER(H679),ISNUMBER(L679)),H679+L679,"")</x:f>
        <x:v>308588.21518216445</x:v>
      </x:c>
    </x:row>
    <x:row r="680" ht="22" customHeight="1">
      <x:c r="A680" s="254" t="n">
        <x:f>280</x:f>
        <x:v>280</x:v>
      </x:c>
      <x:c r="B680" s="440" t="n">
        <x:f>IF(ISNUMBER(H679),H679,"")</x:f>
        <x:v>308588.21518216445</x:v>
      </x:c>
      <x:c r="C680" s="442" t="n">
        <x:f>IF(ISNUMBER(B680),IF(AND(280&gt;$B$173,$B$78="Refinance",ISNUMBER($B$80),$B$80&gt;=0,$B$80&lt;=1,ROUND($B$81*12,0)&gt;=1,$B$81&lt;=100,SUM($B$82)&gt;=0,SUM($B$82)&lt;=1,SUM($B$83)&gt;=0),$B$80,IF(AND($B$175&gt;0,280&gt;$B$175,ISNUMBER($B$75)),$B$75,$B$61)),"")</x:f>
        <x:v>0.0625</x:v>
      </x:c>
      <x:c r="D680" s="440" t="n">
        <x:f>IF(AND(ISNUMBER(B680),B680=0),0,IF(AND($B$171=1,I679=0,ISNUMBER(C680),ISNUMBER(IF(AND(280&lt;=$B$174,280&lt;=$B$173),B680*C680/12,IF(AND(280=$B$173+1,AND(280&gt;$B$173,$B$78="Refinance",ISNUMBER($B$80),$B$80&gt;=0,$B$80&lt;=1,ROUND($B$81*12,0)&gt;=1,$B$81&lt;=100,SUM($B$82)&gt;=0,SUM($B$82)&lt;=1,SUM($B$83)&gt;=0)),IF(B680=0,0,IF(C680=0,B680/ROUND($B$81*12,0),B680*(C680/12)/(1-(1+C680/12)^(-ROUND($B$81*12,0))))),IF(AND(NOT(AND(280&gt;$B$173,$B$78="Refinance",ISNUMBER($B$80),$B$80&gt;=0,$B$80&lt;=1,ROUND($B$81*12,0)&gt;=1,$B$81&lt;=100,SUM($B$82)&gt;=0,SUM($B$82)&lt;=1,SUM($B$83)&gt;=0)),OR(280=1,280=$B$174+1,AND($B$175&gt;0,280=$B$175+1))),IF(AND($B$170=1,$B$66&gt;0,OR($B$175=0,280&lt;=$B$175)),$B$66,IF($B$172-MAX(280-1,$B$174)&gt;0,IF(B680=0,0,IF(C680=0,B680/($B$172-MAX(280-1,$B$174)),B680*(C680/12)/(1-(1+C680/12)^(-($B$172-MAX(280-1,$B$174)))))),"")),D679))))),IF(IF(AND(280&lt;=$B$174,280&lt;=$B$173),B680*C680/12,IF(AND(280=$B$173+1,AND(280&gt;$B$173,$B$78="Refinance",ISNUMBER($B$80),$B$80&gt;=0,$B$80&lt;=1,ROUND($B$81*12,0)&gt;=1,$B$81&lt;=100,SUM($B$82)&gt;=0,SUM($B$82)&lt;=1,SUM($B$83)&gt;=0)),IF(B680=0,0,IF(C680=0,B680/ROUND($B$81*12,0),B680*(C680/12)/(1-(1+C680/12)^(-ROUND($B$81*12,0))))),IF(AND(NOT(AND(280&gt;$B$173,$B$78="Refinance",ISNUMBER($B$80),$B$80&gt;=0,$B$80&lt;=1,ROUND($B$81*12,0)&gt;=1,$B$81&lt;=100,SUM($B$82)&gt;=0,SUM($B$82)&lt;=1,SUM($B$83)&gt;=0)),OR(280=1,280=$B$174+1,AND($B$175&gt;0,280=$B$175+1))),IF(AND($B$170=1,$B$66&gt;0,OR($B$175=0,280&lt;=$B$175)),$B$66,IF($B$172-MAX(280-1,$B$174)&gt;0,IF(B680=0,0,IF(C680=0,B680/($B$172-MAX(280-1,$B$174)),B680*(C680/12)/(1-(1+C680/12)^(-($B$172-MAX(280-1,$B$174)))))),"")),D679)))+0.0000001&gt;=B680*C680/12,MIN(B680*(1+C680/12),IF(AND(280&lt;=$B$174,280&lt;=$B$173),B680*C680/12,IF(AND(280=$B$173+1,AND(280&gt;$B$173,$B$78="Refinance",ISNUMBER($B$80),$B$80&gt;=0,$B$80&lt;=1,ROUND($B$81*12,0)&gt;=1,$B$81&lt;=100,SUM($B$82)&gt;=0,SUM($B$82)&lt;=1,SUM($B$83)&gt;=0)),IF(B680=0,0,IF(C680=0,B680/ROUND($B$81*12,0),B680*(C680/12)/(1-(1+C680/12)^(-ROUND($B$81*12,0))))),IF(AND(NOT(AND(280&gt;$B$173,$B$78="Refinance",ISNUMBER($B$80),$B$80&gt;=0,$B$80&lt;=1,ROUND($B$81*12,0)&gt;=1,$B$81&lt;=100,SUM($B$82)&gt;=0,SUM($B$82)&lt;=1,SUM($B$83)&gt;=0)),OR(280=1,280=$B$174+1,AND($B$175&gt;0,280=$B$175+1))),IF(AND($B$170=1,$B$66&gt;0,OR($B$175=0,280&lt;=$B$175)),$B$66,IF($B$172-MAX(280-1,$B$174)&gt;0,IF(B680=0,0,IF(C680=0,B680/($B$172-MAX(280-1,$B$174)),B680*(C680/12)/(1-(1+C680/12)^(-($B$172-MAX(280-1,$B$174)))))),"")),D679)))),""),""))</x:f>
        <x:v>4679.450723240598</x:v>
      </x:c>
      <x:c r="E680" s="440" t="n">
        <x:f>IF(AND(280=$B$173,ISNUMBER(D680)),IF(MAX(0,B680*(1+C680/12)-D680)&lt;MAX(0.0000001,$E$17*0.00000000001),0,MAX(0,B680*(1+C680/12)-D680)),0)</x:f>
        <x:v>0</x:v>
      </x:c>
      <x:c r="F680" s="440" t="n">
        <x:f>IF($B$78="Cash payoff",E680,0)</x:f>
        <x:v>0</x:v>
      </x:c>
      <x:c r="G680" s="440" t="n">
        <x:f>IF(AND(E680&gt;0,AND($B$78="Refinance",ISNUMBER($B$80),$B$80&gt;=0,$B$80&lt;=1,ROUND($B$81*12,0)&gt;=1,$B$81&lt;=100,SUM($B$82)&gt;=0,SUM($B$82)&lt;=1,SUM($B$83)&gt;=0)),E680*SUM($B$82)+SUM($B$83),0)</x:f>
        <x:v>0</x:v>
      </x:c>
      <x:c r="H680" s="440" t="n">
        <x:f>IF(ISNUMBER(D680),IF(MAX(0,B680*(1+C680/12)-D680-F680)&lt;MAX(0.0000001,$E$17*0.00000000001),0,MAX(0,B680*(1+C680/12)-D680-F680)),IF(AND($B$171=1,I679=1),B680,""))</x:f>
        <x:v>305515.9947463309</x:v>
      </x:c>
      <x:c r="I680" s="444" t="n">
        <x:f>IF(OR(I679=1,AND(E680&gt;0,$B$78&lt;&gt;"Cash payoff",NOT(AND($B$78="Refinance",ISNUMBER($B$80),$B$80&gt;=0,$B$80&lt;=1,ROUND($B$81*12,0)&gt;=1,$B$81&lt;=100,SUM($B$82)&gt;=0,SUM($B$82)&lt;=1,SUM($B$83)&gt;=0))),AND(ISNUMBER(B680),B680&gt;0,$B$171=1,NOT(ISNUMBER(D680)))),1,0)</x:f>
        <x:v>0</x:v>
      </x:c>
      <x:c r="J680" s="440" t="n">
        <x:f>IF(ISNUMBER(L679),L679,"")</x:f>
        <x:v>0</x:v>
      </x:c>
      <x:c r="K680" s="440" t="n">
        <x:f>IF(AND(ISNUMBER(J680),J680=0),0,IF(AND($B$176=1,ISNUMBER(J680)),MIN(J680*(1+$B$87/12),IF($B$86=0,0,IF($B$87=0,$B$86/ROUND($B$88*12,0),$B$86*($B$87/12)/(1-(1+$B$87/12)^(-ROUND($B$88*12,0)))))),""))</x:f>
        <x:v>0</x:v>
      </x:c>
      <x:c r="L680" s="440" t="n">
        <x:f>IF(ISNUMBER(K680),IF(MAX(0,J680*(1+SUM($B$87)/12)-K680)&lt;MAX(0.0000001,$B$86*0.00000000001),0,MAX(0,J680*(1+SUM($B$87)/12)-K680)),"")</x:f>
        <x:v>0</x:v>
      </x:c>
      <x:c r="M680" s="440" t="n">
        <x:f>IF(AND(ISNUMBER(D680),ISNUMBER(K680)),D680+K680,"")</x:f>
        <x:v>4679.450723240598</x:v>
      </x:c>
      <x:c r="N680" s="440" t="n">
        <x:f>IF(AND(ISNUMBER(H680),ISNUMBER(L680)),H680+L680,"")</x:f>
        <x:v>305515.9947463309</x:v>
      </x:c>
    </x:row>
    <x:row r="681" ht="22" customHeight="1">
      <x:c r="A681" s="254" t="n">
        <x:f>281</x:f>
        <x:v>281</x:v>
      </x:c>
      <x:c r="B681" s="440" t="n">
        <x:f>IF(ISNUMBER(H680),H680,"")</x:f>
        <x:v>305515.9947463309</x:v>
      </x:c>
      <x:c r="C681" s="442" t="n">
        <x:f>IF(ISNUMBER(B681),IF(AND(281&gt;$B$173,$B$78="Refinance",ISNUMBER($B$80),$B$80&gt;=0,$B$80&lt;=1,ROUND($B$81*12,0)&gt;=1,$B$81&lt;=100,SUM($B$82)&gt;=0,SUM($B$82)&lt;=1,SUM($B$83)&gt;=0),$B$80,IF(AND($B$175&gt;0,281&gt;$B$175,ISNUMBER($B$75)),$B$75,$B$61)),"")</x:f>
        <x:v>0.0625</x:v>
      </x:c>
      <x:c r="D681" s="440" t="n">
        <x:f>IF(AND(ISNUMBER(B681),B681=0),0,IF(AND($B$171=1,I680=0,ISNUMBER(C681),ISNUMBER(IF(AND(281&lt;=$B$174,281&lt;=$B$173),B681*C681/12,IF(AND(281=$B$173+1,AND(281&gt;$B$173,$B$78="Refinance",ISNUMBER($B$80),$B$80&gt;=0,$B$80&lt;=1,ROUND($B$81*12,0)&gt;=1,$B$81&lt;=100,SUM($B$82)&gt;=0,SUM($B$82)&lt;=1,SUM($B$83)&gt;=0)),IF(B681=0,0,IF(C681=0,B681/ROUND($B$81*12,0),B681*(C681/12)/(1-(1+C681/12)^(-ROUND($B$81*12,0))))),IF(AND(NOT(AND(281&gt;$B$173,$B$78="Refinance",ISNUMBER($B$80),$B$80&gt;=0,$B$80&lt;=1,ROUND($B$81*12,0)&gt;=1,$B$81&lt;=100,SUM($B$82)&gt;=0,SUM($B$82)&lt;=1,SUM($B$83)&gt;=0)),OR(281=1,281=$B$174+1,AND($B$175&gt;0,281=$B$175+1))),IF(AND($B$170=1,$B$66&gt;0,OR($B$175=0,281&lt;=$B$175)),$B$66,IF($B$172-MAX(281-1,$B$174)&gt;0,IF(B681=0,0,IF(C681=0,B681/($B$172-MAX(281-1,$B$174)),B681*(C681/12)/(1-(1+C681/12)^(-($B$172-MAX(281-1,$B$174)))))),"")),D680))))),IF(IF(AND(281&lt;=$B$174,281&lt;=$B$173),B681*C681/12,IF(AND(281=$B$173+1,AND(281&gt;$B$173,$B$78="Refinance",ISNUMBER($B$80),$B$80&gt;=0,$B$80&lt;=1,ROUND($B$81*12,0)&gt;=1,$B$81&lt;=100,SUM($B$82)&gt;=0,SUM($B$82)&lt;=1,SUM($B$83)&gt;=0)),IF(B681=0,0,IF(C681=0,B681/ROUND($B$81*12,0),B681*(C681/12)/(1-(1+C681/12)^(-ROUND($B$81*12,0))))),IF(AND(NOT(AND(281&gt;$B$173,$B$78="Refinance",ISNUMBER($B$80),$B$80&gt;=0,$B$80&lt;=1,ROUND($B$81*12,0)&gt;=1,$B$81&lt;=100,SUM($B$82)&gt;=0,SUM($B$82)&lt;=1,SUM($B$83)&gt;=0)),OR(281=1,281=$B$174+1,AND($B$175&gt;0,281=$B$175+1))),IF(AND($B$170=1,$B$66&gt;0,OR($B$175=0,281&lt;=$B$175)),$B$66,IF($B$172-MAX(281-1,$B$174)&gt;0,IF(B681=0,0,IF(C681=0,B681/($B$172-MAX(281-1,$B$174)),B681*(C681/12)/(1-(1+C681/12)^(-($B$172-MAX(281-1,$B$174)))))),"")),D680)))+0.0000001&gt;=B681*C681/12,MIN(B681*(1+C681/12),IF(AND(281&lt;=$B$174,281&lt;=$B$173),B681*C681/12,IF(AND(281=$B$173+1,AND(281&gt;$B$173,$B$78="Refinance",ISNUMBER($B$80),$B$80&gt;=0,$B$80&lt;=1,ROUND($B$81*12,0)&gt;=1,$B$81&lt;=100,SUM($B$82)&gt;=0,SUM($B$82)&lt;=1,SUM($B$83)&gt;=0)),IF(B681=0,0,IF(C681=0,B681/ROUND($B$81*12,0),B681*(C681/12)/(1-(1+C681/12)^(-ROUND($B$81*12,0))))),IF(AND(NOT(AND(281&gt;$B$173,$B$78="Refinance",ISNUMBER($B$80),$B$80&gt;=0,$B$80&lt;=1,ROUND($B$81*12,0)&gt;=1,$B$81&lt;=100,SUM($B$82)&gt;=0,SUM($B$82)&lt;=1,SUM($B$83)&gt;=0)),OR(281=1,281=$B$174+1,AND($B$175&gt;0,281=$B$175+1))),IF(AND($B$170=1,$B$66&gt;0,OR($B$175=0,281&lt;=$B$175)),$B$66,IF($B$172-MAX(281-1,$B$174)&gt;0,IF(B681=0,0,IF(C681=0,B681/($B$172-MAX(281-1,$B$174)),B681*(C681/12)/(1-(1+C681/12)^(-($B$172-MAX(281-1,$B$174)))))),"")),D680)))),""),""))</x:f>
        <x:v>4679.450723240598</x:v>
      </x:c>
      <x:c r="E681" s="440" t="n">
        <x:f>IF(AND(281=$B$173,ISNUMBER(D681)),IF(MAX(0,B681*(1+C681/12)-D681)&lt;MAX(0.0000001,$E$17*0.00000000001),0,MAX(0,B681*(1+C681/12)-D681)),0)</x:f>
        <x:v>0</x:v>
      </x:c>
      <x:c r="F681" s="440" t="n">
        <x:f>IF($B$78="Cash payoff",E681,0)</x:f>
        <x:v>0</x:v>
      </x:c>
      <x:c r="G681" s="440" t="n">
        <x:f>IF(AND(E681&gt;0,AND($B$78="Refinance",ISNUMBER($B$80),$B$80&gt;=0,$B$80&lt;=1,ROUND($B$81*12,0)&gt;=1,$B$81&lt;=100,SUM($B$82)&gt;=0,SUM($B$82)&lt;=1,SUM($B$83)&gt;=0)),E681*SUM($B$82)+SUM($B$83),0)</x:f>
        <x:v>0</x:v>
      </x:c>
      <x:c r="H681" s="440" t="n">
        <x:f>IF(ISNUMBER(D681),IF(MAX(0,B681*(1+C681/12)-D681-F681)&lt;MAX(0.0000001,$E$17*0.00000000001),0,MAX(0,B681*(1+C681/12)-D681-F681)),IF(AND($B$171=1,I680=1),B681,""))</x:f>
        <x:v>302427.77316239406</x:v>
      </x:c>
      <x:c r="I681" s="444" t="n">
        <x:f>IF(OR(I680=1,AND(E681&gt;0,$B$78&lt;&gt;"Cash payoff",NOT(AND($B$78="Refinance",ISNUMBER($B$80),$B$80&gt;=0,$B$80&lt;=1,ROUND($B$81*12,0)&gt;=1,$B$81&lt;=100,SUM($B$82)&gt;=0,SUM($B$82)&lt;=1,SUM($B$83)&gt;=0))),AND(ISNUMBER(B681),B681&gt;0,$B$171=1,NOT(ISNUMBER(D681)))),1,0)</x:f>
        <x:v>0</x:v>
      </x:c>
      <x:c r="J681" s="440" t="n">
        <x:f>IF(ISNUMBER(L680),L680,"")</x:f>
        <x:v>0</x:v>
      </x:c>
      <x:c r="K681" s="440" t="n">
        <x:f>IF(AND(ISNUMBER(J681),J681=0),0,IF(AND($B$176=1,ISNUMBER(J681)),MIN(J681*(1+$B$87/12),IF($B$86=0,0,IF($B$87=0,$B$86/ROUND($B$88*12,0),$B$86*($B$87/12)/(1-(1+$B$87/12)^(-ROUND($B$88*12,0)))))),""))</x:f>
        <x:v>0</x:v>
      </x:c>
      <x:c r="L681" s="440" t="n">
        <x:f>IF(ISNUMBER(K681),IF(MAX(0,J681*(1+SUM($B$87)/12)-K681)&lt;MAX(0.0000001,$B$86*0.00000000001),0,MAX(0,J681*(1+SUM($B$87)/12)-K681)),"")</x:f>
        <x:v>0</x:v>
      </x:c>
      <x:c r="M681" s="440" t="n">
        <x:f>IF(AND(ISNUMBER(D681),ISNUMBER(K681)),D681+K681,"")</x:f>
        <x:v>4679.450723240598</x:v>
      </x:c>
      <x:c r="N681" s="440" t="n">
        <x:f>IF(AND(ISNUMBER(H681),ISNUMBER(L681)),H681+L681,"")</x:f>
        <x:v>302427.77316239406</x:v>
      </x:c>
    </x:row>
    <x:row r="682" ht="22" customHeight="1">
      <x:c r="A682" s="254" t="n">
        <x:f>282</x:f>
        <x:v>282</x:v>
      </x:c>
      <x:c r="B682" s="440" t="n">
        <x:f>IF(ISNUMBER(H681),H681,"")</x:f>
        <x:v>302427.77316239406</x:v>
      </x:c>
      <x:c r="C682" s="442" t="n">
        <x:f>IF(ISNUMBER(B682),IF(AND(282&gt;$B$173,$B$78="Refinance",ISNUMBER($B$80),$B$80&gt;=0,$B$80&lt;=1,ROUND($B$81*12,0)&gt;=1,$B$81&lt;=100,SUM($B$82)&gt;=0,SUM($B$82)&lt;=1,SUM($B$83)&gt;=0),$B$80,IF(AND($B$175&gt;0,282&gt;$B$175,ISNUMBER($B$75)),$B$75,$B$61)),"")</x:f>
        <x:v>0.0625</x:v>
      </x:c>
      <x:c r="D682" s="440" t="n">
        <x:f>IF(AND(ISNUMBER(B682),B682=0),0,IF(AND($B$171=1,I681=0,ISNUMBER(C682),ISNUMBER(IF(AND(282&lt;=$B$174,282&lt;=$B$173),B682*C682/12,IF(AND(282=$B$173+1,AND(282&gt;$B$173,$B$78="Refinance",ISNUMBER($B$80),$B$80&gt;=0,$B$80&lt;=1,ROUND($B$81*12,0)&gt;=1,$B$81&lt;=100,SUM($B$82)&gt;=0,SUM($B$82)&lt;=1,SUM($B$83)&gt;=0)),IF(B682=0,0,IF(C682=0,B682/ROUND($B$81*12,0),B682*(C682/12)/(1-(1+C682/12)^(-ROUND($B$81*12,0))))),IF(AND(NOT(AND(282&gt;$B$173,$B$78="Refinance",ISNUMBER($B$80),$B$80&gt;=0,$B$80&lt;=1,ROUND($B$81*12,0)&gt;=1,$B$81&lt;=100,SUM($B$82)&gt;=0,SUM($B$82)&lt;=1,SUM($B$83)&gt;=0)),OR(282=1,282=$B$174+1,AND($B$175&gt;0,282=$B$175+1))),IF(AND($B$170=1,$B$66&gt;0,OR($B$175=0,282&lt;=$B$175)),$B$66,IF($B$172-MAX(282-1,$B$174)&gt;0,IF(B682=0,0,IF(C682=0,B682/($B$172-MAX(282-1,$B$174)),B682*(C682/12)/(1-(1+C682/12)^(-($B$172-MAX(282-1,$B$174)))))),"")),D681))))),IF(IF(AND(282&lt;=$B$174,282&lt;=$B$173),B682*C682/12,IF(AND(282=$B$173+1,AND(282&gt;$B$173,$B$78="Refinance",ISNUMBER($B$80),$B$80&gt;=0,$B$80&lt;=1,ROUND($B$81*12,0)&gt;=1,$B$81&lt;=100,SUM($B$82)&gt;=0,SUM($B$82)&lt;=1,SUM($B$83)&gt;=0)),IF(B682=0,0,IF(C682=0,B682/ROUND($B$81*12,0),B682*(C682/12)/(1-(1+C682/12)^(-ROUND($B$81*12,0))))),IF(AND(NOT(AND(282&gt;$B$173,$B$78="Refinance",ISNUMBER($B$80),$B$80&gt;=0,$B$80&lt;=1,ROUND($B$81*12,0)&gt;=1,$B$81&lt;=100,SUM($B$82)&gt;=0,SUM($B$82)&lt;=1,SUM($B$83)&gt;=0)),OR(282=1,282=$B$174+1,AND($B$175&gt;0,282=$B$175+1))),IF(AND($B$170=1,$B$66&gt;0,OR($B$175=0,282&lt;=$B$175)),$B$66,IF($B$172-MAX(282-1,$B$174)&gt;0,IF(B682=0,0,IF(C682=0,B682/($B$172-MAX(282-1,$B$174)),B682*(C682/12)/(1-(1+C682/12)^(-($B$172-MAX(282-1,$B$174)))))),"")),D681)))+0.0000001&gt;=B682*C682/12,MIN(B682*(1+C682/12),IF(AND(282&lt;=$B$174,282&lt;=$B$173),B682*C682/12,IF(AND(282=$B$173+1,AND(282&gt;$B$173,$B$78="Refinance",ISNUMBER($B$80),$B$80&gt;=0,$B$80&lt;=1,ROUND($B$81*12,0)&gt;=1,$B$81&lt;=100,SUM($B$82)&gt;=0,SUM($B$82)&lt;=1,SUM($B$83)&gt;=0)),IF(B682=0,0,IF(C682=0,B682/ROUND($B$81*12,0),B682*(C682/12)/(1-(1+C682/12)^(-ROUND($B$81*12,0))))),IF(AND(NOT(AND(282&gt;$B$173,$B$78="Refinance",ISNUMBER($B$80),$B$80&gt;=0,$B$80&lt;=1,ROUND($B$81*12,0)&gt;=1,$B$81&lt;=100,SUM($B$82)&gt;=0,SUM($B$82)&lt;=1,SUM($B$83)&gt;=0)),OR(282=1,282=$B$174+1,AND($B$175&gt;0,282=$B$175+1))),IF(AND($B$170=1,$B$66&gt;0,OR($B$175=0,282&lt;=$B$175)),$B$66,IF($B$172-MAX(282-1,$B$174)&gt;0,IF(B682=0,0,IF(C682=0,B682/($B$172-MAX(282-1,$B$174)),B682*(C682/12)/(1-(1+C682/12)^(-($B$172-MAX(282-1,$B$174)))))),"")),D681)))),""),""))</x:f>
        <x:v>4679.450723240598</x:v>
      </x:c>
      <x:c r="E682" s="440" t="n">
        <x:f>IF(AND(282=$B$173,ISNUMBER(D682)),IF(MAX(0,B682*(1+C682/12)-D682)&lt;MAX(0.0000001,$E$17*0.00000000001),0,MAX(0,B682*(1+C682/12)-D682)),0)</x:f>
        <x:v>0</x:v>
      </x:c>
      <x:c r="F682" s="440" t="n">
        <x:f>IF($B$78="Cash payoff",E682,0)</x:f>
        <x:v>0</x:v>
      </x:c>
      <x:c r="G682" s="440" t="n">
        <x:f>IF(AND(E682&gt;0,AND($B$78="Refinance",ISNUMBER($B$80),$B$80&gt;=0,$B$80&lt;=1,ROUND($B$81*12,0)&gt;=1,$B$81&lt;=100,SUM($B$82)&gt;=0,SUM($B$82)&lt;=1,SUM($B$83)&gt;=0)),E682*SUM($B$82)+SUM($B$83),0)</x:f>
        <x:v>0</x:v>
      </x:c>
      <x:c r="H682" s="440" t="n">
        <x:f>IF(ISNUMBER(D682),IF(MAX(0,B682*(1+C682/12)-D682-F682)&lt;MAX(0.0000001,$E$17*0.00000000001),0,MAX(0,B682*(1+C682/12)-D682-F682)),IF(AND($B$171=1,I681=1),B682,""))</x:f>
        <x:v>299323.4670910409</x:v>
      </x:c>
      <x:c r="I682" s="444" t="n">
        <x:f>IF(OR(I681=1,AND(E682&gt;0,$B$78&lt;&gt;"Cash payoff",NOT(AND($B$78="Refinance",ISNUMBER($B$80),$B$80&gt;=0,$B$80&lt;=1,ROUND($B$81*12,0)&gt;=1,$B$81&lt;=100,SUM($B$82)&gt;=0,SUM($B$82)&lt;=1,SUM($B$83)&gt;=0))),AND(ISNUMBER(B682),B682&gt;0,$B$171=1,NOT(ISNUMBER(D682)))),1,0)</x:f>
        <x:v>0</x:v>
      </x:c>
      <x:c r="J682" s="440" t="n">
        <x:f>IF(ISNUMBER(L681),L681,"")</x:f>
        <x:v>0</x:v>
      </x:c>
      <x:c r="K682" s="440" t="n">
        <x:f>IF(AND(ISNUMBER(J682),J682=0),0,IF(AND($B$176=1,ISNUMBER(J682)),MIN(J682*(1+$B$87/12),IF($B$86=0,0,IF($B$87=0,$B$86/ROUND($B$88*12,0),$B$86*($B$87/12)/(1-(1+$B$87/12)^(-ROUND($B$88*12,0)))))),""))</x:f>
        <x:v>0</x:v>
      </x:c>
      <x:c r="L682" s="440" t="n">
        <x:f>IF(ISNUMBER(K682),IF(MAX(0,J682*(1+SUM($B$87)/12)-K682)&lt;MAX(0.0000001,$B$86*0.00000000001),0,MAX(0,J682*(1+SUM($B$87)/12)-K682)),"")</x:f>
        <x:v>0</x:v>
      </x:c>
      <x:c r="M682" s="440" t="n">
        <x:f>IF(AND(ISNUMBER(D682),ISNUMBER(K682)),D682+K682,"")</x:f>
        <x:v>4679.450723240598</x:v>
      </x:c>
      <x:c r="N682" s="440" t="n">
        <x:f>IF(AND(ISNUMBER(H682),ISNUMBER(L682)),H682+L682,"")</x:f>
        <x:v>299323.4670910409</x:v>
      </x:c>
    </x:row>
    <x:row r="683" ht="22" customHeight="1">
      <x:c r="A683" s="254" t="n">
        <x:f>283</x:f>
        <x:v>283</x:v>
      </x:c>
      <x:c r="B683" s="440" t="n">
        <x:f>IF(ISNUMBER(H682),H682,"")</x:f>
        <x:v>299323.4670910409</x:v>
      </x:c>
      <x:c r="C683" s="442" t="n">
        <x:f>IF(ISNUMBER(B683),IF(AND(283&gt;$B$173,$B$78="Refinance",ISNUMBER($B$80),$B$80&gt;=0,$B$80&lt;=1,ROUND($B$81*12,0)&gt;=1,$B$81&lt;=100,SUM($B$82)&gt;=0,SUM($B$82)&lt;=1,SUM($B$83)&gt;=0),$B$80,IF(AND($B$175&gt;0,283&gt;$B$175,ISNUMBER($B$75)),$B$75,$B$61)),"")</x:f>
        <x:v>0.0625</x:v>
      </x:c>
      <x:c r="D683" s="440" t="n">
        <x:f>IF(AND(ISNUMBER(B683),B683=0),0,IF(AND($B$171=1,I682=0,ISNUMBER(C683),ISNUMBER(IF(AND(283&lt;=$B$174,283&lt;=$B$173),B683*C683/12,IF(AND(283=$B$173+1,AND(283&gt;$B$173,$B$78="Refinance",ISNUMBER($B$80),$B$80&gt;=0,$B$80&lt;=1,ROUND($B$81*12,0)&gt;=1,$B$81&lt;=100,SUM($B$82)&gt;=0,SUM($B$82)&lt;=1,SUM($B$83)&gt;=0)),IF(B683=0,0,IF(C683=0,B683/ROUND($B$81*12,0),B683*(C683/12)/(1-(1+C683/12)^(-ROUND($B$81*12,0))))),IF(AND(NOT(AND(283&gt;$B$173,$B$78="Refinance",ISNUMBER($B$80),$B$80&gt;=0,$B$80&lt;=1,ROUND($B$81*12,0)&gt;=1,$B$81&lt;=100,SUM($B$82)&gt;=0,SUM($B$82)&lt;=1,SUM($B$83)&gt;=0)),OR(283=1,283=$B$174+1,AND($B$175&gt;0,283=$B$175+1))),IF(AND($B$170=1,$B$66&gt;0,OR($B$175=0,283&lt;=$B$175)),$B$66,IF($B$172-MAX(283-1,$B$174)&gt;0,IF(B683=0,0,IF(C683=0,B683/($B$172-MAX(283-1,$B$174)),B683*(C683/12)/(1-(1+C683/12)^(-($B$172-MAX(283-1,$B$174)))))),"")),D682))))),IF(IF(AND(283&lt;=$B$174,283&lt;=$B$173),B683*C683/12,IF(AND(283=$B$173+1,AND(283&gt;$B$173,$B$78="Refinance",ISNUMBER($B$80),$B$80&gt;=0,$B$80&lt;=1,ROUND($B$81*12,0)&gt;=1,$B$81&lt;=100,SUM($B$82)&gt;=0,SUM($B$82)&lt;=1,SUM($B$83)&gt;=0)),IF(B683=0,0,IF(C683=0,B683/ROUND($B$81*12,0),B683*(C683/12)/(1-(1+C683/12)^(-ROUND($B$81*12,0))))),IF(AND(NOT(AND(283&gt;$B$173,$B$78="Refinance",ISNUMBER($B$80),$B$80&gt;=0,$B$80&lt;=1,ROUND($B$81*12,0)&gt;=1,$B$81&lt;=100,SUM($B$82)&gt;=0,SUM($B$82)&lt;=1,SUM($B$83)&gt;=0)),OR(283=1,283=$B$174+1,AND($B$175&gt;0,283=$B$175+1))),IF(AND($B$170=1,$B$66&gt;0,OR($B$175=0,283&lt;=$B$175)),$B$66,IF($B$172-MAX(283-1,$B$174)&gt;0,IF(B683=0,0,IF(C683=0,B683/($B$172-MAX(283-1,$B$174)),B683*(C683/12)/(1-(1+C683/12)^(-($B$172-MAX(283-1,$B$174)))))),"")),D682)))+0.0000001&gt;=B683*C683/12,MIN(B683*(1+C683/12),IF(AND(283&lt;=$B$174,283&lt;=$B$173),B683*C683/12,IF(AND(283=$B$173+1,AND(283&gt;$B$173,$B$78="Refinance",ISNUMBER($B$80),$B$80&gt;=0,$B$80&lt;=1,ROUND($B$81*12,0)&gt;=1,$B$81&lt;=100,SUM($B$82)&gt;=0,SUM($B$82)&lt;=1,SUM($B$83)&gt;=0)),IF(B683=0,0,IF(C683=0,B683/ROUND($B$81*12,0),B683*(C683/12)/(1-(1+C683/12)^(-ROUND($B$81*12,0))))),IF(AND(NOT(AND(283&gt;$B$173,$B$78="Refinance",ISNUMBER($B$80),$B$80&gt;=0,$B$80&lt;=1,ROUND($B$81*12,0)&gt;=1,$B$81&lt;=100,SUM($B$82)&gt;=0,SUM($B$82)&lt;=1,SUM($B$83)&gt;=0)),OR(283=1,283=$B$174+1,AND($B$175&gt;0,283=$B$175+1))),IF(AND($B$170=1,$B$66&gt;0,OR($B$175=0,283&lt;=$B$175)),$B$66,IF($B$172-MAX(283-1,$B$174)&gt;0,IF(B683=0,0,IF(C683=0,B683/($B$172-MAX(283-1,$B$174)),B683*(C683/12)/(1-(1+C683/12)^(-($B$172-MAX(283-1,$B$174)))))),"")),D682)))),""),""))</x:f>
        <x:v>4679.450723240598</x:v>
      </x:c>
      <x:c r="E683" s="440" t="n">
        <x:f>IF(AND(283=$B$173,ISNUMBER(D683)),IF(MAX(0,B683*(1+C683/12)-D683)&lt;MAX(0.0000001,$E$17*0.00000000001),0,MAX(0,B683*(1+C683/12)-D683)),0)</x:f>
        <x:v>0</x:v>
      </x:c>
      <x:c r="F683" s="440" t="n">
        <x:f>IF($B$78="Cash payoff",E683,0)</x:f>
        <x:v>0</x:v>
      </x:c>
      <x:c r="G683" s="440" t="n">
        <x:f>IF(AND(E683&gt;0,AND($B$78="Refinance",ISNUMBER($B$80),$B$80&gt;=0,$B$80&lt;=1,ROUND($B$81*12,0)&gt;=1,$B$81&lt;=100,SUM($B$82)&gt;=0,SUM($B$82)&lt;=1,SUM($B$83)&gt;=0)),E683*SUM($B$82)+SUM($B$83),0)</x:f>
        <x:v>0</x:v>
      </x:c>
      <x:c r="H683" s="440" t="n">
        <x:f>IF(ISNUMBER(D683),IF(MAX(0,B683*(1+C683/12)-D683-F683)&lt;MAX(0.0000001,$E$17*0.00000000001),0,MAX(0,B683*(1+C683/12)-D683-F683)),IF(AND($B$171=1,I682=1),B683,""))</x:f>
        <x:v>296202.99275889946</x:v>
      </x:c>
      <x:c r="I683" s="444" t="n">
        <x:f>IF(OR(I682=1,AND(E683&gt;0,$B$78&lt;&gt;"Cash payoff",NOT(AND($B$78="Refinance",ISNUMBER($B$80),$B$80&gt;=0,$B$80&lt;=1,ROUND($B$81*12,0)&gt;=1,$B$81&lt;=100,SUM($B$82)&gt;=0,SUM($B$82)&lt;=1,SUM($B$83)&gt;=0))),AND(ISNUMBER(B683),B683&gt;0,$B$171=1,NOT(ISNUMBER(D683)))),1,0)</x:f>
        <x:v>0</x:v>
      </x:c>
      <x:c r="J683" s="440" t="n">
        <x:f>IF(ISNUMBER(L682),L682,"")</x:f>
        <x:v>0</x:v>
      </x:c>
      <x:c r="K683" s="440" t="n">
        <x:f>IF(AND(ISNUMBER(J683),J683=0),0,IF(AND($B$176=1,ISNUMBER(J683)),MIN(J683*(1+$B$87/12),IF($B$86=0,0,IF($B$87=0,$B$86/ROUND($B$88*12,0),$B$86*($B$87/12)/(1-(1+$B$87/12)^(-ROUND($B$88*12,0)))))),""))</x:f>
        <x:v>0</x:v>
      </x:c>
      <x:c r="L683" s="440" t="n">
        <x:f>IF(ISNUMBER(K683),IF(MAX(0,J683*(1+SUM($B$87)/12)-K683)&lt;MAX(0.0000001,$B$86*0.00000000001),0,MAX(0,J683*(1+SUM($B$87)/12)-K683)),"")</x:f>
        <x:v>0</x:v>
      </x:c>
      <x:c r="M683" s="440" t="n">
        <x:f>IF(AND(ISNUMBER(D683),ISNUMBER(K683)),D683+K683,"")</x:f>
        <x:v>4679.450723240598</x:v>
      </x:c>
      <x:c r="N683" s="440" t="n">
        <x:f>IF(AND(ISNUMBER(H683),ISNUMBER(L683)),H683+L683,"")</x:f>
        <x:v>296202.99275889946</x:v>
      </x:c>
    </x:row>
    <x:row r="684" ht="22" customHeight="1">
      <x:c r="A684" s="254" t="n">
        <x:f>284</x:f>
        <x:v>284</x:v>
      </x:c>
      <x:c r="B684" s="440" t="n">
        <x:f>IF(ISNUMBER(H683),H683,"")</x:f>
        <x:v>296202.99275889946</x:v>
      </x:c>
      <x:c r="C684" s="442" t="n">
        <x:f>IF(ISNUMBER(B684),IF(AND(284&gt;$B$173,$B$78="Refinance",ISNUMBER($B$80),$B$80&gt;=0,$B$80&lt;=1,ROUND($B$81*12,0)&gt;=1,$B$81&lt;=100,SUM($B$82)&gt;=0,SUM($B$82)&lt;=1,SUM($B$83)&gt;=0),$B$80,IF(AND($B$175&gt;0,284&gt;$B$175,ISNUMBER($B$75)),$B$75,$B$61)),"")</x:f>
        <x:v>0.0625</x:v>
      </x:c>
      <x:c r="D684" s="440" t="n">
        <x:f>IF(AND(ISNUMBER(B684),B684=0),0,IF(AND($B$171=1,I683=0,ISNUMBER(C684),ISNUMBER(IF(AND(284&lt;=$B$174,284&lt;=$B$173),B684*C684/12,IF(AND(284=$B$173+1,AND(284&gt;$B$173,$B$78="Refinance",ISNUMBER($B$80),$B$80&gt;=0,$B$80&lt;=1,ROUND($B$81*12,0)&gt;=1,$B$81&lt;=100,SUM($B$82)&gt;=0,SUM($B$82)&lt;=1,SUM($B$83)&gt;=0)),IF(B684=0,0,IF(C684=0,B684/ROUND($B$81*12,0),B684*(C684/12)/(1-(1+C684/12)^(-ROUND($B$81*12,0))))),IF(AND(NOT(AND(284&gt;$B$173,$B$78="Refinance",ISNUMBER($B$80),$B$80&gt;=0,$B$80&lt;=1,ROUND($B$81*12,0)&gt;=1,$B$81&lt;=100,SUM($B$82)&gt;=0,SUM($B$82)&lt;=1,SUM($B$83)&gt;=0)),OR(284=1,284=$B$174+1,AND($B$175&gt;0,284=$B$175+1))),IF(AND($B$170=1,$B$66&gt;0,OR($B$175=0,284&lt;=$B$175)),$B$66,IF($B$172-MAX(284-1,$B$174)&gt;0,IF(B684=0,0,IF(C684=0,B684/($B$172-MAX(284-1,$B$174)),B684*(C684/12)/(1-(1+C684/12)^(-($B$172-MAX(284-1,$B$174)))))),"")),D683))))),IF(IF(AND(284&lt;=$B$174,284&lt;=$B$173),B684*C684/12,IF(AND(284=$B$173+1,AND(284&gt;$B$173,$B$78="Refinance",ISNUMBER($B$80),$B$80&gt;=0,$B$80&lt;=1,ROUND($B$81*12,0)&gt;=1,$B$81&lt;=100,SUM($B$82)&gt;=0,SUM($B$82)&lt;=1,SUM($B$83)&gt;=0)),IF(B684=0,0,IF(C684=0,B684/ROUND($B$81*12,0),B684*(C684/12)/(1-(1+C684/12)^(-ROUND($B$81*12,0))))),IF(AND(NOT(AND(284&gt;$B$173,$B$78="Refinance",ISNUMBER($B$80),$B$80&gt;=0,$B$80&lt;=1,ROUND($B$81*12,0)&gt;=1,$B$81&lt;=100,SUM($B$82)&gt;=0,SUM($B$82)&lt;=1,SUM($B$83)&gt;=0)),OR(284=1,284=$B$174+1,AND($B$175&gt;0,284=$B$175+1))),IF(AND($B$170=1,$B$66&gt;0,OR($B$175=0,284&lt;=$B$175)),$B$66,IF($B$172-MAX(284-1,$B$174)&gt;0,IF(B684=0,0,IF(C684=0,B684/($B$172-MAX(284-1,$B$174)),B684*(C684/12)/(1-(1+C684/12)^(-($B$172-MAX(284-1,$B$174)))))),"")),D683)))+0.0000001&gt;=B684*C684/12,MIN(B684*(1+C684/12),IF(AND(284&lt;=$B$174,284&lt;=$B$173),B684*C684/12,IF(AND(284=$B$173+1,AND(284&gt;$B$173,$B$78="Refinance",ISNUMBER($B$80),$B$80&gt;=0,$B$80&lt;=1,ROUND($B$81*12,0)&gt;=1,$B$81&lt;=100,SUM($B$82)&gt;=0,SUM($B$82)&lt;=1,SUM($B$83)&gt;=0)),IF(B684=0,0,IF(C684=0,B684/ROUND($B$81*12,0),B684*(C684/12)/(1-(1+C684/12)^(-ROUND($B$81*12,0))))),IF(AND(NOT(AND(284&gt;$B$173,$B$78="Refinance",ISNUMBER($B$80),$B$80&gt;=0,$B$80&lt;=1,ROUND($B$81*12,0)&gt;=1,$B$81&lt;=100,SUM($B$82)&gt;=0,SUM($B$82)&lt;=1,SUM($B$83)&gt;=0)),OR(284=1,284=$B$174+1,AND($B$175&gt;0,284=$B$175+1))),IF(AND($B$170=1,$B$66&gt;0,OR($B$175=0,284&lt;=$B$175)),$B$66,IF($B$172-MAX(284-1,$B$174)&gt;0,IF(B684=0,0,IF(C684=0,B684/($B$172-MAX(284-1,$B$174)),B684*(C684/12)/(1-(1+C684/12)^(-($B$172-MAX(284-1,$B$174)))))),"")),D683)))),""),""))</x:f>
        <x:v>4679.450723240598</x:v>
      </x:c>
      <x:c r="E684" s="440" t="n">
        <x:f>IF(AND(284=$B$173,ISNUMBER(D684)),IF(MAX(0,B684*(1+C684/12)-D684)&lt;MAX(0.0000001,$E$17*0.00000000001),0,MAX(0,B684*(1+C684/12)-D684)),0)</x:f>
        <x:v>0</x:v>
      </x:c>
      <x:c r="F684" s="440" t="n">
        <x:f>IF($B$78="Cash payoff",E684,0)</x:f>
        <x:v>0</x:v>
      </x:c>
      <x:c r="G684" s="440" t="n">
        <x:f>IF(AND(E684&gt;0,AND($B$78="Refinance",ISNUMBER($B$80),$B$80&gt;=0,$B$80&lt;=1,ROUND($B$81*12,0)&gt;=1,$B$81&lt;=100,SUM($B$82)&gt;=0,SUM($B$82)&lt;=1,SUM($B$83)&gt;=0)),E684*SUM($B$82)+SUM($B$83),0)</x:f>
        <x:v>0</x:v>
      </x:c>
      <x:c r="H684" s="440" t="n">
        <x:f>IF(ISNUMBER(D684),IF(MAX(0,B684*(1+C684/12)-D684-F684)&lt;MAX(0.0000001,$E$17*0.00000000001),0,MAX(0,B684*(1+C684/12)-D684-F684)),IF(AND($B$171=1,I683=1),B684,""))</x:f>
        <x:v>293066.2659562781</x:v>
      </x:c>
      <x:c r="I684" s="444" t="n">
        <x:f>IF(OR(I683=1,AND(E684&gt;0,$B$78&lt;&gt;"Cash payoff",NOT(AND($B$78="Refinance",ISNUMBER($B$80),$B$80&gt;=0,$B$80&lt;=1,ROUND($B$81*12,0)&gt;=1,$B$81&lt;=100,SUM($B$82)&gt;=0,SUM($B$82)&lt;=1,SUM($B$83)&gt;=0))),AND(ISNUMBER(B684),B684&gt;0,$B$171=1,NOT(ISNUMBER(D684)))),1,0)</x:f>
        <x:v>0</x:v>
      </x:c>
      <x:c r="J684" s="440" t="n">
        <x:f>IF(ISNUMBER(L683),L683,"")</x:f>
        <x:v>0</x:v>
      </x:c>
      <x:c r="K684" s="440" t="n">
        <x:f>IF(AND(ISNUMBER(J684),J684=0),0,IF(AND($B$176=1,ISNUMBER(J684)),MIN(J684*(1+$B$87/12),IF($B$86=0,0,IF($B$87=0,$B$86/ROUND($B$88*12,0),$B$86*($B$87/12)/(1-(1+$B$87/12)^(-ROUND($B$88*12,0)))))),""))</x:f>
        <x:v>0</x:v>
      </x:c>
      <x:c r="L684" s="440" t="n">
        <x:f>IF(ISNUMBER(K684),IF(MAX(0,J684*(1+SUM($B$87)/12)-K684)&lt;MAX(0.0000001,$B$86*0.00000000001),0,MAX(0,J684*(1+SUM($B$87)/12)-K684)),"")</x:f>
        <x:v>0</x:v>
      </x:c>
      <x:c r="M684" s="440" t="n">
        <x:f>IF(AND(ISNUMBER(D684),ISNUMBER(K684)),D684+K684,"")</x:f>
        <x:v>4679.450723240598</x:v>
      </x:c>
      <x:c r="N684" s="440" t="n">
        <x:f>IF(AND(ISNUMBER(H684),ISNUMBER(L684)),H684+L684,"")</x:f>
        <x:v>293066.2659562781</x:v>
      </x:c>
    </x:row>
    <x:row r="685" ht="22" customHeight="1">
      <x:c r="A685" s="254" t="n">
        <x:f>285</x:f>
        <x:v>285</x:v>
      </x:c>
      <x:c r="B685" s="440" t="n">
        <x:f>IF(ISNUMBER(H684),H684,"")</x:f>
        <x:v>293066.2659562781</x:v>
      </x:c>
      <x:c r="C685" s="442" t="n">
        <x:f>IF(ISNUMBER(B685),IF(AND(285&gt;$B$173,$B$78="Refinance",ISNUMBER($B$80),$B$80&gt;=0,$B$80&lt;=1,ROUND($B$81*12,0)&gt;=1,$B$81&lt;=100,SUM($B$82)&gt;=0,SUM($B$82)&lt;=1,SUM($B$83)&gt;=0),$B$80,IF(AND($B$175&gt;0,285&gt;$B$175,ISNUMBER($B$75)),$B$75,$B$61)),"")</x:f>
        <x:v>0.0625</x:v>
      </x:c>
      <x:c r="D685" s="440" t="n">
        <x:f>IF(AND(ISNUMBER(B685),B685=0),0,IF(AND($B$171=1,I684=0,ISNUMBER(C685),ISNUMBER(IF(AND(285&lt;=$B$174,285&lt;=$B$173),B685*C685/12,IF(AND(285=$B$173+1,AND(285&gt;$B$173,$B$78="Refinance",ISNUMBER($B$80),$B$80&gt;=0,$B$80&lt;=1,ROUND($B$81*12,0)&gt;=1,$B$81&lt;=100,SUM($B$82)&gt;=0,SUM($B$82)&lt;=1,SUM($B$83)&gt;=0)),IF(B685=0,0,IF(C685=0,B685/ROUND($B$81*12,0),B685*(C685/12)/(1-(1+C685/12)^(-ROUND($B$81*12,0))))),IF(AND(NOT(AND(285&gt;$B$173,$B$78="Refinance",ISNUMBER($B$80),$B$80&gt;=0,$B$80&lt;=1,ROUND($B$81*12,0)&gt;=1,$B$81&lt;=100,SUM($B$82)&gt;=0,SUM($B$82)&lt;=1,SUM($B$83)&gt;=0)),OR(285=1,285=$B$174+1,AND($B$175&gt;0,285=$B$175+1))),IF(AND($B$170=1,$B$66&gt;0,OR($B$175=0,285&lt;=$B$175)),$B$66,IF($B$172-MAX(285-1,$B$174)&gt;0,IF(B685=0,0,IF(C685=0,B685/($B$172-MAX(285-1,$B$174)),B685*(C685/12)/(1-(1+C685/12)^(-($B$172-MAX(285-1,$B$174)))))),"")),D684))))),IF(IF(AND(285&lt;=$B$174,285&lt;=$B$173),B685*C685/12,IF(AND(285=$B$173+1,AND(285&gt;$B$173,$B$78="Refinance",ISNUMBER($B$80),$B$80&gt;=0,$B$80&lt;=1,ROUND($B$81*12,0)&gt;=1,$B$81&lt;=100,SUM($B$82)&gt;=0,SUM($B$82)&lt;=1,SUM($B$83)&gt;=0)),IF(B685=0,0,IF(C685=0,B685/ROUND($B$81*12,0),B685*(C685/12)/(1-(1+C685/12)^(-ROUND($B$81*12,0))))),IF(AND(NOT(AND(285&gt;$B$173,$B$78="Refinance",ISNUMBER($B$80),$B$80&gt;=0,$B$80&lt;=1,ROUND($B$81*12,0)&gt;=1,$B$81&lt;=100,SUM($B$82)&gt;=0,SUM($B$82)&lt;=1,SUM($B$83)&gt;=0)),OR(285=1,285=$B$174+1,AND($B$175&gt;0,285=$B$175+1))),IF(AND($B$170=1,$B$66&gt;0,OR($B$175=0,285&lt;=$B$175)),$B$66,IF($B$172-MAX(285-1,$B$174)&gt;0,IF(B685=0,0,IF(C685=0,B685/($B$172-MAX(285-1,$B$174)),B685*(C685/12)/(1-(1+C685/12)^(-($B$172-MAX(285-1,$B$174)))))),"")),D684)))+0.0000001&gt;=B685*C685/12,MIN(B685*(1+C685/12),IF(AND(285&lt;=$B$174,285&lt;=$B$173),B685*C685/12,IF(AND(285=$B$173+1,AND(285&gt;$B$173,$B$78="Refinance",ISNUMBER($B$80),$B$80&gt;=0,$B$80&lt;=1,ROUND($B$81*12,0)&gt;=1,$B$81&lt;=100,SUM($B$82)&gt;=0,SUM($B$82)&lt;=1,SUM($B$83)&gt;=0)),IF(B685=0,0,IF(C685=0,B685/ROUND($B$81*12,0),B685*(C685/12)/(1-(1+C685/12)^(-ROUND($B$81*12,0))))),IF(AND(NOT(AND(285&gt;$B$173,$B$78="Refinance",ISNUMBER($B$80),$B$80&gt;=0,$B$80&lt;=1,ROUND($B$81*12,0)&gt;=1,$B$81&lt;=100,SUM($B$82)&gt;=0,SUM($B$82)&lt;=1,SUM($B$83)&gt;=0)),OR(285=1,285=$B$174+1,AND($B$175&gt;0,285=$B$175+1))),IF(AND($B$170=1,$B$66&gt;0,OR($B$175=0,285&lt;=$B$175)),$B$66,IF($B$172-MAX(285-1,$B$174)&gt;0,IF(B685=0,0,IF(C685=0,B685/($B$172-MAX(285-1,$B$174)),B685*(C685/12)/(1-(1+C685/12)^(-($B$172-MAX(285-1,$B$174)))))),"")),D684)))),""),""))</x:f>
        <x:v>4679.450723240598</x:v>
      </x:c>
      <x:c r="E685" s="440" t="n">
        <x:f>IF(AND(285=$B$173,ISNUMBER(D685)),IF(MAX(0,B685*(1+C685/12)-D685)&lt;MAX(0.0000001,$E$17*0.00000000001),0,MAX(0,B685*(1+C685/12)-D685)),0)</x:f>
        <x:v>0</x:v>
      </x:c>
      <x:c r="F685" s="440" t="n">
        <x:f>IF($B$78="Cash payoff",E685,0)</x:f>
        <x:v>0</x:v>
      </x:c>
      <x:c r="G685" s="440" t="n">
        <x:f>IF(AND(E685&gt;0,AND($B$78="Refinance",ISNUMBER($B$80),$B$80&gt;=0,$B$80&lt;=1,ROUND($B$81*12,0)&gt;=1,$B$81&lt;=100,SUM($B$82)&gt;=0,SUM($B$82)&lt;=1,SUM($B$83)&gt;=0)),E685*SUM($B$82)+SUM($B$83),0)</x:f>
        <x:v>0</x:v>
      </x:c>
      <x:c r="H685" s="440" t="n">
        <x:f>IF(ISNUMBER(D685),IF(MAX(0,B685*(1+C685/12)-D685-F685)&lt;MAX(0.0000001,$E$17*0.00000000001),0,MAX(0,B685*(1+C685/12)-D685-F685)),IF(AND($B$171=1,I684=1),B685,""))</x:f>
        <x:v>289913.20203489304</x:v>
      </x:c>
      <x:c r="I685" s="444" t="n">
        <x:f>IF(OR(I684=1,AND(E685&gt;0,$B$78&lt;&gt;"Cash payoff",NOT(AND($B$78="Refinance",ISNUMBER($B$80),$B$80&gt;=0,$B$80&lt;=1,ROUND($B$81*12,0)&gt;=1,$B$81&lt;=100,SUM($B$82)&gt;=0,SUM($B$82)&lt;=1,SUM($B$83)&gt;=0))),AND(ISNUMBER(B685),B685&gt;0,$B$171=1,NOT(ISNUMBER(D685)))),1,0)</x:f>
        <x:v>0</x:v>
      </x:c>
      <x:c r="J685" s="440" t="n">
        <x:f>IF(ISNUMBER(L684),L684,"")</x:f>
        <x:v>0</x:v>
      </x:c>
      <x:c r="K685" s="440" t="n">
        <x:f>IF(AND(ISNUMBER(J685),J685=0),0,IF(AND($B$176=1,ISNUMBER(J685)),MIN(J685*(1+$B$87/12),IF($B$86=0,0,IF($B$87=0,$B$86/ROUND($B$88*12,0),$B$86*($B$87/12)/(1-(1+$B$87/12)^(-ROUND($B$88*12,0)))))),""))</x:f>
        <x:v>0</x:v>
      </x:c>
      <x:c r="L685" s="440" t="n">
        <x:f>IF(ISNUMBER(K685),IF(MAX(0,J685*(1+SUM($B$87)/12)-K685)&lt;MAX(0.0000001,$B$86*0.00000000001),0,MAX(0,J685*(1+SUM($B$87)/12)-K685)),"")</x:f>
        <x:v>0</x:v>
      </x:c>
      <x:c r="M685" s="440" t="n">
        <x:f>IF(AND(ISNUMBER(D685),ISNUMBER(K685)),D685+K685,"")</x:f>
        <x:v>4679.450723240598</x:v>
      </x:c>
      <x:c r="N685" s="440" t="n">
        <x:f>IF(AND(ISNUMBER(H685),ISNUMBER(L685)),H685+L685,"")</x:f>
        <x:v>289913.20203489304</x:v>
      </x:c>
    </x:row>
    <x:row r="686" ht="22" customHeight="1">
      <x:c r="A686" s="254" t="n">
        <x:f>286</x:f>
        <x:v>286</x:v>
      </x:c>
      <x:c r="B686" s="440" t="n">
        <x:f>IF(ISNUMBER(H685),H685,"")</x:f>
        <x:v>289913.20203489304</x:v>
      </x:c>
      <x:c r="C686" s="442" t="n">
        <x:f>IF(ISNUMBER(B686),IF(AND(286&gt;$B$173,$B$78="Refinance",ISNUMBER($B$80),$B$80&gt;=0,$B$80&lt;=1,ROUND($B$81*12,0)&gt;=1,$B$81&lt;=100,SUM($B$82)&gt;=0,SUM($B$82)&lt;=1,SUM($B$83)&gt;=0),$B$80,IF(AND($B$175&gt;0,286&gt;$B$175,ISNUMBER($B$75)),$B$75,$B$61)),"")</x:f>
        <x:v>0.0625</x:v>
      </x:c>
      <x:c r="D686" s="440" t="n">
        <x:f>IF(AND(ISNUMBER(B686),B686=0),0,IF(AND($B$171=1,I685=0,ISNUMBER(C686),ISNUMBER(IF(AND(286&lt;=$B$174,286&lt;=$B$173),B686*C686/12,IF(AND(286=$B$173+1,AND(286&gt;$B$173,$B$78="Refinance",ISNUMBER($B$80),$B$80&gt;=0,$B$80&lt;=1,ROUND($B$81*12,0)&gt;=1,$B$81&lt;=100,SUM($B$82)&gt;=0,SUM($B$82)&lt;=1,SUM($B$83)&gt;=0)),IF(B686=0,0,IF(C686=0,B686/ROUND($B$81*12,0),B686*(C686/12)/(1-(1+C686/12)^(-ROUND($B$81*12,0))))),IF(AND(NOT(AND(286&gt;$B$173,$B$78="Refinance",ISNUMBER($B$80),$B$80&gt;=0,$B$80&lt;=1,ROUND($B$81*12,0)&gt;=1,$B$81&lt;=100,SUM($B$82)&gt;=0,SUM($B$82)&lt;=1,SUM($B$83)&gt;=0)),OR(286=1,286=$B$174+1,AND($B$175&gt;0,286=$B$175+1))),IF(AND($B$170=1,$B$66&gt;0,OR($B$175=0,286&lt;=$B$175)),$B$66,IF($B$172-MAX(286-1,$B$174)&gt;0,IF(B686=0,0,IF(C686=0,B686/($B$172-MAX(286-1,$B$174)),B686*(C686/12)/(1-(1+C686/12)^(-($B$172-MAX(286-1,$B$174)))))),"")),D685))))),IF(IF(AND(286&lt;=$B$174,286&lt;=$B$173),B686*C686/12,IF(AND(286=$B$173+1,AND(286&gt;$B$173,$B$78="Refinance",ISNUMBER($B$80),$B$80&gt;=0,$B$80&lt;=1,ROUND($B$81*12,0)&gt;=1,$B$81&lt;=100,SUM($B$82)&gt;=0,SUM($B$82)&lt;=1,SUM($B$83)&gt;=0)),IF(B686=0,0,IF(C686=0,B686/ROUND($B$81*12,0),B686*(C686/12)/(1-(1+C686/12)^(-ROUND($B$81*12,0))))),IF(AND(NOT(AND(286&gt;$B$173,$B$78="Refinance",ISNUMBER($B$80),$B$80&gt;=0,$B$80&lt;=1,ROUND($B$81*12,0)&gt;=1,$B$81&lt;=100,SUM($B$82)&gt;=0,SUM($B$82)&lt;=1,SUM($B$83)&gt;=0)),OR(286=1,286=$B$174+1,AND($B$175&gt;0,286=$B$175+1))),IF(AND($B$170=1,$B$66&gt;0,OR($B$175=0,286&lt;=$B$175)),$B$66,IF($B$172-MAX(286-1,$B$174)&gt;0,IF(B686=0,0,IF(C686=0,B686/($B$172-MAX(286-1,$B$174)),B686*(C686/12)/(1-(1+C686/12)^(-($B$172-MAX(286-1,$B$174)))))),"")),D685)))+0.0000001&gt;=B686*C686/12,MIN(B686*(1+C686/12),IF(AND(286&lt;=$B$174,286&lt;=$B$173),B686*C686/12,IF(AND(286=$B$173+1,AND(286&gt;$B$173,$B$78="Refinance",ISNUMBER($B$80),$B$80&gt;=0,$B$80&lt;=1,ROUND($B$81*12,0)&gt;=1,$B$81&lt;=100,SUM($B$82)&gt;=0,SUM($B$82)&lt;=1,SUM($B$83)&gt;=0)),IF(B686=0,0,IF(C686=0,B686/ROUND($B$81*12,0),B686*(C686/12)/(1-(1+C686/12)^(-ROUND($B$81*12,0))))),IF(AND(NOT(AND(286&gt;$B$173,$B$78="Refinance",ISNUMBER($B$80),$B$80&gt;=0,$B$80&lt;=1,ROUND($B$81*12,0)&gt;=1,$B$81&lt;=100,SUM($B$82)&gt;=0,SUM($B$82)&lt;=1,SUM($B$83)&gt;=0)),OR(286=1,286=$B$174+1,AND($B$175&gt;0,286=$B$175+1))),IF(AND($B$170=1,$B$66&gt;0,OR($B$175=0,286&lt;=$B$175)),$B$66,IF($B$172-MAX(286-1,$B$174)&gt;0,IF(B686=0,0,IF(C686=0,B686/($B$172-MAX(286-1,$B$174)),B686*(C686/12)/(1-(1+C686/12)^(-($B$172-MAX(286-1,$B$174)))))),"")),D685)))),""),""))</x:f>
        <x:v>4679.450723240598</x:v>
      </x:c>
      <x:c r="E686" s="440" t="n">
        <x:f>IF(AND(286=$B$173,ISNUMBER(D686)),IF(MAX(0,B686*(1+C686/12)-D686)&lt;MAX(0.0000001,$E$17*0.00000000001),0,MAX(0,B686*(1+C686/12)-D686)),0)</x:f>
        <x:v>0</x:v>
      </x:c>
      <x:c r="F686" s="440" t="n">
        <x:f>IF($B$78="Cash payoff",E686,0)</x:f>
        <x:v>0</x:v>
      </x:c>
      <x:c r="G686" s="440" t="n">
        <x:f>IF(AND(E686&gt;0,AND($B$78="Refinance",ISNUMBER($B$80),$B$80&gt;=0,$B$80&lt;=1,ROUND($B$81*12,0)&gt;=1,$B$81&lt;=100,SUM($B$82)&gt;=0,SUM($B$82)&lt;=1,SUM($B$83)&gt;=0)),E686*SUM($B$82)+SUM($B$83),0)</x:f>
        <x:v>0</x:v>
      </x:c>
      <x:c r="H686" s="440" t="n">
        <x:f>IF(ISNUMBER(D686),IF(MAX(0,B686*(1+C686/12)-D686-F686)&lt;MAX(0.0000001,$E$17*0.00000000001),0,MAX(0,B686*(1+C686/12)-D686-F686)),IF(AND($B$171=1,I685=1),B686,""))</x:f>
        <x:v>286743.71590558416</x:v>
      </x:c>
      <x:c r="I686" s="444" t="n">
        <x:f>IF(OR(I685=1,AND(E686&gt;0,$B$78&lt;&gt;"Cash payoff",NOT(AND($B$78="Refinance",ISNUMBER($B$80),$B$80&gt;=0,$B$80&lt;=1,ROUND($B$81*12,0)&gt;=1,$B$81&lt;=100,SUM($B$82)&gt;=0,SUM($B$82)&lt;=1,SUM($B$83)&gt;=0))),AND(ISNUMBER(B686),B686&gt;0,$B$171=1,NOT(ISNUMBER(D686)))),1,0)</x:f>
        <x:v>0</x:v>
      </x:c>
      <x:c r="J686" s="440" t="n">
        <x:f>IF(ISNUMBER(L685),L685,"")</x:f>
        <x:v>0</x:v>
      </x:c>
      <x:c r="K686" s="440" t="n">
        <x:f>IF(AND(ISNUMBER(J686),J686=0),0,IF(AND($B$176=1,ISNUMBER(J686)),MIN(J686*(1+$B$87/12),IF($B$86=0,0,IF($B$87=0,$B$86/ROUND($B$88*12,0),$B$86*($B$87/12)/(1-(1+$B$87/12)^(-ROUND($B$88*12,0)))))),""))</x:f>
        <x:v>0</x:v>
      </x:c>
      <x:c r="L686" s="440" t="n">
        <x:f>IF(ISNUMBER(K686),IF(MAX(0,J686*(1+SUM($B$87)/12)-K686)&lt;MAX(0.0000001,$B$86*0.00000000001),0,MAX(0,J686*(1+SUM($B$87)/12)-K686)),"")</x:f>
        <x:v>0</x:v>
      </x:c>
      <x:c r="M686" s="440" t="n">
        <x:f>IF(AND(ISNUMBER(D686),ISNUMBER(K686)),D686+K686,"")</x:f>
        <x:v>4679.450723240598</x:v>
      </x:c>
      <x:c r="N686" s="440" t="n">
        <x:f>IF(AND(ISNUMBER(H686),ISNUMBER(L686)),H686+L686,"")</x:f>
        <x:v>286743.71590558416</x:v>
      </x:c>
    </x:row>
    <x:row r="687" ht="22" customHeight="1">
      <x:c r="A687" s="254" t="n">
        <x:f>287</x:f>
        <x:v>287</x:v>
      </x:c>
      <x:c r="B687" s="440" t="n">
        <x:f>IF(ISNUMBER(H686),H686,"")</x:f>
        <x:v>286743.71590558416</x:v>
      </x:c>
      <x:c r="C687" s="442" t="n">
        <x:f>IF(ISNUMBER(B687),IF(AND(287&gt;$B$173,$B$78="Refinance",ISNUMBER($B$80),$B$80&gt;=0,$B$80&lt;=1,ROUND($B$81*12,0)&gt;=1,$B$81&lt;=100,SUM($B$82)&gt;=0,SUM($B$82)&lt;=1,SUM($B$83)&gt;=0),$B$80,IF(AND($B$175&gt;0,287&gt;$B$175,ISNUMBER($B$75)),$B$75,$B$61)),"")</x:f>
        <x:v>0.0625</x:v>
      </x:c>
      <x:c r="D687" s="440" t="n">
        <x:f>IF(AND(ISNUMBER(B687),B687=0),0,IF(AND($B$171=1,I686=0,ISNUMBER(C687),ISNUMBER(IF(AND(287&lt;=$B$174,287&lt;=$B$173),B687*C687/12,IF(AND(287=$B$173+1,AND(287&gt;$B$173,$B$78="Refinance",ISNUMBER($B$80),$B$80&gt;=0,$B$80&lt;=1,ROUND($B$81*12,0)&gt;=1,$B$81&lt;=100,SUM($B$82)&gt;=0,SUM($B$82)&lt;=1,SUM($B$83)&gt;=0)),IF(B687=0,0,IF(C687=0,B687/ROUND($B$81*12,0),B687*(C687/12)/(1-(1+C687/12)^(-ROUND($B$81*12,0))))),IF(AND(NOT(AND(287&gt;$B$173,$B$78="Refinance",ISNUMBER($B$80),$B$80&gt;=0,$B$80&lt;=1,ROUND($B$81*12,0)&gt;=1,$B$81&lt;=100,SUM($B$82)&gt;=0,SUM($B$82)&lt;=1,SUM($B$83)&gt;=0)),OR(287=1,287=$B$174+1,AND($B$175&gt;0,287=$B$175+1))),IF(AND($B$170=1,$B$66&gt;0,OR($B$175=0,287&lt;=$B$175)),$B$66,IF($B$172-MAX(287-1,$B$174)&gt;0,IF(B687=0,0,IF(C687=0,B687/($B$172-MAX(287-1,$B$174)),B687*(C687/12)/(1-(1+C687/12)^(-($B$172-MAX(287-1,$B$174)))))),"")),D686))))),IF(IF(AND(287&lt;=$B$174,287&lt;=$B$173),B687*C687/12,IF(AND(287=$B$173+1,AND(287&gt;$B$173,$B$78="Refinance",ISNUMBER($B$80),$B$80&gt;=0,$B$80&lt;=1,ROUND($B$81*12,0)&gt;=1,$B$81&lt;=100,SUM($B$82)&gt;=0,SUM($B$82)&lt;=1,SUM($B$83)&gt;=0)),IF(B687=0,0,IF(C687=0,B687/ROUND($B$81*12,0),B687*(C687/12)/(1-(1+C687/12)^(-ROUND($B$81*12,0))))),IF(AND(NOT(AND(287&gt;$B$173,$B$78="Refinance",ISNUMBER($B$80),$B$80&gt;=0,$B$80&lt;=1,ROUND($B$81*12,0)&gt;=1,$B$81&lt;=100,SUM($B$82)&gt;=0,SUM($B$82)&lt;=1,SUM($B$83)&gt;=0)),OR(287=1,287=$B$174+1,AND($B$175&gt;0,287=$B$175+1))),IF(AND($B$170=1,$B$66&gt;0,OR($B$175=0,287&lt;=$B$175)),$B$66,IF($B$172-MAX(287-1,$B$174)&gt;0,IF(B687=0,0,IF(C687=0,B687/($B$172-MAX(287-1,$B$174)),B687*(C687/12)/(1-(1+C687/12)^(-($B$172-MAX(287-1,$B$174)))))),"")),D686)))+0.0000001&gt;=B687*C687/12,MIN(B687*(1+C687/12),IF(AND(287&lt;=$B$174,287&lt;=$B$173),B687*C687/12,IF(AND(287=$B$173+1,AND(287&gt;$B$173,$B$78="Refinance",ISNUMBER($B$80),$B$80&gt;=0,$B$80&lt;=1,ROUND($B$81*12,0)&gt;=1,$B$81&lt;=100,SUM($B$82)&gt;=0,SUM($B$82)&lt;=1,SUM($B$83)&gt;=0)),IF(B687=0,0,IF(C687=0,B687/ROUND($B$81*12,0),B687*(C687/12)/(1-(1+C687/12)^(-ROUND($B$81*12,0))))),IF(AND(NOT(AND(287&gt;$B$173,$B$78="Refinance",ISNUMBER($B$80),$B$80&gt;=0,$B$80&lt;=1,ROUND($B$81*12,0)&gt;=1,$B$81&lt;=100,SUM($B$82)&gt;=0,SUM($B$82)&lt;=1,SUM($B$83)&gt;=0)),OR(287=1,287=$B$174+1,AND($B$175&gt;0,287=$B$175+1))),IF(AND($B$170=1,$B$66&gt;0,OR($B$175=0,287&lt;=$B$175)),$B$66,IF($B$172-MAX(287-1,$B$174)&gt;0,IF(B687=0,0,IF(C687=0,B687/($B$172-MAX(287-1,$B$174)),B687*(C687/12)/(1-(1+C687/12)^(-($B$172-MAX(287-1,$B$174)))))),"")),D686)))),""),""))</x:f>
        <x:v>4679.450723240598</x:v>
      </x:c>
      <x:c r="E687" s="440" t="n">
        <x:f>IF(AND(287=$B$173,ISNUMBER(D687)),IF(MAX(0,B687*(1+C687/12)-D687)&lt;MAX(0.0000001,$E$17*0.00000000001),0,MAX(0,B687*(1+C687/12)-D687)),0)</x:f>
        <x:v>0</x:v>
      </x:c>
      <x:c r="F687" s="440" t="n">
        <x:f>IF($B$78="Cash payoff",E687,0)</x:f>
        <x:v>0</x:v>
      </x:c>
      <x:c r="G687" s="440" t="n">
        <x:f>IF(AND(E687&gt;0,AND($B$78="Refinance",ISNUMBER($B$80),$B$80&gt;=0,$B$80&lt;=1,ROUND($B$81*12,0)&gt;=1,$B$81&lt;=100,SUM($B$82)&gt;=0,SUM($B$82)&lt;=1,SUM($B$83)&gt;=0)),E687*SUM($B$82)+SUM($B$83),0)</x:f>
        <x:v>0</x:v>
      </x:c>
      <x:c r="H687" s="440" t="n">
        <x:f>IF(ISNUMBER(D687),IF(MAX(0,B687*(1+C687/12)-D687-F687)&lt;MAX(0.0000001,$E$17*0.00000000001),0,MAX(0,B687*(1+C687/12)-D687-F687)),IF(AND($B$171=1,I686=1),B687,""))</x:f>
        <x:v>283557.72203601844</x:v>
      </x:c>
      <x:c r="I687" s="444" t="n">
        <x:f>IF(OR(I686=1,AND(E687&gt;0,$B$78&lt;&gt;"Cash payoff",NOT(AND($B$78="Refinance",ISNUMBER($B$80),$B$80&gt;=0,$B$80&lt;=1,ROUND($B$81*12,0)&gt;=1,$B$81&lt;=100,SUM($B$82)&gt;=0,SUM($B$82)&lt;=1,SUM($B$83)&gt;=0))),AND(ISNUMBER(B687),B687&gt;0,$B$171=1,NOT(ISNUMBER(D687)))),1,0)</x:f>
        <x:v>0</x:v>
      </x:c>
      <x:c r="J687" s="440" t="n">
        <x:f>IF(ISNUMBER(L686),L686,"")</x:f>
        <x:v>0</x:v>
      </x:c>
      <x:c r="K687" s="440" t="n">
        <x:f>IF(AND(ISNUMBER(J687),J687=0),0,IF(AND($B$176=1,ISNUMBER(J687)),MIN(J687*(1+$B$87/12),IF($B$86=0,0,IF($B$87=0,$B$86/ROUND($B$88*12,0),$B$86*($B$87/12)/(1-(1+$B$87/12)^(-ROUND($B$88*12,0)))))),""))</x:f>
        <x:v>0</x:v>
      </x:c>
      <x:c r="L687" s="440" t="n">
        <x:f>IF(ISNUMBER(K687),IF(MAX(0,J687*(1+SUM($B$87)/12)-K687)&lt;MAX(0.0000001,$B$86*0.00000000001),0,MAX(0,J687*(1+SUM($B$87)/12)-K687)),"")</x:f>
        <x:v>0</x:v>
      </x:c>
      <x:c r="M687" s="440" t="n">
        <x:f>IF(AND(ISNUMBER(D687),ISNUMBER(K687)),D687+K687,"")</x:f>
        <x:v>4679.450723240598</x:v>
      </x:c>
      <x:c r="N687" s="440" t="n">
        <x:f>IF(AND(ISNUMBER(H687),ISNUMBER(L687)),H687+L687,"")</x:f>
        <x:v>283557.72203601844</x:v>
      </x:c>
    </x:row>
    <x:row r="688" ht="22" customHeight="1">
      <x:c r="A688" s="254" t="n">
        <x:f>288</x:f>
        <x:v>288</x:v>
      </x:c>
      <x:c r="B688" s="440" t="n">
        <x:f>IF(ISNUMBER(H687),H687,"")</x:f>
        <x:v>283557.72203601844</x:v>
      </x:c>
      <x:c r="C688" s="442" t="n">
        <x:f>IF(ISNUMBER(B688),IF(AND(288&gt;$B$173,$B$78="Refinance",ISNUMBER($B$80),$B$80&gt;=0,$B$80&lt;=1,ROUND($B$81*12,0)&gt;=1,$B$81&lt;=100,SUM($B$82)&gt;=0,SUM($B$82)&lt;=1,SUM($B$83)&gt;=0),$B$80,IF(AND($B$175&gt;0,288&gt;$B$175,ISNUMBER($B$75)),$B$75,$B$61)),"")</x:f>
        <x:v>0.0625</x:v>
      </x:c>
      <x:c r="D688" s="440" t="n">
        <x:f>IF(AND(ISNUMBER(B688),B688=0),0,IF(AND($B$171=1,I687=0,ISNUMBER(C688),ISNUMBER(IF(AND(288&lt;=$B$174,288&lt;=$B$173),B688*C688/12,IF(AND(288=$B$173+1,AND(288&gt;$B$173,$B$78="Refinance",ISNUMBER($B$80),$B$80&gt;=0,$B$80&lt;=1,ROUND($B$81*12,0)&gt;=1,$B$81&lt;=100,SUM($B$82)&gt;=0,SUM($B$82)&lt;=1,SUM($B$83)&gt;=0)),IF(B688=0,0,IF(C688=0,B688/ROUND($B$81*12,0),B688*(C688/12)/(1-(1+C688/12)^(-ROUND($B$81*12,0))))),IF(AND(NOT(AND(288&gt;$B$173,$B$78="Refinance",ISNUMBER($B$80),$B$80&gt;=0,$B$80&lt;=1,ROUND($B$81*12,0)&gt;=1,$B$81&lt;=100,SUM($B$82)&gt;=0,SUM($B$82)&lt;=1,SUM($B$83)&gt;=0)),OR(288=1,288=$B$174+1,AND($B$175&gt;0,288=$B$175+1))),IF(AND($B$170=1,$B$66&gt;0,OR($B$175=0,288&lt;=$B$175)),$B$66,IF($B$172-MAX(288-1,$B$174)&gt;0,IF(B688=0,0,IF(C688=0,B688/($B$172-MAX(288-1,$B$174)),B688*(C688/12)/(1-(1+C688/12)^(-($B$172-MAX(288-1,$B$174)))))),"")),D687))))),IF(IF(AND(288&lt;=$B$174,288&lt;=$B$173),B688*C688/12,IF(AND(288=$B$173+1,AND(288&gt;$B$173,$B$78="Refinance",ISNUMBER($B$80),$B$80&gt;=0,$B$80&lt;=1,ROUND($B$81*12,0)&gt;=1,$B$81&lt;=100,SUM($B$82)&gt;=0,SUM($B$82)&lt;=1,SUM($B$83)&gt;=0)),IF(B688=0,0,IF(C688=0,B688/ROUND($B$81*12,0),B688*(C688/12)/(1-(1+C688/12)^(-ROUND($B$81*12,0))))),IF(AND(NOT(AND(288&gt;$B$173,$B$78="Refinance",ISNUMBER($B$80),$B$80&gt;=0,$B$80&lt;=1,ROUND($B$81*12,0)&gt;=1,$B$81&lt;=100,SUM($B$82)&gt;=0,SUM($B$82)&lt;=1,SUM($B$83)&gt;=0)),OR(288=1,288=$B$174+1,AND($B$175&gt;0,288=$B$175+1))),IF(AND($B$170=1,$B$66&gt;0,OR($B$175=0,288&lt;=$B$175)),$B$66,IF($B$172-MAX(288-1,$B$174)&gt;0,IF(B688=0,0,IF(C688=0,B688/($B$172-MAX(288-1,$B$174)),B688*(C688/12)/(1-(1+C688/12)^(-($B$172-MAX(288-1,$B$174)))))),"")),D687)))+0.0000001&gt;=B688*C688/12,MIN(B688*(1+C688/12),IF(AND(288&lt;=$B$174,288&lt;=$B$173),B688*C688/12,IF(AND(288=$B$173+1,AND(288&gt;$B$173,$B$78="Refinance",ISNUMBER($B$80),$B$80&gt;=0,$B$80&lt;=1,ROUND($B$81*12,0)&gt;=1,$B$81&lt;=100,SUM($B$82)&gt;=0,SUM($B$82)&lt;=1,SUM($B$83)&gt;=0)),IF(B688=0,0,IF(C688=0,B688/ROUND($B$81*12,0),B688*(C688/12)/(1-(1+C688/12)^(-ROUND($B$81*12,0))))),IF(AND(NOT(AND(288&gt;$B$173,$B$78="Refinance",ISNUMBER($B$80),$B$80&gt;=0,$B$80&lt;=1,ROUND($B$81*12,0)&gt;=1,$B$81&lt;=100,SUM($B$82)&gt;=0,SUM($B$82)&lt;=1,SUM($B$83)&gt;=0)),OR(288=1,288=$B$174+1,AND($B$175&gt;0,288=$B$175+1))),IF(AND($B$170=1,$B$66&gt;0,OR($B$175=0,288&lt;=$B$175)),$B$66,IF($B$172-MAX(288-1,$B$174)&gt;0,IF(B688=0,0,IF(C688=0,B688/($B$172-MAX(288-1,$B$174)),B688*(C688/12)/(1-(1+C688/12)^(-($B$172-MAX(288-1,$B$174)))))),"")),D687)))),""),""))</x:f>
        <x:v>4679.450723240598</x:v>
      </x:c>
      <x:c r="E688" s="440" t="n">
        <x:f>IF(AND(288=$B$173,ISNUMBER(D688)),IF(MAX(0,B688*(1+C688/12)-D688)&lt;MAX(0.0000001,$E$17*0.00000000001),0,MAX(0,B688*(1+C688/12)-D688)),0)</x:f>
        <x:v>0</x:v>
      </x:c>
      <x:c r="F688" s="440" t="n">
        <x:f>IF($B$78="Cash payoff",E688,0)</x:f>
        <x:v>0</x:v>
      </x:c>
      <x:c r="G688" s="440" t="n">
        <x:f>IF(AND(E688&gt;0,AND($B$78="Refinance",ISNUMBER($B$80),$B$80&gt;=0,$B$80&lt;=1,ROUND($B$81*12,0)&gt;=1,$B$81&lt;=100,SUM($B$82)&gt;=0,SUM($B$82)&lt;=1,SUM($B$83)&gt;=0)),E688*SUM($B$82)+SUM($B$83),0)</x:f>
        <x:v>0</x:v>
      </x:c>
      <x:c r="H688" s="440" t="n">
        <x:f>IF(ISNUMBER(D688),IF(MAX(0,B688*(1+C688/12)-D688-F688)&lt;MAX(0.0000001,$E$17*0.00000000001),0,MAX(0,B688*(1+C688/12)-D688-F688)),IF(AND($B$171=1,I687=1),B688,""))</x:f>
        <x:v>280355.1344483821</x:v>
      </x:c>
      <x:c r="I688" s="444" t="n">
        <x:f>IF(OR(I687=1,AND(E688&gt;0,$B$78&lt;&gt;"Cash payoff",NOT(AND($B$78="Refinance",ISNUMBER($B$80),$B$80&gt;=0,$B$80&lt;=1,ROUND($B$81*12,0)&gt;=1,$B$81&lt;=100,SUM($B$82)&gt;=0,SUM($B$82)&lt;=1,SUM($B$83)&gt;=0))),AND(ISNUMBER(B688),B688&gt;0,$B$171=1,NOT(ISNUMBER(D688)))),1,0)</x:f>
        <x:v>0</x:v>
      </x:c>
      <x:c r="J688" s="440" t="n">
        <x:f>IF(ISNUMBER(L687),L687,"")</x:f>
        <x:v>0</x:v>
      </x:c>
      <x:c r="K688" s="440" t="n">
        <x:f>IF(AND(ISNUMBER(J688),J688=0),0,IF(AND($B$176=1,ISNUMBER(J688)),MIN(J688*(1+$B$87/12),IF($B$86=0,0,IF($B$87=0,$B$86/ROUND($B$88*12,0),$B$86*($B$87/12)/(1-(1+$B$87/12)^(-ROUND($B$88*12,0)))))),""))</x:f>
        <x:v>0</x:v>
      </x:c>
      <x:c r="L688" s="440" t="n">
        <x:f>IF(ISNUMBER(K688),IF(MAX(0,J688*(1+SUM($B$87)/12)-K688)&lt;MAX(0.0000001,$B$86*0.00000000001),0,MAX(0,J688*(1+SUM($B$87)/12)-K688)),"")</x:f>
        <x:v>0</x:v>
      </x:c>
      <x:c r="M688" s="440" t="n">
        <x:f>IF(AND(ISNUMBER(D688),ISNUMBER(K688)),D688+K688,"")</x:f>
        <x:v>4679.450723240598</x:v>
      </x:c>
      <x:c r="N688" s="440" t="n">
        <x:f>IF(AND(ISNUMBER(H688),ISNUMBER(L688)),H688+L688,"")</x:f>
        <x:v>280355.1344483821</x:v>
      </x:c>
    </x:row>
    <x:row r="689" ht="22" customHeight="1">
      <x:c r="A689" s="254" t="n">
        <x:f>289</x:f>
        <x:v>289</x:v>
      </x:c>
      <x:c r="B689" s="440" t="n">
        <x:f>IF(ISNUMBER(H688),H688,"")</x:f>
        <x:v>280355.1344483821</x:v>
      </x:c>
      <x:c r="C689" s="442" t="n">
        <x:f>IF(ISNUMBER(B689),IF(AND(289&gt;$B$173,$B$78="Refinance",ISNUMBER($B$80),$B$80&gt;=0,$B$80&lt;=1,ROUND($B$81*12,0)&gt;=1,$B$81&lt;=100,SUM($B$82)&gt;=0,SUM($B$82)&lt;=1,SUM($B$83)&gt;=0),$B$80,IF(AND($B$175&gt;0,289&gt;$B$175,ISNUMBER($B$75)),$B$75,$B$61)),"")</x:f>
        <x:v>0.0625</x:v>
      </x:c>
      <x:c r="D689" s="440" t="n">
        <x:f>IF(AND(ISNUMBER(B689),B689=0),0,IF(AND($B$171=1,I688=0,ISNUMBER(C689),ISNUMBER(IF(AND(289&lt;=$B$174,289&lt;=$B$173),B689*C689/12,IF(AND(289=$B$173+1,AND(289&gt;$B$173,$B$78="Refinance",ISNUMBER($B$80),$B$80&gt;=0,$B$80&lt;=1,ROUND($B$81*12,0)&gt;=1,$B$81&lt;=100,SUM($B$82)&gt;=0,SUM($B$82)&lt;=1,SUM($B$83)&gt;=0)),IF(B689=0,0,IF(C689=0,B689/ROUND($B$81*12,0),B689*(C689/12)/(1-(1+C689/12)^(-ROUND($B$81*12,0))))),IF(AND(NOT(AND(289&gt;$B$173,$B$78="Refinance",ISNUMBER($B$80),$B$80&gt;=0,$B$80&lt;=1,ROUND($B$81*12,0)&gt;=1,$B$81&lt;=100,SUM($B$82)&gt;=0,SUM($B$82)&lt;=1,SUM($B$83)&gt;=0)),OR(289=1,289=$B$174+1,AND($B$175&gt;0,289=$B$175+1))),IF(AND($B$170=1,$B$66&gt;0,OR($B$175=0,289&lt;=$B$175)),$B$66,IF($B$172-MAX(289-1,$B$174)&gt;0,IF(B689=0,0,IF(C689=0,B689/($B$172-MAX(289-1,$B$174)),B689*(C689/12)/(1-(1+C689/12)^(-($B$172-MAX(289-1,$B$174)))))),"")),D688))))),IF(IF(AND(289&lt;=$B$174,289&lt;=$B$173),B689*C689/12,IF(AND(289=$B$173+1,AND(289&gt;$B$173,$B$78="Refinance",ISNUMBER($B$80),$B$80&gt;=0,$B$80&lt;=1,ROUND($B$81*12,0)&gt;=1,$B$81&lt;=100,SUM($B$82)&gt;=0,SUM($B$82)&lt;=1,SUM($B$83)&gt;=0)),IF(B689=0,0,IF(C689=0,B689/ROUND($B$81*12,0),B689*(C689/12)/(1-(1+C689/12)^(-ROUND($B$81*12,0))))),IF(AND(NOT(AND(289&gt;$B$173,$B$78="Refinance",ISNUMBER($B$80),$B$80&gt;=0,$B$80&lt;=1,ROUND($B$81*12,0)&gt;=1,$B$81&lt;=100,SUM($B$82)&gt;=0,SUM($B$82)&lt;=1,SUM($B$83)&gt;=0)),OR(289=1,289=$B$174+1,AND($B$175&gt;0,289=$B$175+1))),IF(AND($B$170=1,$B$66&gt;0,OR($B$175=0,289&lt;=$B$175)),$B$66,IF($B$172-MAX(289-1,$B$174)&gt;0,IF(B689=0,0,IF(C689=0,B689/($B$172-MAX(289-1,$B$174)),B689*(C689/12)/(1-(1+C689/12)^(-($B$172-MAX(289-1,$B$174)))))),"")),D688)))+0.0000001&gt;=B689*C689/12,MIN(B689*(1+C689/12),IF(AND(289&lt;=$B$174,289&lt;=$B$173),B689*C689/12,IF(AND(289=$B$173+1,AND(289&gt;$B$173,$B$78="Refinance",ISNUMBER($B$80),$B$80&gt;=0,$B$80&lt;=1,ROUND($B$81*12,0)&gt;=1,$B$81&lt;=100,SUM($B$82)&gt;=0,SUM($B$82)&lt;=1,SUM($B$83)&gt;=0)),IF(B689=0,0,IF(C689=0,B689/ROUND($B$81*12,0),B689*(C689/12)/(1-(1+C689/12)^(-ROUND($B$81*12,0))))),IF(AND(NOT(AND(289&gt;$B$173,$B$78="Refinance",ISNUMBER($B$80),$B$80&gt;=0,$B$80&lt;=1,ROUND($B$81*12,0)&gt;=1,$B$81&lt;=100,SUM($B$82)&gt;=0,SUM($B$82)&lt;=1,SUM($B$83)&gt;=0)),OR(289=1,289=$B$174+1,AND($B$175&gt;0,289=$B$175+1))),IF(AND($B$170=1,$B$66&gt;0,OR($B$175=0,289&lt;=$B$175)),$B$66,IF($B$172-MAX(289-1,$B$174)&gt;0,IF(B689=0,0,IF(C689=0,B689/($B$172-MAX(289-1,$B$174)),B689*(C689/12)/(1-(1+C689/12)^(-($B$172-MAX(289-1,$B$174)))))),"")),D688)))),""),""))</x:f>
        <x:v>4679.450723240598</x:v>
      </x:c>
      <x:c r="E689" s="440" t="n">
        <x:f>IF(AND(289=$B$173,ISNUMBER(D689)),IF(MAX(0,B689*(1+C689/12)-D689)&lt;MAX(0.0000001,$E$17*0.00000000001),0,MAX(0,B689*(1+C689/12)-D689)),0)</x:f>
        <x:v>0</x:v>
      </x:c>
      <x:c r="F689" s="440" t="n">
        <x:f>IF($B$78="Cash payoff",E689,0)</x:f>
        <x:v>0</x:v>
      </x:c>
      <x:c r="G689" s="440" t="n">
        <x:f>IF(AND(E689&gt;0,AND($B$78="Refinance",ISNUMBER($B$80),$B$80&gt;=0,$B$80&lt;=1,ROUND($B$81*12,0)&gt;=1,$B$81&lt;=100,SUM($B$82)&gt;=0,SUM($B$82)&lt;=1,SUM($B$83)&gt;=0)),E689*SUM($B$82)+SUM($B$83),0)</x:f>
        <x:v>0</x:v>
      </x:c>
      <x:c r="H689" s="440" t="n">
        <x:f>IF(ISNUMBER(D689),IF(MAX(0,B689*(1+C689/12)-D689-F689)&lt;MAX(0.0000001,$E$17*0.00000000001),0,MAX(0,B689*(1+C689/12)-D689-F689)),IF(AND($B$171=1,I688=1),B689,""))</x:f>
        <x:v>277135.8667170601</x:v>
      </x:c>
      <x:c r="I689" s="444" t="n">
        <x:f>IF(OR(I688=1,AND(E689&gt;0,$B$78&lt;&gt;"Cash payoff",NOT(AND($B$78="Refinance",ISNUMBER($B$80),$B$80&gt;=0,$B$80&lt;=1,ROUND($B$81*12,0)&gt;=1,$B$81&lt;=100,SUM($B$82)&gt;=0,SUM($B$82)&lt;=1,SUM($B$83)&gt;=0))),AND(ISNUMBER(B689),B689&gt;0,$B$171=1,NOT(ISNUMBER(D689)))),1,0)</x:f>
        <x:v>0</x:v>
      </x:c>
      <x:c r="J689" s="440" t="n">
        <x:f>IF(ISNUMBER(L688),L688,"")</x:f>
        <x:v>0</x:v>
      </x:c>
      <x:c r="K689" s="440" t="n">
        <x:f>IF(AND(ISNUMBER(J689),J689=0),0,IF(AND($B$176=1,ISNUMBER(J689)),MIN(J689*(1+$B$87/12),IF($B$86=0,0,IF($B$87=0,$B$86/ROUND($B$88*12,0),$B$86*($B$87/12)/(1-(1+$B$87/12)^(-ROUND($B$88*12,0)))))),""))</x:f>
        <x:v>0</x:v>
      </x:c>
      <x:c r="L689" s="440" t="n">
        <x:f>IF(ISNUMBER(K689),IF(MAX(0,J689*(1+SUM($B$87)/12)-K689)&lt;MAX(0.0000001,$B$86*0.00000000001),0,MAX(0,J689*(1+SUM($B$87)/12)-K689)),"")</x:f>
        <x:v>0</x:v>
      </x:c>
      <x:c r="M689" s="440" t="n">
        <x:f>IF(AND(ISNUMBER(D689),ISNUMBER(K689)),D689+K689,"")</x:f>
        <x:v>4679.450723240598</x:v>
      </x:c>
      <x:c r="N689" s="440" t="n">
        <x:f>IF(AND(ISNUMBER(H689),ISNUMBER(L689)),H689+L689,"")</x:f>
        <x:v>277135.8667170601</x:v>
      </x:c>
    </x:row>
    <x:row r="690" ht="22" customHeight="1">
      <x:c r="A690" s="254" t="n">
        <x:f>290</x:f>
        <x:v>290</x:v>
      </x:c>
      <x:c r="B690" s="440" t="n">
        <x:f>IF(ISNUMBER(H689),H689,"")</x:f>
        <x:v>277135.8667170601</x:v>
      </x:c>
      <x:c r="C690" s="442" t="n">
        <x:f>IF(ISNUMBER(B690),IF(AND(290&gt;$B$173,$B$78="Refinance",ISNUMBER($B$80),$B$80&gt;=0,$B$80&lt;=1,ROUND($B$81*12,0)&gt;=1,$B$81&lt;=100,SUM($B$82)&gt;=0,SUM($B$82)&lt;=1,SUM($B$83)&gt;=0),$B$80,IF(AND($B$175&gt;0,290&gt;$B$175,ISNUMBER($B$75)),$B$75,$B$61)),"")</x:f>
        <x:v>0.0625</x:v>
      </x:c>
      <x:c r="D690" s="440" t="n">
        <x:f>IF(AND(ISNUMBER(B690),B690=0),0,IF(AND($B$171=1,I689=0,ISNUMBER(C690),ISNUMBER(IF(AND(290&lt;=$B$174,290&lt;=$B$173),B690*C690/12,IF(AND(290=$B$173+1,AND(290&gt;$B$173,$B$78="Refinance",ISNUMBER($B$80),$B$80&gt;=0,$B$80&lt;=1,ROUND($B$81*12,0)&gt;=1,$B$81&lt;=100,SUM($B$82)&gt;=0,SUM($B$82)&lt;=1,SUM($B$83)&gt;=0)),IF(B690=0,0,IF(C690=0,B690/ROUND($B$81*12,0),B690*(C690/12)/(1-(1+C690/12)^(-ROUND($B$81*12,0))))),IF(AND(NOT(AND(290&gt;$B$173,$B$78="Refinance",ISNUMBER($B$80),$B$80&gt;=0,$B$80&lt;=1,ROUND($B$81*12,0)&gt;=1,$B$81&lt;=100,SUM($B$82)&gt;=0,SUM($B$82)&lt;=1,SUM($B$83)&gt;=0)),OR(290=1,290=$B$174+1,AND($B$175&gt;0,290=$B$175+1))),IF(AND($B$170=1,$B$66&gt;0,OR($B$175=0,290&lt;=$B$175)),$B$66,IF($B$172-MAX(290-1,$B$174)&gt;0,IF(B690=0,0,IF(C690=0,B690/($B$172-MAX(290-1,$B$174)),B690*(C690/12)/(1-(1+C690/12)^(-($B$172-MAX(290-1,$B$174)))))),"")),D689))))),IF(IF(AND(290&lt;=$B$174,290&lt;=$B$173),B690*C690/12,IF(AND(290=$B$173+1,AND(290&gt;$B$173,$B$78="Refinance",ISNUMBER($B$80),$B$80&gt;=0,$B$80&lt;=1,ROUND($B$81*12,0)&gt;=1,$B$81&lt;=100,SUM($B$82)&gt;=0,SUM($B$82)&lt;=1,SUM($B$83)&gt;=0)),IF(B690=0,0,IF(C690=0,B690/ROUND($B$81*12,0),B690*(C690/12)/(1-(1+C690/12)^(-ROUND($B$81*12,0))))),IF(AND(NOT(AND(290&gt;$B$173,$B$78="Refinance",ISNUMBER($B$80),$B$80&gt;=0,$B$80&lt;=1,ROUND($B$81*12,0)&gt;=1,$B$81&lt;=100,SUM($B$82)&gt;=0,SUM($B$82)&lt;=1,SUM($B$83)&gt;=0)),OR(290=1,290=$B$174+1,AND($B$175&gt;0,290=$B$175+1))),IF(AND($B$170=1,$B$66&gt;0,OR($B$175=0,290&lt;=$B$175)),$B$66,IF($B$172-MAX(290-1,$B$174)&gt;0,IF(B690=0,0,IF(C690=0,B690/($B$172-MAX(290-1,$B$174)),B690*(C690/12)/(1-(1+C690/12)^(-($B$172-MAX(290-1,$B$174)))))),"")),D689)))+0.0000001&gt;=B690*C690/12,MIN(B690*(1+C690/12),IF(AND(290&lt;=$B$174,290&lt;=$B$173),B690*C690/12,IF(AND(290=$B$173+1,AND(290&gt;$B$173,$B$78="Refinance",ISNUMBER($B$80),$B$80&gt;=0,$B$80&lt;=1,ROUND($B$81*12,0)&gt;=1,$B$81&lt;=100,SUM($B$82)&gt;=0,SUM($B$82)&lt;=1,SUM($B$83)&gt;=0)),IF(B690=0,0,IF(C690=0,B690/ROUND($B$81*12,0),B690*(C690/12)/(1-(1+C690/12)^(-ROUND($B$81*12,0))))),IF(AND(NOT(AND(290&gt;$B$173,$B$78="Refinance",ISNUMBER($B$80),$B$80&gt;=0,$B$80&lt;=1,ROUND($B$81*12,0)&gt;=1,$B$81&lt;=100,SUM($B$82)&gt;=0,SUM($B$82)&lt;=1,SUM($B$83)&gt;=0)),OR(290=1,290=$B$174+1,AND($B$175&gt;0,290=$B$175+1))),IF(AND($B$170=1,$B$66&gt;0,OR($B$175=0,290&lt;=$B$175)),$B$66,IF($B$172-MAX(290-1,$B$174)&gt;0,IF(B690=0,0,IF(C690=0,B690/($B$172-MAX(290-1,$B$174)),B690*(C690/12)/(1-(1+C690/12)^(-($B$172-MAX(290-1,$B$174)))))),"")),D689)))),""),""))</x:f>
        <x:v>4679.450723240598</x:v>
      </x:c>
      <x:c r="E690" s="440" t="n">
        <x:f>IF(AND(290=$B$173,ISNUMBER(D690)),IF(MAX(0,B690*(1+C690/12)-D690)&lt;MAX(0.0000001,$E$17*0.00000000001),0,MAX(0,B690*(1+C690/12)-D690)),0)</x:f>
        <x:v>0</x:v>
      </x:c>
      <x:c r="F690" s="440" t="n">
        <x:f>IF($B$78="Cash payoff",E690,0)</x:f>
        <x:v>0</x:v>
      </x:c>
      <x:c r="G690" s="440" t="n">
        <x:f>IF(AND(E690&gt;0,AND($B$78="Refinance",ISNUMBER($B$80),$B$80&gt;=0,$B$80&lt;=1,ROUND($B$81*12,0)&gt;=1,$B$81&lt;=100,SUM($B$82)&gt;=0,SUM($B$82)&lt;=1,SUM($B$83)&gt;=0)),E690*SUM($B$82)+SUM($B$83),0)</x:f>
        <x:v>0</x:v>
      </x:c>
      <x:c r="H690" s="440" t="n">
        <x:f>IF(ISNUMBER(D690),IF(MAX(0,B690*(1+C690/12)-D690-F690)&lt;MAX(0.0000001,$E$17*0.00000000001),0,MAX(0,B690*(1+C690/12)-D690-F690)),IF(AND($B$171=1,I689=1),B690,""))</x:f>
        <x:v>273899.83196630416</x:v>
      </x:c>
      <x:c r="I690" s="444" t="n">
        <x:f>IF(OR(I689=1,AND(E690&gt;0,$B$78&lt;&gt;"Cash payoff",NOT(AND($B$78="Refinance",ISNUMBER($B$80),$B$80&gt;=0,$B$80&lt;=1,ROUND($B$81*12,0)&gt;=1,$B$81&lt;=100,SUM($B$82)&gt;=0,SUM($B$82)&lt;=1,SUM($B$83)&gt;=0))),AND(ISNUMBER(B690),B690&gt;0,$B$171=1,NOT(ISNUMBER(D690)))),1,0)</x:f>
        <x:v>0</x:v>
      </x:c>
      <x:c r="J690" s="440" t="n">
        <x:f>IF(ISNUMBER(L689),L689,"")</x:f>
        <x:v>0</x:v>
      </x:c>
      <x:c r="K690" s="440" t="n">
        <x:f>IF(AND(ISNUMBER(J690),J690=0),0,IF(AND($B$176=1,ISNUMBER(J690)),MIN(J690*(1+$B$87/12),IF($B$86=0,0,IF($B$87=0,$B$86/ROUND($B$88*12,0),$B$86*($B$87/12)/(1-(1+$B$87/12)^(-ROUND($B$88*12,0)))))),""))</x:f>
        <x:v>0</x:v>
      </x:c>
      <x:c r="L690" s="440" t="n">
        <x:f>IF(ISNUMBER(K690),IF(MAX(0,J690*(1+SUM($B$87)/12)-K690)&lt;MAX(0.0000001,$B$86*0.00000000001),0,MAX(0,J690*(1+SUM($B$87)/12)-K690)),"")</x:f>
        <x:v>0</x:v>
      </x:c>
      <x:c r="M690" s="440" t="n">
        <x:f>IF(AND(ISNUMBER(D690),ISNUMBER(K690)),D690+K690,"")</x:f>
        <x:v>4679.450723240598</x:v>
      </x:c>
      <x:c r="N690" s="440" t="n">
        <x:f>IF(AND(ISNUMBER(H690),ISNUMBER(L690)),H690+L690,"")</x:f>
        <x:v>273899.83196630416</x:v>
      </x:c>
    </x:row>
    <x:row r="691" ht="22" customHeight="1">
      <x:c r="A691" s="254" t="n">
        <x:f>291</x:f>
        <x:v>291</x:v>
      </x:c>
      <x:c r="B691" s="440" t="n">
        <x:f>IF(ISNUMBER(H690),H690,"")</x:f>
        <x:v>273899.83196630416</x:v>
      </x:c>
      <x:c r="C691" s="442" t="n">
        <x:f>IF(ISNUMBER(B691),IF(AND(291&gt;$B$173,$B$78="Refinance",ISNUMBER($B$80),$B$80&gt;=0,$B$80&lt;=1,ROUND($B$81*12,0)&gt;=1,$B$81&lt;=100,SUM($B$82)&gt;=0,SUM($B$82)&lt;=1,SUM($B$83)&gt;=0),$B$80,IF(AND($B$175&gt;0,291&gt;$B$175,ISNUMBER($B$75)),$B$75,$B$61)),"")</x:f>
        <x:v>0.0625</x:v>
      </x:c>
      <x:c r="D691" s="440" t="n">
        <x:f>IF(AND(ISNUMBER(B691),B691=0),0,IF(AND($B$171=1,I690=0,ISNUMBER(C691),ISNUMBER(IF(AND(291&lt;=$B$174,291&lt;=$B$173),B691*C691/12,IF(AND(291=$B$173+1,AND(291&gt;$B$173,$B$78="Refinance",ISNUMBER($B$80),$B$80&gt;=0,$B$80&lt;=1,ROUND($B$81*12,0)&gt;=1,$B$81&lt;=100,SUM($B$82)&gt;=0,SUM($B$82)&lt;=1,SUM($B$83)&gt;=0)),IF(B691=0,0,IF(C691=0,B691/ROUND($B$81*12,0),B691*(C691/12)/(1-(1+C691/12)^(-ROUND($B$81*12,0))))),IF(AND(NOT(AND(291&gt;$B$173,$B$78="Refinance",ISNUMBER($B$80),$B$80&gt;=0,$B$80&lt;=1,ROUND($B$81*12,0)&gt;=1,$B$81&lt;=100,SUM($B$82)&gt;=0,SUM($B$82)&lt;=1,SUM($B$83)&gt;=0)),OR(291=1,291=$B$174+1,AND($B$175&gt;0,291=$B$175+1))),IF(AND($B$170=1,$B$66&gt;0,OR($B$175=0,291&lt;=$B$175)),$B$66,IF($B$172-MAX(291-1,$B$174)&gt;0,IF(B691=0,0,IF(C691=0,B691/($B$172-MAX(291-1,$B$174)),B691*(C691/12)/(1-(1+C691/12)^(-($B$172-MAX(291-1,$B$174)))))),"")),D690))))),IF(IF(AND(291&lt;=$B$174,291&lt;=$B$173),B691*C691/12,IF(AND(291=$B$173+1,AND(291&gt;$B$173,$B$78="Refinance",ISNUMBER($B$80),$B$80&gt;=0,$B$80&lt;=1,ROUND($B$81*12,0)&gt;=1,$B$81&lt;=100,SUM($B$82)&gt;=0,SUM($B$82)&lt;=1,SUM($B$83)&gt;=0)),IF(B691=0,0,IF(C691=0,B691/ROUND($B$81*12,0),B691*(C691/12)/(1-(1+C691/12)^(-ROUND($B$81*12,0))))),IF(AND(NOT(AND(291&gt;$B$173,$B$78="Refinance",ISNUMBER($B$80),$B$80&gt;=0,$B$80&lt;=1,ROUND($B$81*12,0)&gt;=1,$B$81&lt;=100,SUM($B$82)&gt;=0,SUM($B$82)&lt;=1,SUM($B$83)&gt;=0)),OR(291=1,291=$B$174+1,AND($B$175&gt;0,291=$B$175+1))),IF(AND($B$170=1,$B$66&gt;0,OR($B$175=0,291&lt;=$B$175)),$B$66,IF($B$172-MAX(291-1,$B$174)&gt;0,IF(B691=0,0,IF(C691=0,B691/($B$172-MAX(291-1,$B$174)),B691*(C691/12)/(1-(1+C691/12)^(-($B$172-MAX(291-1,$B$174)))))),"")),D690)))+0.0000001&gt;=B691*C691/12,MIN(B691*(1+C691/12),IF(AND(291&lt;=$B$174,291&lt;=$B$173),B691*C691/12,IF(AND(291=$B$173+1,AND(291&gt;$B$173,$B$78="Refinance",ISNUMBER($B$80),$B$80&gt;=0,$B$80&lt;=1,ROUND($B$81*12,0)&gt;=1,$B$81&lt;=100,SUM($B$82)&gt;=0,SUM($B$82)&lt;=1,SUM($B$83)&gt;=0)),IF(B691=0,0,IF(C691=0,B691/ROUND($B$81*12,0),B691*(C691/12)/(1-(1+C691/12)^(-ROUND($B$81*12,0))))),IF(AND(NOT(AND(291&gt;$B$173,$B$78="Refinance",ISNUMBER($B$80),$B$80&gt;=0,$B$80&lt;=1,ROUND($B$81*12,0)&gt;=1,$B$81&lt;=100,SUM($B$82)&gt;=0,SUM($B$82)&lt;=1,SUM($B$83)&gt;=0)),OR(291=1,291=$B$174+1,AND($B$175&gt;0,291=$B$175+1))),IF(AND($B$170=1,$B$66&gt;0,OR($B$175=0,291&lt;=$B$175)),$B$66,IF($B$172-MAX(291-1,$B$174)&gt;0,IF(B691=0,0,IF(C691=0,B691/($B$172-MAX(291-1,$B$174)),B691*(C691/12)/(1-(1+C691/12)^(-($B$172-MAX(291-1,$B$174)))))),"")),D690)))),""),""))</x:f>
        <x:v>4679.450723240598</x:v>
      </x:c>
      <x:c r="E691" s="440" t="n">
        <x:f>IF(AND(291=$B$173,ISNUMBER(D691)),IF(MAX(0,B691*(1+C691/12)-D691)&lt;MAX(0.0000001,$E$17*0.00000000001),0,MAX(0,B691*(1+C691/12)-D691)),0)</x:f>
        <x:v>0</x:v>
      </x:c>
      <x:c r="F691" s="440" t="n">
        <x:f>IF($B$78="Cash payoff",E691,0)</x:f>
        <x:v>0</x:v>
      </x:c>
      <x:c r="G691" s="440" t="n">
        <x:f>IF(AND(E691&gt;0,AND($B$78="Refinance",ISNUMBER($B$80),$B$80&gt;=0,$B$80&lt;=1,ROUND($B$81*12,0)&gt;=1,$B$81&lt;=100,SUM($B$82)&gt;=0,SUM($B$82)&lt;=1,SUM($B$83)&gt;=0)),E691*SUM($B$82)+SUM($B$83),0)</x:f>
        <x:v>0</x:v>
      </x:c>
      <x:c r="H691" s="440" t="n">
        <x:f>IF(ISNUMBER(D691),IF(MAX(0,B691*(1+C691/12)-D691-F691)&lt;MAX(0.0000001,$E$17*0.00000000001),0,MAX(0,B691*(1+C691/12)-D691-F691)),IF(AND($B$171=1,I690=1),B691,""))</x:f>
        <x:v>270646.942867888</x:v>
      </x:c>
      <x:c r="I691" s="444" t="n">
        <x:f>IF(OR(I690=1,AND(E691&gt;0,$B$78&lt;&gt;"Cash payoff",NOT(AND($B$78="Refinance",ISNUMBER($B$80),$B$80&gt;=0,$B$80&lt;=1,ROUND($B$81*12,0)&gt;=1,$B$81&lt;=100,SUM($B$82)&gt;=0,SUM($B$82)&lt;=1,SUM($B$83)&gt;=0))),AND(ISNUMBER(B691),B691&gt;0,$B$171=1,NOT(ISNUMBER(D691)))),1,0)</x:f>
        <x:v>0</x:v>
      </x:c>
      <x:c r="J691" s="440" t="n">
        <x:f>IF(ISNUMBER(L690),L690,"")</x:f>
        <x:v>0</x:v>
      </x:c>
      <x:c r="K691" s="440" t="n">
        <x:f>IF(AND(ISNUMBER(J691),J691=0),0,IF(AND($B$176=1,ISNUMBER(J691)),MIN(J691*(1+$B$87/12),IF($B$86=0,0,IF($B$87=0,$B$86/ROUND($B$88*12,0),$B$86*($B$87/12)/(1-(1+$B$87/12)^(-ROUND($B$88*12,0)))))),""))</x:f>
        <x:v>0</x:v>
      </x:c>
      <x:c r="L691" s="440" t="n">
        <x:f>IF(ISNUMBER(K691),IF(MAX(0,J691*(1+SUM($B$87)/12)-K691)&lt;MAX(0.0000001,$B$86*0.00000000001),0,MAX(0,J691*(1+SUM($B$87)/12)-K691)),"")</x:f>
        <x:v>0</x:v>
      </x:c>
      <x:c r="M691" s="440" t="n">
        <x:f>IF(AND(ISNUMBER(D691),ISNUMBER(K691)),D691+K691,"")</x:f>
        <x:v>4679.450723240598</x:v>
      </x:c>
      <x:c r="N691" s="440" t="n">
        <x:f>IF(AND(ISNUMBER(H691),ISNUMBER(L691)),H691+L691,"")</x:f>
        <x:v>270646.942867888</x:v>
      </x:c>
    </x:row>
    <x:row r="692" ht="22" customHeight="1">
      <x:c r="A692" s="254" t="n">
        <x:f>292</x:f>
        <x:v>292</x:v>
      </x:c>
      <x:c r="B692" s="440" t="n">
        <x:f>IF(ISNUMBER(H691),H691,"")</x:f>
        <x:v>270646.942867888</x:v>
      </x:c>
      <x:c r="C692" s="442" t="n">
        <x:f>IF(ISNUMBER(B692),IF(AND(292&gt;$B$173,$B$78="Refinance",ISNUMBER($B$80),$B$80&gt;=0,$B$80&lt;=1,ROUND($B$81*12,0)&gt;=1,$B$81&lt;=100,SUM($B$82)&gt;=0,SUM($B$82)&lt;=1,SUM($B$83)&gt;=0),$B$80,IF(AND($B$175&gt;0,292&gt;$B$175,ISNUMBER($B$75)),$B$75,$B$61)),"")</x:f>
        <x:v>0.0625</x:v>
      </x:c>
      <x:c r="D692" s="440" t="n">
        <x:f>IF(AND(ISNUMBER(B692),B692=0),0,IF(AND($B$171=1,I691=0,ISNUMBER(C692),ISNUMBER(IF(AND(292&lt;=$B$174,292&lt;=$B$173),B692*C692/12,IF(AND(292=$B$173+1,AND(292&gt;$B$173,$B$78="Refinance",ISNUMBER($B$80),$B$80&gt;=0,$B$80&lt;=1,ROUND($B$81*12,0)&gt;=1,$B$81&lt;=100,SUM($B$82)&gt;=0,SUM($B$82)&lt;=1,SUM($B$83)&gt;=0)),IF(B692=0,0,IF(C692=0,B692/ROUND($B$81*12,0),B692*(C692/12)/(1-(1+C692/12)^(-ROUND($B$81*12,0))))),IF(AND(NOT(AND(292&gt;$B$173,$B$78="Refinance",ISNUMBER($B$80),$B$80&gt;=0,$B$80&lt;=1,ROUND($B$81*12,0)&gt;=1,$B$81&lt;=100,SUM($B$82)&gt;=0,SUM($B$82)&lt;=1,SUM($B$83)&gt;=0)),OR(292=1,292=$B$174+1,AND($B$175&gt;0,292=$B$175+1))),IF(AND($B$170=1,$B$66&gt;0,OR($B$175=0,292&lt;=$B$175)),$B$66,IF($B$172-MAX(292-1,$B$174)&gt;0,IF(B692=0,0,IF(C692=0,B692/($B$172-MAX(292-1,$B$174)),B692*(C692/12)/(1-(1+C692/12)^(-($B$172-MAX(292-1,$B$174)))))),"")),D691))))),IF(IF(AND(292&lt;=$B$174,292&lt;=$B$173),B692*C692/12,IF(AND(292=$B$173+1,AND(292&gt;$B$173,$B$78="Refinance",ISNUMBER($B$80),$B$80&gt;=0,$B$80&lt;=1,ROUND($B$81*12,0)&gt;=1,$B$81&lt;=100,SUM($B$82)&gt;=0,SUM($B$82)&lt;=1,SUM($B$83)&gt;=0)),IF(B692=0,0,IF(C692=0,B692/ROUND($B$81*12,0),B692*(C692/12)/(1-(1+C692/12)^(-ROUND($B$81*12,0))))),IF(AND(NOT(AND(292&gt;$B$173,$B$78="Refinance",ISNUMBER($B$80),$B$80&gt;=0,$B$80&lt;=1,ROUND($B$81*12,0)&gt;=1,$B$81&lt;=100,SUM($B$82)&gt;=0,SUM($B$82)&lt;=1,SUM($B$83)&gt;=0)),OR(292=1,292=$B$174+1,AND($B$175&gt;0,292=$B$175+1))),IF(AND($B$170=1,$B$66&gt;0,OR($B$175=0,292&lt;=$B$175)),$B$66,IF($B$172-MAX(292-1,$B$174)&gt;0,IF(B692=0,0,IF(C692=0,B692/($B$172-MAX(292-1,$B$174)),B692*(C692/12)/(1-(1+C692/12)^(-($B$172-MAX(292-1,$B$174)))))),"")),D691)))+0.0000001&gt;=B692*C692/12,MIN(B692*(1+C692/12),IF(AND(292&lt;=$B$174,292&lt;=$B$173),B692*C692/12,IF(AND(292=$B$173+1,AND(292&gt;$B$173,$B$78="Refinance",ISNUMBER($B$80),$B$80&gt;=0,$B$80&lt;=1,ROUND($B$81*12,0)&gt;=1,$B$81&lt;=100,SUM($B$82)&gt;=0,SUM($B$82)&lt;=1,SUM($B$83)&gt;=0)),IF(B692=0,0,IF(C692=0,B692/ROUND($B$81*12,0),B692*(C692/12)/(1-(1+C692/12)^(-ROUND($B$81*12,0))))),IF(AND(NOT(AND(292&gt;$B$173,$B$78="Refinance",ISNUMBER($B$80),$B$80&gt;=0,$B$80&lt;=1,ROUND($B$81*12,0)&gt;=1,$B$81&lt;=100,SUM($B$82)&gt;=0,SUM($B$82)&lt;=1,SUM($B$83)&gt;=0)),OR(292=1,292=$B$174+1,AND($B$175&gt;0,292=$B$175+1))),IF(AND($B$170=1,$B$66&gt;0,OR($B$175=0,292&lt;=$B$175)),$B$66,IF($B$172-MAX(292-1,$B$174)&gt;0,IF(B692=0,0,IF(C692=0,B692/($B$172-MAX(292-1,$B$174)),B692*(C692/12)/(1-(1+C692/12)^(-($B$172-MAX(292-1,$B$174)))))),"")),D691)))),""),""))</x:f>
        <x:v>4679.450723240598</x:v>
      </x:c>
      <x:c r="E692" s="440" t="n">
        <x:f>IF(AND(292=$B$173,ISNUMBER(D692)),IF(MAX(0,B692*(1+C692/12)-D692)&lt;MAX(0.0000001,$E$17*0.00000000001),0,MAX(0,B692*(1+C692/12)-D692)),0)</x:f>
        <x:v>0</x:v>
      </x:c>
      <x:c r="F692" s="440" t="n">
        <x:f>IF($B$78="Cash payoff",E692,0)</x:f>
        <x:v>0</x:v>
      </x:c>
      <x:c r="G692" s="440" t="n">
        <x:f>IF(AND(E692&gt;0,AND($B$78="Refinance",ISNUMBER($B$80),$B$80&gt;=0,$B$80&lt;=1,ROUND($B$81*12,0)&gt;=1,$B$81&lt;=100,SUM($B$82)&gt;=0,SUM($B$82)&lt;=1,SUM($B$83)&gt;=0)),E692*SUM($B$82)+SUM($B$83),0)</x:f>
        <x:v>0</x:v>
      </x:c>
      <x:c r="H692" s="440" t="n">
        <x:f>IF(ISNUMBER(D692),IF(MAX(0,B692*(1+C692/12)-D692-F692)&lt;MAX(0.0000001,$E$17*0.00000000001),0,MAX(0,B692*(1+C692/12)-D692-F692)),IF(AND($B$171=1,I691=1),B692,""))</x:f>
        <x:v>267377.11163875094</x:v>
      </x:c>
      <x:c r="I692" s="444" t="n">
        <x:f>IF(OR(I691=1,AND(E692&gt;0,$B$78&lt;&gt;"Cash payoff",NOT(AND($B$78="Refinance",ISNUMBER($B$80),$B$80&gt;=0,$B$80&lt;=1,ROUND($B$81*12,0)&gt;=1,$B$81&lt;=100,SUM($B$82)&gt;=0,SUM($B$82)&lt;=1,SUM($B$83)&gt;=0))),AND(ISNUMBER(B692),B692&gt;0,$B$171=1,NOT(ISNUMBER(D692)))),1,0)</x:f>
        <x:v>0</x:v>
      </x:c>
      <x:c r="J692" s="440" t="n">
        <x:f>IF(ISNUMBER(L691),L691,"")</x:f>
        <x:v>0</x:v>
      </x:c>
      <x:c r="K692" s="440" t="n">
        <x:f>IF(AND(ISNUMBER(J692),J692=0),0,IF(AND($B$176=1,ISNUMBER(J692)),MIN(J692*(1+$B$87/12),IF($B$86=0,0,IF($B$87=0,$B$86/ROUND($B$88*12,0),$B$86*($B$87/12)/(1-(1+$B$87/12)^(-ROUND($B$88*12,0)))))),""))</x:f>
        <x:v>0</x:v>
      </x:c>
      <x:c r="L692" s="440" t="n">
        <x:f>IF(ISNUMBER(K692),IF(MAX(0,J692*(1+SUM($B$87)/12)-K692)&lt;MAX(0.0000001,$B$86*0.00000000001),0,MAX(0,J692*(1+SUM($B$87)/12)-K692)),"")</x:f>
        <x:v>0</x:v>
      </x:c>
      <x:c r="M692" s="440" t="n">
        <x:f>IF(AND(ISNUMBER(D692),ISNUMBER(K692)),D692+K692,"")</x:f>
        <x:v>4679.450723240598</x:v>
      </x:c>
      <x:c r="N692" s="440" t="n">
        <x:f>IF(AND(ISNUMBER(H692),ISNUMBER(L692)),H692+L692,"")</x:f>
        <x:v>267377.11163875094</x:v>
      </x:c>
    </x:row>
    <x:row r="693" ht="22" customHeight="1">
      <x:c r="A693" s="254" t="n">
        <x:f>293</x:f>
        <x:v>293</x:v>
      </x:c>
      <x:c r="B693" s="440" t="n">
        <x:f>IF(ISNUMBER(H692),H692,"")</x:f>
        <x:v>267377.11163875094</x:v>
      </x:c>
      <x:c r="C693" s="442" t="n">
        <x:f>IF(ISNUMBER(B693),IF(AND(293&gt;$B$173,$B$78="Refinance",ISNUMBER($B$80),$B$80&gt;=0,$B$80&lt;=1,ROUND($B$81*12,0)&gt;=1,$B$81&lt;=100,SUM($B$82)&gt;=0,SUM($B$82)&lt;=1,SUM($B$83)&gt;=0),$B$80,IF(AND($B$175&gt;0,293&gt;$B$175,ISNUMBER($B$75)),$B$75,$B$61)),"")</x:f>
        <x:v>0.0625</x:v>
      </x:c>
      <x:c r="D693" s="440" t="n">
        <x:f>IF(AND(ISNUMBER(B693),B693=0),0,IF(AND($B$171=1,I692=0,ISNUMBER(C693),ISNUMBER(IF(AND(293&lt;=$B$174,293&lt;=$B$173),B693*C693/12,IF(AND(293=$B$173+1,AND(293&gt;$B$173,$B$78="Refinance",ISNUMBER($B$80),$B$80&gt;=0,$B$80&lt;=1,ROUND($B$81*12,0)&gt;=1,$B$81&lt;=100,SUM($B$82)&gt;=0,SUM($B$82)&lt;=1,SUM($B$83)&gt;=0)),IF(B693=0,0,IF(C693=0,B693/ROUND($B$81*12,0),B693*(C693/12)/(1-(1+C693/12)^(-ROUND($B$81*12,0))))),IF(AND(NOT(AND(293&gt;$B$173,$B$78="Refinance",ISNUMBER($B$80),$B$80&gt;=0,$B$80&lt;=1,ROUND($B$81*12,0)&gt;=1,$B$81&lt;=100,SUM($B$82)&gt;=0,SUM($B$82)&lt;=1,SUM($B$83)&gt;=0)),OR(293=1,293=$B$174+1,AND($B$175&gt;0,293=$B$175+1))),IF(AND($B$170=1,$B$66&gt;0,OR($B$175=0,293&lt;=$B$175)),$B$66,IF($B$172-MAX(293-1,$B$174)&gt;0,IF(B693=0,0,IF(C693=0,B693/($B$172-MAX(293-1,$B$174)),B693*(C693/12)/(1-(1+C693/12)^(-($B$172-MAX(293-1,$B$174)))))),"")),D692))))),IF(IF(AND(293&lt;=$B$174,293&lt;=$B$173),B693*C693/12,IF(AND(293=$B$173+1,AND(293&gt;$B$173,$B$78="Refinance",ISNUMBER($B$80),$B$80&gt;=0,$B$80&lt;=1,ROUND($B$81*12,0)&gt;=1,$B$81&lt;=100,SUM($B$82)&gt;=0,SUM($B$82)&lt;=1,SUM($B$83)&gt;=0)),IF(B693=0,0,IF(C693=0,B693/ROUND($B$81*12,0),B693*(C693/12)/(1-(1+C693/12)^(-ROUND($B$81*12,0))))),IF(AND(NOT(AND(293&gt;$B$173,$B$78="Refinance",ISNUMBER($B$80),$B$80&gt;=0,$B$80&lt;=1,ROUND($B$81*12,0)&gt;=1,$B$81&lt;=100,SUM($B$82)&gt;=0,SUM($B$82)&lt;=1,SUM($B$83)&gt;=0)),OR(293=1,293=$B$174+1,AND($B$175&gt;0,293=$B$175+1))),IF(AND($B$170=1,$B$66&gt;0,OR($B$175=0,293&lt;=$B$175)),$B$66,IF($B$172-MAX(293-1,$B$174)&gt;0,IF(B693=0,0,IF(C693=0,B693/($B$172-MAX(293-1,$B$174)),B693*(C693/12)/(1-(1+C693/12)^(-($B$172-MAX(293-1,$B$174)))))),"")),D692)))+0.0000001&gt;=B693*C693/12,MIN(B693*(1+C693/12),IF(AND(293&lt;=$B$174,293&lt;=$B$173),B693*C693/12,IF(AND(293=$B$173+1,AND(293&gt;$B$173,$B$78="Refinance",ISNUMBER($B$80),$B$80&gt;=0,$B$80&lt;=1,ROUND($B$81*12,0)&gt;=1,$B$81&lt;=100,SUM($B$82)&gt;=0,SUM($B$82)&lt;=1,SUM($B$83)&gt;=0)),IF(B693=0,0,IF(C693=0,B693/ROUND($B$81*12,0),B693*(C693/12)/(1-(1+C693/12)^(-ROUND($B$81*12,0))))),IF(AND(NOT(AND(293&gt;$B$173,$B$78="Refinance",ISNUMBER($B$80),$B$80&gt;=0,$B$80&lt;=1,ROUND($B$81*12,0)&gt;=1,$B$81&lt;=100,SUM($B$82)&gt;=0,SUM($B$82)&lt;=1,SUM($B$83)&gt;=0)),OR(293=1,293=$B$174+1,AND($B$175&gt;0,293=$B$175+1))),IF(AND($B$170=1,$B$66&gt;0,OR($B$175=0,293&lt;=$B$175)),$B$66,IF($B$172-MAX(293-1,$B$174)&gt;0,IF(B693=0,0,IF(C693=0,B693/($B$172-MAX(293-1,$B$174)),B693*(C693/12)/(1-(1+C693/12)^(-($B$172-MAX(293-1,$B$174)))))),"")),D692)))),""),""))</x:f>
        <x:v>4679.450723240598</x:v>
      </x:c>
      <x:c r="E693" s="440" t="n">
        <x:f>IF(AND(293=$B$173,ISNUMBER(D693)),IF(MAX(0,B693*(1+C693/12)-D693)&lt;MAX(0.0000001,$E$17*0.00000000001),0,MAX(0,B693*(1+C693/12)-D693)),0)</x:f>
        <x:v>0</x:v>
      </x:c>
      <x:c r="F693" s="440" t="n">
        <x:f>IF($B$78="Cash payoff",E693,0)</x:f>
        <x:v>0</x:v>
      </x:c>
      <x:c r="G693" s="440" t="n">
        <x:f>IF(AND(E693&gt;0,AND($B$78="Refinance",ISNUMBER($B$80),$B$80&gt;=0,$B$80&lt;=1,ROUND($B$81*12,0)&gt;=1,$B$81&lt;=100,SUM($B$82)&gt;=0,SUM($B$82)&lt;=1,SUM($B$83)&gt;=0)),E693*SUM($B$82)+SUM($B$83),0)</x:f>
        <x:v>0</x:v>
      </x:c>
      <x:c r="H693" s="440" t="n">
        <x:f>IF(ISNUMBER(D693),IF(MAX(0,B693*(1+C693/12)-D693-F693)&lt;MAX(0.0000001,$E$17*0.00000000001),0,MAX(0,B693*(1+C693/12)-D693-F693)),IF(AND($B$171=1,I692=1),B693,""))</x:f>
        <x:v>264090.2500386288</x:v>
      </x:c>
      <x:c r="I693" s="444" t="n">
        <x:f>IF(OR(I692=1,AND(E693&gt;0,$B$78&lt;&gt;"Cash payoff",NOT(AND($B$78="Refinance",ISNUMBER($B$80),$B$80&gt;=0,$B$80&lt;=1,ROUND($B$81*12,0)&gt;=1,$B$81&lt;=100,SUM($B$82)&gt;=0,SUM($B$82)&lt;=1,SUM($B$83)&gt;=0))),AND(ISNUMBER(B693),B693&gt;0,$B$171=1,NOT(ISNUMBER(D693)))),1,0)</x:f>
        <x:v>0</x:v>
      </x:c>
      <x:c r="J693" s="440" t="n">
        <x:f>IF(ISNUMBER(L692),L692,"")</x:f>
        <x:v>0</x:v>
      </x:c>
      <x:c r="K693" s="440" t="n">
        <x:f>IF(AND(ISNUMBER(J693),J693=0),0,IF(AND($B$176=1,ISNUMBER(J693)),MIN(J693*(1+$B$87/12),IF($B$86=0,0,IF($B$87=0,$B$86/ROUND($B$88*12,0),$B$86*($B$87/12)/(1-(1+$B$87/12)^(-ROUND($B$88*12,0)))))),""))</x:f>
        <x:v>0</x:v>
      </x:c>
      <x:c r="L693" s="440" t="n">
        <x:f>IF(ISNUMBER(K693),IF(MAX(0,J693*(1+SUM($B$87)/12)-K693)&lt;MAX(0.0000001,$B$86*0.00000000001),0,MAX(0,J693*(1+SUM($B$87)/12)-K693)),"")</x:f>
        <x:v>0</x:v>
      </x:c>
      <x:c r="M693" s="440" t="n">
        <x:f>IF(AND(ISNUMBER(D693),ISNUMBER(K693)),D693+K693,"")</x:f>
        <x:v>4679.450723240598</x:v>
      </x:c>
      <x:c r="N693" s="440" t="n">
        <x:f>IF(AND(ISNUMBER(H693),ISNUMBER(L693)),H693+L693,"")</x:f>
        <x:v>264090.2500386288</x:v>
      </x:c>
    </x:row>
    <x:row r="694" ht="22" customHeight="1">
      <x:c r="A694" s="254" t="n">
        <x:f>294</x:f>
        <x:v>294</x:v>
      </x:c>
      <x:c r="B694" s="440" t="n">
        <x:f>IF(ISNUMBER(H693),H693,"")</x:f>
        <x:v>264090.2500386288</x:v>
      </x:c>
      <x:c r="C694" s="442" t="n">
        <x:f>IF(ISNUMBER(B694),IF(AND(294&gt;$B$173,$B$78="Refinance",ISNUMBER($B$80),$B$80&gt;=0,$B$80&lt;=1,ROUND($B$81*12,0)&gt;=1,$B$81&lt;=100,SUM($B$82)&gt;=0,SUM($B$82)&lt;=1,SUM($B$83)&gt;=0),$B$80,IF(AND($B$175&gt;0,294&gt;$B$175,ISNUMBER($B$75)),$B$75,$B$61)),"")</x:f>
        <x:v>0.0625</x:v>
      </x:c>
      <x:c r="D694" s="440" t="n">
        <x:f>IF(AND(ISNUMBER(B694),B694=0),0,IF(AND($B$171=1,I693=0,ISNUMBER(C694),ISNUMBER(IF(AND(294&lt;=$B$174,294&lt;=$B$173),B694*C694/12,IF(AND(294=$B$173+1,AND(294&gt;$B$173,$B$78="Refinance",ISNUMBER($B$80),$B$80&gt;=0,$B$80&lt;=1,ROUND($B$81*12,0)&gt;=1,$B$81&lt;=100,SUM($B$82)&gt;=0,SUM($B$82)&lt;=1,SUM($B$83)&gt;=0)),IF(B694=0,0,IF(C694=0,B694/ROUND($B$81*12,0),B694*(C694/12)/(1-(1+C694/12)^(-ROUND($B$81*12,0))))),IF(AND(NOT(AND(294&gt;$B$173,$B$78="Refinance",ISNUMBER($B$80),$B$80&gt;=0,$B$80&lt;=1,ROUND($B$81*12,0)&gt;=1,$B$81&lt;=100,SUM($B$82)&gt;=0,SUM($B$82)&lt;=1,SUM($B$83)&gt;=0)),OR(294=1,294=$B$174+1,AND($B$175&gt;0,294=$B$175+1))),IF(AND($B$170=1,$B$66&gt;0,OR($B$175=0,294&lt;=$B$175)),$B$66,IF($B$172-MAX(294-1,$B$174)&gt;0,IF(B694=0,0,IF(C694=0,B694/($B$172-MAX(294-1,$B$174)),B694*(C694/12)/(1-(1+C694/12)^(-($B$172-MAX(294-1,$B$174)))))),"")),D693))))),IF(IF(AND(294&lt;=$B$174,294&lt;=$B$173),B694*C694/12,IF(AND(294=$B$173+1,AND(294&gt;$B$173,$B$78="Refinance",ISNUMBER($B$80),$B$80&gt;=0,$B$80&lt;=1,ROUND($B$81*12,0)&gt;=1,$B$81&lt;=100,SUM($B$82)&gt;=0,SUM($B$82)&lt;=1,SUM($B$83)&gt;=0)),IF(B694=0,0,IF(C694=0,B694/ROUND($B$81*12,0),B694*(C694/12)/(1-(1+C694/12)^(-ROUND($B$81*12,0))))),IF(AND(NOT(AND(294&gt;$B$173,$B$78="Refinance",ISNUMBER($B$80),$B$80&gt;=0,$B$80&lt;=1,ROUND($B$81*12,0)&gt;=1,$B$81&lt;=100,SUM($B$82)&gt;=0,SUM($B$82)&lt;=1,SUM($B$83)&gt;=0)),OR(294=1,294=$B$174+1,AND($B$175&gt;0,294=$B$175+1))),IF(AND($B$170=1,$B$66&gt;0,OR($B$175=0,294&lt;=$B$175)),$B$66,IF($B$172-MAX(294-1,$B$174)&gt;0,IF(B694=0,0,IF(C694=0,B694/($B$172-MAX(294-1,$B$174)),B694*(C694/12)/(1-(1+C694/12)^(-($B$172-MAX(294-1,$B$174)))))),"")),D693)))+0.0000001&gt;=B694*C694/12,MIN(B694*(1+C694/12),IF(AND(294&lt;=$B$174,294&lt;=$B$173),B694*C694/12,IF(AND(294=$B$173+1,AND(294&gt;$B$173,$B$78="Refinance",ISNUMBER($B$80),$B$80&gt;=0,$B$80&lt;=1,ROUND($B$81*12,0)&gt;=1,$B$81&lt;=100,SUM($B$82)&gt;=0,SUM($B$82)&lt;=1,SUM($B$83)&gt;=0)),IF(B694=0,0,IF(C694=0,B694/ROUND($B$81*12,0),B694*(C694/12)/(1-(1+C694/12)^(-ROUND($B$81*12,0))))),IF(AND(NOT(AND(294&gt;$B$173,$B$78="Refinance",ISNUMBER($B$80),$B$80&gt;=0,$B$80&lt;=1,ROUND($B$81*12,0)&gt;=1,$B$81&lt;=100,SUM($B$82)&gt;=0,SUM($B$82)&lt;=1,SUM($B$83)&gt;=0)),OR(294=1,294=$B$174+1,AND($B$175&gt;0,294=$B$175+1))),IF(AND($B$170=1,$B$66&gt;0,OR($B$175=0,294&lt;=$B$175)),$B$66,IF($B$172-MAX(294-1,$B$174)&gt;0,IF(B694=0,0,IF(C694=0,B694/($B$172-MAX(294-1,$B$174)),B694*(C694/12)/(1-(1+C694/12)^(-($B$172-MAX(294-1,$B$174)))))),"")),D693)))),""),""))</x:f>
        <x:v>4679.450723240598</x:v>
      </x:c>
      <x:c r="E694" s="440" t="n">
        <x:f>IF(AND(294=$B$173,ISNUMBER(D694)),IF(MAX(0,B694*(1+C694/12)-D694)&lt;MAX(0.0000001,$E$17*0.00000000001),0,MAX(0,B694*(1+C694/12)-D694)),0)</x:f>
        <x:v>0</x:v>
      </x:c>
      <x:c r="F694" s="440" t="n">
        <x:f>IF($B$78="Cash payoff",E694,0)</x:f>
        <x:v>0</x:v>
      </x:c>
      <x:c r="G694" s="440" t="n">
        <x:f>IF(AND(E694&gt;0,AND($B$78="Refinance",ISNUMBER($B$80),$B$80&gt;=0,$B$80&lt;=1,ROUND($B$81*12,0)&gt;=1,$B$81&lt;=100,SUM($B$82)&gt;=0,SUM($B$82)&lt;=1,SUM($B$83)&gt;=0)),E694*SUM($B$82)+SUM($B$83),0)</x:f>
        <x:v>0</x:v>
      </x:c>
      <x:c r="H694" s="440" t="n">
        <x:f>IF(ISNUMBER(D694),IF(MAX(0,B694*(1+C694/12)-D694-F694)&lt;MAX(0.0000001,$E$17*0.00000000001),0,MAX(0,B694*(1+C694/12)-D694-F694)),IF(AND($B$171=1,I693=1),B694,""))</x:f>
        <x:v>260786.2693676727</x:v>
      </x:c>
      <x:c r="I694" s="444" t="n">
        <x:f>IF(OR(I693=1,AND(E694&gt;0,$B$78&lt;&gt;"Cash payoff",NOT(AND($B$78="Refinance",ISNUMBER($B$80),$B$80&gt;=0,$B$80&lt;=1,ROUND($B$81*12,0)&gt;=1,$B$81&lt;=100,SUM($B$82)&gt;=0,SUM($B$82)&lt;=1,SUM($B$83)&gt;=0))),AND(ISNUMBER(B694),B694&gt;0,$B$171=1,NOT(ISNUMBER(D694)))),1,0)</x:f>
        <x:v>0</x:v>
      </x:c>
      <x:c r="J694" s="440" t="n">
        <x:f>IF(ISNUMBER(L693),L693,"")</x:f>
        <x:v>0</x:v>
      </x:c>
      <x:c r="K694" s="440" t="n">
        <x:f>IF(AND(ISNUMBER(J694),J694=0),0,IF(AND($B$176=1,ISNUMBER(J694)),MIN(J694*(1+$B$87/12),IF($B$86=0,0,IF($B$87=0,$B$86/ROUND($B$88*12,0),$B$86*($B$87/12)/(1-(1+$B$87/12)^(-ROUND($B$88*12,0)))))),""))</x:f>
        <x:v>0</x:v>
      </x:c>
      <x:c r="L694" s="440" t="n">
        <x:f>IF(ISNUMBER(K694),IF(MAX(0,J694*(1+SUM($B$87)/12)-K694)&lt;MAX(0.0000001,$B$86*0.00000000001),0,MAX(0,J694*(1+SUM($B$87)/12)-K694)),"")</x:f>
        <x:v>0</x:v>
      </x:c>
      <x:c r="M694" s="440" t="n">
        <x:f>IF(AND(ISNUMBER(D694),ISNUMBER(K694)),D694+K694,"")</x:f>
        <x:v>4679.450723240598</x:v>
      </x:c>
      <x:c r="N694" s="440" t="n">
        <x:f>IF(AND(ISNUMBER(H694),ISNUMBER(L694)),H694+L694,"")</x:f>
        <x:v>260786.2693676727</x:v>
      </x:c>
    </x:row>
    <x:row r="695" ht="22" customHeight="1">
      <x:c r="A695" s="254" t="n">
        <x:f>295</x:f>
        <x:v>295</x:v>
      </x:c>
      <x:c r="B695" s="440" t="n">
        <x:f>IF(ISNUMBER(H694),H694,"")</x:f>
        <x:v>260786.2693676727</x:v>
      </x:c>
      <x:c r="C695" s="442" t="n">
        <x:f>IF(ISNUMBER(B695),IF(AND(295&gt;$B$173,$B$78="Refinance",ISNUMBER($B$80),$B$80&gt;=0,$B$80&lt;=1,ROUND($B$81*12,0)&gt;=1,$B$81&lt;=100,SUM($B$82)&gt;=0,SUM($B$82)&lt;=1,SUM($B$83)&gt;=0),$B$80,IF(AND($B$175&gt;0,295&gt;$B$175,ISNUMBER($B$75)),$B$75,$B$61)),"")</x:f>
        <x:v>0.0625</x:v>
      </x:c>
      <x:c r="D695" s="440" t="n">
        <x:f>IF(AND(ISNUMBER(B695),B695=0),0,IF(AND($B$171=1,I694=0,ISNUMBER(C695),ISNUMBER(IF(AND(295&lt;=$B$174,295&lt;=$B$173),B695*C695/12,IF(AND(295=$B$173+1,AND(295&gt;$B$173,$B$78="Refinance",ISNUMBER($B$80),$B$80&gt;=0,$B$80&lt;=1,ROUND($B$81*12,0)&gt;=1,$B$81&lt;=100,SUM($B$82)&gt;=0,SUM($B$82)&lt;=1,SUM($B$83)&gt;=0)),IF(B695=0,0,IF(C695=0,B695/ROUND($B$81*12,0),B695*(C695/12)/(1-(1+C695/12)^(-ROUND($B$81*12,0))))),IF(AND(NOT(AND(295&gt;$B$173,$B$78="Refinance",ISNUMBER($B$80),$B$80&gt;=0,$B$80&lt;=1,ROUND($B$81*12,0)&gt;=1,$B$81&lt;=100,SUM($B$82)&gt;=0,SUM($B$82)&lt;=1,SUM($B$83)&gt;=0)),OR(295=1,295=$B$174+1,AND($B$175&gt;0,295=$B$175+1))),IF(AND($B$170=1,$B$66&gt;0,OR($B$175=0,295&lt;=$B$175)),$B$66,IF($B$172-MAX(295-1,$B$174)&gt;0,IF(B695=0,0,IF(C695=0,B695/($B$172-MAX(295-1,$B$174)),B695*(C695/12)/(1-(1+C695/12)^(-($B$172-MAX(295-1,$B$174)))))),"")),D694))))),IF(IF(AND(295&lt;=$B$174,295&lt;=$B$173),B695*C695/12,IF(AND(295=$B$173+1,AND(295&gt;$B$173,$B$78="Refinance",ISNUMBER($B$80),$B$80&gt;=0,$B$80&lt;=1,ROUND($B$81*12,0)&gt;=1,$B$81&lt;=100,SUM($B$82)&gt;=0,SUM($B$82)&lt;=1,SUM($B$83)&gt;=0)),IF(B695=0,0,IF(C695=0,B695/ROUND($B$81*12,0),B695*(C695/12)/(1-(1+C695/12)^(-ROUND($B$81*12,0))))),IF(AND(NOT(AND(295&gt;$B$173,$B$78="Refinance",ISNUMBER($B$80),$B$80&gt;=0,$B$80&lt;=1,ROUND($B$81*12,0)&gt;=1,$B$81&lt;=100,SUM($B$82)&gt;=0,SUM($B$82)&lt;=1,SUM($B$83)&gt;=0)),OR(295=1,295=$B$174+1,AND($B$175&gt;0,295=$B$175+1))),IF(AND($B$170=1,$B$66&gt;0,OR($B$175=0,295&lt;=$B$175)),$B$66,IF($B$172-MAX(295-1,$B$174)&gt;0,IF(B695=0,0,IF(C695=0,B695/($B$172-MAX(295-1,$B$174)),B695*(C695/12)/(1-(1+C695/12)^(-($B$172-MAX(295-1,$B$174)))))),"")),D694)))+0.0000001&gt;=B695*C695/12,MIN(B695*(1+C695/12),IF(AND(295&lt;=$B$174,295&lt;=$B$173),B695*C695/12,IF(AND(295=$B$173+1,AND(295&gt;$B$173,$B$78="Refinance",ISNUMBER($B$80),$B$80&gt;=0,$B$80&lt;=1,ROUND($B$81*12,0)&gt;=1,$B$81&lt;=100,SUM($B$82)&gt;=0,SUM($B$82)&lt;=1,SUM($B$83)&gt;=0)),IF(B695=0,0,IF(C695=0,B695/ROUND($B$81*12,0),B695*(C695/12)/(1-(1+C695/12)^(-ROUND($B$81*12,0))))),IF(AND(NOT(AND(295&gt;$B$173,$B$78="Refinance",ISNUMBER($B$80),$B$80&gt;=0,$B$80&lt;=1,ROUND($B$81*12,0)&gt;=1,$B$81&lt;=100,SUM($B$82)&gt;=0,SUM($B$82)&lt;=1,SUM($B$83)&gt;=0)),OR(295=1,295=$B$174+1,AND($B$175&gt;0,295=$B$175+1))),IF(AND($B$170=1,$B$66&gt;0,OR($B$175=0,295&lt;=$B$175)),$B$66,IF($B$172-MAX(295-1,$B$174)&gt;0,IF(B695=0,0,IF(C695=0,B695/($B$172-MAX(295-1,$B$174)),B695*(C695/12)/(1-(1+C695/12)^(-($B$172-MAX(295-1,$B$174)))))),"")),D694)))),""),""))</x:f>
        <x:v>4679.450723240598</x:v>
      </x:c>
      <x:c r="E695" s="440" t="n">
        <x:f>IF(AND(295=$B$173,ISNUMBER(D695)),IF(MAX(0,B695*(1+C695/12)-D695)&lt;MAX(0.0000001,$E$17*0.00000000001),0,MAX(0,B695*(1+C695/12)-D695)),0)</x:f>
        <x:v>0</x:v>
      </x:c>
      <x:c r="F695" s="440" t="n">
        <x:f>IF($B$78="Cash payoff",E695,0)</x:f>
        <x:v>0</x:v>
      </x:c>
      <x:c r="G695" s="440" t="n">
        <x:f>IF(AND(E695&gt;0,AND($B$78="Refinance",ISNUMBER($B$80),$B$80&gt;=0,$B$80&lt;=1,ROUND($B$81*12,0)&gt;=1,$B$81&lt;=100,SUM($B$82)&gt;=0,SUM($B$82)&lt;=1,SUM($B$83)&gt;=0)),E695*SUM($B$82)+SUM($B$83),0)</x:f>
        <x:v>0</x:v>
      </x:c>
      <x:c r="H695" s="440" t="n">
        <x:f>IF(ISNUMBER(D695),IF(MAX(0,B695*(1+C695/12)-D695-F695)&lt;MAX(0.0000001,$E$17*0.00000000001),0,MAX(0,B695*(1+C695/12)-D695-F695)),IF(AND($B$171=1,I694=1),B695,""))</x:f>
        <x:v>257465.08046405538</x:v>
      </x:c>
      <x:c r="I695" s="444" t="n">
        <x:f>IF(OR(I694=1,AND(E695&gt;0,$B$78&lt;&gt;"Cash payoff",NOT(AND($B$78="Refinance",ISNUMBER($B$80),$B$80&gt;=0,$B$80&lt;=1,ROUND($B$81*12,0)&gt;=1,$B$81&lt;=100,SUM($B$82)&gt;=0,SUM($B$82)&lt;=1,SUM($B$83)&gt;=0))),AND(ISNUMBER(B695),B695&gt;0,$B$171=1,NOT(ISNUMBER(D695)))),1,0)</x:f>
        <x:v>0</x:v>
      </x:c>
      <x:c r="J695" s="440" t="n">
        <x:f>IF(ISNUMBER(L694),L694,"")</x:f>
        <x:v>0</x:v>
      </x:c>
      <x:c r="K695" s="440" t="n">
        <x:f>IF(AND(ISNUMBER(J695),J695=0),0,IF(AND($B$176=1,ISNUMBER(J695)),MIN(J695*(1+$B$87/12),IF($B$86=0,0,IF($B$87=0,$B$86/ROUND($B$88*12,0),$B$86*($B$87/12)/(1-(1+$B$87/12)^(-ROUND($B$88*12,0)))))),""))</x:f>
        <x:v>0</x:v>
      </x:c>
      <x:c r="L695" s="440" t="n">
        <x:f>IF(ISNUMBER(K695),IF(MAX(0,J695*(1+SUM($B$87)/12)-K695)&lt;MAX(0.0000001,$B$86*0.00000000001),0,MAX(0,J695*(1+SUM($B$87)/12)-K695)),"")</x:f>
        <x:v>0</x:v>
      </x:c>
      <x:c r="M695" s="440" t="n">
        <x:f>IF(AND(ISNUMBER(D695),ISNUMBER(K695)),D695+K695,"")</x:f>
        <x:v>4679.450723240598</x:v>
      </x:c>
      <x:c r="N695" s="440" t="n">
        <x:f>IF(AND(ISNUMBER(H695),ISNUMBER(L695)),H695+L695,"")</x:f>
        <x:v>257465.08046405538</x:v>
      </x:c>
    </x:row>
    <x:row r="696" ht="22" customHeight="1">
      <x:c r="A696" s="254" t="n">
        <x:f>296</x:f>
        <x:v>296</x:v>
      </x:c>
      <x:c r="B696" s="440" t="n">
        <x:f>IF(ISNUMBER(H695),H695,"")</x:f>
        <x:v>257465.08046405538</x:v>
      </x:c>
      <x:c r="C696" s="442" t="n">
        <x:f>IF(ISNUMBER(B696),IF(AND(296&gt;$B$173,$B$78="Refinance",ISNUMBER($B$80),$B$80&gt;=0,$B$80&lt;=1,ROUND($B$81*12,0)&gt;=1,$B$81&lt;=100,SUM($B$82)&gt;=0,SUM($B$82)&lt;=1,SUM($B$83)&gt;=0),$B$80,IF(AND($B$175&gt;0,296&gt;$B$175,ISNUMBER($B$75)),$B$75,$B$61)),"")</x:f>
        <x:v>0.0625</x:v>
      </x:c>
      <x:c r="D696" s="440" t="n">
        <x:f>IF(AND(ISNUMBER(B696),B696=0),0,IF(AND($B$171=1,I695=0,ISNUMBER(C696),ISNUMBER(IF(AND(296&lt;=$B$174,296&lt;=$B$173),B696*C696/12,IF(AND(296=$B$173+1,AND(296&gt;$B$173,$B$78="Refinance",ISNUMBER($B$80),$B$80&gt;=0,$B$80&lt;=1,ROUND($B$81*12,0)&gt;=1,$B$81&lt;=100,SUM($B$82)&gt;=0,SUM($B$82)&lt;=1,SUM($B$83)&gt;=0)),IF(B696=0,0,IF(C696=0,B696/ROUND($B$81*12,0),B696*(C696/12)/(1-(1+C696/12)^(-ROUND($B$81*12,0))))),IF(AND(NOT(AND(296&gt;$B$173,$B$78="Refinance",ISNUMBER($B$80),$B$80&gt;=0,$B$80&lt;=1,ROUND($B$81*12,0)&gt;=1,$B$81&lt;=100,SUM($B$82)&gt;=0,SUM($B$82)&lt;=1,SUM($B$83)&gt;=0)),OR(296=1,296=$B$174+1,AND($B$175&gt;0,296=$B$175+1))),IF(AND($B$170=1,$B$66&gt;0,OR($B$175=0,296&lt;=$B$175)),$B$66,IF($B$172-MAX(296-1,$B$174)&gt;0,IF(B696=0,0,IF(C696=0,B696/($B$172-MAX(296-1,$B$174)),B696*(C696/12)/(1-(1+C696/12)^(-($B$172-MAX(296-1,$B$174)))))),"")),D695))))),IF(IF(AND(296&lt;=$B$174,296&lt;=$B$173),B696*C696/12,IF(AND(296=$B$173+1,AND(296&gt;$B$173,$B$78="Refinance",ISNUMBER($B$80),$B$80&gt;=0,$B$80&lt;=1,ROUND($B$81*12,0)&gt;=1,$B$81&lt;=100,SUM($B$82)&gt;=0,SUM($B$82)&lt;=1,SUM($B$83)&gt;=0)),IF(B696=0,0,IF(C696=0,B696/ROUND($B$81*12,0),B696*(C696/12)/(1-(1+C696/12)^(-ROUND($B$81*12,0))))),IF(AND(NOT(AND(296&gt;$B$173,$B$78="Refinance",ISNUMBER($B$80),$B$80&gt;=0,$B$80&lt;=1,ROUND($B$81*12,0)&gt;=1,$B$81&lt;=100,SUM($B$82)&gt;=0,SUM($B$82)&lt;=1,SUM($B$83)&gt;=0)),OR(296=1,296=$B$174+1,AND($B$175&gt;0,296=$B$175+1))),IF(AND($B$170=1,$B$66&gt;0,OR($B$175=0,296&lt;=$B$175)),$B$66,IF($B$172-MAX(296-1,$B$174)&gt;0,IF(B696=0,0,IF(C696=0,B696/($B$172-MAX(296-1,$B$174)),B696*(C696/12)/(1-(1+C696/12)^(-($B$172-MAX(296-1,$B$174)))))),"")),D695)))+0.0000001&gt;=B696*C696/12,MIN(B696*(1+C696/12),IF(AND(296&lt;=$B$174,296&lt;=$B$173),B696*C696/12,IF(AND(296=$B$173+1,AND(296&gt;$B$173,$B$78="Refinance",ISNUMBER($B$80),$B$80&gt;=0,$B$80&lt;=1,ROUND($B$81*12,0)&gt;=1,$B$81&lt;=100,SUM($B$82)&gt;=0,SUM($B$82)&lt;=1,SUM($B$83)&gt;=0)),IF(B696=0,0,IF(C696=0,B696/ROUND($B$81*12,0),B696*(C696/12)/(1-(1+C696/12)^(-ROUND($B$81*12,0))))),IF(AND(NOT(AND(296&gt;$B$173,$B$78="Refinance",ISNUMBER($B$80),$B$80&gt;=0,$B$80&lt;=1,ROUND($B$81*12,0)&gt;=1,$B$81&lt;=100,SUM($B$82)&gt;=0,SUM($B$82)&lt;=1,SUM($B$83)&gt;=0)),OR(296=1,296=$B$174+1,AND($B$175&gt;0,296=$B$175+1))),IF(AND($B$170=1,$B$66&gt;0,OR($B$175=0,296&lt;=$B$175)),$B$66,IF($B$172-MAX(296-1,$B$174)&gt;0,IF(B696=0,0,IF(C696=0,B696/($B$172-MAX(296-1,$B$174)),B696*(C696/12)/(1-(1+C696/12)^(-($B$172-MAX(296-1,$B$174)))))),"")),D695)))),""),""))</x:f>
        <x:v>4679.450723240598</x:v>
      </x:c>
      <x:c r="E696" s="440" t="n">
        <x:f>IF(AND(296=$B$173,ISNUMBER(D696)),IF(MAX(0,B696*(1+C696/12)-D696)&lt;MAX(0.0000001,$E$17*0.00000000001),0,MAX(0,B696*(1+C696/12)-D696)),0)</x:f>
        <x:v>0</x:v>
      </x:c>
      <x:c r="F696" s="440" t="n">
        <x:f>IF($B$78="Cash payoff",E696,0)</x:f>
        <x:v>0</x:v>
      </x:c>
      <x:c r="G696" s="440" t="n">
        <x:f>IF(AND(E696&gt;0,AND($B$78="Refinance",ISNUMBER($B$80),$B$80&gt;=0,$B$80&lt;=1,ROUND($B$81*12,0)&gt;=1,$B$81&lt;=100,SUM($B$82)&gt;=0,SUM($B$82)&lt;=1,SUM($B$83)&gt;=0)),E696*SUM($B$82)+SUM($B$83),0)</x:f>
        <x:v>0</x:v>
      </x:c>
      <x:c r="H696" s="440" t="n">
        <x:f>IF(ISNUMBER(D696),IF(MAX(0,B696*(1+C696/12)-D696-F696)&lt;MAX(0.0000001,$E$17*0.00000000001),0,MAX(0,B696*(1+C696/12)-D696-F696)),IF(AND($B$171=1,I695=1),B696,""))</x:f>
        <x:v>254126.59370156506</x:v>
      </x:c>
      <x:c r="I696" s="444" t="n">
        <x:f>IF(OR(I695=1,AND(E696&gt;0,$B$78&lt;&gt;"Cash payoff",NOT(AND($B$78="Refinance",ISNUMBER($B$80),$B$80&gt;=0,$B$80&lt;=1,ROUND($B$81*12,0)&gt;=1,$B$81&lt;=100,SUM($B$82)&gt;=0,SUM($B$82)&lt;=1,SUM($B$83)&gt;=0))),AND(ISNUMBER(B696),B696&gt;0,$B$171=1,NOT(ISNUMBER(D696)))),1,0)</x:f>
        <x:v>0</x:v>
      </x:c>
      <x:c r="J696" s="440" t="n">
        <x:f>IF(ISNUMBER(L695),L695,"")</x:f>
        <x:v>0</x:v>
      </x:c>
      <x:c r="K696" s="440" t="n">
        <x:f>IF(AND(ISNUMBER(J696),J696=0),0,IF(AND($B$176=1,ISNUMBER(J696)),MIN(J696*(1+$B$87/12),IF($B$86=0,0,IF($B$87=0,$B$86/ROUND($B$88*12,0),$B$86*($B$87/12)/(1-(1+$B$87/12)^(-ROUND($B$88*12,0)))))),""))</x:f>
        <x:v>0</x:v>
      </x:c>
      <x:c r="L696" s="440" t="n">
        <x:f>IF(ISNUMBER(K696),IF(MAX(0,J696*(1+SUM($B$87)/12)-K696)&lt;MAX(0.0000001,$B$86*0.00000000001),0,MAX(0,J696*(1+SUM($B$87)/12)-K696)),"")</x:f>
        <x:v>0</x:v>
      </x:c>
      <x:c r="M696" s="440" t="n">
        <x:f>IF(AND(ISNUMBER(D696),ISNUMBER(K696)),D696+K696,"")</x:f>
        <x:v>4679.450723240598</x:v>
      </x:c>
      <x:c r="N696" s="440" t="n">
        <x:f>IF(AND(ISNUMBER(H696),ISNUMBER(L696)),H696+L696,"")</x:f>
        <x:v>254126.59370156506</x:v>
      </x:c>
    </x:row>
    <x:row r="697" ht="22" customHeight="1">
      <x:c r="A697" s="254" t="n">
        <x:f>297</x:f>
        <x:v>297</x:v>
      </x:c>
      <x:c r="B697" s="440" t="n">
        <x:f>IF(ISNUMBER(H696),H696,"")</x:f>
        <x:v>254126.59370156506</x:v>
      </x:c>
      <x:c r="C697" s="442" t="n">
        <x:f>IF(ISNUMBER(B697),IF(AND(297&gt;$B$173,$B$78="Refinance",ISNUMBER($B$80),$B$80&gt;=0,$B$80&lt;=1,ROUND($B$81*12,0)&gt;=1,$B$81&lt;=100,SUM($B$82)&gt;=0,SUM($B$82)&lt;=1,SUM($B$83)&gt;=0),$B$80,IF(AND($B$175&gt;0,297&gt;$B$175,ISNUMBER($B$75)),$B$75,$B$61)),"")</x:f>
        <x:v>0.0625</x:v>
      </x:c>
      <x:c r="D697" s="440" t="n">
        <x:f>IF(AND(ISNUMBER(B697),B697=0),0,IF(AND($B$171=1,I696=0,ISNUMBER(C697),ISNUMBER(IF(AND(297&lt;=$B$174,297&lt;=$B$173),B697*C697/12,IF(AND(297=$B$173+1,AND(297&gt;$B$173,$B$78="Refinance",ISNUMBER($B$80),$B$80&gt;=0,$B$80&lt;=1,ROUND($B$81*12,0)&gt;=1,$B$81&lt;=100,SUM($B$82)&gt;=0,SUM($B$82)&lt;=1,SUM($B$83)&gt;=0)),IF(B697=0,0,IF(C697=0,B697/ROUND($B$81*12,0),B697*(C697/12)/(1-(1+C697/12)^(-ROUND($B$81*12,0))))),IF(AND(NOT(AND(297&gt;$B$173,$B$78="Refinance",ISNUMBER($B$80),$B$80&gt;=0,$B$80&lt;=1,ROUND($B$81*12,0)&gt;=1,$B$81&lt;=100,SUM($B$82)&gt;=0,SUM($B$82)&lt;=1,SUM($B$83)&gt;=0)),OR(297=1,297=$B$174+1,AND($B$175&gt;0,297=$B$175+1))),IF(AND($B$170=1,$B$66&gt;0,OR($B$175=0,297&lt;=$B$175)),$B$66,IF($B$172-MAX(297-1,$B$174)&gt;0,IF(B697=0,0,IF(C697=0,B697/($B$172-MAX(297-1,$B$174)),B697*(C697/12)/(1-(1+C697/12)^(-($B$172-MAX(297-1,$B$174)))))),"")),D696))))),IF(IF(AND(297&lt;=$B$174,297&lt;=$B$173),B697*C697/12,IF(AND(297=$B$173+1,AND(297&gt;$B$173,$B$78="Refinance",ISNUMBER($B$80),$B$80&gt;=0,$B$80&lt;=1,ROUND($B$81*12,0)&gt;=1,$B$81&lt;=100,SUM($B$82)&gt;=0,SUM($B$82)&lt;=1,SUM($B$83)&gt;=0)),IF(B697=0,0,IF(C697=0,B697/ROUND($B$81*12,0),B697*(C697/12)/(1-(1+C697/12)^(-ROUND($B$81*12,0))))),IF(AND(NOT(AND(297&gt;$B$173,$B$78="Refinance",ISNUMBER($B$80),$B$80&gt;=0,$B$80&lt;=1,ROUND($B$81*12,0)&gt;=1,$B$81&lt;=100,SUM($B$82)&gt;=0,SUM($B$82)&lt;=1,SUM($B$83)&gt;=0)),OR(297=1,297=$B$174+1,AND($B$175&gt;0,297=$B$175+1))),IF(AND($B$170=1,$B$66&gt;0,OR($B$175=0,297&lt;=$B$175)),$B$66,IF($B$172-MAX(297-1,$B$174)&gt;0,IF(B697=0,0,IF(C697=0,B697/($B$172-MAX(297-1,$B$174)),B697*(C697/12)/(1-(1+C697/12)^(-($B$172-MAX(297-1,$B$174)))))),"")),D696)))+0.0000001&gt;=B697*C697/12,MIN(B697*(1+C697/12),IF(AND(297&lt;=$B$174,297&lt;=$B$173),B697*C697/12,IF(AND(297=$B$173+1,AND(297&gt;$B$173,$B$78="Refinance",ISNUMBER($B$80),$B$80&gt;=0,$B$80&lt;=1,ROUND($B$81*12,0)&gt;=1,$B$81&lt;=100,SUM($B$82)&gt;=0,SUM($B$82)&lt;=1,SUM($B$83)&gt;=0)),IF(B697=0,0,IF(C697=0,B697/ROUND($B$81*12,0),B697*(C697/12)/(1-(1+C697/12)^(-ROUND($B$81*12,0))))),IF(AND(NOT(AND(297&gt;$B$173,$B$78="Refinance",ISNUMBER($B$80),$B$80&gt;=0,$B$80&lt;=1,ROUND($B$81*12,0)&gt;=1,$B$81&lt;=100,SUM($B$82)&gt;=0,SUM($B$82)&lt;=1,SUM($B$83)&gt;=0)),OR(297=1,297=$B$174+1,AND($B$175&gt;0,297=$B$175+1))),IF(AND($B$170=1,$B$66&gt;0,OR($B$175=0,297&lt;=$B$175)),$B$66,IF($B$172-MAX(297-1,$B$174)&gt;0,IF(B697=0,0,IF(C697=0,B697/($B$172-MAX(297-1,$B$174)),B697*(C697/12)/(1-(1+C697/12)^(-($B$172-MAX(297-1,$B$174)))))),"")),D696)))),""),""))</x:f>
        <x:v>4679.450723240598</x:v>
      </x:c>
      <x:c r="E697" s="440" t="n">
        <x:f>IF(AND(297=$B$173,ISNUMBER(D697)),IF(MAX(0,B697*(1+C697/12)-D697)&lt;MAX(0.0000001,$E$17*0.00000000001),0,MAX(0,B697*(1+C697/12)-D697)),0)</x:f>
        <x:v>0</x:v>
      </x:c>
      <x:c r="F697" s="440" t="n">
        <x:f>IF($B$78="Cash payoff",E697,0)</x:f>
        <x:v>0</x:v>
      </x:c>
      <x:c r="G697" s="440" t="n">
        <x:f>IF(AND(E697&gt;0,AND($B$78="Refinance",ISNUMBER($B$80),$B$80&gt;=0,$B$80&lt;=1,ROUND($B$81*12,0)&gt;=1,$B$81&lt;=100,SUM($B$82)&gt;=0,SUM($B$82)&lt;=1,SUM($B$83)&gt;=0)),E697*SUM($B$82)+SUM($B$83),0)</x:f>
        <x:v>0</x:v>
      </x:c>
      <x:c r="H697" s="440" t="n">
        <x:f>IF(ISNUMBER(D697),IF(MAX(0,B697*(1+C697/12)-D697-F697)&lt;MAX(0.0000001,$E$17*0.00000000001),0,MAX(0,B697*(1+C697/12)-D697-F697)),IF(AND($B$171=1,I696=1),B697,""))</x:f>
        <x:v>250770.71898718676</x:v>
      </x:c>
      <x:c r="I697" s="444" t="n">
        <x:f>IF(OR(I696=1,AND(E697&gt;0,$B$78&lt;&gt;"Cash payoff",NOT(AND($B$78="Refinance",ISNUMBER($B$80),$B$80&gt;=0,$B$80&lt;=1,ROUND($B$81*12,0)&gt;=1,$B$81&lt;=100,SUM($B$82)&gt;=0,SUM($B$82)&lt;=1,SUM($B$83)&gt;=0))),AND(ISNUMBER(B697),B697&gt;0,$B$171=1,NOT(ISNUMBER(D697)))),1,0)</x:f>
        <x:v>0</x:v>
      </x:c>
      <x:c r="J697" s="440" t="n">
        <x:f>IF(ISNUMBER(L696),L696,"")</x:f>
        <x:v>0</x:v>
      </x:c>
      <x:c r="K697" s="440" t="n">
        <x:f>IF(AND(ISNUMBER(J697),J697=0),0,IF(AND($B$176=1,ISNUMBER(J697)),MIN(J697*(1+$B$87/12),IF($B$86=0,0,IF($B$87=0,$B$86/ROUND($B$88*12,0),$B$86*($B$87/12)/(1-(1+$B$87/12)^(-ROUND($B$88*12,0)))))),""))</x:f>
        <x:v>0</x:v>
      </x:c>
      <x:c r="L697" s="440" t="n">
        <x:f>IF(ISNUMBER(K697),IF(MAX(0,J697*(1+SUM($B$87)/12)-K697)&lt;MAX(0.0000001,$B$86*0.00000000001),0,MAX(0,J697*(1+SUM($B$87)/12)-K697)),"")</x:f>
        <x:v>0</x:v>
      </x:c>
      <x:c r="M697" s="440" t="n">
        <x:f>IF(AND(ISNUMBER(D697),ISNUMBER(K697)),D697+K697,"")</x:f>
        <x:v>4679.450723240598</x:v>
      </x:c>
      <x:c r="N697" s="440" t="n">
        <x:f>IF(AND(ISNUMBER(H697),ISNUMBER(L697)),H697+L697,"")</x:f>
        <x:v>250770.71898718676</x:v>
      </x:c>
    </x:row>
    <x:row r="698" ht="22" customHeight="1">
      <x:c r="A698" s="254" t="n">
        <x:f>298</x:f>
        <x:v>298</x:v>
      </x:c>
      <x:c r="B698" s="440" t="n">
        <x:f>IF(ISNUMBER(H697),H697,"")</x:f>
        <x:v>250770.71898718676</x:v>
      </x:c>
      <x:c r="C698" s="442" t="n">
        <x:f>IF(ISNUMBER(B698),IF(AND(298&gt;$B$173,$B$78="Refinance",ISNUMBER($B$80),$B$80&gt;=0,$B$80&lt;=1,ROUND($B$81*12,0)&gt;=1,$B$81&lt;=100,SUM($B$82)&gt;=0,SUM($B$82)&lt;=1,SUM($B$83)&gt;=0),$B$80,IF(AND($B$175&gt;0,298&gt;$B$175,ISNUMBER($B$75)),$B$75,$B$61)),"")</x:f>
        <x:v>0.0625</x:v>
      </x:c>
      <x:c r="D698" s="440" t="n">
        <x:f>IF(AND(ISNUMBER(B698),B698=0),0,IF(AND($B$171=1,I697=0,ISNUMBER(C698),ISNUMBER(IF(AND(298&lt;=$B$174,298&lt;=$B$173),B698*C698/12,IF(AND(298=$B$173+1,AND(298&gt;$B$173,$B$78="Refinance",ISNUMBER($B$80),$B$80&gt;=0,$B$80&lt;=1,ROUND($B$81*12,0)&gt;=1,$B$81&lt;=100,SUM($B$82)&gt;=0,SUM($B$82)&lt;=1,SUM($B$83)&gt;=0)),IF(B698=0,0,IF(C698=0,B698/ROUND($B$81*12,0),B698*(C698/12)/(1-(1+C698/12)^(-ROUND($B$81*12,0))))),IF(AND(NOT(AND(298&gt;$B$173,$B$78="Refinance",ISNUMBER($B$80),$B$80&gt;=0,$B$80&lt;=1,ROUND($B$81*12,0)&gt;=1,$B$81&lt;=100,SUM($B$82)&gt;=0,SUM($B$82)&lt;=1,SUM($B$83)&gt;=0)),OR(298=1,298=$B$174+1,AND($B$175&gt;0,298=$B$175+1))),IF(AND($B$170=1,$B$66&gt;0,OR($B$175=0,298&lt;=$B$175)),$B$66,IF($B$172-MAX(298-1,$B$174)&gt;0,IF(B698=0,0,IF(C698=0,B698/($B$172-MAX(298-1,$B$174)),B698*(C698/12)/(1-(1+C698/12)^(-($B$172-MAX(298-1,$B$174)))))),"")),D697))))),IF(IF(AND(298&lt;=$B$174,298&lt;=$B$173),B698*C698/12,IF(AND(298=$B$173+1,AND(298&gt;$B$173,$B$78="Refinance",ISNUMBER($B$80),$B$80&gt;=0,$B$80&lt;=1,ROUND($B$81*12,0)&gt;=1,$B$81&lt;=100,SUM($B$82)&gt;=0,SUM($B$82)&lt;=1,SUM($B$83)&gt;=0)),IF(B698=0,0,IF(C698=0,B698/ROUND($B$81*12,0),B698*(C698/12)/(1-(1+C698/12)^(-ROUND($B$81*12,0))))),IF(AND(NOT(AND(298&gt;$B$173,$B$78="Refinance",ISNUMBER($B$80),$B$80&gt;=0,$B$80&lt;=1,ROUND($B$81*12,0)&gt;=1,$B$81&lt;=100,SUM($B$82)&gt;=0,SUM($B$82)&lt;=1,SUM($B$83)&gt;=0)),OR(298=1,298=$B$174+1,AND($B$175&gt;0,298=$B$175+1))),IF(AND($B$170=1,$B$66&gt;0,OR($B$175=0,298&lt;=$B$175)),$B$66,IF($B$172-MAX(298-1,$B$174)&gt;0,IF(B698=0,0,IF(C698=0,B698/($B$172-MAX(298-1,$B$174)),B698*(C698/12)/(1-(1+C698/12)^(-($B$172-MAX(298-1,$B$174)))))),"")),D697)))+0.0000001&gt;=B698*C698/12,MIN(B698*(1+C698/12),IF(AND(298&lt;=$B$174,298&lt;=$B$173),B698*C698/12,IF(AND(298=$B$173+1,AND(298&gt;$B$173,$B$78="Refinance",ISNUMBER($B$80),$B$80&gt;=0,$B$80&lt;=1,ROUND($B$81*12,0)&gt;=1,$B$81&lt;=100,SUM($B$82)&gt;=0,SUM($B$82)&lt;=1,SUM($B$83)&gt;=0)),IF(B698=0,0,IF(C698=0,B698/ROUND($B$81*12,0),B698*(C698/12)/(1-(1+C698/12)^(-ROUND($B$81*12,0))))),IF(AND(NOT(AND(298&gt;$B$173,$B$78="Refinance",ISNUMBER($B$80),$B$80&gt;=0,$B$80&lt;=1,ROUND($B$81*12,0)&gt;=1,$B$81&lt;=100,SUM($B$82)&gt;=0,SUM($B$82)&lt;=1,SUM($B$83)&gt;=0)),OR(298=1,298=$B$174+1,AND($B$175&gt;0,298=$B$175+1))),IF(AND($B$170=1,$B$66&gt;0,OR($B$175=0,298&lt;=$B$175)),$B$66,IF($B$172-MAX(298-1,$B$174)&gt;0,IF(B698=0,0,IF(C698=0,B698/($B$172-MAX(298-1,$B$174)),B698*(C698/12)/(1-(1+C698/12)^(-($B$172-MAX(298-1,$B$174)))))),"")),D697)))),""),""))</x:f>
        <x:v>4679.450723240598</x:v>
      </x:c>
      <x:c r="E698" s="440" t="n">
        <x:f>IF(AND(298=$B$173,ISNUMBER(D698)),IF(MAX(0,B698*(1+C698/12)-D698)&lt;MAX(0.0000001,$E$17*0.00000000001),0,MAX(0,B698*(1+C698/12)-D698)),0)</x:f>
        <x:v>0</x:v>
      </x:c>
      <x:c r="F698" s="440" t="n">
        <x:f>IF($B$78="Cash payoff",E698,0)</x:f>
        <x:v>0</x:v>
      </x:c>
      <x:c r="G698" s="440" t="n">
        <x:f>IF(AND(E698&gt;0,AND($B$78="Refinance",ISNUMBER($B$80),$B$80&gt;=0,$B$80&lt;=1,ROUND($B$81*12,0)&gt;=1,$B$81&lt;=100,SUM($B$82)&gt;=0,SUM($B$82)&lt;=1,SUM($B$83)&gt;=0)),E698*SUM($B$82)+SUM($B$83),0)</x:f>
        <x:v>0</x:v>
      </x:c>
      <x:c r="H698" s="440" t="n">
        <x:f>IF(ISNUMBER(D698),IF(MAX(0,B698*(1+C698/12)-D698-F698)&lt;MAX(0.0000001,$E$17*0.00000000001),0,MAX(0,B698*(1+C698/12)-D698-F698)),IF(AND($B$171=1,I697=1),B698,""))</x:f>
        <x:v>247397.36575867108</x:v>
      </x:c>
      <x:c r="I698" s="444" t="n">
        <x:f>IF(OR(I697=1,AND(E698&gt;0,$B$78&lt;&gt;"Cash payoff",NOT(AND($B$78="Refinance",ISNUMBER($B$80),$B$80&gt;=0,$B$80&lt;=1,ROUND($B$81*12,0)&gt;=1,$B$81&lt;=100,SUM($B$82)&gt;=0,SUM($B$82)&lt;=1,SUM($B$83)&gt;=0))),AND(ISNUMBER(B698),B698&gt;0,$B$171=1,NOT(ISNUMBER(D698)))),1,0)</x:f>
        <x:v>0</x:v>
      </x:c>
      <x:c r="J698" s="440" t="n">
        <x:f>IF(ISNUMBER(L697),L697,"")</x:f>
        <x:v>0</x:v>
      </x:c>
      <x:c r="K698" s="440" t="n">
        <x:f>IF(AND(ISNUMBER(J698),J698=0),0,IF(AND($B$176=1,ISNUMBER(J698)),MIN(J698*(1+$B$87/12),IF($B$86=0,0,IF($B$87=0,$B$86/ROUND($B$88*12,0),$B$86*($B$87/12)/(1-(1+$B$87/12)^(-ROUND($B$88*12,0)))))),""))</x:f>
        <x:v>0</x:v>
      </x:c>
      <x:c r="L698" s="440" t="n">
        <x:f>IF(ISNUMBER(K698),IF(MAX(0,J698*(1+SUM($B$87)/12)-K698)&lt;MAX(0.0000001,$B$86*0.00000000001),0,MAX(0,J698*(1+SUM($B$87)/12)-K698)),"")</x:f>
        <x:v>0</x:v>
      </x:c>
      <x:c r="M698" s="440" t="n">
        <x:f>IF(AND(ISNUMBER(D698),ISNUMBER(K698)),D698+K698,"")</x:f>
        <x:v>4679.450723240598</x:v>
      </x:c>
      <x:c r="N698" s="440" t="n">
        <x:f>IF(AND(ISNUMBER(H698),ISNUMBER(L698)),H698+L698,"")</x:f>
        <x:v>247397.36575867108</x:v>
      </x:c>
    </x:row>
    <x:row r="699" ht="22" customHeight="1">
      <x:c r="A699" s="254" t="n">
        <x:f>299</x:f>
        <x:v>299</x:v>
      </x:c>
      <x:c r="B699" s="440" t="n">
        <x:f>IF(ISNUMBER(H698),H698,"")</x:f>
        <x:v>247397.36575867108</x:v>
      </x:c>
      <x:c r="C699" s="442" t="n">
        <x:f>IF(ISNUMBER(B699),IF(AND(299&gt;$B$173,$B$78="Refinance",ISNUMBER($B$80),$B$80&gt;=0,$B$80&lt;=1,ROUND($B$81*12,0)&gt;=1,$B$81&lt;=100,SUM($B$82)&gt;=0,SUM($B$82)&lt;=1,SUM($B$83)&gt;=0),$B$80,IF(AND($B$175&gt;0,299&gt;$B$175,ISNUMBER($B$75)),$B$75,$B$61)),"")</x:f>
        <x:v>0.0625</x:v>
      </x:c>
      <x:c r="D699" s="440" t="n">
        <x:f>IF(AND(ISNUMBER(B699),B699=0),0,IF(AND($B$171=1,I698=0,ISNUMBER(C699),ISNUMBER(IF(AND(299&lt;=$B$174,299&lt;=$B$173),B699*C699/12,IF(AND(299=$B$173+1,AND(299&gt;$B$173,$B$78="Refinance",ISNUMBER($B$80),$B$80&gt;=0,$B$80&lt;=1,ROUND($B$81*12,0)&gt;=1,$B$81&lt;=100,SUM($B$82)&gt;=0,SUM($B$82)&lt;=1,SUM($B$83)&gt;=0)),IF(B699=0,0,IF(C699=0,B699/ROUND($B$81*12,0),B699*(C699/12)/(1-(1+C699/12)^(-ROUND($B$81*12,0))))),IF(AND(NOT(AND(299&gt;$B$173,$B$78="Refinance",ISNUMBER($B$80),$B$80&gt;=0,$B$80&lt;=1,ROUND($B$81*12,0)&gt;=1,$B$81&lt;=100,SUM($B$82)&gt;=0,SUM($B$82)&lt;=1,SUM($B$83)&gt;=0)),OR(299=1,299=$B$174+1,AND($B$175&gt;0,299=$B$175+1))),IF(AND($B$170=1,$B$66&gt;0,OR($B$175=0,299&lt;=$B$175)),$B$66,IF($B$172-MAX(299-1,$B$174)&gt;0,IF(B699=0,0,IF(C699=0,B699/($B$172-MAX(299-1,$B$174)),B699*(C699/12)/(1-(1+C699/12)^(-($B$172-MAX(299-1,$B$174)))))),"")),D698))))),IF(IF(AND(299&lt;=$B$174,299&lt;=$B$173),B699*C699/12,IF(AND(299=$B$173+1,AND(299&gt;$B$173,$B$78="Refinance",ISNUMBER($B$80),$B$80&gt;=0,$B$80&lt;=1,ROUND($B$81*12,0)&gt;=1,$B$81&lt;=100,SUM($B$82)&gt;=0,SUM($B$82)&lt;=1,SUM($B$83)&gt;=0)),IF(B699=0,0,IF(C699=0,B699/ROUND($B$81*12,0),B699*(C699/12)/(1-(1+C699/12)^(-ROUND($B$81*12,0))))),IF(AND(NOT(AND(299&gt;$B$173,$B$78="Refinance",ISNUMBER($B$80),$B$80&gt;=0,$B$80&lt;=1,ROUND($B$81*12,0)&gt;=1,$B$81&lt;=100,SUM($B$82)&gt;=0,SUM($B$82)&lt;=1,SUM($B$83)&gt;=0)),OR(299=1,299=$B$174+1,AND($B$175&gt;0,299=$B$175+1))),IF(AND($B$170=1,$B$66&gt;0,OR($B$175=0,299&lt;=$B$175)),$B$66,IF($B$172-MAX(299-1,$B$174)&gt;0,IF(B699=0,0,IF(C699=0,B699/($B$172-MAX(299-1,$B$174)),B699*(C699/12)/(1-(1+C699/12)^(-($B$172-MAX(299-1,$B$174)))))),"")),D698)))+0.0000001&gt;=B699*C699/12,MIN(B699*(1+C699/12),IF(AND(299&lt;=$B$174,299&lt;=$B$173),B699*C699/12,IF(AND(299=$B$173+1,AND(299&gt;$B$173,$B$78="Refinance",ISNUMBER($B$80),$B$80&gt;=0,$B$80&lt;=1,ROUND($B$81*12,0)&gt;=1,$B$81&lt;=100,SUM($B$82)&gt;=0,SUM($B$82)&lt;=1,SUM($B$83)&gt;=0)),IF(B699=0,0,IF(C699=0,B699/ROUND($B$81*12,0),B699*(C699/12)/(1-(1+C699/12)^(-ROUND($B$81*12,0))))),IF(AND(NOT(AND(299&gt;$B$173,$B$78="Refinance",ISNUMBER($B$80),$B$80&gt;=0,$B$80&lt;=1,ROUND($B$81*12,0)&gt;=1,$B$81&lt;=100,SUM($B$82)&gt;=0,SUM($B$82)&lt;=1,SUM($B$83)&gt;=0)),OR(299=1,299=$B$174+1,AND($B$175&gt;0,299=$B$175+1))),IF(AND($B$170=1,$B$66&gt;0,OR($B$175=0,299&lt;=$B$175)),$B$66,IF($B$172-MAX(299-1,$B$174)&gt;0,IF(B699=0,0,IF(C699=0,B699/($B$172-MAX(299-1,$B$174)),B699*(C699/12)/(1-(1+C699/12)^(-($B$172-MAX(299-1,$B$174)))))),"")),D698)))),""),""))</x:f>
        <x:v>4679.450723240598</x:v>
      </x:c>
      <x:c r="E699" s="440" t="n">
        <x:f>IF(AND(299=$B$173,ISNUMBER(D699)),IF(MAX(0,B699*(1+C699/12)-D699)&lt;MAX(0.0000001,$E$17*0.00000000001),0,MAX(0,B699*(1+C699/12)-D699)),0)</x:f>
        <x:v>0</x:v>
      </x:c>
      <x:c r="F699" s="440" t="n">
        <x:f>IF($B$78="Cash payoff",E699,0)</x:f>
        <x:v>0</x:v>
      </x:c>
      <x:c r="G699" s="440" t="n">
        <x:f>IF(AND(E699&gt;0,AND($B$78="Refinance",ISNUMBER($B$80),$B$80&gt;=0,$B$80&lt;=1,ROUND($B$81*12,0)&gt;=1,$B$81&lt;=100,SUM($B$82)&gt;=0,SUM($B$82)&lt;=1,SUM($B$83)&gt;=0)),E699*SUM($B$82)+SUM($B$83),0)</x:f>
        <x:v>0</x:v>
      </x:c>
      <x:c r="H699" s="440" t="n">
        <x:f>IF(ISNUMBER(D699),IF(MAX(0,B699*(1+C699/12)-D699-F699)&lt;MAX(0.0000001,$E$17*0.00000000001),0,MAX(0,B699*(1+C699/12)-D699-F699)),IF(AND($B$171=1,I698=1),B699,""))</x:f>
        <x:v>244006.4429820902</x:v>
      </x:c>
      <x:c r="I699" s="444" t="n">
        <x:f>IF(OR(I698=1,AND(E699&gt;0,$B$78&lt;&gt;"Cash payoff",NOT(AND($B$78="Refinance",ISNUMBER($B$80),$B$80&gt;=0,$B$80&lt;=1,ROUND($B$81*12,0)&gt;=1,$B$81&lt;=100,SUM($B$82)&gt;=0,SUM($B$82)&lt;=1,SUM($B$83)&gt;=0))),AND(ISNUMBER(B699),B699&gt;0,$B$171=1,NOT(ISNUMBER(D699)))),1,0)</x:f>
        <x:v>0</x:v>
      </x:c>
      <x:c r="J699" s="440" t="n">
        <x:f>IF(ISNUMBER(L698),L698,"")</x:f>
        <x:v>0</x:v>
      </x:c>
      <x:c r="K699" s="440" t="n">
        <x:f>IF(AND(ISNUMBER(J699),J699=0),0,IF(AND($B$176=1,ISNUMBER(J699)),MIN(J699*(1+$B$87/12),IF($B$86=0,0,IF($B$87=0,$B$86/ROUND($B$88*12,0),$B$86*($B$87/12)/(1-(1+$B$87/12)^(-ROUND($B$88*12,0)))))),""))</x:f>
        <x:v>0</x:v>
      </x:c>
      <x:c r="L699" s="440" t="n">
        <x:f>IF(ISNUMBER(K699),IF(MAX(0,J699*(1+SUM($B$87)/12)-K699)&lt;MAX(0.0000001,$B$86*0.00000000001),0,MAX(0,J699*(1+SUM($B$87)/12)-K699)),"")</x:f>
        <x:v>0</x:v>
      </x:c>
      <x:c r="M699" s="440" t="n">
        <x:f>IF(AND(ISNUMBER(D699),ISNUMBER(K699)),D699+K699,"")</x:f>
        <x:v>4679.450723240598</x:v>
      </x:c>
      <x:c r="N699" s="440" t="n">
        <x:f>IF(AND(ISNUMBER(H699),ISNUMBER(L699)),H699+L699,"")</x:f>
        <x:v>244006.4429820902</x:v>
      </x:c>
    </x:row>
    <x:row r="700" ht="22" customHeight="1">
      <x:c r="A700" s="254" t="n">
        <x:f>300</x:f>
        <x:v>300</x:v>
      </x:c>
      <x:c r="B700" s="440" t="n">
        <x:f>IF(ISNUMBER(H699),H699,"")</x:f>
        <x:v>244006.4429820902</x:v>
      </x:c>
      <x:c r="C700" s="442" t="n">
        <x:f>IF(ISNUMBER(B700),IF(AND(300&gt;$B$173,$B$78="Refinance",ISNUMBER($B$80),$B$80&gt;=0,$B$80&lt;=1,ROUND($B$81*12,0)&gt;=1,$B$81&lt;=100,SUM($B$82)&gt;=0,SUM($B$82)&lt;=1,SUM($B$83)&gt;=0),$B$80,IF(AND($B$175&gt;0,300&gt;$B$175,ISNUMBER($B$75)),$B$75,$B$61)),"")</x:f>
        <x:v>0.0625</x:v>
      </x:c>
      <x:c r="D700" s="440" t="n">
        <x:f>IF(AND(ISNUMBER(B700),B700=0),0,IF(AND($B$171=1,I699=0,ISNUMBER(C700),ISNUMBER(IF(AND(300&lt;=$B$174,300&lt;=$B$173),B700*C700/12,IF(AND(300=$B$173+1,AND(300&gt;$B$173,$B$78="Refinance",ISNUMBER($B$80),$B$80&gt;=0,$B$80&lt;=1,ROUND($B$81*12,0)&gt;=1,$B$81&lt;=100,SUM($B$82)&gt;=0,SUM($B$82)&lt;=1,SUM($B$83)&gt;=0)),IF(B700=0,0,IF(C700=0,B700/ROUND($B$81*12,0),B700*(C700/12)/(1-(1+C700/12)^(-ROUND($B$81*12,0))))),IF(AND(NOT(AND(300&gt;$B$173,$B$78="Refinance",ISNUMBER($B$80),$B$80&gt;=0,$B$80&lt;=1,ROUND($B$81*12,0)&gt;=1,$B$81&lt;=100,SUM($B$82)&gt;=0,SUM($B$82)&lt;=1,SUM($B$83)&gt;=0)),OR(300=1,300=$B$174+1,AND($B$175&gt;0,300=$B$175+1))),IF(AND($B$170=1,$B$66&gt;0,OR($B$175=0,300&lt;=$B$175)),$B$66,IF($B$172-MAX(300-1,$B$174)&gt;0,IF(B700=0,0,IF(C700=0,B700/($B$172-MAX(300-1,$B$174)),B700*(C700/12)/(1-(1+C700/12)^(-($B$172-MAX(300-1,$B$174)))))),"")),D699))))),IF(IF(AND(300&lt;=$B$174,300&lt;=$B$173),B700*C700/12,IF(AND(300=$B$173+1,AND(300&gt;$B$173,$B$78="Refinance",ISNUMBER($B$80),$B$80&gt;=0,$B$80&lt;=1,ROUND($B$81*12,0)&gt;=1,$B$81&lt;=100,SUM($B$82)&gt;=0,SUM($B$82)&lt;=1,SUM($B$83)&gt;=0)),IF(B700=0,0,IF(C700=0,B700/ROUND($B$81*12,0),B700*(C700/12)/(1-(1+C700/12)^(-ROUND($B$81*12,0))))),IF(AND(NOT(AND(300&gt;$B$173,$B$78="Refinance",ISNUMBER($B$80),$B$80&gt;=0,$B$80&lt;=1,ROUND($B$81*12,0)&gt;=1,$B$81&lt;=100,SUM($B$82)&gt;=0,SUM($B$82)&lt;=1,SUM($B$83)&gt;=0)),OR(300=1,300=$B$174+1,AND($B$175&gt;0,300=$B$175+1))),IF(AND($B$170=1,$B$66&gt;0,OR($B$175=0,300&lt;=$B$175)),$B$66,IF($B$172-MAX(300-1,$B$174)&gt;0,IF(B700=0,0,IF(C700=0,B700/($B$172-MAX(300-1,$B$174)),B700*(C700/12)/(1-(1+C700/12)^(-($B$172-MAX(300-1,$B$174)))))),"")),D699)))+0.0000001&gt;=B700*C700/12,MIN(B700*(1+C700/12),IF(AND(300&lt;=$B$174,300&lt;=$B$173),B700*C700/12,IF(AND(300=$B$173+1,AND(300&gt;$B$173,$B$78="Refinance",ISNUMBER($B$80),$B$80&gt;=0,$B$80&lt;=1,ROUND($B$81*12,0)&gt;=1,$B$81&lt;=100,SUM($B$82)&gt;=0,SUM($B$82)&lt;=1,SUM($B$83)&gt;=0)),IF(B700=0,0,IF(C700=0,B700/ROUND($B$81*12,0),B700*(C700/12)/(1-(1+C700/12)^(-ROUND($B$81*12,0))))),IF(AND(NOT(AND(300&gt;$B$173,$B$78="Refinance",ISNUMBER($B$80),$B$80&gt;=0,$B$80&lt;=1,ROUND($B$81*12,0)&gt;=1,$B$81&lt;=100,SUM($B$82)&gt;=0,SUM($B$82)&lt;=1,SUM($B$83)&gt;=0)),OR(300=1,300=$B$174+1,AND($B$175&gt;0,300=$B$175+1))),IF(AND($B$170=1,$B$66&gt;0,OR($B$175=0,300&lt;=$B$175)),$B$66,IF($B$172-MAX(300-1,$B$174)&gt;0,IF(B700=0,0,IF(C700=0,B700/($B$172-MAX(300-1,$B$174)),B700*(C700/12)/(1-(1+C700/12)^(-($B$172-MAX(300-1,$B$174)))))),"")),D699)))),""),""))</x:f>
        <x:v>4679.450723240598</x:v>
      </x:c>
      <x:c r="E700" s="440" t="n">
        <x:f>IF(AND(300=$B$173,ISNUMBER(D700)),IF(MAX(0,B700*(1+C700/12)-D700)&lt;MAX(0.0000001,$E$17*0.00000000001),0,MAX(0,B700*(1+C700/12)-D700)),0)</x:f>
        <x:v>0</x:v>
      </x:c>
      <x:c r="F700" s="440" t="n">
        <x:f>IF($B$78="Cash payoff",E700,0)</x:f>
        <x:v>0</x:v>
      </x:c>
      <x:c r="G700" s="440" t="n">
        <x:f>IF(AND(E700&gt;0,AND($B$78="Refinance",ISNUMBER($B$80),$B$80&gt;=0,$B$80&lt;=1,ROUND($B$81*12,0)&gt;=1,$B$81&lt;=100,SUM($B$82)&gt;=0,SUM($B$82)&lt;=1,SUM($B$83)&gt;=0)),E700*SUM($B$82)+SUM($B$83),0)</x:f>
        <x:v>0</x:v>
      </x:c>
      <x:c r="H700" s="440" t="n">
        <x:f>IF(ISNUMBER(D700),IF(MAX(0,B700*(1+C700/12)-D700-F700)&lt;MAX(0.0000001,$E$17*0.00000000001),0,MAX(0,B700*(1+C700/12)-D700-F700)),IF(AND($B$171=1,I699=1),B700,""))</x:f>
        <x:v>240597.85914938131</x:v>
      </x:c>
      <x:c r="I700" s="444" t="n">
        <x:f>IF(OR(I699=1,AND(E700&gt;0,$B$78&lt;&gt;"Cash payoff",NOT(AND($B$78="Refinance",ISNUMBER($B$80),$B$80&gt;=0,$B$80&lt;=1,ROUND($B$81*12,0)&gt;=1,$B$81&lt;=100,SUM($B$82)&gt;=0,SUM($B$82)&lt;=1,SUM($B$83)&gt;=0))),AND(ISNUMBER(B700),B700&gt;0,$B$171=1,NOT(ISNUMBER(D700)))),1,0)</x:f>
        <x:v>0</x:v>
      </x:c>
      <x:c r="J700" s="440" t="n">
        <x:f>IF(ISNUMBER(L699),L699,"")</x:f>
        <x:v>0</x:v>
      </x:c>
      <x:c r="K700" s="440" t="n">
        <x:f>IF(AND(ISNUMBER(J700),J700=0),0,IF(AND($B$176=1,ISNUMBER(J700)),MIN(J700*(1+$B$87/12),IF($B$86=0,0,IF($B$87=0,$B$86/ROUND($B$88*12,0),$B$86*($B$87/12)/(1-(1+$B$87/12)^(-ROUND($B$88*12,0)))))),""))</x:f>
        <x:v>0</x:v>
      </x:c>
      <x:c r="L700" s="440" t="n">
        <x:f>IF(ISNUMBER(K700),IF(MAX(0,J700*(1+SUM($B$87)/12)-K700)&lt;MAX(0.0000001,$B$86*0.00000000001),0,MAX(0,J700*(1+SUM($B$87)/12)-K700)),"")</x:f>
        <x:v>0</x:v>
      </x:c>
      <x:c r="M700" s="440" t="n">
        <x:f>IF(AND(ISNUMBER(D700),ISNUMBER(K700)),D700+K700,"")</x:f>
        <x:v>4679.450723240598</x:v>
      </x:c>
      <x:c r="N700" s="440" t="n">
        <x:f>IF(AND(ISNUMBER(H700),ISNUMBER(L700)),H700+L700,"")</x:f>
        <x:v>240597.85914938131</x:v>
      </x:c>
    </x:row>
    <x:row r="701" ht="22" customHeight="1">
      <x:c r="A701" s="254" t="n">
        <x:f>301</x:f>
        <x:v>301</x:v>
      </x:c>
      <x:c r="B701" s="440" t="n">
        <x:f>IF(ISNUMBER(H700),H700,"")</x:f>
        <x:v>240597.85914938131</x:v>
      </x:c>
      <x:c r="C701" s="442" t="n">
        <x:f>IF(ISNUMBER(B701),IF(AND(301&gt;$B$173,$B$78="Refinance",ISNUMBER($B$80),$B$80&gt;=0,$B$80&lt;=1,ROUND($B$81*12,0)&gt;=1,$B$81&lt;=100,SUM($B$82)&gt;=0,SUM($B$82)&lt;=1,SUM($B$83)&gt;=0),$B$80,IF(AND($B$175&gt;0,301&gt;$B$175,ISNUMBER($B$75)),$B$75,$B$61)),"")</x:f>
        <x:v>0.0625</x:v>
      </x:c>
      <x:c r="D701" s="440" t="n">
        <x:f>IF(AND(ISNUMBER(B701),B701=0),0,IF(AND($B$171=1,I700=0,ISNUMBER(C701),ISNUMBER(IF(AND(301&lt;=$B$174,301&lt;=$B$173),B701*C701/12,IF(AND(301=$B$173+1,AND(301&gt;$B$173,$B$78="Refinance",ISNUMBER($B$80),$B$80&gt;=0,$B$80&lt;=1,ROUND($B$81*12,0)&gt;=1,$B$81&lt;=100,SUM($B$82)&gt;=0,SUM($B$82)&lt;=1,SUM($B$83)&gt;=0)),IF(B701=0,0,IF(C701=0,B701/ROUND($B$81*12,0),B701*(C701/12)/(1-(1+C701/12)^(-ROUND($B$81*12,0))))),IF(AND(NOT(AND(301&gt;$B$173,$B$78="Refinance",ISNUMBER($B$80),$B$80&gt;=0,$B$80&lt;=1,ROUND($B$81*12,0)&gt;=1,$B$81&lt;=100,SUM($B$82)&gt;=0,SUM($B$82)&lt;=1,SUM($B$83)&gt;=0)),OR(301=1,301=$B$174+1,AND($B$175&gt;0,301=$B$175+1))),IF(AND($B$170=1,$B$66&gt;0,OR($B$175=0,301&lt;=$B$175)),$B$66,IF($B$172-MAX(301-1,$B$174)&gt;0,IF(B701=0,0,IF(C701=0,B701/($B$172-MAX(301-1,$B$174)),B701*(C701/12)/(1-(1+C701/12)^(-($B$172-MAX(301-1,$B$174)))))),"")),D700))))),IF(IF(AND(301&lt;=$B$174,301&lt;=$B$173),B701*C701/12,IF(AND(301=$B$173+1,AND(301&gt;$B$173,$B$78="Refinance",ISNUMBER($B$80),$B$80&gt;=0,$B$80&lt;=1,ROUND($B$81*12,0)&gt;=1,$B$81&lt;=100,SUM($B$82)&gt;=0,SUM($B$82)&lt;=1,SUM($B$83)&gt;=0)),IF(B701=0,0,IF(C701=0,B701/ROUND($B$81*12,0),B701*(C701/12)/(1-(1+C701/12)^(-ROUND($B$81*12,0))))),IF(AND(NOT(AND(301&gt;$B$173,$B$78="Refinance",ISNUMBER($B$80),$B$80&gt;=0,$B$80&lt;=1,ROUND($B$81*12,0)&gt;=1,$B$81&lt;=100,SUM($B$82)&gt;=0,SUM($B$82)&lt;=1,SUM($B$83)&gt;=0)),OR(301=1,301=$B$174+1,AND($B$175&gt;0,301=$B$175+1))),IF(AND($B$170=1,$B$66&gt;0,OR($B$175=0,301&lt;=$B$175)),$B$66,IF($B$172-MAX(301-1,$B$174)&gt;0,IF(B701=0,0,IF(C701=0,B701/($B$172-MAX(301-1,$B$174)),B701*(C701/12)/(1-(1+C701/12)^(-($B$172-MAX(301-1,$B$174)))))),"")),D700)))+0.0000001&gt;=B701*C701/12,MIN(B701*(1+C701/12),IF(AND(301&lt;=$B$174,301&lt;=$B$173),B701*C701/12,IF(AND(301=$B$173+1,AND(301&gt;$B$173,$B$78="Refinance",ISNUMBER($B$80),$B$80&gt;=0,$B$80&lt;=1,ROUND($B$81*12,0)&gt;=1,$B$81&lt;=100,SUM($B$82)&gt;=0,SUM($B$82)&lt;=1,SUM($B$83)&gt;=0)),IF(B701=0,0,IF(C701=0,B701/ROUND($B$81*12,0),B701*(C701/12)/(1-(1+C701/12)^(-ROUND($B$81*12,0))))),IF(AND(NOT(AND(301&gt;$B$173,$B$78="Refinance",ISNUMBER($B$80),$B$80&gt;=0,$B$80&lt;=1,ROUND($B$81*12,0)&gt;=1,$B$81&lt;=100,SUM($B$82)&gt;=0,SUM($B$82)&lt;=1,SUM($B$83)&gt;=0)),OR(301=1,301=$B$174+1,AND($B$175&gt;0,301=$B$175+1))),IF(AND($B$170=1,$B$66&gt;0,OR($B$175=0,301&lt;=$B$175)),$B$66,IF($B$172-MAX(301-1,$B$174)&gt;0,IF(B701=0,0,IF(C701=0,B701/($B$172-MAX(301-1,$B$174)),B701*(C701/12)/(1-(1+C701/12)^(-($B$172-MAX(301-1,$B$174)))))),"")),D700)))),""),""))</x:f>
        <x:v>4679.450723240598</x:v>
      </x:c>
      <x:c r="E701" s="440" t="n">
        <x:f>IF(AND(301=$B$173,ISNUMBER(D701)),IF(MAX(0,B701*(1+C701/12)-D701)&lt;MAX(0.0000001,$E$17*0.00000000001),0,MAX(0,B701*(1+C701/12)-D701)),0)</x:f>
        <x:v>0</x:v>
      </x:c>
      <x:c r="F701" s="440" t="n">
        <x:f>IF($B$78="Cash payoff",E701,0)</x:f>
        <x:v>0</x:v>
      </x:c>
      <x:c r="G701" s="440" t="n">
        <x:f>IF(AND(E701&gt;0,AND($B$78="Refinance",ISNUMBER($B$80),$B$80&gt;=0,$B$80&lt;=1,ROUND($B$81*12,0)&gt;=1,$B$81&lt;=100,SUM($B$82)&gt;=0,SUM($B$82)&lt;=1,SUM($B$83)&gt;=0)),E701*SUM($B$82)+SUM($B$83),0)</x:f>
        <x:v>0</x:v>
      </x:c>
      <x:c r="H701" s="440" t="n">
        <x:f>IF(ISNUMBER(D701),IF(MAX(0,B701*(1+C701/12)-D701-F701)&lt;MAX(0.0000001,$E$17*0.00000000001),0,MAX(0,B701*(1+C701/12)-D701-F701)),IF(AND($B$171=1,I700=1),B701,""))</x:f>
        <x:v>237171.52227587707</x:v>
      </x:c>
      <x:c r="I701" s="444" t="n">
        <x:f>IF(OR(I700=1,AND(E701&gt;0,$B$78&lt;&gt;"Cash payoff",NOT(AND($B$78="Refinance",ISNUMBER($B$80),$B$80&gt;=0,$B$80&lt;=1,ROUND($B$81*12,0)&gt;=1,$B$81&lt;=100,SUM($B$82)&gt;=0,SUM($B$82)&lt;=1,SUM($B$83)&gt;=0))),AND(ISNUMBER(B701),B701&gt;0,$B$171=1,NOT(ISNUMBER(D701)))),1,0)</x:f>
        <x:v>0</x:v>
      </x:c>
      <x:c r="J701" s="440" t="n">
        <x:f>IF(ISNUMBER(L700),L700,"")</x:f>
        <x:v>0</x:v>
      </x:c>
      <x:c r="K701" s="440" t="n">
        <x:f>IF(AND(ISNUMBER(J701),J701=0),0,IF(AND($B$176=1,ISNUMBER(J701)),MIN(J701*(1+$B$87/12),IF($B$86=0,0,IF($B$87=0,$B$86/ROUND($B$88*12,0),$B$86*($B$87/12)/(1-(1+$B$87/12)^(-ROUND($B$88*12,0)))))),""))</x:f>
        <x:v>0</x:v>
      </x:c>
      <x:c r="L701" s="440" t="n">
        <x:f>IF(ISNUMBER(K701),IF(MAX(0,J701*(1+SUM($B$87)/12)-K701)&lt;MAX(0.0000001,$B$86*0.00000000001),0,MAX(0,J701*(1+SUM($B$87)/12)-K701)),"")</x:f>
        <x:v>0</x:v>
      </x:c>
      <x:c r="M701" s="440" t="n">
        <x:f>IF(AND(ISNUMBER(D701),ISNUMBER(K701)),D701+K701,"")</x:f>
        <x:v>4679.450723240598</x:v>
      </x:c>
      <x:c r="N701" s="440" t="n">
        <x:f>IF(AND(ISNUMBER(H701),ISNUMBER(L701)),H701+L701,"")</x:f>
        <x:v>237171.52227587707</x:v>
      </x:c>
    </x:row>
    <x:row r="702" ht="22" customHeight="1">
      <x:c r="A702" s="254" t="n">
        <x:f>302</x:f>
        <x:v>302</x:v>
      </x:c>
      <x:c r="B702" s="440" t="n">
        <x:f>IF(ISNUMBER(H701),H701,"")</x:f>
        <x:v>237171.52227587707</x:v>
      </x:c>
      <x:c r="C702" s="442" t="n">
        <x:f>IF(ISNUMBER(B702),IF(AND(302&gt;$B$173,$B$78="Refinance",ISNUMBER($B$80),$B$80&gt;=0,$B$80&lt;=1,ROUND($B$81*12,0)&gt;=1,$B$81&lt;=100,SUM($B$82)&gt;=0,SUM($B$82)&lt;=1,SUM($B$83)&gt;=0),$B$80,IF(AND($B$175&gt;0,302&gt;$B$175,ISNUMBER($B$75)),$B$75,$B$61)),"")</x:f>
        <x:v>0.0625</x:v>
      </x:c>
      <x:c r="D702" s="440" t="n">
        <x:f>IF(AND(ISNUMBER(B702),B702=0),0,IF(AND($B$171=1,I701=0,ISNUMBER(C702),ISNUMBER(IF(AND(302&lt;=$B$174,302&lt;=$B$173),B702*C702/12,IF(AND(302=$B$173+1,AND(302&gt;$B$173,$B$78="Refinance",ISNUMBER($B$80),$B$80&gt;=0,$B$80&lt;=1,ROUND($B$81*12,0)&gt;=1,$B$81&lt;=100,SUM($B$82)&gt;=0,SUM($B$82)&lt;=1,SUM($B$83)&gt;=0)),IF(B702=0,0,IF(C702=0,B702/ROUND($B$81*12,0),B702*(C702/12)/(1-(1+C702/12)^(-ROUND($B$81*12,0))))),IF(AND(NOT(AND(302&gt;$B$173,$B$78="Refinance",ISNUMBER($B$80),$B$80&gt;=0,$B$80&lt;=1,ROUND($B$81*12,0)&gt;=1,$B$81&lt;=100,SUM($B$82)&gt;=0,SUM($B$82)&lt;=1,SUM($B$83)&gt;=0)),OR(302=1,302=$B$174+1,AND($B$175&gt;0,302=$B$175+1))),IF(AND($B$170=1,$B$66&gt;0,OR($B$175=0,302&lt;=$B$175)),$B$66,IF($B$172-MAX(302-1,$B$174)&gt;0,IF(B702=0,0,IF(C702=0,B702/($B$172-MAX(302-1,$B$174)),B702*(C702/12)/(1-(1+C702/12)^(-($B$172-MAX(302-1,$B$174)))))),"")),D701))))),IF(IF(AND(302&lt;=$B$174,302&lt;=$B$173),B702*C702/12,IF(AND(302=$B$173+1,AND(302&gt;$B$173,$B$78="Refinance",ISNUMBER($B$80),$B$80&gt;=0,$B$80&lt;=1,ROUND($B$81*12,0)&gt;=1,$B$81&lt;=100,SUM($B$82)&gt;=0,SUM($B$82)&lt;=1,SUM($B$83)&gt;=0)),IF(B702=0,0,IF(C702=0,B702/ROUND($B$81*12,0),B702*(C702/12)/(1-(1+C702/12)^(-ROUND($B$81*12,0))))),IF(AND(NOT(AND(302&gt;$B$173,$B$78="Refinance",ISNUMBER($B$80),$B$80&gt;=0,$B$80&lt;=1,ROUND($B$81*12,0)&gt;=1,$B$81&lt;=100,SUM($B$82)&gt;=0,SUM($B$82)&lt;=1,SUM($B$83)&gt;=0)),OR(302=1,302=$B$174+1,AND($B$175&gt;0,302=$B$175+1))),IF(AND($B$170=1,$B$66&gt;0,OR($B$175=0,302&lt;=$B$175)),$B$66,IF($B$172-MAX(302-1,$B$174)&gt;0,IF(B702=0,0,IF(C702=0,B702/($B$172-MAX(302-1,$B$174)),B702*(C702/12)/(1-(1+C702/12)^(-($B$172-MAX(302-1,$B$174)))))),"")),D701)))+0.0000001&gt;=B702*C702/12,MIN(B702*(1+C702/12),IF(AND(302&lt;=$B$174,302&lt;=$B$173),B702*C702/12,IF(AND(302=$B$173+1,AND(302&gt;$B$173,$B$78="Refinance",ISNUMBER($B$80),$B$80&gt;=0,$B$80&lt;=1,ROUND($B$81*12,0)&gt;=1,$B$81&lt;=100,SUM($B$82)&gt;=0,SUM($B$82)&lt;=1,SUM($B$83)&gt;=0)),IF(B702=0,0,IF(C702=0,B702/ROUND($B$81*12,0),B702*(C702/12)/(1-(1+C702/12)^(-ROUND($B$81*12,0))))),IF(AND(NOT(AND(302&gt;$B$173,$B$78="Refinance",ISNUMBER($B$80),$B$80&gt;=0,$B$80&lt;=1,ROUND($B$81*12,0)&gt;=1,$B$81&lt;=100,SUM($B$82)&gt;=0,SUM($B$82)&lt;=1,SUM($B$83)&gt;=0)),OR(302=1,302=$B$174+1,AND($B$175&gt;0,302=$B$175+1))),IF(AND($B$170=1,$B$66&gt;0,OR($B$175=0,302&lt;=$B$175)),$B$66,IF($B$172-MAX(302-1,$B$174)&gt;0,IF(B702=0,0,IF(C702=0,B702/($B$172-MAX(302-1,$B$174)),B702*(C702/12)/(1-(1+C702/12)^(-($B$172-MAX(302-1,$B$174)))))),"")),D701)))),""),""))</x:f>
        <x:v>4679.450723240598</x:v>
      </x:c>
      <x:c r="E702" s="440" t="n">
        <x:f>IF(AND(302=$B$173,ISNUMBER(D702)),IF(MAX(0,B702*(1+C702/12)-D702)&lt;MAX(0.0000001,$E$17*0.00000000001),0,MAX(0,B702*(1+C702/12)-D702)),0)</x:f>
        <x:v>0</x:v>
      </x:c>
      <x:c r="F702" s="440" t="n">
        <x:f>IF($B$78="Cash payoff",E702,0)</x:f>
        <x:v>0</x:v>
      </x:c>
      <x:c r="G702" s="440" t="n">
        <x:f>IF(AND(E702&gt;0,AND($B$78="Refinance",ISNUMBER($B$80),$B$80&gt;=0,$B$80&lt;=1,ROUND($B$81*12,0)&gt;=1,$B$81&lt;=100,SUM($B$82)&gt;=0,SUM($B$82)&lt;=1,SUM($B$83)&gt;=0)),E702*SUM($B$82)+SUM($B$83),0)</x:f>
        <x:v>0</x:v>
      </x:c>
      <x:c r="H702" s="440" t="n">
        <x:f>IF(ISNUMBER(D702),IF(MAX(0,B702*(1+C702/12)-D702-F702)&lt;MAX(0.0000001,$E$17*0.00000000001),0,MAX(0,B702*(1+C702/12)-D702-F702)),IF(AND($B$171=1,I701=1),B702,""))</x:f>
        <x:v>233727.33989782332</x:v>
      </x:c>
      <x:c r="I702" s="444" t="n">
        <x:f>IF(OR(I701=1,AND(E702&gt;0,$B$78&lt;&gt;"Cash payoff",NOT(AND($B$78="Refinance",ISNUMBER($B$80),$B$80&gt;=0,$B$80&lt;=1,ROUND($B$81*12,0)&gt;=1,$B$81&lt;=100,SUM($B$82)&gt;=0,SUM($B$82)&lt;=1,SUM($B$83)&gt;=0))),AND(ISNUMBER(B702),B702&gt;0,$B$171=1,NOT(ISNUMBER(D702)))),1,0)</x:f>
        <x:v>0</x:v>
      </x:c>
      <x:c r="J702" s="440" t="n">
        <x:f>IF(ISNUMBER(L701),L701,"")</x:f>
        <x:v>0</x:v>
      </x:c>
      <x:c r="K702" s="440" t="n">
        <x:f>IF(AND(ISNUMBER(J702),J702=0),0,IF(AND($B$176=1,ISNUMBER(J702)),MIN(J702*(1+$B$87/12),IF($B$86=0,0,IF($B$87=0,$B$86/ROUND($B$88*12,0),$B$86*($B$87/12)/(1-(1+$B$87/12)^(-ROUND($B$88*12,0)))))),""))</x:f>
        <x:v>0</x:v>
      </x:c>
      <x:c r="L702" s="440" t="n">
        <x:f>IF(ISNUMBER(K702),IF(MAX(0,J702*(1+SUM($B$87)/12)-K702)&lt;MAX(0.0000001,$B$86*0.00000000001),0,MAX(0,J702*(1+SUM($B$87)/12)-K702)),"")</x:f>
        <x:v>0</x:v>
      </x:c>
      <x:c r="M702" s="440" t="n">
        <x:f>IF(AND(ISNUMBER(D702),ISNUMBER(K702)),D702+K702,"")</x:f>
        <x:v>4679.450723240598</x:v>
      </x:c>
      <x:c r="N702" s="440" t="n">
        <x:f>IF(AND(ISNUMBER(H702),ISNUMBER(L702)),H702+L702,"")</x:f>
        <x:v>233727.33989782332</x:v>
      </x:c>
    </x:row>
    <x:row r="703" ht="22" customHeight="1">
      <x:c r="A703" s="254" t="n">
        <x:f>303</x:f>
        <x:v>303</x:v>
      </x:c>
      <x:c r="B703" s="440" t="n">
        <x:f>IF(ISNUMBER(H702),H702,"")</x:f>
        <x:v>233727.33989782332</x:v>
      </x:c>
      <x:c r="C703" s="442" t="n">
        <x:f>IF(ISNUMBER(B703),IF(AND(303&gt;$B$173,$B$78="Refinance",ISNUMBER($B$80),$B$80&gt;=0,$B$80&lt;=1,ROUND($B$81*12,0)&gt;=1,$B$81&lt;=100,SUM($B$82)&gt;=0,SUM($B$82)&lt;=1,SUM($B$83)&gt;=0),$B$80,IF(AND($B$175&gt;0,303&gt;$B$175,ISNUMBER($B$75)),$B$75,$B$61)),"")</x:f>
        <x:v>0.0625</x:v>
      </x:c>
      <x:c r="D703" s="440" t="n">
        <x:f>IF(AND(ISNUMBER(B703),B703=0),0,IF(AND($B$171=1,I702=0,ISNUMBER(C703),ISNUMBER(IF(AND(303&lt;=$B$174,303&lt;=$B$173),B703*C703/12,IF(AND(303=$B$173+1,AND(303&gt;$B$173,$B$78="Refinance",ISNUMBER($B$80),$B$80&gt;=0,$B$80&lt;=1,ROUND($B$81*12,0)&gt;=1,$B$81&lt;=100,SUM($B$82)&gt;=0,SUM($B$82)&lt;=1,SUM($B$83)&gt;=0)),IF(B703=0,0,IF(C703=0,B703/ROUND($B$81*12,0),B703*(C703/12)/(1-(1+C703/12)^(-ROUND($B$81*12,0))))),IF(AND(NOT(AND(303&gt;$B$173,$B$78="Refinance",ISNUMBER($B$80),$B$80&gt;=0,$B$80&lt;=1,ROUND($B$81*12,0)&gt;=1,$B$81&lt;=100,SUM($B$82)&gt;=0,SUM($B$82)&lt;=1,SUM($B$83)&gt;=0)),OR(303=1,303=$B$174+1,AND($B$175&gt;0,303=$B$175+1))),IF(AND($B$170=1,$B$66&gt;0,OR($B$175=0,303&lt;=$B$175)),$B$66,IF($B$172-MAX(303-1,$B$174)&gt;0,IF(B703=0,0,IF(C703=0,B703/($B$172-MAX(303-1,$B$174)),B703*(C703/12)/(1-(1+C703/12)^(-($B$172-MAX(303-1,$B$174)))))),"")),D702))))),IF(IF(AND(303&lt;=$B$174,303&lt;=$B$173),B703*C703/12,IF(AND(303=$B$173+1,AND(303&gt;$B$173,$B$78="Refinance",ISNUMBER($B$80),$B$80&gt;=0,$B$80&lt;=1,ROUND($B$81*12,0)&gt;=1,$B$81&lt;=100,SUM($B$82)&gt;=0,SUM($B$82)&lt;=1,SUM($B$83)&gt;=0)),IF(B703=0,0,IF(C703=0,B703/ROUND($B$81*12,0),B703*(C703/12)/(1-(1+C703/12)^(-ROUND($B$81*12,0))))),IF(AND(NOT(AND(303&gt;$B$173,$B$78="Refinance",ISNUMBER($B$80),$B$80&gt;=0,$B$80&lt;=1,ROUND($B$81*12,0)&gt;=1,$B$81&lt;=100,SUM($B$82)&gt;=0,SUM($B$82)&lt;=1,SUM($B$83)&gt;=0)),OR(303=1,303=$B$174+1,AND($B$175&gt;0,303=$B$175+1))),IF(AND($B$170=1,$B$66&gt;0,OR($B$175=0,303&lt;=$B$175)),$B$66,IF($B$172-MAX(303-1,$B$174)&gt;0,IF(B703=0,0,IF(C703=0,B703/($B$172-MAX(303-1,$B$174)),B703*(C703/12)/(1-(1+C703/12)^(-($B$172-MAX(303-1,$B$174)))))),"")),D702)))+0.0000001&gt;=B703*C703/12,MIN(B703*(1+C703/12),IF(AND(303&lt;=$B$174,303&lt;=$B$173),B703*C703/12,IF(AND(303=$B$173+1,AND(303&gt;$B$173,$B$78="Refinance",ISNUMBER($B$80),$B$80&gt;=0,$B$80&lt;=1,ROUND($B$81*12,0)&gt;=1,$B$81&lt;=100,SUM($B$82)&gt;=0,SUM($B$82)&lt;=1,SUM($B$83)&gt;=0)),IF(B703=0,0,IF(C703=0,B703/ROUND($B$81*12,0),B703*(C703/12)/(1-(1+C703/12)^(-ROUND($B$81*12,0))))),IF(AND(NOT(AND(303&gt;$B$173,$B$78="Refinance",ISNUMBER($B$80),$B$80&gt;=0,$B$80&lt;=1,ROUND($B$81*12,0)&gt;=1,$B$81&lt;=100,SUM($B$82)&gt;=0,SUM($B$82)&lt;=1,SUM($B$83)&gt;=0)),OR(303=1,303=$B$174+1,AND($B$175&gt;0,303=$B$175+1))),IF(AND($B$170=1,$B$66&gt;0,OR($B$175=0,303&lt;=$B$175)),$B$66,IF($B$172-MAX(303-1,$B$174)&gt;0,IF(B703=0,0,IF(C703=0,B703/($B$172-MAX(303-1,$B$174)),B703*(C703/12)/(1-(1+C703/12)^(-($B$172-MAX(303-1,$B$174)))))),"")),D702)))),""),""))</x:f>
        <x:v>4679.450723240598</x:v>
      </x:c>
      <x:c r="E703" s="440" t="n">
        <x:f>IF(AND(303=$B$173,ISNUMBER(D703)),IF(MAX(0,B703*(1+C703/12)-D703)&lt;MAX(0.0000001,$E$17*0.00000000001),0,MAX(0,B703*(1+C703/12)-D703)),0)</x:f>
        <x:v>0</x:v>
      </x:c>
      <x:c r="F703" s="440" t="n">
        <x:f>IF($B$78="Cash payoff",E703,0)</x:f>
        <x:v>0</x:v>
      </x:c>
      <x:c r="G703" s="440" t="n">
        <x:f>IF(AND(E703&gt;0,AND($B$78="Refinance",ISNUMBER($B$80),$B$80&gt;=0,$B$80&lt;=1,ROUND($B$81*12,0)&gt;=1,$B$81&lt;=100,SUM($B$82)&gt;=0,SUM($B$82)&lt;=1,SUM($B$83)&gt;=0)),E703*SUM($B$82)+SUM($B$83),0)</x:f>
        <x:v>0</x:v>
      </x:c>
      <x:c r="H703" s="440" t="n">
        <x:f>IF(ISNUMBER(D703),IF(MAX(0,B703*(1+C703/12)-D703-F703)&lt;MAX(0.0000001,$E$17*0.00000000001),0,MAX(0,B703*(1+C703/12)-D703-F703)),IF(AND($B$171=1,I702=1),B703,""))</x:f>
        <x:v>230265.21906988387</x:v>
      </x:c>
      <x:c r="I703" s="444" t="n">
        <x:f>IF(OR(I702=1,AND(E703&gt;0,$B$78&lt;&gt;"Cash payoff",NOT(AND($B$78="Refinance",ISNUMBER($B$80),$B$80&gt;=0,$B$80&lt;=1,ROUND($B$81*12,0)&gt;=1,$B$81&lt;=100,SUM($B$82)&gt;=0,SUM($B$82)&lt;=1,SUM($B$83)&gt;=0))),AND(ISNUMBER(B703),B703&gt;0,$B$171=1,NOT(ISNUMBER(D703)))),1,0)</x:f>
        <x:v>0</x:v>
      </x:c>
      <x:c r="J703" s="440" t="n">
        <x:f>IF(ISNUMBER(L702),L702,"")</x:f>
        <x:v>0</x:v>
      </x:c>
      <x:c r="K703" s="440" t="n">
        <x:f>IF(AND(ISNUMBER(J703),J703=0),0,IF(AND($B$176=1,ISNUMBER(J703)),MIN(J703*(1+$B$87/12),IF($B$86=0,0,IF($B$87=0,$B$86/ROUND($B$88*12,0),$B$86*($B$87/12)/(1-(1+$B$87/12)^(-ROUND($B$88*12,0)))))),""))</x:f>
        <x:v>0</x:v>
      </x:c>
      <x:c r="L703" s="440" t="n">
        <x:f>IF(ISNUMBER(K703),IF(MAX(0,J703*(1+SUM($B$87)/12)-K703)&lt;MAX(0.0000001,$B$86*0.00000000001),0,MAX(0,J703*(1+SUM($B$87)/12)-K703)),"")</x:f>
        <x:v>0</x:v>
      </x:c>
      <x:c r="M703" s="440" t="n">
        <x:f>IF(AND(ISNUMBER(D703),ISNUMBER(K703)),D703+K703,"")</x:f>
        <x:v>4679.450723240598</x:v>
      </x:c>
      <x:c r="N703" s="440" t="n">
        <x:f>IF(AND(ISNUMBER(H703),ISNUMBER(L703)),H703+L703,"")</x:f>
        <x:v>230265.21906988387</x:v>
      </x:c>
    </x:row>
    <x:row r="704" ht="22" customHeight="1">
      <x:c r="A704" s="254" t="n">
        <x:f>304</x:f>
        <x:v>304</x:v>
      </x:c>
      <x:c r="B704" s="440" t="n">
        <x:f>IF(ISNUMBER(H703),H703,"")</x:f>
        <x:v>230265.21906988387</x:v>
      </x:c>
      <x:c r="C704" s="442" t="n">
        <x:f>IF(ISNUMBER(B704),IF(AND(304&gt;$B$173,$B$78="Refinance",ISNUMBER($B$80),$B$80&gt;=0,$B$80&lt;=1,ROUND($B$81*12,0)&gt;=1,$B$81&lt;=100,SUM($B$82)&gt;=0,SUM($B$82)&lt;=1,SUM($B$83)&gt;=0),$B$80,IF(AND($B$175&gt;0,304&gt;$B$175,ISNUMBER($B$75)),$B$75,$B$61)),"")</x:f>
        <x:v>0.0625</x:v>
      </x:c>
      <x:c r="D704" s="440" t="n">
        <x:f>IF(AND(ISNUMBER(B704),B704=0),0,IF(AND($B$171=1,I703=0,ISNUMBER(C704),ISNUMBER(IF(AND(304&lt;=$B$174,304&lt;=$B$173),B704*C704/12,IF(AND(304=$B$173+1,AND(304&gt;$B$173,$B$78="Refinance",ISNUMBER($B$80),$B$80&gt;=0,$B$80&lt;=1,ROUND($B$81*12,0)&gt;=1,$B$81&lt;=100,SUM($B$82)&gt;=0,SUM($B$82)&lt;=1,SUM($B$83)&gt;=0)),IF(B704=0,0,IF(C704=0,B704/ROUND($B$81*12,0),B704*(C704/12)/(1-(1+C704/12)^(-ROUND($B$81*12,0))))),IF(AND(NOT(AND(304&gt;$B$173,$B$78="Refinance",ISNUMBER($B$80),$B$80&gt;=0,$B$80&lt;=1,ROUND($B$81*12,0)&gt;=1,$B$81&lt;=100,SUM($B$82)&gt;=0,SUM($B$82)&lt;=1,SUM($B$83)&gt;=0)),OR(304=1,304=$B$174+1,AND($B$175&gt;0,304=$B$175+1))),IF(AND($B$170=1,$B$66&gt;0,OR($B$175=0,304&lt;=$B$175)),$B$66,IF($B$172-MAX(304-1,$B$174)&gt;0,IF(B704=0,0,IF(C704=0,B704/($B$172-MAX(304-1,$B$174)),B704*(C704/12)/(1-(1+C704/12)^(-($B$172-MAX(304-1,$B$174)))))),"")),D703))))),IF(IF(AND(304&lt;=$B$174,304&lt;=$B$173),B704*C704/12,IF(AND(304=$B$173+1,AND(304&gt;$B$173,$B$78="Refinance",ISNUMBER($B$80),$B$80&gt;=0,$B$80&lt;=1,ROUND($B$81*12,0)&gt;=1,$B$81&lt;=100,SUM($B$82)&gt;=0,SUM($B$82)&lt;=1,SUM($B$83)&gt;=0)),IF(B704=0,0,IF(C704=0,B704/ROUND($B$81*12,0),B704*(C704/12)/(1-(1+C704/12)^(-ROUND($B$81*12,0))))),IF(AND(NOT(AND(304&gt;$B$173,$B$78="Refinance",ISNUMBER($B$80),$B$80&gt;=0,$B$80&lt;=1,ROUND($B$81*12,0)&gt;=1,$B$81&lt;=100,SUM($B$82)&gt;=0,SUM($B$82)&lt;=1,SUM($B$83)&gt;=0)),OR(304=1,304=$B$174+1,AND($B$175&gt;0,304=$B$175+1))),IF(AND($B$170=1,$B$66&gt;0,OR($B$175=0,304&lt;=$B$175)),$B$66,IF($B$172-MAX(304-1,$B$174)&gt;0,IF(B704=0,0,IF(C704=0,B704/($B$172-MAX(304-1,$B$174)),B704*(C704/12)/(1-(1+C704/12)^(-($B$172-MAX(304-1,$B$174)))))),"")),D703)))+0.0000001&gt;=B704*C704/12,MIN(B704*(1+C704/12),IF(AND(304&lt;=$B$174,304&lt;=$B$173),B704*C704/12,IF(AND(304=$B$173+1,AND(304&gt;$B$173,$B$78="Refinance",ISNUMBER($B$80),$B$80&gt;=0,$B$80&lt;=1,ROUND($B$81*12,0)&gt;=1,$B$81&lt;=100,SUM($B$82)&gt;=0,SUM($B$82)&lt;=1,SUM($B$83)&gt;=0)),IF(B704=0,0,IF(C704=0,B704/ROUND($B$81*12,0),B704*(C704/12)/(1-(1+C704/12)^(-ROUND($B$81*12,0))))),IF(AND(NOT(AND(304&gt;$B$173,$B$78="Refinance",ISNUMBER($B$80),$B$80&gt;=0,$B$80&lt;=1,ROUND($B$81*12,0)&gt;=1,$B$81&lt;=100,SUM($B$82)&gt;=0,SUM($B$82)&lt;=1,SUM($B$83)&gt;=0)),OR(304=1,304=$B$174+1,AND($B$175&gt;0,304=$B$175+1))),IF(AND($B$170=1,$B$66&gt;0,OR($B$175=0,304&lt;=$B$175)),$B$66,IF($B$172-MAX(304-1,$B$174)&gt;0,IF(B704=0,0,IF(C704=0,B704/($B$172-MAX(304-1,$B$174)),B704*(C704/12)/(1-(1+C704/12)^(-($B$172-MAX(304-1,$B$174)))))),"")),D703)))),""),""))</x:f>
        <x:v>4679.450723240598</x:v>
      </x:c>
      <x:c r="E704" s="440" t="n">
        <x:f>IF(AND(304=$B$173,ISNUMBER(D704)),IF(MAX(0,B704*(1+C704/12)-D704)&lt;MAX(0.0000001,$E$17*0.00000000001),0,MAX(0,B704*(1+C704/12)-D704)),0)</x:f>
        <x:v>0</x:v>
      </x:c>
      <x:c r="F704" s="440" t="n">
        <x:f>IF($B$78="Cash payoff",E704,0)</x:f>
        <x:v>0</x:v>
      </x:c>
      <x:c r="G704" s="440" t="n">
        <x:f>IF(AND(E704&gt;0,AND($B$78="Refinance",ISNUMBER($B$80),$B$80&gt;=0,$B$80&lt;=1,ROUND($B$81*12,0)&gt;=1,$B$81&lt;=100,SUM($B$82)&gt;=0,SUM($B$82)&lt;=1,SUM($B$83)&gt;=0)),E704*SUM($B$82)+SUM($B$83),0)</x:f>
        <x:v>0</x:v>
      </x:c>
      <x:c r="H704" s="440" t="n">
        <x:f>IF(ISNUMBER(D704),IF(MAX(0,B704*(1+C704/12)-D704-F704)&lt;MAX(0.0000001,$E$17*0.00000000001),0,MAX(0,B704*(1+C704/12)-D704-F704)),IF(AND($B$171=1,I703=1),B704,""))</x:f>
        <x:v>226785.06636263223</x:v>
      </x:c>
      <x:c r="I704" s="444" t="n">
        <x:f>IF(OR(I703=1,AND(E704&gt;0,$B$78&lt;&gt;"Cash payoff",NOT(AND($B$78="Refinance",ISNUMBER($B$80),$B$80&gt;=0,$B$80&lt;=1,ROUND($B$81*12,0)&gt;=1,$B$81&lt;=100,SUM($B$82)&gt;=0,SUM($B$82)&lt;=1,SUM($B$83)&gt;=0))),AND(ISNUMBER(B704),B704&gt;0,$B$171=1,NOT(ISNUMBER(D704)))),1,0)</x:f>
        <x:v>0</x:v>
      </x:c>
      <x:c r="J704" s="440" t="n">
        <x:f>IF(ISNUMBER(L703),L703,"")</x:f>
        <x:v>0</x:v>
      </x:c>
      <x:c r="K704" s="440" t="n">
        <x:f>IF(AND(ISNUMBER(J704),J704=0),0,IF(AND($B$176=1,ISNUMBER(J704)),MIN(J704*(1+$B$87/12),IF($B$86=0,0,IF($B$87=0,$B$86/ROUND($B$88*12,0),$B$86*($B$87/12)/(1-(1+$B$87/12)^(-ROUND($B$88*12,0)))))),""))</x:f>
        <x:v>0</x:v>
      </x:c>
      <x:c r="L704" s="440" t="n">
        <x:f>IF(ISNUMBER(K704),IF(MAX(0,J704*(1+SUM($B$87)/12)-K704)&lt;MAX(0.0000001,$B$86*0.00000000001),0,MAX(0,J704*(1+SUM($B$87)/12)-K704)),"")</x:f>
        <x:v>0</x:v>
      </x:c>
      <x:c r="M704" s="440" t="n">
        <x:f>IF(AND(ISNUMBER(D704),ISNUMBER(K704)),D704+K704,"")</x:f>
        <x:v>4679.450723240598</x:v>
      </x:c>
      <x:c r="N704" s="440" t="n">
        <x:f>IF(AND(ISNUMBER(H704),ISNUMBER(L704)),H704+L704,"")</x:f>
        <x:v>226785.06636263223</x:v>
      </x:c>
    </x:row>
    <x:row r="705" ht="22" customHeight="1">
      <x:c r="A705" s="254" t="n">
        <x:f>305</x:f>
        <x:v>305</x:v>
      </x:c>
      <x:c r="B705" s="440" t="n">
        <x:f>IF(ISNUMBER(H704),H704,"")</x:f>
        <x:v>226785.06636263223</x:v>
      </x:c>
      <x:c r="C705" s="442" t="n">
        <x:f>IF(ISNUMBER(B705),IF(AND(305&gt;$B$173,$B$78="Refinance",ISNUMBER($B$80),$B$80&gt;=0,$B$80&lt;=1,ROUND($B$81*12,0)&gt;=1,$B$81&lt;=100,SUM($B$82)&gt;=0,SUM($B$82)&lt;=1,SUM($B$83)&gt;=0),$B$80,IF(AND($B$175&gt;0,305&gt;$B$175,ISNUMBER($B$75)),$B$75,$B$61)),"")</x:f>
        <x:v>0.0625</x:v>
      </x:c>
      <x:c r="D705" s="440" t="n">
        <x:f>IF(AND(ISNUMBER(B705),B705=0),0,IF(AND($B$171=1,I704=0,ISNUMBER(C705),ISNUMBER(IF(AND(305&lt;=$B$174,305&lt;=$B$173),B705*C705/12,IF(AND(305=$B$173+1,AND(305&gt;$B$173,$B$78="Refinance",ISNUMBER($B$80),$B$80&gt;=0,$B$80&lt;=1,ROUND($B$81*12,0)&gt;=1,$B$81&lt;=100,SUM($B$82)&gt;=0,SUM($B$82)&lt;=1,SUM($B$83)&gt;=0)),IF(B705=0,0,IF(C705=0,B705/ROUND($B$81*12,0),B705*(C705/12)/(1-(1+C705/12)^(-ROUND($B$81*12,0))))),IF(AND(NOT(AND(305&gt;$B$173,$B$78="Refinance",ISNUMBER($B$80),$B$80&gt;=0,$B$80&lt;=1,ROUND($B$81*12,0)&gt;=1,$B$81&lt;=100,SUM($B$82)&gt;=0,SUM($B$82)&lt;=1,SUM($B$83)&gt;=0)),OR(305=1,305=$B$174+1,AND($B$175&gt;0,305=$B$175+1))),IF(AND($B$170=1,$B$66&gt;0,OR($B$175=0,305&lt;=$B$175)),$B$66,IF($B$172-MAX(305-1,$B$174)&gt;0,IF(B705=0,0,IF(C705=0,B705/($B$172-MAX(305-1,$B$174)),B705*(C705/12)/(1-(1+C705/12)^(-($B$172-MAX(305-1,$B$174)))))),"")),D704))))),IF(IF(AND(305&lt;=$B$174,305&lt;=$B$173),B705*C705/12,IF(AND(305=$B$173+1,AND(305&gt;$B$173,$B$78="Refinance",ISNUMBER($B$80),$B$80&gt;=0,$B$80&lt;=1,ROUND($B$81*12,0)&gt;=1,$B$81&lt;=100,SUM($B$82)&gt;=0,SUM($B$82)&lt;=1,SUM($B$83)&gt;=0)),IF(B705=0,0,IF(C705=0,B705/ROUND($B$81*12,0),B705*(C705/12)/(1-(1+C705/12)^(-ROUND($B$81*12,0))))),IF(AND(NOT(AND(305&gt;$B$173,$B$78="Refinance",ISNUMBER($B$80),$B$80&gt;=0,$B$80&lt;=1,ROUND($B$81*12,0)&gt;=1,$B$81&lt;=100,SUM($B$82)&gt;=0,SUM($B$82)&lt;=1,SUM($B$83)&gt;=0)),OR(305=1,305=$B$174+1,AND($B$175&gt;0,305=$B$175+1))),IF(AND($B$170=1,$B$66&gt;0,OR($B$175=0,305&lt;=$B$175)),$B$66,IF($B$172-MAX(305-1,$B$174)&gt;0,IF(B705=0,0,IF(C705=0,B705/($B$172-MAX(305-1,$B$174)),B705*(C705/12)/(1-(1+C705/12)^(-($B$172-MAX(305-1,$B$174)))))),"")),D704)))+0.0000001&gt;=B705*C705/12,MIN(B705*(1+C705/12),IF(AND(305&lt;=$B$174,305&lt;=$B$173),B705*C705/12,IF(AND(305=$B$173+1,AND(305&gt;$B$173,$B$78="Refinance",ISNUMBER($B$80),$B$80&gt;=0,$B$80&lt;=1,ROUND($B$81*12,0)&gt;=1,$B$81&lt;=100,SUM($B$82)&gt;=0,SUM($B$82)&lt;=1,SUM($B$83)&gt;=0)),IF(B705=0,0,IF(C705=0,B705/ROUND($B$81*12,0),B705*(C705/12)/(1-(1+C705/12)^(-ROUND($B$81*12,0))))),IF(AND(NOT(AND(305&gt;$B$173,$B$78="Refinance",ISNUMBER($B$80),$B$80&gt;=0,$B$80&lt;=1,ROUND($B$81*12,0)&gt;=1,$B$81&lt;=100,SUM($B$82)&gt;=0,SUM($B$82)&lt;=1,SUM($B$83)&gt;=0)),OR(305=1,305=$B$174+1,AND($B$175&gt;0,305=$B$175+1))),IF(AND($B$170=1,$B$66&gt;0,OR($B$175=0,305&lt;=$B$175)),$B$66,IF($B$172-MAX(305-1,$B$174)&gt;0,IF(B705=0,0,IF(C705=0,B705/($B$172-MAX(305-1,$B$174)),B705*(C705/12)/(1-(1+C705/12)^(-($B$172-MAX(305-1,$B$174)))))),"")),D704)))),""),""))</x:f>
        <x:v>4679.450723240598</x:v>
      </x:c>
      <x:c r="E705" s="440" t="n">
        <x:f>IF(AND(305=$B$173,ISNUMBER(D705)),IF(MAX(0,B705*(1+C705/12)-D705)&lt;MAX(0.0000001,$E$17*0.00000000001),0,MAX(0,B705*(1+C705/12)-D705)),0)</x:f>
        <x:v>0</x:v>
      </x:c>
      <x:c r="F705" s="440" t="n">
        <x:f>IF($B$78="Cash payoff",E705,0)</x:f>
        <x:v>0</x:v>
      </x:c>
      <x:c r="G705" s="440" t="n">
        <x:f>IF(AND(E705&gt;0,AND($B$78="Refinance",ISNUMBER($B$80),$B$80&gt;=0,$B$80&lt;=1,ROUND($B$81*12,0)&gt;=1,$B$81&lt;=100,SUM($B$82)&gt;=0,SUM($B$82)&lt;=1,SUM($B$83)&gt;=0)),E705*SUM($B$82)+SUM($B$83),0)</x:f>
        <x:v>0</x:v>
      </x:c>
      <x:c r="H705" s="440" t="n">
        <x:f>IF(ISNUMBER(D705),IF(MAX(0,B705*(1+C705/12)-D705-F705)&lt;MAX(0.0000001,$E$17*0.00000000001),0,MAX(0,B705*(1+C705/12)-D705-F705)),IF(AND($B$171=1,I704=1),B705,""))</x:f>
        <x:v>223286.78786003034</x:v>
      </x:c>
      <x:c r="I705" s="444" t="n">
        <x:f>IF(OR(I704=1,AND(E705&gt;0,$B$78&lt;&gt;"Cash payoff",NOT(AND($B$78="Refinance",ISNUMBER($B$80),$B$80&gt;=0,$B$80&lt;=1,ROUND($B$81*12,0)&gt;=1,$B$81&lt;=100,SUM($B$82)&gt;=0,SUM($B$82)&lt;=1,SUM($B$83)&gt;=0))),AND(ISNUMBER(B705),B705&gt;0,$B$171=1,NOT(ISNUMBER(D705)))),1,0)</x:f>
        <x:v>0</x:v>
      </x:c>
      <x:c r="J705" s="440" t="n">
        <x:f>IF(ISNUMBER(L704),L704,"")</x:f>
        <x:v>0</x:v>
      </x:c>
      <x:c r="K705" s="440" t="n">
        <x:f>IF(AND(ISNUMBER(J705),J705=0),0,IF(AND($B$176=1,ISNUMBER(J705)),MIN(J705*(1+$B$87/12),IF($B$86=0,0,IF($B$87=0,$B$86/ROUND($B$88*12,0),$B$86*($B$87/12)/(1-(1+$B$87/12)^(-ROUND($B$88*12,0)))))),""))</x:f>
        <x:v>0</x:v>
      </x:c>
      <x:c r="L705" s="440" t="n">
        <x:f>IF(ISNUMBER(K705),IF(MAX(0,J705*(1+SUM($B$87)/12)-K705)&lt;MAX(0.0000001,$B$86*0.00000000001),0,MAX(0,J705*(1+SUM($B$87)/12)-K705)),"")</x:f>
        <x:v>0</x:v>
      </x:c>
      <x:c r="M705" s="440" t="n">
        <x:f>IF(AND(ISNUMBER(D705),ISNUMBER(K705)),D705+K705,"")</x:f>
        <x:v>4679.450723240598</x:v>
      </x:c>
      <x:c r="N705" s="440" t="n">
        <x:f>IF(AND(ISNUMBER(H705),ISNUMBER(L705)),H705+L705,"")</x:f>
        <x:v>223286.78786003034</x:v>
      </x:c>
    </x:row>
    <x:row r="706" ht="22" customHeight="1">
      <x:c r="A706" s="254" t="n">
        <x:f>306</x:f>
        <x:v>306</x:v>
      </x:c>
      <x:c r="B706" s="440" t="n">
        <x:f>IF(ISNUMBER(H705),H705,"")</x:f>
        <x:v>223286.78786003034</x:v>
      </x:c>
      <x:c r="C706" s="442" t="n">
        <x:f>IF(ISNUMBER(B706),IF(AND(306&gt;$B$173,$B$78="Refinance",ISNUMBER($B$80),$B$80&gt;=0,$B$80&lt;=1,ROUND($B$81*12,0)&gt;=1,$B$81&lt;=100,SUM($B$82)&gt;=0,SUM($B$82)&lt;=1,SUM($B$83)&gt;=0),$B$80,IF(AND($B$175&gt;0,306&gt;$B$175,ISNUMBER($B$75)),$B$75,$B$61)),"")</x:f>
        <x:v>0.0625</x:v>
      </x:c>
      <x:c r="D706" s="440" t="n">
        <x:f>IF(AND(ISNUMBER(B706),B706=0),0,IF(AND($B$171=1,I705=0,ISNUMBER(C706),ISNUMBER(IF(AND(306&lt;=$B$174,306&lt;=$B$173),B706*C706/12,IF(AND(306=$B$173+1,AND(306&gt;$B$173,$B$78="Refinance",ISNUMBER($B$80),$B$80&gt;=0,$B$80&lt;=1,ROUND($B$81*12,0)&gt;=1,$B$81&lt;=100,SUM($B$82)&gt;=0,SUM($B$82)&lt;=1,SUM($B$83)&gt;=0)),IF(B706=0,0,IF(C706=0,B706/ROUND($B$81*12,0),B706*(C706/12)/(1-(1+C706/12)^(-ROUND($B$81*12,0))))),IF(AND(NOT(AND(306&gt;$B$173,$B$78="Refinance",ISNUMBER($B$80),$B$80&gt;=0,$B$80&lt;=1,ROUND($B$81*12,0)&gt;=1,$B$81&lt;=100,SUM($B$82)&gt;=0,SUM($B$82)&lt;=1,SUM($B$83)&gt;=0)),OR(306=1,306=$B$174+1,AND($B$175&gt;0,306=$B$175+1))),IF(AND($B$170=1,$B$66&gt;0,OR($B$175=0,306&lt;=$B$175)),$B$66,IF($B$172-MAX(306-1,$B$174)&gt;0,IF(B706=0,0,IF(C706=0,B706/($B$172-MAX(306-1,$B$174)),B706*(C706/12)/(1-(1+C706/12)^(-($B$172-MAX(306-1,$B$174)))))),"")),D705))))),IF(IF(AND(306&lt;=$B$174,306&lt;=$B$173),B706*C706/12,IF(AND(306=$B$173+1,AND(306&gt;$B$173,$B$78="Refinance",ISNUMBER($B$80),$B$80&gt;=0,$B$80&lt;=1,ROUND($B$81*12,0)&gt;=1,$B$81&lt;=100,SUM($B$82)&gt;=0,SUM($B$82)&lt;=1,SUM($B$83)&gt;=0)),IF(B706=0,0,IF(C706=0,B706/ROUND($B$81*12,0),B706*(C706/12)/(1-(1+C706/12)^(-ROUND($B$81*12,0))))),IF(AND(NOT(AND(306&gt;$B$173,$B$78="Refinance",ISNUMBER($B$80),$B$80&gt;=0,$B$80&lt;=1,ROUND($B$81*12,0)&gt;=1,$B$81&lt;=100,SUM($B$82)&gt;=0,SUM($B$82)&lt;=1,SUM($B$83)&gt;=0)),OR(306=1,306=$B$174+1,AND($B$175&gt;0,306=$B$175+1))),IF(AND($B$170=1,$B$66&gt;0,OR($B$175=0,306&lt;=$B$175)),$B$66,IF($B$172-MAX(306-1,$B$174)&gt;0,IF(B706=0,0,IF(C706=0,B706/($B$172-MAX(306-1,$B$174)),B706*(C706/12)/(1-(1+C706/12)^(-($B$172-MAX(306-1,$B$174)))))),"")),D705)))+0.0000001&gt;=B706*C706/12,MIN(B706*(1+C706/12),IF(AND(306&lt;=$B$174,306&lt;=$B$173),B706*C706/12,IF(AND(306=$B$173+1,AND(306&gt;$B$173,$B$78="Refinance",ISNUMBER($B$80),$B$80&gt;=0,$B$80&lt;=1,ROUND($B$81*12,0)&gt;=1,$B$81&lt;=100,SUM($B$82)&gt;=0,SUM($B$82)&lt;=1,SUM($B$83)&gt;=0)),IF(B706=0,0,IF(C706=0,B706/ROUND($B$81*12,0),B706*(C706/12)/(1-(1+C706/12)^(-ROUND($B$81*12,0))))),IF(AND(NOT(AND(306&gt;$B$173,$B$78="Refinance",ISNUMBER($B$80),$B$80&gt;=0,$B$80&lt;=1,ROUND($B$81*12,0)&gt;=1,$B$81&lt;=100,SUM($B$82)&gt;=0,SUM($B$82)&lt;=1,SUM($B$83)&gt;=0)),OR(306=1,306=$B$174+1,AND($B$175&gt;0,306=$B$175+1))),IF(AND($B$170=1,$B$66&gt;0,OR($B$175=0,306&lt;=$B$175)),$B$66,IF($B$172-MAX(306-1,$B$174)&gt;0,IF(B706=0,0,IF(C706=0,B706/($B$172-MAX(306-1,$B$174)),B706*(C706/12)/(1-(1+C706/12)^(-($B$172-MAX(306-1,$B$174)))))),"")),D705)))),""),""))</x:f>
        <x:v>4679.450723240598</x:v>
      </x:c>
      <x:c r="E706" s="440" t="n">
        <x:f>IF(AND(306=$B$173,ISNUMBER(D706)),IF(MAX(0,B706*(1+C706/12)-D706)&lt;MAX(0.0000001,$E$17*0.00000000001),0,MAX(0,B706*(1+C706/12)-D706)),0)</x:f>
        <x:v>0</x:v>
      </x:c>
      <x:c r="F706" s="440" t="n">
        <x:f>IF($B$78="Cash payoff",E706,0)</x:f>
        <x:v>0</x:v>
      </x:c>
      <x:c r="G706" s="440" t="n">
        <x:f>IF(AND(E706&gt;0,AND($B$78="Refinance",ISNUMBER($B$80),$B$80&gt;=0,$B$80&lt;=1,ROUND($B$81*12,0)&gt;=1,$B$81&lt;=100,SUM($B$82)&gt;=0,SUM($B$82)&lt;=1,SUM($B$83)&gt;=0)),E706*SUM($B$82)+SUM($B$83),0)</x:f>
        <x:v>0</x:v>
      </x:c>
      <x:c r="H706" s="440" t="n">
        <x:f>IF(ISNUMBER(D706),IF(MAX(0,B706*(1+C706/12)-D706-F706)&lt;MAX(0.0000001,$E$17*0.00000000001),0,MAX(0,B706*(1+C706/12)-D706-F706)),IF(AND($B$171=1,I705=1),B706,""))</x:f>
        <x:v>219770.28915689405</x:v>
      </x:c>
      <x:c r="I706" s="444" t="n">
        <x:f>IF(OR(I705=1,AND(E706&gt;0,$B$78&lt;&gt;"Cash payoff",NOT(AND($B$78="Refinance",ISNUMBER($B$80),$B$80&gt;=0,$B$80&lt;=1,ROUND($B$81*12,0)&gt;=1,$B$81&lt;=100,SUM($B$82)&gt;=0,SUM($B$82)&lt;=1,SUM($B$83)&gt;=0))),AND(ISNUMBER(B706),B706&gt;0,$B$171=1,NOT(ISNUMBER(D706)))),1,0)</x:f>
        <x:v>0</x:v>
      </x:c>
      <x:c r="J706" s="440" t="n">
        <x:f>IF(ISNUMBER(L705),L705,"")</x:f>
        <x:v>0</x:v>
      </x:c>
      <x:c r="K706" s="440" t="n">
        <x:f>IF(AND(ISNUMBER(J706),J706=0),0,IF(AND($B$176=1,ISNUMBER(J706)),MIN(J706*(1+$B$87/12),IF($B$86=0,0,IF($B$87=0,$B$86/ROUND($B$88*12,0),$B$86*($B$87/12)/(1-(1+$B$87/12)^(-ROUND($B$88*12,0)))))),""))</x:f>
        <x:v>0</x:v>
      </x:c>
      <x:c r="L706" s="440" t="n">
        <x:f>IF(ISNUMBER(K706),IF(MAX(0,J706*(1+SUM($B$87)/12)-K706)&lt;MAX(0.0000001,$B$86*0.00000000001),0,MAX(0,J706*(1+SUM($B$87)/12)-K706)),"")</x:f>
        <x:v>0</x:v>
      </x:c>
      <x:c r="M706" s="440" t="n">
        <x:f>IF(AND(ISNUMBER(D706),ISNUMBER(K706)),D706+K706,"")</x:f>
        <x:v>4679.450723240598</x:v>
      </x:c>
      <x:c r="N706" s="440" t="n">
        <x:f>IF(AND(ISNUMBER(H706),ISNUMBER(L706)),H706+L706,"")</x:f>
        <x:v>219770.28915689405</x:v>
      </x:c>
    </x:row>
    <x:row r="707" ht="22" customHeight="1">
      <x:c r="A707" s="254" t="n">
        <x:f>307</x:f>
        <x:v>307</x:v>
      </x:c>
      <x:c r="B707" s="440" t="n">
        <x:f>IF(ISNUMBER(H706),H706,"")</x:f>
        <x:v>219770.28915689405</x:v>
      </x:c>
      <x:c r="C707" s="442" t="n">
        <x:f>IF(ISNUMBER(B707),IF(AND(307&gt;$B$173,$B$78="Refinance",ISNUMBER($B$80),$B$80&gt;=0,$B$80&lt;=1,ROUND($B$81*12,0)&gt;=1,$B$81&lt;=100,SUM($B$82)&gt;=0,SUM($B$82)&lt;=1,SUM($B$83)&gt;=0),$B$80,IF(AND($B$175&gt;0,307&gt;$B$175,ISNUMBER($B$75)),$B$75,$B$61)),"")</x:f>
        <x:v>0.0625</x:v>
      </x:c>
      <x:c r="D707" s="440" t="n">
        <x:f>IF(AND(ISNUMBER(B707),B707=0),0,IF(AND($B$171=1,I706=0,ISNUMBER(C707),ISNUMBER(IF(AND(307&lt;=$B$174,307&lt;=$B$173),B707*C707/12,IF(AND(307=$B$173+1,AND(307&gt;$B$173,$B$78="Refinance",ISNUMBER($B$80),$B$80&gt;=0,$B$80&lt;=1,ROUND($B$81*12,0)&gt;=1,$B$81&lt;=100,SUM($B$82)&gt;=0,SUM($B$82)&lt;=1,SUM($B$83)&gt;=0)),IF(B707=0,0,IF(C707=0,B707/ROUND($B$81*12,0),B707*(C707/12)/(1-(1+C707/12)^(-ROUND($B$81*12,0))))),IF(AND(NOT(AND(307&gt;$B$173,$B$78="Refinance",ISNUMBER($B$80),$B$80&gt;=0,$B$80&lt;=1,ROUND($B$81*12,0)&gt;=1,$B$81&lt;=100,SUM($B$82)&gt;=0,SUM($B$82)&lt;=1,SUM($B$83)&gt;=0)),OR(307=1,307=$B$174+1,AND($B$175&gt;0,307=$B$175+1))),IF(AND($B$170=1,$B$66&gt;0,OR($B$175=0,307&lt;=$B$175)),$B$66,IF($B$172-MAX(307-1,$B$174)&gt;0,IF(B707=0,0,IF(C707=0,B707/($B$172-MAX(307-1,$B$174)),B707*(C707/12)/(1-(1+C707/12)^(-($B$172-MAX(307-1,$B$174)))))),"")),D706))))),IF(IF(AND(307&lt;=$B$174,307&lt;=$B$173),B707*C707/12,IF(AND(307=$B$173+1,AND(307&gt;$B$173,$B$78="Refinance",ISNUMBER($B$80),$B$80&gt;=0,$B$80&lt;=1,ROUND($B$81*12,0)&gt;=1,$B$81&lt;=100,SUM($B$82)&gt;=0,SUM($B$82)&lt;=1,SUM($B$83)&gt;=0)),IF(B707=0,0,IF(C707=0,B707/ROUND($B$81*12,0),B707*(C707/12)/(1-(1+C707/12)^(-ROUND($B$81*12,0))))),IF(AND(NOT(AND(307&gt;$B$173,$B$78="Refinance",ISNUMBER($B$80),$B$80&gt;=0,$B$80&lt;=1,ROUND($B$81*12,0)&gt;=1,$B$81&lt;=100,SUM($B$82)&gt;=0,SUM($B$82)&lt;=1,SUM($B$83)&gt;=0)),OR(307=1,307=$B$174+1,AND($B$175&gt;0,307=$B$175+1))),IF(AND($B$170=1,$B$66&gt;0,OR($B$175=0,307&lt;=$B$175)),$B$66,IF($B$172-MAX(307-1,$B$174)&gt;0,IF(B707=0,0,IF(C707=0,B707/($B$172-MAX(307-1,$B$174)),B707*(C707/12)/(1-(1+C707/12)^(-($B$172-MAX(307-1,$B$174)))))),"")),D706)))+0.0000001&gt;=B707*C707/12,MIN(B707*(1+C707/12),IF(AND(307&lt;=$B$174,307&lt;=$B$173),B707*C707/12,IF(AND(307=$B$173+1,AND(307&gt;$B$173,$B$78="Refinance",ISNUMBER($B$80),$B$80&gt;=0,$B$80&lt;=1,ROUND($B$81*12,0)&gt;=1,$B$81&lt;=100,SUM($B$82)&gt;=0,SUM($B$82)&lt;=1,SUM($B$83)&gt;=0)),IF(B707=0,0,IF(C707=0,B707/ROUND($B$81*12,0),B707*(C707/12)/(1-(1+C707/12)^(-ROUND($B$81*12,0))))),IF(AND(NOT(AND(307&gt;$B$173,$B$78="Refinance",ISNUMBER($B$80),$B$80&gt;=0,$B$80&lt;=1,ROUND($B$81*12,0)&gt;=1,$B$81&lt;=100,SUM($B$82)&gt;=0,SUM($B$82)&lt;=1,SUM($B$83)&gt;=0)),OR(307=1,307=$B$174+1,AND($B$175&gt;0,307=$B$175+1))),IF(AND($B$170=1,$B$66&gt;0,OR($B$175=0,307&lt;=$B$175)),$B$66,IF($B$172-MAX(307-1,$B$174)&gt;0,IF(B707=0,0,IF(C707=0,B707/($B$172-MAX(307-1,$B$174)),B707*(C707/12)/(1-(1+C707/12)^(-($B$172-MAX(307-1,$B$174)))))),"")),D706)))),""),""))</x:f>
        <x:v>4679.450723240598</x:v>
      </x:c>
      <x:c r="E707" s="440" t="n">
        <x:f>IF(AND(307=$B$173,ISNUMBER(D707)),IF(MAX(0,B707*(1+C707/12)-D707)&lt;MAX(0.0000001,$E$17*0.00000000001),0,MAX(0,B707*(1+C707/12)-D707)),0)</x:f>
        <x:v>0</x:v>
      </x:c>
      <x:c r="F707" s="440" t="n">
        <x:f>IF($B$78="Cash payoff",E707,0)</x:f>
        <x:v>0</x:v>
      </x:c>
      <x:c r="G707" s="440" t="n">
        <x:f>IF(AND(E707&gt;0,AND($B$78="Refinance",ISNUMBER($B$80),$B$80&gt;=0,$B$80&lt;=1,ROUND($B$81*12,0)&gt;=1,$B$81&lt;=100,SUM($B$82)&gt;=0,SUM($B$82)&lt;=1,SUM($B$83)&gt;=0)),E707*SUM($B$82)+SUM($B$83),0)</x:f>
        <x:v>0</x:v>
      </x:c>
      <x:c r="H707" s="440" t="n">
        <x:f>IF(ISNUMBER(D707),IF(MAX(0,B707*(1+C707/12)-D707-F707)&lt;MAX(0.0000001,$E$17*0.00000000001),0,MAX(0,B707*(1+C707/12)-D707-F707)),IF(AND($B$171=1,I706=1),B707,""))</x:f>
        <x:v>216235.47535634562</x:v>
      </x:c>
      <x:c r="I707" s="444" t="n">
        <x:f>IF(OR(I706=1,AND(E707&gt;0,$B$78&lt;&gt;"Cash payoff",NOT(AND($B$78="Refinance",ISNUMBER($B$80),$B$80&gt;=0,$B$80&lt;=1,ROUND($B$81*12,0)&gt;=1,$B$81&lt;=100,SUM($B$82)&gt;=0,SUM($B$82)&lt;=1,SUM($B$83)&gt;=0))),AND(ISNUMBER(B707),B707&gt;0,$B$171=1,NOT(ISNUMBER(D707)))),1,0)</x:f>
        <x:v>0</x:v>
      </x:c>
      <x:c r="J707" s="440" t="n">
        <x:f>IF(ISNUMBER(L706),L706,"")</x:f>
        <x:v>0</x:v>
      </x:c>
      <x:c r="K707" s="440" t="n">
        <x:f>IF(AND(ISNUMBER(J707),J707=0),0,IF(AND($B$176=1,ISNUMBER(J707)),MIN(J707*(1+$B$87/12),IF($B$86=0,0,IF($B$87=0,$B$86/ROUND($B$88*12,0),$B$86*($B$87/12)/(1-(1+$B$87/12)^(-ROUND($B$88*12,0)))))),""))</x:f>
        <x:v>0</x:v>
      </x:c>
      <x:c r="L707" s="440" t="n">
        <x:f>IF(ISNUMBER(K707),IF(MAX(0,J707*(1+SUM($B$87)/12)-K707)&lt;MAX(0.0000001,$B$86*0.00000000001),0,MAX(0,J707*(1+SUM($B$87)/12)-K707)),"")</x:f>
        <x:v>0</x:v>
      </x:c>
      <x:c r="M707" s="440" t="n">
        <x:f>IF(AND(ISNUMBER(D707),ISNUMBER(K707)),D707+K707,"")</x:f>
        <x:v>4679.450723240598</x:v>
      </x:c>
      <x:c r="N707" s="440" t="n">
        <x:f>IF(AND(ISNUMBER(H707),ISNUMBER(L707)),H707+L707,"")</x:f>
        <x:v>216235.47535634562</x:v>
      </x:c>
    </x:row>
    <x:row r="708" ht="22" customHeight="1">
      <x:c r="A708" s="254" t="n">
        <x:f>308</x:f>
        <x:v>308</x:v>
      </x:c>
      <x:c r="B708" s="440" t="n">
        <x:f>IF(ISNUMBER(H707),H707,"")</x:f>
        <x:v>216235.47535634562</x:v>
      </x:c>
      <x:c r="C708" s="442" t="n">
        <x:f>IF(ISNUMBER(B708),IF(AND(308&gt;$B$173,$B$78="Refinance",ISNUMBER($B$80),$B$80&gt;=0,$B$80&lt;=1,ROUND($B$81*12,0)&gt;=1,$B$81&lt;=100,SUM($B$82)&gt;=0,SUM($B$82)&lt;=1,SUM($B$83)&gt;=0),$B$80,IF(AND($B$175&gt;0,308&gt;$B$175,ISNUMBER($B$75)),$B$75,$B$61)),"")</x:f>
        <x:v>0.0625</x:v>
      </x:c>
      <x:c r="D708" s="440" t="n">
        <x:f>IF(AND(ISNUMBER(B708),B708=0),0,IF(AND($B$171=1,I707=0,ISNUMBER(C708),ISNUMBER(IF(AND(308&lt;=$B$174,308&lt;=$B$173),B708*C708/12,IF(AND(308=$B$173+1,AND(308&gt;$B$173,$B$78="Refinance",ISNUMBER($B$80),$B$80&gt;=0,$B$80&lt;=1,ROUND($B$81*12,0)&gt;=1,$B$81&lt;=100,SUM($B$82)&gt;=0,SUM($B$82)&lt;=1,SUM($B$83)&gt;=0)),IF(B708=0,0,IF(C708=0,B708/ROUND($B$81*12,0),B708*(C708/12)/(1-(1+C708/12)^(-ROUND($B$81*12,0))))),IF(AND(NOT(AND(308&gt;$B$173,$B$78="Refinance",ISNUMBER($B$80),$B$80&gt;=0,$B$80&lt;=1,ROUND($B$81*12,0)&gt;=1,$B$81&lt;=100,SUM($B$82)&gt;=0,SUM($B$82)&lt;=1,SUM($B$83)&gt;=0)),OR(308=1,308=$B$174+1,AND($B$175&gt;0,308=$B$175+1))),IF(AND($B$170=1,$B$66&gt;0,OR($B$175=0,308&lt;=$B$175)),$B$66,IF($B$172-MAX(308-1,$B$174)&gt;0,IF(B708=0,0,IF(C708=0,B708/($B$172-MAX(308-1,$B$174)),B708*(C708/12)/(1-(1+C708/12)^(-($B$172-MAX(308-1,$B$174)))))),"")),D707))))),IF(IF(AND(308&lt;=$B$174,308&lt;=$B$173),B708*C708/12,IF(AND(308=$B$173+1,AND(308&gt;$B$173,$B$78="Refinance",ISNUMBER($B$80),$B$80&gt;=0,$B$80&lt;=1,ROUND($B$81*12,0)&gt;=1,$B$81&lt;=100,SUM($B$82)&gt;=0,SUM($B$82)&lt;=1,SUM($B$83)&gt;=0)),IF(B708=0,0,IF(C708=0,B708/ROUND($B$81*12,0),B708*(C708/12)/(1-(1+C708/12)^(-ROUND($B$81*12,0))))),IF(AND(NOT(AND(308&gt;$B$173,$B$78="Refinance",ISNUMBER($B$80),$B$80&gt;=0,$B$80&lt;=1,ROUND($B$81*12,0)&gt;=1,$B$81&lt;=100,SUM($B$82)&gt;=0,SUM($B$82)&lt;=1,SUM($B$83)&gt;=0)),OR(308=1,308=$B$174+1,AND($B$175&gt;0,308=$B$175+1))),IF(AND($B$170=1,$B$66&gt;0,OR($B$175=0,308&lt;=$B$175)),$B$66,IF($B$172-MAX(308-1,$B$174)&gt;0,IF(B708=0,0,IF(C708=0,B708/($B$172-MAX(308-1,$B$174)),B708*(C708/12)/(1-(1+C708/12)^(-($B$172-MAX(308-1,$B$174)))))),"")),D707)))+0.0000001&gt;=B708*C708/12,MIN(B708*(1+C708/12),IF(AND(308&lt;=$B$174,308&lt;=$B$173),B708*C708/12,IF(AND(308=$B$173+1,AND(308&gt;$B$173,$B$78="Refinance",ISNUMBER($B$80),$B$80&gt;=0,$B$80&lt;=1,ROUND($B$81*12,0)&gt;=1,$B$81&lt;=100,SUM($B$82)&gt;=0,SUM($B$82)&lt;=1,SUM($B$83)&gt;=0)),IF(B708=0,0,IF(C708=0,B708/ROUND($B$81*12,0),B708*(C708/12)/(1-(1+C708/12)^(-ROUND($B$81*12,0))))),IF(AND(NOT(AND(308&gt;$B$173,$B$78="Refinance",ISNUMBER($B$80),$B$80&gt;=0,$B$80&lt;=1,ROUND($B$81*12,0)&gt;=1,$B$81&lt;=100,SUM($B$82)&gt;=0,SUM($B$82)&lt;=1,SUM($B$83)&gt;=0)),OR(308=1,308=$B$174+1,AND($B$175&gt;0,308=$B$175+1))),IF(AND($B$170=1,$B$66&gt;0,OR($B$175=0,308&lt;=$B$175)),$B$66,IF($B$172-MAX(308-1,$B$174)&gt;0,IF(B708=0,0,IF(C708=0,B708/($B$172-MAX(308-1,$B$174)),B708*(C708/12)/(1-(1+C708/12)^(-($B$172-MAX(308-1,$B$174)))))),"")),D707)))),""),""))</x:f>
        <x:v>4679.450723240598</x:v>
      </x:c>
      <x:c r="E708" s="440" t="n">
        <x:f>IF(AND(308=$B$173,ISNUMBER(D708)),IF(MAX(0,B708*(1+C708/12)-D708)&lt;MAX(0.0000001,$E$17*0.00000000001),0,MAX(0,B708*(1+C708/12)-D708)),0)</x:f>
        <x:v>0</x:v>
      </x:c>
      <x:c r="F708" s="440" t="n">
        <x:f>IF($B$78="Cash payoff",E708,0)</x:f>
        <x:v>0</x:v>
      </x:c>
      <x:c r="G708" s="440" t="n">
        <x:f>IF(AND(E708&gt;0,AND($B$78="Refinance",ISNUMBER($B$80),$B$80&gt;=0,$B$80&lt;=1,ROUND($B$81*12,0)&gt;=1,$B$81&lt;=100,SUM($B$82)&gt;=0,SUM($B$82)&lt;=1,SUM($B$83)&gt;=0)),E708*SUM($B$82)+SUM($B$83),0)</x:f>
        <x:v>0</x:v>
      </x:c>
      <x:c r="H708" s="440" t="n">
        <x:f>IF(ISNUMBER(D708),IF(MAX(0,B708*(1+C708/12)-D708-F708)&lt;MAX(0.0000001,$E$17*0.00000000001),0,MAX(0,B708*(1+C708/12)-D708-F708)),IF(AND($B$171=1,I707=1),B708,""))</x:f>
        <x:v>212682.25106725266</x:v>
      </x:c>
      <x:c r="I708" s="444" t="n">
        <x:f>IF(OR(I707=1,AND(E708&gt;0,$B$78&lt;&gt;"Cash payoff",NOT(AND($B$78="Refinance",ISNUMBER($B$80),$B$80&gt;=0,$B$80&lt;=1,ROUND($B$81*12,0)&gt;=1,$B$81&lt;=100,SUM($B$82)&gt;=0,SUM($B$82)&lt;=1,SUM($B$83)&gt;=0))),AND(ISNUMBER(B708),B708&gt;0,$B$171=1,NOT(ISNUMBER(D708)))),1,0)</x:f>
        <x:v>0</x:v>
      </x:c>
      <x:c r="J708" s="440" t="n">
        <x:f>IF(ISNUMBER(L707),L707,"")</x:f>
        <x:v>0</x:v>
      </x:c>
      <x:c r="K708" s="440" t="n">
        <x:f>IF(AND(ISNUMBER(J708),J708=0),0,IF(AND($B$176=1,ISNUMBER(J708)),MIN(J708*(1+$B$87/12),IF($B$86=0,0,IF($B$87=0,$B$86/ROUND($B$88*12,0),$B$86*($B$87/12)/(1-(1+$B$87/12)^(-ROUND($B$88*12,0)))))),""))</x:f>
        <x:v>0</x:v>
      </x:c>
      <x:c r="L708" s="440" t="n">
        <x:f>IF(ISNUMBER(K708),IF(MAX(0,J708*(1+SUM($B$87)/12)-K708)&lt;MAX(0.0000001,$B$86*0.00000000001),0,MAX(0,J708*(1+SUM($B$87)/12)-K708)),"")</x:f>
        <x:v>0</x:v>
      </x:c>
      <x:c r="M708" s="440" t="n">
        <x:f>IF(AND(ISNUMBER(D708),ISNUMBER(K708)),D708+K708,"")</x:f>
        <x:v>4679.450723240598</x:v>
      </x:c>
      <x:c r="N708" s="440" t="n">
        <x:f>IF(AND(ISNUMBER(H708),ISNUMBER(L708)),H708+L708,"")</x:f>
        <x:v>212682.25106725266</x:v>
      </x:c>
    </x:row>
    <x:row r="709" ht="22" customHeight="1">
      <x:c r="A709" s="254" t="n">
        <x:f>309</x:f>
        <x:v>309</x:v>
      </x:c>
      <x:c r="B709" s="440" t="n">
        <x:f>IF(ISNUMBER(H708),H708,"")</x:f>
        <x:v>212682.25106725266</x:v>
      </x:c>
      <x:c r="C709" s="442" t="n">
        <x:f>IF(ISNUMBER(B709),IF(AND(309&gt;$B$173,$B$78="Refinance",ISNUMBER($B$80),$B$80&gt;=0,$B$80&lt;=1,ROUND($B$81*12,0)&gt;=1,$B$81&lt;=100,SUM($B$82)&gt;=0,SUM($B$82)&lt;=1,SUM($B$83)&gt;=0),$B$80,IF(AND($B$175&gt;0,309&gt;$B$175,ISNUMBER($B$75)),$B$75,$B$61)),"")</x:f>
        <x:v>0.0625</x:v>
      </x:c>
      <x:c r="D709" s="440" t="n">
        <x:f>IF(AND(ISNUMBER(B709),B709=0),0,IF(AND($B$171=1,I708=0,ISNUMBER(C709),ISNUMBER(IF(AND(309&lt;=$B$174,309&lt;=$B$173),B709*C709/12,IF(AND(309=$B$173+1,AND(309&gt;$B$173,$B$78="Refinance",ISNUMBER($B$80),$B$80&gt;=0,$B$80&lt;=1,ROUND($B$81*12,0)&gt;=1,$B$81&lt;=100,SUM($B$82)&gt;=0,SUM($B$82)&lt;=1,SUM($B$83)&gt;=0)),IF(B709=0,0,IF(C709=0,B709/ROUND($B$81*12,0),B709*(C709/12)/(1-(1+C709/12)^(-ROUND($B$81*12,0))))),IF(AND(NOT(AND(309&gt;$B$173,$B$78="Refinance",ISNUMBER($B$80),$B$80&gt;=0,$B$80&lt;=1,ROUND($B$81*12,0)&gt;=1,$B$81&lt;=100,SUM($B$82)&gt;=0,SUM($B$82)&lt;=1,SUM($B$83)&gt;=0)),OR(309=1,309=$B$174+1,AND($B$175&gt;0,309=$B$175+1))),IF(AND($B$170=1,$B$66&gt;0,OR($B$175=0,309&lt;=$B$175)),$B$66,IF($B$172-MAX(309-1,$B$174)&gt;0,IF(B709=0,0,IF(C709=0,B709/($B$172-MAX(309-1,$B$174)),B709*(C709/12)/(1-(1+C709/12)^(-($B$172-MAX(309-1,$B$174)))))),"")),D708))))),IF(IF(AND(309&lt;=$B$174,309&lt;=$B$173),B709*C709/12,IF(AND(309=$B$173+1,AND(309&gt;$B$173,$B$78="Refinance",ISNUMBER($B$80),$B$80&gt;=0,$B$80&lt;=1,ROUND($B$81*12,0)&gt;=1,$B$81&lt;=100,SUM($B$82)&gt;=0,SUM($B$82)&lt;=1,SUM($B$83)&gt;=0)),IF(B709=0,0,IF(C709=0,B709/ROUND($B$81*12,0),B709*(C709/12)/(1-(1+C709/12)^(-ROUND($B$81*12,0))))),IF(AND(NOT(AND(309&gt;$B$173,$B$78="Refinance",ISNUMBER($B$80),$B$80&gt;=0,$B$80&lt;=1,ROUND($B$81*12,0)&gt;=1,$B$81&lt;=100,SUM($B$82)&gt;=0,SUM($B$82)&lt;=1,SUM($B$83)&gt;=0)),OR(309=1,309=$B$174+1,AND($B$175&gt;0,309=$B$175+1))),IF(AND($B$170=1,$B$66&gt;0,OR($B$175=0,309&lt;=$B$175)),$B$66,IF($B$172-MAX(309-1,$B$174)&gt;0,IF(B709=0,0,IF(C709=0,B709/($B$172-MAX(309-1,$B$174)),B709*(C709/12)/(1-(1+C709/12)^(-($B$172-MAX(309-1,$B$174)))))),"")),D708)))+0.0000001&gt;=B709*C709/12,MIN(B709*(1+C709/12),IF(AND(309&lt;=$B$174,309&lt;=$B$173),B709*C709/12,IF(AND(309=$B$173+1,AND(309&gt;$B$173,$B$78="Refinance",ISNUMBER($B$80),$B$80&gt;=0,$B$80&lt;=1,ROUND($B$81*12,0)&gt;=1,$B$81&lt;=100,SUM($B$82)&gt;=0,SUM($B$82)&lt;=1,SUM($B$83)&gt;=0)),IF(B709=0,0,IF(C709=0,B709/ROUND($B$81*12,0),B709*(C709/12)/(1-(1+C709/12)^(-ROUND($B$81*12,0))))),IF(AND(NOT(AND(309&gt;$B$173,$B$78="Refinance",ISNUMBER($B$80),$B$80&gt;=0,$B$80&lt;=1,ROUND($B$81*12,0)&gt;=1,$B$81&lt;=100,SUM($B$82)&gt;=0,SUM($B$82)&lt;=1,SUM($B$83)&gt;=0)),OR(309=1,309=$B$174+1,AND($B$175&gt;0,309=$B$175+1))),IF(AND($B$170=1,$B$66&gt;0,OR($B$175=0,309&lt;=$B$175)),$B$66,IF($B$172-MAX(309-1,$B$174)&gt;0,IF(B709=0,0,IF(C709=0,B709/($B$172-MAX(309-1,$B$174)),B709*(C709/12)/(1-(1+C709/12)^(-($B$172-MAX(309-1,$B$174)))))),"")),D708)))),""),""))</x:f>
        <x:v>4679.450723240598</x:v>
      </x:c>
      <x:c r="E709" s="440" t="n">
        <x:f>IF(AND(309=$B$173,ISNUMBER(D709)),IF(MAX(0,B709*(1+C709/12)-D709)&lt;MAX(0.0000001,$E$17*0.00000000001),0,MAX(0,B709*(1+C709/12)-D709)),0)</x:f>
        <x:v>0</x:v>
      </x:c>
      <x:c r="F709" s="440" t="n">
        <x:f>IF($B$78="Cash payoff",E709,0)</x:f>
        <x:v>0</x:v>
      </x:c>
      <x:c r="G709" s="440" t="n">
        <x:f>IF(AND(E709&gt;0,AND($B$78="Refinance",ISNUMBER($B$80),$B$80&gt;=0,$B$80&lt;=1,ROUND($B$81*12,0)&gt;=1,$B$81&lt;=100,SUM($B$82)&gt;=0,SUM($B$82)&lt;=1,SUM($B$83)&gt;=0)),E709*SUM($B$82)+SUM($B$83),0)</x:f>
        <x:v>0</x:v>
      </x:c>
      <x:c r="H709" s="440" t="n">
        <x:f>IF(ISNUMBER(D709),IF(MAX(0,B709*(1+C709/12)-D709-F709)&lt;MAX(0.0000001,$E$17*0.00000000001),0,MAX(0,B709*(1+C709/12)-D709-F709)),IF(AND($B$171=1,I708=1),B709,""))</x:f>
        <x:v>209110.52040165398</x:v>
      </x:c>
      <x:c r="I709" s="444" t="n">
        <x:f>IF(OR(I708=1,AND(E709&gt;0,$B$78&lt;&gt;"Cash payoff",NOT(AND($B$78="Refinance",ISNUMBER($B$80),$B$80&gt;=0,$B$80&lt;=1,ROUND($B$81*12,0)&gt;=1,$B$81&lt;=100,SUM($B$82)&gt;=0,SUM($B$82)&lt;=1,SUM($B$83)&gt;=0))),AND(ISNUMBER(B709),B709&gt;0,$B$171=1,NOT(ISNUMBER(D709)))),1,0)</x:f>
        <x:v>0</x:v>
      </x:c>
      <x:c r="J709" s="440" t="n">
        <x:f>IF(ISNUMBER(L708),L708,"")</x:f>
        <x:v>0</x:v>
      </x:c>
      <x:c r="K709" s="440" t="n">
        <x:f>IF(AND(ISNUMBER(J709),J709=0),0,IF(AND($B$176=1,ISNUMBER(J709)),MIN(J709*(1+$B$87/12),IF($B$86=0,0,IF($B$87=0,$B$86/ROUND($B$88*12,0),$B$86*($B$87/12)/(1-(1+$B$87/12)^(-ROUND($B$88*12,0)))))),""))</x:f>
        <x:v>0</x:v>
      </x:c>
      <x:c r="L709" s="440" t="n">
        <x:f>IF(ISNUMBER(K709),IF(MAX(0,J709*(1+SUM($B$87)/12)-K709)&lt;MAX(0.0000001,$B$86*0.00000000001),0,MAX(0,J709*(1+SUM($B$87)/12)-K709)),"")</x:f>
        <x:v>0</x:v>
      </x:c>
      <x:c r="M709" s="440" t="n">
        <x:f>IF(AND(ISNUMBER(D709),ISNUMBER(K709)),D709+K709,"")</x:f>
        <x:v>4679.450723240598</x:v>
      </x:c>
      <x:c r="N709" s="440" t="n">
        <x:f>IF(AND(ISNUMBER(H709),ISNUMBER(L709)),H709+L709,"")</x:f>
        <x:v>209110.52040165398</x:v>
      </x:c>
    </x:row>
    <x:row r="710" ht="22" customHeight="1">
      <x:c r="A710" s="254" t="n">
        <x:f>310</x:f>
        <x:v>310</x:v>
      </x:c>
      <x:c r="B710" s="440" t="n">
        <x:f>IF(ISNUMBER(H709),H709,"")</x:f>
        <x:v>209110.52040165398</x:v>
      </x:c>
      <x:c r="C710" s="442" t="n">
        <x:f>IF(ISNUMBER(B710),IF(AND(310&gt;$B$173,$B$78="Refinance",ISNUMBER($B$80),$B$80&gt;=0,$B$80&lt;=1,ROUND($B$81*12,0)&gt;=1,$B$81&lt;=100,SUM($B$82)&gt;=0,SUM($B$82)&lt;=1,SUM($B$83)&gt;=0),$B$80,IF(AND($B$175&gt;0,310&gt;$B$175,ISNUMBER($B$75)),$B$75,$B$61)),"")</x:f>
        <x:v>0.0625</x:v>
      </x:c>
      <x:c r="D710" s="440" t="n">
        <x:f>IF(AND(ISNUMBER(B710),B710=0),0,IF(AND($B$171=1,I709=0,ISNUMBER(C710),ISNUMBER(IF(AND(310&lt;=$B$174,310&lt;=$B$173),B710*C710/12,IF(AND(310=$B$173+1,AND(310&gt;$B$173,$B$78="Refinance",ISNUMBER($B$80),$B$80&gt;=0,$B$80&lt;=1,ROUND($B$81*12,0)&gt;=1,$B$81&lt;=100,SUM($B$82)&gt;=0,SUM($B$82)&lt;=1,SUM($B$83)&gt;=0)),IF(B710=0,0,IF(C710=0,B710/ROUND($B$81*12,0),B710*(C710/12)/(1-(1+C710/12)^(-ROUND($B$81*12,0))))),IF(AND(NOT(AND(310&gt;$B$173,$B$78="Refinance",ISNUMBER($B$80),$B$80&gt;=0,$B$80&lt;=1,ROUND($B$81*12,0)&gt;=1,$B$81&lt;=100,SUM($B$82)&gt;=0,SUM($B$82)&lt;=1,SUM($B$83)&gt;=0)),OR(310=1,310=$B$174+1,AND($B$175&gt;0,310=$B$175+1))),IF(AND($B$170=1,$B$66&gt;0,OR($B$175=0,310&lt;=$B$175)),$B$66,IF($B$172-MAX(310-1,$B$174)&gt;0,IF(B710=0,0,IF(C710=0,B710/($B$172-MAX(310-1,$B$174)),B710*(C710/12)/(1-(1+C710/12)^(-($B$172-MAX(310-1,$B$174)))))),"")),D709))))),IF(IF(AND(310&lt;=$B$174,310&lt;=$B$173),B710*C710/12,IF(AND(310=$B$173+1,AND(310&gt;$B$173,$B$78="Refinance",ISNUMBER($B$80),$B$80&gt;=0,$B$80&lt;=1,ROUND($B$81*12,0)&gt;=1,$B$81&lt;=100,SUM($B$82)&gt;=0,SUM($B$82)&lt;=1,SUM($B$83)&gt;=0)),IF(B710=0,0,IF(C710=0,B710/ROUND($B$81*12,0),B710*(C710/12)/(1-(1+C710/12)^(-ROUND($B$81*12,0))))),IF(AND(NOT(AND(310&gt;$B$173,$B$78="Refinance",ISNUMBER($B$80),$B$80&gt;=0,$B$80&lt;=1,ROUND($B$81*12,0)&gt;=1,$B$81&lt;=100,SUM($B$82)&gt;=0,SUM($B$82)&lt;=1,SUM($B$83)&gt;=0)),OR(310=1,310=$B$174+1,AND($B$175&gt;0,310=$B$175+1))),IF(AND($B$170=1,$B$66&gt;0,OR($B$175=0,310&lt;=$B$175)),$B$66,IF($B$172-MAX(310-1,$B$174)&gt;0,IF(B710=0,0,IF(C710=0,B710/($B$172-MAX(310-1,$B$174)),B710*(C710/12)/(1-(1+C710/12)^(-($B$172-MAX(310-1,$B$174)))))),"")),D709)))+0.0000001&gt;=B710*C710/12,MIN(B710*(1+C710/12),IF(AND(310&lt;=$B$174,310&lt;=$B$173),B710*C710/12,IF(AND(310=$B$173+1,AND(310&gt;$B$173,$B$78="Refinance",ISNUMBER($B$80),$B$80&gt;=0,$B$80&lt;=1,ROUND($B$81*12,0)&gt;=1,$B$81&lt;=100,SUM($B$82)&gt;=0,SUM($B$82)&lt;=1,SUM($B$83)&gt;=0)),IF(B710=0,0,IF(C710=0,B710/ROUND($B$81*12,0),B710*(C710/12)/(1-(1+C710/12)^(-ROUND($B$81*12,0))))),IF(AND(NOT(AND(310&gt;$B$173,$B$78="Refinance",ISNUMBER($B$80),$B$80&gt;=0,$B$80&lt;=1,ROUND($B$81*12,0)&gt;=1,$B$81&lt;=100,SUM($B$82)&gt;=0,SUM($B$82)&lt;=1,SUM($B$83)&gt;=0)),OR(310=1,310=$B$174+1,AND($B$175&gt;0,310=$B$175+1))),IF(AND($B$170=1,$B$66&gt;0,OR($B$175=0,310&lt;=$B$175)),$B$66,IF($B$172-MAX(310-1,$B$174)&gt;0,IF(B710=0,0,IF(C710=0,B710/($B$172-MAX(310-1,$B$174)),B710*(C710/12)/(1-(1+C710/12)^(-($B$172-MAX(310-1,$B$174)))))),"")),D709)))),""),""))</x:f>
        <x:v>4679.450723240598</x:v>
      </x:c>
      <x:c r="E710" s="440" t="n">
        <x:f>IF(AND(310=$B$173,ISNUMBER(D710)),IF(MAX(0,B710*(1+C710/12)-D710)&lt;MAX(0.0000001,$E$17*0.00000000001),0,MAX(0,B710*(1+C710/12)-D710)),0)</x:f>
        <x:v>0</x:v>
      </x:c>
      <x:c r="F710" s="440" t="n">
        <x:f>IF($B$78="Cash payoff",E710,0)</x:f>
        <x:v>0</x:v>
      </x:c>
      <x:c r="G710" s="440" t="n">
        <x:f>IF(AND(E710&gt;0,AND($B$78="Refinance",ISNUMBER($B$80),$B$80&gt;=0,$B$80&lt;=1,ROUND($B$81*12,0)&gt;=1,$B$81&lt;=100,SUM($B$82)&gt;=0,SUM($B$82)&lt;=1,SUM($B$83)&gt;=0)),E710*SUM($B$82)+SUM($B$83),0)</x:f>
        <x:v>0</x:v>
      </x:c>
      <x:c r="H710" s="440" t="n">
        <x:f>IF(ISNUMBER(D710),IF(MAX(0,B710*(1+C710/12)-D710-F710)&lt;MAX(0.0000001,$E$17*0.00000000001),0,MAX(0,B710*(1+C710/12)-D710-F710)),IF(AND($B$171=1,I709=1),B710,""))</x:f>
        <x:v>205520.186972172</x:v>
      </x:c>
      <x:c r="I710" s="444" t="n">
        <x:f>IF(OR(I709=1,AND(E710&gt;0,$B$78&lt;&gt;"Cash payoff",NOT(AND($B$78="Refinance",ISNUMBER($B$80),$B$80&gt;=0,$B$80&lt;=1,ROUND($B$81*12,0)&gt;=1,$B$81&lt;=100,SUM($B$82)&gt;=0,SUM($B$82)&lt;=1,SUM($B$83)&gt;=0))),AND(ISNUMBER(B710),B710&gt;0,$B$171=1,NOT(ISNUMBER(D710)))),1,0)</x:f>
        <x:v>0</x:v>
      </x:c>
      <x:c r="J710" s="440" t="n">
        <x:f>IF(ISNUMBER(L709),L709,"")</x:f>
        <x:v>0</x:v>
      </x:c>
      <x:c r="K710" s="440" t="n">
        <x:f>IF(AND(ISNUMBER(J710),J710=0),0,IF(AND($B$176=1,ISNUMBER(J710)),MIN(J710*(1+$B$87/12),IF($B$86=0,0,IF($B$87=0,$B$86/ROUND($B$88*12,0),$B$86*($B$87/12)/(1-(1+$B$87/12)^(-ROUND($B$88*12,0)))))),""))</x:f>
        <x:v>0</x:v>
      </x:c>
      <x:c r="L710" s="440" t="n">
        <x:f>IF(ISNUMBER(K710),IF(MAX(0,J710*(1+SUM($B$87)/12)-K710)&lt;MAX(0.0000001,$B$86*0.00000000001),0,MAX(0,J710*(1+SUM($B$87)/12)-K710)),"")</x:f>
        <x:v>0</x:v>
      </x:c>
      <x:c r="M710" s="440" t="n">
        <x:f>IF(AND(ISNUMBER(D710),ISNUMBER(K710)),D710+K710,"")</x:f>
        <x:v>4679.450723240598</x:v>
      </x:c>
      <x:c r="N710" s="440" t="n">
        <x:f>IF(AND(ISNUMBER(H710),ISNUMBER(L710)),H710+L710,"")</x:f>
        <x:v>205520.186972172</x:v>
      </x:c>
    </x:row>
    <x:row r="711" ht="22" customHeight="1">
      <x:c r="A711" s="254" t="n">
        <x:f>311</x:f>
        <x:v>311</x:v>
      </x:c>
      <x:c r="B711" s="440" t="n">
        <x:f>IF(ISNUMBER(H710),H710,"")</x:f>
        <x:v>205520.186972172</x:v>
      </x:c>
      <x:c r="C711" s="442" t="n">
        <x:f>IF(ISNUMBER(B711),IF(AND(311&gt;$B$173,$B$78="Refinance",ISNUMBER($B$80),$B$80&gt;=0,$B$80&lt;=1,ROUND($B$81*12,0)&gt;=1,$B$81&lt;=100,SUM($B$82)&gt;=0,SUM($B$82)&lt;=1,SUM($B$83)&gt;=0),$B$80,IF(AND($B$175&gt;0,311&gt;$B$175,ISNUMBER($B$75)),$B$75,$B$61)),"")</x:f>
        <x:v>0.0625</x:v>
      </x:c>
      <x:c r="D711" s="440" t="n">
        <x:f>IF(AND(ISNUMBER(B711),B711=0),0,IF(AND($B$171=1,I710=0,ISNUMBER(C711),ISNUMBER(IF(AND(311&lt;=$B$174,311&lt;=$B$173),B711*C711/12,IF(AND(311=$B$173+1,AND(311&gt;$B$173,$B$78="Refinance",ISNUMBER($B$80),$B$80&gt;=0,$B$80&lt;=1,ROUND($B$81*12,0)&gt;=1,$B$81&lt;=100,SUM($B$82)&gt;=0,SUM($B$82)&lt;=1,SUM($B$83)&gt;=0)),IF(B711=0,0,IF(C711=0,B711/ROUND($B$81*12,0),B711*(C711/12)/(1-(1+C711/12)^(-ROUND($B$81*12,0))))),IF(AND(NOT(AND(311&gt;$B$173,$B$78="Refinance",ISNUMBER($B$80),$B$80&gt;=0,$B$80&lt;=1,ROUND($B$81*12,0)&gt;=1,$B$81&lt;=100,SUM($B$82)&gt;=0,SUM($B$82)&lt;=1,SUM($B$83)&gt;=0)),OR(311=1,311=$B$174+1,AND($B$175&gt;0,311=$B$175+1))),IF(AND($B$170=1,$B$66&gt;0,OR($B$175=0,311&lt;=$B$175)),$B$66,IF($B$172-MAX(311-1,$B$174)&gt;0,IF(B711=0,0,IF(C711=0,B711/($B$172-MAX(311-1,$B$174)),B711*(C711/12)/(1-(1+C711/12)^(-($B$172-MAX(311-1,$B$174)))))),"")),D710))))),IF(IF(AND(311&lt;=$B$174,311&lt;=$B$173),B711*C711/12,IF(AND(311=$B$173+1,AND(311&gt;$B$173,$B$78="Refinance",ISNUMBER($B$80),$B$80&gt;=0,$B$80&lt;=1,ROUND($B$81*12,0)&gt;=1,$B$81&lt;=100,SUM($B$82)&gt;=0,SUM($B$82)&lt;=1,SUM($B$83)&gt;=0)),IF(B711=0,0,IF(C711=0,B711/ROUND($B$81*12,0),B711*(C711/12)/(1-(1+C711/12)^(-ROUND($B$81*12,0))))),IF(AND(NOT(AND(311&gt;$B$173,$B$78="Refinance",ISNUMBER($B$80),$B$80&gt;=0,$B$80&lt;=1,ROUND($B$81*12,0)&gt;=1,$B$81&lt;=100,SUM($B$82)&gt;=0,SUM($B$82)&lt;=1,SUM($B$83)&gt;=0)),OR(311=1,311=$B$174+1,AND($B$175&gt;0,311=$B$175+1))),IF(AND($B$170=1,$B$66&gt;0,OR($B$175=0,311&lt;=$B$175)),$B$66,IF($B$172-MAX(311-1,$B$174)&gt;0,IF(B711=0,0,IF(C711=0,B711/($B$172-MAX(311-1,$B$174)),B711*(C711/12)/(1-(1+C711/12)^(-($B$172-MAX(311-1,$B$174)))))),"")),D710)))+0.0000001&gt;=B711*C711/12,MIN(B711*(1+C711/12),IF(AND(311&lt;=$B$174,311&lt;=$B$173),B711*C711/12,IF(AND(311=$B$173+1,AND(311&gt;$B$173,$B$78="Refinance",ISNUMBER($B$80),$B$80&gt;=0,$B$80&lt;=1,ROUND($B$81*12,0)&gt;=1,$B$81&lt;=100,SUM($B$82)&gt;=0,SUM($B$82)&lt;=1,SUM($B$83)&gt;=0)),IF(B711=0,0,IF(C711=0,B711/ROUND($B$81*12,0),B711*(C711/12)/(1-(1+C711/12)^(-ROUND($B$81*12,0))))),IF(AND(NOT(AND(311&gt;$B$173,$B$78="Refinance",ISNUMBER($B$80),$B$80&gt;=0,$B$80&lt;=1,ROUND($B$81*12,0)&gt;=1,$B$81&lt;=100,SUM($B$82)&gt;=0,SUM($B$82)&lt;=1,SUM($B$83)&gt;=0)),OR(311=1,311=$B$174+1,AND($B$175&gt;0,311=$B$175+1))),IF(AND($B$170=1,$B$66&gt;0,OR($B$175=0,311&lt;=$B$175)),$B$66,IF($B$172-MAX(311-1,$B$174)&gt;0,IF(B711=0,0,IF(C711=0,B711/($B$172-MAX(311-1,$B$174)),B711*(C711/12)/(1-(1+C711/12)^(-($B$172-MAX(311-1,$B$174)))))),"")),D710)))),""),""))</x:f>
        <x:v>4679.450723240598</x:v>
      </x:c>
      <x:c r="E711" s="440" t="n">
        <x:f>IF(AND(311=$B$173,ISNUMBER(D711)),IF(MAX(0,B711*(1+C711/12)-D711)&lt;MAX(0.0000001,$E$17*0.00000000001),0,MAX(0,B711*(1+C711/12)-D711)),0)</x:f>
        <x:v>0</x:v>
      </x:c>
      <x:c r="F711" s="440" t="n">
        <x:f>IF($B$78="Cash payoff",E711,0)</x:f>
        <x:v>0</x:v>
      </x:c>
      <x:c r="G711" s="440" t="n">
        <x:f>IF(AND(E711&gt;0,AND($B$78="Refinance",ISNUMBER($B$80),$B$80&gt;=0,$B$80&lt;=1,ROUND($B$81*12,0)&gt;=1,$B$81&lt;=100,SUM($B$82)&gt;=0,SUM($B$82)&lt;=1,SUM($B$83)&gt;=0)),E711*SUM($B$82)+SUM($B$83),0)</x:f>
        <x:v>0</x:v>
      </x:c>
      <x:c r="H711" s="440" t="n">
        <x:f>IF(ISNUMBER(D711),IF(MAX(0,B711*(1+C711/12)-D711-F711)&lt;MAX(0.0000001,$E$17*0.00000000001),0,MAX(0,B711*(1+C711/12)-D711-F711)),IF(AND($B$171=1,I710=1),B711,""))</x:f>
        <x:v>201911.15388941145</x:v>
      </x:c>
      <x:c r="I711" s="444" t="n">
        <x:f>IF(OR(I710=1,AND(E711&gt;0,$B$78&lt;&gt;"Cash payoff",NOT(AND($B$78="Refinance",ISNUMBER($B$80),$B$80&gt;=0,$B$80&lt;=1,ROUND($B$81*12,0)&gt;=1,$B$81&lt;=100,SUM($B$82)&gt;=0,SUM($B$82)&lt;=1,SUM($B$83)&gt;=0))),AND(ISNUMBER(B711),B711&gt;0,$B$171=1,NOT(ISNUMBER(D711)))),1,0)</x:f>
        <x:v>0</x:v>
      </x:c>
      <x:c r="J711" s="440" t="n">
        <x:f>IF(ISNUMBER(L710),L710,"")</x:f>
        <x:v>0</x:v>
      </x:c>
      <x:c r="K711" s="440" t="n">
        <x:f>IF(AND(ISNUMBER(J711),J711=0),0,IF(AND($B$176=1,ISNUMBER(J711)),MIN(J711*(1+$B$87/12),IF($B$86=0,0,IF($B$87=0,$B$86/ROUND($B$88*12,0),$B$86*($B$87/12)/(1-(1+$B$87/12)^(-ROUND($B$88*12,0)))))),""))</x:f>
        <x:v>0</x:v>
      </x:c>
      <x:c r="L711" s="440" t="n">
        <x:f>IF(ISNUMBER(K711),IF(MAX(0,J711*(1+SUM($B$87)/12)-K711)&lt;MAX(0.0000001,$B$86*0.00000000001),0,MAX(0,J711*(1+SUM($B$87)/12)-K711)),"")</x:f>
        <x:v>0</x:v>
      </x:c>
      <x:c r="M711" s="440" t="n">
        <x:f>IF(AND(ISNUMBER(D711),ISNUMBER(K711)),D711+K711,"")</x:f>
        <x:v>4679.450723240598</x:v>
      </x:c>
      <x:c r="N711" s="440" t="n">
        <x:f>IF(AND(ISNUMBER(H711),ISNUMBER(L711)),H711+L711,"")</x:f>
        <x:v>201911.15388941145</x:v>
      </x:c>
    </x:row>
    <x:row r="712" ht="22" customHeight="1">
      <x:c r="A712" s="254" t="n">
        <x:f>312</x:f>
        <x:v>312</x:v>
      </x:c>
      <x:c r="B712" s="440" t="n">
        <x:f>IF(ISNUMBER(H711),H711,"")</x:f>
        <x:v>201911.15388941145</x:v>
      </x:c>
      <x:c r="C712" s="442" t="n">
        <x:f>IF(ISNUMBER(B712),IF(AND(312&gt;$B$173,$B$78="Refinance",ISNUMBER($B$80),$B$80&gt;=0,$B$80&lt;=1,ROUND($B$81*12,0)&gt;=1,$B$81&lt;=100,SUM($B$82)&gt;=0,SUM($B$82)&lt;=1,SUM($B$83)&gt;=0),$B$80,IF(AND($B$175&gt;0,312&gt;$B$175,ISNUMBER($B$75)),$B$75,$B$61)),"")</x:f>
        <x:v>0.0625</x:v>
      </x:c>
      <x:c r="D712" s="440" t="n">
        <x:f>IF(AND(ISNUMBER(B712),B712=0),0,IF(AND($B$171=1,I711=0,ISNUMBER(C712),ISNUMBER(IF(AND(312&lt;=$B$174,312&lt;=$B$173),B712*C712/12,IF(AND(312=$B$173+1,AND(312&gt;$B$173,$B$78="Refinance",ISNUMBER($B$80),$B$80&gt;=0,$B$80&lt;=1,ROUND($B$81*12,0)&gt;=1,$B$81&lt;=100,SUM($B$82)&gt;=0,SUM($B$82)&lt;=1,SUM($B$83)&gt;=0)),IF(B712=0,0,IF(C712=0,B712/ROUND($B$81*12,0),B712*(C712/12)/(1-(1+C712/12)^(-ROUND($B$81*12,0))))),IF(AND(NOT(AND(312&gt;$B$173,$B$78="Refinance",ISNUMBER($B$80),$B$80&gt;=0,$B$80&lt;=1,ROUND($B$81*12,0)&gt;=1,$B$81&lt;=100,SUM($B$82)&gt;=0,SUM($B$82)&lt;=1,SUM($B$83)&gt;=0)),OR(312=1,312=$B$174+1,AND($B$175&gt;0,312=$B$175+1))),IF(AND($B$170=1,$B$66&gt;0,OR($B$175=0,312&lt;=$B$175)),$B$66,IF($B$172-MAX(312-1,$B$174)&gt;0,IF(B712=0,0,IF(C712=0,B712/($B$172-MAX(312-1,$B$174)),B712*(C712/12)/(1-(1+C712/12)^(-($B$172-MAX(312-1,$B$174)))))),"")),D711))))),IF(IF(AND(312&lt;=$B$174,312&lt;=$B$173),B712*C712/12,IF(AND(312=$B$173+1,AND(312&gt;$B$173,$B$78="Refinance",ISNUMBER($B$80),$B$80&gt;=0,$B$80&lt;=1,ROUND($B$81*12,0)&gt;=1,$B$81&lt;=100,SUM($B$82)&gt;=0,SUM($B$82)&lt;=1,SUM($B$83)&gt;=0)),IF(B712=0,0,IF(C712=0,B712/ROUND($B$81*12,0),B712*(C712/12)/(1-(1+C712/12)^(-ROUND($B$81*12,0))))),IF(AND(NOT(AND(312&gt;$B$173,$B$78="Refinance",ISNUMBER($B$80),$B$80&gt;=0,$B$80&lt;=1,ROUND($B$81*12,0)&gt;=1,$B$81&lt;=100,SUM($B$82)&gt;=0,SUM($B$82)&lt;=1,SUM($B$83)&gt;=0)),OR(312=1,312=$B$174+1,AND($B$175&gt;0,312=$B$175+1))),IF(AND($B$170=1,$B$66&gt;0,OR($B$175=0,312&lt;=$B$175)),$B$66,IF($B$172-MAX(312-1,$B$174)&gt;0,IF(B712=0,0,IF(C712=0,B712/($B$172-MAX(312-1,$B$174)),B712*(C712/12)/(1-(1+C712/12)^(-($B$172-MAX(312-1,$B$174)))))),"")),D711)))+0.0000001&gt;=B712*C712/12,MIN(B712*(1+C712/12),IF(AND(312&lt;=$B$174,312&lt;=$B$173),B712*C712/12,IF(AND(312=$B$173+1,AND(312&gt;$B$173,$B$78="Refinance",ISNUMBER($B$80),$B$80&gt;=0,$B$80&lt;=1,ROUND($B$81*12,0)&gt;=1,$B$81&lt;=100,SUM($B$82)&gt;=0,SUM($B$82)&lt;=1,SUM($B$83)&gt;=0)),IF(B712=0,0,IF(C712=0,B712/ROUND($B$81*12,0),B712*(C712/12)/(1-(1+C712/12)^(-ROUND($B$81*12,0))))),IF(AND(NOT(AND(312&gt;$B$173,$B$78="Refinance",ISNUMBER($B$80),$B$80&gt;=0,$B$80&lt;=1,ROUND($B$81*12,0)&gt;=1,$B$81&lt;=100,SUM($B$82)&gt;=0,SUM($B$82)&lt;=1,SUM($B$83)&gt;=0)),OR(312=1,312=$B$174+1,AND($B$175&gt;0,312=$B$175+1))),IF(AND($B$170=1,$B$66&gt;0,OR($B$175=0,312&lt;=$B$175)),$B$66,IF($B$172-MAX(312-1,$B$174)&gt;0,IF(B712=0,0,IF(C712=0,B712/($B$172-MAX(312-1,$B$174)),B712*(C712/12)/(1-(1+C712/12)^(-($B$172-MAX(312-1,$B$174)))))),"")),D711)))),""),""))</x:f>
        <x:v>4679.450723240598</x:v>
      </x:c>
      <x:c r="E712" s="440" t="n">
        <x:f>IF(AND(312=$B$173,ISNUMBER(D712)),IF(MAX(0,B712*(1+C712/12)-D712)&lt;MAX(0.0000001,$E$17*0.00000000001),0,MAX(0,B712*(1+C712/12)-D712)),0)</x:f>
        <x:v>0</x:v>
      </x:c>
      <x:c r="F712" s="440" t="n">
        <x:f>IF($B$78="Cash payoff",E712,0)</x:f>
        <x:v>0</x:v>
      </x:c>
      <x:c r="G712" s="440" t="n">
        <x:f>IF(AND(E712&gt;0,AND($B$78="Refinance",ISNUMBER($B$80),$B$80&gt;=0,$B$80&lt;=1,ROUND($B$81*12,0)&gt;=1,$B$81&lt;=100,SUM($B$82)&gt;=0,SUM($B$82)&lt;=1,SUM($B$83)&gt;=0)),E712*SUM($B$82)+SUM($B$83),0)</x:f>
        <x:v>0</x:v>
      </x:c>
      <x:c r="H712" s="440" t="n">
        <x:f>IF(ISNUMBER(D712),IF(MAX(0,B712*(1+C712/12)-D712-F712)&lt;MAX(0.0000001,$E$17*0.00000000001),0,MAX(0,B712*(1+C712/12)-D712-F712)),IF(AND($B$171=1,I711=1),B712,""))</x:f>
        <x:v>198283.32375934487</x:v>
      </x:c>
      <x:c r="I712" s="444" t="n">
        <x:f>IF(OR(I711=1,AND(E712&gt;0,$B$78&lt;&gt;"Cash payoff",NOT(AND($B$78="Refinance",ISNUMBER($B$80),$B$80&gt;=0,$B$80&lt;=1,ROUND($B$81*12,0)&gt;=1,$B$81&lt;=100,SUM($B$82)&gt;=0,SUM($B$82)&lt;=1,SUM($B$83)&gt;=0))),AND(ISNUMBER(B712),B712&gt;0,$B$171=1,NOT(ISNUMBER(D712)))),1,0)</x:f>
        <x:v>0</x:v>
      </x:c>
      <x:c r="J712" s="440" t="n">
        <x:f>IF(ISNUMBER(L711),L711,"")</x:f>
        <x:v>0</x:v>
      </x:c>
      <x:c r="K712" s="440" t="n">
        <x:f>IF(AND(ISNUMBER(J712),J712=0),0,IF(AND($B$176=1,ISNUMBER(J712)),MIN(J712*(1+$B$87/12),IF($B$86=0,0,IF($B$87=0,$B$86/ROUND($B$88*12,0),$B$86*($B$87/12)/(1-(1+$B$87/12)^(-ROUND($B$88*12,0)))))),""))</x:f>
        <x:v>0</x:v>
      </x:c>
      <x:c r="L712" s="440" t="n">
        <x:f>IF(ISNUMBER(K712),IF(MAX(0,J712*(1+SUM($B$87)/12)-K712)&lt;MAX(0.0000001,$B$86*0.00000000001),0,MAX(0,J712*(1+SUM($B$87)/12)-K712)),"")</x:f>
        <x:v>0</x:v>
      </x:c>
      <x:c r="M712" s="440" t="n">
        <x:f>IF(AND(ISNUMBER(D712),ISNUMBER(K712)),D712+K712,"")</x:f>
        <x:v>4679.450723240598</x:v>
      </x:c>
      <x:c r="N712" s="440" t="n">
        <x:f>IF(AND(ISNUMBER(H712),ISNUMBER(L712)),H712+L712,"")</x:f>
        <x:v>198283.32375934487</x:v>
      </x:c>
    </x:row>
    <x:row r="713" ht="22" customHeight="1">
      <x:c r="A713" s="254" t="n">
        <x:f>313</x:f>
        <x:v>313</x:v>
      </x:c>
      <x:c r="B713" s="440" t="n">
        <x:f>IF(ISNUMBER(H712),H712,"")</x:f>
        <x:v>198283.32375934487</x:v>
      </x:c>
      <x:c r="C713" s="442" t="n">
        <x:f>IF(ISNUMBER(B713),IF(AND(313&gt;$B$173,$B$78="Refinance",ISNUMBER($B$80),$B$80&gt;=0,$B$80&lt;=1,ROUND($B$81*12,0)&gt;=1,$B$81&lt;=100,SUM($B$82)&gt;=0,SUM($B$82)&lt;=1,SUM($B$83)&gt;=0),$B$80,IF(AND($B$175&gt;0,313&gt;$B$175,ISNUMBER($B$75)),$B$75,$B$61)),"")</x:f>
        <x:v>0.0625</x:v>
      </x:c>
      <x:c r="D713" s="440" t="n">
        <x:f>IF(AND(ISNUMBER(B713),B713=0),0,IF(AND($B$171=1,I712=0,ISNUMBER(C713),ISNUMBER(IF(AND(313&lt;=$B$174,313&lt;=$B$173),B713*C713/12,IF(AND(313=$B$173+1,AND(313&gt;$B$173,$B$78="Refinance",ISNUMBER($B$80),$B$80&gt;=0,$B$80&lt;=1,ROUND($B$81*12,0)&gt;=1,$B$81&lt;=100,SUM($B$82)&gt;=0,SUM($B$82)&lt;=1,SUM($B$83)&gt;=0)),IF(B713=0,0,IF(C713=0,B713/ROUND($B$81*12,0),B713*(C713/12)/(1-(1+C713/12)^(-ROUND($B$81*12,0))))),IF(AND(NOT(AND(313&gt;$B$173,$B$78="Refinance",ISNUMBER($B$80),$B$80&gt;=0,$B$80&lt;=1,ROUND($B$81*12,0)&gt;=1,$B$81&lt;=100,SUM($B$82)&gt;=0,SUM($B$82)&lt;=1,SUM($B$83)&gt;=0)),OR(313=1,313=$B$174+1,AND($B$175&gt;0,313=$B$175+1))),IF(AND($B$170=1,$B$66&gt;0,OR($B$175=0,313&lt;=$B$175)),$B$66,IF($B$172-MAX(313-1,$B$174)&gt;0,IF(B713=0,0,IF(C713=0,B713/($B$172-MAX(313-1,$B$174)),B713*(C713/12)/(1-(1+C713/12)^(-($B$172-MAX(313-1,$B$174)))))),"")),D712))))),IF(IF(AND(313&lt;=$B$174,313&lt;=$B$173),B713*C713/12,IF(AND(313=$B$173+1,AND(313&gt;$B$173,$B$78="Refinance",ISNUMBER($B$80),$B$80&gt;=0,$B$80&lt;=1,ROUND($B$81*12,0)&gt;=1,$B$81&lt;=100,SUM($B$82)&gt;=0,SUM($B$82)&lt;=1,SUM($B$83)&gt;=0)),IF(B713=0,0,IF(C713=0,B713/ROUND($B$81*12,0),B713*(C713/12)/(1-(1+C713/12)^(-ROUND($B$81*12,0))))),IF(AND(NOT(AND(313&gt;$B$173,$B$78="Refinance",ISNUMBER($B$80),$B$80&gt;=0,$B$80&lt;=1,ROUND($B$81*12,0)&gt;=1,$B$81&lt;=100,SUM($B$82)&gt;=0,SUM($B$82)&lt;=1,SUM($B$83)&gt;=0)),OR(313=1,313=$B$174+1,AND($B$175&gt;0,313=$B$175+1))),IF(AND($B$170=1,$B$66&gt;0,OR($B$175=0,313&lt;=$B$175)),$B$66,IF($B$172-MAX(313-1,$B$174)&gt;0,IF(B713=0,0,IF(C713=0,B713/($B$172-MAX(313-1,$B$174)),B713*(C713/12)/(1-(1+C713/12)^(-($B$172-MAX(313-1,$B$174)))))),"")),D712)))+0.0000001&gt;=B713*C713/12,MIN(B713*(1+C713/12),IF(AND(313&lt;=$B$174,313&lt;=$B$173),B713*C713/12,IF(AND(313=$B$173+1,AND(313&gt;$B$173,$B$78="Refinance",ISNUMBER($B$80),$B$80&gt;=0,$B$80&lt;=1,ROUND($B$81*12,0)&gt;=1,$B$81&lt;=100,SUM($B$82)&gt;=0,SUM($B$82)&lt;=1,SUM($B$83)&gt;=0)),IF(B713=0,0,IF(C713=0,B713/ROUND($B$81*12,0),B713*(C713/12)/(1-(1+C713/12)^(-ROUND($B$81*12,0))))),IF(AND(NOT(AND(313&gt;$B$173,$B$78="Refinance",ISNUMBER($B$80),$B$80&gt;=0,$B$80&lt;=1,ROUND($B$81*12,0)&gt;=1,$B$81&lt;=100,SUM($B$82)&gt;=0,SUM($B$82)&lt;=1,SUM($B$83)&gt;=0)),OR(313=1,313=$B$174+1,AND($B$175&gt;0,313=$B$175+1))),IF(AND($B$170=1,$B$66&gt;0,OR($B$175=0,313&lt;=$B$175)),$B$66,IF($B$172-MAX(313-1,$B$174)&gt;0,IF(B713=0,0,IF(C713=0,B713/($B$172-MAX(313-1,$B$174)),B713*(C713/12)/(1-(1+C713/12)^(-($B$172-MAX(313-1,$B$174)))))),"")),D712)))),""),""))</x:f>
        <x:v>4679.450723240598</x:v>
      </x:c>
      <x:c r="E713" s="440" t="n">
        <x:f>IF(AND(313=$B$173,ISNUMBER(D713)),IF(MAX(0,B713*(1+C713/12)-D713)&lt;MAX(0.0000001,$E$17*0.00000000001),0,MAX(0,B713*(1+C713/12)-D713)),0)</x:f>
        <x:v>0</x:v>
      </x:c>
      <x:c r="F713" s="440" t="n">
        <x:f>IF($B$78="Cash payoff",E713,0)</x:f>
        <x:v>0</x:v>
      </x:c>
      <x:c r="G713" s="440" t="n">
        <x:f>IF(AND(E713&gt;0,AND($B$78="Refinance",ISNUMBER($B$80),$B$80&gt;=0,$B$80&lt;=1,ROUND($B$81*12,0)&gt;=1,$B$81&lt;=100,SUM($B$82)&gt;=0,SUM($B$82)&lt;=1,SUM($B$83)&gt;=0)),E713*SUM($B$82)+SUM($B$83),0)</x:f>
        <x:v>0</x:v>
      </x:c>
      <x:c r="H713" s="440" t="n">
        <x:f>IF(ISNUMBER(D713),IF(MAX(0,B713*(1+C713/12)-D713-F713)&lt;MAX(0.0000001,$E$17*0.00000000001),0,MAX(0,B713*(1+C713/12)-D713-F713)),IF(AND($B$171=1,I712=1),B713,""))</x:f>
        <x:v>194636.5986806842</x:v>
      </x:c>
      <x:c r="I713" s="444" t="n">
        <x:f>IF(OR(I712=1,AND(E713&gt;0,$B$78&lt;&gt;"Cash payoff",NOT(AND($B$78="Refinance",ISNUMBER($B$80),$B$80&gt;=0,$B$80&lt;=1,ROUND($B$81*12,0)&gt;=1,$B$81&lt;=100,SUM($B$82)&gt;=0,SUM($B$82)&lt;=1,SUM($B$83)&gt;=0))),AND(ISNUMBER(B713),B713&gt;0,$B$171=1,NOT(ISNUMBER(D713)))),1,0)</x:f>
        <x:v>0</x:v>
      </x:c>
      <x:c r="J713" s="440" t="n">
        <x:f>IF(ISNUMBER(L712),L712,"")</x:f>
        <x:v>0</x:v>
      </x:c>
      <x:c r="K713" s="440" t="n">
        <x:f>IF(AND(ISNUMBER(J713),J713=0),0,IF(AND($B$176=1,ISNUMBER(J713)),MIN(J713*(1+$B$87/12),IF($B$86=0,0,IF($B$87=0,$B$86/ROUND($B$88*12,0),$B$86*($B$87/12)/(1-(1+$B$87/12)^(-ROUND($B$88*12,0)))))),""))</x:f>
        <x:v>0</x:v>
      </x:c>
      <x:c r="L713" s="440" t="n">
        <x:f>IF(ISNUMBER(K713),IF(MAX(0,J713*(1+SUM($B$87)/12)-K713)&lt;MAX(0.0000001,$B$86*0.00000000001),0,MAX(0,J713*(1+SUM($B$87)/12)-K713)),"")</x:f>
        <x:v>0</x:v>
      </x:c>
      <x:c r="M713" s="440" t="n">
        <x:f>IF(AND(ISNUMBER(D713),ISNUMBER(K713)),D713+K713,"")</x:f>
        <x:v>4679.450723240598</x:v>
      </x:c>
      <x:c r="N713" s="440" t="n">
        <x:f>IF(AND(ISNUMBER(H713),ISNUMBER(L713)),H713+L713,"")</x:f>
        <x:v>194636.5986806842</x:v>
      </x:c>
    </x:row>
    <x:row r="714" ht="22" customHeight="1">
      <x:c r="A714" s="254" t="n">
        <x:f>314</x:f>
        <x:v>314</x:v>
      </x:c>
      <x:c r="B714" s="440" t="n">
        <x:f>IF(ISNUMBER(H713),H713,"")</x:f>
        <x:v>194636.5986806842</x:v>
      </x:c>
      <x:c r="C714" s="442" t="n">
        <x:f>IF(ISNUMBER(B714),IF(AND(314&gt;$B$173,$B$78="Refinance",ISNUMBER($B$80),$B$80&gt;=0,$B$80&lt;=1,ROUND($B$81*12,0)&gt;=1,$B$81&lt;=100,SUM($B$82)&gt;=0,SUM($B$82)&lt;=1,SUM($B$83)&gt;=0),$B$80,IF(AND($B$175&gt;0,314&gt;$B$175,ISNUMBER($B$75)),$B$75,$B$61)),"")</x:f>
        <x:v>0.0625</x:v>
      </x:c>
      <x:c r="D714" s="440" t="n">
        <x:f>IF(AND(ISNUMBER(B714),B714=0),0,IF(AND($B$171=1,I713=0,ISNUMBER(C714),ISNUMBER(IF(AND(314&lt;=$B$174,314&lt;=$B$173),B714*C714/12,IF(AND(314=$B$173+1,AND(314&gt;$B$173,$B$78="Refinance",ISNUMBER($B$80),$B$80&gt;=0,$B$80&lt;=1,ROUND($B$81*12,0)&gt;=1,$B$81&lt;=100,SUM($B$82)&gt;=0,SUM($B$82)&lt;=1,SUM($B$83)&gt;=0)),IF(B714=0,0,IF(C714=0,B714/ROUND($B$81*12,0),B714*(C714/12)/(1-(1+C714/12)^(-ROUND($B$81*12,0))))),IF(AND(NOT(AND(314&gt;$B$173,$B$78="Refinance",ISNUMBER($B$80),$B$80&gt;=0,$B$80&lt;=1,ROUND($B$81*12,0)&gt;=1,$B$81&lt;=100,SUM($B$82)&gt;=0,SUM($B$82)&lt;=1,SUM($B$83)&gt;=0)),OR(314=1,314=$B$174+1,AND($B$175&gt;0,314=$B$175+1))),IF(AND($B$170=1,$B$66&gt;0,OR($B$175=0,314&lt;=$B$175)),$B$66,IF($B$172-MAX(314-1,$B$174)&gt;0,IF(B714=0,0,IF(C714=0,B714/($B$172-MAX(314-1,$B$174)),B714*(C714/12)/(1-(1+C714/12)^(-($B$172-MAX(314-1,$B$174)))))),"")),D713))))),IF(IF(AND(314&lt;=$B$174,314&lt;=$B$173),B714*C714/12,IF(AND(314=$B$173+1,AND(314&gt;$B$173,$B$78="Refinance",ISNUMBER($B$80),$B$80&gt;=0,$B$80&lt;=1,ROUND($B$81*12,0)&gt;=1,$B$81&lt;=100,SUM($B$82)&gt;=0,SUM($B$82)&lt;=1,SUM($B$83)&gt;=0)),IF(B714=0,0,IF(C714=0,B714/ROUND($B$81*12,0),B714*(C714/12)/(1-(1+C714/12)^(-ROUND($B$81*12,0))))),IF(AND(NOT(AND(314&gt;$B$173,$B$78="Refinance",ISNUMBER($B$80),$B$80&gt;=0,$B$80&lt;=1,ROUND($B$81*12,0)&gt;=1,$B$81&lt;=100,SUM($B$82)&gt;=0,SUM($B$82)&lt;=1,SUM($B$83)&gt;=0)),OR(314=1,314=$B$174+1,AND($B$175&gt;0,314=$B$175+1))),IF(AND($B$170=1,$B$66&gt;0,OR($B$175=0,314&lt;=$B$175)),$B$66,IF($B$172-MAX(314-1,$B$174)&gt;0,IF(B714=0,0,IF(C714=0,B714/($B$172-MAX(314-1,$B$174)),B714*(C714/12)/(1-(1+C714/12)^(-($B$172-MAX(314-1,$B$174)))))),"")),D713)))+0.0000001&gt;=B714*C714/12,MIN(B714*(1+C714/12),IF(AND(314&lt;=$B$174,314&lt;=$B$173),B714*C714/12,IF(AND(314=$B$173+1,AND(314&gt;$B$173,$B$78="Refinance",ISNUMBER($B$80),$B$80&gt;=0,$B$80&lt;=1,ROUND($B$81*12,0)&gt;=1,$B$81&lt;=100,SUM($B$82)&gt;=0,SUM($B$82)&lt;=1,SUM($B$83)&gt;=0)),IF(B714=0,0,IF(C714=0,B714/ROUND($B$81*12,0),B714*(C714/12)/(1-(1+C714/12)^(-ROUND($B$81*12,0))))),IF(AND(NOT(AND(314&gt;$B$173,$B$78="Refinance",ISNUMBER($B$80),$B$80&gt;=0,$B$80&lt;=1,ROUND($B$81*12,0)&gt;=1,$B$81&lt;=100,SUM($B$82)&gt;=0,SUM($B$82)&lt;=1,SUM($B$83)&gt;=0)),OR(314=1,314=$B$174+1,AND($B$175&gt;0,314=$B$175+1))),IF(AND($B$170=1,$B$66&gt;0,OR($B$175=0,314&lt;=$B$175)),$B$66,IF($B$172-MAX(314-1,$B$174)&gt;0,IF(B714=0,0,IF(C714=0,B714/($B$172-MAX(314-1,$B$174)),B714*(C714/12)/(1-(1+C714/12)^(-($B$172-MAX(314-1,$B$174)))))),"")),D713)))),""),""))</x:f>
        <x:v>4679.450723240598</x:v>
      </x:c>
      <x:c r="E714" s="440" t="n">
        <x:f>IF(AND(314=$B$173,ISNUMBER(D714)),IF(MAX(0,B714*(1+C714/12)-D714)&lt;MAX(0.0000001,$E$17*0.00000000001),0,MAX(0,B714*(1+C714/12)-D714)),0)</x:f>
        <x:v>0</x:v>
      </x:c>
      <x:c r="F714" s="440" t="n">
        <x:f>IF($B$78="Cash payoff",E714,0)</x:f>
        <x:v>0</x:v>
      </x:c>
      <x:c r="G714" s="440" t="n">
        <x:f>IF(AND(E714&gt;0,AND($B$78="Refinance",ISNUMBER($B$80),$B$80&gt;=0,$B$80&lt;=1,ROUND($B$81*12,0)&gt;=1,$B$81&lt;=100,SUM($B$82)&gt;=0,SUM($B$82)&lt;=1,SUM($B$83)&gt;=0)),E714*SUM($B$82)+SUM($B$83),0)</x:f>
        <x:v>0</x:v>
      </x:c>
      <x:c r="H714" s="440" t="n">
        <x:f>IF(ISNUMBER(D714),IF(MAX(0,B714*(1+C714/12)-D714-F714)&lt;MAX(0.0000001,$E$17*0.00000000001),0,MAX(0,B714*(1+C714/12)-D714-F714)),IF(AND($B$171=1,I713=1),B714,""))</x:f>
        <x:v>190970.8802422388</x:v>
      </x:c>
      <x:c r="I714" s="444" t="n">
        <x:f>IF(OR(I713=1,AND(E714&gt;0,$B$78&lt;&gt;"Cash payoff",NOT(AND($B$78="Refinance",ISNUMBER($B$80),$B$80&gt;=0,$B$80&lt;=1,ROUND($B$81*12,0)&gt;=1,$B$81&lt;=100,SUM($B$82)&gt;=0,SUM($B$82)&lt;=1,SUM($B$83)&gt;=0))),AND(ISNUMBER(B714),B714&gt;0,$B$171=1,NOT(ISNUMBER(D714)))),1,0)</x:f>
        <x:v>0</x:v>
      </x:c>
      <x:c r="J714" s="440" t="n">
        <x:f>IF(ISNUMBER(L713),L713,"")</x:f>
        <x:v>0</x:v>
      </x:c>
      <x:c r="K714" s="440" t="n">
        <x:f>IF(AND(ISNUMBER(J714),J714=0),0,IF(AND($B$176=1,ISNUMBER(J714)),MIN(J714*(1+$B$87/12),IF($B$86=0,0,IF($B$87=0,$B$86/ROUND($B$88*12,0),$B$86*($B$87/12)/(1-(1+$B$87/12)^(-ROUND($B$88*12,0)))))),""))</x:f>
        <x:v>0</x:v>
      </x:c>
      <x:c r="L714" s="440" t="n">
        <x:f>IF(ISNUMBER(K714),IF(MAX(0,J714*(1+SUM($B$87)/12)-K714)&lt;MAX(0.0000001,$B$86*0.00000000001),0,MAX(0,J714*(1+SUM($B$87)/12)-K714)),"")</x:f>
        <x:v>0</x:v>
      </x:c>
      <x:c r="M714" s="440" t="n">
        <x:f>IF(AND(ISNUMBER(D714),ISNUMBER(K714)),D714+K714,"")</x:f>
        <x:v>4679.450723240598</x:v>
      </x:c>
      <x:c r="N714" s="440" t="n">
        <x:f>IF(AND(ISNUMBER(H714),ISNUMBER(L714)),H714+L714,"")</x:f>
        <x:v>190970.8802422388</x:v>
      </x:c>
    </x:row>
    <x:row r="715" ht="22" customHeight="1">
      <x:c r="A715" s="254" t="n">
        <x:f>315</x:f>
        <x:v>315</x:v>
      </x:c>
      <x:c r="B715" s="440" t="n">
        <x:f>IF(ISNUMBER(H714),H714,"")</x:f>
        <x:v>190970.8802422388</x:v>
      </x:c>
      <x:c r="C715" s="442" t="n">
        <x:f>IF(ISNUMBER(B715),IF(AND(315&gt;$B$173,$B$78="Refinance",ISNUMBER($B$80),$B$80&gt;=0,$B$80&lt;=1,ROUND($B$81*12,0)&gt;=1,$B$81&lt;=100,SUM($B$82)&gt;=0,SUM($B$82)&lt;=1,SUM($B$83)&gt;=0),$B$80,IF(AND($B$175&gt;0,315&gt;$B$175,ISNUMBER($B$75)),$B$75,$B$61)),"")</x:f>
        <x:v>0.0625</x:v>
      </x:c>
      <x:c r="D715" s="440" t="n">
        <x:f>IF(AND(ISNUMBER(B715),B715=0),0,IF(AND($B$171=1,I714=0,ISNUMBER(C715),ISNUMBER(IF(AND(315&lt;=$B$174,315&lt;=$B$173),B715*C715/12,IF(AND(315=$B$173+1,AND(315&gt;$B$173,$B$78="Refinance",ISNUMBER($B$80),$B$80&gt;=0,$B$80&lt;=1,ROUND($B$81*12,0)&gt;=1,$B$81&lt;=100,SUM($B$82)&gt;=0,SUM($B$82)&lt;=1,SUM($B$83)&gt;=0)),IF(B715=0,0,IF(C715=0,B715/ROUND($B$81*12,0),B715*(C715/12)/(1-(1+C715/12)^(-ROUND($B$81*12,0))))),IF(AND(NOT(AND(315&gt;$B$173,$B$78="Refinance",ISNUMBER($B$80),$B$80&gt;=0,$B$80&lt;=1,ROUND($B$81*12,0)&gt;=1,$B$81&lt;=100,SUM($B$82)&gt;=0,SUM($B$82)&lt;=1,SUM($B$83)&gt;=0)),OR(315=1,315=$B$174+1,AND($B$175&gt;0,315=$B$175+1))),IF(AND($B$170=1,$B$66&gt;0,OR($B$175=0,315&lt;=$B$175)),$B$66,IF($B$172-MAX(315-1,$B$174)&gt;0,IF(B715=0,0,IF(C715=0,B715/($B$172-MAX(315-1,$B$174)),B715*(C715/12)/(1-(1+C715/12)^(-($B$172-MAX(315-1,$B$174)))))),"")),D714))))),IF(IF(AND(315&lt;=$B$174,315&lt;=$B$173),B715*C715/12,IF(AND(315=$B$173+1,AND(315&gt;$B$173,$B$78="Refinance",ISNUMBER($B$80),$B$80&gt;=0,$B$80&lt;=1,ROUND($B$81*12,0)&gt;=1,$B$81&lt;=100,SUM($B$82)&gt;=0,SUM($B$82)&lt;=1,SUM($B$83)&gt;=0)),IF(B715=0,0,IF(C715=0,B715/ROUND($B$81*12,0),B715*(C715/12)/(1-(1+C715/12)^(-ROUND($B$81*12,0))))),IF(AND(NOT(AND(315&gt;$B$173,$B$78="Refinance",ISNUMBER($B$80),$B$80&gt;=0,$B$80&lt;=1,ROUND($B$81*12,0)&gt;=1,$B$81&lt;=100,SUM($B$82)&gt;=0,SUM($B$82)&lt;=1,SUM($B$83)&gt;=0)),OR(315=1,315=$B$174+1,AND($B$175&gt;0,315=$B$175+1))),IF(AND($B$170=1,$B$66&gt;0,OR($B$175=0,315&lt;=$B$175)),$B$66,IF($B$172-MAX(315-1,$B$174)&gt;0,IF(B715=0,0,IF(C715=0,B715/($B$172-MAX(315-1,$B$174)),B715*(C715/12)/(1-(1+C715/12)^(-($B$172-MAX(315-1,$B$174)))))),"")),D714)))+0.0000001&gt;=B715*C715/12,MIN(B715*(1+C715/12),IF(AND(315&lt;=$B$174,315&lt;=$B$173),B715*C715/12,IF(AND(315=$B$173+1,AND(315&gt;$B$173,$B$78="Refinance",ISNUMBER($B$80),$B$80&gt;=0,$B$80&lt;=1,ROUND($B$81*12,0)&gt;=1,$B$81&lt;=100,SUM($B$82)&gt;=0,SUM($B$82)&lt;=1,SUM($B$83)&gt;=0)),IF(B715=0,0,IF(C715=0,B715/ROUND($B$81*12,0),B715*(C715/12)/(1-(1+C715/12)^(-ROUND($B$81*12,0))))),IF(AND(NOT(AND(315&gt;$B$173,$B$78="Refinance",ISNUMBER($B$80),$B$80&gt;=0,$B$80&lt;=1,ROUND($B$81*12,0)&gt;=1,$B$81&lt;=100,SUM($B$82)&gt;=0,SUM($B$82)&lt;=1,SUM($B$83)&gt;=0)),OR(315=1,315=$B$174+1,AND($B$175&gt;0,315=$B$175+1))),IF(AND($B$170=1,$B$66&gt;0,OR($B$175=0,315&lt;=$B$175)),$B$66,IF($B$172-MAX(315-1,$B$174)&gt;0,IF(B715=0,0,IF(C715=0,B715/($B$172-MAX(315-1,$B$174)),B715*(C715/12)/(1-(1+C715/12)^(-($B$172-MAX(315-1,$B$174)))))),"")),D714)))),""),""))</x:f>
        <x:v>4679.450723240598</x:v>
      </x:c>
      <x:c r="E715" s="440" t="n">
        <x:f>IF(AND(315=$B$173,ISNUMBER(D715)),IF(MAX(0,B715*(1+C715/12)-D715)&lt;MAX(0.0000001,$E$17*0.00000000001),0,MAX(0,B715*(1+C715/12)-D715)),0)</x:f>
        <x:v>0</x:v>
      </x:c>
      <x:c r="F715" s="440" t="n">
        <x:f>IF($B$78="Cash payoff",E715,0)</x:f>
        <x:v>0</x:v>
      </x:c>
      <x:c r="G715" s="440" t="n">
        <x:f>IF(AND(E715&gt;0,AND($B$78="Refinance",ISNUMBER($B$80),$B$80&gt;=0,$B$80&lt;=1,ROUND($B$81*12,0)&gt;=1,$B$81&lt;=100,SUM($B$82)&gt;=0,SUM($B$82)&lt;=1,SUM($B$83)&gt;=0)),E715*SUM($B$82)+SUM($B$83),0)</x:f>
        <x:v>0</x:v>
      </x:c>
      <x:c r="H715" s="440" t="n">
        <x:f>IF(ISNUMBER(D715),IF(MAX(0,B715*(1+C715/12)-D715-F715)&lt;MAX(0.0000001,$E$17*0.00000000001),0,MAX(0,B715*(1+C715/12)-D715-F715)),IF(AND($B$171=1,I714=1),B715,""))</x:f>
        <x:v>187286.06952025986</x:v>
      </x:c>
      <x:c r="I715" s="444" t="n">
        <x:f>IF(OR(I714=1,AND(E715&gt;0,$B$78&lt;&gt;"Cash payoff",NOT(AND($B$78="Refinance",ISNUMBER($B$80),$B$80&gt;=0,$B$80&lt;=1,ROUND($B$81*12,0)&gt;=1,$B$81&lt;=100,SUM($B$82)&gt;=0,SUM($B$82)&lt;=1,SUM($B$83)&gt;=0))),AND(ISNUMBER(B715),B715&gt;0,$B$171=1,NOT(ISNUMBER(D715)))),1,0)</x:f>
        <x:v>0</x:v>
      </x:c>
      <x:c r="J715" s="440" t="n">
        <x:f>IF(ISNUMBER(L714),L714,"")</x:f>
        <x:v>0</x:v>
      </x:c>
      <x:c r="K715" s="440" t="n">
        <x:f>IF(AND(ISNUMBER(J715),J715=0),0,IF(AND($B$176=1,ISNUMBER(J715)),MIN(J715*(1+$B$87/12),IF($B$86=0,0,IF($B$87=0,$B$86/ROUND($B$88*12,0),$B$86*($B$87/12)/(1-(1+$B$87/12)^(-ROUND($B$88*12,0)))))),""))</x:f>
        <x:v>0</x:v>
      </x:c>
      <x:c r="L715" s="440" t="n">
        <x:f>IF(ISNUMBER(K715),IF(MAX(0,J715*(1+SUM($B$87)/12)-K715)&lt;MAX(0.0000001,$B$86*0.00000000001),0,MAX(0,J715*(1+SUM($B$87)/12)-K715)),"")</x:f>
        <x:v>0</x:v>
      </x:c>
      <x:c r="M715" s="440" t="n">
        <x:f>IF(AND(ISNUMBER(D715),ISNUMBER(K715)),D715+K715,"")</x:f>
        <x:v>4679.450723240598</x:v>
      </x:c>
      <x:c r="N715" s="440" t="n">
        <x:f>IF(AND(ISNUMBER(H715),ISNUMBER(L715)),H715+L715,"")</x:f>
        <x:v>187286.06952025986</x:v>
      </x:c>
    </x:row>
    <x:row r="716" ht="22" customHeight="1">
      <x:c r="A716" s="254" t="n">
        <x:f>316</x:f>
        <x:v>316</x:v>
      </x:c>
      <x:c r="B716" s="440" t="n">
        <x:f>IF(ISNUMBER(H715),H715,"")</x:f>
        <x:v>187286.06952025986</x:v>
      </x:c>
      <x:c r="C716" s="442" t="n">
        <x:f>IF(ISNUMBER(B716),IF(AND(316&gt;$B$173,$B$78="Refinance",ISNUMBER($B$80),$B$80&gt;=0,$B$80&lt;=1,ROUND($B$81*12,0)&gt;=1,$B$81&lt;=100,SUM($B$82)&gt;=0,SUM($B$82)&lt;=1,SUM($B$83)&gt;=0),$B$80,IF(AND($B$175&gt;0,316&gt;$B$175,ISNUMBER($B$75)),$B$75,$B$61)),"")</x:f>
        <x:v>0.0625</x:v>
      </x:c>
      <x:c r="D716" s="440" t="n">
        <x:f>IF(AND(ISNUMBER(B716),B716=0),0,IF(AND($B$171=1,I715=0,ISNUMBER(C716),ISNUMBER(IF(AND(316&lt;=$B$174,316&lt;=$B$173),B716*C716/12,IF(AND(316=$B$173+1,AND(316&gt;$B$173,$B$78="Refinance",ISNUMBER($B$80),$B$80&gt;=0,$B$80&lt;=1,ROUND($B$81*12,0)&gt;=1,$B$81&lt;=100,SUM($B$82)&gt;=0,SUM($B$82)&lt;=1,SUM($B$83)&gt;=0)),IF(B716=0,0,IF(C716=0,B716/ROUND($B$81*12,0),B716*(C716/12)/(1-(1+C716/12)^(-ROUND($B$81*12,0))))),IF(AND(NOT(AND(316&gt;$B$173,$B$78="Refinance",ISNUMBER($B$80),$B$80&gt;=0,$B$80&lt;=1,ROUND($B$81*12,0)&gt;=1,$B$81&lt;=100,SUM($B$82)&gt;=0,SUM($B$82)&lt;=1,SUM($B$83)&gt;=0)),OR(316=1,316=$B$174+1,AND($B$175&gt;0,316=$B$175+1))),IF(AND($B$170=1,$B$66&gt;0,OR($B$175=0,316&lt;=$B$175)),$B$66,IF($B$172-MAX(316-1,$B$174)&gt;0,IF(B716=0,0,IF(C716=0,B716/($B$172-MAX(316-1,$B$174)),B716*(C716/12)/(1-(1+C716/12)^(-($B$172-MAX(316-1,$B$174)))))),"")),D715))))),IF(IF(AND(316&lt;=$B$174,316&lt;=$B$173),B716*C716/12,IF(AND(316=$B$173+1,AND(316&gt;$B$173,$B$78="Refinance",ISNUMBER($B$80),$B$80&gt;=0,$B$80&lt;=1,ROUND($B$81*12,0)&gt;=1,$B$81&lt;=100,SUM($B$82)&gt;=0,SUM($B$82)&lt;=1,SUM($B$83)&gt;=0)),IF(B716=0,0,IF(C716=0,B716/ROUND($B$81*12,0),B716*(C716/12)/(1-(1+C716/12)^(-ROUND($B$81*12,0))))),IF(AND(NOT(AND(316&gt;$B$173,$B$78="Refinance",ISNUMBER($B$80),$B$80&gt;=0,$B$80&lt;=1,ROUND($B$81*12,0)&gt;=1,$B$81&lt;=100,SUM($B$82)&gt;=0,SUM($B$82)&lt;=1,SUM($B$83)&gt;=0)),OR(316=1,316=$B$174+1,AND($B$175&gt;0,316=$B$175+1))),IF(AND($B$170=1,$B$66&gt;0,OR($B$175=0,316&lt;=$B$175)),$B$66,IF($B$172-MAX(316-1,$B$174)&gt;0,IF(B716=0,0,IF(C716=0,B716/($B$172-MAX(316-1,$B$174)),B716*(C716/12)/(1-(1+C716/12)^(-($B$172-MAX(316-1,$B$174)))))),"")),D715)))+0.0000001&gt;=B716*C716/12,MIN(B716*(1+C716/12),IF(AND(316&lt;=$B$174,316&lt;=$B$173),B716*C716/12,IF(AND(316=$B$173+1,AND(316&gt;$B$173,$B$78="Refinance",ISNUMBER($B$80),$B$80&gt;=0,$B$80&lt;=1,ROUND($B$81*12,0)&gt;=1,$B$81&lt;=100,SUM($B$82)&gt;=0,SUM($B$82)&lt;=1,SUM($B$83)&gt;=0)),IF(B716=0,0,IF(C716=0,B716/ROUND($B$81*12,0),B716*(C716/12)/(1-(1+C716/12)^(-ROUND($B$81*12,0))))),IF(AND(NOT(AND(316&gt;$B$173,$B$78="Refinance",ISNUMBER($B$80),$B$80&gt;=0,$B$80&lt;=1,ROUND($B$81*12,0)&gt;=1,$B$81&lt;=100,SUM($B$82)&gt;=0,SUM($B$82)&lt;=1,SUM($B$83)&gt;=0)),OR(316=1,316=$B$174+1,AND($B$175&gt;0,316=$B$175+1))),IF(AND($B$170=1,$B$66&gt;0,OR($B$175=0,316&lt;=$B$175)),$B$66,IF($B$172-MAX(316-1,$B$174)&gt;0,IF(B716=0,0,IF(C716=0,B716/($B$172-MAX(316-1,$B$174)),B716*(C716/12)/(1-(1+C716/12)^(-($B$172-MAX(316-1,$B$174)))))),"")),D715)))),""),""))</x:f>
        <x:v>4679.450723240598</x:v>
      </x:c>
      <x:c r="E716" s="440" t="n">
        <x:f>IF(AND(316=$B$173,ISNUMBER(D716)),IF(MAX(0,B716*(1+C716/12)-D716)&lt;MAX(0.0000001,$E$17*0.00000000001),0,MAX(0,B716*(1+C716/12)-D716)),0)</x:f>
        <x:v>0</x:v>
      </x:c>
      <x:c r="F716" s="440" t="n">
        <x:f>IF($B$78="Cash payoff",E716,0)</x:f>
        <x:v>0</x:v>
      </x:c>
      <x:c r="G716" s="440" t="n">
        <x:f>IF(AND(E716&gt;0,AND($B$78="Refinance",ISNUMBER($B$80),$B$80&gt;=0,$B$80&lt;=1,ROUND($B$81*12,0)&gt;=1,$B$81&lt;=100,SUM($B$82)&gt;=0,SUM($B$82)&lt;=1,SUM($B$83)&gt;=0)),E716*SUM($B$82)+SUM($B$83),0)</x:f>
        <x:v>0</x:v>
      </x:c>
      <x:c r="H716" s="440" t="n">
        <x:f>IF(ISNUMBER(D716),IF(MAX(0,B716*(1+C716/12)-D716-F716)&lt;MAX(0.0000001,$E$17*0.00000000001),0,MAX(0,B716*(1+C716/12)-D716-F716)),IF(AND($B$171=1,I715=1),B716,""))</x:f>
        <x:v>183582.0670757706</x:v>
      </x:c>
      <x:c r="I716" s="444" t="n">
        <x:f>IF(OR(I715=1,AND(E716&gt;0,$B$78&lt;&gt;"Cash payoff",NOT(AND($B$78="Refinance",ISNUMBER($B$80),$B$80&gt;=0,$B$80&lt;=1,ROUND($B$81*12,0)&gt;=1,$B$81&lt;=100,SUM($B$82)&gt;=0,SUM($B$82)&lt;=1,SUM($B$83)&gt;=0))),AND(ISNUMBER(B716),B716&gt;0,$B$171=1,NOT(ISNUMBER(D716)))),1,0)</x:f>
        <x:v>0</x:v>
      </x:c>
      <x:c r="J716" s="440" t="n">
        <x:f>IF(ISNUMBER(L715),L715,"")</x:f>
        <x:v>0</x:v>
      </x:c>
      <x:c r="K716" s="440" t="n">
        <x:f>IF(AND(ISNUMBER(J716),J716=0),0,IF(AND($B$176=1,ISNUMBER(J716)),MIN(J716*(1+$B$87/12),IF($B$86=0,0,IF($B$87=0,$B$86/ROUND($B$88*12,0),$B$86*($B$87/12)/(1-(1+$B$87/12)^(-ROUND($B$88*12,0)))))),""))</x:f>
        <x:v>0</x:v>
      </x:c>
      <x:c r="L716" s="440" t="n">
        <x:f>IF(ISNUMBER(K716),IF(MAX(0,J716*(1+SUM($B$87)/12)-K716)&lt;MAX(0.0000001,$B$86*0.00000000001),0,MAX(0,J716*(1+SUM($B$87)/12)-K716)),"")</x:f>
        <x:v>0</x:v>
      </x:c>
      <x:c r="M716" s="440" t="n">
        <x:f>IF(AND(ISNUMBER(D716),ISNUMBER(K716)),D716+K716,"")</x:f>
        <x:v>4679.450723240598</x:v>
      </x:c>
      <x:c r="N716" s="440" t="n">
        <x:f>IF(AND(ISNUMBER(H716),ISNUMBER(L716)),H716+L716,"")</x:f>
        <x:v>183582.0670757706</x:v>
      </x:c>
    </x:row>
    <x:row r="717" ht="22" customHeight="1">
      <x:c r="A717" s="254" t="n">
        <x:f>317</x:f>
        <x:v>317</x:v>
      </x:c>
      <x:c r="B717" s="440" t="n">
        <x:f>IF(ISNUMBER(H716),H716,"")</x:f>
        <x:v>183582.0670757706</x:v>
      </x:c>
      <x:c r="C717" s="442" t="n">
        <x:f>IF(ISNUMBER(B717),IF(AND(317&gt;$B$173,$B$78="Refinance",ISNUMBER($B$80),$B$80&gt;=0,$B$80&lt;=1,ROUND($B$81*12,0)&gt;=1,$B$81&lt;=100,SUM($B$82)&gt;=0,SUM($B$82)&lt;=1,SUM($B$83)&gt;=0),$B$80,IF(AND($B$175&gt;0,317&gt;$B$175,ISNUMBER($B$75)),$B$75,$B$61)),"")</x:f>
        <x:v>0.0625</x:v>
      </x:c>
      <x:c r="D717" s="440" t="n">
        <x:f>IF(AND(ISNUMBER(B717),B717=0),0,IF(AND($B$171=1,I716=0,ISNUMBER(C717),ISNUMBER(IF(AND(317&lt;=$B$174,317&lt;=$B$173),B717*C717/12,IF(AND(317=$B$173+1,AND(317&gt;$B$173,$B$78="Refinance",ISNUMBER($B$80),$B$80&gt;=0,$B$80&lt;=1,ROUND($B$81*12,0)&gt;=1,$B$81&lt;=100,SUM($B$82)&gt;=0,SUM($B$82)&lt;=1,SUM($B$83)&gt;=0)),IF(B717=0,0,IF(C717=0,B717/ROUND($B$81*12,0),B717*(C717/12)/(1-(1+C717/12)^(-ROUND($B$81*12,0))))),IF(AND(NOT(AND(317&gt;$B$173,$B$78="Refinance",ISNUMBER($B$80),$B$80&gt;=0,$B$80&lt;=1,ROUND($B$81*12,0)&gt;=1,$B$81&lt;=100,SUM($B$82)&gt;=0,SUM($B$82)&lt;=1,SUM($B$83)&gt;=0)),OR(317=1,317=$B$174+1,AND($B$175&gt;0,317=$B$175+1))),IF(AND($B$170=1,$B$66&gt;0,OR($B$175=0,317&lt;=$B$175)),$B$66,IF($B$172-MAX(317-1,$B$174)&gt;0,IF(B717=0,0,IF(C717=0,B717/($B$172-MAX(317-1,$B$174)),B717*(C717/12)/(1-(1+C717/12)^(-($B$172-MAX(317-1,$B$174)))))),"")),D716))))),IF(IF(AND(317&lt;=$B$174,317&lt;=$B$173),B717*C717/12,IF(AND(317=$B$173+1,AND(317&gt;$B$173,$B$78="Refinance",ISNUMBER($B$80),$B$80&gt;=0,$B$80&lt;=1,ROUND($B$81*12,0)&gt;=1,$B$81&lt;=100,SUM($B$82)&gt;=0,SUM($B$82)&lt;=1,SUM($B$83)&gt;=0)),IF(B717=0,0,IF(C717=0,B717/ROUND($B$81*12,0),B717*(C717/12)/(1-(1+C717/12)^(-ROUND($B$81*12,0))))),IF(AND(NOT(AND(317&gt;$B$173,$B$78="Refinance",ISNUMBER($B$80),$B$80&gt;=0,$B$80&lt;=1,ROUND($B$81*12,0)&gt;=1,$B$81&lt;=100,SUM($B$82)&gt;=0,SUM($B$82)&lt;=1,SUM($B$83)&gt;=0)),OR(317=1,317=$B$174+1,AND($B$175&gt;0,317=$B$175+1))),IF(AND($B$170=1,$B$66&gt;0,OR($B$175=0,317&lt;=$B$175)),$B$66,IF($B$172-MAX(317-1,$B$174)&gt;0,IF(B717=0,0,IF(C717=0,B717/($B$172-MAX(317-1,$B$174)),B717*(C717/12)/(1-(1+C717/12)^(-($B$172-MAX(317-1,$B$174)))))),"")),D716)))+0.0000001&gt;=B717*C717/12,MIN(B717*(1+C717/12),IF(AND(317&lt;=$B$174,317&lt;=$B$173),B717*C717/12,IF(AND(317=$B$173+1,AND(317&gt;$B$173,$B$78="Refinance",ISNUMBER($B$80),$B$80&gt;=0,$B$80&lt;=1,ROUND($B$81*12,0)&gt;=1,$B$81&lt;=100,SUM($B$82)&gt;=0,SUM($B$82)&lt;=1,SUM($B$83)&gt;=0)),IF(B717=0,0,IF(C717=0,B717/ROUND($B$81*12,0),B717*(C717/12)/(1-(1+C717/12)^(-ROUND($B$81*12,0))))),IF(AND(NOT(AND(317&gt;$B$173,$B$78="Refinance",ISNUMBER($B$80),$B$80&gt;=0,$B$80&lt;=1,ROUND($B$81*12,0)&gt;=1,$B$81&lt;=100,SUM($B$82)&gt;=0,SUM($B$82)&lt;=1,SUM($B$83)&gt;=0)),OR(317=1,317=$B$174+1,AND($B$175&gt;0,317=$B$175+1))),IF(AND($B$170=1,$B$66&gt;0,OR($B$175=0,317&lt;=$B$175)),$B$66,IF($B$172-MAX(317-1,$B$174)&gt;0,IF(B717=0,0,IF(C717=0,B717/($B$172-MAX(317-1,$B$174)),B717*(C717/12)/(1-(1+C717/12)^(-($B$172-MAX(317-1,$B$174)))))),"")),D716)))),""),""))</x:f>
        <x:v>4679.450723240598</x:v>
      </x:c>
      <x:c r="E717" s="440" t="n">
        <x:f>IF(AND(317=$B$173,ISNUMBER(D717)),IF(MAX(0,B717*(1+C717/12)-D717)&lt;MAX(0.0000001,$E$17*0.00000000001),0,MAX(0,B717*(1+C717/12)-D717)),0)</x:f>
        <x:v>0</x:v>
      </x:c>
      <x:c r="F717" s="440" t="n">
        <x:f>IF($B$78="Cash payoff",E717,0)</x:f>
        <x:v>0</x:v>
      </x:c>
      <x:c r="G717" s="440" t="n">
        <x:f>IF(AND(E717&gt;0,AND($B$78="Refinance",ISNUMBER($B$80),$B$80&gt;=0,$B$80&lt;=1,ROUND($B$81*12,0)&gt;=1,$B$81&lt;=100,SUM($B$82)&gt;=0,SUM($B$82)&lt;=1,SUM($B$83)&gt;=0)),E717*SUM($B$82)+SUM($B$83),0)</x:f>
        <x:v>0</x:v>
      </x:c>
      <x:c r="H717" s="440" t="n">
        <x:f>IF(ISNUMBER(D717),IF(MAX(0,B717*(1+C717/12)-D717-F717)&lt;MAX(0.0000001,$E$17*0.00000000001),0,MAX(0,B717*(1+C717/12)-D717-F717)),IF(AND($B$171=1,I716=1),B717,""))</x:f>
        <x:v>179858.77295188297</x:v>
      </x:c>
      <x:c r="I717" s="444" t="n">
        <x:f>IF(OR(I716=1,AND(E717&gt;0,$B$78&lt;&gt;"Cash payoff",NOT(AND($B$78="Refinance",ISNUMBER($B$80),$B$80&gt;=0,$B$80&lt;=1,ROUND($B$81*12,0)&gt;=1,$B$81&lt;=100,SUM($B$82)&gt;=0,SUM($B$82)&lt;=1,SUM($B$83)&gt;=0))),AND(ISNUMBER(B717),B717&gt;0,$B$171=1,NOT(ISNUMBER(D717)))),1,0)</x:f>
        <x:v>0</x:v>
      </x:c>
      <x:c r="J717" s="440" t="n">
        <x:f>IF(ISNUMBER(L716),L716,"")</x:f>
        <x:v>0</x:v>
      </x:c>
      <x:c r="K717" s="440" t="n">
        <x:f>IF(AND(ISNUMBER(J717),J717=0),0,IF(AND($B$176=1,ISNUMBER(J717)),MIN(J717*(1+$B$87/12),IF($B$86=0,0,IF($B$87=0,$B$86/ROUND($B$88*12,0),$B$86*($B$87/12)/(1-(1+$B$87/12)^(-ROUND($B$88*12,0)))))),""))</x:f>
        <x:v>0</x:v>
      </x:c>
      <x:c r="L717" s="440" t="n">
        <x:f>IF(ISNUMBER(K717),IF(MAX(0,J717*(1+SUM($B$87)/12)-K717)&lt;MAX(0.0000001,$B$86*0.00000000001),0,MAX(0,J717*(1+SUM($B$87)/12)-K717)),"")</x:f>
        <x:v>0</x:v>
      </x:c>
      <x:c r="M717" s="440" t="n">
        <x:f>IF(AND(ISNUMBER(D717),ISNUMBER(K717)),D717+K717,"")</x:f>
        <x:v>4679.450723240598</x:v>
      </x:c>
      <x:c r="N717" s="440" t="n">
        <x:f>IF(AND(ISNUMBER(H717),ISNUMBER(L717)),H717+L717,"")</x:f>
        <x:v>179858.77295188297</x:v>
      </x:c>
    </x:row>
    <x:row r="718" ht="22" customHeight="1">
      <x:c r="A718" s="254" t="n">
        <x:f>318</x:f>
        <x:v>318</x:v>
      </x:c>
      <x:c r="B718" s="440" t="n">
        <x:f>IF(ISNUMBER(H717),H717,"")</x:f>
        <x:v>179858.77295188297</x:v>
      </x:c>
      <x:c r="C718" s="442" t="n">
        <x:f>IF(ISNUMBER(B718),IF(AND(318&gt;$B$173,$B$78="Refinance",ISNUMBER($B$80),$B$80&gt;=0,$B$80&lt;=1,ROUND($B$81*12,0)&gt;=1,$B$81&lt;=100,SUM($B$82)&gt;=0,SUM($B$82)&lt;=1,SUM($B$83)&gt;=0),$B$80,IF(AND($B$175&gt;0,318&gt;$B$175,ISNUMBER($B$75)),$B$75,$B$61)),"")</x:f>
        <x:v>0.0625</x:v>
      </x:c>
      <x:c r="D718" s="440" t="n">
        <x:f>IF(AND(ISNUMBER(B718),B718=0),0,IF(AND($B$171=1,I717=0,ISNUMBER(C718),ISNUMBER(IF(AND(318&lt;=$B$174,318&lt;=$B$173),B718*C718/12,IF(AND(318=$B$173+1,AND(318&gt;$B$173,$B$78="Refinance",ISNUMBER($B$80),$B$80&gt;=0,$B$80&lt;=1,ROUND($B$81*12,0)&gt;=1,$B$81&lt;=100,SUM($B$82)&gt;=0,SUM($B$82)&lt;=1,SUM($B$83)&gt;=0)),IF(B718=0,0,IF(C718=0,B718/ROUND($B$81*12,0),B718*(C718/12)/(1-(1+C718/12)^(-ROUND($B$81*12,0))))),IF(AND(NOT(AND(318&gt;$B$173,$B$78="Refinance",ISNUMBER($B$80),$B$80&gt;=0,$B$80&lt;=1,ROUND($B$81*12,0)&gt;=1,$B$81&lt;=100,SUM($B$82)&gt;=0,SUM($B$82)&lt;=1,SUM($B$83)&gt;=0)),OR(318=1,318=$B$174+1,AND($B$175&gt;0,318=$B$175+1))),IF(AND($B$170=1,$B$66&gt;0,OR($B$175=0,318&lt;=$B$175)),$B$66,IF($B$172-MAX(318-1,$B$174)&gt;0,IF(B718=0,0,IF(C718=0,B718/($B$172-MAX(318-1,$B$174)),B718*(C718/12)/(1-(1+C718/12)^(-($B$172-MAX(318-1,$B$174)))))),"")),D717))))),IF(IF(AND(318&lt;=$B$174,318&lt;=$B$173),B718*C718/12,IF(AND(318=$B$173+1,AND(318&gt;$B$173,$B$78="Refinance",ISNUMBER($B$80),$B$80&gt;=0,$B$80&lt;=1,ROUND($B$81*12,0)&gt;=1,$B$81&lt;=100,SUM($B$82)&gt;=0,SUM($B$82)&lt;=1,SUM($B$83)&gt;=0)),IF(B718=0,0,IF(C718=0,B718/ROUND($B$81*12,0),B718*(C718/12)/(1-(1+C718/12)^(-ROUND($B$81*12,0))))),IF(AND(NOT(AND(318&gt;$B$173,$B$78="Refinance",ISNUMBER($B$80),$B$80&gt;=0,$B$80&lt;=1,ROUND($B$81*12,0)&gt;=1,$B$81&lt;=100,SUM($B$82)&gt;=0,SUM($B$82)&lt;=1,SUM($B$83)&gt;=0)),OR(318=1,318=$B$174+1,AND($B$175&gt;0,318=$B$175+1))),IF(AND($B$170=1,$B$66&gt;0,OR($B$175=0,318&lt;=$B$175)),$B$66,IF($B$172-MAX(318-1,$B$174)&gt;0,IF(B718=0,0,IF(C718=0,B718/($B$172-MAX(318-1,$B$174)),B718*(C718/12)/(1-(1+C718/12)^(-($B$172-MAX(318-1,$B$174)))))),"")),D717)))+0.0000001&gt;=B718*C718/12,MIN(B718*(1+C718/12),IF(AND(318&lt;=$B$174,318&lt;=$B$173),B718*C718/12,IF(AND(318=$B$173+1,AND(318&gt;$B$173,$B$78="Refinance",ISNUMBER($B$80),$B$80&gt;=0,$B$80&lt;=1,ROUND($B$81*12,0)&gt;=1,$B$81&lt;=100,SUM($B$82)&gt;=0,SUM($B$82)&lt;=1,SUM($B$83)&gt;=0)),IF(B718=0,0,IF(C718=0,B718/ROUND($B$81*12,0),B718*(C718/12)/(1-(1+C718/12)^(-ROUND($B$81*12,0))))),IF(AND(NOT(AND(318&gt;$B$173,$B$78="Refinance",ISNUMBER($B$80),$B$80&gt;=0,$B$80&lt;=1,ROUND($B$81*12,0)&gt;=1,$B$81&lt;=100,SUM($B$82)&gt;=0,SUM($B$82)&lt;=1,SUM($B$83)&gt;=0)),OR(318=1,318=$B$174+1,AND($B$175&gt;0,318=$B$175+1))),IF(AND($B$170=1,$B$66&gt;0,OR($B$175=0,318&lt;=$B$175)),$B$66,IF($B$172-MAX(318-1,$B$174)&gt;0,IF(B718=0,0,IF(C718=0,B718/($B$172-MAX(318-1,$B$174)),B718*(C718/12)/(1-(1+C718/12)^(-($B$172-MAX(318-1,$B$174)))))),"")),D717)))),""),""))</x:f>
        <x:v>4679.450723240598</x:v>
      </x:c>
      <x:c r="E718" s="440" t="n">
        <x:f>IF(AND(318=$B$173,ISNUMBER(D718)),IF(MAX(0,B718*(1+C718/12)-D718)&lt;MAX(0.0000001,$E$17*0.00000000001),0,MAX(0,B718*(1+C718/12)-D718)),0)</x:f>
        <x:v>0</x:v>
      </x:c>
      <x:c r="F718" s="440" t="n">
        <x:f>IF($B$78="Cash payoff",E718,0)</x:f>
        <x:v>0</x:v>
      </x:c>
      <x:c r="G718" s="440" t="n">
        <x:f>IF(AND(E718&gt;0,AND($B$78="Refinance",ISNUMBER($B$80),$B$80&gt;=0,$B$80&lt;=1,ROUND($B$81*12,0)&gt;=1,$B$81&lt;=100,SUM($B$82)&gt;=0,SUM($B$82)&lt;=1,SUM($B$83)&gt;=0)),E718*SUM($B$82)+SUM($B$83),0)</x:f>
        <x:v>0</x:v>
      </x:c>
      <x:c r="H718" s="440" t="n">
        <x:f>IF(ISNUMBER(D718),IF(MAX(0,B718*(1+C718/12)-D718-F718)&lt;MAX(0.0000001,$E$17*0.00000000001),0,MAX(0,B718*(1+C718/12)-D718-F718)),IF(AND($B$171=1,I717=1),B718,""))</x:f>
        <x:v>176116.08667110009</x:v>
      </x:c>
      <x:c r="I718" s="444" t="n">
        <x:f>IF(OR(I717=1,AND(E718&gt;0,$B$78&lt;&gt;"Cash payoff",NOT(AND($B$78="Refinance",ISNUMBER($B$80),$B$80&gt;=0,$B$80&lt;=1,ROUND($B$81*12,0)&gt;=1,$B$81&lt;=100,SUM($B$82)&gt;=0,SUM($B$82)&lt;=1,SUM($B$83)&gt;=0))),AND(ISNUMBER(B718),B718&gt;0,$B$171=1,NOT(ISNUMBER(D718)))),1,0)</x:f>
        <x:v>0</x:v>
      </x:c>
      <x:c r="J718" s="440" t="n">
        <x:f>IF(ISNUMBER(L717),L717,"")</x:f>
        <x:v>0</x:v>
      </x:c>
      <x:c r="K718" s="440" t="n">
        <x:f>IF(AND(ISNUMBER(J718),J718=0),0,IF(AND($B$176=1,ISNUMBER(J718)),MIN(J718*(1+$B$87/12),IF($B$86=0,0,IF($B$87=0,$B$86/ROUND($B$88*12,0),$B$86*($B$87/12)/(1-(1+$B$87/12)^(-ROUND($B$88*12,0)))))),""))</x:f>
        <x:v>0</x:v>
      </x:c>
      <x:c r="L718" s="440" t="n">
        <x:f>IF(ISNUMBER(K718),IF(MAX(0,J718*(1+SUM($B$87)/12)-K718)&lt;MAX(0.0000001,$B$86*0.00000000001),0,MAX(0,J718*(1+SUM($B$87)/12)-K718)),"")</x:f>
        <x:v>0</x:v>
      </x:c>
      <x:c r="M718" s="440" t="n">
        <x:f>IF(AND(ISNUMBER(D718),ISNUMBER(K718)),D718+K718,"")</x:f>
        <x:v>4679.450723240598</x:v>
      </x:c>
      <x:c r="N718" s="440" t="n">
        <x:f>IF(AND(ISNUMBER(H718),ISNUMBER(L718)),H718+L718,"")</x:f>
        <x:v>176116.08667110009</x:v>
      </x:c>
    </x:row>
    <x:row r="719" ht="22" customHeight="1">
      <x:c r="A719" s="254" t="n">
        <x:f>319</x:f>
        <x:v>319</x:v>
      </x:c>
      <x:c r="B719" s="440" t="n">
        <x:f>IF(ISNUMBER(H718),H718,"")</x:f>
        <x:v>176116.08667110009</x:v>
      </x:c>
      <x:c r="C719" s="442" t="n">
        <x:f>IF(ISNUMBER(B719),IF(AND(319&gt;$B$173,$B$78="Refinance",ISNUMBER($B$80),$B$80&gt;=0,$B$80&lt;=1,ROUND($B$81*12,0)&gt;=1,$B$81&lt;=100,SUM($B$82)&gt;=0,SUM($B$82)&lt;=1,SUM($B$83)&gt;=0),$B$80,IF(AND($B$175&gt;0,319&gt;$B$175,ISNUMBER($B$75)),$B$75,$B$61)),"")</x:f>
        <x:v>0.0625</x:v>
      </x:c>
      <x:c r="D719" s="440" t="n">
        <x:f>IF(AND(ISNUMBER(B719),B719=0),0,IF(AND($B$171=1,I718=0,ISNUMBER(C719),ISNUMBER(IF(AND(319&lt;=$B$174,319&lt;=$B$173),B719*C719/12,IF(AND(319=$B$173+1,AND(319&gt;$B$173,$B$78="Refinance",ISNUMBER($B$80),$B$80&gt;=0,$B$80&lt;=1,ROUND($B$81*12,0)&gt;=1,$B$81&lt;=100,SUM($B$82)&gt;=0,SUM($B$82)&lt;=1,SUM($B$83)&gt;=0)),IF(B719=0,0,IF(C719=0,B719/ROUND($B$81*12,0),B719*(C719/12)/(1-(1+C719/12)^(-ROUND($B$81*12,0))))),IF(AND(NOT(AND(319&gt;$B$173,$B$78="Refinance",ISNUMBER($B$80),$B$80&gt;=0,$B$80&lt;=1,ROUND($B$81*12,0)&gt;=1,$B$81&lt;=100,SUM($B$82)&gt;=0,SUM($B$82)&lt;=1,SUM($B$83)&gt;=0)),OR(319=1,319=$B$174+1,AND($B$175&gt;0,319=$B$175+1))),IF(AND($B$170=1,$B$66&gt;0,OR($B$175=0,319&lt;=$B$175)),$B$66,IF($B$172-MAX(319-1,$B$174)&gt;0,IF(B719=0,0,IF(C719=0,B719/($B$172-MAX(319-1,$B$174)),B719*(C719/12)/(1-(1+C719/12)^(-($B$172-MAX(319-1,$B$174)))))),"")),D718))))),IF(IF(AND(319&lt;=$B$174,319&lt;=$B$173),B719*C719/12,IF(AND(319=$B$173+1,AND(319&gt;$B$173,$B$78="Refinance",ISNUMBER($B$80),$B$80&gt;=0,$B$80&lt;=1,ROUND($B$81*12,0)&gt;=1,$B$81&lt;=100,SUM($B$82)&gt;=0,SUM($B$82)&lt;=1,SUM($B$83)&gt;=0)),IF(B719=0,0,IF(C719=0,B719/ROUND($B$81*12,0),B719*(C719/12)/(1-(1+C719/12)^(-ROUND($B$81*12,0))))),IF(AND(NOT(AND(319&gt;$B$173,$B$78="Refinance",ISNUMBER($B$80),$B$80&gt;=0,$B$80&lt;=1,ROUND($B$81*12,0)&gt;=1,$B$81&lt;=100,SUM($B$82)&gt;=0,SUM($B$82)&lt;=1,SUM($B$83)&gt;=0)),OR(319=1,319=$B$174+1,AND($B$175&gt;0,319=$B$175+1))),IF(AND($B$170=1,$B$66&gt;0,OR($B$175=0,319&lt;=$B$175)),$B$66,IF($B$172-MAX(319-1,$B$174)&gt;0,IF(B719=0,0,IF(C719=0,B719/($B$172-MAX(319-1,$B$174)),B719*(C719/12)/(1-(1+C719/12)^(-($B$172-MAX(319-1,$B$174)))))),"")),D718)))+0.0000001&gt;=B719*C719/12,MIN(B719*(1+C719/12),IF(AND(319&lt;=$B$174,319&lt;=$B$173),B719*C719/12,IF(AND(319=$B$173+1,AND(319&gt;$B$173,$B$78="Refinance",ISNUMBER($B$80),$B$80&gt;=0,$B$80&lt;=1,ROUND($B$81*12,0)&gt;=1,$B$81&lt;=100,SUM($B$82)&gt;=0,SUM($B$82)&lt;=1,SUM($B$83)&gt;=0)),IF(B719=0,0,IF(C719=0,B719/ROUND($B$81*12,0),B719*(C719/12)/(1-(1+C719/12)^(-ROUND($B$81*12,0))))),IF(AND(NOT(AND(319&gt;$B$173,$B$78="Refinance",ISNUMBER($B$80),$B$80&gt;=0,$B$80&lt;=1,ROUND($B$81*12,0)&gt;=1,$B$81&lt;=100,SUM($B$82)&gt;=0,SUM($B$82)&lt;=1,SUM($B$83)&gt;=0)),OR(319=1,319=$B$174+1,AND($B$175&gt;0,319=$B$175+1))),IF(AND($B$170=1,$B$66&gt;0,OR($B$175=0,319&lt;=$B$175)),$B$66,IF($B$172-MAX(319-1,$B$174)&gt;0,IF(B719=0,0,IF(C719=0,B719/($B$172-MAX(319-1,$B$174)),B719*(C719/12)/(1-(1+C719/12)^(-($B$172-MAX(319-1,$B$174)))))),"")),D718)))),""),""))</x:f>
        <x:v>4679.450723240598</x:v>
      </x:c>
      <x:c r="E719" s="440" t="n">
        <x:f>IF(AND(319=$B$173,ISNUMBER(D719)),IF(MAX(0,B719*(1+C719/12)-D719)&lt;MAX(0.0000001,$E$17*0.00000000001),0,MAX(0,B719*(1+C719/12)-D719)),0)</x:f>
        <x:v>0</x:v>
      </x:c>
      <x:c r="F719" s="440" t="n">
        <x:f>IF($B$78="Cash payoff",E719,0)</x:f>
        <x:v>0</x:v>
      </x:c>
      <x:c r="G719" s="440" t="n">
        <x:f>IF(AND(E719&gt;0,AND($B$78="Refinance",ISNUMBER($B$80),$B$80&gt;=0,$B$80&lt;=1,ROUND($B$81*12,0)&gt;=1,$B$81&lt;=100,SUM($B$82)&gt;=0,SUM($B$82)&lt;=1,SUM($B$83)&gt;=0)),E719*SUM($B$82)+SUM($B$83),0)</x:f>
        <x:v>0</x:v>
      </x:c>
      <x:c r="H719" s="440" t="n">
        <x:f>IF(ISNUMBER(D719),IF(MAX(0,B719*(1+C719/12)-D719-F719)&lt;MAX(0.0000001,$E$17*0.00000000001),0,MAX(0,B719*(1+C719/12)-D719-F719)),IF(AND($B$171=1,I718=1),B719,""))</x:f>
        <x:v>172353.9072326048</x:v>
      </x:c>
      <x:c r="I719" s="444" t="n">
        <x:f>IF(OR(I718=1,AND(E719&gt;0,$B$78&lt;&gt;"Cash payoff",NOT(AND($B$78="Refinance",ISNUMBER($B$80),$B$80&gt;=0,$B$80&lt;=1,ROUND($B$81*12,0)&gt;=1,$B$81&lt;=100,SUM($B$82)&gt;=0,SUM($B$82)&lt;=1,SUM($B$83)&gt;=0))),AND(ISNUMBER(B719),B719&gt;0,$B$171=1,NOT(ISNUMBER(D719)))),1,0)</x:f>
        <x:v>0</x:v>
      </x:c>
      <x:c r="J719" s="440" t="n">
        <x:f>IF(ISNUMBER(L718),L718,"")</x:f>
        <x:v>0</x:v>
      </x:c>
      <x:c r="K719" s="440" t="n">
        <x:f>IF(AND(ISNUMBER(J719),J719=0),0,IF(AND($B$176=1,ISNUMBER(J719)),MIN(J719*(1+$B$87/12),IF($B$86=0,0,IF($B$87=0,$B$86/ROUND($B$88*12,0),$B$86*($B$87/12)/(1-(1+$B$87/12)^(-ROUND($B$88*12,0)))))),""))</x:f>
        <x:v>0</x:v>
      </x:c>
      <x:c r="L719" s="440" t="n">
        <x:f>IF(ISNUMBER(K719),IF(MAX(0,J719*(1+SUM($B$87)/12)-K719)&lt;MAX(0.0000001,$B$86*0.00000000001),0,MAX(0,J719*(1+SUM($B$87)/12)-K719)),"")</x:f>
        <x:v>0</x:v>
      </x:c>
      <x:c r="M719" s="440" t="n">
        <x:f>IF(AND(ISNUMBER(D719),ISNUMBER(K719)),D719+K719,"")</x:f>
        <x:v>4679.450723240598</x:v>
      </x:c>
      <x:c r="N719" s="440" t="n">
        <x:f>IF(AND(ISNUMBER(H719),ISNUMBER(L719)),H719+L719,"")</x:f>
        <x:v>172353.9072326048</x:v>
      </x:c>
    </x:row>
    <x:row r="720" ht="22" customHeight="1">
      <x:c r="A720" s="254" t="n">
        <x:f>320</x:f>
        <x:v>320</x:v>
      </x:c>
      <x:c r="B720" s="440" t="n">
        <x:f>IF(ISNUMBER(H719),H719,"")</x:f>
        <x:v>172353.9072326048</x:v>
      </x:c>
      <x:c r="C720" s="442" t="n">
        <x:f>IF(ISNUMBER(B720),IF(AND(320&gt;$B$173,$B$78="Refinance",ISNUMBER($B$80),$B$80&gt;=0,$B$80&lt;=1,ROUND($B$81*12,0)&gt;=1,$B$81&lt;=100,SUM($B$82)&gt;=0,SUM($B$82)&lt;=1,SUM($B$83)&gt;=0),$B$80,IF(AND($B$175&gt;0,320&gt;$B$175,ISNUMBER($B$75)),$B$75,$B$61)),"")</x:f>
        <x:v>0.0625</x:v>
      </x:c>
      <x:c r="D720" s="440" t="n">
        <x:f>IF(AND(ISNUMBER(B720),B720=0),0,IF(AND($B$171=1,I719=0,ISNUMBER(C720),ISNUMBER(IF(AND(320&lt;=$B$174,320&lt;=$B$173),B720*C720/12,IF(AND(320=$B$173+1,AND(320&gt;$B$173,$B$78="Refinance",ISNUMBER($B$80),$B$80&gt;=0,$B$80&lt;=1,ROUND($B$81*12,0)&gt;=1,$B$81&lt;=100,SUM($B$82)&gt;=0,SUM($B$82)&lt;=1,SUM($B$83)&gt;=0)),IF(B720=0,0,IF(C720=0,B720/ROUND($B$81*12,0),B720*(C720/12)/(1-(1+C720/12)^(-ROUND($B$81*12,0))))),IF(AND(NOT(AND(320&gt;$B$173,$B$78="Refinance",ISNUMBER($B$80),$B$80&gt;=0,$B$80&lt;=1,ROUND($B$81*12,0)&gt;=1,$B$81&lt;=100,SUM($B$82)&gt;=0,SUM($B$82)&lt;=1,SUM($B$83)&gt;=0)),OR(320=1,320=$B$174+1,AND($B$175&gt;0,320=$B$175+1))),IF(AND($B$170=1,$B$66&gt;0,OR($B$175=0,320&lt;=$B$175)),$B$66,IF($B$172-MAX(320-1,$B$174)&gt;0,IF(B720=0,0,IF(C720=0,B720/($B$172-MAX(320-1,$B$174)),B720*(C720/12)/(1-(1+C720/12)^(-($B$172-MAX(320-1,$B$174)))))),"")),D719))))),IF(IF(AND(320&lt;=$B$174,320&lt;=$B$173),B720*C720/12,IF(AND(320=$B$173+1,AND(320&gt;$B$173,$B$78="Refinance",ISNUMBER($B$80),$B$80&gt;=0,$B$80&lt;=1,ROUND($B$81*12,0)&gt;=1,$B$81&lt;=100,SUM($B$82)&gt;=0,SUM($B$82)&lt;=1,SUM($B$83)&gt;=0)),IF(B720=0,0,IF(C720=0,B720/ROUND($B$81*12,0),B720*(C720/12)/(1-(1+C720/12)^(-ROUND($B$81*12,0))))),IF(AND(NOT(AND(320&gt;$B$173,$B$78="Refinance",ISNUMBER($B$80),$B$80&gt;=0,$B$80&lt;=1,ROUND($B$81*12,0)&gt;=1,$B$81&lt;=100,SUM($B$82)&gt;=0,SUM($B$82)&lt;=1,SUM($B$83)&gt;=0)),OR(320=1,320=$B$174+1,AND($B$175&gt;0,320=$B$175+1))),IF(AND($B$170=1,$B$66&gt;0,OR($B$175=0,320&lt;=$B$175)),$B$66,IF($B$172-MAX(320-1,$B$174)&gt;0,IF(B720=0,0,IF(C720=0,B720/($B$172-MAX(320-1,$B$174)),B720*(C720/12)/(1-(1+C720/12)^(-($B$172-MAX(320-1,$B$174)))))),"")),D719)))+0.0000001&gt;=B720*C720/12,MIN(B720*(1+C720/12),IF(AND(320&lt;=$B$174,320&lt;=$B$173),B720*C720/12,IF(AND(320=$B$173+1,AND(320&gt;$B$173,$B$78="Refinance",ISNUMBER($B$80),$B$80&gt;=0,$B$80&lt;=1,ROUND($B$81*12,0)&gt;=1,$B$81&lt;=100,SUM($B$82)&gt;=0,SUM($B$82)&lt;=1,SUM($B$83)&gt;=0)),IF(B720=0,0,IF(C720=0,B720/ROUND($B$81*12,0),B720*(C720/12)/(1-(1+C720/12)^(-ROUND($B$81*12,0))))),IF(AND(NOT(AND(320&gt;$B$173,$B$78="Refinance",ISNUMBER($B$80),$B$80&gt;=0,$B$80&lt;=1,ROUND($B$81*12,0)&gt;=1,$B$81&lt;=100,SUM($B$82)&gt;=0,SUM($B$82)&lt;=1,SUM($B$83)&gt;=0)),OR(320=1,320=$B$174+1,AND($B$175&gt;0,320=$B$175+1))),IF(AND($B$170=1,$B$66&gt;0,OR($B$175=0,320&lt;=$B$175)),$B$66,IF($B$172-MAX(320-1,$B$174)&gt;0,IF(B720=0,0,IF(C720=0,B720/($B$172-MAX(320-1,$B$174)),B720*(C720/12)/(1-(1+C720/12)^(-($B$172-MAX(320-1,$B$174)))))),"")),D719)))),""),""))</x:f>
        <x:v>4679.450723240598</x:v>
      </x:c>
      <x:c r="E720" s="440" t="n">
        <x:f>IF(AND(320=$B$173,ISNUMBER(D720)),IF(MAX(0,B720*(1+C720/12)-D720)&lt;MAX(0.0000001,$E$17*0.00000000001),0,MAX(0,B720*(1+C720/12)-D720)),0)</x:f>
        <x:v>0</x:v>
      </x:c>
      <x:c r="F720" s="440" t="n">
        <x:f>IF($B$78="Cash payoff",E720,0)</x:f>
        <x:v>0</x:v>
      </x:c>
      <x:c r="G720" s="440" t="n">
        <x:f>IF(AND(E720&gt;0,AND($B$78="Refinance",ISNUMBER($B$80),$B$80&gt;=0,$B$80&lt;=1,ROUND($B$81*12,0)&gt;=1,$B$81&lt;=100,SUM($B$82)&gt;=0,SUM($B$82)&lt;=1,SUM($B$83)&gt;=0)),E720*SUM($B$82)+SUM($B$83),0)</x:f>
        <x:v>0</x:v>
      </x:c>
      <x:c r="H720" s="440" t="n">
        <x:f>IF(ISNUMBER(D720),IF(MAX(0,B720*(1+C720/12)-D720-F720)&lt;MAX(0.0000001,$E$17*0.00000000001),0,MAX(0,B720*(1+C720/12)-D720-F720)),IF(AND($B$171=1,I719=1),B720,""))</x:f>
        <x:v>168572.133109534</x:v>
      </x:c>
      <x:c r="I720" s="444" t="n">
        <x:f>IF(OR(I719=1,AND(E720&gt;0,$B$78&lt;&gt;"Cash payoff",NOT(AND($B$78="Refinance",ISNUMBER($B$80),$B$80&gt;=0,$B$80&lt;=1,ROUND($B$81*12,0)&gt;=1,$B$81&lt;=100,SUM($B$82)&gt;=0,SUM($B$82)&lt;=1,SUM($B$83)&gt;=0))),AND(ISNUMBER(B720),B720&gt;0,$B$171=1,NOT(ISNUMBER(D720)))),1,0)</x:f>
        <x:v>0</x:v>
      </x:c>
      <x:c r="J720" s="440" t="n">
        <x:f>IF(ISNUMBER(L719),L719,"")</x:f>
        <x:v>0</x:v>
      </x:c>
      <x:c r="K720" s="440" t="n">
        <x:f>IF(AND(ISNUMBER(J720),J720=0),0,IF(AND($B$176=1,ISNUMBER(J720)),MIN(J720*(1+$B$87/12),IF($B$86=0,0,IF($B$87=0,$B$86/ROUND($B$88*12,0),$B$86*($B$87/12)/(1-(1+$B$87/12)^(-ROUND($B$88*12,0)))))),""))</x:f>
        <x:v>0</x:v>
      </x:c>
      <x:c r="L720" s="440" t="n">
        <x:f>IF(ISNUMBER(K720),IF(MAX(0,J720*(1+SUM($B$87)/12)-K720)&lt;MAX(0.0000001,$B$86*0.00000000001),0,MAX(0,J720*(1+SUM($B$87)/12)-K720)),"")</x:f>
        <x:v>0</x:v>
      </x:c>
      <x:c r="M720" s="440" t="n">
        <x:f>IF(AND(ISNUMBER(D720),ISNUMBER(K720)),D720+K720,"")</x:f>
        <x:v>4679.450723240598</x:v>
      </x:c>
      <x:c r="N720" s="440" t="n">
        <x:f>IF(AND(ISNUMBER(H720),ISNUMBER(L720)),H720+L720,"")</x:f>
        <x:v>168572.133109534</x:v>
      </x:c>
    </x:row>
    <x:row r="721" ht="22" customHeight="1">
      <x:c r="A721" s="254" t="n">
        <x:f>321</x:f>
        <x:v>321</x:v>
      </x:c>
      <x:c r="B721" s="440" t="n">
        <x:f>IF(ISNUMBER(H720),H720,"")</x:f>
        <x:v>168572.133109534</x:v>
      </x:c>
      <x:c r="C721" s="442" t="n">
        <x:f>IF(ISNUMBER(B721),IF(AND(321&gt;$B$173,$B$78="Refinance",ISNUMBER($B$80),$B$80&gt;=0,$B$80&lt;=1,ROUND($B$81*12,0)&gt;=1,$B$81&lt;=100,SUM($B$82)&gt;=0,SUM($B$82)&lt;=1,SUM($B$83)&gt;=0),$B$80,IF(AND($B$175&gt;0,321&gt;$B$175,ISNUMBER($B$75)),$B$75,$B$61)),"")</x:f>
        <x:v>0.0625</x:v>
      </x:c>
      <x:c r="D721" s="440" t="n">
        <x:f>IF(AND(ISNUMBER(B721),B721=0),0,IF(AND($B$171=1,I720=0,ISNUMBER(C721),ISNUMBER(IF(AND(321&lt;=$B$174,321&lt;=$B$173),B721*C721/12,IF(AND(321=$B$173+1,AND(321&gt;$B$173,$B$78="Refinance",ISNUMBER($B$80),$B$80&gt;=0,$B$80&lt;=1,ROUND($B$81*12,0)&gt;=1,$B$81&lt;=100,SUM($B$82)&gt;=0,SUM($B$82)&lt;=1,SUM($B$83)&gt;=0)),IF(B721=0,0,IF(C721=0,B721/ROUND($B$81*12,0),B721*(C721/12)/(1-(1+C721/12)^(-ROUND($B$81*12,0))))),IF(AND(NOT(AND(321&gt;$B$173,$B$78="Refinance",ISNUMBER($B$80),$B$80&gt;=0,$B$80&lt;=1,ROUND($B$81*12,0)&gt;=1,$B$81&lt;=100,SUM($B$82)&gt;=0,SUM($B$82)&lt;=1,SUM($B$83)&gt;=0)),OR(321=1,321=$B$174+1,AND($B$175&gt;0,321=$B$175+1))),IF(AND($B$170=1,$B$66&gt;0,OR($B$175=0,321&lt;=$B$175)),$B$66,IF($B$172-MAX(321-1,$B$174)&gt;0,IF(B721=0,0,IF(C721=0,B721/($B$172-MAX(321-1,$B$174)),B721*(C721/12)/(1-(1+C721/12)^(-($B$172-MAX(321-1,$B$174)))))),"")),D720))))),IF(IF(AND(321&lt;=$B$174,321&lt;=$B$173),B721*C721/12,IF(AND(321=$B$173+1,AND(321&gt;$B$173,$B$78="Refinance",ISNUMBER($B$80),$B$80&gt;=0,$B$80&lt;=1,ROUND($B$81*12,0)&gt;=1,$B$81&lt;=100,SUM($B$82)&gt;=0,SUM($B$82)&lt;=1,SUM($B$83)&gt;=0)),IF(B721=0,0,IF(C721=0,B721/ROUND($B$81*12,0),B721*(C721/12)/(1-(1+C721/12)^(-ROUND($B$81*12,0))))),IF(AND(NOT(AND(321&gt;$B$173,$B$78="Refinance",ISNUMBER($B$80),$B$80&gt;=0,$B$80&lt;=1,ROUND($B$81*12,0)&gt;=1,$B$81&lt;=100,SUM($B$82)&gt;=0,SUM($B$82)&lt;=1,SUM($B$83)&gt;=0)),OR(321=1,321=$B$174+1,AND($B$175&gt;0,321=$B$175+1))),IF(AND($B$170=1,$B$66&gt;0,OR($B$175=0,321&lt;=$B$175)),$B$66,IF($B$172-MAX(321-1,$B$174)&gt;0,IF(B721=0,0,IF(C721=0,B721/($B$172-MAX(321-1,$B$174)),B721*(C721/12)/(1-(1+C721/12)^(-($B$172-MAX(321-1,$B$174)))))),"")),D720)))+0.0000001&gt;=B721*C721/12,MIN(B721*(1+C721/12),IF(AND(321&lt;=$B$174,321&lt;=$B$173),B721*C721/12,IF(AND(321=$B$173+1,AND(321&gt;$B$173,$B$78="Refinance",ISNUMBER($B$80),$B$80&gt;=0,$B$80&lt;=1,ROUND($B$81*12,0)&gt;=1,$B$81&lt;=100,SUM($B$82)&gt;=0,SUM($B$82)&lt;=1,SUM($B$83)&gt;=0)),IF(B721=0,0,IF(C721=0,B721/ROUND($B$81*12,0),B721*(C721/12)/(1-(1+C721/12)^(-ROUND($B$81*12,0))))),IF(AND(NOT(AND(321&gt;$B$173,$B$78="Refinance",ISNUMBER($B$80),$B$80&gt;=0,$B$80&lt;=1,ROUND($B$81*12,0)&gt;=1,$B$81&lt;=100,SUM($B$82)&gt;=0,SUM($B$82)&lt;=1,SUM($B$83)&gt;=0)),OR(321=1,321=$B$174+1,AND($B$175&gt;0,321=$B$175+1))),IF(AND($B$170=1,$B$66&gt;0,OR($B$175=0,321&lt;=$B$175)),$B$66,IF($B$172-MAX(321-1,$B$174)&gt;0,IF(B721=0,0,IF(C721=0,B721/($B$172-MAX(321-1,$B$174)),B721*(C721/12)/(1-(1+C721/12)^(-($B$172-MAX(321-1,$B$174)))))),"")),D720)))),""),""))</x:f>
        <x:v>4679.450723240598</x:v>
      </x:c>
      <x:c r="E721" s="440" t="n">
        <x:f>IF(AND(321=$B$173,ISNUMBER(D721)),IF(MAX(0,B721*(1+C721/12)-D721)&lt;MAX(0.0000001,$E$17*0.00000000001),0,MAX(0,B721*(1+C721/12)-D721)),0)</x:f>
        <x:v>0</x:v>
      </x:c>
      <x:c r="F721" s="440" t="n">
        <x:f>IF($B$78="Cash payoff",E721,0)</x:f>
        <x:v>0</x:v>
      </x:c>
      <x:c r="G721" s="440" t="n">
        <x:f>IF(AND(E721&gt;0,AND($B$78="Refinance",ISNUMBER($B$80),$B$80&gt;=0,$B$80&lt;=1,ROUND($B$81*12,0)&gt;=1,$B$81&lt;=100,SUM($B$82)&gt;=0,SUM($B$82)&lt;=1,SUM($B$83)&gt;=0)),E721*SUM($B$82)+SUM($B$83),0)</x:f>
        <x:v>0</x:v>
      </x:c>
      <x:c r="H721" s="440" t="n">
        <x:f>IF(ISNUMBER(D721),IF(MAX(0,B721*(1+C721/12)-D721-F721)&lt;MAX(0.0000001,$E$17*0.00000000001),0,MAX(0,B721*(1+C721/12)-D721-F721)),IF(AND($B$171=1,I720=1),B721,""))</x:f>
        <x:v>164770.6622462389</x:v>
      </x:c>
      <x:c r="I721" s="444" t="n">
        <x:f>IF(OR(I720=1,AND(E721&gt;0,$B$78&lt;&gt;"Cash payoff",NOT(AND($B$78="Refinance",ISNUMBER($B$80),$B$80&gt;=0,$B$80&lt;=1,ROUND($B$81*12,0)&gt;=1,$B$81&lt;=100,SUM($B$82)&gt;=0,SUM($B$82)&lt;=1,SUM($B$83)&gt;=0))),AND(ISNUMBER(B721),B721&gt;0,$B$171=1,NOT(ISNUMBER(D721)))),1,0)</x:f>
        <x:v>0</x:v>
      </x:c>
      <x:c r="J721" s="440" t="n">
        <x:f>IF(ISNUMBER(L720),L720,"")</x:f>
        <x:v>0</x:v>
      </x:c>
      <x:c r="K721" s="440" t="n">
        <x:f>IF(AND(ISNUMBER(J721),J721=0),0,IF(AND($B$176=1,ISNUMBER(J721)),MIN(J721*(1+$B$87/12),IF($B$86=0,0,IF($B$87=0,$B$86/ROUND($B$88*12,0),$B$86*($B$87/12)/(1-(1+$B$87/12)^(-ROUND($B$88*12,0)))))),""))</x:f>
        <x:v>0</x:v>
      </x:c>
      <x:c r="L721" s="440" t="n">
        <x:f>IF(ISNUMBER(K721),IF(MAX(0,J721*(1+SUM($B$87)/12)-K721)&lt;MAX(0.0000001,$B$86*0.00000000001),0,MAX(0,J721*(1+SUM($B$87)/12)-K721)),"")</x:f>
        <x:v>0</x:v>
      </x:c>
      <x:c r="M721" s="440" t="n">
        <x:f>IF(AND(ISNUMBER(D721),ISNUMBER(K721)),D721+K721,"")</x:f>
        <x:v>4679.450723240598</x:v>
      </x:c>
      <x:c r="N721" s="440" t="n">
        <x:f>IF(AND(ISNUMBER(H721),ISNUMBER(L721)),H721+L721,"")</x:f>
        <x:v>164770.6622462389</x:v>
      </x:c>
    </x:row>
    <x:row r="722" ht="22" customHeight="1">
      <x:c r="A722" s="254" t="n">
        <x:f>322</x:f>
        <x:v>322</x:v>
      </x:c>
      <x:c r="B722" s="440" t="n">
        <x:f>IF(ISNUMBER(H721),H721,"")</x:f>
        <x:v>164770.6622462389</x:v>
      </x:c>
      <x:c r="C722" s="442" t="n">
        <x:f>IF(ISNUMBER(B722),IF(AND(322&gt;$B$173,$B$78="Refinance",ISNUMBER($B$80),$B$80&gt;=0,$B$80&lt;=1,ROUND($B$81*12,0)&gt;=1,$B$81&lt;=100,SUM($B$82)&gt;=0,SUM($B$82)&lt;=1,SUM($B$83)&gt;=0),$B$80,IF(AND($B$175&gt;0,322&gt;$B$175,ISNUMBER($B$75)),$B$75,$B$61)),"")</x:f>
        <x:v>0.0625</x:v>
      </x:c>
      <x:c r="D722" s="440" t="n">
        <x:f>IF(AND(ISNUMBER(B722),B722=0),0,IF(AND($B$171=1,I721=0,ISNUMBER(C722),ISNUMBER(IF(AND(322&lt;=$B$174,322&lt;=$B$173),B722*C722/12,IF(AND(322=$B$173+1,AND(322&gt;$B$173,$B$78="Refinance",ISNUMBER($B$80),$B$80&gt;=0,$B$80&lt;=1,ROUND($B$81*12,0)&gt;=1,$B$81&lt;=100,SUM($B$82)&gt;=0,SUM($B$82)&lt;=1,SUM($B$83)&gt;=0)),IF(B722=0,0,IF(C722=0,B722/ROUND($B$81*12,0),B722*(C722/12)/(1-(1+C722/12)^(-ROUND($B$81*12,0))))),IF(AND(NOT(AND(322&gt;$B$173,$B$78="Refinance",ISNUMBER($B$80),$B$80&gt;=0,$B$80&lt;=1,ROUND($B$81*12,0)&gt;=1,$B$81&lt;=100,SUM($B$82)&gt;=0,SUM($B$82)&lt;=1,SUM($B$83)&gt;=0)),OR(322=1,322=$B$174+1,AND($B$175&gt;0,322=$B$175+1))),IF(AND($B$170=1,$B$66&gt;0,OR($B$175=0,322&lt;=$B$175)),$B$66,IF($B$172-MAX(322-1,$B$174)&gt;0,IF(B722=0,0,IF(C722=0,B722/($B$172-MAX(322-1,$B$174)),B722*(C722/12)/(1-(1+C722/12)^(-($B$172-MAX(322-1,$B$174)))))),"")),D721))))),IF(IF(AND(322&lt;=$B$174,322&lt;=$B$173),B722*C722/12,IF(AND(322=$B$173+1,AND(322&gt;$B$173,$B$78="Refinance",ISNUMBER($B$80),$B$80&gt;=0,$B$80&lt;=1,ROUND($B$81*12,0)&gt;=1,$B$81&lt;=100,SUM($B$82)&gt;=0,SUM($B$82)&lt;=1,SUM($B$83)&gt;=0)),IF(B722=0,0,IF(C722=0,B722/ROUND($B$81*12,0),B722*(C722/12)/(1-(1+C722/12)^(-ROUND($B$81*12,0))))),IF(AND(NOT(AND(322&gt;$B$173,$B$78="Refinance",ISNUMBER($B$80),$B$80&gt;=0,$B$80&lt;=1,ROUND($B$81*12,0)&gt;=1,$B$81&lt;=100,SUM($B$82)&gt;=0,SUM($B$82)&lt;=1,SUM($B$83)&gt;=0)),OR(322=1,322=$B$174+1,AND($B$175&gt;0,322=$B$175+1))),IF(AND($B$170=1,$B$66&gt;0,OR($B$175=0,322&lt;=$B$175)),$B$66,IF($B$172-MAX(322-1,$B$174)&gt;0,IF(B722=0,0,IF(C722=0,B722/($B$172-MAX(322-1,$B$174)),B722*(C722/12)/(1-(1+C722/12)^(-($B$172-MAX(322-1,$B$174)))))),"")),D721)))+0.0000001&gt;=B722*C722/12,MIN(B722*(1+C722/12),IF(AND(322&lt;=$B$174,322&lt;=$B$173),B722*C722/12,IF(AND(322=$B$173+1,AND(322&gt;$B$173,$B$78="Refinance",ISNUMBER($B$80),$B$80&gt;=0,$B$80&lt;=1,ROUND($B$81*12,0)&gt;=1,$B$81&lt;=100,SUM($B$82)&gt;=0,SUM($B$82)&lt;=1,SUM($B$83)&gt;=0)),IF(B722=0,0,IF(C722=0,B722/ROUND($B$81*12,0),B722*(C722/12)/(1-(1+C722/12)^(-ROUND($B$81*12,0))))),IF(AND(NOT(AND(322&gt;$B$173,$B$78="Refinance",ISNUMBER($B$80),$B$80&gt;=0,$B$80&lt;=1,ROUND($B$81*12,0)&gt;=1,$B$81&lt;=100,SUM($B$82)&gt;=0,SUM($B$82)&lt;=1,SUM($B$83)&gt;=0)),OR(322=1,322=$B$174+1,AND($B$175&gt;0,322=$B$175+1))),IF(AND($B$170=1,$B$66&gt;0,OR($B$175=0,322&lt;=$B$175)),$B$66,IF($B$172-MAX(322-1,$B$174)&gt;0,IF(B722=0,0,IF(C722=0,B722/($B$172-MAX(322-1,$B$174)),B722*(C722/12)/(1-(1+C722/12)^(-($B$172-MAX(322-1,$B$174)))))),"")),D721)))),""),""))</x:f>
        <x:v>4679.450723240598</x:v>
      </x:c>
      <x:c r="E722" s="440" t="n">
        <x:f>IF(AND(322=$B$173,ISNUMBER(D722)),IF(MAX(0,B722*(1+C722/12)-D722)&lt;MAX(0.0000001,$E$17*0.00000000001),0,MAX(0,B722*(1+C722/12)-D722)),0)</x:f>
        <x:v>0</x:v>
      </x:c>
      <x:c r="F722" s="440" t="n">
        <x:f>IF($B$78="Cash payoff",E722,0)</x:f>
        <x:v>0</x:v>
      </x:c>
      <x:c r="G722" s="440" t="n">
        <x:f>IF(AND(E722&gt;0,AND($B$78="Refinance",ISNUMBER($B$80),$B$80&gt;=0,$B$80&lt;=1,ROUND($B$81*12,0)&gt;=1,$B$81&lt;=100,SUM($B$82)&gt;=0,SUM($B$82)&lt;=1,SUM($B$83)&gt;=0)),E722*SUM($B$82)+SUM($B$83),0)</x:f>
        <x:v>0</x:v>
      </x:c>
      <x:c r="H722" s="440" t="n">
        <x:f>IF(ISNUMBER(D722),IF(MAX(0,B722*(1+C722/12)-D722-F722)&lt;MAX(0.0000001,$E$17*0.00000000001),0,MAX(0,B722*(1+C722/12)-D722-F722)),IF(AND($B$171=1,I721=1),B722,""))</x:f>
        <x:v>160949.3920555308</x:v>
      </x:c>
      <x:c r="I722" s="444" t="n">
        <x:f>IF(OR(I721=1,AND(E722&gt;0,$B$78&lt;&gt;"Cash payoff",NOT(AND($B$78="Refinance",ISNUMBER($B$80),$B$80&gt;=0,$B$80&lt;=1,ROUND($B$81*12,0)&gt;=1,$B$81&lt;=100,SUM($B$82)&gt;=0,SUM($B$82)&lt;=1,SUM($B$83)&gt;=0))),AND(ISNUMBER(B722),B722&gt;0,$B$171=1,NOT(ISNUMBER(D722)))),1,0)</x:f>
        <x:v>0</x:v>
      </x:c>
      <x:c r="J722" s="440" t="n">
        <x:f>IF(ISNUMBER(L721),L721,"")</x:f>
        <x:v>0</x:v>
      </x:c>
      <x:c r="K722" s="440" t="n">
        <x:f>IF(AND(ISNUMBER(J722),J722=0),0,IF(AND($B$176=1,ISNUMBER(J722)),MIN(J722*(1+$B$87/12),IF($B$86=0,0,IF($B$87=0,$B$86/ROUND($B$88*12,0),$B$86*($B$87/12)/(1-(1+$B$87/12)^(-ROUND($B$88*12,0)))))),""))</x:f>
        <x:v>0</x:v>
      </x:c>
      <x:c r="L722" s="440" t="n">
        <x:f>IF(ISNUMBER(K722),IF(MAX(0,J722*(1+SUM($B$87)/12)-K722)&lt;MAX(0.0000001,$B$86*0.00000000001),0,MAX(0,J722*(1+SUM($B$87)/12)-K722)),"")</x:f>
        <x:v>0</x:v>
      </x:c>
      <x:c r="M722" s="440" t="n">
        <x:f>IF(AND(ISNUMBER(D722),ISNUMBER(K722)),D722+K722,"")</x:f>
        <x:v>4679.450723240598</x:v>
      </x:c>
      <x:c r="N722" s="440" t="n">
        <x:f>IF(AND(ISNUMBER(H722),ISNUMBER(L722)),H722+L722,"")</x:f>
        <x:v>160949.3920555308</x:v>
      </x:c>
    </x:row>
    <x:row r="723" ht="22" customHeight="1">
      <x:c r="A723" s="254" t="n">
        <x:f>323</x:f>
        <x:v>323</x:v>
      </x:c>
      <x:c r="B723" s="440" t="n">
        <x:f>IF(ISNUMBER(H722),H722,"")</x:f>
        <x:v>160949.3920555308</x:v>
      </x:c>
      <x:c r="C723" s="442" t="n">
        <x:f>IF(ISNUMBER(B723),IF(AND(323&gt;$B$173,$B$78="Refinance",ISNUMBER($B$80),$B$80&gt;=0,$B$80&lt;=1,ROUND($B$81*12,0)&gt;=1,$B$81&lt;=100,SUM($B$82)&gt;=0,SUM($B$82)&lt;=1,SUM($B$83)&gt;=0),$B$80,IF(AND($B$175&gt;0,323&gt;$B$175,ISNUMBER($B$75)),$B$75,$B$61)),"")</x:f>
        <x:v>0.0625</x:v>
      </x:c>
      <x:c r="D723" s="440" t="n">
        <x:f>IF(AND(ISNUMBER(B723),B723=0),0,IF(AND($B$171=1,I722=0,ISNUMBER(C723),ISNUMBER(IF(AND(323&lt;=$B$174,323&lt;=$B$173),B723*C723/12,IF(AND(323=$B$173+1,AND(323&gt;$B$173,$B$78="Refinance",ISNUMBER($B$80),$B$80&gt;=0,$B$80&lt;=1,ROUND($B$81*12,0)&gt;=1,$B$81&lt;=100,SUM($B$82)&gt;=0,SUM($B$82)&lt;=1,SUM($B$83)&gt;=0)),IF(B723=0,0,IF(C723=0,B723/ROUND($B$81*12,0),B723*(C723/12)/(1-(1+C723/12)^(-ROUND($B$81*12,0))))),IF(AND(NOT(AND(323&gt;$B$173,$B$78="Refinance",ISNUMBER($B$80),$B$80&gt;=0,$B$80&lt;=1,ROUND($B$81*12,0)&gt;=1,$B$81&lt;=100,SUM($B$82)&gt;=0,SUM($B$82)&lt;=1,SUM($B$83)&gt;=0)),OR(323=1,323=$B$174+1,AND($B$175&gt;0,323=$B$175+1))),IF(AND($B$170=1,$B$66&gt;0,OR($B$175=0,323&lt;=$B$175)),$B$66,IF($B$172-MAX(323-1,$B$174)&gt;0,IF(B723=0,0,IF(C723=0,B723/($B$172-MAX(323-1,$B$174)),B723*(C723/12)/(1-(1+C723/12)^(-($B$172-MAX(323-1,$B$174)))))),"")),D722))))),IF(IF(AND(323&lt;=$B$174,323&lt;=$B$173),B723*C723/12,IF(AND(323=$B$173+1,AND(323&gt;$B$173,$B$78="Refinance",ISNUMBER($B$80),$B$80&gt;=0,$B$80&lt;=1,ROUND($B$81*12,0)&gt;=1,$B$81&lt;=100,SUM($B$82)&gt;=0,SUM($B$82)&lt;=1,SUM($B$83)&gt;=0)),IF(B723=0,0,IF(C723=0,B723/ROUND($B$81*12,0),B723*(C723/12)/(1-(1+C723/12)^(-ROUND($B$81*12,0))))),IF(AND(NOT(AND(323&gt;$B$173,$B$78="Refinance",ISNUMBER($B$80),$B$80&gt;=0,$B$80&lt;=1,ROUND($B$81*12,0)&gt;=1,$B$81&lt;=100,SUM($B$82)&gt;=0,SUM($B$82)&lt;=1,SUM($B$83)&gt;=0)),OR(323=1,323=$B$174+1,AND($B$175&gt;0,323=$B$175+1))),IF(AND($B$170=1,$B$66&gt;0,OR($B$175=0,323&lt;=$B$175)),$B$66,IF($B$172-MAX(323-1,$B$174)&gt;0,IF(B723=0,0,IF(C723=0,B723/($B$172-MAX(323-1,$B$174)),B723*(C723/12)/(1-(1+C723/12)^(-($B$172-MAX(323-1,$B$174)))))),"")),D722)))+0.0000001&gt;=B723*C723/12,MIN(B723*(1+C723/12),IF(AND(323&lt;=$B$174,323&lt;=$B$173),B723*C723/12,IF(AND(323=$B$173+1,AND(323&gt;$B$173,$B$78="Refinance",ISNUMBER($B$80),$B$80&gt;=0,$B$80&lt;=1,ROUND($B$81*12,0)&gt;=1,$B$81&lt;=100,SUM($B$82)&gt;=0,SUM($B$82)&lt;=1,SUM($B$83)&gt;=0)),IF(B723=0,0,IF(C723=0,B723/ROUND($B$81*12,0),B723*(C723/12)/(1-(1+C723/12)^(-ROUND($B$81*12,0))))),IF(AND(NOT(AND(323&gt;$B$173,$B$78="Refinance",ISNUMBER($B$80),$B$80&gt;=0,$B$80&lt;=1,ROUND($B$81*12,0)&gt;=1,$B$81&lt;=100,SUM($B$82)&gt;=0,SUM($B$82)&lt;=1,SUM($B$83)&gt;=0)),OR(323=1,323=$B$174+1,AND($B$175&gt;0,323=$B$175+1))),IF(AND($B$170=1,$B$66&gt;0,OR($B$175=0,323&lt;=$B$175)),$B$66,IF($B$172-MAX(323-1,$B$174)&gt;0,IF(B723=0,0,IF(C723=0,B723/($B$172-MAX(323-1,$B$174)),B723*(C723/12)/(1-(1+C723/12)^(-($B$172-MAX(323-1,$B$174)))))),"")),D722)))),""),""))</x:f>
        <x:v>4679.450723240598</x:v>
      </x:c>
      <x:c r="E723" s="440" t="n">
        <x:f>IF(AND(323=$B$173,ISNUMBER(D723)),IF(MAX(0,B723*(1+C723/12)-D723)&lt;MAX(0.0000001,$E$17*0.00000000001),0,MAX(0,B723*(1+C723/12)-D723)),0)</x:f>
        <x:v>0</x:v>
      </x:c>
      <x:c r="F723" s="440" t="n">
        <x:f>IF($B$78="Cash payoff",E723,0)</x:f>
        <x:v>0</x:v>
      </x:c>
      <x:c r="G723" s="440" t="n">
        <x:f>IF(AND(E723&gt;0,AND($B$78="Refinance",ISNUMBER($B$80),$B$80&gt;=0,$B$80&lt;=1,ROUND($B$81*12,0)&gt;=1,$B$81&lt;=100,SUM($B$82)&gt;=0,SUM($B$82)&lt;=1,SUM($B$83)&gt;=0)),E723*SUM($B$82)+SUM($B$83),0)</x:f>
        <x:v>0</x:v>
      </x:c>
      <x:c r="H723" s="440" t="n">
        <x:f>IF(ISNUMBER(D723),IF(MAX(0,B723*(1+C723/12)-D723-F723)&lt;MAX(0.0000001,$E$17*0.00000000001),0,MAX(0,B723*(1+C723/12)-D723-F723)),IF(AND($B$171=1,I722=1),B723,""))</x:f>
        <x:v>157108.21941591275</x:v>
      </x:c>
      <x:c r="I723" s="444" t="n">
        <x:f>IF(OR(I722=1,AND(E723&gt;0,$B$78&lt;&gt;"Cash payoff",NOT(AND($B$78="Refinance",ISNUMBER($B$80),$B$80&gt;=0,$B$80&lt;=1,ROUND($B$81*12,0)&gt;=1,$B$81&lt;=100,SUM($B$82)&gt;=0,SUM($B$82)&lt;=1,SUM($B$83)&gt;=0))),AND(ISNUMBER(B723),B723&gt;0,$B$171=1,NOT(ISNUMBER(D723)))),1,0)</x:f>
        <x:v>0</x:v>
      </x:c>
      <x:c r="J723" s="440" t="n">
        <x:f>IF(ISNUMBER(L722),L722,"")</x:f>
        <x:v>0</x:v>
      </x:c>
      <x:c r="K723" s="440" t="n">
        <x:f>IF(AND(ISNUMBER(J723),J723=0),0,IF(AND($B$176=1,ISNUMBER(J723)),MIN(J723*(1+$B$87/12),IF($B$86=0,0,IF($B$87=0,$B$86/ROUND($B$88*12,0),$B$86*($B$87/12)/(1-(1+$B$87/12)^(-ROUND($B$88*12,0)))))),""))</x:f>
        <x:v>0</x:v>
      </x:c>
      <x:c r="L723" s="440" t="n">
        <x:f>IF(ISNUMBER(K723),IF(MAX(0,J723*(1+SUM($B$87)/12)-K723)&lt;MAX(0.0000001,$B$86*0.00000000001),0,MAX(0,J723*(1+SUM($B$87)/12)-K723)),"")</x:f>
        <x:v>0</x:v>
      </x:c>
      <x:c r="M723" s="440" t="n">
        <x:f>IF(AND(ISNUMBER(D723),ISNUMBER(K723)),D723+K723,"")</x:f>
        <x:v>4679.450723240598</x:v>
      </x:c>
      <x:c r="N723" s="440" t="n">
        <x:f>IF(AND(ISNUMBER(H723),ISNUMBER(L723)),H723+L723,"")</x:f>
        <x:v>157108.21941591275</x:v>
      </x:c>
    </x:row>
    <x:row r="724" ht="22" customHeight="1">
      <x:c r="A724" s="254" t="n">
        <x:f>324</x:f>
        <x:v>324</x:v>
      </x:c>
      <x:c r="B724" s="440" t="n">
        <x:f>IF(ISNUMBER(H723),H723,"")</x:f>
        <x:v>157108.21941591275</x:v>
      </x:c>
      <x:c r="C724" s="442" t="n">
        <x:f>IF(ISNUMBER(B724),IF(AND(324&gt;$B$173,$B$78="Refinance",ISNUMBER($B$80),$B$80&gt;=0,$B$80&lt;=1,ROUND($B$81*12,0)&gt;=1,$B$81&lt;=100,SUM($B$82)&gt;=0,SUM($B$82)&lt;=1,SUM($B$83)&gt;=0),$B$80,IF(AND($B$175&gt;0,324&gt;$B$175,ISNUMBER($B$75)),$B$75,$B$61)),"")</x:f>
        <x:v>0.0625</x:v>
      </x:c>
      <x:c r="D724" s="440" t="n">
        <x:f>IF(AND(ISNUMBER(B724),B724=0),0,IF(AND($B$171=1,I723=0,ISNUMBER(C724),ISNUMBER(IF(AND(324&lt;=$B$174,324&lt;=$B$173),B724*C724/12,IF(AND(324=$B$173+1,AND(324&gt;$B$173,$B$78="Refinance",ISNUMBER($B$80),$B$80&gt;=0,$B$80&lt;=1,ROUND($B$81*12,0)&gt;=1,$B$81&lt;=100,SUM($B$82)&gt;=0,SUM($B$82)&lt;=1,SUM($B$83)&gt;=0)),IF(B724=0,0,IF(C724=0,B724/ROUND($B$81*12,0),B724*(C724/12)/(1-(1+C724/12)^(-ROUND($B$81*12,0))))),IF(AND(NOT(AND(324&gt;$B$173,$B$78="Refinance",ISNUMBER($B$80),$B$80&gt;=0,$B$80&lt;=1,ROUND($B$81*12,0)&gt;=1,$B$81&lt;=100,SUM($B$82)&gt;=0,SUM($B$82)&lt;=1,SUM($B$83)&gt;=0)),OR(324=1,324=$B$174+1,AND($B$175&gt;0,324=$B$175+1))),IF(AND($B$170=1,$B$66&gt;0,OR($B$175=0,324&lt;=$B$175)),$B$66,IF($B$172-MAX(324-1,$B$174)&gt;0,IF(B724=0,0,IF(C724=0,B724/($B$172-MAX(324-1,$B$174)),B724*(C724/12)/(1-(1+C724/12)^(-($B$172-MAX(324-1,$B$174)))))),"")),D723))))),IF(IF(AND(324&lt;=$B$174,324&lt;=$B$173),B724*C724/12,IF(AND(324=$B$173+1,AND(324&gt;$B$173,$B$78="Refinance",ISNUMBER($B$80),$B$80&gt;=0,$B$80&lt;=1,ROUND($B$81*12,0)&gt;=1,$B$81&lt;=100,SUM($B$82)&gt;=0,SUM($B$82)&lt;=1,SUM($B$83)&gt;=0)),IF(B724=0,0,IF(C724=0,B724/ROUND($B$81*12,0),B724*(C724/12)/(1-(1+C724/12)^(-ROUND($B$81*12,0))))),IF(AND(NOT(AND(324&gt;$B$173,$B$78="Refinance",ISNUMBER($B$80),$B$80&gt;=0,$B$80&lt;=1,ROUND($B$81*12,0)&gt;=1,$B$81&lt;=100,SUM($B$82)&gt;=0,SUM($B$82)&lt;=1,SUM($B$83)&gt;=0)),OR(324=1,324=$B$174+1,AND($B$175&gt;0,324=$B$175+1))),IF(AND($B$170=1,$B$66&gt;0,OR($B$175=0,324&lt;=$B$175)),$B$66,IF($B$172-MAX(324-1,$B$174)&gt;0,IF(B724=0,0,IF(C724=0,B724/($B$172-MAX(324-1,$B$174)),B724*(C724/12)/(1-(1+C724/12)^(-($B$172-MAX(324-1,$B$174)))))),"")),D723)))+0.0000001&gt;=B724*C724/12,MIN(B724*(1+C724/12),IF(AND(324&lt;=$B$174,324&lt;=$B$173),B724*C724/12,IF(AND(324=$B$173+1,AND(324&gt;$B$173,$B$78="Refinance",ISNUMBER($B$80),$B$80&gt;=0,$B$80&lt;=1,ROUND($B$81*12,0)&gt;=1,$B$81&lt;=100,SUM($B$82)&gt;=0,SUM($B$82)&lt;=1,SUM($B$83)&gt;=0)),IF(B724=0,0,IF(C724=0,B724/ROUND($B$81*12,0),B724*(C724/12)/(1-(1+C724/12)^(-ROUND($B$81*12,0))))),IF(AND(NOT(AND(324&gt;$B$173,$B$78="Refinance",ISNUMBER($B$80),$B$80&gt;=0,$B$80&lt;=1,ROUND($B$81*12,0)&gt;=1,$B$81&lt;=100,SUM($B$82)&gt;=0,SUM($B$82)&lt;=1,SUM($B$83)&gt;=0)),OR(324=1,324=$B$174+1,AND($B$175&gt;0,324=$B$175+1))),IF(AND($B$170=1,$B$66&gt;0,OR($B$175=0,324&lt;=$B$175)),$B$66,IF($B$172-MAX(324-1,$B$174)&gt;0,IF(B724=0,0,IF(C724=0,B724/($B$172-MAX(324-1,$B$174)),B724*(C724/12)/(1-(1+C724/12)^(-($B$172-MAX(324-1,$B$174)))))),"")),D723)))),""),""))</x:f>
        <x:v>4679.450723240598</x:v>
      </x:c>
      <x:c r="E724" s="440" t="n">
        <x:f>IF(AND(324=$B$173,ISNUMBER(D724)),IF(MAX(0,B724*(1+C724/12)-D724)&lt;MAX(0.0000001,$E$17*0.00000000001),0,MAX(0,B724*(1+C724/12)-D724)),0)</x:f>
        <x:v>0</x:v>
      </x:c>
      <x:c r="F724" s="440" t="n">
        <x:f>IF($B$78="Cash payoff",E724,0)</x:f>
        <x:v>0</x:v>
      </x:c>
      <x:c r="G724" s="440" t="n">
        <x:f>IF(AND(E724&gt;0,AND($B$78="Refinance",ISNUMBER($B$80),$B$80&gt;=0,$B$80&lt;=1,ROUND($B$81*12,0)&gt;=1,$B$81&lt;=100,SUM($B$82)&gt;=0,SUM($B$82)&lt;=1,SUM($B$83)&gt;=0)),E724*SUM($B$82)+SUM($B$83),0)</x:f>
        <x:v>0</x:v>
      </x:c>
      <x:c r="H724" s="440" t="n">
        <x:f>IF(ISNUMBER(D724),IF(MAX(0,B724*(1+C724/12)-D724-F724)&lt;MAX(0.0000001,$E$17*0.00000000001),0,MAX(0,B724*(1+C724/12)-D724-F724)),IF(AND($B$171=1,I723=1),B724,""))</x:f>
        <x:v>153247.0406687967</x:v>
      </x:c>
      <x:c r="I724" s="444" t="n">
        <x:f>IF(OR(I723=1,AND(E724&gt;0,$B$78&lt;&gt;"Cash payoff",NOT(AND($B$78="Refinance",ISNUMBER($B$80),$B$80&gt;=0,$B$80&lt;=1,ROUND($B$81*12,0)&gt;=1,$B$81&lt;=100,SUM($B$82)&gt;=0,SUM($B$82)&lt;=1,SUM($B$83)&gt;=0))),AND(ISNUMBER(B724),B724&gt;0,$B$171=1,NOT(ISNUMBER(D724)))),1,0)</x:f>
        <x:v>0</x:v>
      </x:c>
      <x:c r="J724" s="440" t="n">
        <x:f>IF(ISNUMBER(L723),L723,"")</x:f>
        <x:v>0</x:v>
      </x:c>
      <x:c r="K724" s="440" t="n">
        <x:f>IF(AND(ISNUMBER(J724),J724=0),0,IF(AND($B$176=1,ISNUMBER(J724)),MIN(J724*(1+$B$87/12),IF($B$86=0,0,IF($B$87=0,$B$86/ROUND($B$88*12,0),$B$86*($B$87/12)/(1-(1+$B$87/12)^(-ROUND($B$88*12,0)))))),""))</x:f>
        <x:v>0</x:v>
      </x:c>
      <x:c r="L724" s="440" t="n">
        <x:f>IF(ISNUMBER(K724),IF(MAX(0,J724*(1+SUM($B$87)/12)-K724)&lt;MAX(0.0000001,$B$86*0.00000000001),0,MAX(0,J724*(1+SUM($B$87)/12)-K724)),"")</x:f>
        <x:v>0</x:v>
      </x:c>
      <x:c r="M724" s="440" t="n">
        <x:f>IF(AND(ISNUMBER(D724),ISNUMBER(K724)),D724+K724,"")</x:f>
        <x:v>4679.450723240598</x:v>
      </x:c>
      <x:c r="N724" s="440" t="n">
        <x:f>IF(AND(ISNUMBER(H724),ISNUMBER(L724)),H724+L724,"")</x:f>
        <x:v>153247.0406687967</x:v>
      </x:c>
    </x:row>
    <x:row r="725" ht="22" customHeight="1">
      <x:c r="A725" s="254" t="n">
        <x:f>325</x:f>
        <x:v>325</x:v>
      </x:c>
      <x:c r="B725" s="440" t="n">
        <x:f>IF(ISNUMBER(H724),H724,"")</x:f>
        <x:v>153247.0406687967</x:v>
      </x:c>
      <x:c r="C725" s="442" t="n">
        <x:f>IF(ISNUMBER(B725),IF(AND(325&gt;$B$173,$B$78="Refinance",ISNUMBER($B$80),$B$80&gt;=0,$B$80&lt;=1,ROUND($B$81*12,0)&gt;=1,$B$81&lt;=100,SUM($B$82)&gt;=0,SUM($B$82)&lt;=1,SUM($B$83)&gt;=0),$B$80,IF(AND($B$175&gt;0,325&gt;$B$175,ISNUMBER($B$75)),$B$75,$B$61)),"")</x:f>
        <x:v>0.0625</x:v>
      </x:c>
      <x:c r="D725" s="440" t="n">
        <x:f>IF(AND(ISNUMBER(B725),B725=0),0,IF(AND($B$171=1,I724=0,ISNUMBER(C725),ISNUMBER(IF(AND(325&lt;=$B$174,325&lt;=$B$173),B725*C725/12,IF(AND(325=$B$173+1,AND(325&gt;$B$173,$B$78="Refinance",ISNUMBER($B$80),$B$80&gt;=0,$B$80&lt;=1,ROUND($B$81*12,0)&gt;=1,$B$81&lt;=100,SUM($B$82)&gt;=0,SUM($B$82)&lt;=1,SUM($B$83)&gt;=0)),IF(B725=0,0,IF(C725=0,B725/ROUND($B$81*12,0),B725*(C725/12)/(1-(1+C725/12)^(-ROUND($B$81*12,0))))),IF(AND(NOT(AND(325&gt;$B$173,$B$78="Refinance",ISNUMBER($B$80),$B$80&gt;=0,$B$80&lt;=1,ROUND($B$81*12,0)&gt;=1,$B$81&lt;=100,SUM($B$82)&gt;=0,SUM($B$82)&lt;=1,SUM($B$83)&gt;=0)),OR(325=1,325=$B$174+1,AND($B$175&gt;0,325=$B$175+1))),IF(AND($B$170=1,$B$66&gt;0,OR($B$175=0,325&lt;=$B$175)),$B$66,IF($B$172-MAX(325-1,$B$174)&gt;0,IF(B725=0,0,IF(C725=0,B725/($B$172-MAX(325-1,$B$174)),B725*(C725/12)/(1-(1+C725/12)^(-($B$172-MAX(325-1,$B$174)))))),"")),D724))))),IF(IF(AND(325&lt;=$B$174,325&lt;=$B$173),B725*C725/12,IF(AND(325=$B$173+1,AND(325&gt;$B$173,$B$78="Refinance",ISNUMBER($B$80),$B$80&gt;=0,$B$80&lt;=1,ROUND($B$81*12,0)&gt;=1,$B$81&lt;=100,SUM($B$82)&gt;=0,SUM($B$82)&lt;=1,SUM($B$83)&gt;=0)),IF(B725=0,0,IF(C725=0,B725/ROUND($B$81*12,0),B725*(C725/12)/(1-(1+C725/12)^(-ROUND($B$81*12,0))))),IF(AND(NOT(AND(325&gt;$B$173,$B$78="Refinance",ISNUMBER($B$80),$B$80&gt;=0,$B$80&lt;=1,ROUND($B$81*12,0)&gt;=1,$B$81&lt;=100,SUM($B$82)&gt;=0,SUM($B$82)&lt;=1,SUM($B$83)&gt;=0)),OR(325=1,325=$B$174+1,AND($B$175&gt;0,325=$B$175+1))),IF(AND($B$170=1,$B$66&gt;0,OR($B$175=0,325&lt;=$B$175)),$B$66,IF($B$172-MAX(325-1,$B$174)&gt;0,IF(B725=0,0,IF(C725=0,B725/($B$172-MAX(325-1,$B$174)),B725*(C725/12)/(1-(1+C725/12)^(-($B$172-MAX(325-1,$B$174)))))),"")),D724)))+0.0000001&gt;=B725*C725/12,MIN(B725*(1+C725/12),IF(AND(325&lt;=$B$174,325&lt;=$B$173),B725*C725/12,IF(AND(325=$B$173+1,AND(325&gt;$B$173,$B$78="Refinance",ISNUMBER($B$80),$B$80&gt;=0,$B$80&lt;=1,ROUND($B$81*12,0)&gt;=1,$B$81&lt;=100,SUM($B$82)&gt;=0,SUM($B$82)&lt;=1,SUM($B$83)&gt;=0)),IF(B725=0,0,IF(C725=0,B725/ROUND($B$81*12,0),B725*(C725/12)/(1-(1+C725/12)^(-ROUND($B$81*12,0))))),IF(AND(NOT(AND(325&gt;$B$173,$B$78="Refinance",ISNUMBER($B$80),$B$80&gt;=0,$B$80&lt;=1,ROUND($B$81*12,0)&gt;=1,$B$81&lt;=100,SUM($B$82)&gt;=0,SUM($B$82)&lt;=1,SUM($B$83)&gt;=0)),OR(325=1,325=$B$174+1,AND($B$175&gt;0,325=$B$175+1))),IF(AND($B$170=1,$B$66&gt;0,OR($B$175=0,325&lt;=$B$175)),$B$66,IF($B$172-MAX(325-1,$B$174)&gt;0,IF(B725=0,0,IF(C725=0,B725/($B$172-MAX(325-1,$B$174)),B725*(C725/12)/(1-(1+C725/12)^(-($B$172-MAX(325-1,$B$174)))))),"")),D724)))),""),""))</x:f>
        <x:v>4679.450723240598</x:v>
      </x:c>
      <x:c r="E725" s="440" t="n">
        <x:f>IF(AND(325=$B$173,ISNUMBER(D725)),IF(MAX(0,B725*(1+C725/12)-D725)&lt;MAX(0.0000001,$E$17*0.00000000001),0,MAX(0,B725*(1+C725/12)-D725)),0)</x:f>
        <x:v>0</x:v>
      </x:c>
      <x:c r="F725" s="440" t="n">
        <x:f>IF($B$78="Cash payoff",E725,0)</x:f>
        <x:v>0</x:v>
      </x:c>
      <x:c r="G725" s="440" t="n">
        <x:f>IF(AND(E725&gt;0,AND($B$78="Refinance",ISNUMBER($B$80),$B$80&gt;=0,$B$80&lt;=1,ROUND($B$81*12,0)&gt;=1,$B$81&lt;=100,SUM($B$82)&gt;=0,SUM($B$82)&lt;=1,SUM($B$83)&gt;=0)),E725*SUM($B$82)+SUM($B$83),0)</x:f>
        <x:v>0</x:v>
      </x:c>
      <x:c r="H725" s="440" t="n">
        <x:f>IF(ISNUMBER(D725),IF(MAX(0,B725*(1+C725/12)-D725-F725)&lt;MAX(0.0000001,$E$17*0.00000000001),0,MAX(0,B725*(1+C725/12)-D725-F725)),IF(AND($B$171=1,I724=1),B725,""))</x:f>
        <x:v>149365.75161570607</x:v>
      </x:c>
      <x:c r="I725" s="444" t="n">
        <x:f>IF(OR(I724=1,AND(E725&gt;0,$B$78&lt;&gt;"Cash payoff",NOT(AND($B$78="Refinance",ISNUMBER($B$80),$B$80&gt;=0,$B$80&lt;=1,ROUND($B$81*12,0)&gt;=1,$B$81&lt;=100,SUM($B$82)&gt;=0,SUM($B$82)&lt;=1,SUM($B$83)&gt;=0))),AND(ISNUMBER(B725),B725&gt;0,$B$171=1,NOT(ISNUMBER(D725)))),1,0)</x:f>
        <x:v>0</x:v>
      </x:c>
      <x:c r="J725" s="440" t="n">
        <x:f>IF(ISNUMBER(L724),L724,"")</x:f>
        <x:v>0</x:v>
      </x:c>
      <x:c r="K725" s="440" t="n">
        <x:f>IF(AND(ISNUMBER(J725),J725=0),0,IF(AND($B$176=1,ISNUMBER(J725)),MIN(J725*(1+$B$87/12),IF($B$86=0,0,IF($B$87=0,$B$86/ROUND($B$88*12,0),$B$86*($B$87/12)/(1-(1+$B$87/12)^(-ROUND($B$88*12,0)))))),""))</x:f>
        <x:v>0</x:v>
      </x:c>
      <x:c r="L725" s="440" t="n">
        <x:f>IF(ISNUMBER(K725),IF(MAX(0,J725*(1+SUM($B$87)/12)-K725)&lt;MAX(0.0000001,$B$86*0.00000000001),0,MAX(0,J725*(1+SUM($B$87)/12)-K725)),"")</x:f>
        <x:v>0</x:v>
      </x:c>
      <x:c r="M725" s="440" t="n">
        <x:f>IF(AND(ISNUMBER(D725),ISNUMBER(K725)),D725+K725,"")</x:f>
        <x:v>4679.450723240598</x:v>
      </x:c>
      <x:c r="N725" s="440" t="n">
        <x:f>IF(AND(ISNUMBER(H725),ISNUMBER(L725)),H725+L725,"")</x:f>
        <x:v>149365.75161570607</x:v>
      </x:c>
    </x:row>
    <x:row r="726" ht="22" customHeight="1">
      <x:c r="A726" s="254" t="n">
        <x:f>326</x:f>
        <x:v>326</x:v>
      </x:c>
      <x:c r="B726" s="440" t="n">
        <x:f>IF(ISNUMBER(H725),H725,"")</x:f>
        <x:v>149365.75161570607</x:v>
      </x:c>
      <x:c r="C726" s="442" t="n">
        <x:f>IF(ISNUMBER(B726),IF(AND(326&gt;$B$173,$B$78="Refinance",ISNUMBER($B$80),$B$80&gt;=0,$B$80&lt;=1,ROUND($B$81*12,0)&gt;=1,$B$81&lt;=100,SUM($B$82)&gt;=0,SUM($B$82)&lt;=1,SUM($B$83)&gt;=0),$B$80,IF(AND($B$175&gt;0,326&gt;$B$175,ISNUMBER($B$75)),$B$75,$B$61)),"")</x:f>
        <x:v>0.0625</x:v>
      </x:c>
      <x:c r="D726" s="440" t="n">
        <x:f>IF(AND(ISNUMBER(B726),B726=0),0,IF(AND($B$171=1,I725=0,ISNUMBER(C726),ISNUMBER(IF(AND(326&lt;=$B$174,326&lt;=$B$173),B726*C726/12,IF(AND(326=$B$173+1,AND(326&gt;$B$173,$B$78="Refinance",ISNUMBER($B$80),$B$80&gt;=0,$B$80&lt;=1,ROUND($B$81*12,0)&gt;=1,$B$81&lt;=100,SUM($B$82)&gt;=0,SUM($B$82)&lt;=1,SUM($B$83)&gt;=0)),IF(B726=0,0,IF(C726=0,B726/ROUND($B$81*12,0),B726*(C726/12)/(1-(1+C726/12)^(-ROUND($B$81*12,0))))),IF(AND(NOT(AND(326&gt;$B$173,$B$78="Refinance",ISNUMBER($B$80),$B$80&gt;=0,$B$80&lt;=1,ROUND($B$81*12,0)&gt;=1,$B$81&lt;=100,SUM($B$82)&gt;=0,SUM($B$82)&lt;=1,SUM($B$83)&gt;=0)),OR(326=1,326=$B$174+1,AND($B$175&gt;0,326=$B$175+1))),IF(AND($B$170=1,$B$66&gt;0,OR($B$175=0,326&lt;=$B$175)),$B$66,IF($B$172-MAX(326-1,$B$174)&gt;0,IF(B726=0,0,IF(C726=0,B726/($B$172-MAX(326-1,$B$174)),B726*(C726/12)/(1-(1+C726/12)^(-($B$172-MAX(326-1,$B$174)))))),"")),D725))))),IF(IF(AND(326&lt;=$B$174,326&lt;=$B$173),B726*C726/12,IF(AND(326=$B$173+1,AND(326&gt;$B$173,$B$78="Refinance",ISNUMBER($B$80),$B$80&gt;=0,$B$80&lt;=1,ROUND($B$81*12,0)&gt;=1,$B$81&lt;=100,SUM($B$82)&gt;=0,SUM($B$82)&lt;=1,SUM($B$83)&gt;=0)),IF(B726=0,0,IF(C726=0,B726/ROUND($B$81*12,0),B726*(C726/12)/(1-(1+C726/12)^(-ROUND($B$81*12,0))))),IF(AND(NOT(AND(326&gt;$B$173,$B$78="Refinance",ISNUMBER($B$80),$B$80&gt;=0,$B$80&lt;=1,ROUND($B$81*12,0)&gt;=1,$B$81&lt;=100,SUM($B$82)&gt;=0,SUM($B$82)&lt;=1,SUM($B$83)&gt;=0)),OR(326=1,326=$B$174+1,AND($B$175&gt;0,326=$B$175+1))),IF(AND($B$170=1,$B$66&gt;0,OR($B$175=0,326&lt;=$B$175)),$B$66,IF($B$172-MAX(326-1,$B$174)&gt;0,IF(B726=0,0,IF(C726=0,B726/($B$172-MAX(326-1,$B$174)),B726*(C726/12)/(1-(1+C726/12)^(-($B$172-MAX(326-1,$B$174)))))),"")),D725)))+0.0000001&gt;=B726*C726/12,MIN(B726*(1+C726/12),IF(AND(326&lt;=$B$174,326&lt;=$B$173),B726*C726/12,IF(AND(326=$B$173+1,AND(326&gt;$B$173,$B$78="Refinance",ISNUMBER($B$80),$B$80&gt;=0,$B$80&lt;=1,ROUND($B$81*12,0)&gt;=1,$B$81&lt;=100,SUM($B$82)&gt;=0,SUM($B$82)&lt;=1,SUM($B$83)&gt;=0)),IF(B726=0,0,IF(C726=0,B726/ROUND($B$81*12,0),B726*(C726/12)/(1-(1+C726/12)^(-ROUND($B$81*12,0))))),IF(AND(NOT(AND(326&gt;$B$173,$B$78="Refinance",ISNUMBER($B$80),$B$80&gt;=0,$B$80&lt;=1,ROUND($B$81*12,0)&gt;=1,$B$81&lt;=100,SUM($B$82)&gt;=0,SUM($B$82)&lt;=1,SUM($B$83)&gt;=0)),OR(326=1,326=$B$174+1,AND($B$175&gt;0,326=$B$175+1))),IF(AND($B$170=1,$B$66&gt;0,OR($B$175=0,326&lt;=$B$175)),$B$66,IF($B$172-MAX(326-1,$B$174)&gt;0,IF(B726=0,0,IF(C726=0,B726/($B$172-MAX(326-1,$B$174)),B726*(C726/12)/(1-(1+C726/12)^(-($B$172-MAX(326-1,$B$174)))))),"")),D725)))),""),""))</x:f>
        <x:v>4679.450723240598</x:v>
      </x:c>
      <x:c r="E726" s="440" t="n">
        <x:f>IF(AND(326=$B$173,ISNUMBER(D726)),IF(MAX(0,B726*(1+C726/12)-D726)&lt;MAX(0.0000001,$E$17*0.00000000001),0,MAX(0,B726*(1+C726/12)-D726)),0)</x:f>
        <x:v>0</x:v>
      </x:c>
      <x:c r="F726" s="440" t="n">
        <x:f>IF($B$78="Cash payoff",E726,0)</x:f>
        <x:v>0</x:v>
      </x:c>
      <x:c r="G726" s="440" t="n">
        <x:f>IF(AND(E726&gt;0,AND($B$78="Refinance",ISNUMBER($B$80),$B$80&gt;=0,$B$80&lt;=1,ROUND($B$81*12,0)&gt;=1,$B$81&lt;=100,SUM($B$82)&gt;=0,SUM($B$82)&lt;=1,SUM($B$83)&gt;=0)),E726*SUM($B$82)+SUM($B$83),0)</x:f>
        <x:v>0</x:v>
      </x:c>
      <x:c r="H726" s="440" t="n">
        <x:f>IF(ISNUMBER(D726),IF(MAX(0,B726*(1+C726/12)-D726-F726)&lt;MAX(0.0000001,$E$17*0.00000000001),0,MAX(0,B726*(1+C726/12)-D726-F726)),IF(AND($B$171=1,I725=1),B726,""))</x:f>
        <x:v>145464.24751546394</x:v>
      </x:c>
      <x:c r="I726" s="444" t="n">
        <x:f>IF(OR(I725=1,AND(E726&gt;0,$B$78&lt;&gt;"Cash payoff",NOT(AND($B$78="Refinance",ISNUMBER($B$80),$B$80&gt;=0,$B$80&lt;=1,ROUND($B$81*12,0)&gt;=1,$B$81&lt;=100,SUM($B$82)&gt;=0,SUM($B$82)&lt;=1,SUM($B$83)&gt;=0))),AND(ISNUMBER(B726),B726&gt;0,$B$171=1,NOT(ISNUMBER(D726)))),1,0)</x:f>
        <x:v>0</x:v>
      </x:c>
      <x:c r="J726" s="440" t="n">
        <x:f>IF(ISNUMBER(L725),L725,"")</x:f>
        <x:v>0</x:v>
      </x:c>
      <x:c r="K726" s="440" t="n">
        <x:f>IF(AND(ISNUMBER(J726),J726=0),0,IF(AND($B$176=1,ISNUMBER(J726)),MIN(J726*(1+$B$87/12),IF($B$86=0,0,IF($B$87=0,$B$86/ROUND($B$88*12,0),$B$86*($B$87/12)/(1-(1+$B$87/12)^(-ROUND($B$88*12,0)))))),""))</x:f>
        <x:v>0</x:v>
      </x:c>
      <x:c r="L726" s="440" t="n">
        <x:f>IF(ISNUMBER(K726),IF(MAX(0,J726*(1+SUM($B$87)/12)-K726)&lt;MAX(0.0000001,$B$86*0.00000000001),0,MAX(0,J726*(1+SUM($B$87)/12)-K726)),"")</x:f>
        <x:v>0</x:v>
      </x:c>
      <x:c r="M726" s="440" t="n">
        <x:f>IF(AND(ISNUMBER(D726),ISNUMBER(K726)),D726+K726,"")</x:f>
        <x:v>4679.450723240598</x:v>
      </x:c>
      <x:c r="N726" s="440" t="n">
        <x:f>IF(AND(ISNUMBER(H726),ISNUMBER(L726)),H726+L726,"")</x:f>
        <x:v>145464.24751546394</x:v>
      </x:c>
    </x:row>
    <x:row r="727" ht="22" customHeight="1">
      <x:c r="A727" s="254" t="n">
        <x:f>327</x:f>
        <x:v>327</x:v>
      </x:c>
      <x:c r="B727" s="440" t="n">
        <x:f>IF(ISNUMBER(H726),H726,"")</x:f>
        <x:v>145464.24751546394</x:v>
      </x:c>
      <x:c r="C727" s="442" t="n">
        <x:f>IF(ISNUMBER(B727),IF(AND(327&gt;$B$173,$B$78="Refinance",ISNUMBER($B$80),$B$80&gt;=0,$B$80&lt;=1,ROUND($B$81*12,0)&gt;=1,$B$81&lt;=100,SUM($B$82)&gt;=0,SUM($B$82)&lt;=1,SUM($B$83)&gt;=0),$B$80,IF(AND($B$175&gt;0,327&gt;$B$175,ISNUMBER($B$75)),$B$75,$B$61)),"")</x:f>
        <x:v>0.0625</x:v>
      </x:c>
      <x:c r="D727" s="440" t="n">
        <x:f>IF(AND(ISNUMBER(B727),B727=0),0,IF(AND($B$171=1,I726=0,ISNUMBER(C727),ISNUMBER(IF(AND(327&lt;=$B$174,327&lt;=$B$173),B727*C727/12,IF(AND(327=$B$173+1,AND(327&gt;$B$173,$B$78="Refinance",ISNUMBER($B$80),$B$80&gt;=0,$B$80&lt;=1,ROUND($B$81*12,0)&gt;=1,$B$81&lt;=100,SUM($B$82)&gt;=0,SUM($B$82)&lt;=1,SUM($B$83)&gt;=0)),IF(B727=0,0,IF(C727=0,B727/ROUND($B$81*12,0),B727*(C727/12)/(1-(1+C727/12)^(-ROUND($B$81*12,0))))),IF(AND(NOT(AND(327&gt;$B$173,$B$78="Refinance",ISNUMBER($B$80),$B$80&gt;=0,$B$80&lt;=1,ROUND($B$81*12,0)&gt;=1,$B$81&lt;=100,SUM($B$82)&gt;=0,SUM($B$82)&lt;=1,SUM($B$83)&gt;=0)),OR(327=1,327=$B$174+1,AND($B$175&gt;0,327=$B$175+1))),IF(AND($B$170=1,$B$66&gt;0,OR($B$175=0,327&lt;=$B$175)),$B$66,IF($B$172-MAX(327-1,$B$174)&gt;0,IF(B727=0,0,IF(C727=0,B727/($B$172-MAX(327-1,$B$174)),B727*(C727/12)/(1-(1+C727/12)^(-($B$172-MAX(327-1,$B$174)))))),"")),D726))))),IF(IF(AND(327&lt;=$B$174,327&lt;=$B$173),B727*C727/12,IF(AND(327=$B$173+1,AND(327&gt;$B$173,$B$78="Refinance",ISNUMBER($B$80),$B$80&gt;=0,$B$80&lt;=1,ROUND($B$81*12,0)&gt;=1,$B$81&lt;=100,SUM($B$82)&gt;=0,SUM($B$82)&lt;=1,SUM($B$83)&gt;=0)),IF(B727=0,0,IF(C727=0,B727/ROUND($B$81*12,0),B727*(C727/12)/(1-(1+C727/12)^(-ROUND($B$81*12,0))))),IF(AND(NOT(AND(327&gt;$B$173,$B$78="Refinance",ISNUMBER($B$80),$B$80&gt;=0,$B$80&lt;=1,ROUND($B$81*12,0)&gt;=1,$B$81&lt;=100,SUM($B$82)&gt;=0,SUM($B$82)&lt;=1,SUM($B$83)&gt;=0)),OR(327=1,327=$B$174+1,AND($B$175&gt;0,327=$B$175+1))),IF(AND($B$170=1,$B$66&gt;0,OR($B$175=0,327&lt;=$B$175)),$B$66,IF($B$172-MAX(327-1,$B$174)&gt;0,IF(B727=0,0,IF(C727=0,B727/($B$172-MAX(327-1,$B$174)),B727*(C727/12)/(1-(1+C727/12)^(-($B$172-MAX(327-1,$B$174)))))),"")),D726)))+0.0000001&gt;=B727*C727/12,MIN(B727*(1+C727/12),IF(AND(327&lt;=$B$174,327&lt;=$B$173),B727*C727/12,IF(AND(327=$B$173+1,AND(327&gt;$B$173,$B$78="Refinance",ISNUMBER($B$80),$B$80&gt;=0,$B$80&lt;=1,ROUND($B$81*12,0)&gt;=1,$B$81&lt;=100,SUM($B$82)&gt;=0,SUM($B$82)&lt;=1,SUM($B$83)&gt;=0)),IF(B727=0,0,IF(C727=0,B727/ROUND($B$81*12,0),B727*(C727/12)/(1-(1+C727/12)^(-ROUND($B$81*12,0))))),IF(AND(NOT(AND(327&gt;$B$173,$B$78="Refinance",ISNUMBER($B$80),$B$80&gt;=0,$B$80&lt;=1,ROUND($B$81*12,0)&gt;=1,$B$81&lt;=100,SUM($B$82)&gt;=0,SUM($B$82)&lt;=1,SUM($B$83)&gt;=0)),OR(327=1,327=$B$174+1,AND($B$175&gt;0,327=$B$175+1))),IF(AND($B$170=1,$B$66&gt;0,OR($B$175=0,327&lt;=$B$175)),$B$66,IF($B$172-MAX(327-1,$B$174)&gt;0,IF(B727=0,0,IF(C727=0,B727/($B$172-MAX(327-1,$B$174)),B727*(C727/12)/(1-(1+C727/12)^(-($B$172-MAX(327-1,$B$174)))))),"")),D726)))),""),""))</x:f>
        <x:v>4679.450723240598</x:v>
      </x:c>
      <x:c r="E727" s="440" t="n">
        <x:f>IF(AND(327=$B$173,ISNUMBER(D727)),IF(MAX(0,B727*(1+C727/12)-D727)&lt;MAX(0.0000001,$E$17*0.00000000001),0,MAX(0,B727*(1+C727/12)-D727)),0)</x:f>
        <x:v>0</x:v>
      </x:c>
      <x:c r="F727" s="440" t="n">
        <x:f>IF($B$78="Cash payoff",E727,0)</x:f>
        <x:v>0</x:v>
      </x:c>
      <x:c r="G727" s="440" t="n">
        <x:f>IF(AND(E727&gt;0,AND($B$78="Refinance",ISNUMBER($B$80),$B$80&gt;=0,$B$80&lt;=1,ROUND($B$81*12,0)&gt;=1,$B$81&lt;=100,SUM($B$82)&gt;=0,SUM($B$82)&lt;=1,SUM($B$83)&gt;=0)),E727*SUM($B$82)+SUM($B$83),0)</x:f>
        <x:v>0</x:v>
      </x:c>
      <x:c r="H727" s="440" t="n">
        <x:f>IF(ISNUMBER(D727),IF(MAX(0,B727*(1+C727/12)-D727-F727)&lt;MAX(0.0000001,$E$17*0.00000000001),0,MAX(0,B727*(1+C727/12)-D727-F727)),IF(AND($B$171=1,I726=1),B727,""))</x:f>
        <x:v>141542.42308136637</x:v>
      </x:c>
      <x:c r="I727" s="444" t="n">
        <x:f>IF(OR(I726=1,AND(E727&gt;0,$B$78&lt;&gt;"Cash payoff",NOT(AND($B$78="Refinance",ISNUMBER($B$80),$B$80&gt;=0,$B$80&lt;=1,ROUND($B$81*12,0)&gt;=1,$B$81&lt;=100,SUM($B$82)&gt;=0,SUM($B$82)&lt;=1,SUM($B$83)&gt;=0))),AND(ISNUMBER(B727),B727&gt;0,$B$171=1,NOT(ISNUMBER(D727)))),1,0)</x:f>
        <x:v>0</x:v>
      </x:c>
      <x:c r="J727" s="440" t="n">
        <x:f>IF(ISNUMBER(L726),L726,"")</x:f>
        <x:v>0</x:v>
      </x:c>
      <x:c r="K727" s="440" t="n">
        <x:f>IF(AND(ISNUMBER(J727),J727=0),0,IF(AND($B$176=1,ISNUMBER(J727)),MIN(J727*(1+$B$87/12),IF($B$86=0,0,IF($B$87=0,$B$86/ROUND($B$88*12,0),$B$86*($B$87/12)/(1-(1+$B$87/12)^(-ROUND($B$88*12,0)))))),""))</x:f>
        <x:v>0</x:v>
      </x:c>
      <x:c r="L727" s="440" t="n">
        <x:f>IF(ISNUMBER(K727),IF(MAX(0,J727*(1+SUM($B$87)/12)-K727)&lt;MAX(0.0000001,$B$86*0.00000000001),0,MAX(0,J727*(1+SUM($B$87)/12)-K727)),"")</x:f>
        <x:v>0</x:v>
      </x:c>
      <x:c r="M727" s="440" t="n">
        <x:f>IF(AND(ISNUMBER(D727),ISNUMBER(K727)),D727+K727,"")</x:f>
        <x:v>4679.450723240598</x:v>
      </x:c>
      <x:c r="N727" s="440" t="n">
        <x:f>IF(AND(ISNUMBER(H727),ISNUMBER(L727)),H727+L727,"")</x:f>
        <x:v>141542.42308136637</x:v>
      </x:c>
    </x:row>
    <x:row r="728" ht="22" customHeight="1">
      <x:c r="A728" s="254" t="n">
        <x:f>328</x:f>
        <x:v>328</x:v>
      </x:c>
      <x:c r="B728" s="440" t="n">
        <x:f>IF(ISNUMBER(H727),H727,"")</x:f>
        <x:v>141542.42308136637</x:v>
      </x:c>
      <x:c r="C728" s="442" t="n">
        <x:f>IF(ISNUMBER(B728),IF(AND(328&gt;$B$173,$B$78="Refinance",ISNUMBER($B$80),$B$80&gt;=0,$B$80&lt;=1,ROUND($B$81*12,0)&gt;=1,$B$81&lt;=100,SUM($B$82)&gt;=0,SUM($B$82)&lt;=1,SUM($B$83)&gt;=0),$B$80,IF(AND($B$175&gt;0,328&gt;$B$175,ISNUMBER($B$75)),$B$75,$B$61)),"")</x:f>
        <x:v>0.0625</x:v>
      </x:c>
      <x:c r="D728" s="440" t="n">
        <x:f>IF(AND(ISNUMBER(B728),B728=0),0,IF(AND($B$171=1,I727=0,ISNUMBER(C728),ISNUMBER(IF(AND(328&lt;=$B$174,328&lt;=$B$173),B728*C728/12,IF(AND(328=$B$173+1,AND(328&gt;$B$173,$B$78="Refinance",ISNUMBER($B$80),$B$80&gt;=0,$B$80&lt;=1,ROUND($B$81*12,0)&gt;=1,$B$81&lt;=100,SUM($B$82)&gt;=0,SUM($B$82)&lt;=1,SUM($B$83)&gt;=0)),IF(B728=0,0,IF(C728=0,B728/ROUND($B$81*12,0),B728*(C728/12)/(1-(1+C728/12)^(-ROUND($B$81*12,0))))),IF(AND(NOT(AND(328&gt;$B$173,$B$78="Refinance",ISNUMBER($B$80),$B$80&gt;=0,$B$80&lt;=1,ROUND($B$81*12,0)&gt;=1,$B$81&lt;=100,SUM($B$82)&gt;=0,SUM($B$82)&lt;=1,SUM($B$83)&gt;=0)),OR(328=1,328=$B$174+1,AND($B$175&gt;0,328=$B$175+1))),IF(AND($B$170=1,$B$66&gt;0,OR($B$175=0,328&lt;=$B$175)),$B$66,IF($B$172-MAX(328-1,$B$174)&gt;0,IF(B728=0,0,IF(C728=0,B728/($B$172-MAX(328-1,$B$174)),B728*(C728/12)/(1-(1+C728/12)^(-($B$172-MAX(328-1,$B$174)))))),"")),D727))))),IF(IF(AND(328&lt;=$B$174,328&lt;=$B$173),B728*C728/12,IF(AND(328=$B$173+1,AND(328&gt;$B$173,$B$78="Refinance",ISNUMBER($B$80),$B$80&gt;=0,$B$80&lt;=1,ROUND($B$81*12,0)&gt;=1,$B$81&lt;=100,SUM($B$82)&gt;=0,SUM($B$82)&lt;=1,SUM($B$83)&gt;=0)),IF(B728=0,0,IF(C728=0,B728/ROUND($B$81*12,0),B728*(C728/12)/(1-(1+C728/12)^(-ROUND($B$81*12,0))))),IF(AND(NOT(AND(328&gt;$B$173,$B$78="Refinance",ISNUMBER($B$80),$B$80&gt;=0,$B$80&lt;=1,ROUND($B$81*12,0)&gt;=1,$B$81&lt;=100,SUM($B$82)&gt;=0,SUM($B$82)&lt;=1,SUM($B$83)&gt;=0)),OR(328=1,328=$B$174+1,AND($B$175&gt;0,328=$B$175+1))),IF(AND($B$170=1,$B$66&gt;0,OR($B$175=0,328&lt;=$B$175)),$B$66,IF($B$172-MAX(328-1,$B$174)&gt;0,IF(B728=0,0,IF(C728=0,B728/($B$172-MAX(328-1,$B$174)),B728*(C728/12)/(1-(1+C728/12)^(-($B$172-MAX(328-1,$B$174)))))),"")),D727)))+0.0000001&gt;=B728*C728/12,MIN(B728*(1+C728/12),IF(AND(328&lt;=$B$174,328&lt;=$B$173),B728*C728/12,IF(AND(328=$B$173+1,AND(328&gt;$B$173,$B$78="Refinance",ISNUMBER($B$80),$B$80&gt;=0,$B$80&lt;=1,ROUND($B$81*12,0)&gt;=1,$B$81&lt;=100,SUM($B$82)&gt;=0,SUM($B$82)&lt;=1,SUM($B$83)&gt;=0)),IF(B728=0,0,IF(C728=0,B728/ROUND($B$81*12,0),B728*(C728/12)/(1-(1+C728/12)^(-ROUND($B$81*12,0))))),IF(AND(NOT(AND(328&gt;$B$173,$B$78="Refinance",ISNUMBER($B$80),$B$80&gt;=0,$B$80&lt;=1,ROUND($B$81*12,0)&gt;=1,$B$81&lt;=100,SUM($B$82)&gt;=0,SUM($B$82)&lt;=1,SUM($B$83)&gt;=0)),OR(328=1,328=$B$174+1,AND($B$175&gt;0,328=$B$175+1))),IF(AND($B$170=1,$B$66&gt;0,OR($B$175=0,328&lt;=$B$175)),$B$66,IF($B$172-MAX(328-1,$B$174)&gt;0,IF(B728=0,0,IF(C728=0,B728/($B$172-MAX(328-1,$B$174)),B728*(C728/12)/(1-(1+C728/12)^(-($B$172-MAX(328-1,$B$174)))))),"")),D727)))),""),""))</x:f>
        <x:v>4679.450723240598</x:v>
      </x:c>
      <x:c r="E728" s="440" t="n">
        <x:f>IF(AND(328=$B$173,ISNUMBER(D728)),IF(MAX(0,B728*(1+C728/12)-D728)&lt;MAX(0.0000001,$E$17*0.00000000001),0,MAX(0,B728*(1+C728/12)-D728)),0)</x:f>
        <x:v>0</x:v>
      </x:c>
      <x:c r="F728" s="440" t="n">
        <x:f>IF($B$78="Cash payoff",E728,0)</x:f>
        <x:v>0</x:v>
      </x:c>
      <x:c r="G728" s="440" t="n">
        <x:f>IF(AND(E728&gt;0,AND($B$78="Refinance",ISNUMBER($B$80),$B$80&gt;=0,$B$80&lt;=1,ROUND($B$81*12,0)&gt;=1,$B$81&lt;=100,SUM($B$82)&gt;=0,SUM($B$82)&lt;=1,SUM($B$83)&gt;=0)),E728*SUM($B$82)+SUM($B$83),0)</x:f>
        <x:v>0</x:v>
      </x:c>
      <x:c r="H728" s="440" t="n">
        <x:f>IF(ISNUMBER(D728),IF(MAX(0,B728*(1+C728/12)-D728-F728)&lt;MAX(0.0000001,$E$17*0.00000000001),0,MAX(0,B728*(1+C728/12)-D728-F728)),IF(AND($B$171=1,I727=1),B728,""))</x:f>
        <x:v>137600.17247834124</x:v>
      </x:c>
      <x:c r="I728" s="444" t="n">
        <x:f>IF(OR(I727=1,AND(E728&gt;0,$B$78&lt;&gt;"Cash payoff",NOT(AND($B$78="Refinance",ISNUMBER($B$80),$B$80&gt;=0,$B$80&lt;=1,ROUND($B$81*12,0)&gt;=1,$B$81&lt;=100,SUM($B$82)&gt;=0,SUM($B$82)&lt;=1,SUM($B$83)&gt;=0))),AND(ISNUMBER(B728),B728&gt;0,$B$171=1,NOT(ISNUMBER(D728)))),1,0)</x:f>
        <x:v>0</x:v>
      </x:c>
      <x:c r="J728" s="440" t="n">
        <x:f>IF(ISNUMBER(L727),L727,"")</x:f>
        <x:v>0</x:v>
      </x:c>
      <x:c r="K728" s="440" t="n">
        <x:f>IF(AND(ISNUMBER(J728),J728=0),0,IF(AND($B$176=1,ISNUMBER(J728)),MIN(J728*(1+$B$87/12),IF($B$86=0,0,IF($B$87=0,$B$86/ROUND($B$88*12,0),$B$86*($B$87/12)/(1-(1+$B$87/12)^(-ROUND($B$88*12,0)))))),""))</x:f>
        <x:v>0</x:v>
      </x:c>
      <x:c r="L728" s="440" t="n">
        <x:f>IF(ISNUMBER(K728),IF(MAX(0,J728*(1+SUM($B$87)/12)-K728)&lt;MAX(0.0000001,$B$86*0.00000000001),0,MAX(0,J728*(1+SUM($B$87)/12)-K728)),"")</x:f>
        <x:v>0</x:v>
      </x:c>
      <x:c r="M728" s="440" t="n">
        <x:f>IF(AND(ISNUMBER(D728),ISNUMBER(K728)),D728+K728,"")</x:f>
        <x:v>4679.450723240598</x:v>
      </x:c>
      <x:c r="N728" s="440" t="n">
        <x:f>IF(AND(ISNUMBER(H728),ISNUMBER(L728)),H728+L728,"")</x:f>
        <x:v>137600.17247834124</x:v>
      </x:c>
    </x:row>
    <x:row r="729" ht="22" customHeight="1">
      <x:c r="A729" s="254" t="n">
        <x:f>329</x:f>
        <x:v>329</x:v>
      </x:c>
      <x:c r="B729" s="440" t="n">
        <x:f>IF(ISNUMBER(H728),H728,"")</x:f>
        <x:v>137600.17247834124</x:v>
      </x:c>
      <x:c r="C729" s="442" t="n">
        <x:f>IF(ISNUMBER(B729),IF(AND(329&gt;$B$173,$B$78="Refinance",ISNUMBER($B$80),$B$80&gt;=0,$B$80&lt;=1,ROUND($B$81*12,0)&gt;=1,$B$81&lt;=100,SUM($B$82)&gt;=0,SUM($B$82)&lt;=1,SUM($B$83)&gt;=0),$B$80,IF(AND($B$175&gt;0,329&gt;$B$175,ISNUMBER($B$75)),$B$75,$B$61)),"")</x:f>
        <x:v>0.0625</x:v>
      </x:c>
      <x:c r="D729" s="440" t="n">
        <x:f>IF(AND(ISNUMBER(B729),B729=0),0,IF(AND($B$171=1,I728=0,ISNUMBER(C729),ISNUMBER(IF(AND(329&lt;=$B$174,329&lt;=$B$173),B729*C729/12,IF(AND(329=$B$173+1,AND(329&gt;$B$173,$B$78="Refinance",ISNUMBER($B$80),$B$80&gt;=0,$B$80&lt;=1,ROUND($B$81*12,0)&gt;=1,$B$81&lt;=100,SUM($B$82)&gt;=0,SUM($B$82)&lt;=1,SUM($B$83)&gt;=0)),IF(B729=0,0,IF(C729=0,B729/ROUND($B$81*12,0),B729*(C729/12)/(1-(1+C729/12)^(-ROUND($B$81*12,0))))),IF(AND(NOT(AND(329&gt;$B$173,$B$78="Refinance",ISNUMBER($B$80),$B$80&gt;=0,$B$80&lt;=1,ROUND($B$81*12,0)&gt;=1,$B$81&lt;=100,SUM($B$82)&gt;=0,SUM($B$82)&lt;=1,SUM($B$83)&gt;=0)),OR(329=1,329=$B$174+1,AND($B$175&gt;0,329=$B$175+1))),IF(AND($B$170=1,$B$66&gt;0,OR($B$175=0,329&lt;=$B$175)),$B$66,IF($B$172-MAX(329-1,$B$174)&gt;0,IF(B729=0,0,IF(C729=0,B729/($B$172-MAX(329-1,$B$174)),B729*(C729/12)/(1-(1+C729/12)^(-($B$172-MAX(329-1,$B$174)))))),"")),D728))))),IF(IF(AND(329&lt;=$B$174,329&lt;=$B$173),B729*C729/12,IF(AND(329=$B$173+1,AND(329&gt;$B$173,$B$78="Refinance",ISNUMBER($B$80),$B$80&gt;=0,$B$80&lt;=1,ROUND($B$81*12,0)&gt;=1,$B$81&lt;=100,SUM($B$82)&gt;=0,SUM($B$82)&lt;=1,SUM($B$83)&gt;=0)),IF(B729=0,0,IF(C729=0,B729/ROUND($B$81*12,0),B729*(C729/12)/(1-(1+C729/12)^(-ROUND($B$81*12,0))))),IF(AND(NOT(AND(329&gt;$B$173,$B$78="Refinance",ISNUMBER($B$80),$B$80&gt;=0,$B$80&lt;=1,ROUND($B$81*12,0)&gt;=1,$B$81&lt;=100,SUM($B$82)&gt;=0,SUM($B$82)&lt;=1,SUM($B$83)&gt;=0)),OR(329=1,329=$B$174+1,AND($B$175&gt;0,329=$B$175+1))),IF(AND($B$170=1,$B$66&gt;0,OR($B$175=0,329&lt;=$B$175)),$B$66,IF($B$172-MAX(329-1,$B$174)&gt;0,IF(B729=0,0,IF(C729=0,B729/($B$172-MAX(329-1,$B$174)),B729*(C729/12)/(1-(1+C729/12)^(-($B$172-MAX(329-1,$B$174)))))),"")),D728)))+0.0000001&gt;=B729*C729/12,MIN(B729*(1+C729/12),IF(AND(329&lt;=$B$174,329&lt;=$B$173),B729*C729/12,IF(AND(329=$B$173+1,AND(329&gt;$B$173,$B$78="Refinance",ISNUMBER($B$80),$B$80&gt;=0,$B$80&lt;=1,ROUND($B$81*12,0)&gt;=1,$B$81&lt;=100,SUM($B$82)&gt;=0,SUM($B$82)&lt;=1,SUM($B$83)&gt;=0)),IF(B729=0,0,IF(C729=0,B729/ROUND($B$81*12,0),B729*(C729/12)/(1-(1+C729/12)^(-ROUND($B$81*12,0))))),IF(AND(NOT(AND(329&gt;$B$173,$B$78="Refinance",ISNUMBER($B$80),$B$80&gt;=0,$B$80&lt;=1,ROUND($B$81*12,0)&gt;=1,$B$81&lt;=100,SUM($B$82)&gt;=0,SUM($B$82)&lt;=1,SUM($B$83)&gt;=0)),OR(329=1,329=$B$174+1,AND($B$175&gt;0,329=$B$175+1))),IF(AND($B$170=1,$B$66&gt;0,OR($B$175=0,329&lt;=$B$175)),$B$66,IF($B$172-MAX(329-1,$B$174)&gt;0,IF(B729=0,0,IF(C729=0,B729/($B$172-MAX(329-1,$B$174)),B729*(C729/12)/(1-(1+C729/12)^(-($B$172-MAX(329-1,$B$174)))))),"")),D728)))),""),""))</x:f>
        <x:v>4679.450723240598</x:v>
      </x:c>
      <x:c r="E729" s="440" t="n">
        <x:f>IF(AND(329=$B$173,ISNUMBER(D729)),IF(MAX(0,B729*(1+C729/12)-D729)&lt;MAX(0.0000001,$E$17*0.00000000001),0,MAX(0,B729*(1+C729/12)-D729)),0)</x:f>
        <x:v>0</x:v>
      </x:c>
      <x:c r="F729" s="440" t="n">
        <x:f>IF($B$78="Cash payoff",E729,0)</x:f>
        <x:v>0</x:v>
      </x:c>
      <x:c r="G729" s="440" t="n">
        <x:f>IF(AND(E729&gt;0,AND($B$78="Refinance",ISNUMBER($B$80),$B$80&gt;=0,$B$80&lt;=1,ROUND($B$81*12,0)&gt;=1,$B$81&lt;=100,SUM($B$82)&gt;=0,SUM($B$82)&lt;=1,SUM($B$83)&gt;=0)),E729*SUM($B$82)+SUM($B$83),0)</x:f>
        <x:v>0</x:v>
      </x:c>
      <x:c r="H729" s="440" t="n">
        <x:f>IF(ISNUMBER(D729),IF(MAX(0,B729*(1+C729/12)-D729-F729)&lt;MAX(0.0000001,$E$17*0.00000000001),0,MAX(0,B729*(1+C729/12)-D729-F729)),IF(AND($B$171=1,I728=1),B729,""))</x:f>
        <x:v>133637.38932009198</x:v>
      </x:c>
      <x:c r="I729" s="444" t="n">
        <x:f>IF(OR(I728=1,AND(E729&gt;0,$B$78&lt;&gt;"Cash payoff",NOT(AND($B$78="Refinance",ISNUMBER($B$80),$B$80&gt;=0,$B$80&lt;=1,ROUND($B$81*12,0)&gt;=1,$B$81&lt;=100,SUM($B$82)&gt;=0,SUM($B$82)&lt;=1,SUM($B$83)&gt;=0))),AND(ISNUMBER(B729),B729&gt;0,$B$171=1,NOT(ISNUMBER(D729)))),1,0)</x:f>
        <x:v>0</x:v>
      </x:c>
      <x:c r="J729" s="440" t="n">
        <x:f>IF(ISNUMBER(L728),L728,"")</x:f>
        <x:v>0</x:v>
      </x:c>
      <x:c r="K729" s="440" t="n">
        <x:f>IF(AND(ISNUMBER(J729),J729=0),0,IF(AND($B$176=1,ISNUMBER(J729)),MIN(J729*(1+$B$87/12),IF($B$86=0,0,IF($B$87=0,$B$86/ROUND($B$88*12,0),$B$86*($B$87/12)/(1-(1+$B$87/12)^(-ROUND($B$88*12,0)))))),""))</x:f>
        <x:v>0</x:v>
      </x:c>
      <x:c r="L729" s="440" t="n">
        <x:f>IF(ISNUMBER(K729),IF(MAX(0,J729*(1+SUM($B$87)/12)-K729)&lt;MAX(0.0000001,$B$86*0.00000000001),0,MAX(0,J729*(1+SUM($B$87)/12)-K729)),"")</x:f>
        <x:v>0</x:v>
      </x:c>
      <x:c r="M729" s="440" t="n">
        <x:f>IF(AND(ISNUMBER(D729),ISNUMBER(K729)),D729+K729,"")</x:f>
        <x:v>4679.450723240598</x:v>
      </x:c>
      <x:c r="N729" s="440" t="n">
        <x:f>IF(AND(ISNUMBER(H729),ISNUMBER(L729)),H729+L729,"")</x:f>
        <x:v>133637.38932009198</x:v>
      </x:c>
    </x:row>
    <x:row r="730" ht="22" customHeight="1">
      <x:c r="A730" s="254" t="n">
        <x:f>330</x:f>
        <x:v>330</x:v>
      </x:c>
      <x:c r="B730" s="440" t="n">
        <x:f>IF(ISNUMBER(H729),H729,"")</x:f>
        <x:v>133637.38932009198</x:v>
      </x:c>
      <x:c r="C730" s="442" t="n">
        <x:f>IF(ISNUMBER(B730),IF(AND(330&gt;$B$173,$B$78="Refinance",ISNUMBER($B$80),$B$80&gt;=0,$B$80&lt;=1,ROUND($B$81*12,0)&gt;=1,$B$81&lt;=100,SUM($B$82)&gt;=0,SUM($B$82)&lt;=1,SUM($B$83)&gt;=0),$B$80,IF(AND($B$175&gt;0,330&gt;$B$175,ISNUMBER($B$75)),$B$75,$B$61)),"")</x:f>
        <x:v>0.0625</x:v>
      </x:c>
      <x:c r="D730" s="440" t="n">
        <x:f>IF(AND(ISNUMBER(B730),B730=0),0,IF(AND($B$171=1,I729=0,ISNUMBER(C730),ISNUMBER(IF(AND(330&lt;=$B$174,330&lt;=$B$173),B730*C730/12,IF(AND(330=$B$173+1,AND(330&gt;$B$173,$B$78="Refinance",ISNUMBER($B$80),$B$80&gt;=0,$B$80&lt;=1,ROUND($B$81*12,0)&gt;=1,$B$81&lt;=100,SUM($B$82)&gt;=0,SUM($B$82)&lt;=1,SUM($B$83)&gt;=0)),IF(B730=0,0,IF(C730=0,B730/ROUND($B$81*12,0),B730*(C730/12)/(1-(1+C730/12)^(-ROUND($B$81*12,0))))),IF(AND(NOT(AND(330&gt;$B$173,$B$78="Refinance",ISNUMBER($B$80),$B$80&gt;=0,$B$80&lt;=1,ROUND($B$81*12,0)&gt;=1,$B$81&lt;=100,SUM($B$82)&gt;=0,SUM($B$82)&lt;=1,SUM($B$83)&gt;=0)),OR(330=1,330=$B$174+1,AND($B$175&gt;0,330=$B$175+1))),IF(AND($B$170=1,$B$66&gt;0,OR($B$175=0,330&lt;=$B$175)),$B$66,IF($B$172-MAX(330-1,$B$174)&gt;0,IF(B730=0,0,IF(C730=0,B730/($B$172-MAX(330-1,$B$174)),B730*(C730/12)/(1-(1+C730/12)^(-($B$172-MAX(330-1,$B$174)))))),"")),D729))))),IF(IF(AND(330&lt;=$B$174,330&lt;=$B$173),B730*C730/12,IF(AND(330=$B$173+1,AND(330&gt;$B$173,$B$78="Refinance",ISNUMBER($B$80),$B$80&gt;=0,$B$80&lt;=1,ROUND($B$81*12,0)&gt;=1,$B$81&lt;=100,SUM($B$82)&gt;=0,SUM($B$82)&lt;=1,SUM($B$83)&gt;=0)),IF(B730=0,0,IF(C730=0,B730/ROUND($B$81*12,0),B730*(C730/12)/(1-(1+C730/12)^(-ROUND($B$81*12,0))))),IF(AND(NOT(AND(330&gt;$B$173,$B$78="Refinance",ISNUMBER($B$80),$B$80&gt;=0,$B$80&lt;=1,ROUND($B$81*12,0)&gt;=1,$B$81&lt;=100,SUM($B$82)&gt;=0,SUM($B$82)&lt;=1,SUM($B$83)&gt;=0)),OR(330=1,330=$B$174+1,AND($B$175&gt;0,330=$B$175+1))),IF(AND($B$170=1,$B$66&gt;0,OR($B$175=0,330&lt;=$B$175)),$B$66,IF($B$172-MAX(330-1,$B$174)&gt;0,IF(B730=0,0,IF(C730=0,B730/($B$172-MAX(330-1,$B$174)),B730*(C730/12)/(1-(1+C730/12)^(-($B$172-MAX(330-1,$B$174)))))),"")),D729)))+0.0000001&gt;=B730*C730/12,MIN(B730*(1+C730/12),IF(AND(330&lt;=$B$174,330&lt;=$B$173),B730*C730/12,IF(AND(330=$B$173+1,AND(330&gt;$B$173,$B$78="Refinance",ISNUMBER($B$80),$B$80&gt;=0,$B$80&lt;=1,ROUND($B$81*12,0)&gt;=1,$B$81&lt;=100,SUM($B$82)&gt;=0,SUM($B$82)&lt;=1,SUM($B$83)&gt;=0)),IF(B730=0,0,IF(C730=0,B730/ROUND($B$81*12,0),B730*(C730/12)/(1-(1+C730/12)^(-ROUND($B$81*12,0))))),IF(AND(NOT(AND(330&gt;$B$173,$B$78="Refinance",ISNUMBER($B$80),$B$80&gt;=0,$B$80&lt;=1,ROUND($B$81*12,0)&gt;=1,$B$81&lt;=100,SUM($B$82)&gt;=0,SUM($B$82)&lt;=1,SUM($B$83)&gt;=0)),OR(330=1,330=$B$174+1,AND($B$175&gt;0,330=$B$175+1))),IF(AND($B$170=1,$B$66&gt;0,OR($B$175=0,330&lt;=$B$175)),$B$66,IF($B$172-MAX(330-1,$B$174)&gt;0,IF(B730=0,0,IF(C730=0,B730/($B$172-MAX(330-1,$B$174)),B730*(C730/12)/(1-(1+C730/12)^(-($B$172-MAX(330-1,$B$174)))))),"")),D729)))),""),""))</x:f>
        <x:v>4679.450723240598</x:v>
      </x:c>
      <x:c r="E730" s="440" t="n">
        <x:f>IF(AND(330=$B$173,ISNUMBER(D730)),IF(MAX(0,B730*(1+C730/12)-D730)&lt;MAX(0.0000001,$E$17*0.00000000001),0,MAX(0,B730*(1+C730/12)-D730)),0)</x:f>
        <x:v>0</x:v>
      </x:c>
      <x:c r="F730" s="440" t="n">
        <x:f>IF($B$78="Cash payoff",E730,0)</x:f>
        <x:v>0</x:v>
      </x:c>
      <x:c r="G730" s="440" t="n">
        <x:f>IF(AND(E730&gt;0,AND($B$78="Refinance",ISNUMBER($B$80),$B$80&gt;=0,$B$80&lt;=1,ROUND($B$81*12,0)&gt;=1,$B$81&lt;=100,SUM($B$82)&gt;=0,SUM($B$82)&lt;=1,SUM($B$83)&gt;=0)),E730*SUM($B$82)+SUM($B$83),0)</x:f>
        <x:v>0</x:v>
      </x:c>
      <x:c r="H730" s="440" t="n">
        <x:f>IF(ISNUMBER(D730),IF(MAX(0,B730*(1+C730/12)-D730-F730)&lt;MAX(0.0000001,$E$17*0.00000000001),0,MAX(0,B730*(1+C730/12)-D730-F730)),IF(AND($B$171=1,I729=1),B730,""))</x:f>
        <x:v>129653.96666622684</x:v>
      </x:c>
      <x:c r="I730" s="444" t="n">
        <x:f>IF(OR(I729=1,AND(E730&gt;0,$B$78&lt;&gt;"Cash payoff",NOT(AND($B$78="Refinance",ISNUMBER($B$80),$B$80&gt;=0,$B$80&lt;=1,ROUND($B$81*12,0)&gt;=1,$B$81&lt;=100,SUM($B$82)&gt;=0,SUM($B$82)&lt;=1,SUM($B$83)&gt;=0))),AND(ISNUMBER(B730),B730&gt;0,$B$171=1,NOT(ISNUMBER(D730)))),1,0)</x:f>
        <x:v>0</x:v>
      </x:c>
      <x:c r="J730" s="440" t="n">
        <x:f>IF(ISNUMBER(L729),L729,"")</x:f>
        <x:v>0</x:v>
      </x:c>
      <x:c r="K730" s="440" t="n">
        <x:f>IF(AND(ISNUMBER(J730),J730=0),0,IF(AND($B$176=1,ISNUMBER(J730)),MIN(J730*(1+$B$87/12),IF($B$86=0,0,IF($B$87=0,$B$86/ROUND($B$88*12,0),$B$86*($B$87/12)/(1-(1+$B$87/12)^(-ROUND($B$88*12,0)))))),""))</x:f>
        <x:v>0</x:v>
      </x:c>
      <x:c r="L730" s="440" t="n">
        <x:f>IF(ISNUMBER(K730),IF(MAX(0,J730*(1+SUM($B$87)/12)-K730)&lt;MAX(0.0000001,$B$86*0.00000000001),0,MAX(0,J730*(1+SUM($B$87)/12)-K730)),"")</x:f>
        <x:v>0</x:v>
      </x:c>
      <x:c r="M730" s="440" t="n">
        <x:f>IF(AND(ISNUMBER(D730),ISNUMBER(K730)),D730+K730,"")</x:f>
        <x:v>4679.450723240598</x:v>
      </x:c>
      <x:c r="N730" s="440" t="n">
        <x:f>IF(AND(ISNUMBER(H730),ISNUMBER(L730)),H730+L730,"")</x:f>
        <x:v>129653.96666622684</x:v>
      </x:c>
    </x:row>
    <x:row r="731" ht="22" customHeight="1">
      <x:c r="A731" s="254" t="n">
        <x:f>331</x:f>
        <x:v>331</x:v>
      </x:c>
      <x:c r="B731" s="440" t="n">
        <x:f>IF(ISNUMBER(H730),H730,"")</x:f>
        <x:v>129653.96666622684</x:v>
      </x:c>
      <x:c r="C731" s="442" t="n">
        <x:f>IF(ISNUMBER(B731),IF(AND(331&gt;$B$173,$B$78="Refinance",ISNUMBER($B$80),$B$80&gt;=0,$B$80&lt;=1,ROUND($B$81*12,0)&gt;=1,$B$81&lt;=100,SUM($B$82)&gt;=0,SUM($B$82)&lt;=1,SUM($B$83)&gt;=0),$B$80,IF(AND($B$175&gt;0,331&gt;$B$175,ISNUMBER($B$75)),$B$75,$B$61)),"")</x:f>
        <x:v>0.0625</x:v>
      </x:c>
      <x:c r="D731" s="440" t="n">
        <x:f>IF(AND(ISNUMBER(B731),B731=0),0,IF(AND($B$171=1,I730=0,ISNUMBER(C731),ISNUMBER(IF(AND(331&lt;=$B$174,331&lt;=$B$173),B731*C731/12,IF(AND(331=$B$173+1,AND(331&gt;$B$173,$B$78="Refinance",ISNUMBER($B$80),$B$80&gt;=0,$B$80&lt;=1,ROUND($B$81*12,0)&gt;=1,$B$81&lt;=100,SUM($B$82)&gt;=0,SUM($B$82)&lt;=1,SUM($B$83)&gt;=0)),IF(B731=0,0,IF(C731=0,B731/ROUND($B$81*12,0),B731*(C731/12)/(1-(1+C731/12)^(-ROUND($B$81*12,0))))),IF(AND(NOT(AND(331&gt;$B$173,$B$78="Refinance",ISNUMBER($B$80),$B$80&gt;=0,$B$80&lt;=1,ROUND($B$81*12,0)&gt;=1,$B$81&lt;=100,SUM($B$82)&gt;=0,SUM($B$82)&lt;=1,SUM($B$83)&gt;=0)),OR(331=1,331=$B$174+1,AND($B$175&gt;0,331=$B$175+1))),IF(AND($B$170=1,$B$66&gt;0,OR($B$175=0,331&lt;=$B$175)),$B$66,IF($B$172-MAX(331-1,$B$174)&gt;0,IF(B731=0,0,IF(C731=0,B731/($B$172-MAX(331-1,$B$174)),B731*(C731/12)/(1-(1+C731/12)^(-($B$172-MAX(331-1,$B$174)))))),"")),D730))))),IF(IF(AND(331&lt;=$B$174,331&lt;=$B$173),B731*C731/12,IF(AND(331=$B$173+1,AND(331&gt;$B$173,$B$78="Refinance",ISNUMBER($B$80),$B$80&gt;=0,$B$80&lt;=1,ROUND($B$81*12,0)&gt;=1,$B$81&lt;=100,SUM($B$82)&gt;=0,SUM($B$82)&lt;=1,SUM($B$83)&gt;=0)),IF(B731=0,0,IF(C731=0,B731/ROUND($B$81*12,0),B731*(C731/12)/(1-(1+C731/12)^(-ROUND($B$81*12,0))))),IF(AND(NOT(AND(331&gt;$B$173,$B$78="Refinance",ISNUMBER($B$80),$B$80&gt;=0,$B$80&lt;=1,ROUND($B$81*12,0)&gt;=1,$B$81&lt;=100,SUM($B$82)&gt;=0,SUM($B$82)&lt;=1,SUM($B$83)&gt;=0)),OR(331=1,331=$B$174+1,AND($B$175&gt;0,331=$B$175+1))),IF(AND($B$170=1,$B$66&gt;0,OR($B$175=0,331&lt;=$B$175)),$B$66,IF($B$172-MAX(331-1,$B$174)&gt;0,IF(B731=0,0,IF(C731=0,B731/($B$172-MAX(331-1,$B$174)),B731*(C731/12)/(1-(1+C731/12)^(-($B$172-MAX(331-1,$B$174)))))),"")),D730)))+0.0000001&gt;=B731*C731/12,MIN(B731*(1+C731/12),IF(AND(331&lt;=$B$174,331&lt;=$B$173),B731*C731/12,IF(AND(331=$B$173+1,AND(331&gt;$B$173,$B$78="Refinance",ISNUMBER($B$80),$B$80&gt;=0,$B$80&lt;=1,ROUND($B$81*12,0)&gt;=1,$B$81&lt;=100,SUM($B$82)&gt;=0,SUM($B$82)&lt;=1,SUM($B$83)&gt;=0)),IF(B731=0,0,IF(C731=0,B731/ROUND($B$81*12,0),B731*(C731/12)/(1-(1+C731/12)^(-ROUND($B$81*12,0))))),IF(AND(NOT(AND(331&gt;$B$173,$B$78="Refinance",ISNUMBER($B$80),$B$80&gt;=0,$B$80&lt;=1,ROUND($B$81*12,0)&gt;=1,$B$81&lt;=100,SUM($B$82)&gt;=0,SUM($B$82)&lt;=1,SUM($B$83)&gt;=0)),OR(331=1,331=$B$174+1,AND($B$175&gt;0,331=$B$175+1))),IF(AND($B$170=1,$B$66&gt;0,OR($B$175=0,331&lt;=$B$175)),$B$66,IF($B$172-MAX(331-1,$B$174)&gt;0,IF(B731=0,0,IF(C731=0,B731/($B$172-MAX(331-1,$B$174)),B731*(C731/12)/(1-(1+C731/12)^(-($B$172-MAX(331-1,$B$174)))))),"")),D730)))),""),""))</x:f>
        <x:v>4679.450723240598</x:v>
      </x:c>
      <x:c r="E731" s="440" t="n">
        <x:f>IF(AND(331=$B$173,ISNUMBER(D731)),IF(MAX(0,B731*(1+C731/12)-D731)&lt;MAX(0.0000001,$E$17*0.00000000001),0,MAX(0,B731*(1+C731/12)-D731)),0)</x:f>
        <x:v>0</x:v>
      </x:c>
      <x:c r="F731" s="440" t="n">
        <x:f>IF($B$78="Cash payoff",E731,0)</x:f>
        <x:v>0</x:v>
      </x:c>
      <x:c r="G731" s="440" t="n">
        <x:f>IF(AND(E731&gt;0,AND($B$78="Refinance",ISNUMBER($B$80),$B$80&gt;=0,$B$80&lt;=1,ROUND($B$81*12,0)&gt;=1,$B$81&lt;=100,SUM($B$82)&gt;=0,SUM($B$82)&lt;=1,SUM($B$83)&gt;=0)),E731*SUM($B$82)+SUM($B$83),0)</x:f>
        <x:v>0</x:v>
      </x:c>
      <x:c r="H731" s="440" t="n">
        <x:f>IF(ISNUMBER(D731),IF(MAX(0,B731*(1+C731/12)-D731-F731)&lt;MAX(0.0000001,$E$17*0.00000000001),0,MAX(0,B731*(1+C731/12)-D731-F731)),IF(AND($B$171=1,I730=1),B731,""))</x:f>
        <x:v>125649.79701937283</x:v>
      </x:c>
      <x:c r="I731" s="444" t="n">
        <x:f>IF(OR(I730=1,AND(E731&gt;0,$B$78&lt;&gt;"Cash payoff",NOT(AND($B$78="Refinance",ISNUMBER($B$80),$B$80&gt;=0,$B$80&lt;=1,ROUND($B$81*12,0)&gt;=1,$B$81&lt;=100,SUM($B$82)&gt;=0,SUM($B$82)&lt;=1,SUM($B$83)&gt;=0))),AND(ISNUMBER(B731),B731&gt;0,$B$171=1,NOT(ISNUMBER(D731)))),1,0)</x:f>
        <x:v>0</x:v>
      </x:c>
      <x:c r="J731" s="440" t="n">
        <x:f>IF(ISNUMBER(L730),L730,"")</x:f>
        <x:v>0</x:v>
      </x:c>
      <x:c r="K731" s="440" t="n">
        <x:f>IF(AND(ISNUMBER(J731),J731=0),0,IF(AND($B$176=1,ISNUMBER(J731)),MIN(J731*(1+$B$87/12),IF($B$86=0,0,IF($B$87=0,$B$86/ROUND($B$88*12,0),$B$86*($B$87/12)/(1-(1+$B$87/12)^(-ROUND($B$88*12,0)))))),""))</x:f>
        <x:v>0</x:v>
      </x:c>
      <x:c r="L731" s="440" t="n">
        <x:f>IF(ISNUMBER(K731),IF(MAX(0,J731*(1+SUM($B$87)/12)-K731)&lt;MAX(0.0000001,$B$86*0.00000000001),0,MAX(0,J731*(1+SUM($B$87)/12)-K731)),"")</x:f>
        <x:v>0</x:v>
      </x:c>
      <x:c r="M731" s="440" t="n">
        <x:f>IF(AND(ISNUMBER(D731),ISNUMBER(K731)),D731+K731,"")</x:f>
        <x:v>4679.450723240598</x:v>
      </x:c>
      <x:c r="N731" s="440" t="n">
        <x:f>IF(AND(ISNUMBER(H731),ISNUMBER(L731)),H731+L731,"")</x:f>
        <x:v>125649.79701937283</x:v>
      </x:c>
    </x:row>
    <x:row r="732" ht="22" customHeight="1">
      <x:c r="A732" s="254" t="n">
        <x:f>332</x:f>
        <x:v>332</x:v>
      </x:c>
      <x:c r="B732" s="440" t="n">
        <x:f>IF(ISNUMBER(H731),H731,"")</x:f>
        <x:v>125649.79701937283</x:v>
      </x:c>
      <x:c r="C732" s="442" t="n">
        <x:f>IF(ISNUMBER(B732),IF(AND(332&gt;$B$173,$B$78="Refinance",ISNUMBER($B$80),$B$80&gt;=0,$B$80&lt;=1,ROUND($B$81*12,0)&gt;=1,$B$81&lt;=100,SUM($B$82)&gt;=0,SUM($B$82)&lt;=1,SUM($B$83)&gt;=0),$B$80,IF(AND($B$175&gt;0,332&gt;$B$175,ISNUMBER($B$75)),$B$75,$B$61)),"")</x:f>
        <x:v>0.0625</x:v>
      </x:c>
      <x:c r="D732" s="440" t="n">
        <x:f>IF(AND(ISNUMBER(B732),B732=0),0,IF(AND($B$171=1,I731=0,ISNUMBER(C732),ISNUMBER(IF(AND(332&lt;=$B$174,332&lt;=$B$173),B732*C732/12,IF(AND(332=$B$173+1,AND(332&gt;$B$173,$B$78="Refinance",ISNUMBER($B$80),$B$80&gt;=0,$B$80&lt;=1,ROUND($B$81*12,0)&gt;=1,$B$81&lt;=100,SUM($B$82)&gt;=0,SUM($B$82)&lt;=1,SUM($B$83)&gt;=0)),IF(B732=0,0,IF(C732=0,B732/ROUND($B$81*12,0),B732*(C732/12)/(1-(1+C732/12)^(-ROUND($B$81*12,0))))),IF(AND(NOT(AND(332&gt;$B$173,$B$78="Refinance",ISNUMBER($B$80),$B$80&gt;=0,$B$80&lt;=1,ROUND($B$81*12,0)&gt;=1,$B$81&lt;=100,SUM($B$82)&gt;=0,SUM($B$82)&lt;=1,SUM($B$83)&gt;=0)),OR(332=1,332=$B$174+1,AND($B$175&gt;0,332=$B$175+1))),IF(AND($B$170=1,$B$66&gt;0,OR($B$175=0,332&lt;=$B$175)),$B$66,IF($B$172-MAX(332-1,$B$174)&gt;0,IF(B732=0,0,IF(C732=0,B732/($B$172-MAX(332-1,$B$174)),B732*(C732/12)/(1-(1+C732/12)^(-($B$172-MAX(332-1,$B$174)))))),"")),D731))))),IF(IF(AND(332&lt;=$B$174,332&lt;=$B$173),B732*C732/12,IF(AND(332=$B$173+1,AND(332&gt;$B$173,$B$78="Refinance",ISNUMBER($B$80),$B$80&gt;=0,$B$80&lt;=1,ROUND($B$81*12,0)&gt;=1,$B$81&lt;=100,SUM($B$82)&gt;=0,SUM($B$82)&lt;=1,SUM($B$83)&gt;=0)),IF(B732=0,0,IF(C732=0,B732/ROUND($B$81*12,0),B732*(C732/12)/(1-(1+C732/12)^(-ROUND($B$81*12,0))))),IF(AND(NOT(AND(332&gt;$B$173,$B$78="Refinance",ISNUMBER($B$80),$B$80&gt;=0,$B$80&lt;=1,ROUND($B$81*12,0)&gt;=1,$B$81&lt;=100,SUM($B$82)&gt;=0,SUM($B$82)&lt;=1,SUM($B$83)&gt;=0)),OR(332=1,332=$B$174+1,AND($B$175&gt;0,332=$B$175+1))),IF(AND($B$170=1,$B$66&gt;0,OR($B$175=0,332&lt;=$B$175)),$B$66,IF($B$172-MAX(332-1,$B$174)&gt;0,IF(B732=0,0,IF(C732=0,B732/($B$172-MAX(332-1,$B$174)),B732*(C732/12)/(1-(1+C732/12)^(-($B$172-MAX(332-1,$B$174)))))),"")),D731)))+0.0000001&gt;=B732*C732/12,MIN(B732*(1+C732/12),IF(AND(332&lt;=$B$174,332&lt;=$B$173),B732*C732/12,IF(AND(332=$B$173+1,AND(332&gt;$B$173,$B$78="Refinance",ISNUMBER($B$80),$B$80&gt;=0,$B$80&lt;=1,ROUND($B$81*12,0)&gt;=1,$B$81&lt;=100,SUM($B$82)&gt;=0,SUM($B$82)&lt;=1,SUM($B$83)&gt;=0)),IF(B732=0,0,IF(C732=0,B732/ROUND($B$81*12,0),B732*(C732/12)/(1-(1+C732/12)^(-ROUND($B$81*12,0))))),IF(AND(NOT(AND(332&gt;$B$173,$B$78="Refinance",ISNUMBER($B$80),$B$80&gt;=0,$B$80&lt;=1,ROUND($B$81*12,0)&gt;=1,$B$81&lt;=100,SUM($B$82)&gt;=0,SUM($B$82)&lt;=1,SUM($B$83)&gt;=0)),OR(332=1,332=$B$174+1,AND($B$175&gt;0,332=$B$175+1))),IF(AND($B$170=1,$B$66&gt;0,OR($B$175=0,332&lt;=$B$175)),$B$66,IF($B$172-MAX(332-1,$B$174)&gt;0,IF(B732=0,0,IF(C732=0,B732/($B$172-MAX(332-1,$B$174)),B732*(C732/12)/(1-(1+C732/12)^(-($B$172-MAX(332-1,$B$174)))))),"")),D731)))),""),""))</x:f>
        <x:v>4679.450723240598</x:v>
      </x:c>
      <x:c r="E732" s="440" t="n">
        <x:f>IF(AND(332=$B$173,ISNUMBER(D732)),IF(MAX(0,B732*(1+C732/12)-D732)&lt;MAX(0.0000001,$E$17*0.00000000001),0,MAX(0,B732*(1+C732/12)-D732)),0)</x:f>
        <x:v>0</x:v>
      </x:c>
      <x:c r="F732" s="440" t="n">
        <x:f>IF($B$78="Cash payoff",E732,0)</x:f>
        <x:v>0</x:v>
      </x:c>
      <x:c r="G732" s="440" t="n">
        <x:f>IF(AND(E732&gt;0,AND($B$78="Refinance",ISNUMBER($B$80),$B$80&gt;=0,$B$80&lt;=1,ROUND($B$81*12,0)&gt;=1,$B$81&lt;=100,SUM($B$82)&gt;=0,SUM($B$82)&lt;=1,SUM($B$83)&gt;=0)),E732*SUM($B$82)+SUM($B$83),0)</x:f>
        <x:v>0</x:v>
      </x:c>
      <x:c r="H732" s="440" t="n">
        <x:f>IF(ISNUMBER(D732),IF(MAX(0,B732*(1+C732/12)-D732-F732)&lt;MAX(0.0000001,$E$17*0.00000000001),0,MAX(0,B732*(1+C732/12)-D732-F732)),IF(AND($B$171=1,I731=1),B732,""))</x:f>
        <x:v>121624.77232227477</x:v>
      </x:c>
      <x:c r="I732" s="444" t="n">
        <x:f>IF(OR(I731=1,AND(E732&gt;0,$B$78&lt;&gt;"Cash payoff",NOT(AND($B$78="Refinance",ISNUMBER($B$80),$B$80&gt;=0,$B$80&lt;=1,ROUND($B$81*12,0)&gt;=1,$B$81&lt;=100,SUM($B$82)&gt;=0,SUM($B$82)&lt;=1,SUM($B$83)&gt;=0))),AND(ISNUMBER(B732),B732&gt;0,$B$171=1,NOT(ISNUMBER(D732)))),1,0)</x:f>
        <x:v>0</x:v>
      </x:c>
      <x:c r="J732" s="440" t="n">
        <x:f>IF(ISNUMBER(L731),L731,"")</x:f>
        <x:v>0</x:v>
      </x:c>
      <x:c r="K732" s="440" t="n">
        <x:f>IF(AND(ISNUMBER(J732),J732=0),0,IF(AND($B$176=1,ISNUMBER(J732)),MIN(J732*(1+$B$87/12),IF($B$86=0,0,IF($B$87=0,$B$86/ROUND($B$88*12,0),$B$86*($B$87/12)/(1-(1+$B$87/12)^(-ROUND($B$88*12,0)))))),""))</x:f>
        <x:v>0</x:v>
      </x:c>
      <x:c r="L732" s="440" t="n">
        <x:f>IF(ISNUMBER(K732),IF(MAX(0,J732*(1+SUM($B$87)/12)-K732)&lt;MAX(0.0000001,$B$86*0.00000000001),0,MAX(0,J732*(1+SUM($B$87)/12)-K732)),"")</x:f>
        <x:v>0</x:v>
      </x:c>
      <x:c r="M732" s="440" t="n">
        <x:f>IF(AND(ISNUMBER(D732),ISNUMBER(K732)),D732+K732,"")</x:f>
        <x:v>4679.450723240598</x:v>
      </x:c>
      <x:c r="N732" s="440" t="n">
        <x:f>IF(AND(ISNUMBER(H732),ISNUMBER(L732)),H732+L732,"")</x:f>
        <x:v>121624.77232227477</x:v>
      </x:c>
    </x:row>
    <x:row r="733" ht="22" customHeight="1">
      <x:c r="A733" s="254" t="n">
        <x:f>333</x:f>
        <x:v>333</x:v>
      </x:c>
      <x:c r="B733" s="440" t="n">
        <x:f>IF(ISNUMBER(H732),H732,"")</x:f>
        <x:v>121624.77232227477</x:v>
      </x:c>
      <x:c r="C733" s="442" t="n">
        <x:f>IF(ISNUMBER(B733),IF(AND(333&gt;$B$173,$B$78="Refinance",ISNUMBER($B$80),$B$80&gt;=0,$B$80&lt;=1,ROUND($B$81*12,0)&gt;=1,$B$81&lt;=100,SUM($B$82)&gt;=0,SUM($B$82)&lt;=1,SUM($B$83)&gt;=0),$B$80,IF(AND($B$175&gt;0,333&gt;$B$175,ISNUMBER($B$75)),$B$75,$B$61)),"")</x:f>
        <x:v>0.0625</x:v>
      </x:c>
      <x:c r="D733" s="440" t="n">
        <x:f>IF(AND(ISNUMBER(B733),B733=0),0,IF(AND($B$171=1,I732=0,ISNUMBER(C733),ISNUMBER(IF(AND(333&lt;=$B$174,333&lt;=$B$173),B733*C733/12,IF(AND(333=$B$173+1,AND(333&gt;$B$173,$B$78="Refinance",ISNUMBER($B$80),$B$80&gt;=0,$B$80&lt;=1,ROUND($B$81*12,0)&gt;=1,$B$81&lt;=100,SUM($B$82)&gt;=0,SUM($B$82)&lt;=1,SUM($B$83)&gt;=0)),IF(B733=0,0,IF(C733=0,B733/ROUND($B$81*12,0),B733*(C733/12)/(1-(1+C733/12)^(-ROUND($B$81*12,0))))),IF(AND(NOT(AND(333&gt;$B$173,$B$78="Refinance",ISNUMBER($B$80),$B$80&gt;=0,$B$80&lt;=1,ROUND($B$81*12,0)&gt;=1,$B$81&lt;=100,SUM($B$82)&gt;=0,SUM($B$82)&lt;=1,SUM($B$83)&gt;=0)),OR(333=1,333=$B$174+1,AND($B$175&gt;0,333=$B$175+1))),IF(AND($B$170=1,$B$66&gt;0,OR($B$175=0,333&lt;=$B$175)),$B$66,IF($B$172-MAX(333-1,$B$174)&gt;0,IF(B733=0,0,IF(C733=0,B733/($B$172-MAX(333-1,$B$174)),B733*(C733/12)/(1-(1+C733/12)^(-($B$172-MAX(333-1,$B$174)))))),"")),D732))))),IF(IF(AND(333&lt;=$B$174,333&lt;=$B$173),B733*C733/12,IF(AND(333=$B$173+1,AND(333&gt;$B$173,$B$78="Refinance",ISNUMBER($B$80),$B$80&gt;=0,$B$80&lt;=1,ROUND($B$81*12,0)&gt;=1,$B$81&lt;=100,SUM($B$82)&gt;=0,SUM($B$82)&lt;=1,SUM($B$83)&gt;=0)),IF(B733=0,0,IF(C733=0,B733/ROUND($B$81*12,0),B733*(C733/12)/(1-(1+C733/12)^(-ROUND($B$81*12,0))))),IF(AND(NOT(AND(333&gt;$B$173,$B$78="Refinance",ISNUMBER($B$80),$B$80&gt;=0,$B$80&lt;=1,ROUND($B$81*12,0)&gt;=1,$B$81&lt;=100,SUM($B$82)&gt;=0,SUM($B$82)&lt;=1,SUM($B$83)&gt;=0)),OR(333=1,333=$B$174+1,AND($B$175&gt;0,333=$B$175+1))),IF(AND($B$170=1,$B$66&gt;0,OR($B$175=0,333&lt;=$B$175)),$B$66,IF($B$172-MAX(333-1,$B$174)&gt;0,IF(B733=0,0,IF(C733=0,B733/($B$172-MAX(333-1,$B$174)),B733*(C733/12)/(1-(1+C733/12)^(-($B$172-MAX(333-1,$B$174)))))),"")),D732)))+0.0000001&gt;=B733*C733/12,MIN(B733*(1+C733/12),IF(AND(333&lt;=$B$174,333&lt;=$B$173),B733*C733/12,IF(AND(333=$B$173+1,AND(333&gt;$B$173,$B$78="Refinance",ISNUMBER($B$80),$B$80&gt;=0,$B$80&lt;=1,ROUND($B$81*12,0)&gt;=1,$B$81&lt;=100,SUM($B$82)&gt;=0,SUM($B$82)&lt;=1,SUM($B$83)&gt;=0)),IF(B733=0,0,IF(C733=0,B733/ROUND($B$81*12,0),B733*(C733/12)/(1-(1+C733/12)^(-ROUND($B$81*12,0))))),IF(AND(NOT(AND(333&gt;$B$173,$B$78="Refinance",ISNUMBER($B$80),$B$80&gt;=0,$B$80&lt;=1,ROUND($B$81*12,0)&gt;=1,$B$81&lt;=100,SUM($B$82)&gt;=0,SUM($B$82)&lt;=1,SUM($B$83)&gt;=0)),OR(333=1,333=$B$174+1,AND($B$175&gt;0,333=$B$175+1))),IF(AND($B$170=1,$B$66&gt;0,OR($B$175=0,333&lt;=$B$175)),$B$66,IF($B$172-MAX(333-1,$B$174)&gt;0,IF(B733=0,0,IF(C733=0,B733/($B$172-MAX(333-1,$B$174)),B733*(C733/12)/(1-(1+C733/12)^(-($B$172-MAX(333-1,$B$174)))))),"")),D732)))),""),""))</x:f>
        <x:v>4679.450723240598</x:v>
      </x:c>
      <x:c r="E733" s="440" t="n">
        <x:f>IF(AND(333=$B$173,ISNUMBER(D733)),IF(MAX(0,B733*(1+C733/12)-D733)&lt;MAX(0.0000001,$E$17*0.00000000001),0,MAX(0,B733*(1+C733/12)-D733)),0)</x:f>
        <x:v>0</x:v>
      </x:c>
      <x:c r="F733" s="440" t="n">
        <x:f>IF($B$78="Cash payoff",E733,0)</x:f>
        <x:v>0</x:v>
      </x:c>
      <x:c r="G733" s="440" t="n">
        <x:f>IF(AND(E733&gt;0,AND($B$78="Refinance",ISNUMBER($B$80),$B$80&gt;=0,$B$80&lt;=1,ROUND($B$81*12,0)&gt;=1,$B$81&lt;=100,SUM($B$82)&gt;=0,SUM($B$82)&lt;=1,SUM($B$83)&gt;=0)),E733*SUM($B$82)+SUM($B$83),0)</x:f>
        <x:v>0</x:v>
      </x:c>
      <x:c r="H733" s="440" t="n">
        <x:f>IF(ISNUMBER(D733),IF(MAX(0,B733*(1+C733/12)-D733-F733)&lt;MAX(0.0000001,$E$17*0.00000000001),0,MAX(0,B733*(1+C733/12)-D733-F733)),IF(AND($B$171=1,I732=1),B733,""))</x:f>
        <x:v>117578.78395487934</x:v>
      </x:c>
      <x:c r="I733" s="444" t="n">
        <x:f>IF(OR(I732=1,AND(E733&gt;0,$B$78&lt;&gt;"Cash payoff",NOT(AND($B$78="Refinance",ISNUMBER($B$80),$B$80&gt;=0,$B$80&lt;=1,ROUND($B$81*12,0)&gt;=1,$B$81&lt;=100,SUM($B$82)&gt;=0,SUM($B$82)&lt;=1,SUM($B$83)&gt;=0))),AND(ISNUMBER(B733),B733&gt;0,$B$171=1,NOT(ISNUMBER(D733)))),1,0)</x:f>
        <x:v>0</x:v>
      </x:c>
      <x:c r="J733" s="440" t="n">
        <x:f>IF(ISNUMBER(L732),L732,"")</x:f>
        <x:v>0</x:v>
      </x:c>
      <x:c r="K733" s="440" t="n">
        <x:f>IF(AND(ISNUMBER(J733),J733=0),0,IF(AND($B$176=1,ISNUMBER(J733)),MIN(J733*(1+$B$87/12),IF($B$86=0,0,IF($B$87=0,$B$86/ROUND($B$88*12,0),$B$86*($B$87/12)/(1-(1+$B$87/12)^(-ROUND($B$88*12,0)))))),""))</x:f>
        <x:v>0</x:v>
      </x:c>
      <x:c r="L733" s="440" t="n">
        <x:f>IF(ISNUMBER(K733),IF(MAX(0,J733*(1+SUM($B$87)/12)-K733)&lt;MAX(0.0000001,$B$86*0.00000000001),0,MAX(0,J733*(1+SUM($B$87)/12)-K733)),"")</x:f>
        <x:v>0</x:v>
      </x:c>
      <x:c r="M733" s="440" t="n">
        <x:f>IF(AND(ISNUMBER(D733),ISNUMBER(K733)),D733+K733,"")</x:f>
        <x:v>4679.450723240598</x:v>
      </x:c>
      <x:c r="N733" s="440" t="n">
        <x:f>IF(AND(ISNUMBER(H733),ISNUMBER(L733)),H733+L733,"")</x:f>
        <x:v>117578.78395487934</x:v>
      </x:c>
    </x:row>
    <x:row r="734" ht="22" customHeight="1">
      <x:c r="A734" s="254" t="n">
        <x:f>334</x:f>
        <x:v>334</x:v>
      </x:c>
      <x:c r="B734" s="440" t="n">
        <x:f>IF(ISNUMBER(H733),H733,"")</x:f>
        <x:v>117578.78395487934</x:v>
      </x:c>
      <x:c r="C734" s="442" t="n">
        <x:f>IF(ISNUMBER(B734),IF(AND(334&gt;$B$173,$B$78="Refinance",ISNUMBER($B$80),$B$80&gt;=0,$B$80&lt;=1,ROUND($B$81*12,0)&gt;=1,$B$81&lt;=100,SUM($B$82)&gt;=0,SUM($B$82)&lt;=1,SUM($B$83)&gt;=0),$B$80,IF(AND($B$175&gt;0,334&gt;$B$175,ISNUMBER($B$75)),$B$75,$B$61)),"")</x:f>
        <x:v>0.0625</x:v>
      </x:c>
      <x:c r="D734" s="440" t="n">
        <x:f>IF(AND(ISNUMBER(B734),B734=0),0,IF(AND($B$171=1,I733=0,ISNUMBER(C734),ISNUMBER(IF(AND(334&lt;=$B$174,334&lt;=$B$173),B734*C734/12,IF(AND(334=$B$173+1,AND(334&gt;$B$173,$B$78="Refinance",ISNUMBER($B$80),$B$80&gt;=0,$B$80&lt;=1,ROUND($B$81*12,0)&gt;=1,$B$81&lt;=100,SUM($B$82)&gt;=0,SUM($B$82)&lt;=1,SUM($B$83)&gt;=0)),IF(B734=0,0,IF(C734=0,B734/ROUND($B$81*12,0),B734*(C734/12)/(1-(1+C734/12)^(-ROUND($B$81*12,0))))),IF(AND(NOT(AND(334&gt;$B$173,$B$78="Refinance",ISNUMBER($B$80),$B$80&gt;=0,$B$80&lt;=1,ROUND($B$81*12,0)&gt;=1,$B$81&lt;=100,SUM($B$82)&gt;=0,SUM($B$82)&lt;=1,SUM($B$83)&gt;=0)),OR(334=1,334=$B$174+1,AND($B$175&gt;0,334=$B$175+1))),IF(AND($B$170=1,$B$66&gt;0,OR($B$175=0,334&lt;=$B$175)),$B$66,IF($B$172-MAX(334-1,$B$174)&gt;0,IF(B734=0,0,IF(C734=0,B734/($B$172-MAX(334-1,$B$174)),B734*(C734/12)/(1-(1+C734/12)^(-($B$172-MAX(334-1,$B$174)))))),"")),D733))))),IF(IF(AND(334&lt;=$B$174,334&lt;=$B$173),B734*C734/12,IF(AND(334=$B$173+1,AND(334&gt;$B$173,$B$78="Refinance",ISNUMBER($B$80),$B$80&gt;=0,$B$80&lt;=1,ROUND($B$81*12,0)&gt;=1,$B$81&lt;=100,SUM($B$82)&gt;=0,SUM($B$82)&lt;=1,SUM($B$83)&gt;=0)),IF(B734=0,0,IF(C734=0,B734/ROUND($B$81*12,0),B734*(C734/12)/(1-(1+C734/12)^(-ROUND($B$81*12,0))))),IF(AND(NOT(AND(334&gt;$B$173,$B$78="Refinance",ISNUMBER($B$80),$B$80&gt;=0,$B$80&lt;=1,ROUND($B$81*12,0)&gt;=1,$B$81&lt;=100,SUM($B$82)&gt;=0,SUM($B$82)&lt;=1,SUM($B$83)&gt;=0)),OR(334=1,334=$B$174+1,AND($B$175&gt;0,334=$B$175+1))),IF(AND($B$170=1,$B$66&gt;0,OR($B$175=0,334&lt;=$B$175)),$B$66,IF($B$172-MAX(334-1,$B$174)&gt;0,IF(B734=0,0,IF(C734=0,B734/($B$172-MAX(334-1,$B$174)),B734*(C734/12)/(1-(1+C734/12)^(-($B$172-MAX(334-1,$B$174)))))),"")),D733)))+0.0000001&gt;=B734*C734/12,MIN(B734*(1+C734/12),IF(AND(334&lt;=$B$174,334&lt;=$B$173),B734*C734/12,IF(AND(334=$B$173+1,AND(334&gt;$B$173,$B$78="Refinance",ISNUMBER($B$80),$B$80&gt;=0,$B$80&lt;=1,ROUND($B$81*12,0)&gt;=1,$B$81&lt;=100,SUM($B$82)&gt;=0,SUM($B$82)&lt;=1,SUM($B$83)&gt;=0)),IF(B734=0,0,IF(C734=0,B734/ROUND($B$81*12,0),B734*(C734/12)/(1-(1+C734/12)^(-ROUND($B$81*12,0))))),IF(AND(NOT(AND(334&gt;$B$173,$B$78="Refinance",ISNUMBER($B$80),$B$80&gt;=0,$B$80&lt;=1,ROUND($B$81*12,0)&gt;=1,$B$81&lt;=100,SUM($B$82)&gt;=0,SUM($B$82)&lt;=1,SUM($B$83)&gt;=0)),OR(334=1,334=$B$174+1,AND($B$175&gt;0,334=$B$175+1))),IF(AND($B$170=1,$B$66&gt;0,OR($B$175=0,334&lt;=$B$175)),$B$66,IF($B$172-MAX(334-1,$B$174)&gt;0,IF(B734=0,0,IF(C734=0,B734/($B$172-MAX(334-1,$B$174)),B734*(C734/12)/(1-(1+C734/12)^(-($B$172-MAX(334-1,$B$174)))))),"")),D733)))),""),""))</x:f>
        <x:v>4679.450723240598</x:v>
      </x:c>
      <x:c r="E734" s="440" t="n">
        <x:f>IF(AND(334=$B$173,ISNUMBER(D734)),IF(MAX(0,B734*(1+C734/12)-D734)&lt;MAX(0.0000001,$E$17*0.00000000001),0,MAX(0,B734*(1+C734/12)-D734)),0)</x:f>
        <x:v>0</x:v>
      </x:c>
      <x:c r="F734" s="440" t="n">
        <x:f>IF($B$78="Cash payoff",E734,0)</x:f>
        <x:v>0</x:v>
      </x:c>
      <x:c r="G734" s="440" t="n">
        <x:f>IF(AND(E734&gt;0,AND($B$78="Refinance",ISNUMBER($B$80),$B$80&gt;=0,$B$80&lt;=1,ROUND($B$81*12,0)&gt;=1,$B$81&lt;=100,SUM($B$82)&gt;=0,SUM($B$82)&lt;=1,SUM($B$83)&gt;=0)),E734*SUM($B$82)+SUM($B$83),0)</x:f>
        <x:v>0</x:v>
      </x:c>
      <x:c r="H734" s="440" t="n">
        <x:f>IF(ISNUMBER(D734),IF(MAX(0,B734*(1+C734/12)-D734-F734)&lt;MAX(0.0000001,$E$17*0.00000000001),0,MAX(0,B734*(1+C734/12)-D734-F734)),IF(AND($B$171=1,I733=1),B734,""))</x:f>
        <x:v>113511.72273140373</x:v>
      </x:c>
      <x:c r="I734" s="444" t="n">
        <x:f>IF(OR(I733=1,AND(E734&gt;0,$B$78&lt;&gt;"Cash payoff",NOT(AND($B$78="Refinance",ISNUMBER($B$80),$B$80&gt;=0,$B$80&lt;=1,ROUND($B$81*12,0)&gt;=1,$B$81&lt;=100,SUM($B$82)&gt;=0,SUM($B$82)&lt;=1,SUM($B$83)&gt;=0))),AND(ISNUMBER(B734),B734&gt;0,$B$171=1,NOT(ISNUMBER(D734)))),1,0)</x:f>
        <x:v>0</x:v>
      </x:c>
      <x:c r="J734" s="440" t="n">
        <x:f>IF(ISNUMBER(L733),L733,"")</x:f>
        <x:v>0</x:v>
      </x:c>
      <x:c r="K734" s="440" t="n">
        <x:f>IF(AND(ISNUMBER(J734),J734=0),0,IF(AND($B$176=1,ISNUMBER(J734)),MIN(J734*(1+$B$87/12),IF($B$86=0,0,IF($B$87=0,$B$86/ROUND($B$88*12,0),$B$86*($B$87/12)/(1-(1+$B$87/12)^(-ROUND($B$88*12,0)))))),""))</x:f>
        <x:v>0</x:v>
      </x:c>
      <x:c r="L734" s="440" t="n">
        <x:f>IF(ISNUMBER(K734),IF(MAX(0,J734*(1+SUM($B$87)/12)-K734)&lt;MAX(0.0000001,$B$86*0.00000000001),0,MAX(0,J734*(1+SUM($B$87)/12)-K734)),"")</x:f>
        <x:v>0</x:v>
      </x:c>
      <x:c r="M734" s="440" t="n">
        <x:f>IF(AND(ISNUMBER(D734),ISNUMBER(K734)),D734+K734,"")</x:f>
        <x:v>4679.450723240598</x:v>
      </x:c>
      <x:c r="N734" s="440" t="n">
        <x:f>IF(AND(ISNUMBER(H734),ISNUMBER(L734)),H734+L734,"")</x:f>
        <x:v>113511.72273140373</x:v>
      </x:c>
    </x:row>
    <x:row r="735" ht="22" customHeight="1">
      <x:c r="A735" s="254" t="n">
        <x:f>335</x:f>
        <x:v>335</x:v>
      </x:c>
      <x:c r="B735" s="440" t="n">
        <x:f>IF(ISNUMBER(H734),H734,"")</x:f>
        <x:v>113511.72273140373</x:v>
      </x:c>
      <x:c r="C735" s="442" t="n">
        <x:f>IF(ISNUMBER(B735),IF(AND(335&gt;$B$173,$B$78="Refinance",ISNUMBER($B$80),$B$80&gt;=0,$B$80&lt;=1,ROUND($B$81*12,0)&gt;=1,$B$81&lt;=100,SUM($B$82)&gt;=0,SUM($B$82)&lt;=1,SUM($B$83)&gt;=0),$B$80,IF(AND($B$175&gt;0,335&gt;$B$175,ISNUMBER($B$75)),$B$75,$B$61)),"")</x:f>
        <x:v>0.0625</x:v>
      </x:c>
      <x:c r="D735" s="440" t="n">
        <x:f>IF(AND(ISNUMBER(B735),B735=0),0,IF(AND($B$171=1,I734=0,ISNUMBER(C735),ISNUMBER(IF(AND(335&lt;=$B$174,335&lt;=$B$173),B735*C735/12,IF(AND(335=$B$173+1,AND(335&gt;$B$173,$B$78="Refinance",ISNUMBER($B$80),$B$80&gt;=0,$B$80&lt;=1,ROUND($B$81*12,0)&gt;=1,$B$81&lt;=100,SUM($B$82)&gt;=0,SUM($B$82)&lt;=1,SUM($B$83)&gt;=0)),IF(B735=0,0,IF(C735=0,B735/ROUND($B$81*12,0),B735*(C735/12)/(1-(1+C735/12)^(-ROUND($B$81*12,0))))),IF(AND(NOT(AND(335&gt;$B$173,$B$78="Refinance",ISNUMBER($B$80),$B$80&gt;=0,$B$80&lt;=1,ROUND($B$81*12,0)&gt;=1,$B$81&lt;=100,SUM($B$82)&gt;=0,SUM($B$82)&lt;=1,SUM($B$83)&gt;=0)),OR(335=1,335=$B$174+1,AND($B$175&gt;0,335=$B$175+1))),IF(AND($B$170=1,$B$66&gt;0,OR($B$175=0,335&lt;=$B$175)),$B$66,IF($B$172-MAX(335-1,$B$174)&gt;0,IF(B735=0,0,IF(C735=0,B735/($B$172-MAX(335-1,$B$174)),B735*(C735/12)/(1-(1+C735/12)^(-($B$172-MAX(335-1,$B$174)))))),"")),D734))))),IF(IF(AND(335&lt;=$B$174,335&lt;=$B$173),B735*C735/12,IF(AND(335=$B$173+1,AND(335&gt;$B$173,$B$78="Refinance",ISNUMBER($B$80),$B$80&gt;=0,$B$80&lt;=1,ROUND($B$81*12,0)&gt;=1,$B$81&lt;=100,SUM($B$82)&gt;=0,SUM($B$82)&lt;=1,SUM($B$83)&gt;=0)),IF(B735=0,0,IF(C735=0,B735/ROUND($B$81*12,0),B735*(C735/12)/(1-(1+C735/12)^(-ROUND($B$81*12,0))))),IF(AND(NOT(AND(335&gt;$B$173,$B$78="Refinance",ISNUMBER($B$80),$B$80&gt;=0,$B$80&lt;=1,ROUND($B$81*12,0)&gt;=1,$B$81&lt;=100,SUM($B$82)&gt;=0,SUM($B$82)&lt;=1,SUM($B$83)&gt;=0)),OR(335=1,335=$B$174+1,AND($B$175&gt;0,335=$B$175+1))),IF(AND($B$170=1,$B$66&gt;0,OR($B$175=0,335&lt;=$B$175)),$B$66,IF($B$172-MAX(335-1,$B$174)&gt;0,IF(B735=0,0,IF(C735=0,B735/($B$172-MAX(335-1,$B$174)),B735*(C735/12)/(1-(1+C735/12)^(-($B$172-MAX(335-1,$B$174)))))),"")),D734)))+0.0000001&gt;=B735*C735/12,MIN(B735*(1+C735/12),IF(AND(335&lt;=$B$174,335&lt;=$B$173),B735*C735/12,IF(AND(335=$B$173+1,AND(335&gt;$B$173,$B$78="Refinance",ISNUMBER($B$80),$B$80&gt;=0,$B$80&lt;=1,ROUND($B$81*12,0)&gt;=1,$B$81&lt;=100,SUM($B$82)&gt;=0,SUM($B$82)&lt;=1,SUM($B$83)&gt;=0)),IF(B735=0,0,IF(C735=0,B735/ROUND($B$81*12,0),B735*(C735/12)/(1-(1+C735/12)^(-ROUND($B$81*12,0))))),IF(AND(NOT(AND(335&gt;$B$173,$B$78="Refinance",ISNUMBER($B$80),$B$80&gt;=0,$B$80&lt;=1,ROUND($B$81*12,0)&gt;=1,$B$81&lt;=100,SUM($B$82)&gt;=0,SUM($B$82)&lt;=1,SUM($B$83)&gt;=0)),OR(335=1,335=$B$174+1,AND($B$175&gt;0,335=$B$175+1))),IF(AND($B$170=1,$B$66&gt;0,OR($B$175=0,335&lt;=$B$175)),$B$66,IF($B$172-MAX(335-1,$B$174)&gt;0,IF(B735=0,0,IF(C735=0,B735/($B$172-MAX(335-1,$B$174)),B735*(C735/12)/(1-(1+C735/12)^(-($B$172-MAX(335-1,$B$174)))))),"")),D734)))),""),""))</x:f>
        <x:v>4679.450723240598</x:v>
      </x:c>
      <x:c r="E735" s="440" t="n">
        <x:f>IF(AND(335=$B$173,ISNUMBER(D735)),IF(MAX(0,B735*(1+C735/12)-D735)&lt;MAX(0.0000001,$E$17*0.00000000001),0,MAX(0,B735*(1+C735/12)-D735)),0)</x:f>
        <x:v>0</x:v>
      </x:c>
      <x:c r="F735" s="440" t="n">
        <x:f>IF($B$78="Cash payoff",E735,0)</x:f>
        <x:v>0</x:v>
      </x:c>
      <x:c r="G735" s="440" t="n">
        <x:f>IF(AND(E735&gt;0,AND($B$78="Refinance",ISNUMBER($B$80),$B$80&gt;=0,$B$80&lt;=1,ROUND($B$81*12,0)&gt;=1,$B$81&lt;=100,SUM($B$82)&gt;=0,SUM($B$82)&lt;=1,SUM($B$83)&gt;=0)),E735*SUM($B$82)+SUM($B$83),0)</x:f>
        <x:v>0</x:v>
      </x:c>
      <x:c r="H735" s="440" t="n">
        <x:f>IF(ISNUMBER(D735),IF(MAX(0,B735*(1+C735/12)-D735-F735)&lt;MAX(0.0000001,$E$17*0.00000000001),0,MAX(0,B735*(1+C735/12)-D735-F735)),IF(AND($B$171=1,I734=1),B735,""))</x:f>
        <x:v>109423.47889738918</x:v>
      </x:c>
      <x:c r="I735" s="444" t="n">
        <x:f>IF(OR(I734=1,AND(E735&gt;0,$B$78&lt;&gt;"Cash payoff",NOT(AND($B$78="Refinance",ISNUMBER($B$80),$B$80&gt;=0,$B$80&lt;=1,ROUND($B$81*12,0)&gt;=1,$B$81&lt;=100,SUM($B$82)&gt;=0,SUM($B$82)&lt;=1,SUM($B$83)&gt;=0))),AND(ISNUMBER(B735),B735&gt;0,$B$171=1,NOT(ISNUMBER(D735)))),1,0)</x:f>
        <x:v>0</x:v>
      </x:c>
      <x:c r="J735" s="440" t="n">
        <x:f>IF(ISNUMBER(L734),L734,"")</x:f>
        <x:v>0</x:v>
      </x:c>
      <x:c r="K735" s="440" t="n">
        <x:f>IF(AND(ISNUMBER(J735),J735=0),0,IF(AND($B$176=1,ISNUMBER(J735)),MIN(J735*(1+$B$87/12),IF($B$86=0,0,IF($B$87=0,$B$86/ROUND($B$88*12,0),$B$86*($B$87/12)/(1-(1+$B$87/12)^(-ROUND($B$88*12,0)))))),""))</x:f>
        <x:v>0</x:v>
      </x:c>
      <x:c r="L735" s="440" t="n">
        <x:f>IF(ISNUMBER(K735),IF(MAX(0,J735*(1+SUM($B$87)/12)-K735)&lt;MAX(0.0000001,$B$86*0.00000000001),0,MAX(0,J735*(1+SUM($B$87)/12)-K735)),"")</x:f>
        <x:v>0</x:v>
      </x:c>
      <x:c r="M735" s="440" t="n">
        <x:f>IF(AND(ISNUMBER(D735),ISNUMBER(K735)),D735+K735,"")</x:f>
        <x:v>4679.450723240598</x:v>
      </x:c>
      <x:c r="N735" s="440" t="n">
        <x:f>IF(AND(ISNUMBER(H735),ISNUMBER(L735)),H735+L735,"")</x:f>
        <x:v>109423.47889738918</x:v>
      </x:c>
    </x:row>
    <x:row r="736" ht="22" customHeight="1">
      <x:c r="A736" s="254" t="n">
        <x:f>336</x:f>
        <x:v>336</x:v>
      </x:c>
      <x:c r="B736" s="440" t="n">
        <x:f>IF(ISNUMBER(H735),H735,"")</x:f>
        <x:v>109423.47889738918</x:v>
      </x:c>
      <x:c r="C736" s="442" t="n">
        <x:f>IF(ISNUMBER(B736),IF(AND(336&gt;$B$173,$B$78="Refinance",ISNUMBER($B$80),$B$80&gt;=0,$B$80&lt;=1,ROUND($B$81*12,0)&gt;=1,$B$81&lt;=100,SUM($B$82)&gt;=0,SUM($B$82)&lt;=1,SUM($B$83)&gt;=0),$B$80,IF(AND($B$175&gt;0,336&gt;$B$175,ISNUMBER($B$75)),$B$75,$B$61)),"")</x:f>
        <x:v>0.0625</x:v>
      </x:c>
      <x:c r="D736" s="440" t="n">
        <x:f>IF(AND(ISNUMBER(B736),B736=0),0,IF(AND($B$171=1,I735=0,ISNUMBER(C736),ISNUMBER(IF(AND(336&lt;=$B$174,336&lt;=$B$173),B736*C736/12,IF(AND(336=$B$173+1,AND(336&gt;$B$173,$B$78="Refinance",ISNUMBER($B$80),$B$80&gt;=0,$B$80&lt;=1,ROUND($B$81*12,0)&gt;=1,$B$81&lt;=100,SUM($B$82)&gt;=0,SUM($B$82)&lt;=1,SUM($B$83)&gt;=0)),IF(B736=0,0,IF(C736=0,B736/ROUND($B$81*12,0),B736*(C736/12)/(1-(1+C736/12)^(-ROUND($B$81*12,0))))),IF(AND(NOT(AND(336&gt;$B$173,$B$78="Refinance",ISNUMBER($B$80),$B$80&gt;=0,$B$80&lt;=1,ROUND($B$81*12,0)&gt;=1,$B$81&lt;=100,SUM($B$82)&gt;=0,SUM($B$82)&lt;=1,SUM($B$83)&gt;=0)),OR(336=1,336=$B$174+1,AND($B$175&gt;0,336=$B$175+1))),IF(AND($B$170=1,$B$66&gt;0,OR($B$175=0,336&lt;=$B$175)),$B$66,IF($B$172-MAX(336-1,$B$174)&gt;0,IF(B736=0,0,IF(C736=0,B736/($B$172-MAX(336-1,$B$174)),B736*(C736/12)/(1-(1+C736/12)^(-($B$172-MAX(336-1,$B$174)))))),"")),D735))))),IF(IF(AND(336&lt;=$B$174,336&lt;=$B$173),B736*C736/12,IF(AND(336=$B$173+1,AND(336&gt;$B$173,$B$78="Refinance",ISNUMBER($B$80),$B$80&gt;=0,$B$80&lt;=1,ROUND($B$81*12,0)&gt;=1,$B$81&lt;=100,SUM($B$82)&gt;=0,SUM($B$82)&lt;=1,SUM($B$83)&gt;=0)),IF(B736=0,0,IF(C736=0,B736/ROUND($B$81*12,0),B736*(C736/12)/(1-(1+C736/12)^(-ROUND($B$81*12,0))))),IF(AND(NOT(AND(336&gt;$B$173,$B$78="Refinance",ISNUMBER($B$80),$B$80&gt;=0,$B$80&lt;=1,ROUND($B$81*12,0)&gt;=1,$B$81&lt;=100,SUM($B$82)&gt;=0,SUM($B$82)&lt;=1,SUM($B$83)&gt;=0)),OR(336=1,336=$B$174+1,AND($B$175&gt;0,336=$B$175+1))),IF(AND($B$170=1,$B$66&gt;0,OR($B$175=0,336&lt;=$B$175)),$B$66,IF($B$172-MAX(336-1,$B$174)&gt;0,IF(B736=0,0,IF(C736=0,B736/($B$172-MAX(336-1,$B$174)),B736*(C736/12)/(1-(1+C736/12)^(-($B$172-MAX(336-1,$B$174)))))),"")),D735)))+0.0000001&gt;=B736*C736/12,MIN(B736*(1+C736/12),IF(AND(336&lt;=$B$174,336&lt;=$B$173),B736*C736/12,IF(AND(336=$B$173+1,AND(336&gt;$B$173,$B$78="Refinance",ISNUMBER($B$80),$B$80&gt;=0,$B$80&lt;=1,ROUND($B$81*12,0)&gt;=1,$B$81&lt;=100,SUM($B$82)&gt;=0,SUM($B$82)&lt;=1,SUM($B$83)&gt;=0)),IF(B736=0,0,IF(C736=0,B736/ROUND($B$81*12,0),B736*(C736/12)/(1-(1+C736/12)^(-ROUND($B$81*12,0))))),IF(AND(NOT(AND(336&gt;$B$173,$B$78="Refinance",ISNUMBER($B$80),$B$80&gt;=0,$B$80&lt;=1,ROUND($B$81*12,0)&gt;=1,$B$81&lt;=100,SUM($B$82)&gt;=0,SUM($B$82)&lt;=1,SUM($B$83)&gt;=0)),OR(336=1,336=$B$174+1,AND($B$175&gt;0,336=$B$175+1))),IF(AND($B$170=1,$B$66&gt;0,OR($B$175=0,336&lt;=$B$175)),$B$66,IF($B$172-MAX(336-1,$B$174)&gt;0,IF(B736=0,0,IF(C736=0,B736/($B$172-MAX(336-1,$B$174)),B736*(C736/12)/(1-(1+C736/12)^(-($B$172-MAX(336-1,$B$174)))))),"")),D735)))),""),""))</x:f>
        <x:v>4679.450723240598</x:v>
      </x:c>
      <x:c r="E736" s="440" t="n">
        <x:f>IF(AND(336=$B$173,ISNUMBER(D736)),IF(MAX(0,B736*(1+C736/12)-D736)&lt;MAX(0.0000001,$E$17*0.00000000001),0,MAX(0,B736*(1+C736/12)-D736)),0)</x:f>
        <x:v>0</x:v>
      </x:c>
      <x:c r="F736" s="440" t="n">
        <x:f>IF($B$78="Cash payoff",E736,0)</x:f>
        <x:v>0</x:v>
      </x:c>
      <x:c r="G736" s="440" t="n">
        <x:f>IF(AND(E736&gt;0,AND($B$78="Refinance",ISNUMBER($B$80),$B$80&gt;=0,$B$80&lt;=1,ROUND($B$81*12,0)&gt;=1,$B$81&lt;=100,SUM($B$82)&gt;=0,SUM($B$82)&lt;=1,SUM($B$83)&gt;=0)),E736*SUM($B$82)+SUM($B$83),0)</x:f>
        <x:v>0</x:v>
      </x:c>
      <x:c r="H736" s="440" t="n">
        <x:f>IF(ISNUMBER(D736),IF(MAX(0,B736*(1+C736/12)-D736-F736)&lt;MAX(0.0000001,$E$17*0.00000000001),0,MAX(0,B736*(1+C736/12)-D736-F736)),IF(AND($B$171=1,I735=1),B736,""))</x:f>
        <x:v>105313.94212673914</x:v>
      </x:c>
      <x:c r="I736" s="444" t="n">
        <x:f>IF(OR(I735=1,AND(E736&gt;0,$B$78&lt;&gt;"Cash payoff",NOT(AND($B$78="Refinance",ISNUMBER($B$80),$B$80&gt;=0,$B$80&lt;=1,ROUND($B$81*12,0)&gt;=1,$B$81&lt;=100,SUM($B$82)&gt;=0,SUM($B$82)&lt;=1,SUM($B$83)&gt;=0))),AND(ISNUMBER(B736),B736&gt;0,$B$171=1,NOT(ISNUMBER(D736)))),1,0)</x:f>
        <x:v>0</x:v>
      </x:c>
      <x:c r="J736" s="440" t="n">
        <x:f>IF(ISNUMBER(L735),L735,"")</x:f>
        <x:v>0</x:v>
      </x:c>
      <x:c r="K736" s="440" t="n">
        <x:f>IF(AND(ISNUMBER(J736),J736=0),0,IF(AND($B$176=1,ISNUMBER(J736)),MIN(J736*(1+$B$87/12),IF($B$86=0,0,IF($B$87=0,$B$86/ROUND($B$88*12,0),$B$86*($B$87/12)/(1-(1+$B$87/12)^(-ROUND($B$88*12,0)))))),""))</x:f>
        <x:v>0</x:v>
      </x:c>
      <x:c r="L736" s="440" t="n">
        <x:f>IF(ISNUMBER(K736),IF(MAX(0,J736*(1+SUM($B$87)/12)-K736)&lt;MAX(0.0000001,$B$86*0.00000000001),0,MAX(0,J736*(1+SUM($B$87)/12)-K736)),"")</x:f>
        <x:v>0</x:v>
      </x:c>
      <x:c r="M736" s="440" t="n">
        <x:f>IF(AND(ISNUMBER(D736),ISNUMBER(K736)),D736+K736,"")</x:f>
        <x:v>4679.450723240598</x:v>
      </x:c>
      <x:c r="N736" s="440" t="n">
        <x:f>IF(AND(ISNUMBER(H736),ISNUMBER(L736)),H736+L736,"")</x:f>
        <x:v>105313.94212673914</x:v>
      </x:c>
    </x:row>
    <x:row r="737" ht="22" customHeight="1">
      <x:c r="A737" s="254" t="n">
        <x:f>337</x:f>
        <x:v>337</x:v>
      </x:c>
      <x:c r="B737" s="440" t="n">
        <x:f>IF(ISNUMBER(H736),H736,"")</x:f>
        <x:v>105313.94212673914</x:v>
      </x:c>
      <x:c r="C737" s="442" t="n">
        <x:f>IF(ISNUMBER(B737),IF(AND(337&gt;$B$173,$B$78="Refinance",ISNUMBER($B$80),$B$80&gt;=0,$B$80&lt;=1,ROUND($B$81*12,0)&gt;=1,$B$81&lt;=100,SUM($B$82)&gt;=0,SUM($B$82)&lt;=1,SUM($B$83)&gt;=0),$B$80,IF(AND($B$175&gt;0,337&gt;$B$175,ISNUMBER($B$75)),$B$75,$B$61)),"")</x:f>
        <x:v>0.0625</x:v>
      </x:c>
      <x:c r="D737" s="440" t="n">
        <x:f>IF(AND(ISNUMBER(B737),B737=0),0,IF(AND($B$171=1,I736=0,ISNUMBER(C737),ISNUMBER(IF(AND(337&lt;=$B$174,337&lt;=$B$173),B737*C737/12,IF(AND(337=$B$173+1,AND(337&gt;$B$173,$B$78="Refinance",ISNUMBER($B$80),$B$80&gt;=0,$B$80&lt;=1,ROUND($B$81*12,0)&gt;=1,$B$81&lt;=100,SUM($B$82)&gt;=0,SUM($B$82)&lt;=1,SUM($B$83)&gt;=0)),IF(B737=0,0,IF(C737=0,B737/ROUND($B$81*12,0),B737*(C737/12)/(1-(1+C737/12)^(-ROUND($B$81*12,0))))),IF(AND(NOT(AND(337&gt;$B$173,$B$78="Refinance",ISNUMBER($B$80),$B$80&gt;=0,$B$80&lt;=1,ROUND($B$81*12,0)&gt;=1,$B$81&lt;=100,SUM($B$82)&gt;=0,SUM($B$82)&lt;=1,SUM($B$83)&gt;=0)),OR(337=1,337=$B$174+1,AND($B$175&gt;0,337=$B$175+1))),IF(AND($B$170=1,$B$66&gt;0,OR($B$175=0,337&lt;=$B$175)),$B$66,IF($B$172-MAX(337-1,$B$174)&gt;0,IF(B737=0,0,IF(C737=0,B737/($B$172-MAX(337-1,$B$174)),B737*(C737/12)/(1-(1+C737/12)^(-($B$172-MAX(337-1,$B$174)))))),"")),D736))))),IF(IF(AND(337&lt;=$B$174,337&lt;=$B$173),B737*C737/12,IF(AND(337=$B$173+1,AND(337&gt;$B$173,$B$78="Refinance",ISNUMBER($B$80),$B$80&gt;=0,$B$80&lt;=1,ROUND($B$81*12,0)&gt;=1,$B$81&lt;=100,SUM($B$82)&gt;=0,SUM($B$82)&lt;=1,SUM($B$83)&gt;=0)),IF(B737=0,0,IF(C737=0,B737/ROUND($B$81*12,0),B737*(C737/12)/(1-(1+C737/12)^(-ROUND($B$81*12,0))))),IF(AND(NOT(AND(337&gt;$B$173,$B$78="Refinance",ISNUMBER($B$80),$B$80&gt;=0,$B$80&lt;=1,ROUND($B$81*12,0)&gt;=1,$B$81&lt;=100,SUM($B$82)&gt;=0,SUM($B$82)&lt;=1,SUM($B$83)&gt;=0)),OR(337=1,337=$B$174+1,AND($B$175&gt;0,337=$B$175+1))),IF(AND($B$170=1,$B$66&gt;0,OR($B$175=0,337&lt;=$B$175)),$B$66,IF($B$172-MAX(337-1,$B$174)&gt;0,IF(B737=0,0,IF(C737=0,B737/($B$172-MAX(337-1,$B$174)),B737*(C737/12)/(1-(1+C737/12)^(-($B$172-MAX(337-1,$B$174)))))),"")),D736)))+0.0000001&gt;=B737*C737/12,MIN(B737*(1+C737/12),IF(AND(337&lt;=$B$174,337&lt;=$B$173),B737*C737/12,IF(AND(337=$B$173+1,AND(337&gt;$B$173,$B$78="Refinance",ISNUMBER($B$80),$B$80&gt;=0,$B$80&lt;=1,ROUND($B$81*12,0)&gt;=1,$B$81&lt;=100,SUM($B$82)&gt;=0,SUM($B$82)&lt;=1,SUM($B$83)&gt;=0)),IF(B737=0,0,IF(C737=0,B737/ROUND($B$81*12,0),B737*(C737/12)/(1-(1+C737/12)^(-ROUND($B$81*12,0))))),IF(AND(NOT(AND(337&gt;$B$173,$B$78="Refinance",ISNUMBER($B$80),$B$80&gt;=0,$B$80&lt;=1,ROUND($B$81*12,0)&gt;=1,$B$81&lt;=100,SUM($B$82)&gt;=0,SUM($B$82)&lt;=1,SUM($B$83)&gt;=0)),OR(337=1,337=$B$174+1,AND($B$175&gt;0,337=$B$175+1))),IF(AND($B$170=1,$B$66&gt;0,OR($B$175=0,337&lt;=$B$175)),$B$66,IF($B$172-MAX(337-1,$B$174)&gt;0,IF(B737=0,0,IF(C737=0,B737/($B$172-MAX(337-1,$B$174)),B737*(C737/12)/(1-(1+C737/12)^(-($B$172-MAX(337-1,$B$174)))))),"")),D736)))),""),""))</x:f>
        <x:v>4679.450723240598</x:v>
      </x:c>
      <x:c r="E737" s="440" t="n">
        <x:f>IF(AND(337=$B$173,ISNUMBER(D737)),IF(MAX(0,B737*(1+C737/12)-D737)&lt;MAX(0.0000001,$E$17*0.00000000001),0,MAX(0,B737*(1+C737/12)-D737)),0)</x:f>
        <x:v>0</x:v>
      </x:c>
      <x:c r="F737" s="440" t="n">
        <x:f>IF($B$78="Cash payoff",E737,0)</x:f>
        <x:v>0</x:v>
      </x:c>
      <x:c r="G737" s="440" t="n">
        <x:f>IF(AND(E737&gt;0,AND($B$78="Refinance",ISNUMBER($B$80),$B$80&gt;=0,$B$80&lt;=1,ROUND($B$81*12,0)&gt;=1,$B$81&lt;=100,SUM($B$82)&gt;=0,SUM($B$82)&lt;=1,SUM($B$83)&gt;=0)),E737*SUM($B$82)+SUM($B$83),0)</x:f>
        <x:v>0</x:v>
      </x:c>
      <x:c r="H737" s="440" t="n">
        <x:f>IF(ISNUMBER(D737),IF(MAX(0,B737*(1+C737/12)-D737-F737)&lt;MAX(0.0000001,$E$17*0.00000000001),0,MAX(0,B737*(1+C737/12)-D737-F737)),IF(AND($B$171=1,I736=1),B737,""))</x:f>
        <x:v>101183.00151874196</x:v>
      </x:c>
      <x:c r="I737" s="444" t="n">
        <x:f>IF(OR(I736=1,AND(E737&gt;0,$B$78&lt;&gt;"Cash payoff",NOT(AND($B$78="Refinance",ISNUMBER($B$80),$B$80&gt;=0,$B$80&lt;=1,ROUND($B$81*12,0)&gt;=1,$B$81&lt;=100,SUM($B$82)&gt;=0,SUM($B$82)&lt;=1,SUM($B$83)&gt;=0))),AND(ISNUMBER(B737),B737&gt;0,$B$171=1,NOT(ISNUMBER(D737)))),1,0)</x:f>
        <x:v>0</x:v>
      </x:c>
      <x:c r="J737" s="440" t="n">
        <x:f>IF(ISNUMBER(L736),L736,"")</x:f>
        <x:v>0</x:v>
      </x:c>
      <x:c r="K737" s="440" t="n">
        <x:f>IF(AND(ISNUMBER(J737),J737=0),0,IF(AND($B$176=1,ISNUMBER(J737)),MIN(J737*(1+$B$87/12),IF($B$86=0,0,IF($B$87=0,$B$86/ROUND($B$88*12,0),$B$86*($B$87/12)/(1-(1+$B$87/12)^(-ROUND($B$88*12,0)))))),""))</x:f>
        <x:v>0</x:v>
      </x:c>
      <x:c r="L737" s="440" t="n">
        <x:f>IF(ISNUMBER(K737),IF(MAX(0,J737*(1+SUM($B$87)/12)-K737)&lt;MAX(0.0000001,$B$86*0.00000000001),0,MAX(0,J737*(1+SUM($B$87)/12)-K737)),"")</x:f>
        <x:v>0</x:v>
      </x:c>
      <x:c r="M737" s="440" t="n">
        <x:f>IF(AND(ISNUMBER(D737),ISNUMBER(K737)),D737+K737,"")</x:f>
        <x:v>4679.450723240598</x:v>
      </x:c>
      <x:c r="N737" s="440" t="n">
        <x:f>IF(AND(ISNUMBER(H737),ISNUMBER(L737)),H737+L737,"")</x:f>
        <x:v>101183.00151874196</x:v>
      </x:c>
    </x:row>
    <x:row r="738" ht="22" customHeight="1">
      <x:c r="A738" s="254" t="n">
        <x:f>338</x:f>
        <x:v>338</x:v>
      </x:c>
      <x:c r="B738" s="440" t="n">
        <x:f>IF(ISNUMBER(H737),H737,"")</x:f>
        <x:v>101183.00151874196</x:v>
      </x:c>
      <x:c r="C738" s="442" t="n">
        <x:f>IF(ISNUMBER(B738),IF(AND(338&gt;$B$173,$B$78="Refinance",ISNUMBER($B$80),$B$80&gt;=0,$B$80&lt;=1,ROUND($B$81*12,0)&gt;=1,$B$81&lt;=100,SUM($B$82)&gt;=0,SUM($B$82)&lt;=1,SUM($B$83)&gt;=0),$B$80,IF(AND($B$175&gt;0,338&gt;$B$175,ISNUMBER($B$75)),$B$75,$B$61)),"")</x:f>
        <x:v>0.0625</x:v>
      </x:c>
      <x:c r="D738" s="440" t="n">
        <x:f>IF(AND(ISNUMBER(B738),B738=0),0,IF(AND($B$171=1,I737=0,ISNUMBER(C738),ISNUMBER(IF(AND(338&lt;=$B$174,338&lt;=$B$173),B738*C738/12,IF(AND(338=$B$173+1,AND(338&gt;$B$173,$B$78="Refinance",ISNUMBER($B$80),$B$80&gt;=0,$B$80&lt;=1,ROUND($B$81*12,0)&gt;=1,$B$81&lt;=100,SUM($B$82)&gt;=0,SUM($B$82)&lt;=1,SUM($B$83)&gt;=0)),IF(B738=0,0,IF(C738=0,B738/ROUND($B$81*12,0),B738*(C738/12)/(1-(1+C738/12)^(-ROUND($B$81*12,0))))),IF(AND(NOT(AND(338&gt;$B$173,$B$78="Refinance",ISNUMBER($B$80),$B$80&gt;=0,$B$80&lt;=1,ROUND($B$81*12,0)&gt;=1,$B$81&lt;=100,SUM($B$82)&gt;=0,SUM($B$82)&lt;=1,SUM($B$83)&gt;=0)),OR(338=1,338=$B$174+1,AND($B$175&gt;0,338=$B$175+1))),IF(AND($B$170=1,$B$66&gt;0,OR($B$175=0,338&lt;=$B$175)),$B$66,IF($B$172-MAX(338-1,$B$174)&gt;0,IF(B738=0,0,IF(C738=0,B738/($B$172-MAX(338-1,$B$174)),B738*(C738/12)/(1-(1+C738/12)^(-($B$172-MAX(338-1,$B$174)))))),"")),D737))))),IF(IF(AND(338&lt;=$B$174,338&lt;=$B$173),B738*C738/12,IF(AND(338=$B$173+1,AND(338&gt;$B$173,$B$78="Refinance",ISNUMBER($B$80),$B$80&gt;=0,$B$80&lt;=1,ROUND($B$81*12,0)&gt;=1,$B$81&lt;=100,SUM($B$82)&gt;=0,SUM($B$82)&lt;=1,SUM($B$83)&gt;=0)),IF(B738=0,0,IF(C738=0,B738/ROUND($B$81*12,0),B738*(C738/12)/(1-(1+C738/12)^(-ROUND($B$81*12,0))))),IF(AND(NOT(AND(338&gt;$B$173,$B$78="Refinance",ISNUMBER($B$80),$B$80&gt;=0,$B$80&lt;=1,ROUND($B$81*12,0)&gt;=1,$B$81&lt;=100,SUM($B$82)&gt;=0,SUM($B$82)&lt;=1,SUM($B$83)&gt;=0)),OR(338=1,338=$B$174+1,AND($B$175&gt;0,338=$B$175+1))),IF(AND($B$170=1,$B$66&gt;0,OR($B$175=0,338&lt;=$B$175)),$B$66,IF($B$172-MAX(338-1,$B$174)&gt;0,IF(B738=0,0,IF(C738=0,B738/($B$172-MAX(338-1,$B$174)),B738*(C738/12)/(1-(1+C738/12)^(-($B$172-MAX(338-1,$B$174)))))),"")),D737)))+0.0000001&gt;=B738*C738/12,MIN(B738*(1+C738/12),IF(AND(338&lt;=$B$174,338&lt;=$B$173),B738*C738/12,IF(AND(338=$B$173+1,AND(338&gt;$B$173,$B$78="Refinance",ISNUMBER($B$80),$B$80&gt;=0,$B$80&lt;=1,ROUND($B$81*12,0)&gt;=1,$B$81&lt;=100,SUM($B$82)&gt;=0,SUM($B$82)&lt;=1,SUM($B$83)&gt;=0)),IF(B738=0,0,IF(C738=0,B738/ROUND($B$81*12,0),B738*(C738/12)/(1-(1+C738/12)^(-ROUND($B$81*12,0))))),IF(AND(NOT(AND(338&gt;$B$173,$B$78="Refinance",ISNUMBER($B$80),$B$80&gt;=0,$B$80&lt;=1,ROUND($B$81*12,0)&gt;=1,$B$81&lt;=100,SUM($B$82)&gt;=0,SUM($B$82)&lt;=1,SUM($B$83)&gt;=0)),OR(338=1,338=$B$174+1,AND($B$175&gt;0,338=$B$175+1))),IF(AND($B$170=1,$B$66&gt;0,OR($B$175=0,338&lt;=$B$175)),$B$66,IF($B$172-MAX(338-1,$B$174)&gt;0,IF(B738=0,0,IF(C738=0,B738/($B$172-MAX(338-1,$B$174)),B738*(C738/12)/(1-(1+C738/12)^(-($B$172-MAX(338-1,$B$174)))))),"")),D737)))),""),""))</x:f>
        <x:v>4679.450723240598</x:v>
      </x:c>
      <x:c r="E738" s="440" t="n">
        <x:f>IF(AND(338=$B$173,ISNUMBER(D738)),IF(MAX(0,B738*(1+C738/12)-D738)&lt;MAX(0.0000001,$E$17*0.00000000001),0,MAX(0,B738*(1+C738/12)-D738)),0)</x:f>
        <x:v>0</x:v>
      </x:c>
      <x:c r="F738" s="440" t="n">
        <x:f>IF($B$78="Cash payoff",E738,0)</x:f>
        <x:v>0</x:v>
      </x:c>
      <x:c r="G738" s="440" t="n">
        <x:f>IF(AND(E738&gt;0,AND($B$78="Refinance",ISNUMBER($B$80),$B$80&gt;=0,$B$80&lt;=1,ROUND($B$81*12,0)&gt;=1,$B$81&lt;=100,SUM($B$82)&gt;=0,SUM($B$82)&lt;=1,SUM($B$83)&gt;=0)),E738*SUM($B$82)+SUM($B$83),0)</x:f>
        <x:v>0</x:v>
      </x:c>
      <x:c r="H738" s="440" t="n">
        <x:f>IF(ISNUMBER(D738),IF(MAX(0,B738*(1+C738/12)-D738-F738)&lt;MAX(0.0000001,$E$17*0.00000000001),0,MAX(0,B738*(1+C738/12)-D738-F738)),IF(AND($B$171=1,I737=1),B738,""))</x:f>
        <x:v>97030.54559507813</x:v>
      </x:c>
      <x:c r="I738" s="444" t="n">
        <x:f>IF(OR(I737=1,AND(E738&gt;0,$B$78&lt;&gt;"Cash payoff",NOT(AND($B$78="Refinance",ISNUMBER($B$80),$B$80&gt;=0,$B$80&lt;=1,ROUND($B$81*12,0)&gt;=1,$B$81&lt;=100,SUM($B$82)&gt;=0,SUM($B$82)&lt;=1,SUM($B$83)&gt;=0))),AND(ISNUMBER(B738),B738&gt;0,$B$171=1,NOT(ISNUMBER(D738)))),1,0)</x:f>
        <x:v>0</x:v>
      </x:c>
      <x:c r="J738" s="440" t="n">
        <x:f>IF(ISNUMBER(L737),L737,"")</x:f>
        <x:v>0</x:v>
      </x:c>
      <x:c r="K738" s="440" t="n">
        <x:f>IF(AND(ISNUMBER(J738),J738=0),0,IF(AND($B$176=1,ISNUMBER(J738)),MIN(J738*(1+$B$87/12),IF($B$86=0,0,IF($B$87=0,$B$86/ROUND($B$88*12,0),$B$86*($B$87/12)/(1-(1+$B$87/12)^(-ROUND($B$88*12,0)))))),""))</x:f>
        <x:v>0</x:v>
      </x:c>
      <x:c r="L738" s="440" t="n">
        <x:f>IF(ISNUMBER(K738),IF(MAX(0,J738*(1+SUM($B$87)/12)-K738)&lt;MAX(0.0000001,$B$86*0.00000000001),0,MAX(0,J738*(1+SUM($B$87)/12)-K738)),"")</x:f>
        <x:v>0</x:v>
      </x:c>
      <x:c r="M738" s="440" t="n">
        <x:f>IF(AND(ISNUMBER(D738),ISNUMBER(K738)),D738+K738,"")</x:f>
        <x:v>4679.450723240598</x:v>
      </x:c>
      <x:c r="N738" s="440" t="n">
        <x:f>IF(AND(ISNUMBER(H738),ISNUMBER(L738)),H738+L738,"")</x:f>
        <x:v>97030.54559507813</x:v>
      </x:c>
    </x:row>
    <x:row r="739" ht="22" customHeight="1">
      <x:c r="A739" s="254" t="n">
        <x:f>339</x:f>
        <x:v>339</x:v>
      </x:c>
      <x:c r="B739" s="440" t="n">
        <x:f>IF(ISNUMBER(H738),H738,"")</x:f>
        <x:v>97030.54559507813</x:v>
      </x:c>
      <x:c r="C739" s="442" t="n">
        <x:f>IF(ISNUMBER(B739),IF(AND(339&gt;$B$173,$B$78="Refinance",ISNUMBER($B$80),$B$80&gt;=0,$B$80&lt;=1,ROUND($B$81*12,0)&gt;=1,$B$81&lt;=100,SUM($B$82)&gt;=0,SUM($B$82)&lt;=1,SUM($B$83)&gt;=0),$B$80,IF(AND($B$175&gt;0,339&gt;$B$175,ISNUMBER($B$75)),$B$75,$B$61)),"")</x:f>
        <x:v>0.0625</x:v>
      </x:c>
      <x:c r="D739" s="440" t="n">
        <x:f>IF(AND(ISNUMBER(B739),B739=0),0,IF(AND($B$171=1,I738=0,ISNUMBER(C739),ISNUMBER(IF(AND(339&lt;=$B$174,339&lt;=$B$173),B739*C739/12,IF(AND(339=$B$173+1,AND(339&gt;$B$173,$B$78="Refinance",ISNUMBER($B$80),$B$80&gt;=0,$B$80&lt;=1,ROUND($B$81*12,0)&gt;=1,$B$81&lt;=100,SUM($B$82)&gt;=0,SUM($B$82)&lt;=1,SUM($B$83)&gt;=0)),IF(B739=0,0,IF(C739=0,B739/ROUND($B$81*12,0),B739*(C739/12)/(1-(1+C739/12)^(-ROUND($B$81*12,0))))),IF(AND(NOT(AND(339&gt;$B$173,$B$78="Refinance",ISNUMBER($B$80),$B$80&gt;=0,$B$80&lt;=1,ROUND($B$81*12,0)&gt;=1,$B$81&lt;=100,SUM($B$82)&gt;=0,SUM($B$82)&lt;=1,SUM($B$83)&gt;=0)),OR(339=1,339=$B$174+1,AND($B$175&gt;0,339=$B$175+1))),IF(AND($B$170=1,$B$66&gt;0,OR($B$175=0,339&lt;=$B$175)),$B$66,IF($B$172-MAX(339-1,$B$174)&gt;0,IF(B739=0,0,IF(C739=0,B739/($B$172-MAX(339-1,$B$174)),B739*(C739/12)/(1-(1+C739/12)^(-($B$172-MAX(339-1,$B$174)))))),"")),D738))))),IF(IF(AND(339&lt;=$B$174,339&lt;=$B$173),B739*C739/12,IF(AND(339=$B$173+1,AND(339&gt;$B$173,$B$78="Refinance",ISNUMBER($B$80),$B$80&gt;=0,$B$80&lt;=1,ROUND($B$81*12,0)&gt;=1,$B$81&lt;=100,SUM($B$82)&gt;=0,SUM($B$82)&lt;=1,SUM($B$83)&gt;=0)),IF(B739=0,0,IF(C739=0,B739/ROUND($B$81*12,0),B739*(C739/12)/(1-(1+C739/12)^(-ROUND($B$81*12,0))))),IF(AND(NOT(AND(339&gt;$B$173,$B$78="Refinance",ISNUMBER($B$80),$B$80&gt;=0,$B$80&lt;=1,ROUND($B$81*12,0)&gt;=1,$B$81&lt;=100,SUM($B$82)&gt;=0,SUM($B$82)&lt;=1,SUM($B$83)&gt;=0)),OR(339=1,339=$B$174+1,AND($B$175&gt;0,339=$B$175+1))),IF(AND($B$170=1,$B$66&gt;0,OR($B$175=0,339&lt;=$B$175)),$B$66,IF($B$172-MAX(339-1,$B$174)&gt;0,IF(B739=0,0,IF(C739=0,B739/($B$172-MAX(339-1,$B$174)),B739*(C739/12)/(1-(1+C739/12)^(-($B$172-MAX(339-1,$B$174)))))),"")),D738)))+0.0000001&gt;=B739*C739/12,MIN(B739*(1+C739/12),IF(AND(339&lt;=$B$174,339&lt;=$B$173),B739*C739/12,IF(AND(339=$B$173+1,AND(339&gt;$B$173,$B$78="Refinance",ISNUMBER($B$80),$B$80&gt;=0,$B$80&lt;=1,ROUND($B$81*12,0)&gt;=1,$B$81&lt;=100,SUM($B$82)&gt;=0,SUM($B$82)&lt;=1,SUM($B$83)&gt;=0)),IF(B739=0,0,IF(C739=0,B739/ROUND($B$81*12,0),B739*(C739/12)/(1-(1+C739/12)^(-ROUND($B$81*12,0))))),IF(AND(NOT(AND(339&gt;$B$173,$B$78="Refinance",ISNUMBER($B$80),$B$80&gt;=0,$B$80&lt;=1,ROUND($B$81*12,0)&gt;=1,$B$81&lt;=100,SUM($B$82)&gt;=0,SUM($B$82)&lt;=1,SUM($B$83)&gt;=0)),OR(339=1,339=$B$174+1,AND($B$175&gt;0,339=$B$175+1))),IF(AND($B$170=1,$B$66&gt;0,OR($B$175=0,339&lt;=$B$175)),$B$66,IF($B$172-MAX(339-1,$B$174)&gt;0,IF(B739=0,0,IF(C739=0,B739/($B$172-MAX(339-1,$B$174)),B739*(C739/12)/(1-(1+C739/12)^(-($B$172-MAX(339-1,$B$174)))))),"")),D738)))),""),""))</x:f>
        <x:v>4679.450723240598</x:v>
      </x:c>
      <x:c r="E739" s="440" t="n">
        <x:f>IF(AND(339=$B$173,ISNUMBER(D739)),IF(MAX(0,B739*(1+C739/12)-D739)&lt;MAX(0.0000001,$E$17*0.00000000001),0,MAX(0,B739*(1+C739/12)-D739)),0)</x:f>
        <x:v>0</x:v>
      </x:c>
      <x:c r="F739" s="440" t="n">
        <x:f>IF($B$78="Cash payoff",E739,0)</x:f>
        <x:v>0</x:v>
      </x:c>
      <x:c r="G739" s="440" t="n">
        <x:f>IF(AND(E739&gt;0,AND($B$78="Refinance",ISNUMBER($B$80),$B$80&gt;=0,$B$80&lt;=1,ROUND($B$81*12,0)&gt;=1,$B$81&lt;=100,SUM($B$82)&gt;=0,SUM($B$82)&lt;=1,SUM($B$83)&gt;=0)),E739*SUM($B$82)+SUM($B$83),0)</x:f>
        <x:v>0</x:v>
      </x:c>
      <x:c r="H739" s="440" t="n">
        <x:f>IF(ISNUMBER(D739),IF(MAX(0,B739*(1+C739/12)-D739-F739)&lt;MAX(0.0000001,$E$17*0.00000000001),0,MAX(0,B739*(1+C739/12)-D739-F739)),IF(AND($B$171=1,I738=1),B739,""))</x:f>
        <x:v>92856.4622968119</x:v>
      </x:c>
      <x:c r="I739" s="444" t="n">
        <x:f>IF(OR(I738=1,AND(E739&gt;0,$B$78&lt;&gt;"Cash payoff",NOT(AND($B$78="Refinance",ISNUMBER($B$80),$B$80&gt;=0,$B$80&lt;=1,ROUND($B$81*12,0)&gt;=1,$B$81&lt;=100,SUM($B$82)&gt;=0,SUM($B$82)&lt;=1,SUM($B$83)&gt;=0))),AND(ISNUMBER(B739),B739&gt;0,$B$171=1,NOT(ISNUMBER(D739)))),1,0)</x:f>
        <x:v>0</x:v>
      </x:c>
      <x:c r="J739" s="440" t="n">
        <x:f>IF(ISNUMBER(L738),L738,"")</x:f>
        <x:v>0</x:v>
      </x:c>
      <x:c r="K739" s="440" t="n">
        <x:f>IF(AND(ISNUMBER(J739),J739=0),0,IF(AND($B$176=1,ISNUMBER(J739)),MIN(J739*(1+$B$87/12),IF($B$86=0,0,IF($B$87=0,$B$86/ROUND($B$88*12,0),$B$86*($B$87/12)/(1-(1+$B$87/12)^(-ROUND($B$88*12,0)))))),""))</x:f>
        <x:v>0</x:v>
      </x:c>
      <x:c r="L739" s="440" t="n">
        <x:f>IF(ISNUMBER(K739),IF(MAX(0,J739*(1+SUM($B$87)/12)-K739)&lt;MAX(0.0000001,$B$86*0.00000000001),0,MAX(0,J739*(1+SUM($B$87)/12)-K739)),"")</x:f>
        <x:v>0</x:v>
      </x:c>
      <x:c r="M739" s="440" t="n">
        <x:f>IF(AND(ISNUMBER(D739),ISNUMBER(K739)),D739+K739,"")</x:f>
        <x:v>4679.450723240598</x:v>
      </x:c>
      <x:c r="N739" s="440" t="n">
        <x:f>IF(AND(ISNUMBER(H739),ISNUMBER(L739)),H739+L739,"")</x:f>
        <x:v>92856.4622968119</x:v>
      </x:c>
    </x:row>
    <x:row r="740" ht="22" customHeight="1">
      <x:c r="A740" s="254" t="n">
        <x:f>340</x:f>
        <x:v>340</x:v>
      </x:c>
      <x:c r="B740" s="440" t="n">
        <x:f>IF(ISNUMBER(H739),H739,"")</x:f>
        <x:v>92856.4622968119</x:v>
      </x:c>
      <x:c r="C740" s="442" t="n">
        <x:f>IF(ISNUMBER(B740),IF(AND(340&gt;$B$173,$B$78="Refinance",ISNUMBER($B$80),$B$80&gt;=0,$B$80&lt;=1,ROUND($B$81*12,0)&gt;=1,$B$81&lt;=100,SUM($B$82)&gt;=0,SUM($B$82)&lt;=1,SUM($B$83)&gt;=0),$B$80,IF(AND($B$175&gt;0,340&gt;$B$175,ISNUMBER($B$75)),$B$75,$B$61)),"")</x:f>
        <x:v>0.0625</x:v>
      </x:c>
      <x:c r="D740" s="440" t="n">
        <x:f>IF(AND(ISNUMBER(B740),B740=0),0,IF(AND($B$171=1,I739=0,ISNUMBER(C740),ISNUMBER(IF(AND(340&lt;=$B$174,340&lt;=$B$173),B740*C740/12,IF(AND(340=$B$173+1,AND(340&gt;$B$173,$B$78="Refinance",ISNUMBER($B$80),$B$80&gt;=0,$B$80&lt;=1,ROUND($B$81*12,0)&gt;=1,$B$81&lt;=100,SUM($B$82)&gt;=0,SUM($B$82)&lt;=1,SUM($B$83)&gt;=0)),IF(B740=0,0,IF(C740=0,B740/ROUND($B$81*12,0),B740*(C740/12)/(1-(1+C740/12)^(-ROUND($B$81*12,0))))),IF(AND(NOT(AND(340&gt;$B$173,$B$78="Refinance",ISNUMBER($B$80),$B$80&gt;=0,$B$80&lt;=1,ROUND($B$81*12,0)&gt;=1,$B$81&lt;=100,SUM($B$82)&gt;=0,SUM($B$82)&lt;=1,SUM($B$83)&gt;=0)),OR(340=1,340=$B$174+1,AND($B$175&gt;0,340=$B$175+1))),IF(AND($B$170=1,$B$66&gt;0,OR($B$175=0,340&lt;=$B$175)),$B$66,IF($B$172-MAX(340-1,$B$174)&gt;0,IF(B740=0,0,IF(C740=0,B740/($B$172-MAX(340-1,$B$174)),B740*(C740/12)/(1-(1+C740/12)^(-($B$172-MAX(340-1,$B$174)))))),"")),D739))))),IF(IF(AND(340&lt;=$B$174,340&lt;=$B$173),B740*C740/12,IF(AND(340=$B$173+1,AND(340&gt;$B$173,$B$78="Refinance",ISNUMBER($B$80),$B$80&gt;=0,$B$80&lt;=1,ROUND($B$81*12,0)&gt;=1,$B$81&lt;=100,SUM($B$82)&gt;=0,SUM($B$82)&lt;=1,SUM($B$83)&gt;=0)),IF(B740=0,0,IF(C740=0,B740/ROUND($B$81*12,0),B740*(C740/12)/(1-(1+C740/12)^(-ROUND($B$81*12,0))))),IF(AND(NOT(AND(340&gt;$B$173,$B$78="Refinance",ISNUMBER($B$80),$B$80&gt;=0,$B$80&lt;=1,ROUND($B$81*12,0)&gt;=1,$B$81&lt;=100,SUM($B$82)&gt;=0,SUM($B$82)&lt;=1,SUM($B$83)&gt;=0)),OR(340=1,340=$B$174+1,AND($B$175&gt;0,340=$B$175+1))),IF(AND($B$170=1,$B$66&gt;0,OR($B$175=0,340&lt;=$B$175)),$B$66,IF($B$172-MAX(340-1,$B$174)&gt;0,IF(B740=0,0,IF(C740=0,B740/($B$172-MAX(340-1,$B$174)),B740*(C740/12)/(1-(1+C740/12)^(-($B$172-MAX(340-1,$B$174)))))),"")),D739)))+0.0000001&gt;=B740*C740/12,MIN(B740*(1+C740/12),IF(AND(340&lt;=$B$174,340&lt;=$B$173),B740*C740/12,IF(AND(340=$B$173+1,AND(340&gt;$B$173,$B$78="Refinance",ISNUMBER($B$80),$B$80&gt;=0,$B$80&lt;=1,ROUND($B$81*12,0)&gt;=1,$B$81&lt;=100,SUM($B$82)&gt;=0,SUM($B$82)&lt;=1,SUM($B$83)&gt;=0)),IF(B740=0,0,IF(C740=0,B740/ROUND($B$81*12,0),B740*(C740/12)/(1-(1+C740/12)^(-ROUND($B$81*12,0))))),IF(AND(NOT(AND(340&gt;$B$173,$B$78="Refinance",ISNUMBER($B$80),$B$80&gt;=0,$B$80&lt;=1,ROUND($B$81*12,0)&gt;=1,$B$81&lt;=100,SUM($B$82)&gt;=0,SUM($B$82)&lt;=1,SUM($B$83)&gt;=0)),OR(340=1,340=$B$174+1,AND($B$175&gt;0,340=$B$175+1))),IF(AND($B$170=1,$B$66&gt;0,OR($B$175=0,340&lt;=$B$175)),$B$66,IF($B$172-MAX(340-1,$B$174)&gt;0,IF(B740=0,0,IF(C740=0,B740/($B$172-MAX(340-1,$B$174)),B740*(C740/12)/(1-(1+C740/12)^(-($B$172-MAX(340-1,$B$174)))))),"")),D739)))),""),""))</x:f>
        <x:v>4679.450723240598</x:v>
      </x:c>
      <x:c r="E740" s="440" t="n">
        <x:f>IF(AND(340=$B$173,ISNUMBER(D740)),IF(MAX(0,B740*(1+C740/12)-D740)&lt;MAX(0.0000001,$E$17*0.00000000001),0,MAX(0,B740*(1+C740/12)-D740)),0)</x:f>
        <x:v>0</x:v>
      </x:c>
      <x:c r="F740" s="440" t="n">
        <x:f>IF($B$78="Cash payoff",E740,0)</x:f>
        <x:v>0</x:v>
      </x:c>
      <x:c r="G740" s="440" t="n">
        <x:f>IF(AND(E740&gt;0,AND($B$78="Refinance",ISNUMBER($B$80),$B$80&gt;=0,$B$80&lt;=1,ROUND($B$81*12,0)&gt;=1,$B$81&lt;=100,SUM($B$82)&gt;=0,SUM($B$82)&lt;=1,SUM($B$83)&gt;=0)),E740*SUM($B$82)+SUM($B$83),0)</x:f>
        <x:v>0</x:v>
      </x:c>
      <x:c r="H740" s="440" t="n">
        <x:f>IF(ISNUMBER(D740),IF(MAX(0,B740*(1+C740/12)-D740-F740)&lt;MAX(0.0000001,$E$17*0.00000000001),0,MAX(0,B740*(1+C740/12)-D740-F740)),IF(AND($B$171=1,I739=1),B740,""))</x:f>
        <x:v>88660.63898136718</x:v>
      </x:c>
      <x:c r="I740" s="444" t="n">
        <x:f>IF(OR(I739=1,AND(E740&gt;0,$B$78&lt;&gt;"Cash payoff",NOT(AND($B$78="Refinance",ISNUMBER($B$80),$B$80&gt;=0,$B$80&lt;=1,ROUND($B$81*12,0)&gt;=1,$B$81&lt;=100,SUM($B$82)&gt;=0,SUM($B$82)&lt;=1,SUM($B$83)&gt;=0))),AND(ISNUMBER(B740),B740&gt;0,$B$171=1,NOT(ISNUMBER(D740)))),1,0)</x:f>
        <x:v>0</x:v>
      </x:c>
      <x:c r="J740" s="440" t="n">
        <x:f>IF(ISNUMBER(L739),L739,"")</x:f>
        <x:v>0</x:v>
      </x:c>
      <x:c r="K740" s="440" t="n">
        <x:f>IF(AND(ISNUMBER(J740),J740=0),0,IF(AND($B$176=1,ISNUMBER(J740)),MIN(J740*(1+$B$87/12),IF($B$86=0,0,IF($B$87=0,$B$86/ROUND($B$88*12,0),$B$86*($B$87/12)/(1-(1+$B$87/12)^(-ROUND($B$88*12,0)))))),""))</x:f>
        <x:v>0</x:v>
      </x:c>
      <x:c r="L740" s="440" t="n">
        <x:f>IF(ISNUMBER(K740),IF(MAX(0,J740*(1+SUM($B$87)/12)-K740)&lt;MAX(0.0000001,$B$86*0.00000000001),0,MAX(0,J740*(1+SUM($B$87)/12)-K740)),"")</x:f>
        <x:v>0</x:v>
      </x:c>
      <x:c r="M740" s="440" t="n">
        <x:f>IF(AND(ISNUMBER(D740),ISNUMBER(K740)),D740+K740,"")</x:f>
        <x:v>4679.450723240598</x:v>
      </x:c>
      <x:c r="N740" s="440" t="n">
        <x:f>IF(AND(ISNUMBER(H740),ISNUMBER(L740)),H740+L740,"")</x:f>
        <x:v>88660.63898136718</x:v>
      </x:c>
    </x:row>
    <x:row r="741" ht="22" customHeight="1">
      <x:c r="A741" s="254" t="n">
        <x:f>341</x:f>
        <x:v>341</x:v>
      </x:c>
      <x:c r="B741" s="440" t="n">
        <x:f>IF(ISNUMBER(H740),H740,"")</x:f>
        <x:v>88660.63898136718</x:v>
      </x:c>
      <x:c r="C741" s="442" t="n">
        <x:f>IF(ISNUMBER(B741),IF(AND(341&gt;$B$173,$B$78="Refinance",ISNUMBER($B$80),$B$80&gt;=0,$B$80&lt;=1,ROUND($B$81*12,0)&gt;=1,$B$81&lt;=100,SUM($B$82)&gt;=0,SUM($B$82)&lt;=1,SUM($B$83)&gt;=0),$B$80,IF(AND($B$175&gt;0,341&gt;$B$175,ISNUMBER($B$75)),$B$75,$B$61)),"")</x:f>
        <x:v>0.0625</x:v>
      </x:c>
      <x:c r="D741" s="440" t="n">
        <x:f>IF(AND(ISNUMBER(B741),B741=0),0,IF(AND($B$171=1,I740=0,ISNUMBER(C741),ISNUMBER(IF(AND(341&lt;=$B$174,341&lt;=$B$173),B741*C741/12,IF(AND(341=$B$173+1,AND(341&gt;$B$173,$B$78="Refinance",ISNUMBER($B$80),$B$80&gt;=0,$B$80&lt;=1,ROUND($B$81*12,0)&gt;=1,$B$81&lt;=100,SUM($B$82)&gt;=0,SUM($B$82)&lt;=1,SUM($B$83)&gt;=0)),IF(B741=0,0,IF(C741=0,B741/ROUND($B$81*12,0),B741*(C741/12)/(1-(1+C741/12)^(-ROUND($B$81*12,0))))),IF(AND(NOT(AND(341&gt;$B$173,$B$78="Refinance",ISNUMBER($B$80),$B$80&gt;=0,$B$80&lt;=1,ROUND($B$81*12,0)&gt;=1,$B$81&lt;=100,SUM($B$82)&gt;=0,SUM($B$82)&lt;=1,SUM($B$83)&gt;=0)),OR(341=1,341=$B$174+1,AND($B$175&gt;0,341=$B$175+1))),IF(AND($B$170=1,$B$66&gt;0,OR($B$175=0,341&lt;=$B$175)),$B$66,IF($B$172-MAX(341-1,$B$174)&gt;0,IF(B741=0,0,IF(C741=0,B741/($B$172-MAX(341-1,$B$174)),B741*(C741/12)/(1-(1+C741/12)^(-($B$172-MAX(341-1,$B$174)))))),"")),D740))))),IF(IF(AND(341&lt;=$B$174,341&lt;=$B$173),B741*C741/12,IF(AND(341=$B$173+1,AND(341&gt;$B$173,$B$78="Refinance",ISNUMBER($B$80),$B$80&gt;=0,$B$80&lt;=1,ROUND($B$81*12,0)&gt;=1,$B$81&lt;=100,SUM($B$82)&gt;=0,SUM($B$82)&lt;=1,SUM($B$83)&gt;=0)),IF(B741=0,0,IF(C741=0,B741/ROUND($B$81*12,0),B741*(C741/12)/(1-(1+C741/12)^(-ROUND($B$81*12,0))))),IF(AND(NOT(AND(341&gt;$B$173,$B$78="Refinance",ISNUMBER($B$80),$B$80&gt;=0,$B$80&lt;=1,ROUND($B$81*12,0)&gt;=1,$B$81&lt;=100,SUM($B$82)&gt;=0,SUM($B$82)&lt;=1,SUM($B$83)&gt;=0)),OR(341=1,341=$B$174+1,AND($B$175&gt;0,341=$B$175+1))),IF(AND($B$170=1,$B$66&gt;0,OR($B$175=0,341&lt;=$B$175)),$B$66,IF($B$172-MAX(341-1,$B$174)&gt;0,IF(B741=0,0,IF(C741=0,B741/($B$172-MAX(341-1,$B$174)),B741*(C741/12)/(1-(1+C741/12)^(-($B$172-MAX(341-1,$B$174)))))),"")),D740)))+0.0000001&gt;=B741*C741/12,MIN(B741*(1+C741/12),IF(AND(341&lt;=$B$174,341&lt;=$B$173),B741*C741/12,IF(AND(341=$B$173+1,AND(341&gt;$B$173,$B$78="Refinance",ISNUMBER($B$80),$B$80&gt;=0,$B$80&lt;=1,ROUND($B$81*12,0)&gt;=1,$B$81&lt;=100,SUM($B$82)&gt;=0,SUM($B$82)&lt;=1,SUM($B$83)&gt;=0)),IF(B741=0,0,IF(C741=0,B741/ROUND($B$81*12,0),B741*(C741/12)/(1-(1+C741/12)^(-ROUND($B$81*12,0))))),IF(AND(NOT(AND(341&gt;$B$173,$B$78="Refinance",ISNUMBER($B$80),$B$80&gt;=0,$B$80&lt;=1,ROUND($B$81*12,0)&gt;=1,$B$81&lt;=100,SUM($B$82)&gt;=0,SUM($B$82)&lt;=1,SUM($B$83)&gt;=0)),OR(341=1,341=$B$174+1,AND($B$175&gt;0,341=$B$175+1))),IF(AND($B$170=1,$B$66&gt;0,OR($B$175=0,341&lt;=$B$175)),$B$66,IF($B$172-MAX(341-1,$B$174)&gt;0,IF(B741=0,0,IF(C741=0,B741/($B$172-MAX(341-1,$B$174)),B741*(C741/12)/(1-(1+C741/12)^(-($B$172-MAX(341-1,$B$174)))))),"")),D740)))),""),""))</x:f>
        <x:v>4679.450723240598</x:v>
      </x:c>
      <x:c r="E741" s="440" t="n">
        <x:f>IF(AND(341=$B$173,ISNUMBER(D741)),IF(MAX(0,B741*(1+C741/12)-D741)&lt;MAX(0.0000001,$E$17*0.00000000001),0,MAX(0,B741*(1+C741/12)-D741)),0)</x:f>
        <x:v>0</x:v>
      </x:c>
      <x:c r="F741" s="440" t="n">
        <x:f>IF($B$78="Cash payoff",E741,0)</x:f>
        <x:v>0</x:v>
      </x:c>
      <x:c r="G741" s="440" t="n">
        <x:f>IF(AND(E741&gt;0,AND($B$78="Refinance",ISNUMBER($B$80),$B$80&gt;=0,$B$80&lt;=1,ROUND($B$81*12,0)&gt;=1,$B$81&lt;=100,SUM($B$82)&gt;=0,SUM($B$82)&lt;=1,SUM($B$83)&gt;=0)),E741*SUM($B$82)+SUM($B$83),0)</x:f>
        <x:v>0</x:v>
      </x:c>
      <x:c r="H741" s="440" t="n">
        <x:f>IF(ISNUMBER(D741),IF(MAX(0,B741*(1+C741/12)-D741-F741)&lt;MAX(0.0000001,$E$17*0.00000000001),0,MAX(0,B741*(1+C741/12)-D741-F741)),IF(AND($B$171=1,I740=1),B741,""))</x:f>
        <x:v>84442.96241948786</x:v>
      </x:c>
      <x:c r="I741" s="444" t="n">
        <x:f>IF(OR(I740=1,AND(E741&gt;0,$B$78&lt;&gt;"Cash payoff",NOT(AND($B$78="Refinance",ISNUMBER($B$80),$B$80&gt;=0,$B$80&lt;=1,ROUND($B$81*12,0)&gt;=1,$B$81&lt;=100,SUM($B$82)&gt;=0,SUM($B$82)&lt;=1,SUM($B$83)&gt;=0))),AND(ISNUMBER(B741),B741&gt;0,$B$171=1,NOT(ISNUMBER(D741)))),1,0)</x:f>
        <x:v>0</x:v>
      </x:c>
      <x:c r="J741" s="440" t="n">
        <x:f>IF(ISNUMBER(L740),L740,"")</x:f>
        <x:v>0</x:v>
      </x:c>
      <x:c r="K741" s="440" t="n">
        <x:f>IF(AND(ISNUMBER(J741),J741=0),0,IF(AND($B$176=1,ISNUMBER(J741)),MIN(J741*(1+$B$87/12),IF($B$86=0,0,IF($B$87=0,$B$86/ROUND($B$88*12,0),$B$86*($B$87/12)/(1-(1+$B$87/12)^(-ROUND($B$88*12,0)))))),""))</x:f>
        <x:v>0</x:v>
      </x:c>
      <x:c r="L741" s="440" t="n">
        <x:f>IF(ISNUMBER(K741),IF(MAX(0,J741*(1+SUM($B$87)/12)-K741)&lt;MAX(0.0000001,$B$86*0.00000000001),0,MAX(0,J741*(1+SUM($B$87)/12)-K741)),"")</x:f>
        <x:v>0</x:v>
      </x:c>
      <x:c r="M741" s="440" t="n">
        <x:f>IF(AND(ISNUMBER(D741),ISNUMBER(K741)),D741+K741,"")</x:f>
        <x:v>4679.450723240598</x:v>
      </x:c>
      <x:c r="N741" s="440" t="n">
        <x:f>IF(AND(ISNUMBER(H741),ISNUMBER(L741)),H741+L741,"")</x:f>
        <x:v>84442.96241948786</x:v>
      </x:c>
    </x:row>
    <x:row r="742" ht="22" customHeight="1">
      <x:c r="A742" s="254" t="n">
        <x:f>342</x:f>
        <x:v>342</x:v>
      </x:c>
      <x:c r="B742" s="440" t="n">
        <x:f>IF(ISNUMBER(H741),H741,"")</x:f>
        <x:v>84442.96241948786</x:v>
      </x:c>
      <x:c r="C742" s="442" t="n">
        <x:f>IF(ISNUMBER(B742),IF(AND(342&gt;$B$173,$B$78="Refinance",ISNUMBER($B$80),$B$80&gt;=0,$B$80&lt;=1,ROUND($B$81*12,0)&gt;=1,$B$81&lt;=100,SUM($B$82)&gt;=0,SUM($B$82)&lt;=1,SUM($B$83)&gt;=0),$B$80,IF(AND($B$175&gt;0,342&gt;$B$175,ISNUMBER($B$75)),$B$75,$B$61)),"")</x:f>
        <x:v>0.0625</x:v>
      </x:c>
      <x:c r="D742" s="440" t="n">
        <x:f>IF(AND(ISNUMBER(B742),B742=0),0,IF(AND($B$171=1,I741=0,ISNUMBER(C742),ISNUMBER(IF(AND(342&lt;=$B$174,342&lt;=$B$173),B742*C742/12,IF(AND(342=$B$173+1,AND(342&gt;$B$173,$B$78="Refinance",ISNUMBER($B$80),$B$80&gt;=0,$B$80&lt;=1,ROUND($B$81*12,0)&gt;=1,$B$81&lt;=100,SUM($B$82)&gt;=0,SUM($B$82)&lt;=1,SUM($B$83)&gt;=0)),IF(B742=0,0,IF(C742=0,B742/ROUND($B$81*12,0),B742*(C742/12)/(1-(1+C742/12)^(-ROUND($B$81*12,0))))),IF(AND(NOT(AND(342&gt;$B$173,$B$78="Refinance",ISNUMBER($B$80),$B$80&gt;=0,$B$80&lt;=1,ROUND($B$81*12,0)&gt;=1,$B$81&lt;=100,SUM($B$82)&gt;=0,SUM($B$82)&lt;=1,SUM($B$83)&gt;=0)),OR(342=1,342=$B$174+1,AND($B$175&gt;0,342=$B$175+1))),IF(AND($B$170=1,$B$66&gt;0,OR($B$175=0,342&lt;=$B$175)),$B$66,IF($B$172-MAX(342-1,$B$174)&gt;0,IF(B742=0,0,IF(C742=0,B742/($B$172-MAX(342-1,$B$174)),B742*(C742/12)/(1-(1+C742/12)^(-($B$172-MAX(342-1,$B$174)))))),"")),D741))))),IF(IF(AND(342&lt;=$B$174,342&lt;=$B$173),B742*C742/12,IF(AND(342=$B$173+1,AND(342&gt;$B$173,$B$78="Refinance",ISNUMBER($B$80),$B$80&gt;=0,$B$80&lt;=1,ROUND($B$81*12,0)&gt;=1,$B$81&lt;=100,SUM($B$82)&gt;=0,SUM($B$82)&lt;=1,SUM($B$83)&gt;=0)),IF(B742=0,0,IF(C742=0,B742/ROUND($B$81*12,0),B742*(C742/12)/(1-(1+C742/12)^(-ROUND($B$81*12,0))))),IF(AND(NOT(AND(342&gt;$B$173,$B$78="Refinance",ISNUMBER($B$80),$B$80&gt;=0,$B$80&lt;=1,ROUND($B$81*12,0)&gt;=1,$B$81&lt;=100,SUM($B$82)&gt;=0,SUM($B$82)&lt;=1,SUM($B$83)&gt;=0)),OR(342=1,342=$B$174+1,AND($B$175&gt;0,342=$B$175+1))),IF(AND($B$170=1,$B$66&gt;0,OR($B$175=0,342&lt;=$B$175)),$B$66,IF($B$172-MAX(342-1,$B$174)&gt;0,IF(B742=0,0,IF(C742=0,B742/($B$172-MAX(342-1,$B$174)),B742*(C742/12)/(1-(1+C742/12)^(-($B$172-MAX(342-1,$B$174)))))),"")),D741)))+0.0000001&gt;=B742*C742/12,MIN(B742*(1+C742/12),IF(AND(342&lt;=$B$174,342&lt;=$B$173),B742*C742/12,IF(AND(342=$B$173+1,AND(342&gt;$B$173,$B$78="Refinance",ISNUMBER($B$80),$B$80&gt;=0,$B$80&lt;=1,ROUND($B$81*12,0)&gt;=1,$B$81&lt;=100,SUM($B$82)&gt;=0,SUM($B$82)&lt;=1,SUM($B$83)&gt;=0)),IF(B742=0,0,IF(C742=0,B742/ROUND($B$81*12,0),B742*(C742/12)/(1-(1+C742/12)^(-ROUND($B$81*12,0))))),IF(AND(NOT(AND(342&gt;$B$173,$B$78="Refinance",ISNUMBER($B$80),$B$80&gt;=0,$B$80&lt;=1,ROUND($B$81*12,0)&gt;=1,$B$81&lt;=100,SUM($B$82)&gt;=0,SUM($B$82)&lt;=1,SUM($B$83)&gt;=0)),OR(342=1,342=$B$174+1,AND($B$175&gt;0,342=$B$175+1))),IF(AND($B$170=1,$B$66&gt;0,OR($B$175=0,342&lt;=$B$175)),$B$66,IF($B$172-MAX(342-1,$B$174)&gt;0,IF(B742=0,0,IF(C742=0,B742/($B$172-MAX(342-1,$B$174)),B742*(C742/12)/(1-(1+C742/12)^(-($B$172-MAX(342-1,$B$174)))))),"")),D741)))),""),""))</x:f>
        <x:v>4679.450723240598</x:v>
      </x:c>
      <x:c r="E742" s="440" t="n">
        <x:f>IF(AND(342=$B$173,ISNUMBER(D742)),IF(MAX(0,B742*(1+C742/12)-D742)&lt;MAX(0.0000001,$E$17*0.00000000001),0,MAX(0,B742*(1+C742/12)-D742)),0)</x:f>
        <x:v>0</x:v>
      </x:c>
      <x:c r="F742" s="440" t="n">
        <x:f>IF($B$78="Cash payoff",E742,0)</x:f>
        <x:v>0</x:v>
      </x:c>
      <x:c r="G742" s="440" t="n">
        <x:f>IF(AND(E742&gt;0,AND($B$78="Refinance",ISNUMBER($B$80),$B$80&gt;=0,$B$80&lt;=1,ROUND($B$81*12,0)&gt;=1,$B$81&lt;=100,SUM($B$82)&gt;=0,SUM($B$82)&lt;=1,SUM($B$83)&gt;=0)),E742*SUM($B$82)+SUM($B$83),0)</x:f>
        <x:v>0</x:v>
      </x:c>
      <x:c r="H742" s="440" t="n">
        <x:f>IF(ISNUMBER(D742),IF(MAX(0,B742*(1+C742/12)-D742-F742)&lt;MAX(0.0000001,$E$17*0.00000000001),0,MAX(0,B742*(1+C742/12)-D742-F742)),IF(AND($B$171=1,I741=1),B742,""))</x:f>
        <x:v>80203.31879218208</x:v>
      </x:c>
      <x:c r="I742" s="444" t="n">
        <x:f>IF(OR(I741=1,AND(E742&gt;0,$B$78&lt;&gt;"Cash payoff",NOT(AND($B$78="Refinance",ISNUMBER($B$80),$B$80&gt;=0,$B$80&lt;=1,ROUND($B$81*12,0)&gt;=1,$B$81&lt;=100,SUM($B$82)&gt;=0,SUM($B$82)&lt;=1,SUM($B$83)&gt;=0))),AND(ISNUMBER(B742),B742&gt;0,$B$171=1,NOT(ISNUMBER(D742)))),1,0)</x:f>
        <x:v>0</x:v>
      </x:c>
      <x:c r="J742" s="440" t="n">
        <x:f>IF(ISNUMBER(L741),L741,"")</x:f>
        <x:v>0</x:v>
      </x:c>
      <x:c r="K742" s="440" t="n">
        <x:f>IF(AND(ISNUMBER(J742),J742=0),0,IF(AND($B$176=1,ISNUMBER(J742)),MIN(J742*(1+$B$87/12),IF($B$86=0,0,IF($B$87=0,$B$86/ROUND($B$88*12,0),$B$86*($B$87/12)/(1-(1+$B$87/12)^(-ROUND($B$88*12,0)))))),""))</x:f>
        <x:v>0</x:v>
      </x:c>
      <x:c r="L742" s="440" t="n">
        <x:f>IF(ISNUMBER(K742),IF(MAX(0,J742*(1+SUM($B$87)/12)-K742)&lt;MAX(0.0000001,$B$86*0.00000000001),0,MAX(0,J742*(1+SUM($B$87)/12)-K742)),"")</x:f>
        <x:v>0</x:v>
      </x:c>
      <x:c r="M742" s="440" t="n">
        <x:f>IF(AND(ISNUMBER(D742),ISNUMBER(K742)),D742+K742,"")</x:f>
        <x:v>4679.450723240598</x:v>
      </x:c>
      <x:c r="N742" s="440" t="n">
        <x:f>IF(AND(ISNUMBER(H742),ISNUMBER(L742)),H742+L742,"")</x:f>
        <x:v>80203.31879218208</x:v>
      </x:c>
    </x:row>
    <x:row r="743" ht="22" customHeight="1">
      <x:c r="A743" s="254" t="n">
        <x:f>343</x:f>
        <x:v>343</x:v>
      </x:c>
      <x:c r="B743" s="440" t="n">
        <x:f>IF(ISNUMBER(H742),H742,"")</x:f>
        <x:v>80203.31879218208</x:v>
      </x:c>
      <x:c r="C743" s="442" t="n">
        <x:f>IF(ISNUMBER(B743),IF(AND(343&gt;$B$173,$B$78="Refinance",ISNUMBER($B$80),$B$80&gt;=0,$B$80&lt;=1,ROUND($B$81*12,0)&gt;=1,$B$81&lt;=100,SUM($B$82)&gt;=0,SUM($B$82)&lt;=1,SUM($B$83)&gt;=0),$B$80,IF(AND($B$175&gt;0,343&gt;$B$175,ISNUMBER($B$75)),$B$75,$B$61)),"")</x:f>
        <x:v>0.0625</x:v>
      </x:c>
      <x:c r="D743" s="440" t="n">
        <x:f>IF(AND(ISNUMBER(B743),B743=0),0,IF(AND($B$171=1,I742=0,ISNUMBER(C743),ISNUMBER(IF(AND(343&lt;=$B$174,343&lt;=$B$173),B743*C743/12,IF(AND(343=$B$173+1,AND(343&gt;$B$173,$B$78="Refinance",ISNUMBER($B$80),$B$80&gt;=0,$B$80&lt;=1,ROUND($B$81*12,0)&gt;=1,$B$81&lt;=100,SUM($B$82)&gt;=0,SUM($B$82)&lt;=1,SUM($B$83)&gt;=0)),IF(B743=0,0,IF(C743=0,B743/ROUND($B$81*12,0),B743*(C743/12)/(1-(1+C743/12)^(-ROUND($B$81*12,0))))),IF(AND(NOT(AND(343&gt;$B$173,$B$78="Refinance",ISNUMBER($B$80),$B$80&gt;=0,$B$80&lt;=1,ROUND($B$81*12,0)&gt;=1,$B$81&lt;=100,SUM($B$82)&gt;=0,SUM($B$82)&lt;=1,SUM($B$83)&gt;=0)),OR(343=1,343=$B$174+1,AND($B$175&gt;0,343=$B$175+1))),IF(AND($B$170=1,$B$66&gt;0,OR($B$175=0,343&lt;=$B$175)),$B$66,IF($B$172-MAX(343-1,$B$174)&gt;0,IF(B743=0,0,IF(C743=0,B743/($B$172-MAX(343-1,$B$174)),B743*(C743/12)/(1-(1+C743/12)^(-($B$172-MAX(343-1,$B$174)))))),"")),D742))))),IF(IF(AND(343&lt;=$B$174,343&lt;=$B$173),B743*C743/12,IF(AND(343=$B$173+1,AND(343&gt;$B$173,$B$78="Refinance",ISNUMBER($B$80),$B$80&gt;=0,$B$80&lt;=1,ROUND($B$81*12,0)&gt;=1,$B$81&lt;=100,SUM($B$82)&gt;=0,SUM($B$82)&lt;=1,SUM($B$83)&gt;=0)),IF(B743=0,0,IF(C743=0,B743/ROUND($B$81*12,0),B743*(C743/12)/(1-(1+C743/12)^(-ROUND($B$81*12,0))))),IF(AND(NOT(AND(343&gt;$B$173,$B$78="Refinance",ISNUMBER($B$80),$B$80&gt;=0,$B$80&lt;=1,ROUND($B$81*12,0)&gt;=1,$B$81&lt;=100,SUM($B$82)&gt;=0,SUM($B$82)&lt;=1,SUM($B$83)&gt;=0)),OR(343=1,343=$B$174+1,AND($B$175&gt;0,343=$B$175+1))),IF(AND($B$170=1,$B$66&gt;0,OR($B$175=0,343&lt;=$B$175)),$B$66,IF($B$172-MAX(343-1,$B$174)&gt;0,IF(B743=0,0,IF(C743=0,B743/($B$172-MAX(343-1,$B$174)),B743*(C743/12)/(1-(1+C743/12)^(-($B$172-MAX(343-1,$B$174)))))),"")),D742)))+0.0000001&gt;=B743*C743/12,MIN(B743*(1+C743/12),IF(AND(343&lt;=$B$174,343&lt;=$B$173),B743*C743/12,IF(AND(343=$B$173+1,AND(343&gt;$B$173,$B$78="Refinance",ISNUMBER($B$80),$B$80&gt;=0,$B$80&lt;=1,ROUND($B$81*12,0)&gt;=1,$B$81&lt;=100,SUM($B$82)&gt;=0,SUM($B$82)&lt;=1,SUM($B$83)&gt;=0)),IF(B743=0,0,IF(C743=0,B743/ROUND($B$81*12,0),B743*(C743/12)/(1-(1+C743/12)^(-ROUND($B$81*12,0))))),IF(AND(NOT(AND(343&gt;$B$173,$B$78="Refinance",ISNUMBER($B$80),$B$80&gt;=0,$B$80&lt;=1,ROUND($B$81*12,0)&gt;=1,$B$81&lt;=100,SUM($B$82)&gt;=0,SUM($B$82)&lt;=1,SUM($B$83)&gt;=0)),OR(343=1,343=$B$174+1,AND($B$175&gt;0,343=$B$175+1))),IF(AND($B$170=1,$B$66&gt;0,OR($B$175=0,343&lt;=$B$175)),$B$66,IF($B$172-MAX(343-1,$B$174)&gt;0,IF(B743=0,0,IF(C743=0,B743/($B$172-MAX(343-1,$B$174)),B743*(C743/12)/(1-(1+C743/12)^(-($B$172-MAX(343-1,$B$174)))))),"")),D742)))),""),""))</x:f>
        <x:v>4679.450723240598</x:v>
      </x:c>
      <x:c r="E743" s="440" t="n">
        <x:f>IF(AND(343=$B$173,ISNUMBER(D743)),IF(MAX(0,B743*(1+C743/12)-D743)&lt;MAX(0.0000001,$E$17*0.00000000001),0,MAX(0,B743*(1+C743/12)-D743)),0)</x:f>
        <x:v>0</x:v>
      </x:c>
      <x:c r="F743" s="440" t="n">
        <x:f>IF($B$78="Cash payoff",E743,0)</x:f>
        <x:v>0</x:v>
      </x:c>
      <x:c r="G743" s="440" t="n">
        <x:f>IF(AND(E743&gt;0,AND($B$78="Refinance",ISNUMBER($B$80),$B$80&gt;=0,$B$80&lt;=1,ROUND($B$81*12,0)&gt;=1,$B$81&lt;=100,SUM($B$82)&gt;=0,SUM($B$82)&lt;=1,SUM($B$83)&gt;=0)),E743*SUM($B$82)+SUM($B$83),0)</x:f>
        <x:v>0</x:v>
      </x:c>
      <x:c r="H743" s="440" t="n">
        <x:f>IF(ISNUMBER(D743),IF(MAX(0,B743*(1+C743/12)-D743-F743)&lt;MAX(0.0000001,$E$17*0.00000000001),0,MAX(0,B743*(1+C743/12)-D743-F743)),IF(AND($B$171=1,I742=1),B743,""))</x:f>
        <x:v>75941.59368765075</x:v>
      </x:c>
      <x:c r="I743" s="444" t="n">
        <x:f>IF(OR(I742=1,AND(E743&gt;0,$B$78&lt;&gt;"Cash payoff",NOT(AND($B$78="Refinance",ISNUMBER($B$80),$B$80&gt;=0,$B$80&lt;=1,ROUND($B$81*12,0)&gt;=1,$B$81&lt;=100,SUM($B$82)&gt;=0,SUM($B$82)&lt;=1,SUM($B$83)&gt;=0))),AND(ISNUMBER(B743),B743&gt;0,$B$171=1,NOT(ISNUMBER(D743)))),1,0)</x:f>
        <x:v>0</x:v>
      </x:c>
      <x:c r="J743" s="440" t="n">
        <x:f>IF(ISNUMBER(L742),L742,"")</x:f>
        <x:v>0</x:v>
      </x:c>
      <x:c r="K743" s="440" t="n">
        <x:f>IF(AND(ISNUMBER(J743),J743=0),0,IF(AND($B$176=1,ISNUMBER(J743)),MIN(J743*(1+$B$87/12),IF($B$86=0,0,IF($B$87=0,$B$86/ROUND($B$88*12,0),$B$86*($B$87/12)/(1-(1+$B$87/12)^(-ROUND($B$88*12,0)))))),""))</x:f>
        <x:v>0</x:v>
      </x:c>
      <x:c r="L743" s="440" t="n">
        <x:f>IF(ISNUMBER(K743),IF(MAX(0,J743*(1+SUM($B$87)/12)-K743)&lt;MAX(0.0000001,$B$86*0.00000000001),0,MAX(0,J743*(1+SUM($B$87)/12)-K743)),"")</x:f>
        <x:v>0</x:v>
      </x:c>
      <x:c r="M743" s="440" t="n">
        <x:f>IF(AND(ISNUMBER(D743),ISNUMBER(K743)),D743+K743,"")</x:f>
        <x:v>4679.450723240598</x:v>
      </x:c>
      <x:c r="N743" s="440" t="n">
        <x:f>IF(AND(ISNUMBER(H743),ISNUMBER(L743)),H743+L743,"")</x:f>
        <x:v>75941.59368765075</x:v>
      </x:c>
    </x:row>
    <x:row r="744" ht="22" customHeight="1">
      <x:c r="A744" s="254" t="n">
        <x:f>344</x:f>
        <x:v>344</x:v>
      </x:c>
      <x:c r="B744" s="440" t="n">
        <x:f>IF(ISNUMBER(H743),H743,"")</x:f>
        <x:v>75941.59368765075</x:v>
      </x:c>
      <x:c r="C744" s="442" t="n">
        <x:f>IF(ISNUMBER(B744),IF(AND(344&gt;$B$173,$B$78="Refinance",ISNUMBER($B$80),$B$80&gt;=0,$B$80&lt;=1,ROUND($B$81*12,0)&gt;=1,$B$81&lt;=100,SUM($B$82)&gt;=0,SUM($B$82)&lt;=1,SUM($B$83)&gt;=0),$B$80,IF(AND($B$175&gt;0,344&gt;$B$175,ISNUMBER($B$75)),$B$75,$B$61)),"")</x:f>
        <x:v>0.0625</x:v>
      </x:c>
      <x:c r="D744" s="440" t="n">
        <x:f>IF(AND(ISNUMBER(B744),B744=0),0,IF(AND($B$171=1,I743=0,ISNUMBER(C744),ISNUMBER(IF(AND(344&lt;=$B$174,344&lt;=$B$173),B744*C744/12,IF(AND(344=$B$173+1,AND(344&gt;$B$173,$B$78="Refinance",ISNUMBER($B$80),$B$80&gt;=0,$B$80&lt;=1,ROUND($B$81*12,0)&gt;=1,$B$81&lt;=100,SUM($B$82)&gt;=0,SUM($B$82)&lt;=1,SUM($B$83)&gt;=0)),IF(B744=0,0,IF(C744=0,B744/ROUND($B$81*12,0),B744*(C744/12)/(1-(1+C744/12)^(-ROUND($B$81*12,0))))),IF(AND(NOT(AND(344&gt;$B$173,$B$78="Refinance",ISNUMBER($B$80),$B$80&gt;=0,$B$80&lt;=1,ROUND($B$81*12,0)&gt;=1,$B$81&lt;=100,SUM($B$82)&gt;=0,SUM($B$82)&lt;=1,SUM($B$83)&gt;=0)),OR(344=1,344=$B$174+1,AND($B$175&gt;0,344=$B$175+1))),IF(AND($B$170=1,$B$66&gt;0,OR($B$175=0,344&lt;=$B$175)),$B$66,IF($B$172-MAX(344-1,$B$174)&gt;0,IF(B744=0,0,IF(C744=0,B744/($B$172-MAX(344-1,$B$174)),B744*(C744/12)/(1-(1+C744/12)^(-($B$172-MAX(344-1,$B$174)))))),"")),D743))))),IF(IF(AND(344&lt;=$B$174,344&lt;=$B$173),B744*C744/12,IF(AND(344=$B$173+1,AND(344&gt;$B$173,$B$78="Refinance",ISNUMBER($B$80),$B$80&gt;=0,$B$80&lt;=1,ROUND($B$81*12,0)&gt;=1,$B$81&lt;=100,SUM($B$82)&gt;=0,SUM($B$82)&lt;=1,SUM($B$83)&gt;=0)),IF(B744=0,0,IF(C744=0,B744/ROUND($B$81*12,0),B744*(C744/12)/(1-(1+C744/12)^(-ROUND($B$81*12,0))))),IF(AND(NOT(AND(344&gt;$B$173,$B$78="Refinance",ISNUMBER($B$80),$B$80&gt;=0,$B$80&lt;=1,ROUND($B$81*12,0)&gt;=1,$B$81&lt;=100,SUM($B$82)&gt;=0,SUM($B$82)&lt;=1,SUM($B$83)&gt;=0)),OR(344=1,344=$B$174+1,AND($B$175&gt;0,344=$B$175+1))),IF(AND($B$170=1,$B$66&gt;0,OR($B$175=0,344&lt;=$B$175)),$B$66,IF($B$172-MAX(344-1,$B$174)&gt;0,IF(B744=0,0,IF(C744=0,B744/($B$172-MAX(344-1,$B$174)),B744*(C744/12)/(1-(1+C744/12)^(-($B$172-MAX(344-1,$B$174)))))),"")),D743)))+0.0000001&gt;=B744*C744/12,MIN(B744*(1+C744/12),IF(AND(344&lt;=$B$174,344&lt;=$B$173),B744*C744/12,IF(AND(344=$B$173+1,AND(344&gt;$B$173,$B$78="Refinance",ISNUMBER($B$80),$B$80&gt;=0,$B$80&lt;=1,ROUND($B$81*12,0)&gt;=1,$B$81&lt;=100,SUM($B$82)&gt;=0,SUM($B$82)&lt;=1,SUM($B$83)&gt;=0)),IF(B744=0,0,IF(C744=0,B744/ROUND($B$81*12,0),B744*(C744/12)/(1-(1+C744/12)^(-ROUND($B$81*12,0))))),IF(AND(NOT(AND(344&gt;$B$173,$B$78="Refinance",ISNUMBER($B$80),$B$80&gt;=0,$B$80&lt;=1,ROUND($B$81*12,0)&gt;=1,$B$81&lt;=100,SUM($B$82)&gt;=0,SUM($B$82)&lt;=1,SUM($B$83)&gt;=0)),OR(344=1,344=$B$174+1,AND($B$175&gt;0,344=$B$175+1))),IF(AND($B$170=1,$B$66&gt;0,OR($B$175=0,344&lt;=$B$175)),$B$66,IF($B$172-MAX(344-1,$B$174)&gt;0,IF(B744=0,0,IF(C744=0,B744/($B$172-MAX(344-1,$B$174)),B744*(C744/12)/(1-(1+C744/12)^(-($B$172-MAX(344-1,$B$174)))))),"")),D743)))),""),""))</x:f>
        <x:v>4679.450723240598</x:v>
      </x:c>
      <x:c r="E744" s="440" t="n">
        <x:f>IF(AND(344=$B$173,ISNUMBER(D744)),IF(MAX(0,B744*(1+C744/12)-D744)&lt;MAX(0.0000001,$E$17*0.00000000001),0,MAX(0,B744*(1+C744/12)-D744)),0)</x:f>
        <x:v>0</x:v>
      </x:c>
      <x:c r="F744" s="440" t="n">
        <x:f>IF($B$78="Cash payoff",E744,0)</x:f>
        <x:v>0</x:v>
      </x:c>
      <x:c r="G744" s="440" t="n">
        <x:f>IF(AND(E744&gt;0,AND($B$78="Refinance",ISNUMBER($B$80),$B$80&gt;=0,$B$80&lt;=1,ROUND($B$81*12,0)&gt;=1,$B$81&lt;=100,SUM($B$82)&gt;=0,SUM($B$82)&lt;=1,SUM($B$83)&gt;=0)),E744*SUM($B$82)+SUM($B$83),0)</x:f>
        <x:v>0</x:v>
      </x:c>
      <x:c r="H744" s="440" t="n">
        <x:f>IF(ISNUMBER(D744),IF(MAX(0,B744*(1+C744/12)-D744-F744)&lt;MAX(0.0000001,$E$17*0.00000000001),0,MAX(0,B744*(1+C744/12)-D744-F744)),IF(AND($B$171=1,I743=1),B744,""))</x:f>
        <x:v>71657.67209819998</x:v>
      </x:c>
      <x:c r="I744" s="444" t="n">
        <x:f>IF(OR(I743=1,AND(E744&gt;0,$B$78&lt;&gt;"Cash payoff",NOT(AND($B$78="Refinance",ISNUMBER($B$80),$B$80&gt;=0,$B$80&lt;=1,ROUND($B$81*12,0)&gt;=1,$B$81&lt;=100,SUM($B$82)&gt;=0,SUM($B$82)&lt;=1,SUM($B$83)&gt;=0))),AND(ISNUMBER(B744),B744&gt;0,$B$171=1,NOT(ISNUMBER(D744)))),1,0)</x:f>
        <x:v>0</x:v>
      </x:c>
      <x:c r="J744" s="440" t="n">
        <x:f>IF(ISNUMBER(L743),L743,"")</x:f>
        <x:v>0</x:v>
      </x:c>
      <x:c r="K744" s="440" t="n">
        <x:f>IF(AND(ISNUMBER(J744),J744=0),0,IF(AND($B$176=1,ISNUMBER(J744)),MIN(J744*(1+$B$87/12),IF($B$86=0,0,IF($B$87=0,$B$86/ROUND($B$88*12,0),$B$86*($B$87/12)/(1-(1+$B$87/12)^(-ROUND($B$88*12,0)))))),""))</x:f>
        <x:v>0</x:v>
      </x:c>
      <x:c r="L744" s="440" t="n">
        <x:f>IF(ISNUMBER(K744),IF(MAX(0,J744*(1+SUM($B$87)/12)-K744)&lt;MAX(0.0000001,$B$86*0.00000000001),0,MAX(0,J744*(1+SUM($B$87)/12)-K744)),"")</x:f>
        <x:v>0</x:v>
      </x:c>
      <x:c r="M744" s="440" t="n">
        <x:f>IF(AND(ISNUMBER(D744),ISNUMBER(K744)),D744+K744,"")</x:f>
        <x:v>4679.450723240598</x:v>
      </x:c>
      <x:c r="N744" s="440" t="n">
        <x:f>IF(AND(ISNUMBER(H744),ISNUMBER(L744)),H744+L744,"")</x:f>
        <x:v>71657.67209819998</x:v>
      </x:c>
    </x:row>
    <x:row r="745" ht="22" customHeight="1">
      <x:c r="A745" s="254" t="n">
        <x:f>345</x:f>
        <x:v>345</x:v>
      </x:c>
      <x:c r="B745" s="440" t="n">
        <x:f>IF(ISNUMBER(H744),H744,"")</x:f>
        <x:v>71657.67209819998</x:v>
      </x:c>
      <x:c r="C745" s="442" t="n">
        <x:f>IF(ISNUMBER(B745),IF(AND(345&gt;$B$173,$B$78="Refinance",ISNUMBER($B$80),$B$80&gt;=0,$B$80&lt;=1,ROUND($B$81*12,0)&gt;=1,$B$81&lt;=100,SUM($B$82)&gt;=0,SUM($B$82)&lt;=1,SUM($B$83)&gt;=0),$B$80,IF(AND($B$175&gt;0,345&gt;$B$175,ISNUMBER($B$75)),$B$75,$B$61)),"")</x:f>
        <x:v>0.0625</x:v>
      </x:c>
      <x:c r="D745" s="440" t="n">
        <x:f>IF(AND(ISNUMBER(B745),B745=0),0,IF(AND($B$171=1,I744=0,ISNUMBER(C745),ISNUMBER(IF(AND(345&lt;=$B$174,345&lt;=$B$173),B745*C745/12,IF(AND(345=$B$173+1,AND(345&gt;$B$173,$B$78="Refinance",ISNUMBER($B$80),$B$80&gt;=0,$B$80&lt;=1,ROUND($B$81*12,0)&gt;=1,$B$81&lt;=100,SUM($B$82)&gt;=0,SUM($B$82)&lt;=1,SUM($B$83)&gt;=0)),IF(B745=0,0,IF(C745=0,B745/ROUND($B$81*12,0),B745*(C745/12)/(1-(1+C745/12)^(-ROUND($B$81*12,0))))),IF(AND(NOT(AND(345&gt;$B$173,$B$78="Refinance",ISNUMBER($B$80),$B$80&gt;=0,$B$80&lt;=1,ROUND($B$81*12,0)&gt;=1,$B$81&lt;=100,SUM($B$82)&gt;=0,SUM($B$82)&lt;=1,SUM($B$83)&gt;=0)),OR(345=1,345=$B$174+1,AND($B$175&gt;0,345=$B$175+1))),IF(AND($B$170=1,$B$66&gt;0,OR($B$175=0,345&lt;=$B$175)),$B$66,IF($B$172-MAX(345-1,$B$174)&gt;0,IF(B745=0,0,IF(C745=0,B745/($B$172-MAX(345-1,$B$174)),B745*(C745/12)/(1-(1+C745/12)^(-($B$172-MAX(345-1,$B$174)))))),"")),D744))))),IF(IF(AND(345&lt;=$B$174,345&lt;=$B$173),B745*C745/12,IF(AND(345=$B$173+1,AND(345&gt;$B$173,$B$78="Refinance",ISNUMBER($B$80),$B$80&gt;=0,$B$80&lt;=1,ROUND($B$81*12,0)&gt;=1,$B$81&lt;=100,SUM($B$82)&gt;=0,SUM($B$82)&lt;=1,SUM($B$83)&gt;=0)),IF(B745=0,0,IF(C745=0,B745/ROUND($B$81*12,0),B745*(C745/12)/(1-(1+C745/12)^(-ROUND($B$81*12,0))))),IF(AND(NOT(AND(345&gt;$B$173,$B$78="Refinance",ISNUMBER($B$80),$B$80&gt;=0,$B$80&lt;=1,ROUND($B$81*12,0)&gt;=1,$B$81&lt;=100,SUM($B$82)&gt;=0,SUM($B$82)&lt;=1,SUM($B$83)&gt;=0)),OR(345=1,345=$B$174+1,AND($B$175&gt;0,345=$B$175+1))),IF(AND($B$170=1,$B$66&gt;0,OR($B$175=0,345&lt;=$B$175)),$B$66,IF($B$172-MAX(345-1,$B$174)&gt;0,IF(B745=0,0,IF(C745=0,B745/($B$172-MAX(345-1,$B$174)),B745*(C745/12)/(1-(1+C745/12)^(-($B$172-MAX(345-1,$B$174)))))),"")),D744)))+0.0000001&gt;=B745*C745/12,MIN(B745*(1+C745/12),IF(AND(345&lt;=$B$174,345&lt;=$B$173),B745*C745/12,IF(AND(345=$B$173+1,AND(345&gt;$B$173,$B$78="Refinance",ISNUMBER($B$80),$B$80&gt;=0,$B$80&lt;=1,ROUND($B$81*12,0)&gt;=1,$B$81&lt;=100,SUM($B$82)&gt;=0,SUM($B$82)&lt;=1,SUM($B$83)&gt;=0)),IF(B745=0,0,IF(C745=0,B745/ROUND($B$81*12,0),B745*(C745/12)/(1-(1+C745/12)^(-ROUND($B$81*12,0))))),IF(AND(NOT(AND(345&gt;$B$173,$B$78="Refinance",ISNUMBER($B$80),$B$80&gt;=0,$B$80&lt;=1,ROUND($B$81*12,0)&gt;=1,$B$81&lt;=100,SUM($B$82)&gt;=0,SUM($B$82)&lt;=1,SUM($B$83)&gt;=0)),OR(345=1,345=$B$174+1,AND($B$175&gt;0,345=$B$175+1))),IF(AND($B$170=1,$B$66&gt;0,OR($B$175=0,345&lt;=$B$175)),$B$66,IF($B$172-MAX(345-1,$B$174)&gt;0,IF(B745=0,0,IF(C745=0,B745/($B$172-MAX(345-1,$B$174)),B745*(C745/12)/(1-(1+C745/12)^(-($B$172-MAX(345-1,$B$174)))))),"")),D744)))),""),""))</x:f>
        <x:v>4679.450723240598</x:v>
      </x:c>
      <x:c r="E745" s="440" t="n">
        <x:f>IF(AND(345=$B$173,ISNUMBER(D745)),IF(MAX(0,B745*(1+C745/12)-D745)&lt;MAX(0.0000001,$E$17*0.00000000001),0,MAX(0,B745*(1+C745/12)-D745)),0)</x:f>
        <x:v>0</x:v>
      </x:c>
      <x:c r="F745" s="440" t="n">
        <x:f>IF($B$78="Cash payoff",E745,0)</x:f>
        <x:v>0</x:v>
      </x:c>
      <x:c r="G745" s="440" t="n">
        <x:f>IF(AND(E745&gt;0,AND($B$78="Refinance",ISNUMBER($B$80),$B$80&gt;=0,$B$80&lt;=1,ROUND($B$81*12,0)&gt;=1,$B$81&lt;=100,SUM($B$82)&gt;=0,SUM($B$82)&lt;=1,SUM($B$83)&gt;=0)),E745*SUM($B$82)+SUM($B$83),0)</x:f>
        <x:v>0</x:v>
      </x:c>
      <x:c r="H745" s="440" t="n">
        <x:f>IF(ISNUMBER(D745),IF(MAX(0,B745*(1+C745/12)-D745-F745)&lt;MAX(0.0000001,$E$17*0.00000000001),0,MAX(0,B745*(1+C745/12)-D745-F745)),IF(AND($B$171=1,I744=1),B745,""))</x:f>
        <x:v>67351.4384171375</x:v>
      </x:c>
      <x:c r="I745" s="444" t="n">
        <x:f>IF(OR(I744=1,AND(E745&gt;0,$B$78&lt;&gt;"Cash payoff",NOT(AND($B$78="Refinance",ISNUMBER($B$80),$B$80&gt;=0,$B$80&lt;=1,ROUND($B$81*12,0)&gt;=1,$B$81&lt;=100,SUM($B$82)&gt;=0,SUM($B$82)&lt;=1,SUM($B$83)&gt;=0))),AND(ISNUMBER(B745),B745&gt;0,$B$171=1,NOT(ISNUMBER(D745)))),1,0)</x:f>
        <x:v>0</x:v>
      </x:c>
      <x:c r="J745" s="440" t="n">
        <x:f>IF(ISNUMBER(L744),L744,"")</x:f>
        <x:v>0</x:v>
      </x:c>
      <x:c r="K745" s="440" t="n">
        <x:f>IF(AND(ISNUMBER(J745),J745=0),0,IF(AND($B$176=1,ISNUMBER(J745)),MIN(J745*(1+$B$87/12),IF($B$86=0,0,IF($B$87=0,$B$86/ROUND($B$88*12,0),$B$86*($B$87/12)/(1-(1+$B$87/12)^(-ROUND($B$88*12,0)))))),""))</x:f>
        <x:v>0</x:v>
      </x:c>
      <x:c r="L745" s="440" t="n">
        <x:f>IF(ISNUMBER(K745),IF(MAX(0,J745*(1+SUM($B$87)/12)-K745)&lt;MAX(0.0000001,$B$86*0.00000000001),0,MAX(0,J745*(1+SUM($B$87)/12)-K745)),"")</x:f>
        <x:v>0</x:v>
      </x:c>
      <x:c r="M745" s="440" t="n">
        <x:f>IF(AND(ISNUMBER(D745),ISNUMBER(K745)),D745+K745,"")</x:f>
        <x:v>4679.450723240598</x:v>
      </x:c>
      <x:c r="N745" s="440" t="n">
        <x:f>IF(AND(ISNUMBER(H745),ISNUMBER(L745)),H745+L745,"")</x:f>
        <x:v>67351.4384171375</x:v>
      </x:c>
    </x:row>
    <x:row r="746" ht="22" customHeight="1">
      <x:c r="A746" s="254" t="n">
        <x:f>346</x:f>
        <x:v>346</x:v>
      </x:c>
      <x:c r="B746" s="440" t="n">
        <x:f>IF(ISNUMBER(H745),H745,"")</x:f>
        <x:v>67351.4384171375</x:v>
      </x:c>
      <x:c r="C746" s="442" t="n">
        <x:f>IF(ISNUMBER(B746),IF(AND(346&gt;$B$173,$B$78="Refinance",ISNUMBER($B$80),$B$80&gt;=0,$B$80&lt;=1,ROUND($B$81*12,0)&gt;=1,$B$81&lt;=100,SUM($B$82)&gt;=0,SUM($B$82)&lt;=1,SUM($B$83)&gt;=0),$B$80,IF(AND($B$175&gt;0,346&gt;$B$175,ISNUMBER($B$75)),$B$75,$B$61)),"")</x:f>
        <x:v>0.0625</x:v>
      </x:c>
      <x:c r="D746" s="440" t="n">
        <x:f>IF(AND(ISNUMBER(B746),B746=0),0,IF(AND($B$171=1,I745=0,ISNUMBER(C746),ISNUMBER(IF(AND(346&lt;=$B$174,346&lt;=$B$173),B746*C746/12,IF(AND(346=$B$173+1,AND(346&gt;$B$173,$B$78="Refinance",ISNUMBER($B$80),$B$80&gt;=0,$B$80&lt;=1,ROUND($B$81*12,0)&gt;=1,$B$81&lt;=100,SUM($B$82)&gt;=0,SUM($B$82)&lt;=1,SUM($B$83)&gt;=0)),IF(B746=0,0,IF(C746=0,B746/ROUND($B$81*12,0),B746*(C746/12)/(1-(1+C746/12)^(-ROUND($B$81*12,0))))),IF(AND(NOT(AND(346&gt;$B$173,$B$78="Refinance",ISNUMBER($B$80),$B$80&gt;=0,$B$80&lt;=1,ROUND($B$81*12,0)&gt;=1,$B$81&lt;=100,SUM($B$82)&gt;=0,SUM($B$82)&lt;=1,SUM($B$83)&gt;=0)),OR(346=1,346=$B$174+1,AND($B$175&gt;0,346=$B$175+1))),IF(AND($B$170=1,$B$66&gt;0,OR($B$175=0,346&lt;=$B$175)),$B$66,IF($B$172-MAX(346-1,$B$174)&gt;0,IF(B746=0,0,IF(C746=0,B746/($B$172-MAX(346-1,$B$174)),B746*(C746/12)/(1-(1+C746/12)^(-($B$172-MAX(346-1,$B$174)))))),"")),D745))))),IF(IF(AND(346&lt;=$B$174,346&lt;=$B$173),B746*C746/12,IF(AND(346=$B$173+1,AND(346&gt;$B$173,$B$78="Refinance",ISNUMBER($B$80),$B$80&gt;=0,$B$80&lt;=1,ROUND($B$81*12,0)&gt;=1,$B$81&lt;=100,SUM($B$82)&gt;=0,SUM($B$82)&lt;=1,SUM($B$83)&gt;=0)),IF(B746=0,0,IF(C746=0,B746/ROUND($B$81*12,0),B746*(C746/12)/(1-(1+C746/12)^(-ROUND($B$81*12,0))))),IF(AND(NOT(AND(346&gt;$B$173,$B$78="Refinance",ISNUMBER($B$80),$B$80&gt;=0,$B$80&lt;=1,ROUND($B$81*12,0)&gt;=1,$B$81&lt;=100,SUM($B$82)&gt;=0,SUM($B$82)&lt;=1,SUM($B$83)&gt;=0)),OR(346=1,346=$B$174+1,AND($B$175&gt;0,346=$B$175+1))),IF(AND($B$170=1,$B$66&gt;0,OR($B$175=0,346&lt;=$B$175)),$B$66,IF($B$172-MAX(346-1,$B$174)&gt;0,IF(B746=0,0,IF(C746=0,B746/($B$172-MAX(346-1,$B$174)),B746*(C746/12)/(1-(1+C746/12)^(-($B$172-MAX(346-1,$B$174)))))),"")),D745)))+0.0000001&gt;=B746*C746/12,MIN(B746*(1+C746/12),IF(AND(346&lt;=$B$174,346&lt;=$B$173),B746*C746/12,IF(AND(346=$B$173+1,AND(346&gt;$B$173,$B$78="Refinance",ISNUMBER($B$80),$B$80&gt;=0,$B$80&lt;=1,ROUND($B$81*12,0)&gt;=1,$B$81&lt;=100,SUM($B$82)&gt;=0,SUM($B$82)&lt;=1,SUM($B$83)&gt;=0)),IF(B746=0,0,IF(C746=0,B746/ROUND($B$81*12,0),B746*(C746/12)/(1-(1+C746/12)^(-ROUND($B$81*12,0))))),IF(AND(NOT(AND(346&gt;$B$173,$B$78="Refinance",ISNUMBER($B$80),$B$80&gt;=0,$B$80&lt;=1,ROUND($B$81*12,0)&gt;=1,$B$81&lt;=100,SUM($B$82)&gt;=0,SUM($B$82)&lt;=1,SUM($B$83)&gt;=0)),OR(346=1,346=$B$174+1,AND($B$175&gt;0,346=$B$175+1))),IF(AND($B$170=1,$B$66&gt;0,OR($B$175=0,346&lt;=$B$175)),$B$66,IF($B$172-MAX(346-1,$B$174)&gt;0,IF(B746=0,0,IF(C746=0,B746/($B$172-MAX(346-1,$B$174)),B746*(C746/12)/(1-(1+C746/12)^(-($B$172-MAX(346-1,$B$174)))))),"")),D745)))),""),""))</x:f>
        <x:v>4679.450723240598</x:v>
      </x:c>
      <x:c r="E746" s="440" t="n">
        <x:f>IF(AND(346=$B$173,ISNUMBER(D746)),IF(MAX(0,B746*(1+C746/12)-D746)&lt;MAX(0.0000001,$E$17*0.00000000001),0,MAX(0,B746*(1+C746/12)-D746)),0)</x:f>
        <x:v>0</x:v>
      </x:c>
      <x:c r="F746" s="440" t="n">
        <x:f>IF($B$78="Cash payoff",E746,0)</x:f>
        <x:v>0</x:v>
      </x:c>
      <x:c r="G746" s="440" t="n">
        <x:f>IF(AND(E746&gt;0,AND($B$78="Refinance",ISNUMBER($B$80),$B$80&gt;=0,$B$80&lt;=1,ROUND($B$81*12,0)&gt;=1,$B$81&lt;=100,SUM($B$82)&gt;=0,SUM($B$82)&lt;=1,SUM($B$83)&gt;=0)),E746*SUM($B$82)+SUM($B$83),0)</x:f>
        <x:v>0</x:v>
      </x:c>
      <x:c r="H746" s="440" t="n">
        <x:f>IF(ISNUMBER(D746),IF(MAX(0,B746*(1+C746/12)-D746-F746)&lt;MAX(0.0000001,$E$17*0.00000000001),0,MAX(0,B746*(1+C746/12)-D746-F746)),IF(AND($B$171=1,I745=1),B746,""))</x:f>
        <x:v>63022.77643565283</x:v>
      </x:c>
      <x:c r="I746" s="444" t="n">
        <x:f>IF(OR(I745=1,AND(E746&gt;0,$B$78&lt;&gt;"Cash payoff",NOT(AND($B$78="Refinance",ISNUMBER($B$80),$B$80&gt;=0,$B$80&lt;=1,ROUND($B$81*12,0)&gt;=1,$B$81&lt;=100,SUM($B$82)&gt;=0,SUM($B$82)&lt;=1,SUM($B$83)&gt;=0))),AND(ISNUMBER(B746),B746&gt;0,$B$171=1,NOT(ISNUMBER(D746)))),1,0)</x:f>
        <x:v>0</x:v>
      </x:c>
      <x:c r="J746" s="440" t="n">
        <x:f>IF(ISNUMBER(L745),L745,"")</x:f>
        <x:v>0</x:v>
      </x:c>
      <x:c r="K746" s="440" t="n">
        <x:f>IF(AND(ISNUMBER(J746),J746=0),0,IF(AND($B$176=1,ISNUMBER(J746)),MIN(J746*(1+$B$87/12),IF($B$86=0,0,IF($B$87=0,$B$86/ROUND($B$88*12,0),$B$86*($B$87/12)/(1-(1+$B$87/12)^(-ROUND($B$88*12,0)))))),""))</x:f>
        <x:v>0</x:v>
      </x:c>
      <x:c r="L746" s="440" t="n">
        <x:f>IF(ISNUMBER(K746),IF(MAX(0,J746*(1+SUM($B$87)/12)-K746)&lt;MAX(0.0000001,$B$86*0.00000000001),0,MAX(0,J746*(1+SUM($B$87)/12)-K746)),"")</x:f>
        <x:v>0</x:v>
      </x:c>
      <x:c r="M746" s="440" t="n">
        <x:f>IF(AND(ISNUMBER(D746),ISNUMBER(K746)),D746+K746,"")</x:f>
        <x:v>4679.450723240598</x:v>
      </x:c>
      <x:c r="N746" s="440" t="n">
        <x:f>IF(AND(ISNUMBER(H746),ISNUMBER(L746)),H746+L746,"")</x:f>
        <x:v>63022.77643565283</x:v>
      </x:c>
    </x:row>
    <x:row r="747" ht="22" customHeight="1">
      <x:c r="A747" s="254" t="n">
        <x:f>347</x:f>
        <x:v>347</x:v>
      </x:c>
      <x:c r="B747" s="440" t="n">
        <x:f>IF(ISNUMBER(H746),H746,"")</x:f>
        <x:v>63022.77643565283</x:v>
      </x:c>
      <x:c r="C747" s="442" t="n">
        <x:f>IF(ISNUMBER(B747),IF(AND(347&gt;$B$173,$B$78="Refinance",ISNUMBER($B$80),$B$80&gt;=0,$B$80&lt;=1,ROUND($B$81*12,0)&gt;=1,$B$81&lt;=100,SUM($B$82)&gt;=0,SUM($B$82)&lt;=1,SUM($B$83)&gt;=0),$B$80,IF(AND($B$175&gt;0,347&gt;$B$175,ISNUMBER($B$75)),$B$75,$B$61)),"")</x:f>
        <x:v>0.0625</x:v>
      </x:c>
      <x:c r="D747" s="440" t="n">
        <x:f>IF(AND(ISNUMBER(B747),B747=0),0,IF(AND($B$171=1,I746=0,ISNUMBER(C747),ISNUMBER(IF(AND(347&lt;=$B$174,347&lt;=$B$173),B747*C747/12,IF(AND(347=$B$173+1,AND(347&gt;$B$173,$B$78="Refinance",ISNUMBER($B$80),$B$80&gt;=0,$B$80&lt;=1,ROUND($B$81*12,0)&gt;=1,$B$81&lt;=100,SUM($B$82)&gt;=0,SUM($B$82)&lt;=1,SUM($B$83)&gt;=0)),IF(B747=0,0,IF(C747=0,B747/ROUND($B$81*12,0),B747*(C747/12)/(1-(1+C747/12)^(-ROUND($B$81*12,0))))),IF(AND(NOT(AND(347&gt;$B$173,$B$78="Refinance",ISNUMBER($B$80),$B$80&gt;=0,$B$80&lt;=1,ROUND($B$81*12,0)&gt;=1,$B$81&lt;=100,SUM($B$82)&gt;=0,SUM($B$82)&lt;=1,SUM($B$83)&gt;=0)),OR(347=1,347=$B$174+1,AND($B$175&gt;0,347=$B$175+1))),IF(AND($B$170=1,$B$66&gt;0,OR($B$175=0,347&lt;=$B$175)),$B$66,IF($B$172-MAX(347-1,$B$174)&gt;0,IF(B747=0,0,IF(C747=0,B747/($B$172-MAX(347-1,$B$174)),B747*(C747/12)/(1-(1+C747/12)^(-($B$172-MAX(347-1,$B$174)))))),"")),D746))))),IF(IF(AND(347&lt;=$B$174,347&lt;=$B$173),B747*C747/12,IF(AND(347=$B$173+1,AND(347&gt;$B$173,$B$78="Refinance",ISNUMBER($B$80),$B$80&gt;=0,$B$80&lt;=1,ROUND($B$81*12,0)&gt;=1,$B$81&lt;=100,SUM($B$82)&gt;=0,SUM($B$82)&lt;=1,SUM($B$83)&gt;=0)),IF(B747=0,0,IF(C747=0,B747/ROUND($B$81*12,0),B747*(C747/12)/(1-(1+C747/12)^(-ROUND($B$81*12,0))))),IF(AND(NOT(AND(347&gt;$B$173,$B$78="Refinance",ISNUMBER($B$80),$B$80&gt;=0,$B$80&lt;=1,ROUND($B$81*12,0)&gt;=1,$B$81&lt;=100,SUM($B$82)&gt;=0,SUM($B$82)&lt;=1,SUM($B$83)&gt;=0)),OR(347=1,347=$B$174+1,AND($B$175&gt;0,347=$B$175+1))),IF(AND($B$170=1,$B$66&gt;0,OR($B$175=0,347&lt;=$B$175)),$B$66,IF($B$172-MAX(347-1,$B$174)&gt;0,IF(B747=0,0,IF(C747=0,B747/($B$172-MAX(347-1,$B$174)),B747*(C747/12)/(1-(1+C747/12)^(-($B$172-MAX(347-1,$B$174)))))),"")),D746)))+0.0000001&gt;=B747*C747/12,MIN(B747*(1+C747/12),IF(AND(347&lt;=$B$174,347&lt;=$B$173),B747*C747/12,IF(AND(347=$B$173+1,AND(347&gt;$B$173,$B$78="Refinance",ISNUMBER($B$80),$B$80&gt;=0,$B$80&lt;=1,ROUND($B$81*12,0)&gt;=1,$B$81&lt;=100,SUM($B$82)&gt;=0,SUM($B$82)&lt;=1,SUM($B$83)&gt;=0)),IF(B747=0,0,IF(C747=0,B747/ROUND($B$81*12,0),B747*(C747/12)/(1-(1+C747/12)^(-ROUND($B$81*12,0))))),IF(AND(NOT(AND(347&gt;$B$173,$B$78="Refinance",ISNUMBER($B$80),$B$80&gt;=0,$B$80&lt;=1,ROUND($B$81*12,0)&gt;=1,$B$81&lt;=100,SUM($B$82)&gt;=0,SUM($B$82)&lt;=1,SUM($B$83)&gt;=0)),OR(347=1,347=$B$174+1,AND($B$175&gt;0,347=$B$175+1))),IF(AND($B$170=1,$B$66&gt;0,OR($B$175=0,347&lt;=$B$175)),$B$66,IF($B$172-MAX(347-1,$B$174)&gt;0,IF(B747=0,0,IF(C747=0,B747/($B$172-MAX(347-1,$B$174)),B747*(C747/12)/(1-(1+C747/12)^(-($B$172-MAX(347-1,$B$174)))))),"")),D746)))),""),""))</x:f>
        <x:v>4679.450723240598</x:v>
      </x:c>
      <x:c r="E747" s="440" t="n">
        <x:f>IF(AND(347=$B$173,ISNUMBER(D747)),IF(MAX(0,B747*(1+C747/12)-D747)&lt;MAX(0.0000001,$E$17*0.00000000001),0,MAX(0,B747*(1+C747/12)-D747)),0)</x:f>
        <x:v>0</x:v>
      </x:c>
      <x:c r="F747" s="440" t="n">
        <x:f>IF($B$78="Cash payoff",E747,0)</x:f>
        <x:v>0</x:v>
      </x:c>
      <x:c r="G747" s="440" t="n">
        <x:f>IF(AND(E747&gt;0,AND($B$78="Refinance",ISNUMBER($B$80),$B$80&gt;=0,$B$80&lt;=1,ROUND($B$81*12,0)&gt;=1,$B$81&lt;=100,SUM($B$82)&gt;=0,SUM($B$82)&lt;=1,SUM($B$83)&gt;=0)),E747*SUM($B$82)+SUM($B$83),0)</x:f>
        <x:v>0</x:v>
      </x:c>
      <x:c r="H747" s="440" t="n">
        <x:f>IF(ISNUMBER(D747),IF(MAX(0,B747*(1+C747/12)-D747-F747)&lt;MAX(0.0000001,$E$17*0.00000000001),0,MAX(0,B747*(1+C747/12)-D747-F747)),IF(AND($B$171=1,I746=1),B747,""))</x:f>
        <x:v>58671.56933968125</x:v>
      </x:c>
      <x:c r="I747" s="444" t="n">
        <x:f>IF(OR(I746=1,AND(E747&gt;0,$B$78&lt;&gt;"Cash payoff",NOT(AND($B$78="Refinance",ISNUMBER($B$80),$B$80&gt;=0,$B$80&lt;=1,ROUND($B$81*12,0)&gt;=1,$B$81&lt;=100,SUM($B$82)&gt;=0,SUM($B$82)&lt;=1,SUM($B$83)&gt;=0))),AND(ISNUMBER(B747),B747&gt;0,$B$171=1,NOT(ISNUMBER(D747)))),1,0)</x:f>
        <x:v>0</x:v>
      </x:c>
      <x:c r="J747" s="440" t="n">
        <x:f>IF(ISNUMBER(L746),L746,"")</x:f>
        <x:v>0</x:v>
      </x:c>
      <x:c r="K747" s="440" t="n">
        <x:f>IF(AND(ISNUMBER(J747),J747=0),0,IF(AND($B$176=1,ISNUMBER(J747)),MIN(J747*(1+$B$87/12),IF($B$86=0,0,IF($B$87=0,$B$86/ROUND($B$88*12,0),$B$86*($B$87/12)/(1-(1+$B$87/12)^(-ROUND($B$88*12,0)))))),""))</x:f>
        <x:v>0</x:v>
      </x:c>
      <x:c r="L747" s="440" t="n">
        <x:f>IF(ISNUMBER(K747),IF(MAX(0,J747*(1+SUM($B$87)/12)-K747)&lt;MAX(0.0000001,$B$86*0.00000000001),0,MAX(0,J747*(1+SUM($B$87)/12)-K747)),"")</x:f>
        <x:v>0</x:v>
      </x:c>
      <x:c r="M747" s="440" t="n">
        <x:f>IF(AND(ISNUMBER(D747),ISNUMBER(K747)),D747+K747,"")</x:f>
        <x:v>4679.450723240598</x:v>
      </x:c>
      <x:c r="N747" s="440" t="n">
        <x:f>IF(AND(ISNUMBER(H747),ISNUMBER(L747)),H747+L747,"")</x:f>
        <x:v>58671.56933968125</x:v>
      </x:c>
    </x:row>
    <x:row r="748" ht="22" customHeight="1">
      <x:c r="A748" s="254" t="n">
        <x:f>348</x:f>
        <x:v>348</x:v>
      </x:c>
      <x:c r="B748" s="440" t="n">
        <x:f>IF(ISNUMBER(H747),H747,"")</x:f>
        <x:v>58671.56933968125</x:v>
      </x:c>
      <x:c r="C748" s="442" t="n">
        <x:f>IF(ISNUMBER(B748),IF(AND(348&gt;$B$173,$B$78="Refinance",ISNUMBER($B$80),$B$80&gt;=0,$B$80&lt;=1,ROUND($B$81*12,0)&gt;=1,$B$81&lt;=100,SUM($B$82)&gt;=0,SUM($B$82)&lt;=1,SUM($B$83)&gt;=0),$B$80,IF(AND($B$175&gt;0,348&gt;$B$175,ISNUMBER($B$75)),$B$75,$B$61)),"")</x:f>
        <x:v>0.0625</x:v>
      </x:c>
      <x:c r="D748" s="440" t="n">
        <x:f>IF(AND(ISNUMBER(B748),B748=0),0,IF(AND($B$171=1,I747=0,ISNUMBER(C748),ISNUMBER(IF(AND(348&lt;=$B$174,348&lt;=$B$173),B748*C748/12,IF(AND(348=$B$173+1,AND(348&gt;$B$173,$B$78="Refinance",ISNUMBER($B$80),$B$80&gt;=0,$B$80&lt;=1,ROUND($B$81*12,0)&gt;=1,$B$81&lt;=100,SUM($B$82)&gt;=0,SUM($B$82)&lt;=1,SUM($B$83)&gt;=0)),IF(B748=0,0,IF(C748=0,B748/ROUND($B$81*12,0),B748*(C748/12)/(1-(1+C748/12)^(-ROUND($B$81*12,0))))),IF(AND(NOT(AND(348&gt;$B$173,$B$78="Refinance",ISNUMBER($B$80),$B$80&gt;=0,$B$80&lt;=1,ROUND($B$81*12,0)&gt;=1,$B$81&lt;=100,SUM($B$82)&gt;=0,SUM($B$82)&lt;=1,SUM($B$83)&gt;=0)),OR(348=1,348=$B$174+1,AND($B$175&gt;0,348=$B$175+1))),IF(AND($B$170=1,$B$66&gt;0,OR($B$175=0,348&lt;=$B$175)),$B$66,IF($B$172-MAX(348-1,$B$174)&gt;0,IF(B748=0,0,IF(C748=0,B748/($B$172-MAX(348-1,$B$174)),B748*(C748/12)/(1-(1+C748/12)^(-($B$172-MAX(348-1,$B$174)))))),"")),D747))))),IF(IF(AND(348&lt;=$B$174,348&lt;=$B$173),B748*C748/12,IF(AND(348=$B$173+1,AND(348&gt;$B$173,$B$78="Refinance",ISNUMBER($B$80),$B$80&gt;=0,$B$80&lt;=1,ROUND($B$81*12,0)&gt;=1,$B$81&lt;=100,SUM($B$82)&gt;=0,SUM($B$82)&lt;=1,SUM($B$83)&gt;=0)),IF(B748=0,0,IF(C748=0,B748/ROUND($B$81*12,0),B748*(C748/12)/(1-(1+C748/12)^(-ROUND($B$81*12,0))))),IF(AND(NOT(AND(348&gt;$B$173,$B$78="Refinance",ISNUMBER($B$80),$B$80&gt;=0,$B$80&lt;=1,ROUND($B$81*12,0)&gt;=1,$B$81&lt;=100,SUM($B$82)&gt;=0,SUM($B$82)&lt;=1,SUM($B$83)&gt;=0)),OR(348=1,348=$B$174+1,AND($B$175&gt;0,348=$B$175+1))),IF(AND($B$170=1,$B$66&gt;0,OR($B$175=0,348&lt;=$B$175)),$B$66,IF($B$172-MAX(348-1,$B$174)&gt;0,IF(B748=0,0,IF(C748=0,B748/($B$172-MAX(348-1,$B$174)),B748*(C748/12)/(1-(1+C748/12)^(-($B$172-MAX(348-1,$B$174)))))),"")),D747)))+0.0000001&gt;=B748*C748/12,MIN(B748*(1+C748/12),IF(AND(348&lt;=$B$174,348&lt;=$B$173),B748*C748/12,IF(AND(348=$B$173+1,AND(348&gt;$B$173,$B$78="Refinance",ISNUMBER($B$80),$B$80&gt;=0,$B$80&lt;=1,ROUND($B$81*12,0)&gt;=1,$B$81&lt;=100,SUM($B$82)&gt;=0,SUM($B$82)&lt;=1,SUM($B$83)&gt;=0)),IF(B748=0,0,IF(C748=0,B748/ROUND($B$81*12,0),B748*(C748/12)/(1-(1+C748/12)^(-ROUND($B$81*12,0))))),IF(AND(NOT(AND(348&gt;$B$173,$B$78="Refinance",ISNUMBER($B$80),$B$80&gt;=0,$B$80&lt;=1,ROUND($B$81*12,0)&gt;=1,$B$81&lt;=100,SUM($B$82)&gt;=0,SUM($B$82)&lt;=1,SUM($B$83)&gt;=0)),OR(348=1,348=$B$174+1,AND($B$175&gt;0,348=$B$175+1))),IF(AND($B$170=1,$B$66&gt;0,OR($B$175=0,348&lt;=$B$175)),$B$66,IF($B$172-MAX(348-1,$B$174)&gt;0,IF(B748=0,0,IF(C748=0,B748/($B$172-MAX(348-1,$B$174)),B748*(C748/12)/(1-(1+C748/12)^(-($B$172-MAX(348-1,$B$174)))))),"")),D747)))),""),""))</x:f>
        <x:v>4679.450723240598</x:v>
      </x:c>
      <x:c r="E748" s="440" t="n">
        <x:f>IF(AND(348=$B$173,ISNUMBER(D748)),IF(MAX(0,B748*(1+C748/12)-D748)&lt;MAX(0.0000001,$E$17*0.00000000001),0,MAX(0,B748*(1+C748/12)-D748)),0)</x:f>
        <x:v>0</x:v>
      </x:c>
      <x:c r="F748" s="440" t="n">
        <x:f>IF($B$78="Cash payoff",E748,0)</x:f>
        <x:v>0</x:v>
      </x:c>
      <x:c r="G748" s="440" t="n">
        <x:f>IF(AND(E748&gt;0,AND($B$78="Refinance",ISNUMBER($B$80),$B$80&gt;=0,$B$80&lt;=1,ROUND($B$81*12,0)&gt;=1,$B$81&lt;=100,SUM($B$82)&gt;=0,SUM($B$82)&lt;=1,SUM($B$83)&gt;=0)),E748*SUM($B$82)+SUM($B$83),0)</x:f>
        <x:v>0</x:v>
      </x:c>
      <x:c r="H748" s="440" t="n">
        <x:f>IF(ISNUMBER(D748),IF(MAX(0,B748*(1+C748/12)-D748-F748)&lt;MAX(0.0000001,$E$17*0.00000000001),0,MAX(0,B748*(1+C748/12)-D748-F748)),IF(AND($B$171=1,I747=1),B748,""))</x:f>
        <x:v>54297.69970675149</x:v>
      </x:c>
      <x:c r="I748" s="444" t="n">
        <x:f>IF(OR(I747=1,AND(E748&gt;0,$B$78&lt;&gt;"Cash payoff",NOT(AND($B$78="Refinance",ISNUMBER($B$80),$B$80&gt;=0,$B$80&lt;=1,ROUND($B$81*12,0)&gt;=1,$B$81&lt;=100,SUM($B$82)&gt;=0,SUM($B$82)&lt;=1,SUM($B$83)&gt;=0))),AND(ISNUMBER(B748),B748&gt;0,$B$171=1,NOT(ISNUMBER(D748)))),1,0)</x:f>
        <x:v>0</x:v>
      </x:c>
      <x:c r="J748" s="440" t="n">
        <x:f>IF(ISNUMBER(L747),L747,"")</x:f>
        <x:v>0</x:v>
      </x:c>
      <x:c r="K748" s="440" t="n">
        <x:f>IF(AND(ISNUMBER(J748),J748=0),0,IF(AND($B$176=1,ISNUMBER(J748)),MIN(J748*(1+$B$87/12),IF($B$86=0,0,IF($B$87=0,$B$86/ROUND($B$88*12,0),$B$86*($B$87/12)/(1-(1+$B$87/12)^(-ROUND($B$88*12,0)))))),""))</x:f>
        <x:v>0</x:v>
      </x:c>
      <x:c r="L748" s="440" t="n">
        <x:f>IF(ISNUMBER(K748),IF(MAX(0,J748*(1+SUM($B$87)/12)-K748)&lt;MAX(0.0000001,$B$86*0.00000000001),0,MAX(0,J748*(1+SUM($B$87)/12)-K748)),"")</x:f>
        <x:v>0</x:v>
      </x:c>
      <x:c r="M748" s="440" t="n">
        <x:f>IF(AND(ISNUMBER(D748),ISNUMBER(K748)),D748+K748,"")</x:f>
        <x:v>4679.450723240598</x:v>
      </x:c>
      <x:c r="N748" s="440" t="n">
        <x:f>IF(AND(ISNUMBER(H748),ISNUMBER(L748)),H748+L748,"")</x:f>
        <x:v>54297.69970675149</x:v>
      </x:c>
    </x:row>
    <x:row r="749" ht="22" customHeight="1">
      <x:c r="A749" s="254" t="n">
        <x:f>349</x:f>
        <x:v>349</x:v>
      </x:c>
      <x:c r="B749" s="440" t="n">
        <x:f>IF(ISNUMBER(H748),H748,"")</x:f>
        <x:v>54297.69970675149</x:v>
      </x:c>
      <x:c r="C749" s="442" t="n">
        <x:f>IF(ISNUMBER(B749),IF(AND(349&gt;$B$173,$B$78="Refinance",ISNUMBER($B$80),$B$80&gt;=0,$B$80&lt;=1,ROUND($B$81*12,0)&gt;=1,$B$81&lt;=100,SUM($B$82)&gt;=0,SUM($B$82)&lt;=1,SUM($B$83)&gt;=0),$B$80,IF(AND($B$175&gt;0,349&gt;$B$175,ISNUMBER($B$75)),$B$75,$B$61)),"")</x:f>
        <x:v>0.0625</x:v>
      </x:c>
      <x:c r="D749" s="440" t="n">
        <x:f>IF(AND(ISNUMBER(B749),B749=0),0,IF(AND($B$171=1,I748=0,ISNUMBER(C749),ISNUMBER(IF(AND(349&lt;=$B$174,349&lt;=$B$173),B749*C749/12,IF(AND(349=$B$173+1,AND(349&gt;$B$173,$B$78="Refinance",ISNUMBER($B$80),$B$80&gt;=0,$B$80&lt;=1,ROUND($B$81*12,0)&gt;=1,$B$81&lt;=100,SUM($B$82)&gt;=0,SUM($B$82)&lt;=1,SUM($B$83)&gt;=0)),IF(B749=0,0,IF(C749=0,B749/ROUND($B$81*12,0),B749*(C749/12)/(1-(1+C749/12)^(-ROUND($B$81*12,0))))),IF(AND(NOT(AND(349&gt;$B$173,$B$78="Refinance",ISNUMBER($B$80),$B$80&gt;=0,$B$80&lt;=1,ROUND($B$81*12,0)&gt;=1,$B$81&lt;=100,SUM($B$82)&gt;=0,SUM($B$82)&lt;=1,SUM($B$83)&gt;=0)),OR(349=1,349=$B$174+1,AND($B$175&gt;0,349=$B$175+1))),IF(AND($B$170=1,$B$66&gt;0,OR($B$175=0,349&lt;=$B$175)),$B$66,IF($B$172-MAX(349-1,$B$174)&gt;0,IF(B749=0,0,IF(C749=0,B749/($B$172-MAX(349-1,$B$174)),B749*(C749/12)/(1-(1+C749/12)^(-($B$172-MAX(349-1,$B$174)))))),"")),D748))))),IF(IF(AND(349&lt;=$B$174,349&lt;=$B$173),B749*C749/12,IF(AND(349=$B$173+1,AND(349&gt;$B$173,$B$78="Refinance",ISNUMBER($B$80),$B$80&gt;=0,$B$80&lt;=1,ROUND($B$81*12,0)&gt;=1,$B$81&lt;=100,SUM($B$82)&gt;=0,SUM($B$82)&lt;=1,SUM($B$83)&gt;=0)),IF(B749=0,0,IF(C749=0,B749/ROUND($B$81*12,0),B749*(C749/12)/(1-(1+C749/12)^(-ROUND($B$81*12,0))))),IF(AND(NOT(AND(349&gt;$B$173,$B$78="Refinance",ISNUMBER($B$80),$B$80&gt;=0,$B$80&lt;=1,ROUND($B$81*12,0)&gt;=1,$B$81&lt;=100,SUM($B$82)&gt;=0,SUM($B$82)&lt;=1,SUM($B$83)&gt;=0)),OR(349=1,349=$B$174+1,AND($B$175&gt;0,349=$B$175+1))),IF(AND($B$170=1,$B$66&gt;0,OR($B$175=0,349&lt;=$B$175)),$B$66,IF($B$172-MAX(349-1,$B$174)&gt;0,IF(B749=0,0,IF(C749=0,B749/($B$172-MAX(349-1,$B$174)),B749*(C749/12)/(1-(1+C749/12)^(-($B$172-MAX(349-1,$B$174)))))),"")),D748)))+0.0000001&gt;=B749*C749/12,MIN(B749*(1+C749/12),IF(AND(349&lt;=$B$174,349&lt;=$B$173),B749*C749/12,IF(AND(349=$B$173+1,AND(349&gt;$B$173,$B$78="Refinance",ISNUMBER($B$80),$B$80&gt;=0,$B$80&lt;=1,ROUND($B$81*12,0)&gt;=1,$B$81&lt;=100,SUM($B$82)&gt;=0,SUM($B$82)&lt;=1,SUM($B$83)&gt;=0)),IF(B749=0,0,IF(C749=0,B749/ROUND($B$81*12,0),B749*(C749/12)/(1-(1+C749/12)^(-ROUND($B$81*12,0))))),IF(AND(NOT(AND(349&gt;$B$173,$B$78="Refinance",ISNUMBER($B$80),$B$80&gt;=0,$B$80&lt;=1,ROUND($B$81*12,0)&gt;=1,$B$81&lt;=100,SUM($B$82)&gt;=0,SUM($B$82)&lt;=1,SUM($B$83)&gt;=0)),OR(349=1,349=$B$174+1,AND($B$175&gt;0,349=$B$175+1))),IF(AND($B$170=1,$B$66&gt;0,OR($B$175=0,349&lt;=$B$175)),$B$66,IF($B$172-MAX(349-1,$B$174)&gt;0,IF(B749=0,0,IF(C749=0,B749/($B$172-MAX(349-1,$B$174)),B749*(C749/12)/(1-(1+C749/12)^(-($B$172-MAX(349-1,$B$174)))))),"")),D748)))),""),""))</x:f>
        <x:v>4679.450723240598</x:v>
      </x:c>
      <x:c r="E749" s="440" t="n">
        <x:f>IF(AND(349=$B$173,ISNUMBER(D749)),IF(MAX(0,B749*(1+C749/12)-D749)&lt;MAX(0.0000001,$E$17*0.00000000001),0,MAX(0,B749*(1+C749/12)-D749)),0)</x:f>
        <x:v>0</x:v>
      </x:c>
      <x:c r="F749" s="440" t="n">
        <x:f>IF($B$78="Cash payoff",E749,0)</x:f>
        <x:v>0</x:v>
      </x:c>
      <x:c r="G749" s="440" t="n">
        <x:f>IF(AND(E749&gt;0,AND($B$78="Refinance",ISNUMBER($B$80),$B$80&gt;=0,$B$80&lt;=1,ROUND($B$81*12,0)&gt;=1,$B$81&lt;=100,SUM($B$82)&gt;=0,SUM($B$82)&lt;=1,SUM($B$83)&gt;=0)),E749*SUM($B$82)+SUM($B$83),0)</x:f>
        <x:v>0</x:v>
      </x:c>
      <x:c r="H749" s="440" t="n">
        <x:f>IF(ISNUMBER(D749),IF(MAX(0,B749*(1+C749/12)-D749-F749)&lt;MAX(0.0000001,$E$17*0.00000000001),0,MAX(0,B749*(1+C749/12)-D749-F749)),IF(AND($B$171=1,I748=1),B749,""))</x:f>
        <x:v>49901.04950281689</x:v>
      </x:c>
      <x:c r="I749" s="444" t="n">
        <x:f>IF(OR(I748=1,AND(E749&gt;0,$B$78&lt;&gt;"Cash payoff",NOT(AND($B$78="Refinance",ISNUMBER($B$80),$B$80&gt;=0,$B$80&lt;=1,ROUND($B$81*12,0)&gt;=1,$B$81&lt;=100,SUM($B$82)&gt;=0,SUM($B$82)&lt;=1,SUM($B$83)&gt;=0))),AND(ISNUMBER(B749),B749&gt;0,$B$171=1,NOT(ISNUMBER(D749)))),1,0)</x:f>
        <x:v>0</x:v>
      </x:c>
      <x:c r="J749" s="440" t="n">
        <x:f>IF(ISNUMBER(L748),L748,"")</x:f>
        <x:v>0</x:v>
      </x:c>
      <x:c r="K749" s="440" t="n">
        <x:f>IF(AND(ISNUMBER(J749),J749=0),0,IF(AND($B$176=1,ISNUMBER(J749)),MIN(J749*(1+$B$87/12),IF($B$86=0,0,IF($B$87=0,$B$86/ROUND($B$88*12,0),$B$86*($B$87/12)/(1-(1+$B$87/12)^(-ROUND($B$88*12,0)))))),""))</x:f>
        <x:v>0</x:v>
      </x:c>
      <x:c r="L749" s="440" t="n">
        <x:f>IF(ISNUMBER(K749),IF(MAX(0,J749*(1+SUM($B$87)/12)-K749)&lt;MAX(0.0000001,$B$86*0.00000000001),0,MAX(0,J749*(1+SUM($B$87)/12)-K749)),"")</x:f>
        <x:v>0</x:v>
      </x:c>
      <x:c r="M749" s="440" t="n">
        <x:f>IF(AND(ISNUMBER(D749),ISNUMBER(K749)),D749+K749,"")</x:f>
        <x:v>4679.450723240598</x:v>
      </x:c>
      <x:c r="N749" s="440" t="n">
        <x:f>IF(AND(ISNUMBER(H749),ISNUMBER(L749)),H749+L749,"")</x:f>
        <x:v>49901.04950281689</x:v>
      </x:c>
    </x:row>
    <x:row r="750" ht="22" customHeight="1">
      <x:c r="A750" s="254" t="n">
        <x:f>350</x:f>
        <x:v>350</x:v>
      </x:c>
      <x:c r="B750" s="440" t="n">
        <x:f>IF(ISNUMBER(H749),H749,"")</x:f>
        <x:v>49901.04950281689</x:v>
      </x:c>
      <x:c r="C750" s="442" t="n">
        <x:f>IF(ISNUMBER(B750),IF(AND(350&gt;$B$173,$B$78="Refinance",ISNUMBER($B$80),$B$80&gt;=0,$B$80&lt;=1,ROUND($B$81*12,0)&gt;=1,$B$81&lt;=100,SUM($B$82)&gt;=0,SUM($B$82)&lt;=1,SUM($B$83)&gt;=0),$B$80,IF(AND($B$175&gt;0,350&gt;$B$175,ISNUMBER($B$75)),$B$75,$B$61)),"")</x:f>
        <x:v>0.0625</x:v>
      </x:c>
      <x:c r="D750" s="440" t="n">
        <x:f>IF(AND(ISNUMBER(B750),B750=0),0,IF(AND($B$171=1,I749=0,ISNUMBER(C750),ISNUMBER(IF(AND(350&lt;=$B$174,350&lt;=$B$173),B750*C750/12,IF(AND(350=$B$173+1,AND(350&gt;$B$173,$B$78="Refinance",ISNUMBER($B$80),$B$80&gt;=0,$B$80&lt;=1,ROUND($B$81*12,0)&gt;=1,$B$81&lt;=100,SUM($B$82)&gt;=0,SUM($B$82)&lt;=1,SUM($B$83)&gt;=0)),IF(B750=0,0,IF(C750=0,B750/ROUND($B$81*12,0),B750*(C750/12)/(1-(1+C750/12)^(-ROUND($B$81*12,0))))),IF(AND(NOT(AND(350&gt;$B$173,$B$78="Refinance",ISNUMBER($B$80),$B$80&gt;=0,$B$80&lt;=1,ROUND($B$81*12,0)&gt;=1,$B$81&lt;=100,SUM($B$82)&gt;=0,SUM($B$82)&lt;=1,SUM($B$83)&gt;=0)),OR(350=1,350=$B$174+1,AND($B$175&gt;0,350=$B$175+1))),IF(AND($B$170=1,$B$66&gt;0,OR($B$175=0,350&lt;=$B$175)),$B$66,IF($B$172-MAX(350-1,$B$174)&gt;0,IF(B750=0,0,IF(C750=0,B750/($B$172-MAX(350-1,$B$174)),B750*(C750/12)/(1-(1+C750/12)^(-($B$172-MAX(350-1,$B$174)))))),"")),D749))))),IF(IF(AND(350&lt;=$B$174,350&lt;=$B$173),B750*C750/12,IF(AND(350=$B$173+1,AND(350&gt;$B$173,$B$78="Refinance",ISNUMBER($B$80),$B$80&gt;=0,$B$80&lt;=1,ROUND($B$81*12,0)&gt;=1,$B$81&lt;=100,SUM($B$82)&gt;=0,SUM($B$82)&lt;=1,SUM($B$83)&gt;=0)),IF(B750=0,0,IF(C750=0,B750/ROUND($B$81*12,0),B750*(C750/12)/(1-(1+C750/12)^(-ROUND($B$81*12,0))))),IF(AND(NOT(AND(350&gt;$B$173,$B$78="Refinance",ISNUMBER($B$80),$B$80&gt;=0,$B$80&lt;=1,ROUND($B$81*12,0)&gt;=1,$B$81&lt;=100,SUM($B$82)&gt;=0,SUM($B$82)&lt;=1,SUM($B$83)&gt;=0)),OR(350=1,350=$B$174+1,AND($B$175&gt;0,350=$B$175+1))),IF(AND($B$170=1,$B$66&gt;0,OR($B$175=0,350&lt;=$B$175)),$B$66,IF($B$172-MAX(350-1,$B$174)&gt;0,IF(B750=0,0,IF(C750=0,B750/($B$172-MAX(350-1,$B$174)),B750*(C750/12)/(1-(1+C750/12)^(-($B$172-MAX(350-1,$B$174)))))),"")),D749)))+0.0000001&gt;=B750*C750/12,MIN(B750*(1+C750/12),IF(AND(350&lt;=$B$174,350&lt;=$B$173),B750*C750/12,IF(AND(350=$B$173+1,AND(350&gt;$B$173,$B$78="Refinance",ISNUMBER($B$80),$B$80&gt;=0,$B$80&lt;=1,ROUND($B$81*12,0)&gt;=1,$B$81&lt;=100,SUM($B$82)&gt;=0,SUM($B$82)&lt;=1,SUM($B$83)&gt;=0)),IF(B750=0,0,IF(C750=0,B750/ROUND($B$81*12,0),B750*(C750/12)/(1-(1+C750/12)^(-ROUND($B$81*12,0))))),IF(AND(NOT(AND(350&gt;$B$173,$B$78="Refinance",ISNUMBER($B$80),$B$80&gt;=0,$B$80&lt;=1,ROUND($B$81*12,0)&gt;=1,$B$81&lt;=100,SUM($B$82)&gt;=0,SUM($B$82)&lt;=1,SUM($B$83)&gt;=0)),OR(350=1,350=$B$174+1,AND($B$175&gt;0,350=$B$175+1))),IF(AND($B$170=1,$B$66&gt;0,OR($B$175=0,350&lt;=$B$175)),$B$66,IF($B$172-MAX(350-1,$B$174)&gt;0,IF(B750=0,0,IF(C750=0,B750/($B$172-MAX(350-1,$B$174)),B750*(C750/12)/(1-(1+C750/12)^(-($B$172-MAX(350-1,$B$174)))))),"")),D749)))),""),""))</x:f>
        <x:v>4679.450723240598</x:v>
      </x:c>
      <x:c r="E750" s="440" t="n">
        <x:f>IF(AND(350=$B$173,ISNUMBER(D750)),IF(MAX(0,B750*(1+C750/12)-D750)&lt;MAX(0.0000001,$E$17*0.00000000001),0,MAX(0,B750*(1+C750/12)-D750)),0)</x:f>
        <x:v>0</x:v>
      </x:c>
      <x:c r="F750" s="440" t="n">
        <x:f>IF($B$78="Cash payoff",E750,0)</x:f>
        <x:v>0</x:v>
      </x:c>
      <x:c r="G750" s="440" t="n">
        <x:f>IF(AND(E750&gt;0,AND($B$78="Refinance",ISNUMBER($B$80),$B$80&gt;=0,$B$80&lt;=1,ROUND($B$81*12,0)&gt;=1,$B$81&lt;=100,SUM($B$82)&gt;=0,SUM($B$82)&lt;=1,SUM($B$83)&gt;=0)),E750*SUM($B$82)+SUM($B$83),0)</x:f>
        <x:v>0</x:v>
      </x:c>
      <x:c r="H750" s="440" t="n">
        <x:f>IF(ISNUMBER(D750),IF(MAX(0,B750*(1+C750/12)-D750-F750)&lt;MAX(0.0000001,$E$17*0.00000000001),0,MAX(0,B750*(1+C750/12)-D750-F750)),IF(AND($B$171=1,I749=1),B750,""))</x:f>
        <x:v>45481.50007907012</x:v>
      </x:c>
      <x:c r="I750" s="444" t="n">
        <x:f>IF(OR(I749=1,AND(E750&gt;0,$B$78&lt;&gt;"Cash payoff",NOT(AND($B$78="Refinance",ISNUMBER($B$80),$B$80&gt;=0,$B$80&lt;=1,ROUND($B$81*12,0)&gt;=1,$B$81&lt;=100,SUM($B$82)&gt;=0,SUM($B$82)&lt;=1,SUM($B$83)&gt;=0))),AND(ISNUMBER(B750),B750&gt;0,$B$171=1,NOT(ISNUMBER(D750)))),1,0)</x:f>
        <x:v>0</x:v>
      </x:c>
      <x:c r="J750" s="440" t="n">
        <x:f>IF(ISNUMBER(L749),L749,"")</x:f>
        <x:v>0</x:v>
      </x:c>
      <x:c r="K750" s="440" t="n">
        <x:f>IF(AND(ISNUMBER(J750),J750=0),0,IF(AND($B$176=1,ISNUMBER(J750)),MIN(J750*(1+$B$87/12),IF($B$86=0,0,IF($B$87=0,$B$86/ROUND($B$88*12,0),$B$86*($B$87/12)/(1-(1+$B$87/12)^(-ROUND($B$88*12,0)))))),""))</x:f>
        <x:v>0</x:v>
      </x:c>
      <x:c r="L750" s="440" t="n">
        <x:f>IF(ISNUMBER(K750),IF(MAX(0,J750*(1+SUM($B$87)/12)-K750)&lt;MAX(0.0000001,$B$86*0.00000000001),0,MAX(0,J750*(1+SUM($B$87)/12)-K750)),"")</x:f>
        <x:v>0</x:v>
      </x:c>
      <x:c r="M750" s="440" t="n">
        <x:f>IF(AND(ISNUMBER(D750),ISNUMBER(K750)),D750+K750,"")</x:f>
        <x:v>4679.450723240598</x:v>
      </x:c>
      <x:c r="N750" s="440" t="n">
        <x:f>IF(AND(ISNUMBER(H750),ISNUMBER(L750)),H750+L750,"")</x:f>
        <x:v>45481.50007907012</x:v>
      </x:c>
    </x:row>
    <x:row r="751" ht="22" customHeight="1">
      <x:c r="A751" s="254" t="n">
        <x:f>351</x:f>
        <x:v>351</x:v>
      </x:c>
      <x:c r="B751" s="440" t="n">
        <x:f>IF(ISNUMBER(H750),H750,"")</x:f>
        <x:v>45481.50007907012</x:v>
      </x:c>
      <x:c r="C751" s="442" t="n">
        <x:f>IF(ISNUMBER(B751),IF(AND(351&gt;$B$173,$B$78="Refinance",ISNUMBER($B$80),$B$80&gt;=0,$B$80&lt;=1,ROUND($B$81*12,0)&gt;=1,$B$81&lt;=100,SUM($B$82)&gt;=0,SUM($B$82)&lt;=1,SUM($B$83)&gt;=0),$B$80,IF(AND($B$175&gt;0,351&gt;$B$175,ISNUMBER($B$75)),$B$75,$B$61)),"")</x:f>
        <x:v>0.0625</x:v>
      </x:c>
      <x:c r="D751" s="440" t="n">
        <x:f>IF(AND(ISNUMBER(B751),B751=0),0,IF(AND($B$171=1,I750=0,ISNUMBER(C751),ISNUMBER(IF(AND(351&lt;=$B$174,351&lt;=$B$173),B751*C751/12,IF(AND(351=$B$173+1,AND(351&gt;$B$173,$B$78="Refinance",ISNUMBER($B$80),$B$80&gt;=0,$B$80&lt;=1,ROUND($B$81*12,0)&gt;=1,$B$81&lt;=100,SUM($B$82)&gt;=0,SUM($B$82)&lt;=1,SUM($B$83)&gt;=0)),IF(B751=0,0,IF(C751=0,B751/ROUND($B$81*12,0),B751*(C751/12)/(1-(1+C751/12)^(-ROUND($B$81*12,0))))),IF(AND(NOT(AND(351&gt;$B$173,$B$78="Refinance",ISNUMBER($B$80),$B$80&gt;=0,$B$80&lt;=1,ROUND($B$81*12,0)&gt;=1,$B$81&lt;=100,SUM($B$82)&gt;=0,SUM($B$82)&lt;=1,SUM($B$83)&gt;=0)),OR(351=1,351=$B$174+1,AND($B$175&gt;0,351=$B$175+1))),IF(AND($B$170=1,$B$66&gt;0,OR($B$175=0,351&lt;=$B$175)),$B$66,IF($B$172-MAX(351-1,$B$174)&gt;0,IF(B751=0,0,IF(C751=0,B751/($B$172-MAX(351-1,$B$174)),B751*(C751/12)/(1-(1+C751/12)^(-($B$172-MAX(351-1,$B$174)))))),"")),D750))))),IF(IF(AND(351&lt;=$B$174,351&lt;=$B$173),B751*C751/12,IF(AND(351=$B$173+1,AND(351&gt;$B$173,$B$78="Refinance",ISNUMBER($B$80),$B$80&gt;=0,$B$80&lt;=1,ROUND($B$81*12,0)&gt;=1,$B$81&lt;=100,SUM($B$82)&gt;=0,SUM($B$82)&lt;=1,SUM($B$83)&gt;=0)),IF(B751=0,0,IF(C751=0,B751/ROUND($B$81*12,0),B751*(C751/12)/(1-(1+C751/12)^(-ROUND($B$81*12,0))))),IF(AND(NOT(AND(351&gt;$B$173,$B$78="Refinance",ISNUMBER($B$80),$B$80&gt;=0,$B$80&lt;=1,ROUND($B$81*12,0)&gt;=1,$B$81&lt;=100,SUM($B$82)&gt;=0,SUM($B$82)&lt;=1,SUM($B$83)&gt;=0)),OR(351=1,351=$B$174+1,AND($B$175&gt;0,351=$B$175+1))),IF(AND($B$170=1,$B$66&gt;0,OR($B$175=0,351&lt;=$B$175)),$B$66,IF($B$172-MAX(351-1,$B$174)&gt;0,IF(B751=0,0,IF(C751=0,B751/($B$172-MAX(351-1,$B$174)),B751*(C751/12)/(1-(1+C751/12)^(-($B$172-MAX(351-1,$B$174)))))),"")),D750)))+0.0000001&gt;=B751*C751/12,MIN(B751*(1+C751/12),IF(AND(351&lt;=$B$174,351&lt;=$B$173),B751*C751/12,IF(AND(351=$B$173+1,AND(351&gt;$B$173,$B$78="Refinance",ISNUMBER($B$80),$B$80&gt;=0,$B$80&lt;=1,ROUND($B$81*12,0)&gt;=1,$B$81&lt;=100,SUM($B$82)&gt;=0,SUM($B$82)&lt;=1,SUM($B$83)&gt;=0)),IF(B751=0,0,IF(C751=0,B751/ROUND($B$81*12,0),B751*(C751/12)/(1-(1+C751/12)^(-ROUND($B$81*12,0))))),IF(AND(NOT(AND(351&gt;$B$173,$B$78="Refinance",ISNUMBER($B$80),$B$80&gt;=0,$B$80&lt;=1,ROUND($B$81*12,0)&gt;=1,$B$81&lt;=100,SUM($B$82)&gt;=0,SUM($B$82)&lt;=1,SUM($B$83)&gt;=0)),OR(351=1,351=$B$174+1,AND($B$175&gt;0,351=$B$175+1))),IF(AND($B$170=1,$B$66&gt;0,OR($B$175=0,351&lt;=$B$175)),$B$66,IF($B$172-MAX(351-1,$B$174)&gt;0,IF(B751=0,0,IF(C751=0,B751/($B$172-MAX(351-1,$B$174)),B751*(C751/12)/(1-(1+C751/12)^(-($B$172-MAX(351-1,$B$174)))))),"")),D750)))),""),""))</x:f>
        <x:v>4679.450723240598</x:v>
      </x:c>
      <x:c r="E751" s="440" t="n">
        <x:f>IF(AND(351=$B$173,ISNUMBER(D751)),IF(MAX(0,B751*(1+C751/12)-D751)&lt;MAX(0.0000001,$E$17*0.00000000001),0,MAX(0,B751*(1+C751/12)-D751)),0)</x:f>
        <x:v>0</x:v>
      </x:c>
      <x:c r="F751" s="440" t="n">
        <x:f>IF($B$78="Cash payoff",E751,0)</x:f>
        <x:v>0</x:v>
      </x:c>
      <x:c r="G751" s="440" t="n">
        <x:f>IF(AND(E751&gt;0,AND($B$78="Refinance",ISNUMBER($B$80),$B$80&gt;=0,$B$80&lt;=1,ROUND($B$81*12,0)&gt;=1,$B$81&lt;=100,SUM($B$82)&gt;=0,SUM($B$82)&lt;=1,SUM($B$83)&gt;=0)),E751*SUM($B$82)+SUM($B$83),0)</x:f>
        <x:v>0</x:v>
      </x:c>
      <x:c r="H751" s="440" t="n">
        <x:f>IF(ISNUMBER(D751),IF(MAX(0,B751*(1+C751/12)-D751-F751)&lt;MAX(0.0000001,$E$17*0.00000000001),0,MAX(0,B751*(1+C751/12)-D751-F751)),IF(AND($B$171=1,I750=1),B751,""))</x:f>
        <x:v>41038.93216874135</x:v>
      </x:c>
      <x:c r="I751" s="444" t="n">
        <x:f>IF(OR(I750=1,AND(E751&gt;0,$B$78&lt;&gt;"Cash payoff",NOT(AND($B$78="Refinance",ISNUMBER($B$80),$B$80&gt;=0,$B$80&lt;=1,ROUND($B$81*12,0)&gt;=1,$B$81&lt;=100,SUM($B$82)&gt;=0,SUM($B$82)&lt;=1,SUM($B$83)&gt;=0))),AND(ISNUMBER(B751),B751&gt;0,$B$171=1,NOT(ISNUMBER(D751)))),1,0)</x:f>
        <x:v>0</x:v>
      </x:c>
      <x:c r="J751" s="440" t="n">
        <x:f>IF(ISNUMBER(L750),L750,"")</x:f>
        <x:v>0</x:v>
      </x:c>
      <x:c r="K751" s="440" t="n">
        <x:f>IF(AND(ISNUMBER(J751),J751=0),0,IF(AND($B$176=1,ISNUMBER(J751)),MIN(J751*(1+$B$87/12),IF($B$86=0,0,IF($B$87=0,$B$86/ROUND($B$88*12,0),$B$86*($B$87/12)/(1-(1+$B$87/12)^(-ROUND($B$88*12,0)))))),""))</x:f>
        <x:v>0</x:v>
      </x:c>
      <x:c r="L751" s="440" t="n">
        <x:f>IF(ISNUMBER(K751),IF(MAX(0,J751*(1+SUM($B$87)/12)-K751)&lt;MAX(0.0000001,$B$86*0.00000000001),0,MAX(0,J751*(1+SUM($B$87)/12)-K751)),"")</x:f>
        <x:v>0</x:v>
      </x:c>
      <x:c r="M751" s="440" t="n">
        <x:f>IF(AND(ISNUMBER(D751),ISNUMBER(K751)),D751+K751,"")</x:f>
        <x:v>4679.450723240598</x:v>
      </x:c>
      <x:c r="N751" s="440" t="n">
        <x:f>IF(AND(ISNUMBER(H751),ISNUMBER(L751)),H751+L751,"")</x:f>
        <x:v>41038.93216874135</x:v>
      </x:c>
    </x:row>
    <x:row r="752" ht="22" customHeight="1">
      <x:c r="A752" s="254" t="n">
        <x:f>352</x:f>
        <x:v>352</x:v>
      </x:c>
      <x:c r="B752" s="440" t="n">
        <x:f>IF(ISNUMBER(H751),H751,"")</x:f>
        <x:v>41038.93216874135</x:v>
      </x:c>
      <x:c r="C752" s="442" t="n">
        <x:f>IF(ISNUMBER(B752),IF(AND(352&gt;$B$173,$B$78="Refinance",ISNUMBER($B$80),$B$80&gt;=0,$B$80&lt;=1,ROUND($B$81*12,0)&gt;=1,$B$81&lt;=100,SUM($B$82)&gt;=0,SUM($B$82)&lt;=1,SUM($B$83)&gt;=0),$B$80,IF(AND($B$175&gt;0,352&gt;$B$175,ISNUMBER($B$75)),$B$75,$B$61)),"")</x:f>
        <x:v>0.0625</x:v>
      </x:c>
      <x:c r="D752" s="440" t="n">
        <x:f>IF(AND(ISNUMBER(B752),B752=0),0,IF(AND($B$171=1,I751=0,ISNUMBER(C752),ISNUMBER(IF(AND(352&lt;=$B$174,352&lt;=$B$173),B752*C752/12,IF(AND(352=$B$173+1,AND(352&gt;$B$173,$B$78="Refinance",ISNUMBER($B$80),$B$80&gt;=0,$B$80&lt;=1,ROUND($B$81*12,0)&gt;=1,$B$81&lt;=100,SUM($B$82)&gt;=0,SUM($B$82)&lt;=1,SUM($B$83)&gt;=0)),IF(B752=0,0,IF(C752=0,B752/ROUND($B$81*12,0),B752*(C752/12)/(1-(1+C752/12)^(-ROUND($B$81*12,0))))),IF(AND(NOT(AND(352&gt;$B$173,$B$78="Refinance",ISNUMBER($B$80),$B$80&gt;=0,$B$80&lt;=1,ROUND($B$81*12,0)&gt;=1,$B$81&lt;=100,SUM($B$82)&gt;=0,SUM($B$82)&lt;=1,SUM($B$83)&gt;=0)),OR(352=1,352=$B$174+1,AND($B$175&gt;0,352=$B$175+1))),IF(AND($B$170=1,$B$66&gt;0,OR($B$175=0,352&lt;=$B$175)),$B$66,IF($B$172-MAX(352-1,$B$174)&gt;0,IF(B752=0,0,IF(C752=0,B752/($B$172-MAX(352-1,$B$174)),B752*(C752/12)/(1-(1+C752/12)^(-($B$172-MAX(352-1,$B$174)))))),"")),D751))))),IF(IF(AND(352&lt;=$B$174,352&lt;=$B$173),B752*C752/12,IF(AND(352=$B$173+1,AND(352&gt;$B$173,$B$78="Refinance",ISNUMBER($B$80),$B$80&gt;=0,$B$80&lt;=1,ROUND($B$81*12,0)&gt;=1,$B$81&lt;=100,SUM($B$82)&gt;=0,SUM($B$82)&lt;=1,SUM($B$83)&gt;=0)),IF(B752=0,0,IF(C752=0,B752/ROUND($B$81*12,0),B752*(C752/12)/(1-(1+C752/12)^(-ROUND($B$81*12,0))))),IF(AND(NOT(AND(352&gt;$B$173,$B$78="Refinance",ISNUMBER($B$80),$B$80&gt;=0,$B$80&lt;=1,ROUND($B$81*12,0)&gt;=1,$B$81&lt;=100,SUM($B$82)&gt;=0,SUM($B$82)&lt;=1,SUM($B$83)&gt;=0)),OR(352=1,352=$B$174+1,AND($B$175&gt;0,352=$B$175+1))),IF(AND($B$170=1,$B$66&gt;0,OR($B$175=0,352&lt;=$B$175)),$B$66,IF($B$172-MAX(352-1,$B$174)&gt;0,IF(B752=0,0,IF(C752=0,B752/($B$172-MAX(352-1,$B$174)),B752*(C752/12)/(1-(1+C752/12)^(-($B$172-MAX(352-1,$B$174)))))),"")),D751)))+0.0000001&gt;=B752*C752/12,MIN(B752*(1+C752/12),IF(AND(352&lt;=$B$174,352&lt;=$B$173),B752*C752/12,IF(AND(352=$B$173+1,AND(352&gt;$B$173,$B$78="Refinance",ISNUMBER($B$80),$B$80&gt;=0,$B$80&lt;=1,ROUND($B$81*12,0)&gt;=1,$B$81&lt;=100,SUM($B$82)&gt;=0,SUM($B$82)&lt;=1,SUM($B$83)&gt;=0)),IF(B752=0,0,IF(C752=0,B752/ROUND($B$81*12,0),B752*(C752/12)/(1-(1+C752/12)^(-ROUND($B$81*12,0))))),IF(AND(NOT(AND(352&gt;$B$173,$B$78="Refinance",ISNUMBER($B$80),$B$80&gt;=0,$B$80&lt;=1,ROUND($B$81*12,0)&gt;=1,$B$81&lt;=100,SUM($B$82)&gt;=0,SUM($B$82)&lt;=1,SUM($B$83)&gt;=0)),OR(352=1,352=$B$174+1,AND($B$175&gt;0,352=$B$175+1))),IF(AND($B$170=1,$B$66&gt;0,OR($B$175=0,352&lt;=$B$175)),$B$66,IF($B$172-MAX(352-1,$B$174)&gt;0,IF(B752=0,0,IF(C752=0,B752/($B$172-MAX(352-1,$B$174)),B752*(C752/12)/(1-(1+C752/12)^(-($B$172-MAX(352-1,$B$174)))))),"")),D751)))),""),""))</x:f>
        <x:v>4679.450723240598</x:v>
      </x:c>
      <x:c r="E752" s="440" t="n">
        <x:f>IF(AND(352=$B$173,ISNUMBER(D752)),IF(MAX(0,B752*(1+C752/12)-D752)&lt;MAX(0.0000001,$E$17*0.00000000001),0,MAX(0,B752*(1+C752/12)-D752)),0)</x:f>
        <x:v>0</x:v>
      </x:c>
      <x:c r="F752" s="440" t="n">
        <x:f>IF($B$78="Cash payoff",E752,0)</x:f>
        <x:v>0</x:v>
      </x:c>
      <x:c r="G752" s="440" t="n">
        <x:f>IF(AND(E752&gt;0,AND($B$78="Refinance",ISNUMBER($B$80),$B$80&gt;=0,$B$80&lt;=1,ROUND($B$81*12,0)&gt;=1,$B$81&lt;=100,SUM($B$82)&gt;=0,SUM($B$82)&lt;=1,SUM($B$83)&gt;=0)),E752*SUM($B$82)+SUM($B$83),0)</x:f>
        <x:v>0</x:v>
      </x:c>
      <x:c r="H752" s="440" t="n">
        <x:f>IF(ISNUMBER(D752),IF(MAX(0,B752*(1+C752/12)-D752-F752)&lt;MAX(0.0000001,$E$17*0.00000000001),0,MAX(0,B752*(1+C752/12)-D752-F752)),IF(AND($B$171=1,I751=1),B752,""))</x:f>
        <x:v>36573.22588387961</x:v>
      </x:c>
      <x:c r="I752" s="444" t="n">
        <x:f>IF(OR(I751=1,AND(E752&gt;0,$B$78&lt;&gt;"Cash payoff",NOT(AND($B$78="Refinance",ISNUMBER($B$80),$B$80&gt;=0,$B$80&lt;=1,ROUND($B$81*12,0)&gt;=1,$B$81&lt;=100,SUM($B$82)&gt;=0,SUM($B$82)&lt;=1,SUM($B$83)&gt;=0))),AND(ISNUMBER(B752),B752&gt;0,$B$171=1,NOT(ISNUMBER(D752)))),1,0)</x:f>
        <x:v>0</x:v>
      </x:c>
      <x:c r="J752" s="440" t="n">
        <x:f>IF(ISNUMBER(L751),L751,"")</x:f>
        <x:v>0</x:v>
      </x:c>
      <x:c r="K752" s="440" t="n">
        <x:f>IF(AND(ISNUMBER(J752),J752=0),0,IF(AND($B$176=1,ISNUMBER(J752)),MIN(J752*(1+$B$87/12),IF($B$86=0,0,IF($B$87=0,$B$86/ROUND($B$88*12,0),$B$86*($B$87/12)/(1-(1+$B$87/12)^(-ROUND($B$88*12,0)))))),""))</x:f>
        <x:v>0</x:v>
      </x:c>
      <x:c r="L752" s="440" t="n">
        <x:f>IF(ISNUMBER(K752),IF(MAX(0,J752*(1+SUM($B$87)/12)-K752)&lt;MAX(0.0000001,$B$86*0.00000000001),0,MAX(0,J752*(1+SUM($B$87)/12)-K752)),"")</x:f>
        <x:v>0</x:v>
      </x:c>
      <x:c r="M752" s="440" t="n">
        <x:f>IF(AND(ISNUMBER(D752),ISNUMBER(K752)),D752+K752,"")</x:f>
        <x:v>4679.450723240598</x:v>
      </x:c>
      <x:c r="N752" s="440" t="n">
        <x:f>IF(AND(ISNUMBER(H752),ISNUMBER(L752)),H752+L752,"")</x:f>
        <x:v>36573.22588387961</x:v>
      </x:c>
    </x:row>
    <x:row r="753" ht="22" customHeight="1">
      <x:c r="A753" s="254" t="n">
        <x:f>353</x:f>
        <x:v>353</x:v>
      </x:c>
      <x:c r="B753" s="440" t="n">
        <x:f>IF(ISNUMBER(H752),H752,"")</x:f>
        <x:v>36573.22588387961</x:v>
      </x:c>
      <x:c r="C753" s="442" t="n">
        <x:f>IF(ISNUMBER(B753),IF(AND(353&gt;$B$173,$B$78="Refinance",ISNUMBER($B$80),$B$80&gt;=0,$B$80&lt;=1,ROUND($B$81*12,0)&gt;=1,$B$81&lt;=100,SUM($B$82)&gt;=0,SUM($B$82)&lt;=1,SUM($B$83)&gt;=0),$B$80,IF(AND($B$175&gt;0,353&gt;$B$175,ISNUMBER($B$75)),$B$75,$B$61)),"")</x:f>
        <x:v>0.0625</x:v>
      </x:c>
      <x:c r="D753" s="440" t="n">
        <x:f>IF(AND(ISNUMBER(B753),B753=0),0,IF(AND($B$171=1,I752=0,ISNUMBER(C753),ISNUMBER(IF(AND(353&lt;=$B$174,353&lt;=$B$173),B753*C753/12,IF(AND(353=$B$173+1,AND(353&gt;$B$173,$B$78="Refinance",ISNUMBER($B$80),$B$80&gt;=0,$B$80&lt;=1,ROUND($B$81*12,0)&gt;=1,$B$81&lt;=100,SUM($B$82)&gt;=0,SUM($B$82)&lt;=1,SUM($B$83)&gt;=0)),IF(B753=0,0,IF(C753=0,B753/ROUND($B$81*12,0),B753*(C753/12)/(1-(1+C753/12)^(-ROUND($B$81*12,0))))),IF(AND(NOT(AND(353&gt;$B$173,$B$78="Refinance",ISNUMBER($B$80),$B$80&gt;=0,$B$80&lt;=1,ROUND($B$81*12,0)&gt;=1,$B$81&lt;=100,SUM($B$82)&gt;=0,SUM($B$82)&lt;=1,SUM($B$83)&gt;=0)),OR(353=1,353=$B$174+1,AND($B$175&gt;0,353=$B$175+1))),IF(AND($B$170=1,$B$66&gt;0,OR($B$175=0,353&lt;=$B$175)),$B$66,IF($B$172-MAX(353-1,$B$174)&gt;0,IF(B753=0,0,IF(C753=0,B753/($B$172-MAX(353-1,$B$174)),B753*(C753/12)/(1-(1+C753/12)^(-($B$172-MAX(353-1,$B$174)))))),"")),D752))))),IF(IF(AND(353&lt;=$B$174,353&lt;=$B$173),B753*C753/12,IF(AND(353=$B$173+1,AND(353&gt;$B$173,$B$78="Refinance",ISNUMBER($B$80),$B$80&gt;=0,$B$80&lt;=1,ROUND($B$81*12,0)&gt;=1,$B$81&lt;=100,SUM($B$82)&gt;=0,SUM($B$82)&lt;=1,SUM($B$83)&gt;=0)),IF(B753=0,0,IF(C753=0,B753/ROUND($B$81*12,0),B753*(C753/12)/(1-(1+C753/12)^(-ROUND($B$81*12,0))))),IF(AND(NOT(AND(353&gt;$B$173,$B$78="Refinance",ISNUMBER($B$80),$B$80&gt;=0,$B$80&lt;=1,ROUND($B$81*12,0)&gt;=1,$B$81&lt;=100,SUM($B$82)&gt;=0,SUM($B$82)&lt;=1,SUM($B$83)&gt;=0)),OR(353=1,353=$B$174+1,AND($B$175&gt;0,353=$B$175+1))),IF(AND($B$170=1,$B$66&gt;0,OR($B$175=0,353&lt;=$B$175)),$B$66,IF($B$172-MAX(353-1,$B$174)&gt;0,IF(B753=0,0,IF(C753=0,B753/($B$172-MAX(353-1,$B$174)),B753*(C753/12)/(1-(1+C753/12)^(-($B$172-MAX(353-1,$B$174)))))),"")),D752)))+0.0000001&gt;=B753*C753/12,MIN(B753*(1+C753/12),IF(AND(353&lt;=$B$174,353&lt;=$B$173),B753*C753/12,IF(AND(353=$B$173+1,AND(353&gt;$B$173,$B$78="Refinance",ISNUMBER($B$80),$B$80&gt;=0,$B$80&lt;=1,ROUND($B$81*12,0)&gt;=1,$B$81&lt;=100,SUM($B$82)&gt;=0,SUM($B$82)&lt;=1,SUM($B$83)&gt;=0)),IF(B753=0,0,IF(C753=0,B753/ROUND($B$81*12,0),B753*(C753/12)/(1-(1+C753/12)^(-ROUND($B$81*12,0))))),IF(AND(NOT(AND(353&gt;$B$173,$B$78="Refinance",ISNUMBER($B$80),$B$80&gt;=0,$B$80&lt;=1,ROUND($B$81*12,0)&gt;=1,$B$81&lt;=100,SUM($B$82)&gt;=0,SUM($B$82)&lt;=1,SUM($B$83)&gt;=0)),OR(353=1,353=$B$174+1,AND($B$175&gt;0,353=$B$175+1))),IF(AND($B$170=1,$B$66&gt;0,OR($B$175=0,353&lt;=$B$175)),$B$66,IF($B$172-MAX(353-1,$B$174)&gt;0,IF(B753=0,0,IF(C753=0,B753/($B$172-MAX(353-1,$B$174)),B753*(C753/12)/(1-(1+C753/12)^(-($B$172-MAX(353-1,$B$174)))))),"")),D752)))),""),""))</x:f>
        <x:v>4679.450723240598</x:v>
      </x:c>
      <x:c r="E753" s="440" t="n">
        <x:f>IF(AND(353=$B$173,ISNUMBER(D753)),IF(MAX(0,B753*(1+C753/12)-D753)&lt;MAX(0.0000001,$E$17*0.00000000001),0,MAX(0,B753*(1+C753/12)-D753)),0)</x:f>
        <x:v>0</x:v>
      </x:c>
      <x:c r="F753" s="440" t="n">
        <x:f>IF($B$78="Cash payoff",E753,0)</x:f>
        <x:v>0</x:v>
      </x:c>
      <x:c r="G753" s="440" t="n">
        <x:f>IF(AND(E753&gt;0,AND($B$78="Refinance",ISNUMBER($B$80),$B$80&gt;=0,$B$80&lt;=1,ROUND($B$81*12,0)&gt;=1,$B$81&lt;=100,SUM($B$82)&gt;=0,SUM($B$82)&lt;=1,SUM($B$83)&gt;=0)),E753*SUM($B$82)+SUM($B$83),0)</x:f>
        <x:v>0</x:v>
      </x:c>
      <x:c r="H753" s="440" t="n">
        <x:f>IF(ISNUMBER(D753),IF(MAX(0,B753*(1+C753/12)-D753-F753)&lt;MAX(0.0000001,$E$17*0.00000000001),0,MAX(0,B753*(1+C753/12)-D753-F753)),IF(AND($B$171=1,I752=1),B753,""))</x:f>
        <x:v>32084.260712117553</x:v>
      </x:c>
      <x:c r="I753" s="444" t="n">
        <x:f>IF(OR(I752=1,AND(E753&gt;0,$B$78&lt;&gt;"Cash payoff",NOT(AND($B$78="Refinance",ISNUMBER($B$80),$B$80&gt;=0,$B$80&lt;=1,ROUND($B$81*12,0)&gt;=1,$B$81&lt;=100,SUM($B$82)&gt;=0,SUM($B$82)&lt;=1,SUM($B$83)&gt;=0))),AND(ISNUMBER(B753),B753&gt;0,$B$171=1,NOT(ISNUMBER(D753)))),1,0)</x:f>
        <x:v>0</x:v>
      </x:c>
      <x:c r="J753" s="440" t="n">
        <x:f>IF(ISNUMBER(L752),L752,"")</x:f>
        <x:v>0</x:v>
      </x:c>
      <x:c r="K753" s="440" t="n">
        <x:f>IF(AND(ISNUMBER(J753),J753=0),0,IF(AND($B$176=1,ISNUMBER(J753)),MIN(J753*(1+$B$87/12),IF($B$86=0,0,IF($B$87=0,$B$86/ROUND($B$88*12,0),$B$86*($B$87/12)/(1-(1+$B$87/12)^(-ROUND($B$88*12,0)))))),""))</x:f>
        <x:v>0</x:v>
      </x:c>
      <x:c r="L753" s="440" t="n">
        <x:f>IF(ISNUMBER(K753),IF(MAX(0,J753*(1+SUM($B$87)/12)-K753)&lt;MAX(0.0000001,$B$86*0.00000000001),0,MAX(0,J753*(1+SUM($B$87)/12)-K753)),"")</x:f>
        <x:v>0</x:v>
      </x:c>
      <x:c r="M753" s="440" t="n">
        <x:f>IF(AND(ISNUMBER(D753),ISNUMBER(K753)),D753+K753,"")</x:f>
        <x:v>4679.450723240598</x:v>
      </x:c>
      <x:c r="N753" s="440" t="n">
        <x:f>IF(AND(ISNUMBER(H753),ISNUMBER(L753)),H753+L753,"")</x:f>
        <x:v>32084.260712117553</x:v>
      </x:c>
    </x:row>
    <x:row r="754" ht="22" customHeight="1">
      <x:c r="A754" s="254" t="n">
        <x:f>354</x:f>
        <x:v>354</x:v>
      </x:c>
      <x:c r="B754" s="440" t="n">
        <x:f>IF(ISNUMBER(H753),H753,"")</x:f>
        <x:v>32084.260712117553</x:v>
      </x:c>
      <x:c r="C754" s="442" t="n">
        <x:f>IF(ISNUMBER(B754),IF(AND(354&gt;$B$173,$B$78="Refinance",ISNUMBER($B$80),$B$80&gt;=0,$B$80&lt;=1,ROUND($B$81*12,0)&gt;=1,$B$81&lt;=100,SUM($B$82)&gt;=0,SUM($B$82)&lt;=1,SUM($B$83)&gt;=0),$B$80,IF(AND($B$175&gt;0,354&gt;$B$175,ISNUMBER($B$75)),$B$75,$B$61)),"")</x:f>
        <x:v>0.0625</x:v>
      </x:c>
      <x:c r="D754" s="440" t="n">
        <x:f>IF(AND(ISNUMBER(B754),B754=0),0,IF(AND($B$171=1,I753=0,ISNUMBER(C754),ISNUMBER(IF(AND(354&lt;=$B$174,354&lt;=$B$173),B754*C754/12,IF(AND(354=$B$173+1,AND(354&gt;$B$173,$B$78="Refinance",ISNUMBER($B$80),$B$80&gt;=0,$B$80&lt;=1,ROUND($B$81*12,0)&gt;=1,$B$81&lt;=100,SUM($B$82)&gt;=0,SUM($B$82)&lt;=1,SUM($B$83)&gt;=0)),IF(B754=0,0,IF(C754=0,B754/ROUND($B$81*12,0),B754*(C754/12)/(1-(1+C754/12)^(-ROUND($B$81*12,0))))),IF(AND(NOT(AND(354&gt;$B$173,$B$78="Refinance",ISNUMBER($B$80),$B$80&gt;=0,$B$80&lt;=1,ROUND($B$81*12,0)&gt;=1,$B$81&lt;=100,SUM($B$82)&gt;=0,SUM($B$82)&lt;=1,SUM($B$83)&gt;=0)),OR(354=1,354=$B$174+1,AND($B$175&gt;0,354=$B$175+1))),IF(AND($B$170=1,$B$66&gt;0,OR($B$175=0,354&lt;=$B$175)),$B$66,IF($B$172-MAX(354-1,$B$174)&gt;0,IF(B754=0,0,IF(C754=0,B754/($B$172-MAX(354-1,$B$174)),B754*(C754/12)/(1-(1+C754/12)^(-($B$172-MAX(354-1,$B$174)))))),"")),D753))))),IF(IF(AND(354&lt;=$B$174,354&lt;=$B$173),B754*C754/12,IF(AND(354=$B$173+1,AND(354&gt;$B$173,$B$78="Refinance",ISNUMBER($B$80),$B$80&gt;=0,$B$80&lt;=1,ROUND($B$81*12,0)&gt;=1,$B$81&lt;=100,SUM($B$82)&gt;=0,SUM($B$82)&lt;=1,SUM($B$83)&gt;=0)),IF(B754=0,0,IF(C754=0,B754/ROUND($B$81*12,0),B754*(C754/12)/(1-(1+C754/12)^(-ROUND($B$81*12,0))))),IF(AND(NOT(AND(354&gt;$B$173,$B$78="Refinance",ISNUMBER($B$80),$B$80&gt;=0,$B$80&lt;=1,ROUND($B$81*12,0)&gt;=1,$B$81&lt;=100,SUM($B$82)&gt;=0,SUM($B$82)&lt;=1,SUM($B$83)&gt;=0)),OR(354=1,354=$B$174+1,AND($B$175&gt;0,354=$B$175+1))),IF(AND($B$170=1,$B$66&gt;0,OR($B$175=0,354&lt;=$B$175)),$B$66,IF($B$172-MAX(354-1,$B$174)&gt;0,IF(B754=0,0,IF(C754=0,B754/($B$172-MAX(354-1,$B$174)),B754*(C754/12)/(1-(1+C754/12)^(-($B$172-MAX(354-1,$B$174)))))),"")),D753)))+0.0000001&gt;=B754*C754/12,MIN(B754*(1+C754/12),IF(AND(354&lt;=$B$174,354&lt;=$B$173),B754*C754/12,IF(AND(354=$B$173+1,AND(354&gt;$B$173,$B$78="Refinance",ISNUMBER($B$80),$B$80&gt;=0,$B$80&lt;=1,ROUND($B$81*12,0)&gt;=1,$B$81&lt;=100,SUM($B$82)&gt;=0,SUM($B$82)&lt;=1,SUM($B$83)&gt;=0)),IF(B754=0,0,IF(C754=0,B754/ROUND($B$81*12,0),B754*(C754/12)/(1-(1+C754/12)^(-ROUND($B$81*12,0))))),IF(AND(NOT(AND(354&gt;$B$173,$B$78="Refinance",ISNUMBER($B$80),$B$80&gt;=0,$B$80&lt;=1,ROUND($B$81*12,0)&gt;=1,$B$81&lt;=100,SUM($B$82)&gt;=0,SUM($B$82)&lt;=1,SUM($B$83)&gt;=0)),OR(354=1,354=$B$174+1,AND($B$175&gt;0,354=$B$175+1))),IF(AND($B$170=1,$B$66&gt;0,OR($B$175=0,354&lt;=$B$175)),$B$66,IF($B$172-MAX(354-1,$B$174)&gt;0,IF(B754=0,0,IF(C754=0,B754/($B$172-MAX(354-1,$B$174)),B754*(C754/12)/(1-(1+C754/12)^(-($B$172-MAX(354-1,$B$174)))))),"")),D753)))),""),""))</x:f>
        <x:v>4679.450723240598</x:v>
      </x:c>
      <x:c r="E754" s="440" t="n">
        <x:f>IF(AND(354=$B$173,ISNUMBER(D754)),IF(MAX(0,B754*(1+C754/12)-D754)&lt;MAX(0.0000001,$E$17*0.00000000001),0,MAX(0,B754*(1+C754/12)-D754)),0)</x:f>
        <x:v>0</x:v>
      </x:c>
      <x:c r="F754" s="440" t="n">
        <x:f>IF($B$78="Cash payoff",E754,0)</x:f>
        <x:v>0</x:v>
      </x:c>
      <x:c r="G754" s="440" t="n">
        <x:f>IF(AND(E754&gt;0,AND($B$78="Refinance",ISNUMBER($B$80),$B$80&gt;=0,$B$80&lt;=1,ROUND($B$81*12,0)&gt;=1,$B$81&lt;=100,SUM($B$82)&gt;=0,SUM($B$82)&lt;=1,SUM($B$83)&gt;=0)),E754*SUM($B$82)+SUM($B$83),0)</x:f>
        <x:v>0</x:v>
      </x:c>
      <x:c r="H754" s="440" t="n">
        <x:f>IF(ISNUMBER(D754),IF(MAX(0,B754*(1+C754/12)-D754-F754)&lt;MAX(0.0000001,$E$17*0.00000000001),0,MAX(0,B754*(1+C754/12)-D754-F754)),IF(AND($B$171=1,I753=1),B754,""))</x:f>
        <x:v>27571.915513419233</x:v>
      </x:c>
      <x:c r="I754" s="444" t="n">
        <x:f>IF(OR(I753=1,AND(E754&gt;0,$B$78&lt;&gt;"Cash payoff",NOT(AND($B$78="Refinance",ISNUMBER($B$80),$B$80&gt;=0,$B$80&lt;=1,ROUND($B$81*12,0)&gt;=1,$B$81&lt;=100,SUM($B$82)&gt;=0,SUM($B$82)&lt;=1,SUM($B$83)&gt;=0))),AND(ISNUMBER(B754),B754&gt;0,$B$171=1,NOT(ISNUMBER(D754)))),1,0)</x:f>
        <x:v>0</x:v>
      </x:c>
      <x:c r="J754" s="440" t="n">
        <x:f>IF(ISNUMBER(L753),L753,"")</x:f>
        <x:v>0</x:v>
      </x:c>
      <x:c r="K754" s="440" t="n">
        <x:f>IF(AND(ISNUMBER(J754),J754=0),0,IF(AND($B$176=1,ISNUMBER(J754)),MIN(J754*(1+$B$87/12),IF($B$86=0,0,IF($B$87=0,$B$86/ROUND($B$88*12,0),$B$86*($B$87/12)/(1-(1+$B$87/12)^(-ROUND($B$88*12,0)))))),""))</x:f>
        <x:v>0</x:v>
      </x:c>
      <x:c r="L754" s="440" t="n">
        <x:f>IF(ISNUMBER(K754),IF(MAX(0,J754*(1+SUM($B$87)/12)-K754)&lt;MAX(0.0000001,$B$86*0.00000000001),0,MAX(0,J754*(1+SUM($B$87)/12)-K754)),"")</x:f>
        <x:v>0</x:v>
      </x:c>
      <x:c r="M754" s="440" t="n">
        <x:f>IF(AND(ISNUMBER(D754),ISNUMBER(K754)),D754+K754,"")</x:f>
        <x:v>4679.450723240598</x:v>
      </x:c>
      <x:c r="N754" s="440" t="n">
        <x:f>IF(AND(ISNUMBER(H754),ISNUMBER(L754)),H754+L754,"")</x:f>
        <x:v>27571.915513419233</x:v>
      </x:c>
    </x:row>
    <x:row r="755" ht="22" customHeight="1">
      <x:c r="A755" s="254" t="n">
        <x:f>355</x:f>
        <x:v>355</x:v>
      </x:c>
      <x:c r="B755" s="440" t="n">
        <x:f>IF(ISNUMBER(H754),H754,"")</x:f>
        <x:v>27571.915513419233</x:v>
      </x:c>
      <x:c r="C755" s="442" t="n">
        <x:f>IF(ISNUMBER(B755),IF(AND(355&gt;$B$173,$B$78="Refinance",ISNUMBER($B$80),$B$80&gt;=0,$B$80&lt;=1,ROUND($B$81*12,0)&gt;=1,$B$81&lt;=100,SUM($B$82)&gt;=0,SUM($B$82)&lt;=1,SUM($B$83)&gt;=0),$B$80,IF(AND($B$175&gt;0,355&gt;$B$175,ISNUMBER($B$75)),$B$75,$B$61)),"")</x:f>
        <x:v>0.0625</x:v>
      </x:c>
      <x:c r="D755" s="440" t="n">
        <x:f>IF(AND(ISNUMBER(B755),B755=0),0,IF(AND($B$171=1,I754=0,ISNUMBER(C755),ISNUMBER(IF(AND(355&lt;=$B$174,355&lt;=$B$173),B755*C755/12,IF(AND(355=$B$173+1,AND(355&gt;$B$173,$B$78="Refinance",ISNUMBER($B$80),$B$80&gt;=0,$B$80&lt;=1,ROUND($B$81*12,0)&gt;=1,$B$81&lt;=100,SUM($B$82)&gt;=0,SUM($B$82)&lt;=1,SUM($B$83)&gt;=0)),IF(B755=0,0,IF(C755=0,B755/ROUND($B$81*12,0),B755*(C755/12)/(1-(1+C755/12)^(-ROUND($B$81*12,0))))),IF(AND(NOT(AND(355&gt;$B$173,$B$78="Refinance",ISNUMBER($B$80),$B$80&gt;=0,$B$80&lt;=1,ROUND($B$81*12,0)&gt;=1,$B$81&lt;=100,SUM($B$82)&gt;=0,SUM($B$82)&lt;=1,SUM($B$83)&gt;=0)),OR(355=1,355=$B$174+1,AND($B$175&gt;0,355=$B$175+1))),IF(AND($B$170=1,$B$66&gt;0,OR($B$175=0,355&lt;=$B$175)),$B$66,IF($B$172-MAX(355-1,$B$174)&gt;0,IF(B755=0,0,IF(C755=0,B755/($B$172-MAX(355-1,$B$174)),B755*(C755/12)/(1-(1+C755/12)^(-($B$172-MAX(355-1,$B$174)))))),"")),D754))))),IF(IF(AND(355&lt;=$B$174,355&lt;=$B$173),B755*C755/12,IF(AND(355=$B$173+1,AND(355&gt;$B$173,$B$78="Refinance",ISNUMBER($B$80),$B$80&gt;=0,$B$80&lt;=1,ROUND($B$81*12,0)&gt;=1,$B$81&lt;=100,SUM($B$82)&gt;=0,SUM($B$82)&lt;=1,SUM($B$83)&gt;=0)),IF(B755=0,0,IF(C755=0,B755/ROUND($B$81*12,0),B755*(C755/12)/(1-(1+C755/12)^(-ROUND($B$81*12,0))))),IF(AND(NOT(AND(355&gt;$B$173,$B$78="Refinance",ISNUMBER($B$80),$B$80&gt;=0,$B$80&lt;=1,ROUND($B$81*12,0)&gt;=1,$B$81&lt;=100,SUM($B$82)&gt;=0,SUM($B$82)&lt;=1,SUM($B$83)&gt;=0)),OR(355=1,355=$B$174+1,AND($B$175&gt;0,355=$B$175+1))),IF(AND($B$170=1,$B$66&gt;0,OR($B$175=0,355&lt;=$B$175)),$B$66,IF($B$172-MAX(355-1,$B$174)&gt;0,IF(B755=0,0,IF(C755=0,B755/($B$172-MAX(355-1,$B$174)),B755*(C755/12)/(1-(1+C755/12)^(-($B$172-MAX(355-1,$B$174)))))),"")),D754)))+0.0000001&gt;=B755*C755/12,MIN(B755*(1+C755/12),IF(AND(355&lt;=$B$174,355&lt;=$B$173),B755*C755/12,IF(AND(355=$B$173+1,AND(355&gt;$B$173,$B$78="Refinance",ISNUMBER($B$80),$B$80&gt;=0,$B$80&lt;=1,ROUND($B$81*12,0)&gt;=1,$B$81&lt;=100,SUM($B$82)&gt;=0,SUM($B$82)&lt;=1,SUM($B$83)&gt;=0)),IF(B755=0,0,IF(C755=0,B755/ROUND($B$81*12,0),B755*(C755/12)/(1-(1+C755/12)^(-ROUND($B$81*12,0))))),IF(AND(NOT(AND(355&gt;$B$173,$B$78="Refinance",ISNUMBER($B$80),$B$80&gt;=0,$B$80&lt;=1,ROUND($B$81*12,0)&gt;=1,$B$81&lt;=100,SUM($B$82)&gt;=0,SUM($B$82)&lt;=1,SUM($B$83)&gt;=0)),OR(355=1,355=$B$174+1,AND($B$175&gt;0,355=$B$175+1))),IF(AND($B$170=1,$B$66&gt;0,OR($B$175=0,355&lt;=$B$175)),$B$66,IF($B$172-MAX(355-1,$B$174)&gt;0,IF(B755=0,0,IF(C755=0,B755/($B$172-MAX(355-1,$B$174)),B755*(C755/12)/(1-(1+C755/12)^(-($B$172-MAX(355-1,$B$174)))))),"")),D754)))),""),""))</x:f>
        <x:v>4679.450723240598</x:v>
      </x:c>
      <x:c r="E755" s="440" t="n">
        <x:f>IF(AND(355=$B$173,ISNUMBER(D755)),IF(MAX(0,B755*(1+C755/12)-D755)&lt;MAX(0.0000001,$E$17*0.00000000001),0,MAX(0,B755*(1+C755/12)-D755)),0)</x:f>
        <x:v>0</x:v>
      </x:c>
      <x:c r="F755" s="440" t="n">
        <x:f>IF($B$78="Cash payoff",E755,0)</x:f>
        <x:v>0</x:v>
      </x:c>
      <x:c r="G755" s="440" t="n">
        <x:f>IF(AND(E755&gt;0,AND($B$78="Refinance",ISNUMBER($B$80),$B$80&gt;=0,$B$80&lt;=1,ROUND($B$81*12,0)&gt;=1,$B$81&lt;=100,SUM($B$82)&gt;=0,SUM($B$82)&lt;=1,SUM($B$83)&gt;=0)),E755*SUM($B$82)+SUM($B$83),0)</x:f>
        <x:v>0</x:v>
      </x:c>
      <x:c r="H755" s="440" t="n">
        <x:f>IF(ISNUMBER(D755),IF(MAX(0,B755*(1+C755/12)-D755-F755)&lt;MAX(0.0000001,$E$17*0.00000000001),0,MAX(0,B755*(1+C755/12)-D755-F755)),IF(AND($B$171=1,I754=1),B755,""))</x:f>
        <x:v>23036.06851681103</x:v>
      </x:c>
      <x:c r="I755" s="444" t="n">
        <x:f>IF(OR(I754=1,AND(E755&gt;0,$B$78&lt;&gt;"Cash payoff",NOT(AND($B$78="Refinance",ISNUMBER($B$80),$B$80&gt;=0,$B$80&lt;=1,ROUND($B$81*12,0)&gt;=1,$B$81&lt;=100,SUM($B$82)&gt;=0,SUM($B$82)&lt;=1,SUM($B$83)&gt;=0))),AND(ISNUMBER(B755),B755&gt;0,$B$171=1,NOT(ISNUMBER(D755)))),1,0)</x:f>
        <x:v>0</x:v>
      </x:c>
      <x:c r="J755" s="440" t="n">
        <x:f>IF(ISNUMBER(L754),L754,"")</x:f>
        <x:v>0</x:v>
      </x:c>
      <x:c r="K755" s="440" t="n">
        <x:f>IF(AND(ISNUMBER(J755),J755=0),0,IF(AND($B$176=1,ISNUMBER(J755)),MIN(J755*(1+$B$87/12),IF($B$86=0,0,IF($B$87=0,$B$86/ROUND($B$88*12,0),$B$86*($B$87/12)/(1-(1+$B$87/12)^(-ROUND($B$88*12,0)))))),""))</x:f>
        <x:v>0</x:v>
      </x:c>
      <x:c r="L755" s="440" t="n">
        <x:f>IF(ISNUMBER(K755),IF(MAX(0,J755*(1+SUM($B$87)/12)-K755)&lt;MAX(0.0000001,$B$86*0.00000000001),0,MAX(0,J755*(1+SUM($B$87)/12)-K755)),"")</x:f>
        <x:v>0</x:v>
      </x:c>
      <x:c r="M755" s="440" t="n">
        <x:f>IF(AND(ISNUMBER(D755),ISNUMBER(K755)),D755+K755,"")</x:f>
        <x:v>4679.450723240598</x:v>
      </x:c>
      <x:c r="N755" s="440" t="n">
        <x:f>IF(AND(ISNUMBER(H755),ISNUMBER(L755)),H755+L755,"")</x:f>
        <x:v>23036.06851681103</x:v>
      </x:c>
    </x:row>
    <x:row r="756" ht="22" customHeight="1">
      <x:c r="A756" s="254" t="n">
        <x:f>356</x:f>
        <x:v>356</x:v>
      </x:c>
      <x:c r="B756" s="440" t="n">
        <x:f>IF(ISNUMBER(H755),H755,"")</x:f>
        <x:v>23036.06851681103</x:v>
      </x:c>
      <x:c r="C756" s="442" t="n">
        <x:f>IF(ISNUMBER(B756),IF(AND(356&gt;$B$173,$B$78="Refinance",ISNUMBER($B$80),$B$80&gt;=0,$B$80&lt;=1,ROUND($B$81*12,0)&gt;=1,$B$81&lt;=100,SUM($B$82)&gt;=0,SUM($B$82)&lt;=1,SUM($B$83)&gt;=0),$B$80,IF(AND($B$175&gt;0,356&gt;$B$175,ISNUMBER($B$75)),$B$75,$B$61)),"")</x:f>
        <x:v>0.0625</x:v>
      </x:c>
      <x:c r="D756" s="440" t="n">
        <x:f>IF(AND(ISNUMBER(B756),B756=0),0,IF(AND($B$171=1,I755=0,ISNUMBER(C756),ISNUMBER(IF(AND(356&lt;=$B$174,356&lt;=$B$173),B756*C756/12,IF(AND(356=$B$173+1,AND(356&gt;$B$173,$B$78="Refinance",ISNUMBER($B$80),$B$80&gt;=0,$B$80&lt;=1,ROUND($B$81*12,0)&gt;=1,$B$81&lt;=100,SUM($B$82)&gt;=0,SUM($B$82)&lt;=1,SUM($B$83)&gt;=0)),IF(B756=0,0,IF(C756=0,B756/ROUND($B$81*12,0),B756*(C756/12)/(1-(1+C756/12)^(-ROUND($B$81*12,0))))),IF(AND(NOT(AND(356&gt;$B$173,$B$78="Refinance",ISNUMBER($B$80),$B$80&gt;=0,$B$80&lt;=1,ROUND($B$81*12,0)&gt;=1,$B$81&lt;=100,SUM($B$82)&gt;=0,SUM($B$82)&lt;=1,SUM($B$83)&gt;=0)),OR(356=1,356=$B$174+1,AND($B$175&gt;0,356=$B$175+1))),IF(AND($B$170=1,$B$66&gt;0,OR($B$175=0,356&lt;=$B$175)),$B$66,IF($B$172-MAX(356-1,$B$174)&gt;0,IF(B756=0,0,IF(C756=0,B756/($B$172-MAX(356-1,$B$174)),B756*(C756/12)/(1-(1+C756/12)^(-($B$172-MAX(356-1,$B$174)))))),"")),D755))))),IF(IF(AND(356&lt;=$B$174,356&lt;=$B$173),B756*C756/12,IF(AND(356=$B$173+1,AND(356&gt;$B$173,$B$78="Refinance",ISNUMBER($B$80),$B$80&gt;=0,$B$80&lt;=1,ROUND($B$81*12,0)&gt;=1,$B$81&lt;=100,SUM($B$82)&gt;=0,SUM($B$82)&lt;=1,SUM($B$83)&gt;=0)),IF(B756=0,0,IF(C756=0,B756/ROUND($B$81*12,0),B756*(C756/12)/(1-(1+C756/12)^(-ROUND($B$81*12,0))))),IF(AND(NOT(AND(356&gt;$B$173,$B$78="Refinance",ISNUMBER($B$80),$B$80&gt;=0,$B$80&lt;=1,ROUND($B$81*12,0)&gt;=1,$B$81&lt;=100,SUM($B$82)&gt;=0,SUM($B$82)&lt;=1,SUM($B$83)&gt;=0)),OR(356=1,356=$B$174+1,AND($B$175&gt;0,356=$B$175+1))),IF(AND($B$170=1,$B$66&gt;0,OR($B$175=0,356&lt;=$B$175)),$B$66,IF($B$172-MAX(356-1,$B$174)&gt;0,IF(B756=0,0,IF(C756=0,B756/($B$172-MAX(356-1,$B$174)),B756*(C756/12)/(1-(1+C756/12)^(-($B$172-MAX(356-1,$B$174)))))),"")),D755)))+0.0000001&gt;=B756*C756/12,MIN(B756*(1+C756/12),IF(AND(356&lt;=$B$174,356&lt;=$B$173),B756*C756/12,IF(AND(356=$B$173+1,AND(356&gt;$B$173,$B$78="Refinance",ISNUMBER($B$80),$B$80&gt;=0,$B$80&lt;=1,ROUND($B$81*12,0)&gt;=1,$B$81&lt;=100,SUM($B$82)&gt;=0,SUM($B$82)&lt;=1,SUM($B$83)&gt;=0)),IF(B756=0,0,IF(C756=0,B756/ROUND($B$81*12,0),B756*(C756/12)/(1-(1+C756/12)^(-ROUND($B$81*12,0))))),IF(AND(NOT(AND(356&gt;$B$173,$B$78="Refinance",ISNUMBER($B$80),$B$80&gt;=0,$B$80&lt;=1,ROUND($B$81*12,0)&gt;=1,$B$81&lt;=100,SUM($B$82)&gt;=0,SUM($B$82)&lt;=1,SUM($B$83)&gt;=0)),OR(356=1,356=$B$174+1,AND($B$175&gt;0,356=$B$175+1))),IF(AND($B$170=1,$B$66&gt;0,OR($B$175=0,356&lt;=$B$175)),$B$66,IF($B$172-MAX(356-1,$B$174)&gt;0,IF(B756=0,0,IF(C756=0,B756/($B$172-MAX(356-1,$B$174)),B756*(C756/12)/(1-(1+C756/12)^(-($B$172-MAX(356-1,$B$174)))))),"")),D755)))),""),""))</x:f>
        <x:v>4679.450723240598</x:v>
      </x:c>
      <x:c r="E756" s="440" t="n">
        <x:f>IF(AND(356=$B$173,ISNUMBER(D756)),IF(MAX(0,B756*(1+C756/12)-D756)&lt;MAX(0.0000001,$E$17*0.00000000001),0,MAX(0,B756*(1+C756/12)-D756)),0)</x:f>
        <x:v>0</x:v>
      </x:c>
      <x:c r="F756" s="440" t="n">
        <x:f>IF($B$78="Cash payoff",E756,0)</x:f>
        <x:v>0</x:v>
      </x:c>
      <x:c r="G756" s="440" t="n">
        <x:f>IF(AND(E756&gt;0,AND($B$78="Refinance",ISNUMBER($B$80),$B$80&gt;=0,$B$80&lt;=1,ROUND($B$81*12,0)&gt;=1,$B$81&lt;=100,SUM($B$82)&gt;=0,SUM($B$82)&lt;=1,SUM($B$83)&gt;=0)),E756*SUM($B$82)+SUM($B$83),0)</x:f>
        <x:v>0</x:v>
      </x:c>
      <x:c r="H756" s="440" t="n">
        <x:f>IF(ISNUMBER(D756),IF(MAX(0,B756*(1+C756/12)-D756-F756)&lt;MAX(0.0000001,$E$17*0.00000000001),0,MAX(0,B756*(1+C756/12)-D756-F756)),IF(AND($B$171=1,I755=1),B756,""))</x:f>
        <x:v>18476.59731709549</x:v>
      </x:c>
      <x:c r="I756" s="444" t="n">
        <x:f>IF(OR(I755=1,AND(E756&gt;0,$B$78&lt;&gt;"Cash payoff",NOT(AND($B$78="Refinance",ISNUMBER($B$80),$B$80&gt;=0,$B$80&lt;=1,ROUND($B$81*12,0)&gt;=1,$B$81&lt;=100,SUM($B$82)&gt;=0,SUM($B$82)&lt;=1,SUM($B$83)&gt;=0))),AND(ISNUMBER(B756),B756&gt;0,$B$171=1,NOT(ISNUMBER(D756)))),1,0)</x:f>
        <x:v>0</x:v>
      </x:c>
      <x:c r="J756" s="440" t="n">
        <x:f>IF(ISNUMBER(L755),L755,"")</x:f>
        <x:v>0</x:v>
      </x:c>
      <x:c r="K756" s="440" t="n">
        <x:f>IF(AND(ISNUMBER(J756),J756=0),0,IF(AND($B$176=1,ISNUMBER(J756)),MIN(J756*(1+$B$87/12),IF($B$86=0,0,IF($B$87=0,$B$86/ROUND($B$88*12,0),$B$86*($B$87/12)/(1-(1+$B$87/12)^(-ROUND($B$88*12,0)))))),""))</x:f>
        <x:v>0</x:v>
      </x:c>
      <x:c r="L756" s="440" t="n">
        <x:f>IF(ISNUMBER(K756),IF(MAX(0,J756*(1+SUM($B$87)/12)-K756)&lt;MAX(0.0000001,$B$86*0.00000000001),0,MAX(0,J756*(1+SUM($B$87)/12)-K756)),"")</x:f>
        <x:v>0</x:v>
      </x:c>
      <x:c r="M756" s="440" t="n">
        <x:f>IF(AND(ISNUMBER(D756),ISNUMBER(K756)),D756+K756,"")</x:f>
        <x:v>4679.450723240598</x:v>
      </x:c>
      <x:c r="N756" s="440" t="n">
        <x:f>IF(AND(ISNUMBER(H756),ISNUMBER(L756)),H756+L756,"")</x:f>
        <x:v>18476.59731709549</x:v>
      </x:c>
    </x:row>
    <x:row r="757" ht="22" customHeight="1">
      <x:c r="A757" s="254" t="n">
        <x:f>357</x:f>
        <x:v>357</x:v>
      </x:c>
      <x:c r="B757" s="440" t="n">
        <x:f>IF(ISNUMBER(H756),H756,"")</x:f>
        <x:v>18476.59731709549</x:v>
      </x:c>
      <x:c r="C757" s="442" t="n">
        <x:f>IF(ISNUMBER(B757),IF(AND(357&gt;$B$173,$B$78="Refinance",ISNUMBER($B$80),$B$80&gt;=0,$B$80&lt;=1,ROUND($B$81*12,0)&gt;=1,$B$81&lt;=100,SUM($B$82)&gt;=0,SUM($B$82)&lt;=1,SUM($B$83)&gt;=0),$B$80,IF(AND($B$175&gt;0,357&gt;$B$175,ISNUMBER($B$75)),$B$75,$B$61)),"")</x:f>
        <x:v>0.0625</x:v>
      </x:c>
      <x:c r="D757" s="440" t="n">
        <x:f>IF(AND(ISNUMBER(B757),B757=0),0,IF(AND($B$171=1,I756=0,ISNUMBER(C757),ISNUMBER(IF(AND(357&lt;=$B$174,357&lt;=$B$173),B757*C757/12,IF(AND(357=$B$173+1,AND(357&gt;$B$173,$B$78="Refinance",ISNUMBER($B$80),$B$80&gt;=0,$B$80&lt;=1,ROUND($B$81*12,0)&gt;=1,$B$81&lt;=100,SUM($B$82)&gt;=0,SUM($B$82)&lt;=1,SUM($B$83)&gt;=0)),IF(B757=0,0,IF(C757=0,B757/ROUND($B$81*12,0),B757*(C757/12)/(1-(1+C757/12)^(-ROUND($B$81*12,0))))),IF(AND(NOT(AND(357&gt;$B$173,$B$78="Refinance",ISNUMBER($B$80),$B$80&gt;=0,$B$80&lt;=1,ROUND($B$81*12,0)&gt;=1,$B$81&lt;=100,SUM($B$82)&gt;=0,SUM($B$82)&lt;=1,SUM($B$83)&gt;=0)),OR(357=1,357=$B$174+1,AND($B$175&gt;0,357=$B$175+1))),IF(AND($B$170=1,$B$66&gt;0,OR($B$175=0,357&lt;=$B$175)),$B$66,IF($B$172-MAX(357-1,$B$174)&gt;0,IF(B757=0,0,IF(C757=0,B757/($B$172-MAX(357-1,$B$174)),B757*(C757/12)/(1-(1+C757/12)^(-($B$172-MAX(357-1,$B$174)))))),"")),D756))))),IF(IF(AND(357&lt;=$B$174,357&lt;=$B$173),B757*C757/12,IF(AND(357=$B$173+1,AND(357&gt;$B$173,$B$78="Refinance",ISNUMBER($B$80),$B$80&gt;=0,$B$80&lt;=1,ROUND($B$81*12,0)&gt;=1,$B$81&lt;=100,SUM($B$82)&gt;=0,SUM($B$82)&lt;=1,SUM($B$83)&gt;=0)),IF(B757=0,0,IF(C757=0,B757/ROUND($B$81*12,0),B757*(C757/12)/(1-(1+C757/12)^(-ROUND($B$81*12,0))))),IF(AND(NOT(AND(357&gt;$B$173,$B$78="Refinance",ISNUMBER($B$80),$B$80&gt;=0,$B$80&lt;=1,ROUND($B$81*12,0)&gt;=1,$B$81&lt;=100,SUM($B$82)&gt;=0,SUM($B$82)&lt;=1,SUM($B$83)&gt;=0)),OR(357=1,357=$B$174+1,AND($B$175&gt;0,357=$B$175+1))),IF(AND($B$170=1,$B$66&gt;0,OR($B$175=0,357&lt;=$B$175)),$B$66,IF($B$172-MAX(357-1,$B$174)&gt;0,IF(B757=0,0,IF(C757=0,B757/($B$172-MAX(357-1,$B$174)),B757*(C757/12)/(1-(1+C757/12)^(-($B$172-MAX(357-1,$B$174)))))),"")),D756)))+0.0000001&gt;=B757*C757/12,MIN(B757*(1+C757/12),IF(AND(357&lt;=$B$174,357&lt;=$B$173),B757*C757/12,IF(AND(357=$B$173+1,AND(357&gt;$B$173,$B$78="Refinance",ISNUMBER($B$80),$B$80&gt;=0,$B$80&lt;=1,ROUND($B$81*12,0)&gt;=1,$B$81&lt;=100,SUM($B$82)&gt;=0,SUM($B$82)&lt;=1,SUM($B$83)&gt;=0)),IF(B757=0,0,IF(C757=0,B757/ROUND($B$81*12,0),B757*(C757/12)/(1-(1+C757/12)^(-ROUND($B$81*12,0))))),IF(AND(NOT(AND(357&gt;$B$173,$B$78="Refinance",ISNUMBER($B$80),$B$80&gt;=0,$B$80&lt;=1,ROUND($B$81*12,0)&gt;=1,$B$81&lt;=100,SUM($B$82)&gt;=0,SUM($B$82)&lt;=1,SUM($B$83)&gt;=0)),OR(357=1,357=$B$174+1,AND($B$175&gt;0,357=$B$175+1))),IF(AND($B$170=1,$B$66&gt;0,OR($B$175=0,357&lt;=$B$175)),$B$66,IF($B$172-MAX(357-1,$B$174)&gt;0,IF(B757=0,0,IF(C757=0,B757/($B$172-MAX(357-1,$B$174)),B757*(C757/12)/(1-(1+C757/12)^(-($B$172-MAX(357-1,$B$174)))))),"")),D756)))),""),""))</x:f>
        <x:v>4679.450723240598</x:v>
      </x:c>
      <x:c r="E757" s="440" t="n">
        <x:f>IF(AND(357=$B$173,ISNUMBER(D757)),IF(MAX(0,B757*(1+C757/12)-D757)&lt;MAX(0.0000001,$E$17*0.00000000001),0,MAX(0,B757*(1+C757/12)-D757)),0)</x:f>
        <x:v>0</x:v>
      </x:c>
      <x:c r="F757" s="440" t="n">
        <x:f>IF($B$78="Cash payoff",E757,0)</x:f>
        <x:v>0</x:v>
      </x:c>
      <x:c r="G757" s="440" t="n">
        <x:f>IF(AND(E757&gt;0,AND($B$78="Refinance",ISNUMBER($B$80),$B$80&gt;=0,$B$80&lt;=1,ROUND($B$81*12,0)&gt;=1,$B$81&lt;=100,SUM($B$82)&gt;=0,SUM($B$82)&lt;=1,SUM($B$83)&gt;=0)),E757*SUM($B$82)+SUM($B$83),0)</x:f>
        <x:v>0</x:v>
      </x:c>
      <x:c r="H757" s="440" t="n">
        <x:f>IF(ISNUMBER(D757),IF(MAX(0,B757*(1+C757/12)-D757-F757)&lt;MAX(0.0000001,$E$17*0.00000000001),0,MAX(0,B757*(1+C757/12)-D757-F757)),IF(AND($B$171=1,I756=1),B757,""))</x:f>
        <x:v>13893.378871548097</x:v>
      </x:c>
      <x:c r="I757" s="444" t="n">
        <x:f>IF(OR(I756=1,AND(E757&gt;0,$B$78&lt;&gt;"Cash payoff",NOT(AND($B$78="Refinance",ISNUMBER($B$80),$B$80&gt;=0,$B$80&lt;=1,ROUND($B$81*12,0)&gt;=1,$B$81&lt;=100,SUM($B$82)&gt;=0,SUM($B$82)&lt;=1,SUM($B$83)&gt;=0))),AND(ISNUMBER(B757),B757&gt;0,$B$171=1,NOT(ISNUMBER(D757)))),1,0)</x:f>
        <x:v>0</x:v>
      </x:c>
      <x:c r="J757" s="440" t="n">
        <x:f>IF(ISNUMBER(L756),L756,"")</x:f>
        <x:v>0</x:v>
      </x:c>
      <x:c r="K757" s="440" t="n">
        <x:f>IF(AND(ISNUMBER(J757),J757=0),0,IF(AND($B$176=1,ISNUMBER(J757)),MIN(J757*(1+$B$87/12),IF($B$86=0,0,IF($B$87=0,$B$86/ROUND($B$88*12,0),$B$86*($B$87/12)/(1-(1+$B$87/12)^(-ROUND($B$88*12,0)))))),""))</x:f>
        <x:v>0</x:v>
      </x:c>
      <x:c r="L757" s="440" t="n">
        <x:f>IF(ISNUMBER(K757),IF(MAX(0,J757*(1+SUM($B$87)/12)-K757)&lt;MAX(0.0000001,$B$86*0.00000000001),0,MAX(0,J757*(1+SUM($B$87)/12)-K757)),"")</x:f>
        <x:v>0</x:v>
      </x:c>
      <x:c r="M757" s="440" t="n">
        <x:f>IF(AND(ISNUMBER(D757),ISNUMBER(K757)),D757+K757,"")</x:f>
        <x:v>4679.450723240598</x:v>
      </x:c>
      <x:c r="N757" s="440" t="n">
        <x:f>IF(AND(ISNUMBER(H757),ISNUMBER(L757)),H757+L757,"")</x:f>
        <x:v>13893.378871548097</x:v>
      </x:c>
    </x:row>
    <x:row r="758" ht="22" customHeight="1">
      <x:c r="A758" s="254" t="n">
        <x:f>358</x:f>
        <x:v>358</x:v>
      </x:c>
      <x:c r="B758" s="440" t="n">
        <x:f>IF(ISNUMBER(H757),H757,"")</x:f>
        <x:v>13893.378871548097</x:v>
      </x:c>
      <x:c r="C758" s="442" t="n">
        <x:f>IF(ISNUMBER(B758),IF(AND(358&gt;$B$173,$B$78="Refinance",ISNUMBER($B$80),$B$80&gt;=0,$B$80&lt;=1,ROUND($B$81*12,0)&gt;=1,$B$81&lt;=100,SUM($B$82)&gt;=0,SUM($B$82)&lt;=1,SUM($B$83)&gt;=0),$B$80,IF(AND($B$175&gt;0,358&gt;$B$175,ISNUMBER($B$75)),$B$75,$B$61)),"")</x:f>
        <x:v>0.0625</x:v>
      </x:c>
      <x:c r="D758" s="440" t="n">
        <x:f>IF(AND(ISNUMBER(B758),B758=0),0,IF(AND($B$171=1,I757=0,ISNUMBER(C758),ISNUMBER(IF(AND(358&lt;=$B$174,358&lt;=$B$173),B758*C758/12,IF(AND(358=$B$173+1,AND(358&gt;$B$173,$B$78="Refinance",ISNUMBER($B$80),$B$80&gt;=0,$B$80&lt;=1,ROUND($B$81*12,0)&gt;=1,$B$81&lt;=100,SUM($B$82)&gt;=0,SUM($B$82)&lt;=1,SUM($B$83)&gt;=0)),IF(B758=0,0,IF(C758=0,B758/ROUND($B$81*12,0),B758*(C758/12)/(1-(1+C758/12)^(-ROUND($B$81*12,0))))),IF(AND(NOT(AND(358&gt;$B$173,$B$78="Refinance",ISNUMBER($B$80),$B$80&gt;=0,$B$80&lt;=1,ROUND($B$81*12,0)&gt;=1,$B$81&lt;=100,SUM($B$82)&gt;=0,SUM($B$82)&lt;=1,SUM($B$83)&gt;=0)),OR(358=1,358=$B$174+1,AND($B$175&gt;0,358=$B$175+1))),IF(AND($B$170=1,$B$66&gt;0,OR($B$175=0,358&lt;=$B$175)),$B$66,IF($B$172-MAX(358-1,$B$174)&gt;0,IF(B758=0,0,IF(C758=0,B758/($B$172-MAX(358-1,$B$174)),B758*(C758/12)/(1-(1+C758/12)^(-($B$172-MAX(358-1,$B$174)))))),"")),D757))))),IF(IF(AND(358&lt;=$B$174,358&lt;=$B$173),B758*C758/12,IF(AND(358=$B$173+1,AND(358&gt;$B$173,$B$78="Refinance",ISNUMBER($B$80),$B$80&gt;=0,$B$80&lt;=1,ROUND($B$81*12,0)&gt;=1,$B$81&lt;=100,SUM($B$82)&gt;=0,SUM($B$82)&lt;=1,SUM($B$83)&gt;=0)),IF(B758=0,0,IF(C758=0,B758/ROUND($B$81*12,0),B758*(C758/12)/(1-(1+C758/12)^(-ROUND($B$81*12,0))))),IF(AND(NOT(AND(358&gt;$B$173,$B$78="Refinance",ISNUMBER($B$80),$B$80&gt;=0,$B$80&lt;=1,ROUND($B$81*12,0)&gt;=1,$B$81&lt;=100,SUM($B$82)&gt;=0,SUM($B$82)&lt;=1,SUM($B$83)&gt;=0)),OR(358=1,358=$B$174+1,AND($B$175&gt;0,358=$B$175+1))),IF(AND($B$170=1,$B$66&gt;0,OR($B$175=0,358&lt;=$B$175)),$B$66,IF($B$172-MAX(358-1,$B$174)&gt;0,IF(B758=0,0,IF(C758=0,B758/($B$172-MAX(358-1,$B$174)),B758*(C758/12)/(1-(1+C758/12)^(-($B$172-MAX(358-1,$B$174)))))),"")),D757)))+0.0000001&gt;=B758*C758/12,MIN(B758*(1+C758/12),IF(AND(358&lt;=$B$174,358&lt;=$B$173),B758*C758/12,IF(AND(358=$B$173+1,AND(358&gt;$B$173,$B$78="Refinance",ISNUMBER($B$80),$B$80&gt;=0,$B$80&lt;=1,ROUND($B$81*12,0)&gt;=1,$B$81&lt;=100,SUM($B$82)&gt;=0,SUM($B$82)&lt;=1,SUM($B$83)&gt;=0)),IF(B758=0,0,IF(C758=0,B758/ROUND($B$81*12,0),B758*(C758/12)/(1-(1+C758/12)^(-ROUND($B$81*12,0))))),IF(AND(NOT(AND(358&gt;$B$173,$B$78="Refinance",ISNUMBER($B$80),$B$80&gt;=0,$B$80&lt;=1,ROUND($B$81*12,0)&gt;=1,$B$81&lt;=100,SUM($B$82)&gt;=0,SUM($B$82)&lt;=1,SUM($B$83)&gt;=0)),OR(358=1,358=$B$174+1,AND($B$175&gt;0,358=$B$175+1))),IF(AND($B$170=1,$B$66&gt;0,OR($B$175=0,358&lt;=$B$175)),$B$66,IF($B$172-MAX(358-1,$B$174)&gt;0,IF(B758=0,0,IF(C758=0,B758/($B$172-MAX(358-1,$B$174)),B758*(C758/12)/(1-(1+C758/12)^(-($B$172-MAX(358-1,$B$174)))))),"")),D757)))),""),""))</x:f>
        <x:v>4679.450723240598</x:v>
      </x:c>
      <x:c r="E758" s="440" t="n">
        <x:f>IF(AND(358=$B$173,ISNUMBER(D758)),IF(MAX(0,B758*(1+C758/12)-D758)&lt;MAX(0.0000001,$E$17*0.00000000001),0,MAX(0,B758*(1+C758/12)-D758)),0)</x:f>
        <x:v>0</x:v>
      </x:c>
      <x:c r="F758" s="440" t="n">
        <x:f>IF($B$78="Cash payoff",E758,0)</x:f>
        <x:v>0</x:v>
      </x:c>
      <x:c r="G758" s="440" t="n">
        <x:f>IF(AND(E758&gt;0,AND($B$78="Refinance",ISNUMBER($B$80),$B$80&gt;=0,$B$80&lt;=1,ROUND($B$81*12,0)&gt;=1,$B$81&lt;=100,SUM($B$82)&gt;=0,SUM($B$82)&lt;=1,SUM($B$83)&gt;=0)),E758*SUM($B$82)+SUM($B$83),0)</x:f>
        <x:v>0</x:v>
      </x:c>
      <x:c r="H758" s="440" t="n">
        <x:f>IF(ISNUMBER(D758),IF(MAX(0,B758*(1+C758/12)-D758-F758)&lt;MAX(0.0000001,$E$17*0.00000000001),0,MAX(0,B758*(1+C758/12)-D758-F758)),IF(AND($B$171=1,I757=1),B758,""))</x:f>
        <x:v>9286.289496596812</x:v>
      </x:c>
      <x:c r="I758" s="444" t="n">
        <x:f>IF(OR(I757=1,AND(E758&gt;0,$B$78&lt;&gt;"Cash payoff",NOT(AND($B$78="Refinance",ISNUMBER($B$80),$B$80&gt;=0,$B$80&lt;=1,ROUND($B$81*12,0)&gt;=1,$B$81&lt;=100,SUM($B$82)&gt;=0,SUM($B$82)&lt;=1,SUM($B$83)&gt;=0))),AND(ISNUMBER(B758),B758&gt;0,$B$171=1,NOT(ISNUMBER(D758)))),1,0)</x:f>
        <x:v>0</x:v>
      </x:c>
      <x:c r="J758" s="440" t="n">
        <x:f>IF(ISNUMBER(L757),L757,"")</x:f>
        <x:v>0</x:v>
      </x:c>
      <x:c r="K758" s="440" t="n">
        <x:f>IF(AND(ISNUMBER(J758),J758=0),0,IF(AND($B$176=1,ISNUMBER(J758)),MIN(J758*(1+$B$87/12),IF($B$86=0,0,IF($B$87=0,$B$86/ROUND($B$88*12,0),$B$86*($B$87/12)/(1-(1+$B$87/12)^(-ROUND($B$88*12,0)))))),""))</x:f>
        <x:v>0</x:v>
      </x:c>
      <x:c r="L758" s="440" t="n">
        <x:f>IF(ISNUMBER(K758),IF(MAX(0,J758*(1+SUM($B$87)/12)-K758)&lt;MAX(0.0000001,$B$86*0.00000000001),0,MAX(0,J758*(1+SUM($B$87)/12)-K758)),"")</x:f>
        <x:v>0</x:v>
      </x:c>
      <x:c r="M758" s="440" t="n">
        <x:f>IF(AND(ISNUMBER(D758),ISNUMBER(K758)),D758+K758,"")</x:f>
        <x:v>4679.450723240598</x:v>
      </x:c>
      <x:c r="N758" s="440" t="n">
        <x:f>IF(AND(ISNUMBER(H758),ISNUMBER(L758)),H758+L758,"")</x:f>
        <x:v>9286.289496596812</x:v>
      </x:c>
    </x:row>
    <x:row r="759" ht="22" customHeight="1">
      <x:c r="A759" s="254" t="n">
        <x:f>359</x:f>
        <x:v>359</x:v>
      </x:c>
      <x:c r="B759" s="440" t="n">
        <x:f>IF(ISNUMBER(H758),H758,"")</x:f>
        <x:v>9286.289496596812</x:v>
      </x:c>
      <x:c r="C759" s="442" t="n">
        <x:f>IF(ISNUMBER(B759),IF(AND(359&gt;$B$173,$B$78="Refinance",ISNUMBER($B$80),$B$80&gt;=0,$B$80&lt;=1,ROUND($B$81*12,0)&gt;=1,$B$81&lt;=100,SUM($B$82)&gt;=0,SUM($B$82)&lt;=1,SUM($B$83)&gt;=0),$B$80,IF(AND($B$175&gt;0,359&gt;$B$175,ISNUMBER($B$75)),$B$75,$B$61)),"")</x:f>
        <x:v>0.0625</x:v>
      </x:c>
      <x:c r="D759" s="440" t="n">
        <x:f>IF(AND(ISNUMBER(B759),B759=0),0,IF(AND($B$171=1,I758=0,ISNUMBER(C759),ISNUMBER(IF(AND(359&lt;=$B$174,359&lt;=$B$173),B759*C759/12,IF(AND(359=$B$173+1,AND(359&gt;$B$173,$B$78="Refinance",ISNUMBER($B$80),$B$80&gt;=0,$B$80&lt;=1,ROUND($B$81*12,0)&gt;=1,$B$81&lt;=100,SUM($B$82)&gt;=0,SUM($B$82)&lt;=1,SUM($B$83)&gt;=0)),IF(B759=0,0,IF(C759=0,B759/ROUND($B$81*12,0),B759*(C759/12)/(1-(1+C759/12)^(-ROUND($B$81*12,0))))),IF(AND(NOT(AND(359&gt;$B$173,$B$78="Refinance",ISNUMBER($B$80),$B$80&gt;=0,$B$80&lt;=1,ROUND($B$81*12,0)&gt;=1,$B$81&lt;=100,SUM($B$82)&gt;=0,SUM($B$82)&lt;=1,SUM($B$83)&gt;=0)),OR(359=1,359=$B$174+1,AND($B$175&gt;0,359=$B$175+1))),IF(AND($B$170=1,$B$66&gt;0,OR($B$175=0,359&lt;=$B$175)),$B$66,IF($B$172-MAX(359-1,$B$174)&gt;0,IF(B759=0,0,IF(C759=0,B759/($B$172-MAX(359-1,$B$174)),B759*(C759/12)/(1-(1+C759/12)^(-($B$172-MAX(359-1,$B$174)))))),"")),D758))))),IF(IF(AND(359&lt;=$B$174,359&lt;=$B$173),B759*C759/12,IF(AND(359=$B$173+1,AND(359&gt;$B$173,$B$78="Refinance",ISNUMBER($B$80),$B$80&gt;=0,$B$80&lt;=1,ROUND($B$81*12,0)&gt;=1,$B$81&lt;=100,SUM($B$82)&gt;=0,SUM($B$82)&lt;=1,SUM($B$83)&gt;=0)),IF(B759=0,0,IF(C759=0,B759/ROUND($B$81*12,0),B759*(C759/12)/(1-(1+C759/12)^(-ROUND($B$81*12,0))))),IF(AND(NOT(AND(359&gt;$B$173,$B$78="Refinance",ISNUMBER($B$80),$B$80&gt;=0,$B$80&lt;=1,ROUND($B$81*12,0)&gt;=1,$B$81&lt;=100,SUM($B$82)&gt;=0,SUM($B$82)&lt;=1,SUM($B$83)&gt;=0)),OR(359=1,359=$B$174+1,AND($B$175&gt;0,359=$B$175+1))),IF(AND($B$170=1,$B$66&gt;0,OR($B$175=0,359&lt;=$B$175)),$B$66,IF($B$172-MAX(359-1,$B$174)&gt;0,IF(B759=0,0,IF(C759=0,B759/($B$172-MAX(359-1,$B$174)),B759*(C759/12)/(1-(1+C759/12)^(-($B$172-MAX(359-1,$B$174)))))),"")),D758)))+0.0000001&gt;=B759*C759/12,MIN(B759*(1+C759/12),IF(AND(359&lt;=$B$174,359&lt;=$B$173),B759*C759/12,IF(AND(359=$B$173+1,AND(359&gt;$B$173,$B$78="Refinance",ISNUMBER($B$80),$B$80&gt;=0,$B$80&lt;=1,ROUND($B$81*12,0)&gt;=1,$B$81&lt;=100,SUM($B$82)&gt;=0,SUM($B$82)&lt;=1,SUM($B$83)&gt;=0)),IF(B759=0,0,IF(C759=0,B759/ROUND($B$81*12,0),B759*(C759/12)/(1-(1+C759/12)^(-ROUND($B$81*12,0))))),IF(AND(NOT(AND(359&gt;$B$173,$B$78="Refinance",ISNUMBER($B$80),$B$80&gt;=0,$B$80&lt;=1,ROUND($B$81*12,0)&gt;=1,$B$81&lt;=100,SUM($B$82)&gt;=0,SUM($B$82)&lt;=1,SUM($B$83)&gt;=0)),OR(359=1,359=$B$174+1,AND($B$175&gt;0,359=$B$175+1))),IF(AND($B$170=1,$B$66&gt;0,OR($B$175=0,359&lt;=$B$175)),$B$66,IF($B$172-MAX(359-1,$B$174)&gt;0,IF(B759=0,0,IF(C759=0,B759/($B$172-MAX(359-1,$B$174)),B759*(C759/12)/(1-(1+C759/12)^(-($B$172-MAX(359-1,$B$174)))))),"")),D758)))),""),""))</x:f>
        <x:v>4679.450723240598</x:v>
      </x:c>
      <x:c r="E759" s="440" t="n">
        <x:f>IF(AND(359=$B$173,ISNUMBER(D759)),IF(MAX(0,B759*(1+C759/12)-D759)&lt;MAX(0.0000001,$E$17*0.00000000001),0,MAX(0,B759*(1+C759/12)-D759)),0)</x:f>
        <x:v>0</x:v>
      </x:c>
      <x:c r="F759" s="440" t="n">
        <x:f>IF($B$78="Cash payoff",E759,0)</x:f>
        <x:v>0</x:v>
      </x:c>
      <x:c r="G759" s="440" t="n">
        <x:f>IF(AND(E759&gt;0,AND($B$78="Refinance",ISNUMBER($B$80),$B$80&gt;=0,$B$80&lt;=1,ROUND($B$81*12,0)&gt;=1,$B$81&lt;=100,SUM($B$82)&gt;=0,SUM($B$82)&lt;=1,SUM($B$83)&gt;=0)),E759*SUM($B$82)+SUM($B$83),0)</x:f>
        <x:v>0</x:v>
      </x:c>
      <x:c r="H759" s="440" t="n">
        <x:f>IF(ISNUMBER(D759),IF(MAX(0,B759*(1+C759/12)-D759-F759)&lt;MAX(0.0000001,$E$17*0.00000000001),0,MAX(0,B759*(1+C759/12)-D759-F759)),IF(AND($B$171=1,I758=1),B759,""))</x:f>
        <x:v>4655.204864484322</x:v>
      </x:c>
      <x:c r="I759" s="444" t="n">
        <x:f>IF(OR(I758=1,AND(E759&gt;0,$B$78&lt;&gt;"Cash payoff",NOT(AND($B$78="Refinance",ISNUMBER($B$80),$B$80&gt;=0,$B$80&lt;=1,ROUND($B$81*12,0)&gt;=1,$B$81&lt;=100,SUM($B$82)&gt;=0,SUM($B$82)&lt;=1,SUM($B$83)&gt;=0))),AND(ISNUMBER(B759),B759&gt;0,$B$171=1,NOT(ISNUMBER(D759)))),1,0)</x:f>
        <x:v>0</x:v>
      </x:c>
      <x:c r="J759" s="440" t="n">
        <x:f>IF(ISNUMBER(L758),L758,"")</x:f>
        <x:v>0</x:v>
      </x:c>
      <x:c r="K759" s="440" t="n">
        <x:f>IF(AND(ISNUMBER(J759),J759=0),0,IF(AND($B$176=1,ISNUMBER(J759)),MIN(J759*(1+$B$87/12),IF($B$86=0,0,IF($B$87=0,$B$86/ROUND($B$88*12,0),$B$86*($B$87/12)/(1-(1+$B$87/12)^(-ROUND($B$88*12,0)))))),""))</x:f>
        <x:v>0</x:v>
      </x:c>
      <x:c r="L759" s="440" t="n">
        <x:f>IF(ISNUMBER(K759),IF(MAX(0,J759*(1+SUM($B$87)/12)-K759)&lt;MAX(0.0000001,$B$86*0.00000000001),0,MAX(0,J759*(1+SUM($B$87)/12)-K759)),"")</x:f>
        <x:v>0</x:v>
      </x:c>
      <x:c r="M759" s="440" t="n">
        <x:f>IF(AND(ISNUMBER(D759),ISNUMBER(K759)),D759+K759,"")</x:f>
        <x:v>4679.450723240598</x:v>
      </x:c>
      <x:c r="N759" s="440" t="n">
        <x:f>IF(AND(ISNUMBER(H759),ISNUMBER(L759)),H759+L759,"")</x:f>
        <x:v>4655.204864484322</x:v>
      </x:c>
    </x:row>
    <x:row r="760" ht="22" customHeight="1">
      <x:c r="A760" s="254" t="n">
        <x:f>360</x:f>
        <x:v>360</x:v>
      </x:c>
      <x:c r="B760" s="440" t="n">
        <x:f>IF(ISNUMBER(H759),H759,"")</x:f>
        <x:v>4655.204864484322</x:v>
      </x:c>
      <x:c r="C760" s="442" t="n">
        <x:f>IF(ISNUMBER(B760),IF(AND(360&gt;$B$173,$B$78="Refinance",ISNUMBER($B$80),$B$80&gt;=0,$B$80&lt;=1,ROUND($B$81*12,0)&gt;=1,$B$81&lt;=100,SUM($B$82)&gt;=0,SUM($B$82)&lt;=1,SUM($B$83)&gt;=0),$B$80,IF(AND($B$175&gt;0,360&gt;$B$175,ISNUMBER($B$75)),$B$75,$B$61)),"")</x:f>
        <x:v>0.0625</x:v>
      </x:c>
      <x:c r="D760" s="440" t="n">
        <x:f>IF(AND(ISNUMBER(B760),B760=0),0,IF(AND($B$171=1,I759=0,ISNUMBER(C760),ISNUMBER(IF(AND(360&lt;=$B$174,360&lt;=$B$173),B760*C760/12,IF(AND(360=$B$173+1,AND(360&gt;$B$173,$B$78="Refinance",ISNUMBER($B$80),$B$80&gt;=0,$B$80&lt;=1,ROUND($B$81*12,0)&gt;=1,$B$81&lt;=100,SUM($B$82)&gt;=0,SUM($B$82)&lt;=1,SUM($B$83)&gt;=0)),IF(B760=0,0,IF(C760=0,B760/ROUND($B$81*12,0),B760*(C760/12)/(1-(1+C760/12)^(-ROUND($B$81*12,0))))),IF(AND(NOT(AND(360&gt;$B$173,$B$78="Refinance",ISNUMBER($B$80),$B$80&gt;=0,$B$80&lt;=1,ROUND($B$81*12,0)&gt;=1,$B$81&lt;=100,SUM($B$82)&gt;=0,SUM($B$82)&lt;=1,SUM($B$83)&gt;=0)),OR(360=1,360=$B$174+1,AND($B$175&gt;0,360=$B$175+1))),IF(AND($B$170=1,$B$66&gt;0,OR($B$175=0,360&lt;=$B$175)),$B$66,IF($B$172-MAX(360-1,$B$174)&gt;0,IF(B760=0,0,IF(C760=0,B760/($B$172-MAX(360-1,$B$174)),B760*(C760/12)/(1-(1+C760/12)^(-($B$172-MAX(360-1,$B$174)))))),"")),D759))))),IF(IF(AND(360&lt;=$B$174,360&lt;=$B$173),B760*C760/12,IF(AND(360=$B$173+1,AND(360&gt;$B$173,$B$78="Refinance",ISNUMBER($B$80),$B$80&gt;=0,$B$80&lt;=1,ROUND($B$81*12,0)&gt;=1,$B$81&lt;=100,SUM($B$82)&gt;=0,SUM($B$82)&lt;=1,SUM($B$83)&gt;=0)),IF(B760=0,0,IF(C760=0,B760/ROUND($B$81*12,0),B760*(C760/12)/(1-(1+C760/12)^(-ROUND($B$81*12,0))))),IF(AND(NOT(AND(360&gt;$B$173,$B$78="Refinance",ISNUMBER($B$80),$B$80&gt;=0,$B$80&lt;=1,ROUND($B$81*12,0)&gt;=1,$B$81&lt;=100,SUM($B$82)&gt;=0,SUM($B$82)&lt;=1,SUM($B$83)&gt;=0)),OR(360=1,360=$B$174+1,AND($B$175&gt;0,360=$B$175+1))),IF(AND($B$170=1,$B$66&gt;0,OR($B$175=0,360&lt;=$B$175)),$B$66,IF($B$172-MAX(360-1,$B$174)&gt;0,IF(B760=0,0,IF(C760=0,B760/($B$172-MAX(360-1,$B$174)),B760*(C760/12)/(1-(1+C760/12)^(-($B$172-MAX(360-1,$B$174)))))),"")),D759)))+0.0000001&gt;=B760*C760/12,MIN(B760*(1+C760/12),IF(AND(360&lt;=$B$174,360&lt;=$B$173),B760*C760/12,IF(AND(360=$B$173+1,AND(360&gt;$B$173,$B$78="Refinance",ISNUMBER($B$80),$B$80&gt;=0,$B$80&lt;=1,ROUND($B$81*12,0)&gt;=1,$B$81&lt;=100,SUM($B$82)&gt;=0,SUM($B$82)&lt;=1,SUM($B$83)&gt;=0)),IF(B760=0,0,IF(C760=0,B760/ROUND($B$81*12,0),B760*(C760/12)/(1-(1+C760/12)^(-ROUND($B$81*12,0))))),IF(AND(NOT(AND(360&gt;$B$173,$B$78="Refinance",ISNUMBER($B$80),$B$80&gt;=0,$B$80&lt;=1,ROUND($B$81*12,0)&gt;=1,$B$81&lt;=100,SUM($B$82)&gt;=0,SUM($B$82)&lt;=1,SUM($B$83)&gt;=0)),OR(360=1,360=$B$174+1,AND($B$175&gt;0,360=$B$175+1))),IF(AND($B$170=1,$B$66&gt;0,OR($B$175=0,360&lt;=$B$175)),$B$66,IF($B$172-MAX(360-1,$B$174)&gt;0,IF(B760=0,0,IF(C760=0,B760/($B$172-MAX(360-1,$B$174)),B760*(C760/12)/(1-(1+C760/12)^(-($B$172-MAX(360-1,$B$174)))))),"")),D759)))),""),""))</x:f>
        <x:v>4679.450723153511</x:v>
      </x:c>
      <x:c r="E760" s="440" t="n">
        <x:f>IF(AND(360=$B$173,ISNUMBER(D760)),IF(MAX(0,B760*(1+C760/12)-D760)&lt;MAX(0.0000001,$E$17*0.00000000001),0,MAX(0,B760*(1+C760/12)-D760)),0)</x:f>
        <x:v>0</x:v>
      </x:c>
      <x:c r="F760" s="440" t="n">
        <x:f>IF($B$78="Cash payoff",E760,0)</x:f>
        <x:v>0</x:v>
      </x:c>
      <x:c r="G760" s="440" t="n">
        <x:f>IF(AND(E760&gt;0,AND($B$78="Refinance",ISNUMBER($B$80),$B$80&gt;=0,$B$80&lt;=1,ROUND($B$81*12,0)&gt;=1,$B$81&lt;=100,SUM($B$82)&gt;=0,SUM($B$82)&lt;=1,SUM($B$83)&gt;=0)),E760*SUM($B$82)+SUM($B$83),0)</x:f>
        <x:v>0</x:v>
      </x:c>
      <x:c r="H760" s="440" t="n">
        <x:f>IF(ISNUMBER(D760),IF(MAX(0,B760*(1+C760/12)-D760-F760)&lt;MAX(0.0000001,$E$17*0.00000000001),0,MAX(0,B760*(1+C760/12)-D760-F760)),IF(AND($B$171=1,I759=1),B760,""))</x:f>
        <x:v>0</x:v>
      </x:c>
      <x:c r="I760" s="444" t="n">
        <x:f>IF(OR(I759=1,AND(E760&gt;0,$B$78&lt;&gt;"Cash payoff",NOT(AND($B$78="Refinance",ISNUMBER($B$80),$B$80&gt;=0,$B$80&lt;=1,ROUND($B$81*12,0)&gt;=1,$B$81&lt;=100,SUM($B$82)&gt;=0,SUM($B$82)&lt;=1,SUM($B$83)&gt;=0))),AND(ISNUMBER(B760),B760&gt;0,$B$171=1,NOT(ISNUMBER(D760)))),1,0)</x:f>
        <x:v>0</x:v>
      </x:c>
      <x:c r="J760" s="440" t="n">
        <x:f>IF(ISNUMBER(L759),L759,"")</x:f>
        <x:v>0</x:v>
      </x:c>
      <x:c r="K760" s="440" t="n">
        <x:f>IF(AND(ISNUMBER(J760),J760=0),0,IF(AND($B$176=1,ISNUMBER(J760)),MIN(J760*(1+$B$87/12),IF($B$86=0,0,IF($B$87=0,$B$86/ROUND($B$88*12,0),$B$86*($B$87/12)/(1-(1+$B$87/12)^(-ROUND($B$88*12,0)))))),""))</x:f>
        <x:v>0</x:v>
      </x:c>
      <x:c r="L760" s="440" t="n">
        <x:f>IF(ISNUMBER(K760),IF(MAX(0,J760*(1+SUM($B$87)/12)-K760)&lt;MAX(0.0000001,$B$86*0.00000000001),0,MAX(0,J760*(1+SUM($B$87)/12)-K760)),"")</x:f>
        <x:v>0</x:v>
      </x:c>
      <x:c r="M760" s="440" t="n">
        <x:f>IF(AND(ISNUMBER(D760),ISNUMBER(K760)),D760+K760,"")</x:f>
        <x:v>4679.450723153511</x:v>
      </x:c>
      <x:c r="N760" s="440" t="n">
        <x:f>IF(AND(ISNUMBER(H760),ISNUMBER(L760)),H760+L760,"")</x:f>
        <x:v>0</x:v>
      </x:c>
    </x:row>
    <x:row r="761" ht="22" customHeight="1">
      <x:c r="A761" s="254" t="n">
        <x:f>361</x:f>
        <x:v>361</x:v>
      </x:c>
      <x:c r="B761" s="440" t="n">
        <x:f>IF(ISNUMBER(H760),H760,"")</x:f>
        <x:v>0</x:v>
      </x:c>
      <x:c r="C761" s="442" t="n">
        <x:f>IF(ISNUMBER(B761),IF(AND(361&gt;$B$173,$B$78="Refinance",ISNUMBER($B$80),$B$80&gt;=0,$B$80&lt;=1,ROUND($B$81*12,0)&gt;=1,$B$81&lt;=100,SUM($B$82)&gt;=0,SUM($B$82)&lt;=1,SUM($B$83)&gt;=0),$B$80,IF(AND($B$175&gt;0,361&gt;$B$175,ISNUMBER($B$75)),$B$75,$B$61)),"")</x:f>
        <x:v>0.0625</x:v>
      </x:c>
      <x:c r="D761" s="440" t="n">
        <x:f>IF(AND(ISNUMBER(B761),B761=0),0,IF(AND($B$171=1,I760=0,ISNUMBER(C761),ISNUMBER(IF(AND(361&lt;=$B$174,361&lt;=$B$173),B761*C761/12,IF(AND(361=$B$173+1,AND(361&gt;$B$173,$B$78="Refinance",ISNUMBER($B$80),$B$80&gt;=0,$B$80&lt;=1,ROUND($B$81*12,0)&gt;=1,$B$81&lt;=100,SUM($B$82)&gt;=0,SUM($B$82)&lt;=1,SUM($B$83)&gt;=0)),IF(B761=0,0,IF(C761=0,B761/ROUND($B$81*12,0),B761*(C761/12)/(1-(1+C761/12)^(-ROUND($B$81*12,0))))),IF(AND(NOT(AND(361&gt;$B$173,$B$78="Refinance",ISNUMBER($B$80),$B$80&gt;=0,$B$80&lt;=1,ROUND($B$81*12,0)&gt;=1,$B$81&lt;=100,SUM($B$82)&gt;=0,SUM($B$82)&lt;=1,SUM($B$83)&gt;=0)),OR(361=1,361=$B$174+1,AND($B$175&gt;0,361=$B$175+1))),IF(AND($B$170=1,$B$66&gt;0,OR($B$175=0,361&lt;=$B$175)),$B$66,IF($B$172-MAX(361-1,$B$174)&gt;0,IF(B761=0,0,IF(C761=0,B761/($B$172-MAX(361-1,$B$174)),B761*(C761/12)/(1-(1+C761/12)^(-($B$172-MAX(361-1,$B$174)))))),"")),D760))))),IF(IF(AND(361&lt;=$B$174,361&lt;=$B$173),B761*C761/12,IF(AND(361=$B$173+1,AND(361&gt;$B$173,$B$78="Refinance",ISNUMBER($B$80),$B$80&gt;=0,$B$80&lt;=1,ROUND($B$81*12,0)&gt;=1,$B$81&lt;=100,SUM($B$82)&gt;=0,SUM($B$82)&lt;=1,SUM($B$83)&gt;=0)),IF(B761=0,0,IF(C761=0,B761/ROUND($B$81*12,0),B761*(C761/12)/(1-(1+C761/12)^(-ROUND($B$81*12,0))))),IF(AND(NOT(AND(361&gt;$B$173,$B$78="Refinance",ISNUMBER($B$80),$B$80&gt;=0,$B$80&lt;=1,ROUND($B$81*12,0)&gt;=1,$B$81&lt;=100,SUM($B$82)&gt;=0,SUM($B$82)&lt;=1,SUM($B$83)&gt;=0)),OR(361=1,361=$B$174+1,AND($B$175&gt;0,361=$B$175+1))),IF(AND($B$170=1,$B$66&gt;0,OR($B$175=0,361&lt;=$B$175)),$B$66,IF($B$172-MAX(361-1,$B$174)&gt;0,IF(B761=0,0,IF(C761=0,B761/($B$172-MAX(361-1,$B$174)),B761*(C761/12)/(1-(1+C761/12)^(-($B$172-MAX(361-1,$B$174)))))),"")),D760)))+0.0000001&gt;=B761*C761/12,MIN(B761*(1+C761/12),IF(AND(361&lt;=$B$174,361&lt;=$B$173),B761*C761/12,IF(AND(361=$B$173+1,AND(361&gt;$B$173,$B$78="Refinance",ISNUMBER($B$80),$B$80&gt;=0,$B$80&lt;=1,ROUND($B$81*12,0)&gt;=1,$B$81&lt;=100,SUM($B$82)&gt;=0,SUM($B$82)&lt;=1,SUM($B$83)&gt;=0)),IF(B761=0,0,IF(C761=0,B761/ROUND($B$81*12,0),B761*(C761/12)/(1-(1+C761/12)^(-ROUND($B$81*12,0))))),IF(AND(NOT(AND(361&gt;$B$173,$B$78="Refinance",ISNUMBER($B$80),$B$80&gt;=0,$B$80&lt;=1,ROUND($B$81*12,0)&gt;=1,$B$81&lt;=100,SUM($B$82)&gt;=0,SUM($B$82)&lt;=1,SUM($B$83)&gt;=0)),OR(361=1,361=$B$174+1,AND($B$175&gt;0,361=$B$175+1))),IF(AND($B$170=1,$B$66&gt;0,OR($B$175=0,361&lt;=$B$175)),$B$66,IF($B$172-MAX(361-1,$B$174)&gt;0,IF(B761=0,0,IF(C761=0,B761/($B$172-MAX(361-1,$B$174)),B761*(C761/12)/(1-(1+C761/12)^(-($B$172-MAX(361-1,$B$174)))))),"")),D760)))),""),""))</x:f>
        <x:v>0</x:v>
      </x:c>
      <x:c r="E761" s="440" t="n">
        <x:f>IF(AND(361=$B$173,ISNUMBER(D761)),IF(MAX(0,B761*(1+C761/12)-D761)&lt;MAX(0.0000001,$E$17*0.00000000001),0,MAX(0,B761*(1+C761/12)-D761)),0)</x:f>
        <x:v>0</x:v>
      </x:c>
      <x:c r="F761" s="440" t="n">
        <x:f>IF($B$78="Cash payoff",E761,0)</x:f>
        <x:v>0</x:v>
      </x:c>
      <x:c r="G761" s="440" t="n">
        <x:f>IF(AND(E761&gt;0,AND($B$78="Refinance",ISNUMBER($B$80),$B$80&gt;=0,$B$80&lt;=1,ROUND($B$81*12,0)&gt;=1,$B$81&lt;=100,SUM($B$82)&gt;=0,SUM($B$82)&lt;=1,SUM($B$83)&gt;=0)),E761*SUM($B$82)+SUM($B$83),0)</x:f>
        <x:v>0</x:v>
      </x:c>
      <x:c r="H761" s="440" t="n">
        <x:f>IF(ISNUMBER(D761),IF(MAX(0,B761*(1+C761/12)-D761-F761)&lt;MAX(0.0000001,$E$17*0.00000000001),0,MAX(0,B761*(1+C761/12)-D761-F761)),IF(AND($B$171=1,I760=1),B761,""))</x:f>
        <x:v>0</x:v>
      </x:c>
      <x:c r="I761" s="444" t="n">
        <x:f>IF(OR(I760=1,AND(E761&gt;0,$B$78&lt;&gt;"Cash payoff",NOT(AND($B$78="Refinance",ISNUMBER($B$80),$B$80&gt;=0,$B$80&lt;=1,ROUND($B$81*12,0)&gt;=1,$B$81&lt;=100,SUM($B$82)&gt;=0,SUM($B$82)&lt;=1,SUM($B$83)&gt;=0))),AND(ISNUMBER(B761),B761&gt;0,$B$171=1,NOT(ISNUMBER(D761)))),1,0)</x:f>
        <x:v>0</x:v>
      </x:c>
      <x:c r="J761" s="440" t="n">
        <x:f>IF(ISNUMBER(L760),L760,"")</x:f>
        <x:v>0</x:v>
      </x:c>
      <x:c r="K761" s="440" t="n">
        <x:f>IF(AND(ISNUMBER(J761),J761=0),0,IF(AND($B$176=1,ISNUMBER(J761)),MIN(J761*(1+$B$87/12),IF($B$86=0,0,IF($B$87=0,$B$86/ROUND($B$88*12,0),$B$86*($B$87/12)/(1-(1+$B$87/12)^(-ROUND($B$88*12,0)))))),""))</x:f>
        <x:v>0</x:v>
      </x:c>
      <x:c r="L761" s="440" t="n">
        <x:f>IF(ISNUMBER(K761),IF(MAX(0,J761*(1+SUM($B$87)/12)-K761)&lt;MAX(0.0000001,$B$86*0.00000000001),0,MAX(0,J761*(1+SUM($B$87)/12)-K761)),"")</x:f>
        <x:v>0</x:v>
      </x:c>
      <x:c r="M761" s="440" t="n">
        <x:f>IF(AND(ISNUMBER(D761),ISNUMBER(K761)),D761+K761,"")</x:f>
        <x:v>0</x:v>
      </x:c>
      <x:c r="N761" s="440" t="n">
        <x:f>IF(AND(ISNUMBER(H761),ISNUMBER(L761)),H761+L761,"")</x:f>
        <x:v>0</x:v>
      </x:c>
    </x:row>
    <x:row r="762" ht="22" customHeight="1">
      <x:c r="A762" s="254" t="n">
        <x:f>362</x:f>
        <x:v>362</x:v>
      </x:c>
      <x:c r="B762" s="440" t="n">
        <x:f>IF(ISNUMBER(H761),H761,"")</x:f>
        <x:v>0</x:v>
      </x:c>
      <x:c r="C762" s="442" t="n">
        <x:f>IF(ISNUMBER(B762),IF(AND(362&gt;$B$173,$B$78="Refinance",ISNUMBER($B$80),$B$80&gt;=0,$B$80&lt;=1,ROUND($B$81*12,0)&gt;=1,$B$81&lt;=100,SUM($B$82)&gt;=0,SUM($B$82)&lt;=1,SUM($B$83)&gt;=0),$B$80,IF(AND($B$175&gt;0,362&gt;$B$175,ISNUMBER($B$75)),$B$75,$B$61)),"")</x:f>
        <x:v>0.0625</x:v>
      </x:c>
      <x:c r="D762" s="440" t="n">
        <x:f>IF(AND(ISNUMBER(B762),B762=0),0,IF(AND($B$171=1,I761=0,ISNUMBER(C762),ISNUMBER(IF(AND(362&lt;=$B$174,362&lt;=$B$173),B762*C762/12,IF(AND(362=$B$173+1,AND(362&gt;$B$173,$B$78="Refinance",ISNUMBER($B$80),$B$80&gt;=0,$B$80&lt;=1,ROUND($B$81*12,0)&gt;=1,$B$81&lt;=100,SUM($B$82)&gt;=0,SUM($B$82)&lt;=1,SUM($B$83)&gt;=0)),IF(B762=0,0,IF(C762=0,B762/ROUND($B$81*12,0),B762*(C762/12)/(1-(1+C762/12)^(-ROUND($B$81*12,0))))),IF(AND(NOT(AND(362&gt;$B$173,$B$78="Refinance",ISNUMBER($B$80),$B$80&gt;=0,$B$80&lt;=1,ROUND($B$81*12,0)&gt;=1,$B$81&lt;=100,SUM($B$82)&gt;=0,SUM($B$82)&lt;=1,SUM($B$83)&gt;=0)),OR(362=1,362=$B$174+1,AND($B$175&gt;0,362=$B$175+1))),IF(AND($B$170=1,$B$66&gt;0,OR($B$175=0,362&lt;=$B$175)),$B$66,IF($B$172-MAX(362-1,$B$174)&gt;0,IF(B762=0,0,IF(C762=0,B762/($B$172-MAX(362-1,$B$174)),B762*(C762/12)/(1-(1+C762/12)^(-($B$172-MAX(362-1,$B$174)))))),"")),D761))))),IF(IF(AND(362&lt;=$B$174,362&lt;=$B$173),B762*C762/12,IF(AND(362=$B$173+1,AND(362&gt;$B$173,$B$78="Refinance",ISNUMBER($B$80),$B$80&gt;=0,$B$80&lt;=1,ROUND($B$81*12,0)&gt;=1,$B$81&lt;=100,SUM($B$82)&gt;=0,SUM($B$82)&lt;=1,SUM($B$83)&gt;=0)),IF(B762=0,0,IF(C762=0,B762/ROUND($B$81*12,0),B762*(C762/12)/(1-(1+C762/12)^(-ROUND($B$81*12,0))))),IF(AND(NOT(AND(362&gt;$B$173,$B$78="Refinance",ISNUMBER($B$80),$B$80&gt;=0,$B$80&lt;=1,ROUND($B$81*12,0)&gt;=1,$B$81&lt;=100,SUM($B$82)&gt;=0,SUM($B$82)&lt;=1,SUM($B$83)&gt;=0)),OR(362=1,362=$B$174+1,AND($B$175&gt;0,362=$B$175+1))),IF(AND($B$170=1,$B$66&gt;0,OR($B$175=0,362&lt;=$B$175)),$B$66,IF($B$172-MAX(362-1,$B$174)&gt;0,IF(B762=0,0,IF(C762=0,B762/($B$172-MAX(362-1,$B$174)),B762*(C762/12)/(1-(1+C762/12)^(-($B$172-MAX(362-1,$B$174)))))),"")),D761)))+0.0000001&gt;=B762*C762/12,MIN(B762*(1+C762/12),IF(AND(362&lt;=$B$174,362&lt;=$B$173),B762*C762/12,IF(AND(362=$B$173+1,AND(362&gt;$B$173,$B$78="Refinance",ISNUMBER($B$80),$B$80&gt;=0,$B$80&lt;=1,ROUND($B$81*12,0)&gt;=1,$B$81&lt;=100,SUM($B$82)&gt;=0,SUM($B$82)&lt;=1,SUM($B$83)&gt;=0)),IF(B762=0,0,IF(C762=0,B762/ROUND($B$81*12,0),B762*(C762/12)/(1-(1+C762/12)^(-ROUND($B$81*12,0))))),IF(AND(NOT(AND(362&gt;$B$173,$B$78="Refinance",ISNUMBER($B$80),$B$80&gt;=0,$B$80&lt;=1,ROUND($B$81*12,0)&gt;=1,$B$81&lt;=100,SUM($B$82)&gt;=0,SUM($B$82)&lt;=1,SUM($B$83)&gt;=0)),OR(362=1,362=$B$174+1,AND($B$175&gt;0,362=$B$175+1))),IF(AND($B$170=1,$B$66&gt;0,OR($B$175=0,362&lt;=$B$175)),$B$66,IF($B$172-MAX(362-1,$B$174)&gt;0,IF(B762=0,0,IF(C762=0,B762/($B$172-MAX(362-1,$B$174)),B762*(C762/12)/(1-(1+C762/12)^(-($B$172-MAX(362-1,$B$174)))))),"")),D761)))),""),""))</x:f>
        <x:v>0</x:v>
      </x:c>
      <x:c r="E762" s="440" t="n">
        <x:f>IF(AND(362=$B$173,ISNUMBER(D762)),IF(MAX(0,B762*(1+C762/12)-D762)&lt;MAX(0.0000001,$E$17*0.00000000001),0,MAX(0,B762*(1+C762/12)-D762)),0)</x:f>
        <x:v>0</x:v>
      </x:c>
      <x:c r="F762" s="440" t="n">
        <x:f>IF($B$78="Cash payoff",E762,0)</x:f>
        <x:v>0</x:v>
      </x:c>
      <x:c r="G762" s="440" t="n">
        <x:f>IF(AND(E762&gt;0,AND($B$78="Refinance",ISNUMBER($B$80),$B$80&gt;=0,$B$80&lt;=1,ROUND($B$81*12,0)&gt;=1,$B$81&lt;=100,SUM($B$82)&gt;=0,SUM($B$82)&lt;=1,SUM($B$83)&gt;=0)),E762*SUM($B$82)+SUM($B$83),0)</x:f>
        <x:v>0</x:v>
      </x:c>
      <x:c r="H762" s="440" t="n">
        <x:f>IF(ISNUMBER(D762),IF(MAX(0,B762*(1+C762/12)-D762-F762)&lt;MAX(0.0000001,$E$17*0.00000000001),0,MAX(0,B762*(1+C762/12)-D762-F762)),IF(AND($B$171=1,I761=1),B762,""))</x:f>
        <x:v>0</x:v>
      </x:c>
      <x:c r="I762" s="444" t="n">
        <x:f>IF(OR(I761=1,AND(E762&gt;0,$B$78&lt;&gt;"Cash payoff",NOT(AND($B$78="Refinance",ISNUMBER($B$80),$B$80&gt;=0,$B$80&lt;=1,ROUND($B$81*12,0)&gt;=1,$B$81&lt;=100,SUM($B$82)&gt;=0,SUM($B$82)&lt;=1,SUM($B$83)&gt;=0))),AND(ISNUMBER(B762),B762&gt;0,$B$171=1,NOT(ISNUMBER(D762)))),1,0)</x:f>
        <x:v>0</x:v>
      </x:c>
      <x:c r="J762" s="440" t="n">
        <x:f>IF(ISNUMBER(L761),L761,"")</x:f>
        <x:v>0</x:v>
      </x:c>
      <x:c r="K762" s="440" t="n">
        <x:f>IF(AND(ISNUMBER(J762),J762=0),0,IF(AND($B$176=1,ISNUMBER(J762)),MIN(J762*(1+$B$87/12),IF($B$86=0,0,IF($B$87=0,$B$86/ROUND($B$88*12,0),$B$86*($B$87/12)/(1-(1+$B$87/12)^(-ROUND($B$88*12,0)))))),""))</x:f>
        <x:v>0</x:v>
      </x:c>
      <x:c r="L762" s="440" t="n">
        <x:f>IF(ISNUMBER(K762),IF(MAX(0,J762*(1+SUM($B$87)/12)-K762)&lt;MAX(0.0000001,$B$86*0.00000000001),0,MAX(0,J762*(1+SUM($B$87)/12)-K762)),"")</x:f>
        <x:v>0</x:v>
      </x:c>
      <x:c r="M762" s="440" t="n">
        <x:f>IF(AND(ISNUMBER(D762),ISNUMBER(K762)),D762+K762,"")</x:f>
        <x:v>0</x:v>
      </x:c>
      <x:c r="N762" s="440" t="n">
        <x:f>IF(AND(ISNUMBER(H762),ISNUMBER(L762)),H762+L762,"")</x:f>
        <x:v>0</x:v>
      </x:c>
    </x:row>
    <x:row r="763" ht="22" customHeight="1">
      <x:c r="A763" s="254" t="n">
        <x:f>363</x:f>
        <x:v>363</x:v>
      </x:c>
      <x:c r="B763" s="440" t="n">
        <x:f>IF(ISNUMBER(H762),H762,"")</x:f>
        <x:v>0</x:v>
      </x:c>
      <x:c r="C763" s="442" t="n">
        <x:f>IF(ISNUMBER(B763),IF(AND(363&gt;$B$173,$B$78="Refinance",ISNUMBER($B$80),$B$80&gt;=0,$B$80&lt;=1,ROUND($B$81*12,0)&gt;=1,$B$81&lt;=100,SUM($B$82)&gt;=0,SUM($B$82)&lt;=1,SUM($B$83)&gt;=0),$B$80,IF(AND($B$175&gt;0,363&gt;$B$175,ISNUMBER($B$75)),$B$75,$B$61)),"")</x:f>
        <x:v>0.0625</x:v>
      </x:c>
      <x:c r="D763" s="440" t="n">
        <x:f>IF(AND(ISNUMBER(B763),B763=0),0,IF(AND($B$171=1,I762=0,ISNUMBER(C763),ISNUMBER(IF(AND(363&lt;=$B$174,363&lt;=$B$173),B763*C763/12,IF(AND(363=$B$173+1,AND(363&gt;$B$173,$B$78="Refinance",ISNUMBER($B$80),$B$80&gt;=0,$B$80&lt;=1,ROUND($B$81*12,0)&gt;=1,$B$81&lt;=100,SUM($B$82)&gt;=0,SUM($B$82)&lt;=1,SUM($B$83)&gt;=0)),IF(B763=0,0,IF(C763=0,B763/ROUND($B$81*12,0),B763*(C763/12)/(1-(1+C763/12)^(-ROUND($B$81*12,0))))),IF(AND(NOT(AND(363&gt;$B$173,$B$78="Refinance",ISNUMBER($B$80),$B$80&gt;=0,$B$80&lt;=1,ROUND($B$81*12,0)&gt;=1,$B$81&lt;=100,SUM($B$82)&gt;=0,SUM($B$82)&lt;=1,SUM($B$83)&gt;=0)),OR(363=1,363=$B$174+1,AND($B$175&gt;0,363=$B$175+1))),IF(AND($B$170=1,$B$66&gt;0,OR($B$175=0,363&lt;=$B$175)),$B$66,IF($B$172-MAX(363-1,$B$174)&gt;0,IF(B763=0,0,IF(C763=0,B763/($B$172-MAX(363-1,$B$174)),B763*(C763/12)/(1-(1+C763/12)^(-($B$172-MAX(363-1,$B$174)))))),"")),D762))))),IF(IF(AND(363&lt;=$B$174,363&lt;=$B$173),B763*C763/12,IF(AND(363=$B$173+1,AND(363&gt;$B$173,$B$78="Refinance",ISNUMBER($B$80),$B$80&gt;=0,$B$80&lt;=1,ROUND($B$81*12,0)&gt;=1,$B$81&lt;=100,SUM($B$82)&gt;=0,SUM($B$82)&lt;=1,SUM($B$83)&gt;=0)),IF(B763=0,0,IF(C763=0,B763/ROUND($B$81*12,0),B763*(C763/12)/(1-(1+C763/12)^(-ROUND($B$81*12,0))))),IF(AND(NOT(AND(363&gt;$B$173,$B$78="Refinance",ISNUMBER($B$80),$B$80&gt;=0,$B$80&lt;=1,ROUND($B$81*12,0)&gt;=1,$B$81&lt;=100,SUM($B$82)&gt;=0,SUM($B$82)&lt;=1,SUM($B$83)&gt;=0)),OR(363=1,363=$B$174+1,AND($B$175&gt;0,363=$B$175+1))),IF(AND($B$170=1,$B$66&gt;0,OR($B$175=0,363&lt;=$B$175)),$B$66,IF($B$172-MAX(363-1,$B$174)&gt;0,IF(B763=0,0,IF(C763=0,B763/($B$172-MAX(363-1,$B$174)),B763*(C763/12)/(1-(1+C763/12)^(-($B$172-MAX(363-1,$B$174)))))),"")),D762)))+0.0000001&gt;=B763*C763/12,MIN(B763*(1+C763/12),IF(AND(363&lt;=$B$174,363&lt;=$B$173),B763*C763/12,IF(AND(363=$B$173+1,AND(363&gt;$B$173,$B$78="Refinance",ISNUMBER($B$80),$B$80&gt;=0,$B$80&lt;=1,ROUND($B$81*12,0)&gt;=1,$B$81&lt;=100,SUM($B$82)&gt;=0,SUM($B$82)&lt;=1,SUM($B$83)&gt;=0)),IF(B763=0,0,IF(C763=0,B763/ROUND($B$81*12,0),B763*(C763/12)/(1-(1+C763/12)^(-ROUND($B$81*12,0))))),IF(AND(NOT(AND(363&gt;$B$173,$B$78="Refinance",ISNUMBER($B$80),$B$80&gt;=0,$B$80&lt;=1,ROUND($B$81*12,0)&gt;=1,$B$81&lt;=100,SUM($B$82)&gt;=0,SUM($B$82)&lt;=1,SUM($B$83)&gt;=0)),OR(363=1,363=$B$174+1,AND($B$175&gt;0,363=$B$175+1))),IF(AND($B$170=1,$B$66&gt;0,OR($B$175=0,363&lt;=$B$175)),$B$66,IF($B$172-MAX(363-1,$B$174)&gt;0,IF(B763=0,0,IF(C763=0,B763/($B$172-MAX(363-1,$B$174)),B763*(C763/12)/(1-(1+C763/12)^(-($B$172-MAX(363-1,$B$174)))))),"")),D762)))),""),""))</x:f>
        <x:v>0</x:v>
      </x:c>
      <x:c r="E763" s="440" t="n">
        <x:f>IF(AND(363=$B$173,ISNUMBER(D763)),IF(MAX(0,B763*(1+C763/12)-D763)&lt;MAX(0.0000001,$E$17*0.00000000001),0,MAX(0,B763*(1+C763/12)-D763)),0)</x:f>
        <x:v>0</x:v>
      </x:c>
      <x:c r="F763" s="440" t="n">
        <x:f>IF($B$78="Cash payoff",E763,0)</x:f>
        <x:v>0</x:v>
      </x:c>
      <x:c r="G763" s="440" t="n">
        <x:f>IF(AND(E763&gt;0,AND($B$78="Refinance",ISNUMBER($B$80),$B$80&gt;=0,$B$80&lt;=1,ROUND($B$81*12,0)&gt;=1,$B$81&lt;=100,SUM($B$82)&gt;=0,SUM($B$82)&lt;=1,SUM($B$83)&gt;=0)),E763*SUM($B$82)+SUM($B$83),0)</x:f>
        <x:v>0</x:v>
      </x:c>
      <x:c r="H763" s="440" t="n">
        <x:f>IF(ISNUMBER(D763),IF(MAX(0,B763*(1+C763/12)-D763-F763)&lt;MAX(0.0000001,$E$17*0.00000000001),0,MAX(0,B763*(1+C763/12)-D763-F763)),IF(AND($B$171=1,I762=1),B763,""))</x:f>
        <x:v>0</x:v>
      </x:c>
      <x:c r="I763" s="444" t="n">
        <x:f>IF(OR(I762=1,AND(E763&gt;0,$B$78&lt;&gt;"Cash payoff",NOT(AND($B$78="Refinance",ISNUMBER($B$80),$B$80&gt;=0,$B$80&lt;=1,ROUND($B$81*12,0)&gt;=1,$B$81&lt;=100,SUM($B$82)&gt;=0,SUM($B$82)&lt;=1,SUM($B$83)&gt;=0))),AND(ISNUMBER(B763),B763&gt;0,$B$171=1,NOT(ISNUMBER(D763)))),1,0)</x:f>
        <x:v>0</x:v>
      </x:c>
      <x:c r="J763" s="440" t="n">
        <x:f>IF(ISNUMBER(L762),L762,"")</x:f>
        <x:v>0</x:v>
      </x:c>
      <x:c r="K763" s="440" t="n">
        <x:f>IF(AND(ISNUMBER(J763),J763=0),0,IF(AND($B$176=1,ISNUMBER(J763)),MIN(J763*(1+$B$87/12),IF($B$86=0,0,IF($B$87=0,$B$86/ROUND($B$88*12,0),$B$86*($B$87/12)/(1-(1+$B$87/12)^(-ROUND($B$88*12,0)))))),""))</x:f>
        <x:v>0</x:v>
      </x:c>
      <x:c r="L763" s="440" t="n">
        <x:f>IF(ISNUMBER(K763),IF(MAX(0,J763*(1+SUM($B$87)/12)-K763)&lt;MAX(0.0000001,$B$86*0.00000000001),0,MAX(0,J763*(1+SUM($B$87)/12)-K763)),"")</x:f>
        <x:v>0</x:v>
      </x:c>
      <x:c r="M763" s="440" t="n">
        <x:f>IF(AND(ISNUMBER(D763),ISNUMBER(K763)),D763+K763,"")</x:f>
        <x:v>0</x:v>
      </x:c>
      <x:c r="N763" s="440" t="n">
        <x:f>IF(AND(ISNUMBER(H763),ISNUMBER(L763)),H763+L763,"")</x:f>
        <x:v>0</x:v>
      </x:c>
    </x:row>
    <x:row r="764" ht="22" customHeight="1">
      <x:c r="A764" s="254" t="n">
        <x:f>364</x:f>
        <x:v>364</x:v>
      </x:c>
      <x:c r="B764" s="440" t="n">
        <x:f>IF(ISNUMBER(H763),H763,"")</x:f>
        <x:v>0</x:v>
      </x:c>
      <x:c r="C764" s="442" t="n">
        <x:f>IF(ISNUMBER(B764),IF(AND(364&gt;$B$173,$B$78="Refinance",ISNUMBER($B$80),$B$80&gt;=0,$B$80&lt;=1,ROUND($B$81*12,0)&gt;=1,$B$81&lt;=100,SUM($B$82)&gt;=0,SUM($B$82)&lt;=1,SUM($B$83)&gt;=0),$B$80,IF(AND($B$175&gt;0,364&gt;$B$175,ISNUMBER($B$75)),$B$75,$B$61)),"")</x:f>
        <x:v>0.0625</x:v>
      </x:c>
      <x:c r="D764" s="440" t="n">
        <x:f>IF(AND(ISNUMBER(B764),B764=0),0,IF(AND($B$171=1,I763=0,ISNUMBER(C764),ISNUMBER(IF(AND(364&lt;=$B$174,364&lt;=$B$173),B764*C764/12,IF(AND(364=$B$173+1,AND(364&gt;$B$173,$B$78="Refinance",ISNUMBER($B$80),$B$80&gt;=0,$B$80&lt;=1,ROUND($B$81*12,0)&gt;=1,$B$81&lt;=100,SUM($B$82)&gt;=0,SUM($B$82)&lt;=1,SUM($B$83)&gt;=0)),IF(B764=0,0,IF(C764=0,B764/ROUND($B$81*12,0),B764*(C764/12)/(1-(1+C764/12)^(-ROUND($B$81*12,0))))),IF(AND(NOT(AND(364&gt;$B$173,$B$78="Refinance",ISNUMBER($B$80),$B$80&gt;=0,$B$80&lt;=1,ROUND($B$81*12,0)&gt;=1,$B$81&lt;=100,SUM($B$82)&gt;=0,SUM($B$82)&lt;=1,SUM($B$83)&gt;=0)),OR(364=1,364=$B$174+1,AND($B$175&gt;0,364=$B$175+1))),IF(AND($B$170=1,$B$66&gt;0,OR($B$175=0,364&lt;=$B$175)),$B$66,IF($B$172-MAX(364-1,$B$174)&gt;0,IF(B764=0,0,IF(C764=0,B764/($B$172-MAX(364-1,$B$174)),B764*(C764/12)/(1-(1+C764/12)^(-($B$172-MAX(364-1,$B$174)))))),"")),D763))))),IF(IF(AND(364&lt;=$B$174,364&lt;=$B$173),B764*C764/12,IF(AND(364=$B$173+1,AND(364&gt;$B$173,$B$78="Refinance",ISNUMBER($B$80),$B$80&gt;=0,$B$80&lt;=1,ROUND($B$81*12,0)&gt;=1,$B$81&lt;=100,SUM($B$82)&gt;=0,SUM($B$82)&lt;=1,SUM($B$83)&gt;=0)),IF(B764=0,0,IF(C764=0,B764/ROUND($B$81*12,0),B764*(C764/12)/(1-(1+C764/12)^(-ROUND($B$81*12,0))))),IF(AND(NOT(AND(364&gt;$B$173,$B$78="Refinance",ISNUMBER($B$80),$B$80&gt;=0,$B$80&lt;=1,ROUND($B$81*12,0)&gt;=1,$B$81&lt;=100,SUM($B$82)&gt;=0,SUM($B$82)&lt;=1,SUM($B$83)&gt;=0)),OR(364=1,364=$B$174+1,AND($B$175&gt;0,364=$B$175+1))),IF(AND($B$170=1,$B$66&gt;0,OR($B$175=0,364&lt;=$B$175)),$B$66,IF($B$172-MAX(364-1,$B$174)&gt;0,IF(B764=0,0,IF(C764=0,B764/($B$172-MAX(364-1,$B$174)),B764*(C764/12)/(1-(1+C764/12)^(-($B$172-MAX(364-1,$B$174)))))),"")),D763)))+0.0000001&gt;=B764*C764/12,MIN(B764*(1+C764/12),IF(AND(364&lt;=$B$174,364&lt;=$B$173),B764*C764/12,IF(AND(364=$B$173+1,AND(364&gt;$B$173,$B$78="Refinance",ISNUMBER($B$80),$B$80&gt;=0,$B$80&lt;=1,ROUND($B$81*12,0)&gt;=1,$B$81&lt;=100,SUM($B$82)&gt;=0,SUM($B$82)&lt;=1,SUM($B$83)&gt;=0)),IF(B764=0,0,IF(C764=0,B764/ROUND($B$81*12,0),B764*(C764/12)/(1-(1+C764/12)^(-ROUND($B$81*12,0))))),IF(AND(NOT(AND(364&gt;$B$173,$B$78="Refinance",ISNUMBER($B$80),$B$80&gt;=0,$B$80&lt;=1,ROUND($B$81*12,0)&gt;=1,$B$81&lt;=100,SUM($B$82)&gt;=0,SUM($B$82)&lt;=1,SUM($B$83)&gt;=0)),OR(364=1,364=$B$174+1,AND($B$175&gt;0,364=$B$175+1))),IF(AND($B$170=1,$B$66&gt;0,OR($B$175=0,364&lt;=$B$175)),$B$66,IF($B$172-MAX(364-1,$B$174)&gt;0,IF(B764=0,0,IF(C764=0,B764/($B$172-MAX(364-1,$B$174)),B764*(C764/12)/(1-(1+C764/12)^(-($B$172-MAX(364-1,$B$174)))))),"")),D763)))),""),""))</x:f>
        <x:v>0</x:v>
      </x:c>
      <x:c r="E764" s="440" t="n">
        <x:f>IF(AND(364=$B$173,ISNUMBER(D764)),IF(MAX(0,B764*(1+C764/12)-D764)&lt;MAX(0.0000001,$E$17*0.00000000001),0,MAX(0,B764*(1+C764/12)-D764)),0)</x:f>
        <x:v>0</x:v>
      </x:c>
      <x:c r="F764" s="440" t="n">
        <x:f>IF($B$78="Cash payoff",E764,0)</x:f>
        <x:v>0</x:v>
      </x:c>
      <x:c r="G764" s="440" t="n">
        <x:f>IF(AND(E764&gt;0,AND($B$78="Refinance",ISNUMBER($B$80),$B$80&gt;=0,$B$80&lt;=1,ROUND($B$81*12,0)&gt;=1,$B$81&lt;=100,SUM($B$82)&gt;=0,SUM($B$82)&lt;=1,SUM($B$83)&gt;=0)),E764*SUM($B$82)+SUM($B$83),0)</x:f>
        <x:v>0</x:v>
      </x:c>
      <x:c r="H764" s="440" t="n">
        <x:f>IF(ISNUMBER(D764),IF(MAX(0,B764*(1+C764/12)-D764-F764)&lt;MAX(0.0000001,$E$17*0.00000000001),0,MAX(0,B764*(1+C764/12)-D764-F764)),IF(AND($B$171=1,I763=1),B764,""))</x:f>
        <x:v>0</x:v>
      </x:c>
      <x:c r="I764" s="444" t="n">
        <x:f>IF(OR(I763=1,AND(E764&gt;0,$B$78&lt;&gt;"Cash payoff",NOT(AND($B$78="Refinance",ISNUMBER($B$80),$B$80&gt;=0,$B$80&lt;=1,ROUND($B$81*12,0)&gt;=1,$B$81&lt;=100,SUM($B$82)&gt;=0,SUM($B$82)&lt;=1,SUM($B$83)&gt;=0))),AND(ISNUMBER(B764),B764&gt;0,$B$171=1,NOT(ISNUMBER(D764)))),1,0)</x:f>
        <x:v>0</x:v>
      </x:c>
      <x:c r="J764" s="440" t="n">
        <x:f>IF(ISNUMBER(L763),L763,"")</x:f>
        <x:v>0</x:v>
      </x:c>
      <x:c r="K764" s="440" t="n">
        <x:f>IF(AND(ISNUMBER(J764),J764=0),0,IF(AND($B$176=1,ISNUMBER(J764)),MIN(J764*(1+$B$87/12),IF($B$86=0,0,IF($B$87=0,$B$86/ROUND($B$88*12,0),$B$86*($B$87/12)/(1-(1+$B$87/12)^(-ROUND($B$88*12,0)))))),""))</x:f>
        <x:v>0</x:v>
      </x:c>
      <x:c r="L764" s="440" t="n">
        <x:f>IF(ISNUMBER(K764),IF(MAX(0,J764*(1+SUM($B$87)/12)-K764)&lt;MAX(0.0000001,$B$86*0.00000000001),0,MAX(0,J764*(1+SUM($B$87)/12)-K764)),"")</x:f>
        <x:v>0</x:v>
      </x:c>
      <x:c r="M764" s="440" t="n">
        <x:f>IF(AND(ISNUMBER(D764),ISNUMBER(K764)),D764+K764,"")</x:f>
        <x:v>0</x:v>
      </x:c>
      <x:c r="N764" s="440" t="n">
        <x:f>IF(AND(ISNUMBER(H764),ISNUMBER(L764)),H764+L764,"")</x:f>
        <x:v>0</x:v>
      </x:c>
    </x:row>
    <x:row r="765" ht="22" customHeight="1">
      <x:c r="A765" s="254" t="n">
        <x:f>365</x:f>
        <x:v>365</x:v>
      </x:c>
      <x:c r="B765" s="440" t="n">
        <x:f>IF(ISNUMBER(H764),H764,"")</x:f>
        <x:v>0</x:v>
      </x:c>
      <x:c r="C765" s="442" t="n">
        <x:f>IF(ISNUMBER(B765),IF(AND(365&gt;$B$173,$B$78="Refinance",ISNUMBER($B$80),$B$80&gt;=0,$B$80&lt;=1,ROUND($B$81*12,0)&gt;=1,$B$81&lt;=100,SUM($B$82)&gt;=0,SUM($B$82)&lt;=1,SUM($B$83)&gt;=0),$B$80,IF(AND($B$175&gt;0,365&gt;$B$175,ISNUMBER($B$75)),$B$75,$B$61)),"")</x:f>
        <x:v>0.0625</x:v>
      </x:c>
      <x:c r="D765" s="440" t="n">
        <x:f>IF(AND(ISNUMBER(B765),B765=0),0,IF(AND($B$171=1,I764=0,ISNUMBER(C765),ISNUMBER(IF(AND(365&lt;=$B$174,365&lt;=$B$173),B765*C765/12,IF(AND(365=$B$173+1,AND(365&gt;$B$173,$B$78="Refinance",ISNUMBER($B$80),$B$80&gt;=0,$B$80&lt;=1,ROUND($B$81*12,0)&gt;=1,$B$81&lt;=100,SUM($B$82)&gt;=0,SUM($B$82)&lt;=1,SUM($B$83)&gt;=0)),IF(B765=0,0,IF(C765=0,B765/ROUND($B$81*12,0),B765*(C765/12)/(1-(1+C765/12)^(-ROUND($B$81*12,0))))),IF(AND(NOT(AND(365&gt;$B$173,$B$78="Refinance",ISNUMBER($B$80),$B$80&gt;=0,$B$80&lt;=1,ROUND($B$81*12,0)&gt;=1,$B$81&lt;=100,SUM($B$82)&gt;=0,SUM($B$82)&lt;=1,SUM($B$83)&gt;=0)),OR(365=1,365=$B$174+1,AND($B$175&gt;0,365=$B$175+1))),IF(AND($B$170=1,$B$66&gt;0,OR($B$175=0,365&lt;=$B$175)),$B$66,IF($B$172-MAX(365-1,$B$174)&gt;0,IF(B765=0,0,IF(C765=0,B765/($B$172-MAX(365-1,$B$174)),B765*(C765/12)/(1-(1+C765/12)^(-($B$172-MAX(365-1,$B$174)))))),"")),D764))))),IF(IF(AND(365&lt;=$B$174,365&lt;=$B$173),B765*C765/12,IF(AND(365=$B$173+1,AND(365&gt;$B$173,$B$78="Refinance",ISNUMBER($B$80),$B$80&gt;=0,$B$80&lt;=1,ROUND($B$81*12,0)&gt;=1,$B$81&lt;=100,SUM($B$82)&gt;=0,SUM($B$82)&lt;=1,SUM($B$83)&gt;=0)),IF(B765=0,0,IF(C765=0,B765/ROUND($B$81*12,0),B765*(C765/12)/(1-(1+C765/12)^(-ROUND($B$81*12,0))))),IF(AND(NOT(AND(365&gt;$B$173,$B$78="Refinance",ISNUMBER($B$80),$B$80&gt;=0,$B$80&lt;=1,ROUND($B$81*12,0)&gt;=1,$B$81&lt;=100,SUM($B$82)&gt;=0,SUM($B$82)&lt;=1,SUM($B$83)&gt;=0)),OR(365=1,365=$B$174+1,AND($B$175&gt;0,365=$B$175+1))),IF(AND($B$170=1,$B$66&gt;0,OR($B$175=0,365&lt;=$B$175)),$B$66,IF($B$172-MAX(365-1,$B$174)&gt;0,IF(B765=0,0,IF(C765=0,B765/($B$172-MAX(365-1,$B$174)),B765*(C765/12)/(1-(1+C765/12)^(-($B$172-MAX(365-1,$B$174)))))),"")),D764)))+0.0000001&gt;=B765*C765/12,MIN(B765*(1+C765/12),IF(AND(365&lt;=$B$174,365&lt;=$B$173),B765*C765/12,IF(AND(365=$B$173+1,AND(365&gt;$B$173,$B$78="Refinance",ISNUMBER($B$80),$B$80&gt;=0,$B$80&lt;=1,ROUND($B$81*12,0)&gt;=1,$B$81&lt;=100,SUM($B$82)&gt;=0,SUM($B$82)&lt;=1,SUM($B$83)&gt;=0)),IF(B765=0,0,IF(C765=0,B765/ROUND($B$81*12,0),B765*(C765/12)/(1-(1+C765/12)^(-ROUND($B$81*12,0))))),IF(AND(NOT(AND(365&gt;$B$173,$B$78="Refinance",ISNUMBER($B$80),$B$80&gt;=0,$B$80&lt;=1,ROUND($B$81*12,0)&gt;=1,$B$81&lt;=100,SUM($B$82)&gt;=0,SUM($B$82)&lt;=1,SUM($B$83)&gt;=0)),OR(365=1,365=$B$174+1,AND($B$175&gt;0,365=$B$175+1))),IF(AND($B$170=1,$B$66&gt;0,OR($B$175=0,365&lt;=$B$175)),$B$66,IF($B$172-MAX(365-1,$B$174)&gt;0,IF(B765=0,0,IF(C765=0,B765/($B$172-MAX(365-1,$B$174)),B765*(C765/12)/(1-(1+C765/12)^(-($B$172-MAX(365-1,$B$174)))))),"")),D764)))),""),""))</x:f>
        <x:v>0</x:v>
      </x:c>
      <x:c r="E765" s="440" t="n">
        <x:f>IF(AND(365=$B$173,ISNUMBER(D765)),IF(MAX(0,B765*(1+C765/12)-D765)&lt;MAX(0.0000001,$E$17*0.00000000001),0,MAX(0,B765*(1+C765/12)-D765)),0)</x:f>
        <x:v>0</x:v>
      </x:c>
      <x:c r="F765" s="440" t="n">
        <x:f>IF($B$78="Cash payoff",E765,0)</x:f>
        <x:v>0</x:v>
      </x:c>
      <x:c r="G765" s="440" t="n">
        <x:f>IF(AND(E765&gt;0,AND($B$78="Refinance",ISNUMBER($B$80),$B$80&gt;=0,$B$80&lt;=1,ROUND($B$81*12,0)&gt;=1,$B$81&lt;=100,SUM($B$82)&gt;=0,SUM($B$82)&lt;=1,SUM($B$83)&gt;=0)),E765*SUM($B$82)+SUM($B$83),0)</x:f>
        <x:v>0</x:v>
      </x:c>
      <x:c r="H765" s="440" t="n">
        <x:f>IF(ISNUMBER(D765),IF(MAX(0,B765*(1+C765/12)-D765-F765)&lt;MAX(0.0000001,$E$17*0.00000000001),0,MAX(0,B765*(1+C765/12)-D765-F765)),IF(AND($B$171=1,I764=1),B765,""))</x:f>
        <x:v>0</x:v>
      </x:c>
      <x:c r="I765" s="444" t="n">
        <x:f>IF(OR(I764=1,AND(E765&gt;0,$B$78&lt;&gt;"Cash payoff",NOT(AND($B$78="Refinance",ISNUMBER($B$80),$B$80&gt;=0,$B$80&lt;=1,ROUND($B$81*12,0)&gt;=1,$B$81&lt;=100,SUM($B$82)&gt;=0,SUM($B$82)&lt;=1,SUM($B$83)&gt;=0))),AND(ISNUMBER(B765),B765&gt;0,$B$171=1,NOT(ISNUMBER(D765)))),1,0)</x:f>
        <x:v>0</x:v>
      </x:c>
      <x:c r="J765" s="440" t="n">
        <x:f>IF(ISNUMBER(L764),L764,"")</x:f>
        <x:v>0</x:v>
      </x:c>
      <x:c r="K765" s="440" t="n">
        <x:f>IF(AND(ISNUMBER(J765),J765=0),0,IF(AND($B$176=1,ISNUMBER(J765)),MIN(J765*(1+$B$87/12),IF($B$86=0,0,IF($B$87=0,$B$86/ROUND($B$88*12,0),$B$86*($B$87/12)/(1-(1+$B$87/12)^(-ROUND($B$88*12,0)))))),""))</x:f>
        <x:v>0</x:v>
      </x:c>
      <x:c r="L765" s="440" t="n">
        <x:f>IF(ISNUMBER(K765),IF(MAX(0,J765*(1+SUM($B$87)/12)-K765)&lt;MAX(0.0000001,$B$86*0.00000000001),0,MAX(0,J765*(1+SUM($B$87)/12)-K765)),"")</x:f>
        <x:v>0</x:v>
      </x:c>
      <x:c r="M765" s="440" t="n">
        <x:f>IF(AND(ISNUMBER(D765),ISNUMBER(K765)),D765+K765,"")</x:f>
        <x:v>0</x:v>
      </x:c>
      <x:c r="N765" s="440" t="n">
        <x:f>IF(AND(ISNUMBER(H765),ISNUMBER(L765)),H765+L765,"")</x:f>
        <x:v>0</x:v>
      </x:c>
    </x:row>
    <x:row r="766" ht="22" customHeight="1">
      <x:c r="A766" s="254" t="n">
        <x:f>366</x:f>
        <x:v>366</x:v>
      </x:c>
      <x:c r="B766" s="440" t="n">
        <x:f>IF(ISNUMBER(H765),H765,"")</x:f>
        <x:v>0</x:v>
      </x:c>
      <x:c r="C766" s="442" t="n">
        <x:f>IF(ISNUMBER(B766),IF(AND(366&gt;$B$173,$B$78="Refinance",ISNUMBER($B$80),$B$80&gt;=0,$B$80&lt;=1,ROUND($B$81*12,0)&gt;=1,$B$81&lt;=100,SUM($B$82)&gt;=0,SUM($B$82)&lt;=1,SUM($B$83)&gt;=0),$B$80,IF(AND($B$175&gt;0,366&gt;$B$175,ISNUMBER($B$75)),$B$75,$B$61)),"")</x:f>
        <x:v>0.0625</x:v>
      </x:c>
      <x:c r="D766" s="440" t="n">
        <x:f>IF(AND(ISNUMBER(B766),B766=0),0,IF(AND($B$171=1,I765=0,ISNUMBER(C766),ISNUMBER(IF(AND(366&lt;=$B$174,366&lt;=$B$173),B766*C766/12,IF(AND(366=$B$173+1,AND(366&gt;$B$173,$B$78="Refinance",ISNUMBER($B$80),$B$80&gt;=0,$B$80&lt;=1,ROUND($B$81*12,0)&gt;=1,$B$81&lt;=100,SUM($B$82)&gt;=0,SUM($B$82)&lt;=1,SUM($B$83)&gt;=0)),IF(B766=0,0,IF(C766=0,B766/ROUND($B$81*12,0),B766*(C766/12)/(1-(1+C766/12)^(-ROUND($B$81*12,0))))),IF(AND(NOT(AND(366&gt;$B$173,$B$78="Refinance",ISNUMBER($B$80),$B$80&gt;=0,$B$80&lt;=1,ROUND($B$81*12,0)&gt;=1,$B$81&lt;=100,SUM($B$82)&gt;=0,SUM($B$82)&lt;=1,SUM($B$83)&gt;=0)),OR(366=1,366=$B$174+1,AND($B$175&gt;0,366=$B$175+1))),IF(AND($B$170=1,$B$66&gt;0,OR($B$175=0,366&lt;=$B$175)),$B$66,IF($B$172-MAX(366-1,$B$174)&gt;0,IF(B766=0,0,IF(C766=0,B766/($B$172-MAX(366-1,$B$174)),B766*(C766/12)/(1-(1+C766/12)^(-($B$172-MAX(366-1,$B$174)))))),"")),D765))))),IF(IF(AND(366&lt;=$B$174,366&lt;=$B$173),B766*C766/12,IF(AND(366=$B$173+1,AND(366&gt;$B$173,$B$78="Refinance",ISNUMBER($B$80),$B$80&gt;=0,$B$80&lt;=1,ROUND($B$81*12,0)&gt;=1,$B$81&lt;=100,SUM($B$82)&gt;=0,SUM($B$82)&lt;=1,SUM($B$83)&gt;=0)),IF(B766=0,0,IF(C766=0,B766/ROUND($B$81*12,0),B766*(C766/12)/(1-(1+C766/12)^(-ROUND($B$81*12,0))))),IF(AND(NOT(AND(366&gt;$B$173,$B$78="Refinance",ISNUMBER($B$80),$B$80&gt;=0,$B$80&lt;=1,ROUND($B$81*12,0)&gt;=1,$B$81&lt;=100,SUM($B$82)&gt;=0,SUM($B$82)&lt;=1,SUM($B$83)&gt;=0)),OR(366=1,366=$B$174+1,AND($B$175&gt;0,366=$B$175+1))),IF(AND($B$170=1,$B$66&gt;0,OR($B$175=0,366&lt;=$B$175)),$B$66,IF($B$172-MAX(366-1,$B$174)&gt;0,IF(B766=0,0,IF(C766=0,B766/($B$172-MAX(366-1,$B$174)),B766*(C766/12)/(1-(1+C766/12)^(-($B$172-MAX(366-1,$B$174)))))),"")),D765)))+0.0000001&gt;=B766*C766/12,MIN(B766*(1+C766/12),IF(AND(366&lt;=$B$174,366&lt;=$B$173),B766*C766/12,IF(AND(366=$B$173+1,AND(366&gt;$B$173,$B$78="Refinance",ISNUMBER($B$80),$B$80&gt;=0,$B$80&lt;=1,ROUND($B$81*12,0)&gt;=1,$B$81&lt;=100,SUM($B$82)&gt;=0,SUM($B$82)&lt;=1,SUM($B$83)&gt;=0)),IF(B766=0,0,IF(C766=0,B766/ROUND($B$81*12,0),B766*(C766/12)/(1-(1+C766/12)^(-ROUND($B$81*12,0))))),IF(AND(NOT(AND(366&gt;$B$173,$B$78="Refinance",ISNUMBER($B$80),$B$80&gt;=0,$B$80&lt;=1,ROUND($B$81*12,0)&gt;=1,$B$81&lt;=100,SUM($B$82)&gt;=0,SUM($B$82)&lt;=1,SUM($B$83)&gt;=0)),OR(366=1,366=$B$174+1,AND($B$175&gt;0,366=$B$175+1))),IF(AND($B$170=1,$B$66&gt;0,OR($B$175=0,366&lt;=$B$175)),$B$66,IF($B$172-MAX(366-1,$B$174)&gt;0,IF(B766=0,0,IF(C766=0,B766/($B$172-MAX(366-1,$B$174)),B766*(C766/12)/(1-(1+C766/12)^(-($B$172-MAX(366-1,$B$174)))))),"")),D765)))),""),""))</x:f>
        <x:v>0</x:v>
      </x:c>
      <x:c r="E766" s="440" t="n">
        <x:f>IF(AND(366=$B$173,ISNUMBER(D766)),IF(MAX(0,B766*(1+C766/12)-D766)&lt;MAX(0.0000001,$E$17*0.00000000001),0,MAX(0,B766*(1+C766/12)-D766)),0)</x:f>
        <x:v>0</x:v>
      </x:c>
      <x:c r="F766" s="440" t="n">
        <x:f>IF($B$78="Cash payoff",E766,0)</x:f>
        <x:v>0</x:v>
      </x:c>
      <x:c r="G766" s="440" t="n">
        <x:f>IF(AND(E766&gt;0,AND($B$78="Refinance",ISNUMBER($B$80),$B$80&gt;=0,$B$80&lt;=1,ROUND($B$81*12,0)&gt;=1,$B$81&lt;=100,SUM($B$82)&gt;=0,SUM($B$82)&lt;=1,SUM($B$83)&gt;=0)),E766*SUM($B$82)+SUM($B$83),0)</x:f>
        <x:v>0</x:v>
      </x:c>
      <x:c r="H766" s="440" t="n">
        <x:f>IF(ISNUMBER(D766),IF(MAX(0,B766*(1+C766/12)-D766-F766)&lt;MAX(0.0000001,$E$17*0.00000000001),0,MAX(0,B766*(1+C766/12)-D766-F766)),IF(AND($B$171=1,I765=1),B766,""))</x:f>
        <x:v>0</x:v>
      </x:c>
      <x:c r="I766" s="444" t="n">
        <x:f>IF(OR(I765=1,AND(E766&gt;0,$B$78&lt;&gt;"Cash payoff",NOT(AND($B$78="Refinance",ISNUMBER($B$80),$B$80&gt;=0,$B$80&lt;=1,ROUND($B$81*12,0)&gt;=1,$B$81&lt;=100,SUM($B$82)&gt;=0,SUM($B$82)&lt;=1,SUM($B$83)&gt;=0))),AND(ISNUMBER(B766),B766&gt;0,$B$171=1,NOT(ISNUMBER(D766)))),1,0)</x:f>
        <x:v>0</x:v>
      </x:c>
      <x:c r="J766" s="440" t="n">
        <x:f>IF(ISNUMBER(L765),L765,"")</x:f>
        <x:v>0</x:v>
      </x:c>
      <x:c r="K766" s="440" t="n">
        <x:f>IF(AND(ISNUMBER(J766),J766=0),0,IF(AND($B$176=1,ISNUMBER(J766)),MIN(J766*(1+$B$87/12),IF($B$86=0,0,IF($B$87=0,$B$86/ROUND($B$88*12,0),$B$86*($B$87/12)/(1-(1+$B$87/12)^(-ROUND($B$88*12,0)))))),""))</x:f>
        <x:v>0</x:v>
      </x:c>
      <x:c r="L766" s="440" t="n">
        <x:f>IF(ISNUMBER(K766),IF(MAX(0,J766*(1+SUM($B$87)/12)-K766)&lt;MAX(0.0000001,$B$86*0.00000000001),0,MAX(0,J766*(1+SUM($B$87)/12)-K766)),"")</x:f>
        <x:v>0</x:v>
      </x:c>
      <x:c r="M766" s="440" t="n">
        <x:f>IF(AND(ISNUMBER(D766),ISNUMBER(K766)),D766+K766,"")</x:f>
        <x:v>0</x:v>
      </x:c>
      <x:c r="N766" s="440" t="n">
        <x:f>IF(AND(ISNUMBER(H766),ISNUMBER(L766)),H766+L766,"")</x:f>
        <x:v>0</x:v>
      </x:c>
    </x:row>
    <x:row r="767" ht="22" customHeight="1">
      <x:c r="A767" s="254" t="n">
        <x:f>367</x:f>
        <x:v>367</x:v>
      </x:c>
      <x:c r="B767" s="440" t="n">
        <x:f>IF(ISNUMBER(H766),H766,"")</x:f>
        <x:v>0</x:v>
      </x:c>
      <x:c r="C767" s="442" t="n">
        <x:f>IF(ISNUMBER(B767),IF(AND(367&gt;$B$173,$B$78="Refinance",ISNUMBER($B$80),$B$80&gt;=0,$B$80&lt;=1,ROUND($B$81*12,0)&gt;=1,$B$81&lt;=100,SUM($B$82)&gt;=0,SUM($B$82)&lt;=1,SUM($B$83)&gt;=0),$B$80,IF(AND($B$175&gt;0,367&gt;$B$175,ISNUMBER($B$75)),$B$75,$B$61)),"")</x:f>
        <x:v>0.0625</x:v>
      </x:c>
      <x:c r="D767" s="440" t="n">
        <x:f>IF(AND(ISNUMBER(B767),B767=0),0,IF(AND($B$171=1,I766=0,ISNUMBER(C767),ISNUMBER(IF(AND(367&lt;=$B$174,367&lt;=$B$173),B767*C767/12,IF(AND(367=$B$173+1,AND(367&gt;$B$173,$B$78="Refinance",ISNUMBER($B$80),$B$80&gt;=0,$B$80&lt;=1,ROUND($B$81*12,0)&gt;=1,$B$81&lt;=100,SUM($B$82)&gt;=0,SUM($B$82)&lt;=1,SUM($B$83)&gt;=0)),IF(B767=0,0,IF(C767=0,B767/ROUND($B$81*12,0),B767*(C767/12)/(1-(1+C767/12)^(-ROUND($B$81*12,0))))),IF(AND(NOT(AND(367&gt;$B$173,$B$78="Refinance",ISNUMBER($B$80),$B$80&gt;=0,$B$80&lt;=1,ROUND($B$81*12,0)&gt;=1,$B$81&lt;=100,SUM($B$82)&gt;=0,SUM($B$82)&lt;=1,SUM($B$83)&gt;=0)),OR(367=1,367=$B$174+1,AND($B$175&gt;0,367=$B$175+1))),IF(AND($B$170=1,$B$66&gt;0,OR($B$175=0,367&lt;=$B$175)),$B$66,IF($B$172-MAX(367-1,$B$174)&gt;0,IF(B767=0,0,IF(C767=0,B767/($B$172-MAX(367-1,$B$174)),B767*(C767/12)/(1-(1+C767/12)^(-($B$172-MAX(367-1,$B$174)))))),"")),D766))))),IF(IF(AND(367&lt;=$B$174,367&lt;=$B$173),B767*C767/12,IF(AND(367=$B$173+1,AND(367&gt;$B$173,$B$78="Refinance",ISNUMBER($B$80),$B$80&gt;=0,$B$80&lt;=1,ROUND($B$81*12,0)&gt;=1,$B$81&lt;=100,SUM($B$82)&gt;=0,SUM($B$82)&lt;=1,SUM($B$83)&gt;=0)),IF(B767=0,0,IF(C767=0,B767/ROUND($B$81*12,0),B767*(C767/12)/(1-(1+C767/12)^(-ROUND($B$81*12,0))))),IF(AND(NOT(AND(367&gt;$B$173,$B$78="Refinance",ISNUMBER($B$80),$B$80&gt;=0,$B$80&lt;=1,ROUND($B$81*12,0)&gt;=1,$B$81&lt;=100,SUM($B$82)&gt;=0,SUM($B$82)&lt;=1,SUM($B$83)&gt;=0)),OR(367=1,367=$B$174+1,AND($B$175&gt;0,367=$B$175+1))),IF(AND($B$170=1,$B$66&gt;0,OR($B$175=0,367&lt;=$B$175)),$B$66,IF($B$172-MAX(367-1,$B$174)&gt;0,IF(B767=0,0,IF(C767=0,B767/($B$172-MAX(367-1,$B$174)),B767*(C767/12)/(1-(1+C767/12)^(-($B$172-MAX(367-1,$B$174)))))),"")),D766)))+0.0000001&gt;=B767*C767/12,MIN(B767*(1+C767/12),IF(AND(367&lt;=$B$174,367&lt;=$B$173),B767*C767/12,IF(AND(367=$B$173+1,AND(367&gt;$B$173,$B$78="Refinance",ISNUMBER($B$80),$B$80&gt;=0,$B$80&lt;=1,ROUND($B$81*12,0)&gt;=1,$B$81&lt;=100,SUM($B$82)&gt;=0,SUM($B$82)&lt;=1,SUM($B$83)&gt;=0)),IF(B767=0,0,IF(C767=0,B767/ROUND($B$81*12,0),B767*(C767/12)/(1-(1+C767/12)^(-ROUND($B$81*12,0))))),IF(AND(NOT(AND(367&gt;$B$173,$B$78="Refinance",ISNUMBER($B$80),$B$80&gt;=0,$B$80&lt;=1,ROUND($B$81*12,0)&gt;=1,$B$81&lt;=100,SUM($B$82)&gt;=0,SUM($B$82)&lt;=1,SUM($B$83)&gt;=0)),OR(367=1,367=$B$174+1,AND($B$175&gt;0,367=$B$175+1))),IF(AND($B$170=1,$B$66&gt;0,OR($B$175=0,367&lt;=$B$175)),$B$66,IF($B$172-MAX(367-1,$B$174)&gt;0,IF(B767=0,0,IF(C767=0,B767/($B$172-MAX(367-1,$B$174)),B767*(C767/12)/(1-(1+C767/12)^(-($B$172-MAX(367-1,$B$174)))))),"")),D766)))),""),""))</x:f>
        <x:v>0</x:v>
      </x:c>
      <x:c r="E767" s="440" t="n">
        <x:f>IF(AND(367=$B$173,ISNUMBER(D767)),IF(MAX(0,B767*(1+C767/12)-D767)&lt;MAX(0.0000001,$E$17*0.00000000001),0,MAX(0,B767*(1+C767/12)-D767)),0)</x:f>
        <x:v>0</x:v>
      </x:c>
      <x:c r="F767" s="440" t="n">
        <x:f>IF($B$78="Cash payoff",E767,0)</x:f>
        <x:v>0</x:v>
      </x:c>
      <x:c r="G767" s="440" t="n">
        <x:f>IF(AND(E767&gt;0,AND($B$78="Refinance",ISNUMBER($B$80),$B$80&gt;=0,$B$80&lt;=1,ROUND($B$81*12,0)&gt;=1,$B$81&lt;=100,SUM($B$82)&gt;=0,SUM($B$82)&lt;=1,SUM($B$83)&gt;=0)),E767*SUM($B$82)+SUM($B$83),0)</x:f>
        <x:v>0</x:v>
      </x:c>
      <x:c r="H767" s="440" t="n">
        <x:f>IF(ISNUMBER(D767),IF(MAX(0,B767*(1+C767/12)-D767-F767)&lt;MAX(0.0000001,$E$17*0.00000000001),0,MAX(0,B767*(1+C767/12)-D767-F767)),IF(AND($B$171=1,I766=1),B767,""))</x:f>
        <x:v>0</x:v>
      </x:c>
      <x:c r="I767" s="444" t="n">
        <x:f>IF(OR(I766=1,AND(E767&gt;0,$B$78&lt;&gt;"Cash payoff",NOT(AND($B$78="Refinance",ISNUMBER($B$80),$B$80&gt;=0,$B$80&lt;=1,ROUND($B$81*12,0)&gt;=1,$B$81&lt;=100,SUM($B$82)&gt;=0,SUM($B$82)&lt;=1,SUM($B$83)&gt;=0))),AND(ISNUMBER(B767),B767&gt;0,$B$171=1,NOT(ISNUMBER(D767)))),1,0)</x:f>
        <x:v>0</x:v>
      </x:c>
      <x:c r="J767" s="440" t="n">
        <x:f>IF(ISNUMBER(L766),L766,"")</x:f>
        <x:v>0</x:v>
      </x:c>
      <x:c r="K767" s="440" t="n">
        <x:f>IF(AND(ISNUMBER(J767),J767=0),0,IF(AND($B$176=1,ISNUMBER(J767)),MIN(J767*(1+$B$87/12),IF($B$86=0,0,IF($B$87=0,$B$86/ROUND($B$88*12,0),$B$86*($B$87/12)/(1-(1+$B$87/12)^(-ROUND($B$88*12,0)))))),""))</x:f>
        <x:v>0</x:v>
      </x:c>
      <x:c r="L767" s="440" t="n">
        <x:f>IF(ISNUMBER(K767),IF(MAX(0,J767*(1+SUM($B$87)/12)-K767)&lt;MAX(0.0000001,$B$86*0.00000000001),0,MAX(0,J767*(1+SUM($B$87)/12)-K767)),"")</x:f>
        <x:v>0</x:v>
      </x:c>
      <x:c r="M767" s="440" t="n">
        <x:f>IF(AND(ISNUMBER(D767),ISNUMBER(K767)),D767+K767,"")</x:f>
        <x:v>0</x:v>
      </x:c>
      <x:c r="N767" s="440" t="n">
        <x:f>IF(AND(ISNUMBER(H767),ISNUMBER(L767)),H767+L767,"")</x:f>
        <x:v>0</x:v>
      </x:c>
    </x:row>
    <x:row r="768" ht="22" customHeight="1">
      <x:c r="A768" s="254" t="n">
        <x:f>368</x:f>
        <x:v>368</x:v>
      </x:c>
      <x:c r="B768" s="440" t="n">
        <x:f>IF(ISNUMBER(H767),H767,"")</x:f>
        <x:v>0</x:v>
      </x:c>
      <x:c r="C768" s="442" t="n">
        <x:f>IF(ISNUMBER(B768),IF(AND(368&gt;$B$173,$B$78="Refinance",ISNUMBER($B$80),$B$80&gt;=0,$B$80&lt;=1,ROUND($B$81*12,0)&gt;=1,$B$81&lt;=100,SUM($B$82)&gt;=0,SUM($B$82)&lt;=1,SUM($B$83)&gt;=0),$B$80,IF(AND($B$175&gt;0,368&gt;$B$175,ISNUMBER($B$75)),$B$75,$B$61)),"")</x:f>
        <x:v>0.0625</x:v>
      </x:c>
      <x:c r="D768" s="440" t="n">
        <x:f>IF(AND(ISNUMBER(B768),B768=0),0,IF(AND($B$171=1,I767=0,ISNUMBER(C768),ISNUMBER(IF(AND(368&lt;=$B$174,368&lt;=$B$173),B768*C768/12,IF(AND(368=$B$173+1,AND(368&gt;$B$173,$B$78="Refinance",ISNUMBER($B$80),$B$80&gt;=0,$B$80&lt;=1,ROUND($B$81*12,0)&gt;=1,$B$81&lt;=100,SUM($B$82)&gt;=0,SUM($B$82)&lt;=1,SUM($B$83)&gt;=0)),IF(B768=0,0,IF(C768=0,B768/ROUND($B$81*12,0),B768*(C768/12)/(1-(1+C768/12)^(-ROUND($B$81*12,0))))),IF(AND(NOT(AND(368&gt;$B$173,$B$78="Refinance",ISNUMBER($B$80),$B$80&gt;=0,$B$80&lt;=1,ROUND($B$81*12,0)&gt;=1,$B$81&lt;=100,SUM($B$82)&gt;=0,SUM($B$82)&lt;=1,SUM($B$83)&gt;=0)),OR(368=1,368=$B$174+1,AND($B$175&gt;0,368=$B$175+1))),IF(AND($B$170=1,$B$66&gt;0,OR($B$175=0,368&lt;=$B$175)),$B$66,IF($B$172-MAX(368-1,$B$174)&gt;0,IF(B768=0,0,IF(C768=0,B768/($B$172-MAX(368-1,$B$174)),B768*(C768/12)/(1-(1+C768/12)^(-($B$172-MAX(368-1,$B$174)))))),"")),D767))))),IF(IF(AND(368&lt;=$B$174,368&lt;=$B$173),B768*C768/12,IF(AND(368=$B$173+1,AND(368&gt;$B$173,$B$78="Refinance",ISNUMBER($B$80),$B$80&gt;=0,$B$80&lt;=1,ROUND($B$81*12,0)&gt;=1,$B$81&lt;=100,SUM($B$82)&gt;=0,SUM($B$82)&lt;=1,SUM($B$83)&gt;=0)),IF(B768=0,0,IF(C768=0,B768/ROUND($B$81*12,0),B768*(C768/12)/(1-(1+C768/12)^(-ROUND($B$81*12,0))))),IF(AND(NOT(AND(368&gt;$B$173,$B$78="Refinance",ISNUMBER($B$80),$B$80&gt;=0,$B$80&lt;=1,ROUND($B$81*12,0)&gt;=1,$B$81&lt;=100,SUM($B$82)&gt;=0,SUM($B$82)&lt;=1,SUM($B$83)&gt;=0)),OR(368=1,368=$B$174+1,AND($B$175&gt;0,368=$B$175+1))),IF(AND($B$170=1,$B$66&gt;0,OR($B$175=0,368&lt;=$B$175)),$B$66,IF($B$172-MAX(368-1,$B$174)&gt;0,IF(B768=0,0,IF(C768=0,B768/($B$172-MAX(368-1,$B$174)),B768*(C768/12)/(1-(1+C768/12)^(-($B$172-MAX(368-1,$B$174)))))),"")),D767)))+0.0000001&gt;=B768*C768/12,MIN(B768*(1+C768/12),IF(AND(368&lt;=$B$174,368&lt;=$B$173),B768*C768/12,IF(AND(368=$B$173+1,AND(368&gt;$B$173,$B$78="Refinance",ISNUMBER($B$80),$B$80&gt;=0,$B$80&lt;=1,ROUND($B$81*12,0)&gt;=1,$B$81&lt;=100,SUM($B$82)&gt;=0,SUM($B$82)&lt;=1,SUM($B$83)&gt;=0)),IF(B768=0,0,IF(C768=0,B768/ROUND($B$81*12,0),B768*(C768/12)/(1-(1+C768/12)^(-ROUND($B$81*12,0))))),IF(AND(NOT(AND(368&gt;$B$173,$B$78="Refinance",ISNUMBER($B$80),$B$80&gt;=0,$B$80&lt;=1,ROUND($B$81*12,0)&gt;=1,$B$81&lt;=100,SUM($B$82)&gt;=0,SUM($B$82)&lt;=1,SUM($B$83)&gt;=0)),OR(368=1,368=$B$174+1,AND($B$175&gt;0,368=$B$175+1))),IF(AND($B$170=1,$B$66&gt;0,OR($B$175=0,368&lt;=$B$175)),$B$66,IF($B$172-MAX(368-1,$B$174)&gt;0,IF(B768=0,0,IF(C768=0,B768/($B$172-MAX(368-1,$B$174)),B768*(C768/12)/(1-(1+C768/12)^(-($B$172-MAX(368-1,$B$174)))))),"")),D767)))),""),""))</x:f>
        <x:v>0</x:v>
      </x:c>
      <x:c r="E768" s="440" t="n">
        <x:f>IF(AND(368=$B$173,ISNUMBER(D768)),IF(MAX(0,B768*(1+C768/12)-D768)&lt;MAX(0.0000001,$E$17*0.00000000001),0,MAX(0,B768*(1+C768/12)-D768)),0)</x:f>
        <x:v>0</x:v>
      </x:c>
      <x:c r="F768" s="440" t="n">
        <x:f>IF($B$78="Cash payoff",E768,0)</x:f>
        <x:v>0</x:v>
      </x:c>
      <x:c r="G768" s="440" t="n">
        <x:f>IF(AND(E768&gt;0,AND($B$78="Refinance",ISNUMBER($B$80),$B$80&gt;=0,$B$80&lt;=1,ROUND($B$81*12,0)&gt;=1,$B$81&lt;=100,SUM($B$82)&gt;=0,SUM($B$82)&lt;=1,SUM($B$83)&gt;=0)),E768*SUM($B$82)+SUM($B$83),0)</x:f>
        <x:v>0</x:v>
      </x:c>
      <x:c r="H768" s="440" t="n">
        <x:f>IF(ISNUMBER(D768),IF(MAX(0,B768*(1+C768/12)-D768-F768)&lt;MAX(0.0000001,$E$17*0.00000000001),0,MAX(0,B768*(1+C768/12)-D768-F768)),IF(AND($B$171=1,I767=1),B768,""))</x:f>
        <x:v>0</x:v>
      </x:c>
      <x:c r="I768" s="444" t="n">
        <x:f>IF(OR(I767=1,AND(E768&gt;0,$B$78&lt;&gt;"Cash payoff",NOT(AND($B$78="Refinance",ISNUMBER($B$80),$B$80&gt;=0,$B$80&lt;=1,ROUND($B$81*12,0)&gt;=1,$B$81&lt;=100,SUM($B$82)&gt;=0,SUM($B$82)&lt;=1,SUM($B$83)&gt;=0))),AND(ISNUMBER(B768),B768&gt;0,$B$171=1,NOT(ISNUMBER(D768)))),1,0)</x:f>
        <x:v>0</x:v>
      </x:c>
      <x:c r="J768" s="440" t="n">
        <x:f>IF(ISNUMBER(L767),L767,"")</x:f>
        <x:v>0</x:v>
      </x:c>
      <x:c r="K768" s="440" t="n">
        <x:f>IF(AND(ISNUMBER(J768),J768=0),0,IF(AND($B$176=1,ISNUMBER(J768)),MIN(J768*(1+$B$87/12),IF($B$86=0,0,IF($B$87=0,$B$86/ROUND($B$88*12,0),$B$86*($B$87/12)/(1-(1+$B$87/12)^(-ROUND($B$88*12,0)))))),""))</x:f>
        <x:v>0</x:v>
      </x:c>
      <x:c r="L768" s="440" t="n">
        <x:f>IF(ISNUMBER(K768),IF(MAX(0,J768*(1+SUM($B$87)/12)-K768)&lt;MAX(0.0000001,$B$86*0.00000000001),0,MAX(0,J768*(1+SUM($B$87)/12)-K768)),"")</x:f>
        <x:v>0</x:v>
      </x:c>
      <x:c r="M768" s="440" t="n">
        <x:f>IF(AND(ISNUMBER(D768),ISNUMBER(K768)),D768+K768,"")</x:f>
        <x:v>0</x:v>
      </x:c>
      <x:c r="N768" s="440" t="n">
        <x:f>IF(AND(ISNUMBER(H768),ISNUMBER(L768)),H768+L768,"")</x:f>
        <x:v>0</x:v>
      </x:c>
    </x:row>
    <x:row r="769" ht="22" customHeight="1">
      <x:c r="A769" s="254" t="n">
        <x:f>369</x:f>
        <x:v>369</x:v>
      </x:c>
      <x:c r="B769" s="440" t="n">
        <x:f>IF(ISNUMBER(H768),H768,"")</x:f>
        <x:v>0</x:v>
      </x:c>
      <x:c r="C769" s="442" t="n">
        <x:f>IF(ISNUMBER(B769),IF(AND(369&gt;$B$173,$B$78="Refinance",ISNUMBER($B$80),$B$80&gt;=0,$B$80&lt;=1,ROUND($B$81*12,0)&gt;=1,$B$81&lt;=100,SUM($B$82)&gt;=0,SUM($B$82)&lt;=1,SUM($B$83)&gt;=0),$B$80,IF(AND($B$175&gt;0,369&gt;$B$175,ISNUMBER($B$75)),$B$75,$B$61)),"")</x:f>
        <x:v>0.0625</x:v>
      </x:c>
      <x:c r="D769" s="440" t="n">
        <x:f>IF(AND(ISNUMBER(B769),B769=0),0,IF(AND($B$171=1,I768=0,ISNUMBER(C769),ISNUMBER(IF(AND(369&lt;=$B$174,369&lt;=$B$173),B769*C769/12,IF(AND(369=$B$173+1,AND(369&gt;$B$173,$B$78="Refinance",ISNUMBER($B$80),$B$80&gt;=0,$B$80&lt;=1,ROUND($B$81*12,0)&gt;=1,$B$81&lt;=100,SUM($B$82)&gt;=0,SUM($B$82)&lt;=1,SUM($B$83)&gt;=0)),IF(B769=0,0,IF(C769=0,B769/ROUND($B$81*12,0),B769*(C769/12)/(1-(1+C769/12)^(-ROUND($B$81*12,0))))),IF(AND(NOT(AND(369&gt;$B$173,$B$78="Refinance",ISNUMBER($B$80),$B$80&gt;=0,$B$80&lt;=1,ROUND($B$81*12,0)&gt;=1,$B$81&lt;=100,SUM($B$82)&gt;=0,SUM($B$82)&lt;=1,SUM($B$83)&gt;=0)),OR(369=1,369=$B$174+1,AND($B$175&gt;0,369=$B$175+1))),IF(AND($B$170=1,$B$66&gt;0,OR($B$175=0,369&lt;=$B$175)),$B$66,IF($B$172-MAX(369-1,$B$174)&gt;0,IF(B769=0,0,IF(C769=0,B769/($B$172-MAX(369-1,$B$174)),B769*(C769/12)/(1-(1+C769/12)^(-($B$172-MAX(369-1,$B$174)))))),"")),D768))))),IF(IF(AND(369&lt;=$B$174,369&lt;=$B$173),B769*C769/12,IF(AND(369=$B$173+1,AND(369&gt;$B$173,$B$78="Refinance",ISNUMBER($B$80),$B$80&gt;=0,$B$80&lt;=1,ROUND($B$81*12,0)&gt;=1,$B$81&lt;=100,SUM($B$82)&gt;=0,SUM($B$82)&lt;=1,SUM($B$83)&gt;=0)),IF(B769=0,0,IF(C769=0,B769/ROUND($B$81*12,0),B769*(C769/12)/(1-(1+C769/12)^(-ROUND($B$81*12,0))))),IF(AND(NOT(AND(369&gt;$B$173,$B$78="Refinance",ISNUMBER($B$80),$B$80&gt;=0,$B$80&lt;=1,ROUND($B$81*12,0)&gt;=1,$B$81&lt;=100,SUM($B$82)&gt;=0,SUM($B$82)&lt;=1,SUM($B$83)&gt;=0)),OR(369=1,369=$B$174+1,AND($B$175&gt;0,369=$B$175+1))),IF(AND($B$170=1,$B$66&gt;0,OR($B$175=0,369&lt;=$B$175)),$B$66,IF($B$172-MAX(369-1,$B$174)&gt;0,IF(B769=0,0,IF(C769=0,B769/($B$172-MAX(369-1,$B$174)),B769*(C769/12)/(1-(1+C769/12)^(-($B$172-MAX(369-1,$B$174)))))),"")),D768)))+0.0000001&gt;=B769*C769/12,MIN(B769*(1+C769/12),IF(AND(369&lt;=$B$174,369&lt;=$B$173),B769*C769/12,IF(AND(369=$B$173+1,AND(369&gt;$B$173,$B$78="Refinance",ISNUMBER($B$80),$B$80&gt;=0,$B$80&lt;=1,ROUND($B$81*12,0)&gt;=1,$B$81&lt;=100,SUM($B$82)&gt;=0,SUM($B$82)&lt;=1,SUM($B$83)&gt;=0)),IF(B769=0,0,IF(C769=0,B769/ROUND($B$81*12,0),B769*(C769/12)/(1-(1+C769/12)^(-ROUND($B$81*12,0))))),IF(AND(NOT(AND(369&gt;$B$173,$B$78="Refinance",ISNUMBER($B$80),$B$80&gt;=0,$B$80&lt;=1,ROUND($B$81*12,0)&gt;=1,$B$81&lt;=100,SUM($B$82)&gt;=0,SUM($B$82)&lt;=1,SUM($B$83)&gt;=0)),OR(369=1,369=$B$174+1,AND($B$175&gt;0,369=$B$175+1))),IF(AND($B$170=1,$B$66&gt;0,OR($B$175=0,369&lt;=$B$175)),$B$66,IF($B$172-MAX(369-1,$B$174)&gt;0,IF(B769=0,0,IF(C769=0,B769/($B$172-MAX(369-1,$B$174)),B769*(C769/12)/(1-(1+C769/12)^(-($B$172-MAX(369-1,$B$174)))))),"")),D768)))),""),""))</x:f>
        <x:v>0</x:v>
      </x:c>
      <x:c r="E769" s="440" t="n">
        <x:f>IF(AND(369=$B$173,ISNUMBER(D769)),IF(MAX(0,B769*(1+C769/12)-D769)&lt;MAX(0.0000001,$E$17*0.00000000001),0,MAX(0,B769*(1+C769/12)-D769)),0)</x:f>
        <x:v>0</x:v>
      </x:c>
      <x:c r="F769" s="440" t="n">
        <x:f>IF($B$78="Cash payoff",E769,0)</x:f>
        <x:v>0</x:v>
      </x:c>
      <x:c r="G769" s="440" t="n">
        <x:f>IF(AND(E769&gt;0,AND($B$78="Refinance",ISNUMBER($B$80),$B$80&gt;=0,$B$80&lt;=1,ROUND($B$81*12,0)&gt;=1,$B$81&lt;=100,SUM($B$82)&gt;=0,SUM($B$82)&lt;=1,SUM($B$83)&gt;=0)),E769*SUM($B$82)+SUM($B$83),0)</x:f>
        <x:v>0</x:v>
      </x:c>
      <x:c r="H769" s="440" t="n">
        <x:f>IF(ISNUMBER(D769),IF(MAX(0,B769*(1+C769/12)-D769-F769)&lt;MAX(0.0000001,$E$17*0.00000000001),0,MAX(0,B769*(1+C769/12)-D769-F769)),IF(AND($B$171=1,I768=1),B769,""))</x:f>
        <x:v>0</x:v>
      </x:c>
      <x:c r="I769" s="444" t="n">
        <x:f>IF(OR(I768=1,AND(E769&gt;0,$B$78&lt;&gt;"Cash payoff",NOT(AND($B$78="Refinance",ISNUMBER($B$80),$B$80&gt;=0,$B$80&lt;=1,ROUND($B$81*12,0)&gt;=1,$B$81&lt;=100,SUM($B$82)&gt;=0,SUM($B$82)&lt;=1,SUM($B$83)&gt;=0))),AND(ISNUMBER(B769),B769&gt;0,$B$171=1,NOT(ISNUMBER(D769)))),1,0)</x:f>
        <x:v>0</x:v>
      </x:c>
      <x:c r="J769" s="440" t="n">
        <x:f>IF(ISNUMBER(L768),L768,"")</x:f>
        <x:v>0</x:v>
      </x:c>
      <x:c r="K769" s="440" t="n">
        <x:f>IF(AND(ISNUMBER(J769),J769=0),0,IF(AND($B$176=1,ISNUMBER(J769)),MIN(J769*(1+$B$87/12),IF($B$86=0,0,IF($B$87=0,$B$86/ROUND($B$88*12,0),$B$86*($B$87/12)/(1-(1+$B$87/12)^(-ROUND($B$88*12,0)))))),""))</x:f>
        <x:v>0</x:v>
      </x:c>
      <x:c r="L769" s="440" t="n">
        <x:f>IF(ISNUMBER(K769),IF(MAX(0,J769*(1+SUM($B$87)/12)-K769)&lt;MAX(0.0000001,$B$86*0.00000000001),0,MAX(0,J769*(1+SUM($B$87)/12)-K769)),"")</x:f>
        <x:v>0</x:v>
      </x:c>
      <x:c r="M769" s="440" t="n">
        <x:f>IF(AND(ISNUMBER(D769),ISNUMBER(K769)),D769+K769,"")</x:f>
        <x:v>0</x:v>
      </x:c>
      <x:c r="N769" s="440" t="n">
        <x:f>IF(AND(ISNUMBER(H769),ISNUMBER(L769)),H769+L769,"")</x:f>
        <x:v>0</x:v>
      </x:c>
    </x:row>
    <x:row r="770" ht="22" customHeight="1">
      <x:c r="A770" s="254" t="n">
        <x:f>370</x:f>
        <x:v>370</x:v>
      </x:c>
      <x:c r="B770" s="440" t="n">
        <x:f>IF(ISNUMBER(H769),H769,"")</x:f>
        <x:v>0</x:v>
      </x:c>
      <x:c r="C770" s="442" t="n">
        <x:f>IF(ISNUMBER(B770),IF(AND(370&gt;$B$173,$B$78="Refinance",ISNUMBER($B$80),$B$80&gt;=0,$B$80&lt;=1,ROUND($B$81*12,0)&gt;=1,$B$81&lt;=100,SUM($B$82)&gt;=0,SUM($B$82)&lt;=1,SUM($B$83)&gt;=0),$B$80,IF(AND($B$175&gt;0,370&gt;$B$175,ISNUMBER($B$75)),$B$75,$B$61)),"")</x:f>
        <x:v>0.0625</x:v>
      </x:c>
      <x:c r="D770" s="440" t="n">
        <x:f>IF(AND(ISNUMBER(B770),B770=0),0,IF(AND($B$171=1,I769=0,ISNUMBER(C770),ISNUMBER(IF(AND(370&lt;=$B$174,370&lt;=$B$173),B770*C770/12,IF(AND(370=$B$173+1,AND(370&gt;$B$173,$B$78="Refinance",ISNUMBER($B$80),$B$80&gt;=0,$B$80&lt;=1,ROUND($B$81*12,0)&gt;=1,$B$81&lt;=100,SUM($B$82)&gt;=0,SUM($B$82)&lt;=1,SUM($B$83)&gt;=0)),IF(B770=0,0,IF(C770=0,B770/ROUND($B$81*12,0),B770*(C770/12)/(1-(1+C770/12)^(-ROUND($B$81*12,0))))),IF(AND(NOT(AND(370&gt;$B$173,$B$78="Refinance",ISNUMBER($B$80),$B$80&gt;=0,$B$80&lt;=1,ROUND($B$81*12,0)&gt;=1,$B$81&lt;=100,SUM($B$82)&gt;=0,SUM($B$82)&lt;=1,SUM($B$83)&gt;=0)),OR(370=1,370=$B$174+1,AND($B$175&gt;0,370=$B$175+1))),IF(AND($B$170=1,$B$66&gt;0,OR($B$175=0,370&lt;=$B$175)),$B$66,IF($B$172-MAX(370-1,$B$174)&gt;0,IF(B770=0,0,IF(C770=0,B770/($B$172-MAX(370-1,$B$174)),B770*(C770/12)/(1-(1+C770/12)^(-($B$172-MAX(370-1,$B$174)))))),"")),D769))))),IF(IF(AND(370&lt;=$B$174,370&lt;=$B$173),B770*C770/12,IF(AND(370=$B$173+1,AND(370&gt;$B$173,$B$78="Refinance",ISNUMBER($B$80),$B$80&gt;=0,$B$80&lt;=1,ROUND($B$81*12,0)&gt;=1,$B$81&lt;=100,SUM($B$82)&gt;=0,SUM($B$82)&lt;=1,SUM($B$83)&gt;=0)),IF(B770=0,0,IF(C770=0,B770/ROUND($B$81*12,0),B770*(C770/12)/(1-(1+C770/12)^(-ROUND($B$81*12,0))))),IF(AND(NOT(AND(370&gt;$B$173,$B$78="Refinance",ISNUMBER($B$80),$B$80&gt;=0,$B$80&lt;=1,ROUND($B$81*12,0)&gt;=1,$B$81&lt;=100,SUM($B$82)&gt;=0,SUM($B$82)&lt;=1,SUM($B$83)&gt;=0)),OR(370=1,370=$B$174+1,AND($B$175&gt;0,370=$B$175+1))),IF(AND($B$170=1,$B$66&gt;0,OR($B$175=0,370&lt;=$B$175)),$B$66,IF($B$172-MAX(370-1,$B$174)&gt;0,IF(B770=0,0,IF(C770=0,B770/($B$172-MAX(370-1,$B$174)),B770*(C770/12)/(1-(1+C770/12)^(-($B$172-MAX(370-1,$B$174)))))),"")),D769)))+0.0000001&gt;=B770*C770/12,MIN(B770*(1+C770/12),IF(AND(370&lt;=$B$174,370&lt;=$B$173),B770*C770/12,IF(AND(370=$B$173+1,AND(370&gt;$B$173,$B$78="Refinance",ISNUMBER($B$80),$B$80&gt;=0,$B$80&lt;=1,ROUND($B$81*12,0)&gt;=1,$B$81&lt;=100,SUM($B$82)&gt;=0,SUM($B$82)&lt;=1,SUM($B$83)&gt;=0)),IF(B770=0,0,IF(C770=0,B770/ROUND($B$81*12,0),B770*(C770/12)/(1-(1+C770/12)^(-ROUND($B$81*12,0))))),IF(AND(NOT(AND(370&gt;$B$173,$B$78="Refinance",ISNUMBER($B$80),$B$80&gt;=0,$B$80&lt;=1,ROUND($B$81*12,0)&gt;=1,$B$81&lt;=100,SUM($B$82)&gt;=0,SUM($B$82)&lt;=1,SUM($B$83)&gt;=0)),OR(370=1,370=$B$174+1,AND($B$175&gt;0,370=$B$175+1))),IF(AND($B$170=1,$B$66&gt;0,OR($B$175=0,370&lt;=$B$175)),$B$66,IF($B$172-MAX(370-1,$B$174)&gt;0,IF(B770=0,0,IF(C770=0,B770/($B$172-MAX(370-1,$B$174)),B770*(C770/12)/(1-(1+C770/12)^(-($B$172-MAX(370-1,$B$174)))))),"")),D769)))),""),""))</x:f>
        <x:v>0</x:v>
      </x:c>
      <x:c r="E770" s="440" t="n">
        <x:f>IF(AND(370=$B$173,ISNUMBER(D770)),IF(MAX(0,B770*(1+C770/12)-D770)&lt;MAX(0.0000001,$E$17*0.00000000001),0,MAX(0,B770*(1+C770/12)-D770)),0)</x:f>
        <x:v>0</x:v>
      </x:c>
      <x:c r="F770" s="440" t="n">
        <x:f>IF($B$78="Cash payoff",E770,0)</x:f>
        <x:v>0</x:v>
      </x:c>
      <x:c r="G770" s="440" t="n">
        <x:f>IF(AND(E770&gt;0,AND($B$78="Refinance",ISNUMBER($B$80),$B$80&gt;=0,$B$80&lt;=1,ROUND($B$81*12,0)&gt;=1,$B$81&lt;=100,SUM($B$82)&gt;=0,SUM($B$82)&lt;=1,SUM($B$83)&gt;=0)),E770*SUM($B$82)+SUM($B$83),0)</x:f>
        <x:v>0</x:v>
      </x:c>
      <x:c r="H770" s="440" t="n">
        <x:f>IF(ISNUMBER(D770),IF(MAX(0,B770*(1+C770/12)-D770-F770)&lt;MAX(0.0000001,$E$17*0.00000000001),0,MAX(0,B770*(1+C770/12)-D770-F770)),IF(AND($B$171=1,I769=1),B770,""))</x:f>
        <x:v>0</x:v>
      </x:c>
      <x:c r="I770" s="444" t="n">
        <x:f>IF(OR(I769=1,AND(E770&gt;0,$B$78&lt;&gt;"Cash payoff",NOT(AND($B$78="Refinance",ISNUMBER($B$80),$B$80&gt;=0,$B$80&lt;=1,ROUND($B$81*12,0)&gt;=1,$B$81&lt;=100,SUM($B$82)&gt;=0,SUM($B$82)&lt;=1,SUM($B$83)&gt;=0))),AND(ISNUMBER(B770),B770&gt;0,$B$171=1,NOT(ISNUMBER(D770)))),1,0)</x:f>
        <x:v>0</x:v>
      </x:c>
      <x:c r="J770" s="440" t="n">
        <x:f>IF(ISNUMBER(L769),L769,"")</x:f>
        <x:v>0</x:v>
      </x:c>
      <x:c r="K770" s="440" t="n">
        <x:f>IF(AND(ISNUMBER(J770),J770=0),0,IF(AND($B$176=1,ISNUMBER(J770)),MIN(J770*(1+$B$87/12),IF($B$86=0,0,IF($B$87=0,$B$86/ROUND($B$88*12,0),$B$86*($B$87/12)/(1-(1+$B$87/12)^(-ROUND($B$88*12,0)))))),""))</x:f>
        <x:v>0</x:v>
      </x:c>
      <x:c r="L770" s="440" t="n">
        <x:f>IF(ISNUMBER(K770),IF(MAX(0,J770*(1+SUM($B$87)/12)-K770)&lt;MAX(0.0000001,$B$86*0.00000000001),0,MAX(0,J770*(1+SUM($B$87)/12)-K770)),"")</x:f>
        <x:v>0</x:v>
      </x:c>
      <x:c r="M770" s="440" t="n">
        <x:f>IF(AND(ISNUMBER(D770),ISNUMBER(K770)),D770+K770,"")</x:f>
        <x:v>0</x:v>
      </x:c>
      <x:c r="N770" s="440" t="n">
        <x:f>IF(AND(ISNUMBER(H770),ISNUMBER(L770)),H770+L770,"")</x:f>
        <x:v>0</x:v>
      </x:c>
    </x:row>
    <x:row r="771" ht="22" customHeight="1">
      <x:c r="A771" s="254" t="n">
        <x:f>371</x:f>
        <x:v>371</x:v>
      </x:c>
      <x:c r="B771" s="440" t="n">
        <x:f>IF(ISNUMBER(H770),H770,"")</x:f>
        <x:v>0</x:v>
      </x:c>
      <x:c r="C771" s="442" t="n">
        <x:f>IF(ISNUMBER(B771),IF(AND(371&gt;$B$173,$B$78="Refinance",ISNUMBER($B$80),$B$80&gt;=0,$B$80&lt;=1,ROUND($B$81*12,0)&gt;=1,$B$81&lt;=100,SUM($B$82)&gt;=0,SUM($B$82)&lt;=1,SUM($B$83)&gt;=0),$B$80,IF(AND($B$175&gt;0,371&gt;$B$175,ISNUMBER($B$75)),$B$75,$B$61)),"")</x:f>
        <x:v>0.0625</x:v>
      </x:c>
      <x:c r="D771" s="440" t="n">
        <x:f>IF(AND(ISNUMBER(B771),B771=0),0,IF(AND($B$171=1,I770=0,ISNUMBER(C771),ISNUMBER(IF(AND(371&lt;=$B$174,371&lt;=$B$173),B771*C771/12,IF(AND(371=$B$173+1,AND(371&gt;$B$173,$B$78="Refinance",ISNUMBER($B$80),$B$80&gt;=0,$B$80&lt;=1,ROUND($B$81*12,0)&gt;=1,$B$81&lt;=100,SUM($B$82)&gt;=0,SUM($B$82)&lt;=1,SUM($B$83)&gt;=0)),IF(B771=0,0,IF(C771=0,B771/ROUND($B$81*12,0),B771*(C771/12)/(1-(1+C771/12)^(-ROUND($B$81*12,0))))),IF(AND(NOT(AND(371&gt;$B$173,$B$78="Refinance",ISNUMBER($B$80),$B$80&gt;=0,$B$80&lt;=1,ROUND($B$81*12,0)&gt;=1,$B$81&lt;=100,SUM($B$82)&gt;=0,SUM($B$82)&lt;=1,SUM($B$83)&gt;=0)),OR(371=1,371=$B$174+1,AND($B$175&gt;0,371=$B$175+1))),IF(AND($B$170=1,$B$66&gt;0,OR($B$175=0,371&lt;=$B$175)),$B$66,IF($B$172-MAX(371-1,$B$174)&gt;0,IF(B771=0,0,IF(C771=0,B771/($B$172-MAX(371-1,$B$174)),B771*(C771/12)/(1-(1+C771/12)^(-($B$172-MAX(371-1,$B$174)))))),"")),D770))))),IF(IF(AND(371&lt;=$B$174,371&lt;=$B$173),B771*C771/12,IF(AND(371=$B$173+1,AND(371&gt;$B$173,$B$78="Refinance",ISNUMBER($B$80),$B$80&gt;=0,$B$80&lt;=1,ROUND($B$81*12,0)&gt;=1,$B$81&lt;=100,SUM($B$82)&gt;=0,SUM($B$82)&lt;=1,SUM($B$83)&gt;=0)),IF(B771=0,0,IF(C771=0,B771/ROUND($B$81*12,0),B771*(C771/12)/(1-(1+C771/12)^(-ROUND($B$81*12,0))))),IF(AND(NOT(AND(371&gt;$B$173,$B$78="Refinance",ISNUMBER($B$80),$B$80&gt;=0,$B$80&lt;=1,ROUND($B$81*12,0)&gt;=1,$B$81&lt;=100,SUM($B$82)&gt;=0,SUM($B$82)&lt;=1,SUM($B$83)&gt;=0)),OR(371=1,371=$B$174+1,AND($B$175&gt;0,371=$B$175+1))),IF(AND($B$170=1,$B$66&gt;0,OR($B$175=0,371&lt;=$B$175)),$B$66,IF($B$172-MAX(371-1,$B$174)&gt;0,IF(B771=0,0,IF(C771=0,B771/($B$172-MAX(371-1,$B$174)),B771*(C771/12)/(1-(1+C771/12)^(-($B$172-MAX(371-1,$B$174)))))),"")),D770)))+0.0000001&gt;=B771*C771/12,MIN(B771*(1+C771/12),IF(AND(371&lt;=$B$174,371&lt;=$B$173),B771*C771/12,IF(AND(371=$B$173+1,AND(371&gt;$B$173,$B$78="Refinance",ISNUMBER($B$80),$B$80&gt;=0,$B$80&lt;=1,ROUND($B$81*12,0)&gt;=1,$B$81&lt;=100,SUM($B$82)&gt;=0,SUM($B$82)&lt;=1,SUM($B$83)&gt;=0)),IF(B771=0,0,IF(C771=0,B771/ROUND($B$81*12,0),B771*(C771/12)/(1-(1+C771/12)^(-ROUND($B$81*12,0))))),IF(AND(NOT(AND(371&gt;$B$173,$B$78="Refinance",ISNUMBER($B$80),$B$80&gt;=0,$B$80&lt;=1,ROUND($B$81*12,0)&gt;=1,$B$81&lt;=100,SUM($B$82)&gt;=0,SUM($B$82)&lt;=1,SUM($B$83)&gt;=0)),OR(371=1,371=$B$174+1,AND($B$175&gt;0,371=$B$175+1))),IF(AND($B$170=1,$B$66&gt;0,OR($B$175=0,371&lt;=$B$175)),$B$66,IF($B$172-MAX(371-1,$B$174)&gt;0,IF(B771=0,0,IF(C771=0,B771/($B$172-MAX(371-1,$B$174)),B771*(C771/12)/(1-(1+C771/12)^(-($B$172-MAX(371-1,$B$174)))))),"")),D770)))),""),""))</x:f>
        <x:v>0</x:v>
      </x:c>
      <x:c r="E771" s="440" t="n">
        <x:f>IF(AND(371=$B$173,ISNUMBER(D771)),IF(MAX(0,B771*(1+C771/12)-D771)&lt;MAX(0.0000001,$E$17*0.00000000001),0,MAX(0,B771*(1+C771/12)-D771)),0)</x:f>
        <x:v>0</x:v>
      </x:c>
      <x:c r="F771" s="440" t="n">
        <x:f>IF($B$78="Cash payoff",E771,0)</x:f>
        <x:v>0</x:v>
      </x:c>
      <x:c r="G771" s="440" t="n">
        <x:f>IF(AND(E771&gt;0,AND($B$78="Refinance",ISNUMBER($B$80),$B$80&gt;=0,$B$80&lt;=1,ROUND($B$81*12,0)&gt;=1,$B$81&lt;=100,SUM($B$82)&gt;=0,SUM($B$82)&lt;=1,SUM($B$83)&gt;=0)),E771*SUM($B$82)+SUM($B$83),0)</x:f>
        <x:v>0</x:v>
      </x:c>
      <x:c r="H771" s="440" t="n">
        <x:f>IF(ISNUMBER(D771),IF(MAX(0,B771*(1+C771/12)-D771-F771)&lt;MAX(0.0000001,$E$17*0.00000000001),0,MAX(0,B771*(1+C771/12)-D771-F771)),IF(AND($B$171=1,I770=1),B771,""))</x:f>
        <x:v>0</x:v>
      </x:c>
      <x:c r="I771" s="444" t="n">
        <x:f>IF(OR(I770=1,AND(E771&gt;0,$B$78&lt;&gt;"Cash payoff",NOT(AND($B$78="Refinance",ISNUMBER($B$80),$B$80&gt;=0,$B$80&lt;=1,ROUND($B$81*12,0)&gt;=1,$B$81&lt;=100,SUM($B$82)&gt;=0,SUM($B$82)&lt;=1,SUM($B$83)&gt;=0))),AND(ISNUMBER(B771),B771&gt;0,$B$171=1,NOT(ISNUMBER(D771)))),1,0)</x:f>
        <x:v>0</x:v>
      </x:c>
      <x:c r="J771" s="440" t="n">
        <x:f>IF(ISNUMBER(L770),L770,"")</x:f>
        <x:v>0</x:v>
      </x:c>
      <x:c r="K771" s="440" t="n">
        <x:f>IF(AND(ISNUMBER(J771),J771=0),0,IF(AND($B$176=1,ISNUMBER(J771)),MIN(J771*(1+$B$87/12),IF($B$86=0,0,IF($B$87=0,$B$86/ROUND($B$88*12,0),$B$86*($B$87/12)/(1-(1+$B$87/12)^(-ROUND($B$88*12,0)))))),""))</x:f>
        <x:v>0</x:v>
      </x:c>
      <x:c r="L771" s="440" t="n">
        <x:f>IF(ISNUMBER(K771),IF(MAX(0,J771*(1+SUM($B$87)/12)-K771)&lt;MAX(0.0000001,$B$86*0.00000000001),0,MAX(0,J771*(1+SUM($B$87)/12)-K771)),"")</x:f>
        <x:v>0</x:v>
      </x:c>
      <x:c r="M771" s="440" t="n">
        <x:f>IF(AND(ISNUMBER(D771),ISNUMBER(K771)),D771+K771,"")</x:f>
        <x:v>0</x:v>
      </x:c>
      <x:c r="N771" s="440" t="n">
        <x:f>IF(AND(ISNUMBER(H771),ISNUMBER(L771)),H771+L771,"")</x:f>
        <x:v>0</x:v>
      </x:c>
    </x:row>
    <x:row r="772" ht="22" customHeight="1">
      <x:c r="A772" s="254" t="n">
        <x:f>372</x:f>
        <x:v>372</x:v>
      </x:c>
      <x:c r="B772" s="440" t="n">
        <x:f>IF(ISNUMBER(H771),H771,"")</x:f>
        <x:v>0</x:v>
      </x:c>
      <x:c r="C772" s="442" t="n">
        <x:f>IF(ISNUMBER(B772),IF(AND(372&gt;$B$173,$B$78="Refinance",ISNUMBER($B$80),$B$80&gt;=0,$B$80&lt;=1,ROUND($B$81*12,0)&gt;=1,$B$81&lt;=100,SUM($B$82)&gt;=0,SUM($B$82)&lt;=1,SUM($B$83)&gt;=0),$B$80,IF(AND($B$175&gt;0,372&gt;$B$175,ISNUMBER($B$75)),$B$75,$B$61)),"")</x:f>
        <x:v>0.0625</x:v>
      </x:c>
      <x:c r="D772" s="440" t="n">
        <x:f>IF(AND(ISNUMBER(B772),B772=0),0,IF(AND($B$171=1,I771=0,ISNUMBER(C772),ISNUMBER(IF(AND(372&lt;=$B$174,372&lt;=$B$173),B772*C772/12,IF(AND(372=$B$173+1,AND(372&gt;$B$173,$B$78="Refinance",ISNUMBER($B$80),$B$80&gt;=0,$B$80&lt;=1,ROUND($B$81*12,0)&gt;=1,$B$81&lt;=100,SUM($B$82)&gt;=0,SUM($B$82)&lt;=1,SUM($B$83)&gt;=0)),IF(B772=0,0,IF(C772=0,B772/ROUND($B$81*12,0),B772*(C772/12)/(1-(1+C772/12)^(-ROUND($B$81*12,0))))),IF(AND(NOT(AND(372&gt;$B$173,$B$78="Refinance",ISNUMBER($B$80),$B$80&gt;=0,$B$80&lt;=1,ROUND($B$81*12,0)&gt;=1,$B$81&lt;=100,SUM($B$82)&gt;=0,SUM($B$82)&lt;=1,SUM($B$83)&gt;=0)),OR(372=1,372=$B$174+1,AND($B$175&gt;0,372=$B$175+1))),IF(AND($B$170=1,$B$66&gt;0,OR($B$175=0,372&lt;=$B$175)),$B$66,IF($B$172-MAX(372-1,$B$174)&gt;0,IF(B772=0,0,IF(C772=0,B772/($B$172-MAX(372-1,$B$174)),B772*(C772/12)/(1-(1+C772/12)^(-($B$172-MAX(372-1,$B$174)))))),"")),D771))))),IF(IF(AND(372&lt;=$B$174,372&lt;=$B$173),B772*C772/12,IF(AND(372=$B$173+1,AND(372&gt;$B$173,$B$78="Refinance",ISNUMBER($B$80),$B$80&gt;=0,$B$80&lt;=1,ROUND($B$81*12,0)&gt;=1,$B$81&lt;=100,SUM($B$82)&gt;=0,SUM($B$82)&lt;=1,SUM($B$83)&gt;=0)),IF(B772=0,0,IF(C772=0,B772/ROUND($B$81*12,0),B772*(C772/12)/(1-(1+C772/12)^(-ROUND($B$81*12,0))))),IF(AND(NOT(AND(372&gt;$B$173,$B$78="Refinance",ISNUMBER($B$80),$B$80&gt;=0,$B$80&lt;=1,ROUND($B$81*12,0)&gt;=1,$B$81&lt;=100,SUM($B$82)&gt;=0,SUM($B$82)&lt;=1,SUM($B$83)&gt;=0)),OR(372=1,372=$B$174+1,AND($B$175&gt;0,372=$B$175+1))),IF(AND($B$170=1,$B$66&gt;0,OR($B$175=0,372&lt;=$B$175)),$B$66,IF($B$172-MAX(372-1,$B$174)&gt;0,IF(B772=0,0,IF(C772=0,B772/($B$172-MAX(372-1,$B$174)),B772*(C772/12)/(1-(1+C772/12)^(-($B$172-MAX(372-1,$B$174)))))),"")),D771)))+0.0000001&gt;=B772*C772/12,MIN(B772*(1+C772/12),IF(AND(372&lt;=$B$174,372&lt;=$B$173),B772*C772/12,IF(AND(372=$B$173+1,AND(372&gt;$B$173,$B$78="Refinance",ISNUMBER($B$80),$B$80&gt;=0,$B$80&lt;=1,ROUND($B$81*12,0)&gt;=1,$B$81&lt;=100,SUM($B$82)&gt;=0,SUM($B$82)&lt;=1,SUM($B$83)&gt;=0)),IF(B772=0,0,IF(C772=0,B772/ROUND($B$81*12,0),B772*(C772/12)/(1-(1+C772/12)^(-ROUND($B$81*12,0))))),IF(AND(NOT(AND(372&gt;$B$173,$B$78="Refinance",ISNUMBER($B$80),$B$80&gt;=0,$B$80&lt;=1,ROUND($B$81*12,0)&gt;=1,$B$81&lt;=100,SUM($B$82)&gt;=0,SUM($B$82)&lt;=1,SUM($B$83)&gt;=0)),OR(372=1,372=$B$174+1,AND($B$175&gt;0,372=$B$175+1))),IF(AND($B$170=1,$B$66&gt;0,OR($B$175=0,372&lt;=$B$175)),$B$66,IF($B$172-MAX(372-1,$B$174)&gt;0,IF(B772=0,0,IF(C772=0,B772/($B$172-MAX(372-1,$B$174)),B772*(C772/12)/(1-(1+C772/12)^(-($B$172-MAX(372-1,$B$174)))))),"")),D771)))),""),""))</x:f>
        <x:v>0</x:v>
      </x:c>
      <x:c r="E772" s="440" t="n">
        <x:f>IF(AND(372=$B$173,ISNUMBER(D772)),IF(MAX(0,B772*(1+C772/12)-D772)&lt;MAX(0.0000001,$E$17*0.00000000001),0,MAX(0,B772*(1+C772/12)-D772)),0)</x:f>
        <x:v>0</x:v>
      </x:c>
      <x:c r="F772" s="440" t="n">
        <x:f>IF($B$78="Cash payoff",E772,0)</x:f>
        <x:v>0</x:v>
      </x:c>
      <x:c r="G772" s="440" t="n">
        <x:f>IF(AND(E772&gt;0,AND($B$78="Refinance",ISNUMBER($B$80),$B$80&gt;=0,$B$80&lt;=1,ROUND($B$81*12,0)&gt;=1,$B$81&lt;=100,SUM($B$82)&gt;=0,SUM($B$82)&lt;=1,SUM($B$83)&gt;=0)),E772*SUM($B$82)+SUM($B$83),0)</x:f>
        <x:v>0</x:v>
      </x:c>
      <x:c r="H772" s="440" t="n">
        <x:f>IF(ISNUMBER(D772),IF(MAX(0,B772*(1+C772/12)-D772-F772)&lt;MAX(0.0000001,$E$17*0.00000000001),0,MAX(0,B772*(1+C772/12)-D772-F772)),IF(AND($B$171=1,I771=1),B772,""))</x:f>
        <x:v>0</x:v>
      </x:c>
      <x:c r="I772" s="444" t="n">
        <x:f>IF(OR(I771=1,AND(E772&gt;0,$B$78&lt;&gt;"Cash payoff",NOT(AND($B$78="Refinance",ISNUMBER($B$80),$B$80&gt;=0,$B$80&lt;=1,ROUND($B$81*12,0)&gt;=1,$B$81&lt;=100,SUM($B$82)&gt;=0,SUM($B$82)&lt;=1,SUM($B$83)&gt;=0))),AND(ISNUMBER(B772),B772&gt;0,$B$171=1,NOT(ISNUMBER(D772)))),1,0)</x:f>
        <x:v>0</x:v>
      </x:c>
      <x:c r="J772" s="440" t="n">
        <x:f>IF(ISNUMBER(L771),L771,"")</x:f>
        <x:v>0</x:v>
      </x:c>
      <x:c r="K772" s="440" t="n">
        <x:f>IF(AND(ISNUMBER(J772),J772=0),0,IF(AND($B$176=1,ISNUMBER(J772)),MIN(J772*(1+$B$87/12),IF($B$86=0,0,IF($B$87=0,$B$86/ROUND($B$88*12,0),$B$86*($B$87/12)/(1-(1+$B$87/12)^(-ROUND($B$88*12,0)))))),""))</x:f>
        <x:v>0</x:v>
      </x:c>
      <x:c r="L772" s="440" t="n">
        <x:f>IF(ISNUMBER(K772),IF(MAX(0,J772*(1+SUM($B$87)/12)-K772)&lt;MAX(0.0000001,$B$86*0.00000000001),0,MAX(0,J772*(1+SUM($B$87)/12)-K772)),"")</x:f>
        <x:v>0</x:v>
      </x:c>
      <x:c r="M772" s="440" t="n">
        <x:f>IF(AND(ISNUMBER(D772),ISNUMBER(K772)),D772+K772,"")</x:f>
        <x:v>0</x:v>
      </x:c>
      <x:c r="N772" s="440" t="n">
        <x:f>IF(AND(ISNUMBER(H772),ISNUMBER(L772)),H772+L772,"")</x:f>
        <x:v>0</x:v>
      </x:c>
    </x:row>
    <x:row r="773" ht="22" customHeight="1">
      <x:c r="A773" s="254" t="n">
        <x:f>373</x:f>
        <x:v>373</x:v>
      </x:c>
      <x:c r="B773" s="440" t="n">
        <x:f>IF(ISNUMBER(H772),H772,"")</x:f>
        <x:v>0</x:v>
      </x:c>
      <x:c r="C773" s="442" t="n">
        <x:f>IF(ISNUMBER(B773),IF(AND(373&gt;$B$173,$B$78="Refinance",ISNUMBER($B$80),$B$80&gt;=0,$B$80&lt;=1,ROUND($B$81*12,0)&gt;=1,$B$81&lt;=100,SUM($B$82)&gt;=0,SUM($B$82)&lt;=1,SUM($B$83)&gt;=0),$B$80,IF(AND($B$175&gt;0,373&gt;$B$175,ISNUMBER($B$75)),$B$75,$B$61)),"")</x:f>
        <x:v>0.0625</x:v>
      </x:c>
      <x:c r="D773" s="440" t="n">
        <x:f>IF(AND(ISNUMBER(B773),B773=0),0,IF(AND($B$171=1,I772=0,ISNUMBER(C773),ISNUMBER(IF(AND(373&lt;=$B$174,373&lt;=$B$173),B773*C773/12,IF(AND(373=$B$173+1,AND(373&gt;$B$173,$B$78="Refinance",ISNUMBER($B$80),$B$80&gt;=0,$B$80&lt;=1,ROUND($B$81*12,0)&gt;=1,$B$81&lt;=100,SUM($B$82)&gt;=0,SUM($B$82)&lt;=1,SUM($B$83)&gt;=0)),IF(B773=0,0,IF(C773=0,B773/ROUND($B$81*12,0),B773*(C773/12)/(1-(1+C773/12)^(-ROUND($B$81*12,0))))),IF(AND(NOT(AND(373&gt;$B$173,$B$78="Refinance",ISNUMBER($B$80),$B$80&gt;=0,$B$80&lt;=1,ROUND($B$81*12,0)&gt;=1,$B$81&lt;=100,SUM($B$82)&gt;=0,SUM($B$82)&lt;=1,SUM($B$83)&gt;=0)),OR(373=1,373=$B$174+1,AND($B$175&gt;0,373=$B$175+1))),IF(AND($B$170=1,$B$66&gt;0,OR($B$175=0,373&lt;=$B$175)),$B$66,IF($B$172-MAX(373-1,$B$174)&gt;0,IF(B773=0,0,IF(C773=0,B773/($B$172-MAX(373-1,$B$174)),B773*(C773/12)/(1-(1+C773/12)^(-($B$172-MAX(373-1,$B$174)))))),"")),D772))))),IF(IF(AND(373&lt;=$B$174,373&lt;=$B$173),B773*C773/12,IF(AND(373=$B$173+1,AND(373&gt;$B$173,$B$78="Refinance",ISNUMBER($B$80),$B$80&gt;=0,$B$80&lt;=1,ROUND($B$81*12,0)&gt;=1,$B$81&lt;=100,SUM($B$82)&gt;=0,SUM($B$82)&lt;=1,SUM($B$83)&gt;=0)),IF(B773=0,0,IF(C773=0,B773/ROUND($B$81*12,0),B773*(C773/12)/(1-(1+C773/12)^(-ROUND($B$81*12,0))))),IF(AND(NOT(AND(373&gt;$B$173,$B$78="Refinance",ISNUMBER($B$80),$B$80&gt;=0,$B$80&lt;=1,ROUND($B$81*12,0)&gt;=1,$B$81&lt;=100,SUM($B$82)&gt;=0,SUM($B$82)&lt;=1,SUM($B$83)&gt;=0)),OR(373=1,373=$B$174+1,AND($B$175&gt;0,373=$B$175+1))),IF(AND($B$170=1,$B$66&gt;0,OR($B$175=0,373&lt;=$B$175)),$B$66,IF($B$172-MAX(373-1,$B$174)&gt;0,IF(B773=0,0,IF(C773=0,B773/($B$172-MAX(373-1,$B$174)),B773*(C773/12)/(1-(1+C773/12)^(-($B$172-MAX(373-1,$B$174)))))),"")),D772)))+0.0000001&gt;=B773*C773/12,MIN(B773*(1+C773/12),IF(AND(373&lt;=$B$174,373&lt;=$B$173),B773*C773/12,IF(AND(373=$B$173+1,AND(373&gt;$B$173,$B$78="Refinance",ISNUMBER($B$80),$B$80&gt;=0,$B$80&lt;=1,ROUND($B$81*12,0)&gt;=1,$B$81&lt;=100,SUM($B$82)&gt;=0,SUM($B$82)&lt;=1,SUM($B$83)&gt;=0)),IF(B773=0,0,IF(C773=0,B773/ROUND($B$81*12,0),B773*(C773/12)/(1-(1+C773/12)^(-ROUND($B$81*12,0))))),IF(AND(NOT(AND(373&gt;$B$173,$B$78="Refinance",ISNUMBER($B$80),$B$80&gt;=0,$B$80&lt;=1,ROUND($B$81*12,0)&gt;=1,$B$81&lt;=100,SUM($B$82)&gt;=0,SUM($B$82)&lt;=1,SUM($B$83)&gt;=0)),OR(373=1,373=$B$174+1,AND($B$175&gt;0,373=$B$175+1))),IF(AND($B$170=1,$B$66&gt;0,OR($B$175=0,373&lt;=$B$175)),$B$66,IF($B$172-MAX(373-1,$B$174)&gt;0,IF(B773=0,0,IF(C773=0,B773/($B$172-MAX(373-1,$B$174)),B773*(C773/12)/(1-(1+C773/12)^(-($B$172-MAX(373-1,$B$174)))))),"")),D772)))),""),""))</x:f>
        <x:v>0</x:v>
      </x:c>
      <x:c r="E773" s="440" t="n">
        <x:f>IF(AND(373=$B$173,ISNUMBER(D773)),IF(MAX(0,B773*(1+C773/12)-D773)&lt;MAX(0.0000001,$E$17*0.00000000001),0,MAX(0,B773*(1+C773/12)-D773)),0)</x:f>
        <x:v>0</x:v>
      </x:c>
      <x:c r="F773" s="440" t="n">
        <x:f>IF($B$78="Cash payoff",E773,0)</x:f>
        <x:v>0</x:v>
      </x:c>
      <x:c r="G773" s="440" t="n">
        <x:f>IF(AND(E773&gt;0,AND($B$78="Refinance",ISNUMBER($B$80),$B$80&gt;=0,$B$80&lt;=1,ROUND($B$81*12,0)&gt;=1,$B$81&lt;=100,SUM($B$82)&gt;=0,SUM($B$82)&lt;=1,SUM($B$83)&gt;=0)),E773*SUM($B$82)+SUM($B$83),0)</x:f>
        <x:v>0</x:v>
      </x:c>
      <x:c r="H773" s="440" t="n">
        <x:f>IF(ISNUMBER(D773),IF(MAX(0,B773*(1+C773/12)-D773-F773)&lt;MAX(0.0000001,$E$17*0.00000000001),0,MAX(0,B773*(1+C773/12)-D773-F773)),IF(AND($B$171=1,I772=1),B773,""))</x:f>
        <x:v>0</x:v>
      </x:c>
      <x:c r="I773" s="444" t="n">
        <x:f>IF(OR(I772=1,AND(E773&gt;0,$B$78&lt;&gt;"Cash payoff",NOT(AND($B$78="Refinance",ISNUMBER($B$80),$B$80&gt;=0,$B$80&lt;=1,ROUND($B$81*12,0)&gt;=1,$B$81&lt;=100,SUM($B$82)&gt;=0,SUM($B$82)&lt;=1,SUM($B$83)&gt;=0))),AND(ISNUMBER(B773),B773&gt;0,$B$171=1,NOT(ISNUMBER(D773)))),1,0)</x:f>
        <x:v>0</x:v>
      </x:c>
      <x:c r="J773" s="440" t="n">
        <x:f>IF(ISNUMBER(L772),L772,"")</x:f>
        <x:v>0</x:v>
      </x:c>
      <x:c r="K773" s="440" t="n">
        <x:f>IF(AND(ISNUMBER(J773),J773=0),0,IF(AND($B$176=1,ISNUMBER(J773)),MIN(J773*(1+$B$87/12),IF($B$86=0,0,IF($B$87=0,$B$86/ROUND($B$88*12,0),$B$86*($B$87/12)/(1-(1+$B$87/12)^(-ROUND($B$88*12,0)))))),""))</x:f>
        <x:v>0</x:v>
      </x:c>
      <x:c r="L773" s="440" t="n">
        <x:f>IF(ISNUMBER(K773),IF(MAX(0,J773*(1+SUM($B$87)/12)-K773)&lt;MAX(0.0000001,$B$86*0.00000000001),0,MAX(0,J773*(1+SUM($B$87)/12)-K773)),"")</x:f>
        <x:v>0</x:v>
      </x:c>
      <x:c r="M773" s="440" t="n">
        <x:f>IF(AND(ISNUMBER(D773),ISNUMBER(K773)),D773+K773,"")</x:f>
        <x:v>0</x:v>
      </x:c>
      <x:c r="N773" s="440" t="n">
        <x:f>IF(AND(ISNUMBER(H773),ISNUMBER(L773)),H773+L773,"")</x:f>
        <x:v>0</x:v>
      </x:c>
    </x:row>
    <x:row r="774" ht="22" customHeight="1">
      <x:c r="A774" s="254" t="n">
        <x:f>374</x:f>
        <x:v>374</x:v>
      </x:c>
      <x:c r="B774" s="440" t="n">
        <x:f>IF(ISNUMBER(H773),H773,"")</x:f>
        <x:v>0</x:v>
      </x:c>
      <x:c r="C774" s="442" t="n">
        <x:f>IF(ISNUMBER(B774),IF(AND(374&gt;$B$173,$B$78="Refinance",ISNUMBER($B$80),$B$80&gt;=0,$B$80&lt;=1,ROUND($B$81*12,0)&gt;=1,$B$81&lt;=100,SUM($B$82)&gt;=0,SUM($B$82)&lt;=1,SUM($B$83)&gt;=0),$B$80,IF(AND($B$175&gt;0,374&gt;$B$175,ISNUMBER($B$75)),$B$75,$B$61)),"")</x:f>
        <x:v>0.0625</x:v>
      </x:c>
      <x:c r="D774" s="440" t="n">
        <x:f>IF(AND(ISNUMBER(B774),B774=0),0,IF(AND($B$171=1,I773=0,ISNUMBER(C774),ISNUMBER(IF(AND(374&lt;=$B$174,374&lt;=$B$173),B774*C774/12,IF(AND(374=$B$173+1,AND(374&gt;$B$173,$B$78="Refinance",ISNUMBER($B$80),$B$80&gt;=0,$B$80&lt;=1,ROUND($B$81*12,0)&gt;=1,$B$81&lt;=100,SUM($B$82)&gt;=0,SUM($B$82)&lt;=1,SUM($B$83)&gt;=0)),IF(B774=0,0,IF(C774=0,B774/ROUND($B$81*12,0),B774*(C774/12)/(1-(1+C774/12)^(-ROUND($B$81*12,0))))),IF(AND(NOT(AND(374&gt;$B$173,$B$78="Refinance",ISNUMBER($B$80),$B$80&gt;=0,$B$80&lt;=1,ROUND($B$81*12,0)&gt;=1,$B$81&lt;=100,SUM($B$82)&gt;=0,SUM($B$82)&lt;=1,SUM($B$83)&gt;=0)),OR(374=1,374=$B$174+1,AND($B$175&gt;0,374=$B$175+1))),IF(AND($B$170=1,$B$66&gt;0,OR($B$175=0,374&lt;=$B$175)),$B$66,IF($B$172-MAX(374-1,$B$174)&gt;0,IF(B774=0,0,IF(C774=0,B774/($B$172-MAX(374-1,$B$174)),B774*(C774/12)/(1-(1+C774/12)^(-($B$172-MAX(374-1,$B$174)))))),"")),D773))))),IF(IF(AND(374&lt;=$B$174,374&lt;=$B$173),B774*C774/12,IF(AND(374=$B$173+1,AND(374&gt;$B$173,$B$78="Refinance",ISNUMBER($B$80),$B$80&gt;=0,$B$80&lt;=1,ROUND($B$81*12,0)&gt;=1,$B$81&lt;=100,SUM($B$82)&gt;=0,SUM($B$82)&lt;=1,SUM($B$83)&gt;=0)),IF(B774=0,0,IF(C774=0,B774/ROUND($B$81*12,0),B774*(C774/12)/(1-(1+C774/12)^(-ROUND($B$81*12,0))))),IF(AND(NOT(AND(374&gt;$B$173,$B$78="Refinance",ISNUMBER($B$80),$B$80&gt;=0,$B$80&lt;=1,ROUND($B$81*12,0)&gt;=1,$B$81&lt;=100,SUM($B$82)&gt;=0,SUM($B$82)&lt;=1,SUM($B$83)&gt;=0)),OR(374=1,374=$B$174+1,AND($B$175&gt;0,374=$B$175+1))),IF(AND($B$170=1,$B$66&gt;0,OR($B$175=0,374&lt;=$B$175)),$B$66,IF($B$172-MAX(374-1,$B$174)&gt;0,IF(B774=0,0,IF(C774=0,B774/($B$172-MAX(374-1,$B$174)),B774*(C774/12)/(1-(1+C774/12)^(-($B$172-MAX(374-1,$B$174)))))),"")),D773)))+0.0000001&gt;=B774*C774/12,MIN(B774*(1+C774/12),IF(AND(374&lt;=$B$174,374&lt;=$B$173),B774*C774/12,IF(AND(374=$B$173+1,AND(374&gt;$B$173,$B$78="Refinance",ISNUMBER($B$80),$B$80&gt;=0,$B$80&lt;=1,ROUND($B$81*12,0)&gt;=1,$B$81&lt;=100,SUM($B$82)&gt;=0,SUM($B$82)&lt;=1,SUM($B$83)&gt;=0)),IF(B774=0,0,IF(C774=0,B774/ROUND($B$81*12,0),B774*(C774/12)/(1-(1+C774/12)^(-ROUND($B$81*12,0))))),IF(AND(NOT(AND(374&gt;$B$173,$B$78="Refinance",ISNUMBER($B$80),$B$80&gt;=0,$B$80&lt;=1,ROUND($B$81*12,0)&gt;=1,$B$81&lt;=100,SUM($B$82)&gt;=0,SUM($B$82)&lt;=1,SUM($B$83)&gt;=0)),OR(374=1,374=$B$174+1,AND($B$175&gt;0,374=$B$175+1))),IF(AND($B$170=1,$B$66&gt;0,OR($B$175=0,374&lt;=$B$175)),$B$66,IF($B$172-MAX(374-1,$B$174)&gt;0,IF(B774=0,0,IF(C774=0,B774/($B$172-MAX(374-1,$B$174)),B774*(C774/12)/(1-(1+C774/12)^(-($B$172-MAX(374-1,$B$174)))))),"")),D773)))),""),""))</x:f>
        <x:v>0</x:v>
      </x:c>
      <x:c r="E774" s="440" t="n">
        <x:f>IF(AND(374=$B$173,ISNUMBER(D774)),IF(MAX(0,B774*(1+C774/12)-D774)&lt;MAX(0.0000001,$E$17*0.00000000001),0,MAX(0,B774*(1+C774/12)-D774)),0)</x:f>
        <x:v>0</x:v>
      </x:c>
      <x:c r="F774" s="440" t="n">
        <x:f>IF($B$78="Cash payoff",E774,0)</x:f>
        <x:v>0</x:v>
      </x:c>
      <x:c r="G774" s="440" t="n">
        <x:f>IF(AND(E774&gt;0,AND($B$78="Refinance",ISNUMBER($B$80),$B$80&gt;=0,$B$80&lt;=1,ROUND($B$81*12,0)&gt;=1,$B$81&lt;=100,SUM($B$82)&gt;=0,SUM($B$82)&lt;=1,SUM($B$83)&gt;=0)),E774*SUM($B$82)+SUM($B$83),0)</x:f>
        <x:v>0</x:v>
      </x:c>
      <x:c r="H774" s="440" t="n">
        <x:f>IF(ISNUMBER(D774),IF(MAX(0,B774*(1+C774/12)-D774-F774)&lt;MAX(0.0000001,$E$17*0.00000000001),0,MAX(0,B774*(1+C774/12)-D774-F774)),IF(AND($B$171=1,I773=1),B774,""))</x:f>
        <x:v>0</x:v>
      </x:c>
      <x:c r="I774" s="444" t="n">
        <x:f>IF(OR(I773=1,AND(E774&gt;0,$B$78&lt;&gt;"Cash payoff",NOT(AND($B$78="Refinance",ISNUMBER($B$80),$B$80&gt;=0,$B$80&lt;=1,ROUND($B$81*12,0)&gt;=1,$B$81&lt;=100,SUM($B$82)&gt;=0,SUM($B$82)&lt;=1,SUM($B$83)&gt;=0))),AND(ISNUMBER(B774),B774&gt;0,$B$171=1,NOT(ISNUMBER(D774)))),1,0)</x:f>
        <x:v>0</x:v>
      </x:c>
      <x:c r="J774" s="440" t="n">
        <x:f>IF(ISNUMBER(L773),L773,"")</x:f>
        <x:v>0</x:v>
      </x:c>
      <x:c r="K774" s="440" t="n">
        <x:f>IF(AND(ISNUMBER(J774),J774=0),0,IF(AND($B$176=1,ISNUMBER(J774)),MIN(J774*(1+$B$87/12),IF($B$86=0,0,IF($B$87=0,$B$86/ROUND($B$88*12,0),$B$86*($B$87/12)/(1-(1+$B$87/12)^(-ROUND($B$88*12,0)))))),""))</x:f>
        <x:v>0</x:v>
      </x:c>
      <x:c r="L774" s="440" t="n">
        <x:f>IF(ISNUMBER(K774),IF(MAX(0,J774*(1+SUM($B$87)/12)-K774)&lt;MAX(0.0000001,$B$86*0.00000000001),0,MAX(0,J774*(1+SUM($B$87)/12)-K774)),"")</x:f>
        <x:v>0</x:v>
      </x:c>
      <x:c r="M774" s="440" t="n">
        <x:f>IF(AND(ISNUMBER(D774),ISNUMBER(K774)),D774+K774,"")</x:f>
        <x:v>0</x:v>
      </x:c>
      <x:c r="N774" s="440" t="n">
        <x:f>IF(AND(ISNUMBER(H774),ISNUMBER(L774)),H774+L774,"")</x:f>
        <x:v>0</x:v>
      </x:c>
    </x:row>
    <x:row r="775" ht="22" customHeight="1">
      <x:c r="A775" s="254" t="n">
        <x:f>375</x:f>
        <x:v>375</x:v>
      </x:c>
      <x:c r="B775" s="440" t="n">
        <x:f>IF(ISNUMBER(H774),H774,"")</x:f>
        <x:v>0</x:v>
      </x:c>
      <x:c r="C775" s="442" t="n">
        <x:f>IF(ISNUMBER(B775),IF(AND(375&gt;$B$173,$B$78="Refinance",ISNUMBER($B$80),$B$80&gt;=0,$B$80&lt;=1,ROUND($B$81*12,0)&gt;=1,$B$81&lt;=100,SUM($B$82)&gt;=0,SUM($B$82)&lt;=1,SUM($B$83)&gt;=0),$B$80,IF(AND($B$175&gt;0,375&gt;$B$175,ISNUMBER($B$75)),$B$75,$B$61)),"")</x:f>
        <x:v>0.0625</x:v>
      </x:c>
      <x:c r="D775" s="440" t="n">
        <x:f>IF(AND(ISNUMBER(B775),B775=0),0,IF(AND($B$171=1,I774=0,ISNUMBER(C775),ISNUMBER(IF(AND(375&lt;=$B$174,375&lt;=$B$173),B775*C775/12,IF(AND(375=$B$173+1,AND(375&gt;$B$173,$B$78="Refinance",ISNUMBER($B$80),$B$80&gt;=0,$B$80&lt;=1,ROUND($B$81*12,0)&gt;=1,$B$81&lt;=100,SUM($B$82)&gt;=0,SUM($B$82)&lt;=1,SUM($B$83)&gt;=0)),IF(B775=0,0,IF(C775=0,B775/ROUND($B$81*12,0),B775*(C775/12)/(1-(1+C775/12)^(-ROUND($B$81*12,0))))),IF(AND(NOT(AND(375&gt;$B$173,$B$78="Refinance",ISNUMBER($B$80),$B$80&gt;=0,$B$80&lt;=1,ROUND($B$81*12,0)&gt;=1,$B$81&lt;=100,SUM($B$82)&gt;=0,SUM($B$82)&lt;=1,SUM($B$83)&gt;=0)),OR(375=1,375=$B$174+1,AND($B$175&gt;0,375=$B$175+1))),IF(AND($B$170=1,$B$66&gt;0,OR($B$175=0,375&lt;=$B$175)),$B$66,IF($B$172-MAX(375-1,$B$174)&gt;0,IF(B775=0,0,IF(C775=0,B775/($B$172-MAX(375-1,$B$174)),B775*(C775/12)/(1-(1+C775/12)^(-($B$172-MAX(375-1,$B$174)))))),"")),D774))))),IF(IF(AND(375&lt;=$B$174,375&lt;=$B$173),B775*C775/12,IF(AND(375=$B$173+1,AND(375&gt;$B$173,$B$78="Refinance",ISNUMBER($B$80),$B$80&gt;=0,$B$80&lt;=1,ROUND($B$81*12,0)&gt;=1,$B$81&lt;=100,SUM($B$82)&gt;=0,SUM($B$82)&lt;=1,SUM($B$83)&gt;=0)),IF(B775=0,0,IF(C775=0,B775/ROUND($B$81*12,0),B775*(C775/12)/(1-(1+C775/12)^(-ROUND($B$81*12,0))))),IF(AND(NOT(AND(375&gt;$B$173,$B$78="Refinance",ISNUMBER($B$80),$B$80&gt;=0,$B$80&lt;=1,ROUND($B$81*12,0)&gt;=1,$B$81&lt;=100,SUM($B$82)&gt;=0,SUM($B$82)&lt;=1,SUM($B$83)&gt;=0)),OR(375=1,375=$B$174+1,AND($B$175&gt;0,375=$B$175+1))),IF(AND($B$170=1,$B$66&gt;0,OR($B$175=0,375&lt;=$B$175)),$B$66,IF($B$172-MAX(375-1,$B$174)&gt;0,IF(B775=0,0,IF(C775=0,B775/($B$172-MAX(375-1,$B$174)),B775*(C775/12)/(1-(1+C775/12)^(-($B$172-MAX(375-1,$B$174)))))),"")),D774)))+0.0000001&gt;=B775*C775/12,MIN(B775*(1+C775/12),IF(AND(375&lt;=$B$174,375&lt;=$B$173),B775*C775/12,IF(AND(375=$B$173+1,AND(375&gt;$B$173,$B$78="Refinance",ISNUMBER($B$80),$B$80&gt;=0,$B$80&lt;=1,ROUND($B$81*12,0)&gt;=1,$B$81&lt;=100,SUM($B$82)&gt;=0,SUM($B$82)&lt;=1,SUM($B$83)&gt;=0)),IF(B775=0,0,IF(C775=0,B775/ROUND($B$81*12,0),B775*(C775/12)/(1-(1+C775/12)^(-ROUND($B$81*12,0))))),IF(AND(NOT(AND(375&gt;$B$173,$B$78="Refinance",ISNUMBER($B$80),$B$80&gt;=0,$B$80&lt;=1,ROUND($B$81*12,0)&gt;=1,$B$81&lt;=100,SUM($B$82)&gt;=0,SUM($B$82)&lt;=1,SUM($B$83)&gt;=0)),OR(375=1,375=$B$174+1,AND($B$175&gt;0,375=$B$175+1))),IF(AND($B$170=1,$B$66&gt;0,OR($B$175=0,375&lt;=$B$175)),$B$66,IF($B$172-MAX(375-1,$B$174)&gt;0,IF(B775=0,0,IF(C775=0,B775/($B$172-MAX(375-1,$B$174)),B775*(C775/12)/(1-(1+C775/12)^(-($B$172-MAX(375-1,$B$174)))))),"")),D774)))),""),""))</x:f>
        <x:v>0</x:v>
      </x:c>
      <x:c r="E775" s="440" t="n">
        <x:f>IF(AND(375=$B$173,ISNUMBER(D775)),IF(MAX(0,B775*(1+C775/12)-D775)&lt;MAX(0.0000001,$E$17*0.00000000001),0,MAX(0,B775*(1+C775/12)-D775)),0)</x:f>
        <x:v>0</x:v>
      </x:c>
      <x:c r="F775" s="440" t="n">
        <x:f>IF($B$78="Cash payoff",E775,0)</x:f>
        <x:v>0</x:v>
      </x:c>
      <x:c r="G775" s="440" t="n">
        <x:f>IF(AND(E775&gt;0,AND($B$78="Refinance",ISNUMBER($B$80),$B$80&gt;=0,$B$80&lt;=1,ROUND($B$81*12,0)&gt;=1,$B$81&lt;=100,SUM($B$82)&gt;=0,SUM($B$82)&lt;=1,SUM($B$83)&gt;=0)),E775*SUM($B$82)+SUM($B$83),0)</x:f>
        <x:v>0</x:v>
      </x:c>
      <x:c r="H775" s="440" t="n">
        <x:f>IF(ISNUMBER(D775),IF(MAX(0,B775*(1+C775/12)-D775-F775)&lt;MAX(0.0000001,$E$17*0.00000000001),0,MAX(0,B775*(1+C775/12)-D775-F775)),IF(AND($B$171=1,I774=1),B775,""))</x:f>
        <x:v>0</x:v>
      </x:c>
      <x:c r="I775" s="444" t="n">
        <x:f>IF(OR(I774=1,AND(E775&gt;0,$B$78&lt;&gt;"Cash payoff",NOT(AND($B$78="Refinance",ISNUMBER($B$80),$B$80&gt;=0,$B$80&lt;=1,ROUND($B$81*12,0)&gt;=1,$B$81&lt;=100,SUM($B$82)&gt;=0,SUM($B$82)&lt;=1,SUM($B$83)&gt;=0))),AND(ISNUMBER(B775),B775&gt;0,$B$171=1,NOT(ISNUMBER(D775)))),1,0)</x:f>
        <x:v>0</x:v>
      </x:c>
      <x:c r="J775" s="440" t="n">
        <x:f>IF(ISNUMBER(L774),L774,"")</x:f>
        <x:v>0</x:v>
      </x:c>
      <x:c r="K775" s="440" t="n">
        <x:f>IF(AND(ISNUMBER(J775),J775=0),0,IF(AND($B$176=1,ISNUMBER(J775)),MIN(J775*(1+$B$87/12),IF($B$86=0,0,IF($B$87=0,$B$86/ROUND($B$88*12,0),$B$86*($B$87/12)/(1-(1+$B$87/12)^(-ROUND($B$88*12,0)))))),""))</x:f>
        <x:v>0</x:v>
      </x:c>
      <x:c r="L775" s="440" t="n">
        <x:f>IF(ISNUMBER(K775),IF(MAX(0,J775*(1+SUM($B$87)/12)-K775)&lt;MAX(0.0000001,$B$86*0.00000000001),0,MAX(0,J775*(1+SUM($B$87)/12)-K775)),"")</x:f>
        <x:v>0</x:v>
      </x:c>
      <x:c r="M775" s="440" t="n">
        <x:f>IF(AND(ISNUMBER(D775),ISNUMBER(K775)),D775+K775,"")</x:f>
        <x:v>0</x:v>
      </x:c>
      <x:c r="N775" s="440" t="n">
        <x:f>IF(AND(ISNUMBER(H775),ISNUMBER(L775)),H775+L775,"")</x:f>
        <x:v>0</x:v>
      </x:c>
    </x:row>
    <x:row r="776" ht="22" customHeight="1">
      <x:c r="A776" s="254" t="n">
        <x:f>376</x:f>
        <x:v>376</x:v>
      </x:c>
      <x:c r="B776" s="440" t="n">
        <x:f>IF(ISNUMBER(H775),H775,"")</x:f>
        <x:v>0</x:v>
      </x:c>
      <x:c r="C776" s="442" t="n">
        <x:f>IF(ISNUMBER(B776),IF(AND(376&gt;$B$173,$B$78="Refinance",ISNUMBER($B$80),$B$80&gt;=0,$B$80&lt;=1,ROUND($B$81*12,0)&gt;=1,$B$81&lt;=100,SUM($B$82)&gt;=0,SUM($B$82)&lt;=1,SUM($B$83)&gt;=0),$B$80,IF(AND($B$175&gt;0,376&gt;$B$175,ISNUMBER($B$75)),$B$75,$B$61)),"")</x:f>
        <x:v>0.0625</x:v>
      </x:c>
      <x:c r="D776" s="440" t="n">
        <x:f>IF(AND(ISNUMBER(B776),B776=0),0,IF(AND($B$171=1,I775=0,ISNUMBER(C776),ISNUMBER(IF(AND(376&lt;=$B$174,376&lt;=$B$173),B776*C776/12,IF(AND(376=$B$173+1,AND(376&gt;$B$173,$B$78="Refinance",ISNUMBER($B$80),$B$80&gt;=0,$B$80&lt;=1,ROUND($B$81*12,0)&gt;=1,$B$81&lt;=100,SUM($B$82)&gt;=0,SUM($B$82)&lt;=1,SUM($B$83)&gt;=0)),IF(B776=0,0,IF(C776=0,B776/ROUND($B$81*12,0),B776*(C776/12)/(1-(1+C776/12)^(-ROUND($B$81*12,0))))),IF(AND(NOT(AND(376&gt;$B$173,$B$78="Refinance",ISNUMBER($B$80),$B$80&gt;=0,$B$80&lt;=1,ROUND($B$81*12,0)&gt;=1,$B$81&lt;=100,SUM($B$82)&gt;=0,SUM($B$82)&lt;=1,SUM($B$83)&gt;=0)),OR(376=1,376=$B$174+1,AND($B$175&gt;0,376=$B$175+1))),IF(AND($B$170=1,$B$66&gt;0,OR($B$175=0,376&lt;=$B$175)),$B$66,IF($B$172-MAX(376-1,$B$174)&gt;0,IF(B776=0,0,IF(C776=0,B776/($B$172-MAX(376-1,$B$174)),B776*(C776/12)/(1-(1+C776/12)^(-($B$172-MAX(376-1,$B$174)))))),"")),D775))))),IF(IF(AND(376&lt;=$B$174,376&lt;=$B$173),B776*C776/12,IF(AND(376=$B$173+1,AND(376&gt;$B$173,$B$78="Refinance",ISNUMBER($B$80),$B$80&gt;=0,$B$80&lt;=1,ROUND($B$81*12,0)&gt;=1,$B$81&lt;=100,SUM($B$82)&gt;=0,SUM($B$82)&lt;=1,SUM($B$83)&gt;=0)),IF(B776=0,0,IF(C776=0,B776/ROUND($B$81*12,0),B776*(C776/12)/(1-(1+C776/12)^(-ROUND($B$81*12,0))))),IF(AND(NOT(AND(376&gt;$B$173,$B$78="Refinance",ISNUMBER($B$80),$B$80&gt;=0,$B$80&lt;=1,ROUND($B$81*12,0)&gt;=1,$B$81&lt;=100,SUM($B$82)&gt;=0,SUM($B$82)&lt;=1,SUM($B$83)&gt;=0)),OR(376=1,376=$B$174+1,AND($B$175&gt;0,376=$B$175+1))),IF(AND($B$170=1,$B$66&gt;0,OR($B$175=0,376&lt;=$B$175)),$B$66,IF($B$172-MAX(376-1,$B$174)&gt;0,IF(B776=0,0,IF(C776=0,B776/($B$172-MAX(376-1,$B$174)),B776*(C776/12)/(1-(1+C776/12)^(-($B$172-MAX(376-1,$B$174)))))),"")),D775)))+0.0000001&gt;=B776*C776/12,MIN(B776*(1+C776/12),IF(AND(376&lt;=$B$174,376&lt;=$B$173),B776*C776/12,IF(AND(376=$B$173+1,AND(376&gt;$B$173,$B$78="Refinance",ISNUMBER($B$80),$B$80&gt;=0,$B$80&lt;=1,ROUND($B$81*12,0)&gt;=1,$B$81&lt;=100,SUM($B$82)&gt;=0,SUM($B$82)&lt;=1,SUM($B$83)&gt;=0)),IF(B776=0,0,IF(C776=0,B776/ROUND($B$81*12,0),B776*(C776/12)/(1-(1+C776/12)^(-ROUND($B$81*12,0))))),IF(AND(NOT(AND(376&gt;$B$173,$B$78="Refinance",ISNUMBER($B$80),$B$80&gt;=0,$B$80&lt;=1,ROUND($B$81*12,0)&gt;=1,$B$81&lt;=100,SUM($B$82)&gt;=0,SUM($B$82)&lt;=1,SUM($B$83)&gt;=0)),OR(376=1,376=$B$174+1,AND($B$175&gt;0,376=$B$175+1))),IF(AND($B$170=1,$B$66&gt;0,OR($B$175=0,376&lt;=$B$175)),$B$66,IF($B$172-MAX(376-1,$B$174)&gt;0,IF(B776=0,0,IF(C776=0,B776/($B$172-MAX(376-1,$B$174)),B776*(C776/12)/(1-(1+C776/12)^(-($B$172-MAX(376-1,$B$174)))))),"")),D775)))),""),""))</x:f>
        <x:v>0</x:v>
      </x:c>
      <x:c r="E776" s="440" t="n">
        <x:f>IF(AND(376=$B$173,ISNUMBER(D776)),IF(MAX(0,B776*(1+C776/12)-D776)&lt;MAX(0.0000001,$E$17*0.00000000001),0,MAX(0,B776*(1+C776/12)-D776)),0)</x:f>
        <x:v>0</x:v>
      </x:c>
      <x:c r="F776" s="440" t="n">
        <x:f>IF($B$78="Cash payoff",E776,0)</x:f>
        <x:v>0</x:v>
      </x:c>
      <x:c r="G776" s="440" t="n">
        <x:f>IF(AND(E776&gt;0,AND($B$78="Refinance",ISNUMBER($B$80),$B$80&gt;=0,$B$80&lt;=1,ROUND($B$81*12,0)&gt;=1,$B$81&lt;=100,SUM($B$82)&gt;=0,SUM($B$82)&lt;=1,SUM($B$83)&gt;=0)),E776*SUM($B$82)+SUM($B$83),0)</x:f>
        <x:v>0</x:v>
      </x:c>
      <x:c r="H776" s="440" t="n">
        <x:f>IF(ISNUMBER(D776),IF(MAX(0,B776*(1+C776/12)-D776-F776)&lt;MAX(0.0000001,$E$17*0.00000000001),0,MAX(0,B776*(1+C776/12)-D776-F776)),IF(AND($B$171=1,I775=1),B776,""))</x:f>
        <x:v>0</x:v>
      </x:c>
      <x:c r="I776" s="444" t="n">
        <x:f>IF(OR(I775=1,AND(E776&gt;0,$B$78&lt;&gt;"Cash payoff",NOT(AND($B$78="Refinance",ISNUMBER($B$80),$B$80&gt;=0,$B$80&lt;=1,ROUND($B$81*12,0)&gt;=1,$B$81&lt;=100,SUM($B$82)&gt;=0,SUM($B$82)&lt;=1,SUM($B$83)&gt;=0))),AND(ISNUMBER(B776),B776&gt;0,$B$171=1,NOT(ISNUMBER(D776)))),1,0)</x:f>
        <x:v>0</x:v>
      </x:c>
      <x:c r="J776" s="440" t="n">
        <x:f>IF(ISNUMBER(L775),L775,"")</x:f>
        <x:v>0</x:v>
      </x:c>
      <x:c r="K776" s="440" t="n">
        <x:f>IF(AND(ISNUMBER(J776),J776=0),0,IF(AND($B$176=1,ISNUMBER(J776)),MIN(J776*(1+$B$87/12),IF($B$86=0,0,IF($B$87=0,$B$86/ROUND($B$88*12,0),$B$86*($B$87/12)/(1-(1+$B$87/12)^(-ROUND($B$88*12,0)))))),""))</x:f>
        <x:v>0</x:v>
      </x:c>
      <x:c r="L776" s="440" t="n">
        <x:f>IF(ISNUMBER(K776),IF(MAX(0,J776*(1+SUM($B$87)/12)-K776)&lt;MAX(0.0000001,$B$86*0.00000000001),0,MAX(0,J776*(1+SUM($B$87)/12)-K776)),"")</x:f>
        <x:v>0</x:v>
      </x:c>
      <x:c r="M776" s="440" t="n">
        <x:f>IF(AND(ISNUMBER(D776),ISNUMBER(K776)),D776+K776,"")</x:f>
        <x:v>0</x:v>
      </x:c>
      <x:c r="N776" s="440" t="n">
        <x:f>IF(AND(ISNUMBER(H776),ISNUMBER(L776)),H776+L776,"")</x:f>
        <x:v>0</x:v>
      </x:c>
    </x:row>
    <x:row r="777" ht="22" customHeight="1">
      <x:c r="A777" s="254" t="n">
        <x:f>377</x:f>
        <x:v>377</x:v>
      </x:c>
      <x:c r="B777" s="440" t="n">
        <x:f>IF(ISNUMBER(H776),H776,"")</x:f>
        <x:v>0</x:v>
      </x:c>
      <x:c r="C777" s="442" t="n">
        <x:f>IF(ISNUMBER(B777),IF(AND(377&gt;$B$173,$B$78="Refinance",ISNUMBER($B$80),$B$80&gt;=0,$B$80&lt;=1,ROUND($B$81*12,0)&gt;=1,$B$81&lt;=100,SUM($B$82)&gt;=0,SUM($B$82)&lt;=1,SUM($B$83)&gt;=0),$B$80,IF(AND($B$175&gt;0,377&gt;$B$175,ISNUMBER($B$75)),$B$75,$B$61)),"")</x:f>
        <x:v>0.0625</x:v>
      </x:c>
      <x:c r="D777" s="440" t="n">
        <x:f>IF(AND(ISNUMBER(B777),B777=0),0,IF(AND($B$171=1,I776=0,ISNUMBER(C777),ISNUMBER(IF(AND(377&lt;=$B$174,377&lt;=$B$173),B777*C777/12,IF(AND(377=$B$173+1,AND(377&gt;$B$173,$B$78="Refinance",ISNUMBER($B$80),$B$80&gt;=0,$B$80&lt;=1,ROUND($B$81*12,0)&gt;=1,$B$81&lt;=100,SUM($B$82)&gt;=0,SUM($B$82)&lt;=1,SUM($B$83)&gt;=0)),IF(B777=0,0,IF(C777=0,B777/ROUND($B$81*12,0),B777*(C777/12)/(1-(1+C777/12)^(-ROUND($B$81*12,0))))),IF(AND(NOT(AND(377&gt;$B$173,$B$78="Refinance",ISNUMBER($B$80),$B$80&gt;=0,$B$80&lt;=1,ROUND($B$81*12,0)&gt;=1,$B$81&lt;=100,SUM($B$82)&gt;=0,SUM($B$82)&lt;=1,SUM($B$83)&gt;=0)),OR(377=1,377=$B$174+1,AND($B$175&gt;0,377=$B$175+1))),IF(AND($B$170=1,$B$66&gt;0,OR($B$175=0,377&lt;=$B$175)),$B$66,IF($B$172-MAX(377-1,$B$174)&gt;0,IF(B777=0,0,IF(C777=0,B777/($B$172-MAX(377-1,$B$174)),B777*(C777/12)/(1-(1+C777/12)^(-($B$172-MAX(377-1,$B$174)))))),"")),D776))))),IF(IF(AND(377&lt;=$B$174,377&lt;=$B$173),B777*C777/12,IF(AND(377=$B$173+1,AND(377&gt;$B$173,$B$78="Refinance",ISNUMBER($B$80),$B$80&gt;=0,$B$80&lt;=1,ROUND($B$81*12,0)&gt;=1,$B$81&lt;=100,SUM($B$82)&gt;=0,SUM($B$82)&lt;=1,SUM($B$83)&gt;=0)),IF(B777=0,0,IF(C777=0,B777/ROUND($B$81*12,0),B777*(C777/12)/(1-(1+C777/12)^(-ROUND($B$81*12,0))))),IF(AND(NOT(AND(377&gt;$B$173,$B$78="Refinance",ISNUMBER($B$80),$B$80&gt;=0,$B$80&lt;=1,ROUND($B$81*12,0)&gt;=1,$B$81&lt;=100,SUM($B$82)&gt;=0,SUM($B$82)&lt;=1,SUM($B$83)&gt;=0)),OR(377=1,377=$B$174+1,AND($B$175&gt;0,377=$B$175+1))),IF(AND($B$170=1,$B$66&gt;0,OR($B$175=0,377&lt;=$B$175)),$B$66,IF($B$172-MAX(377-1,$B$174)&gt;0,IF(B777=0,0,IF(C777=0,B777/($B$172-MAX(377-1,$B$174)),B777*(C777/12)/(1-(1+C777/12)^(-($B$172-MAX(377-1,$B$174)))))),"")),D776)))+0.0000001&gt;=B777*C777/12,MIN(B777*(1+C777/12),IF(AND(377&lt;=$B$174,377&lt;=$B$173),B777*C777/12,IF(AND(377=$B$173+1,AND(377&gt;$B$173,$B$78="Refinance",ISNUMBER($B$80),$B$80&gt;=0,$B$80&lt;=1,ROUND($B$81*12,0)&gt;=1,$B$81&lt;=100,SUM($B$82)&gt;=0,SUM($B$82)&lt;=1,SUM($B$83)&gt;=0)),IF(B777=0,0,IF(C777=0,B777/ROUND($B$81*12,0),B777*(C777/12)/(1-(1+C777/12)^(-ROUND($B$81*12,0))))),IF(AND(NOT(AND(377&gt;$B$173,$B$78="Refinance",ISNUMBER($B$80),$B$80&gt;=0,$B$80&lt;=1,ROUND($B$81*12,0)&gt;=1,$B$81&lt;=100,SUM($B$82)&gt;=0,SUM($B$82)&lt;=1,SUM($B$83)&gt;=0)),OR(377=1,377=$B$174+1,AND($B$175&gt;0,377=$B$175+1))),IF(AND($B$170=1,$B$66&gt;0,OR($B$175=0,377&lt;=$B$175)),$B$66,IF($B$172-MAX(377-1,$B$174)&gt;0,IF(B777=0,0,IF(C777=0,B777/($B$172-MAX(377-1,$B$174)),B777*(C777/12)/(1-(1+C777/12)^(-($B$172-MAX(377-1,$B$174)))))),"")),D776)))),""),""))</x:f>
        <x:v>0</x:v>
      </x:c>
      <x:c r="E777" s="440" t="n">
        <x:f>IF(AND(377=$B$173,ISNUMBER(D777)),IF(MAX(0,B777*(1+C777/12)-D777)&lt;MAX(0.0000001,$E$17*0.00000000001),0,MAX(0,B777*(1+C777/12)-D777)),0)</x:f>
        <x:v>0</x:v>
      </x:c>
      <x:c r="F777" s="440" t="n">
        <x:f>IF($B$78="Cash payoff",E777,0)</x:f>
        <x:v>0</x:v>
      </x:c>
      <x:c r="G777" s="440" t="n">
        <x:f>IF(AND(E777&gt;0,AND($B$78="Refinance",ISNUMBER($B$80),$B$80&gt;=0,$B$80&lt;=1,ROUND($B$81*12,0)&gt;=1,$B$81&lt;=100,SUM($B$82)&gt;=0,SUM($B$82)&lt;=1,SUM($B$83)&gt;=0)),E777*SUM($B$82)+SUM($B$83),0)</x:f>
        <x:v>0</x:v>
      </x:c>
      <x:c r="H777" s="440" t="n">
        <x:f>IF(ISNUMBER(D777),IF(MAX(0,B777*(1+C777/12)-D777-F777)&lt;MAX(0.0000001,$E$17*0.00000000001),0,MAX(0,B777*(1+C777/12)-D777-F777)),IF(AND($B$171=1,I776=1),B777,""))</x:f>
        <x:v>0</x:v>
      </x:c>
      <x:c r="I777" s="444" t="n">
        <x:f>IF(OR(I776=1,AND(E777&gt;0,$B$78&lt;&gt;"Cash payoff",NOT(AND($B$78="Refinance",ISNUMBER($B$80),$B$80&gt;=0,$B$80&lt;=1,ROUND($B$81*12,0)&gt;=1,$B$81&lt;=100,SUM($B$82)&gt;=0,SUM($B$82)&lt;=1,SUM($B$83)&gt;=0))),AND(ISNUMBER(B777),B777&gt;0,$B$171=1,NOT(ISNUMBER(D777)))),1,0)</x:f>
        <x:v>0</x:v>
      </x:c>
      <x:c r="J777" s="440" t="n">
        <x:f>IF(ISNUMBER(L776),L776,"")</x:f>
        <x:v>0</x:v>
      </x:c>
      <x:c r="K777" s="440" t="n">
        <x:f>IF(AND(ISNUMBER(J777),J777=0),0,IF(AND($B$176=1,ISNUMBER(J777)),MIN(J777*(1+$B$87/12),IF($B$86=0,0,IF($B$87=0,$B$86/ROUND($B$88*12,0),$B$86*($B$87/12)/(1-(1+$B$87/12)^(-ROUND($B$88*12,0)))))),""))</x:f>
        <x:v>0</x:v>
      </x:c>
      <x:c r="L777" s="440" t="n">
        <x:f>IF(ISNUMBER(K777),IF(MAX(0,J777*(1+SUM($B$87)/12)-K777)&lt;MAX(0.0000001,$B$86*0.00000000001),0,MAX(0,J777*(1+SUM($B$87)/12)-K777)),"")</x:f>
        <x:v>0</x:v>
      </x:c>
      <x:c r="M777" s="440" t="n">
        <x:f>IF(AND(ISNUMBER(D777),ISNUMBER(K777)),D777+K777,"")</x:f>
        <x:v>0</x:v>
      </x:c>
      <x:c r="N777" s="440" t="n">
        <x:f>IF(AND(ISNUMBER(H777),ISNUMBER(L777)),H777+L777,"")</x:f>
        <x:v>0</x:v>
      </x:c>
    </x:row>
    <x:row r="778" ht="22" customHeight="1">
      <x:c r="A778" s="254" t="n">
        <x:f>378</x:f>
        <x:v>378</x:v>
      </x:c>
      <x:c r="B778" s="440" t="n">
        <x:f>IF(ISNUMBER(H777),H777,"")</x:f>
        <x:v>0</x:v>
      </x:c>
      <x:c r="C778" s="442" t="n">
        <x:f>IF(ISNUMBER(B778),IF(AND(378&gt;$B$173,$B$78="Refinance",ISNUMBER($B$80),$B$80&gt;=0,$B$80&lt;=1,ROUND($B$81*12,0)&gt;=1,$B$81&lt;=100,SUM($B$82)&gt;=0,SUM($B$82)&lt;=1,SUM($B$83)&gt;=0),$B$80,IF(AND($B$175&gt;0,378&gt;$B$175,ISNUMBER($B$75)),$B$75,$B$61)),"")</x:f>
        <x:v>0.0625</x:v>
      </x:c>
      <x:c r="D778" s="440" t="n">
        <x:f>IF(AND(ISNUMBER(B778),B778=0),0,IF(AND($B$171=1,I777=0,ISNUMBER(C778),ISNUMBER(IF(AND(378&lt;=$B$174,378&lt;=$B$173),B778*C778/12,IF(AND(378=$B$173+1,AND(378&gt;$B$173,$B$78="Refinance",ISNUMBER($B$80),$B$80&gt;=0,$B$80&lt;=1,ROUND($B$81*12,0)&gt;=1,$B$81&lt;=100,SUM($B$82)&gt;=0,SUM($B$82)&lt;=1,SUM($B$83)&gt;=0)),IF(B778=0,0,IF(C778=0,B778/ROUND($B$81*12,0),B778*(C778/12)/(1-(1+C778/12)^(-ROUND($B$81*12,0))))),IF(AND(NOT(AND(378&gt;$B$173,$B$78="Refinance",ISNUMBER($B$80),$B$80&gt;=0,$B$80&lt;=1,ROUND($B$81*12,0)&gt;=1,$B$81&lt;=100,SUM($B$82)&gt;=0,SUM($B$82)&lt;=1,SUM($B$83)&gt;=0)),OR(378=1,378=$B$174+1,AND($B$175&gt;0,378=$B$175+1))),IF(AND($B$170=1,$B$66&gt;0,OR($B$175=0,378&lt;=$B$175)),$B$66,IF($B$172-MAX(378-1,$B$174)&gt;0,IF(B778=0,0,IF(C778=0,B778/($B$172-MAX(378-1,$B$174)),B778*(C778/12)/(1-(1+C778/12)^(-($B$172-MAX(378-1,$B$174)))))),"")),D777))))),IF(IF(AND(378&lt;=$B$174,378&lt;=$B$173),B778*C778/12,IF(AND(378=$B$173+1,AND(378&gt;$B$173,$B$78="Refinance",ISNUMBER($B$80),$B$80&gt;=0,$B$80&lt;=1,ROUND($B$81*12,0)&gt;=1,$B$81&lt;=100,SUM($B$82)&gt;=0,SUM($B$82)&lt;=1,SUM($B$83)&gt;=0)),IF(B778=0,0,IF(C778=0,B778/ROUND($B$81*12,0),B778*(C778/12)/(1-(1+C778/12)^(-ROUND($B$81*12,0))))),IF(AND(NOT(AND(378&gt;$B$173,$B$78="Refinance",ISNUMBER($B$80),$B$80&gt;=0,$B$80&lt;=1,ROUND($B$81*12,0)&gt;=1,$B$81&lt;=100,SUM($B$82)&gt;=0,SUM($B$82)&lt;=1,SUM($B$83)&gt;=0)),OR(378=1,378=$B$174+1,AND($B$175&gt;0,378=$B$175+1))),IF(AND($B$170=1,$B$66&gt;0,OR($B$175=0,378&lt;=$B$175)),$B$66,IF($B$172-MAX(378-1,$B$174)&gt;0,IF(B778=0,0,IF(C778=0,B778/($B$172-MAX(378-1,$B$174)),B778*(C778/12)/(1-(1+C778/12)^(-($B$172-MAX(378-1,$B$174)))))),"")),D777)))+0.0000001&gt;=B778*C778/12,MIN(B778*(1+C778/12),IF(AND(378&lt;=$B$174,378&lt;=$B$173),B778*C778/12,IF(AND(378=$B$173+1,AND(378&gt;$B$173,$B$78="Refinance",ISNUMBER($B$80),$B$80&gt;=0,$B$80&lt;=1,ROUND($B$81*12,0)&gt;=1,$B$81&lt;=100,SUM($B$82)&gt;=0,SUM($B$82)&lt;=1,SUM($B$83)&gt;=0)),IF(B778=0,0,IF(C778=0,B778/ROUND($B$81*12,0),B778*(C778/12)/(1-(1+C778/12)^(-ROUND($B$81*12,0))))),IF(AND(NOT(AND(378&gt;$B$173,$B$78="Refinance",ISNUMBER($B$80),$B$80&gt;=0,$B$80&lt;=1,ROUND($B$81*12,0)&gt;=1,$B$81&lt;=100,SUM($B$82)&gt;=0,SUM($B$82)&lt;=1,SUM($B$83)&gt;=0)),OR(378=1,378=$B$174+1,AND($B$175&gt;0,378=$B$175+1))),IF(AND($B$170=1,$B$66&gt;0,OR($B$175=0,378&lt;=$B$175)),$B$66,IF($B$172-MAX(378-1,$B$174)&gt;0,IF(B778=0,0,IF(C778=0,B778/($B$172-MAX(378-1,$B$174)),B778*(C778/12)/(1-(1+C778/12)^(-($B$172-MAX(378-1,$B$174)))))),"")),D777)))),""),""))</x:f>
        <x:v>0</x:v>
      </x:c>
      <x:c r="E778" s="440" t="n">
        <x:f>IF(AND(378=$B$173,ISNUMBER(D778)),IF(MAX(0,B778*(1+C778/12)-D778)&lt;MAX(0.0000001,$E$17*0.00000000001),0,MAX(0,B778*(1+C778/12)-D778)),0)</x:f>
        <x:v>0</x:v>
      </x:c>
      <x:c r="F778" s="440" t="n">
        <x:f>IF($B$78="Cash payoff",E778,0)</x:f>
        <x:v>0</x:v>
      </x:c>
      <x:c r="G778" s="440" t="n">
        <x:f>IF(AND(E778&gt;0,AND($B$78="Refinance",ISNUMBER($B$80),$B$80&gt;=0,$B$80&lt;=1,ROUND($B$81*12,0)&gt;=1,$B$81&lt;=100,SUM($B$82)&gt;=0,SUM($B$82)&lt;=1,SUM($B$83)&gt;=0)),E778*SUM($B$82)+SUM($B$83),0)</x:f>
        <x:v>0</x:v>
      </x:c>
      <x:c r="H778" s="440" t="n">
        <x:f>IF(ISNUMBER(D778),IF(MAX(0,B778*(1+C778/12)-D778-F778)&lt;MAX(0.0000001,$E$17*0.00000000001),0,MAX(0,B778*(1+C778/12)-D778-F778)),IF(AND($B$171=1,I777=1),B778,""))</x:f>
        <x:v>0</x:v>
      </x:c>
      <x:c r="I778" s="444" t="n">
        <x:f>IF(OR(I777=1,AND(E778&gt;0,$B$78&lt;&gt;"Cash payoff",NOT(AND($B$78="Refinance",ISNUMBER($B$80),$B$80&gt;=0,$B$80&lt;=1,ROUND($B$81*12,0)&gt;=1,$B$81&lt;=100,SUM($B$82)&gt;=0,SUM($B$82)&lt;=1,SUM($B$83)&gt;=0))),AND(ISNUMBER(B778),B778&gt;0,$B$171=1,NOT(ISNUMBER(D778)))),1,0)</x:f>
        <x:v>0</x:v>
      </x:c>
      <x:c r="J778" s="440" t="n">
        <x:f>IF(ISNUMBER(L777),L777,"")</x:f>
        <x:v>0</x:v>
      </x:c>
      <x:c r="K778" s="440" t="n">
        <x:f>IF(AND(ISNUMBER(J778),J778=0),0,IF(AND($B$176=1,ISNUMBER(J778)),MIN(J778*(1+$B$87/12),IF($B$86=0,0,IF($B$87=0,$B$86/ROUND($B$88*12,0),$B$86*($B$87/12)/(1-(1+$B$87/12)^(-ROUND($B$88*12,0)))))),""))</x:f>
        <x:v>0</x:v>
      </x:c>
      <x:c r="L778" s="440" t="n">
        <x:f>IF(ISNUMBER(K778),IF(MAX(0,J778*(1+SUM($B$87)/12)-K778)&lt;MAX(0.0000001,$B$86*0.00000000001),0,MAX(0,J778*(1+SUM($B$87)/12)-K778)),"")</x:f>
        <x:v>0</x:v>
      </x:c>
      <x:c r="M778" s="440" t="n">
        <x:f>IF(AND(ISNUMBER(D778),ISNUMBER(K778)),D778+K778,"")</x:f>
        <x:v>0</x:v>
      </x:c>
      <x:c r="N778" s="440" t="n">
        <x:f>IF(AND(ISNUMBER(H778),ISNUMBER(L778)),H778+L778,"")</x:f>
        <x:v>0</x:v>
      </x:c>
    </x:row>
    <x:row r="779" ht="22" customHeight="1">
      <x:c r="A779" s="254" t="n">
        <x:f>379</x:f>
        <x:v>379</x:v>
      </x:c>
      <x:c r="B779" s="440" t="n">
        <x:f>IF(ISNUMBER(H778),H778,"")</x:f>
        <x:v>0</x:v>
      </x:c>
      <x:c r="C779" s="442" t="n">
        <x:f>IF(ISNUMBER(B779),IF(AND(379&gt;$B$173,$B$78="Refinance",ISNUMBER($B$80),$B$80&gt;=0,$B$80&lt;=1,ROUND($B$81*12,0)&gt;=1,$B$81&lt;=100,SUM($B$82)&gt;=0,SUM($B$82)&lt;=1,SUM($B$83)&gt;=0),$B$80,IF(AND($B$175&gt;0,379&gt;$B$175,ISNUMBER($B$75)),$B$75,$B$61)),"")</x:f>
        <x:v>0.0625</x:v>
      </x:c>
      <x:c r="D779" s="440" t="n">
        <x:f>IF(AND(ISNUMBER(B779),B779=0),0,IF(AND($B$171=1,I778=0,ISNUMBER(C779),ISNUMBER(IF(AND(379&lt;=$B$174,379&lt;=$B$173),B779*C779/12,IF(AND(379=$B$173+1,AND(379&gt;$B$173,$B$78="Refinance",ISNUMBER($B$80),$B$80&gt;=0,$B$80&lt;=1,ROUND($B$81*12,0)&gt;=1,$B$81&lt;=100,SUM($B$82)&gt;=0,SUM($B$82)&lt;=1,SUM($B$83)&gt;=0)),IF(B779=0,0,IF(C779=0,B779/ROUND($B$81*12,0),B779*(C779/12)/(1-(1+C779/12)^(-ROUND($B$81*12,0))))),IF(AND(NOT(AND(379&gt;$B$173,$B$78="Refinance",ISNUMBER($B$80),$B$80&gt;=0,$B$80&lt;=1,ROUND($B$81*12,0)&gt;=1,$B$81&lt;=100,SUM($B$82)&gt;=0,SUM($B$82)&lt;=1,SUM($B$83)&gt;=0)),OR(379=1,379=$B$174+1,AND($B$175&gt;0,379=$B$175+1))),IF(AND($B$170=1,$B$66&gt;0,OR($B$175=0,379&lt;=$B$175)),$B$66,IF($B$172-MAX(379-1,$B$174)&gt;0,IF(B779=0,0,IF(C779=0,B779/($B$172-MAX(379-1,$B$174)),B779*(C779/12)/(1-(1+C779/12)^(-($B$172-MAX(379-1,$B$174)))))),"")),D778))))),IF(IF(AND(379&lt;=$B$174,379&lt;=$B$173),B779*C779/12,IF(AND(379=$B$173+1,AND(379&gt;$B$173,$B$78="Refinance",ISNUMBER($B$80),$B$80&gt;=0,$B$80&lt;=1,ROUND($B$81*12,0)&gt;=1,$B$81&lt;=100,SUM($B$82)&gt;=0,SUM($B$82)&lt;=1,SUM($B$83)&gt;=0)),IF(B779=0,0,IF(C779=0,B779/ROUND($B$81*12,0),B779*(C779/12)/(1-(1+C779/12)^(-ROUND($B$81*12,0))))),IF(AND(NOT(AND(379&gt;$B$173,$B$78="Refinance",ISNUMBER($B$80),$B$80&gt;=0,$B$80&lt;=1,ROUND($B$81*12,0)&gt;=1,$B$81&lt;=100,SUM($B$82)&gt;=0,SUM($B$82)&lt;=1,SUM($B$83)&gt;=0)),OR(379=1,379=$B$174+1,AND($B$175&gt;0,379=$B$175+1))),IF(AND($B$170=1,$B$66&gt;0,OR($B$175=0,379&lt;=$B$175)),$B$66,IF($B$172-MAX(379-1,$B$174)&gt;0,IF(B779=0,0,IF(C779=0,B779/($B$172-MAX(379-1,$B$174)),B779*(C779/12)/(1-(1+C779/12)^(-($B$172-MAX(379-1,$B$174)))))),"")),D778)))+0.0000001&gt;=B779*C779/12,MIN(B779*(1+C779/12),IF(AND(379&lt;=$B$174,379&lt;=$B$173),B779*C779/12,IF(AND(379=$B$173+1,AND(379&gt;$B$173,$B$78="Refinance",ISNUMBER($B$80),$B$80&gt;=0,$B$80&lt;=1,ROUND($B$81*12,0)&gt;=1,$B$81&lt;=100,SUM($B$82)&gt;=0,SUM($B$82)&lt;=1,SUM($B$83)&gt;=0)),IF(B779=0,0,IF(C779=0,B779/ROUND($B$81*12,0),B779*(C779/12)/(1-(1+C779/12)^(-ROUND($B$81*12,0))))),IF(AND(NOT(AND(379&gt;$B$173,$B$78="Refinance",ISNUMBER($B$80),$B$80&gt;=0,$B$80&lt;=1,ROUND($B$81*12,0)&gt;=1,$B$81&lt;=100,SUM($B$82)&gt;=0,SUM($B$82)&lt;=1,SUM($B$83)&gt;=0)),OR(379=1,379=$B$174+1,AND($B$175&gt;0,379=$B$175+1))),IF(AND($B$170=1,$B$66&gt;0,OR($B$175=0,379&lt;=$B$175)),$B$66,IF($B$172-MAX(379-1,$B$174)&gt;0,IF(B779=0,0,IF(C779=0,B779/($B$172-MAX(379-1,$B$174)),B779*(C779/12)/(1-(1+C779/12)^(-($B$172-MAX(379-1,$B$174)))))),"")),D778)))),""),""))</x:f>
        <x:v>0</x:v>
      </x:c>
      <x:c r="E779" s="440" t="n">
        <x:f>IF(AND(379=$B$173,ISNUMBER(D779)),IF(MAX(0,B779*(1+C779/12)-D779)&lt;MAX(0.0000001,$E$17*0.00000000001),0,MAX(0,B779*(1+C779/12)-D779)),0)</x:f>
        <x:v>0</x:v>
      </x:c>
      <x:c r="F779" s="440" t="n">
        <x:f>IF($B$78="Cash payoff",E779,0)</x:f>
        <x:v>0</x:v>
      </x:c>
      <x:c r="G779" s="440" t="n">
        <x:f>IF(AND(E779&gt;0,AND($B$78="Refinance",ISNUMBER($B$80),$B$80&gt;=0,$B$80&lt;=1,ROUND($B$81*12,0)&gt;=1,$B$81&lt;=100,SUM($B$82)&gt;=0,SUM($B$82)&lt;=1,SUM($B$83)&gt;=0)),E779*SUM($B$82)+SUM($B$83),0)</x:f>
        <x:v>0</x:v>
      </x:c>
      <x:c r="H779" s="440" t="n">
        <x:f>IF(ISNUMBER(D779),IF(MAX(0,B779*(1+C779/12)-D779-F779)&lt;MAX(0.0000001,$E$17*0.00000000001),0,MAX(0,B779*(1+C779/12)-D779-F779)),IF(AND($B$171=1,I778=1),B779,""))</x:f>
        <x:v>0</x:v>
      </x:c>
      <x:c r="I779" s="444" t="n">
        <x:f>IF(OR(I778=1,AND(E779&gt;0,$B$78&lt;&gt;"Cash payoff",NOT(AND($B$78="Refinance",ISNUMBER($B$80),$B$80&gt;=0,$B$80&lt;=1,ROUND($B$81*12,0)&gt;=1,$B$81&lt;=100,SUM($B$82)&gt;=0,SUM($B$82)&lt;=1,SUM($B$83)&gt;=0))),AND(ISNUMBER(B779),B779&gt;0,$B$171=1,NOT(ISNUMBER(D779)))),1,0)</x:f>
        <x:v>0</x:v>
      </x:c>
      <x:c r="J779" s="440" t="n">
        <x:f>IF(ISNUMBER(L778),L778,"")</x:f>
        <x:v>0</x:v>
      </x:c>
      <x:c r="K779" s="440" t="n">
        <x:f>IF(AND(ISNUMBER(J779),J779=0),0,IF(AND($B$176=1,ISNUMBER(J779)),MIN(J779*(1+$B$87/12),IF($B$86=0,0,IF($B$87=0,$B$86/ROUND($B$88*12,0),$B$86*($B$87/12)/(1-(1+$B$87/12)^(-ROUND($B$88*12,0)))))),""))</x:f>
        <x:v>0</x:v>
      </x:c>
      <x:c r="L779" s="440" t="n">
        <x:f>IF(ISNUMBER(K779),IF(MAX(0,J779*(1+SUM($B$87)/12)-K779)&lt;MAX(0.0000001,$B$86*0.00000000001),0,MAX(0,J779*(1+SUM($B$87)/12)-K779)),"")</x:f>
        <x:v>0</x:v>
      </x:c>
      <x:c r="M779" s="440" t="n">
        <x:f>IF(AND(ISNUMBER(D779),ISNUMBER(K779)),D779+K779,"")</x:f>
        <x:v>0</x:v>
      </x:c>
      <x:c r="N779" s="440" t="n">
        <x:f>IF(AND(ISNUMBER(H779),ISNUMBER(L779)),H779+L779,"")</x:f>
        <x:v>0</x:v>
      </x:c>
    </x:row>
    <x:row r="780" ht="22" customHeight="1">
      <x:c r="A780" s="254" t="n">
        <x:f>380</x:f>
        <x:v>380</x:v>
      </x:c>
      <x:c r="B780" s="440" t="n">
        <x:f>IF(ISNUMBER(H779),H779,"")</x:f>
        <x:v>0</x:v>
      </x:c>
      <x:c r="C780" s="442" t="n">
        <x:f>IF(ISNUMBER(B780),IF(AND(380&gt;$B$173,$B$78="Refinance",ISNUMBER($B$80),$B$80&gt;=0,$B$80&lt;=1,ROUND($B$81*12,0)&gt;=1,$B$81&lt;=100,SUM($B$82)&gt;=0,SUM($B$82)&lt;=1,SUM($B$83)&gt;=0),$B$80,IF(AND($B$175&gt;0,380&gt;$B$175,ISNUMBER($B$75)),$B$75,$B$61)),"")</x:f>
        <x:v>0.0625</x:v>
      </x:c>
      <x:c r="D780" s="440" t="n">
        <x:f>IF(AND(ISNUMBER(B780),B780=0),0,IF(AND($B$171=1,I779=0,ISNUMBER(C780),ISNUMBER(IF(AND(380&lt;=$B$174,380&lt;=$B$173),B780*C780/12,IF(AND(380=$B$173+1,AND(380&gt;$B$173,$B$78="Refinance",ISNUMBER($B$80),$B$80&gt;=0,$B$80&lt;=1,ROUND($B$81*12,0)&gt;=1,$B$81&lt;=100,SUM($B$82)&gt;=0,SUM($B$82)&lt;=1,SUM($B$83)&gt;=0)),IF(B780=0,0,IF(C780=0,B780/ROUND($B$81*12,0),B780*(C780/12)/(1-(1+C780/12)^(-ROUND($B$81*12,0))))),IF(AND(NOT(AND(380&gt;$B$173,$B$78="Refinance",ISNUMBER($B$80),$B$80&gt;=0,$B$80&lt;=1,ROUND($B$81*12,0)&gt;=1,$B$81&lt;=100,SUM($B$82)&gt;=0,SUM($B$82)&lt;=1,SUM($B$83)&gt;=0)),OR(380=1,380=$B$174+1,AND($B$175&gt;0,380=$B$175+1))),IF(AND($B$170=1,$B$66&gt;0,OR($B$175=0,380&lt;=$B$175)),$B$66,IF($B$172-MAX(380-1,$B$174)&gt;0,IF(B780=0,0,IF(C780=0,B780/($B$172-MAX(380-1,$B$174)),B780*(C780/12)/(1-(1+C780/12)^(-($B$172-MAX(380-1,$B$174)))))),"")),D779))))),IF(IF(AND(380&lt;=$B$174,380&lt;=$B$173),B780*C780/12,IF(AND(380=$B$173+1,AND(380&gt;$B$173,$B$78="Refinance",ISNUMBER($B$80),$B$80&gt;=0,$B$80&lt;=1,ROUND($B$81*12,0)&gt;=1,$B$81&lt;=100,SUM($B$82)&gt;=0,SUM($B$82)&lt;=1,SUM($B$83)&gt;=0)),IF(B780=0,0,IF(C780=0,B780/ROUND($B$81*12,0),B780*(C780/12)/(1-(1+C780/12)^(-ROUND($B$81*12,0))))),IF(AND(NOT(AND(380&gt;$B$173,$B$78="Refinance",ISNUMBER($B$80),$B$80&gt;=0,$B$80&lt;=1,ROUND($B$81*12,0)&gt;=1,$B$81&lt;=100,SUM($B$82)&gt;=0,SUM($B$82)&lt;=1,SUM($B$83)&gt;=0)),OR(380=1,380=$B$174+1,AND($B$175&gt;0,380=$B$175+1))),IF(AND($B$170=1,$B$66&gt;0,OR($B$175=0,380&lt;=$B$175)),$B$66,IF($B$172-MAX(380-1,$B$174)&gt;0,IF(B780=0,0,IF(C780=0,B780/($B$172-MAX(380-1,$B$174)),B780*(C780/12)/(1-(1+C780/12)^(-($B$172-MAX(380-1,$B$174)))))),"")),D779)))+0.0000001&gt;=B780*C780/12,MIN(B780*(1+C780/12),IF(AND(380&lt;=$B$174,380&lt;=$B$173),B780*C780/12,IF(AND(380=$B$173+1,AND(380&gt;$B$173,$B$78="Refinance",ISNUMBER($B$80),$B$80&gt;=0,$B$80&lt;=1,ROUND($B$81*12,0)&gt;=1,$B$81&lt;=100,SUM($B$82)&gt;=0,SUM($B$82)&lt;=1,SUM($B$83)&gt;=0)),IF(B780=0,0,IF(C780=0,B780/ROUND($B$81*12,0),B780*(C780/12)/(1-(1+C780/12)^(-ROUND($B$81*12,0))))),IF(AND(NOT(AND(380&gt;$B$173,$B$78="Refinance",ISNUMBER($B$80),$B$80&gt;=0,$B$80&lt;=1,ROUND($B$81*12,0)&gt;=1,$B$81&lt;=100,SUM($B$82)&gt;=0,SUM($B$82)&lt;=1,SUM($B$83)&gt;=0)),OR(380=1,380=$B$174+1,AND($B$175&gt;0,380=$B$175+1))),IF(AND($B$170=1,$B$66&gt;0,OR($B$175=0,380&lt;=$B$175)),$B$66,IF($B$172-MAX(380-1,$B$174)&gt;0,IF(B780=0,0,IF(C780=0,B780/($B$172-MAX(380-1,$B$174)),B780*(C780/12)/(1-(1+C780/12)^(-($B$172-MAX(380-1,$B$174)))))),"")),D779)))),""),""))</x:f>
        <x:v>0</x:v>
      </x:c>
      <x:c r="E780" s="440" t="n">
        <x:f>IF(AND(380=$B$173,ISNUMBER(D780)),IF(MAX(0,B780*(1+C780/12)-D780)&lt;MAX(0.0000001,$E$17*0.00000000001),0,MAX(0,B780*(1+C780/12)-D780)),0)</x:f>
        <x:v>0</x:v>
      </x:c>
      <x:c r="F780" s="440" t="n">
        <x:f>IF($B$78="Cash payoff",E780,0)</x:f>
        <x:v>0</x:v>
      </x:c>
      <x:c r="G780" s="440" t="n">
        <x:f>IF(AND(E780&gt;0,AND($B$78="Refinance",ISNUMBER($B$80),$B$80&gt;=0,$B$80&lt;=1,ROUND($B$81*12,0)&gt;=1,$B$81&lt;=100,SUM($B$82)&gt;=0,SUM($B$82)&lt;=1,SUM($B$83)&gt;=0)),E780*SUM($B$82)+SUM($B$83),0)</x:f>
        <x:v>0</x:v>
      </x:c>
      <x:c r="H780" s="440" t="n">
        <x:f>IF(ISNUMBER(D780),IF(MAX(0,B780*(1+C780/12)-D780-F780)&lt;MAX(0.0000001,$E$17*0.00000000001),0,MAX(0,B780*(1+C780/12)-D780-F780)),IF(AND($B$171=1,I779=1),B780,""))</x:f>
        <x:v>0</x:v>
      </x:c>
      <x:c r="I780" s="444" t="n">
        <x:f>IF(OR(I779=1,AND(E780&gt;0,$B$78&lt;&gt;"Cash payoff",NOT(AND($B$78="Refinance",ISNUMBER($B$80),$B$80&gt;=0,$B$80&lt;=1,ROUND($B$81*12,0)&gt;=1,$B$81&lt;=100,SUM($B$82)&gt;=0,SUM($B$82)&lt;=1,SUM($B$83)&gt;=0))),AND(ISNUMBER(B780),B780&gt;0,$B$171=1,NOT(ISNUMBER(D780)))),1,0)</x:f>
        <x:v>0</x:v>
      </x:c>
      <x:c r="J780" s="440" t="n">
        <x:f>IF(ISNUMBER(L779),L779,"")</x:f>
        <x:v>0</x:v>
      </x:c>
      <x:c r="K780" s="440" t="n">
        <x:f>IF(AND(ISNUMBER(J780),J780=0),0,IF(AND($B$176=1,ISNUMBER(J780)),MIN(J780*(1+$B$87/12),IF($B$86=0,0,IF($B$87=0,$B$86/ROUND($B$88*12,0),$B$86*($B$87/12)/(1-(1+$B$87/12)^(-ROUND($B$88*12,0)))))),""))</x:f>
        <x:v>0</x:v>
      </x:c>
      <x:c r="L780" s="440" t="n">
        <x:f>IF(ISNUMBER(K780),IF(MAX(0,J780*(1+SUM($B$87)/12)-K780)&lt;MAX(0.0000001,$B$86*0.00000000001),0,MAX(0,J780*(1+SUM($B$87)/12)-K780)),"")</x:f>
        <x:v>0</x:v>
      </x:c>
      <x:c r="M780" s="440" t="n">
        <x:f>IF(AND(ISNUMBER(D780),ISNUMBER(K780)),D780+K780,"")</x:f>
        <x:v>0</x:v>
      </x:c>
      <x:c r="N780" s="440" t="n">
        <x:f>IF(AND(ISNUMBER(H780),ISNUMBER(L780)),H780+L780,"")</x:f>
        <x:v>0</x:v>
      </x:c>
    </x:row>
    <x:row r="781" ht="22" customHeight="1">
      <x:c r="A781" s="254" t="n">
        <x:f>381</x:f>
        <x:v>381</x:v>
      </x:c>
      <x:c r="B781" s="440" t="n">
        <x:f>IF(ISNUMBER(H780),H780,"")</x:f>
        <x:v>0</x:v>
      </x:c>
      <x:c r="C781" s="442" t="n">
        <x:f>IF(ISNUMBER(B781),IF(AND(381&gt;$B$173,$B$78="Refinance",ISNUMBER($B$80),$B$80&gt;=0,$B$80&lt;=1,ROUND($B$81*12,0)&gt;=1,$B$81&lt;=100,SUM($B$82)&gt;=0,SUM($B$82)&lt;=1,SUM($B$83)&gt;=0),$B$80,IF(AND($B$175&gt;0,381&gt;$B$175,ISNUMBER($B$75)),$B$75,$B$61)),"")</x:f>
        <x:v>0.0625</x:v>
      </x:c>
      <x:c r="D781" s="440" t="n">
        <x:f>IF(AND(ISNUMBER(B781),B781=0),0,IF(AND($B$171=1,I780=0,ISNUMBER(C781),ISNUMBER(IF(AND(381&lt;=$B$174,381&lt;=$B$173),B781*C781/12,IF(AND(381=$B$173+1,AND(381&gt;$B$173,$B$78="Refinance",ISNUMBER($B$80),$B$80&gt;=0,$B$80&lt;=1,ROUND($B$81*12,0)&gt;=1,$B$81&lt;=100,SUM($B$82)&gt;=0,SUM($B$82)&lt;=1,SUM($B$83)&gt;=0)),IF(B781=0,0,IF(C781=0,B781/ROUND($B$81*12,0),B781*(C781/12)/(1-(1+C781/12)^(-ROUND($B$81*12,0))))),IF(AND(NOT(AND(381&gt;$B$173,$B$78="Refinance",ISNUMBER($B$80),$B$80&gt;=0,$B$80&lt;=1,ROUND($B$81*12,0)&gt;=1,$B$81&lt;=100,SUM($B$82)&gt;=0,SUM($B$82)&lt;=1,SUM($B$83)&gt;=0)),OR(381=1,381=$B$174+1,AND($B$175&gt;0,381=$B$175+1))),IF(AND($B$170=1,$B$66&gt;0,OR($B$175=0,381&lt;=$B$175)),$B$66,IF($B$172-MAX(381-1,$B$174)&gt;0,IF(B781=0,0,IF(C781=0,B781/($B$172-MAX(381-1,$B$174)),B781*(C781/12)/(1-(1+C781/12)^(-($B$172-MAX(381-1,$B$174)))))),"")),D780))))),IF(IF(AND(381&lt;=$B$174,381&lt;=$B$173),B781*C781/12,IF(AND(381=$B$173+1,AND(381&gt;$B$173,$B$78="Refinance",ISNUMBER($B$80),$B$80&gt;=0,$B$80&lt;=1,ROUND($B$81*12,0)&gt;=1,$B$81&lt;=100,SUM($B$82)&gt;=0,SUM($B$82)&lt;=1,SUM($B$83)&gt;=0)),IF(B781=0,0,IF(C781=0,B781/ROUND($B$81*12,0),B781*(C781/12)/(1-(1+C781/12)^(-ROUND($B$81*12,0))))),IF(AND(NOT(AND(381&gt;$B$173,$B$78="Refinance",ISNUMBER($B$80),$B$80&gt;=0,$B$80&lt;=1,ROUND($B$81*12,0)&gt;=1,$B$81&lt;=100,SUM($B$82)&gt;=0,SUM($B$82)&lt;=1,SUM($B$83)&gt;=0)),OR(381=1,381=$B$174+1,AND($B$175&gt;0,381=$B$175+1))),IF(AND($B$170=1,$B$66&gt;0,OR($B$175=0,381&lt;=$B$175)),$B$66,IF($B$172-MAX(381-1,$B$174)&gt;0,IF(B781=0,0,IF(C781=0,B781/($B$172-MAX(381-1,$B$174)),B781*(C781/12)/(1-(1+C781/12)^(-($B$172-MAX(381-1,$B$174)))))),"")),D780)))+0.0000001&gt;=B781*C781/12,MIN(B781*(1+C781/12),IF(AND(381&lt;=$B$174,381&lt;=$B$173),B781*C781/12,IF(AND(381=$B$173+1,AND(381&gt;$B$173,$B$78="Refinance",ISNUMBER($B$80),$B$80&gt;=0,$B$80&lt;=1,ROUND($B$81*12,0)&gt;=1,$B$81&lt;=100,SUM($B$82)&gt;=0,SUM($B$82)&lt;=1,SUM($B$83)&gt;=0)),IF(B781=0,0,IF(C781=0,B781/ROUND($B$81*12,0),B781*(C781/12)/(1-(1+C781/12)^(-ROUND($B$81*12,0))))),IF(AND(NOT(AND(381&gt;$B$173,$B$78="Refinance",ISNUMBER($B$80),$B$80&gt;=0,$B$80&lt;=1,ROUND($B$81*12,0)&gt;=1,$B$81&lt;=100,SUM($B$82)&gt;=0,SUM($B$82)&lt;=1,SUM($B$83)&gt;=0)),OR(381=1,381=$B$174+1,AND($B$175&gt;0,381=$B$175+1))),IF(AND($B$170=1,$B$66&gt;0,OR($B$175=0,381&lt;=$B$175)),$B$66,IF($B$172-MAX(381-1,$B$174)&gt;0,IF(B781=0,0,IF(C781=0,B781/($B$172-MAX(381-1,$B$174)),B781*(C781/12)/(1-(1+C781/12)^(-($B$172-MAX(381-1,$B$174)))))),"")),D780)))),""),""))</x:f>
        <x:v>0</x:v>
      </x:c>
      <x:c r="E781" s="440" t="n">
        <x:f>IF(AND(381=$B$173,ISNUMBER(D781)),IF(MAX(0,B781*(1+C781/12)-D781)&lt;MAX(0.0000001,$E$17*0.00000000001),0,MAX(0,B781*(1+C781/12)-D781)),0)</x:f>
        <x:v>0</x:v>
      </x:c>
      <x:c r="F781" s="440" t="n">
        <x:f>IF($B$78="Cash payoff",E781,0)</x:f>
        <x:v>0</x:v>
      </x:c>
      <x:c r="G781" s="440" t="n">
        <x:f>IF(AND(E781&gt;0,AND($B$78="Refinance",ISNUMBER($B$80),$B$80&gt;=0,$B$80&lt;=1,ROUND($B$81*12,0)&gt;=1,$B$81&lt;=100,SUM($B$82)&gt;=0,SUM($B$82)&lt;=1,SUM($B$83)&gt;=0)),E781*SUM($B$82)+SUM($B$83),0)</x:f>
        <x:v>0</x:v>
      </x:c>
      <x:c r="H781" s="440" t="n">
        <x:f>IF(ISNUMBER(D781),IF(MAX(0,B781*(1+C781/12)-D781-F781)&lt;MAX(0.0000001,$E$17*0.00000000001),0,MAX(0,B781*(1+C781/12)-D781-F781)),IF(AND($B$171=1,I780=1),B781,""))</x:f>
        <x:v>0</x:v>
      </x:c>
      <x:c r="I781" s="444" t="n">
        <x:f>IF(OR(I780=1,AND(E781&gt;0,$B$78&lt;&gt;"Cash payoff",NOT(AND($B$78="Refinance",ISNUMBER($B$80),$B$80&gt;=0,$B$80&lt;=1,ROUND($B$81*12,0)&gt;=1,$B$81&lt;=100,SUM($B$82)&gt;=0,SUM($B$82)&lt;=1,SUM($B$83)&gt;=0))),AND(ISNUMBER(B781),B781&gt;0,$B$171=1,NOT(ISNUMBER(D781)))),1,0)</x:f>
        <x:v>0</x:v>
      </x:c>
      <x:c r="J781" s="440" t="n">
        <x:f>IF(ISNUMBER(L780),L780,"")</x:f>
        <x:v>0</x:v>
      </x:c>
      <x:c r="K781" s="440" t="n">
        <x:f>IF(AND(ISNUMBER(J781),J781=0),0,IF(AND($B$176=1,ISNUMBER(J781)),MIN(J781*(1+$B$87/12),IF($B$86=0,0,IF($B$87=0,$B$86/ROUND($B$88*12,0),$B$86*($B$87/12)/(1-(1+$B$87/12)^(-ROUND($B$88*12,0)))))),""))</x:f>
        <x:v>0</x:v>
      </x:c>
      <x:c r="L781" s="440" t="n">
        <x:f>IF(ISNUMBER(K781),IF(MAX(0,J781*(1+SUM($B$87)/12)-K781)&lt;MAX(0.0000001,$B$86*0.00000000001),0,MAX(0,J781*(1+SUM($B$87)/12)-K781)),"")</x:f>
        <x:v>0</x:v>
      </x:c>
      <x:c r="M781" s="440" t="n">
        <x:f>IF(AND(ISNUMBER(D781),ISNUMBER(K781)),D781+K781,"")</x:f>
        <x:v>0</x:v>
      </x:c>
      <x:c r="N781" s="440" t="n">
        <x:f>IF(AND(ISNUMBER(H781),ISNUMBER(L781)),H781+L781,"")</x:f>
        <x:v>0</x:v>
      </x:c>
    </x:row>
    <x:row r="782" ht="22" customHeight="1">
      <x:c r="A782" s="254" t="n">
        <x:f>382</x:f>
        <x:v>382</x:v>
      </x:c>
      <x:c r="B782" s="440" t="n">
        <x:f>IF(ISNUMBER(H781),H781,"")</x:f>
        <x:v>0</x:v>
      </x:c>
      <x:c r="C782" s="442" t="n">
        <x:f>IF(ISNUMBER(B782),IF(AND(382&gt;$B$173,$B$78="Refinance",ISNUMBER($B$80),$B$80&gt;=0,$B$80&lt;=1,ROUND($B$81*12,0)&gt;=1,$B$81&lt;=100,SUM($B$82)&gt;=0,SUM($B$82)&lt;=1,SUM($B$83)&gt;=0),$B$80,IF(AND($B$175&gt;0,382&gt;$B$175,ISNUMBER($B$75)),$B$75,$B$61)),"")</x:f>
        <x:v>0.0625</x:v>
      </x:c>
      <x:c r="D782" s="440" t="n">
        <x:f>IF(AND(ISNUMBER(B782),B782=0),0,IF(AND($B$171=1,I781=0,ISNUMBER(C782),ISNUMBER(IF(AND(382&lt;=$B$174,382&lt;=$B$173),B782*C782/12,IF(AND(382=$B$173+1,AND(382&gt;$B$173,$B$78="Refinance",ISNUMBER($B$80),$B$80&gt;=0,$B$80&lt;=1,ROUND($B$81*12,0)&gt;=1,$B$81&lt;=100,SUM($B$82)&gt;=0,SUM($B$82)&lt;=1,SUM($B$83)&gt;=0)),IF(B782=0,0,IF(C782=0,B782/ROUND($B$81*12,0),B782*(C782/12)/(1-(1+C782/12)^(-ROUND($B$81*12,0))))),IF(AND(NOT(AND(382&gt;$B$173,$B$78="Refinance",ISNUMBER($B$80),$B$80&gt;=0,$B$80&lt;=1,ROUND($B$81*12,0)&gt;=1,$B$81&lt;=100,SUM($B$82)&gt;=0,SUM($B$82)&lt;=1,SUM($B$83)&gt;=0)),OR(382=1,382=$B$174+1,AND($B$175&gt;0,382=$B$175+1))),IF(AND($B$170=1,$B$66&gt;0,OR($B$175=0,382&lt;=$B$175)),$B$66,IF($B$172-MAX(382-1,$B$174)&gt;0,IF(B782=0,0,IF(C782=0,B782/($B$172-MAX(382-1,$B$174)),B782*(C782/12)/(1-(1+C782/12)^(-($B$172-MAX(382-1,$B$174)))))),"")),D781))))),IF(IF(AND(382&lt;=$B$174,382&lt;=$B$173),B782*C782/12,IF(AND(382=$B$173+1,AND(382&gt;$B$173,$B$78="Refinance",ISNUMBER($B$80),$B$80&gt;=0,$B$80&lt;=1,ROUND($B$81*12,0)&gt;=1,$B$81&lt;=100,SUM($B$82)&gt;=0,SUM($B$82)&lt;=1,SUM($B$83)&gt;=0)),IF(B782=0,0,IF(C782=0,B782/ROUND($B$81*12,0),B782*(C782/12)/(1-(1+C782/12)^(-ROUND($B$81*12,0))))),IF(AND(NOT(AND(382&gt;$B$173,$B$78="Refinance",ISNUMBER($B$80),$B$80&gt;=0,$B$80&lt;=1,ROUND($B$81*12,0)&gt;=1,$B$81&lt;=100,SUM($B$82)&gt;=0,SUM($B$82)&lt;=1,SUM($B$83)&gt;=0)),OR(382=1,382=$B$174+1,AND($B$175&gt;0,382=$B$175+1))),IF(AND($B$170=1,$B$66&gt;0,OR($B$175=0,382&lt;=$B$175)),$B$66,IF($B$172-MAX(382-1,$B$174)&gt;0,IF(B782=0,0,IF(C782=0,B782/($B$172-MAX(382-1,$B$174)),B782*(C782/12)/(1-(1+C782/12)^(-($B$172-MAX(382-1,$B$174)))))),"")),D781)))+0.0000001&gt;=B782*C782/12,MIN(B782*(1+C782/12),IF(AND(382&lt;=$B$174,382&lt;=$B$173),B782*C782/12,IF(AND(382=$B$173+1,AND(382&gt;$B$173,$B$78="Refinance",ISNUMBER($B$80),$B$80&gt;=0,$B$80&lt;=1,ROUND($B$81*12,0)&gt;=1,$B$81&lt;=100,SUM($B$82)&gt;=0,SUM($B$82)&lt;=1,SUM($B$83)&gt;=0)),IF(B782=0,0,IF(C782=0,B782/ROUND($B$81*12,0),B782*(C782/12)/(1-(1+C782/12)^(-ROUND($B$81*12,0))))),IF(AND(NOT(AND(382&gt;$B$173,$B$78="Refinance",ISNUMBER($B$80),$B$80&gt;=0,$B$80&lt;=1,ROUND($B$81*12,0)&gt;=1,$B$81&lt;=100,SUM($B$82)&gt;=0,SUM($B$82)&lt;=1,SUM($B$83)&gt;=0)),OR(382=1,382=$B$174+1,AND($B$175&gt;0,382=$B$175+1))),IF(AND($B$170=1,$B$66&gt;0,OR($B$175=0,382&lt;=$B$175)),$B$66,IF($B$172-MAX(382-1,$B$174)&gt;0,IF(B782=0,0,IF(C782=0,B782/($B$172-MAX(382-1,$B$174)),B782*(C782/12)/(1-(1+C782/12)^(-($B$172-MAX(382-1,$B$174)))))),"")),D781)))),""),""))</x:f>
        <x:v>0</x:v>
      </x:c>
      <x:c r="E782" s="440" t="n">
        <x:f>IF(AND(382=$B$173,ISNUMBER(D782)),IF(MAX(0,B782*(1+C782/12)-D782)&lt;MAX(0.0000001,$E$17*0.00000000001),0,MAX(0,B782*(1+C782/12)-D782)),0)</x:f>
        <x:v>0</x:v>
      </x:c>
      <x:c r="F782" s="440" t="n">
        <x:f>IF($B$78="Cash payoff",E782,0)</x:f>
        <x:v>0</x:v>
      </x:c>
      <x:c r="G782" s="440" t="n">
        <x:f>IF(AND(E782&gt;0,AND($B$78="Refinance",ISNUMBER($B$80),$B$80&gt;=0,$B$80&lt;=1,ROUND($B$81*12,0)&gt;=1,$B$81&lt;=100,SUM($B$82)&gt;=0,SUM($B$82)&lt;=1,SUM($B$83)&gt;=0)),E782*SUM($B$82)+SUM($B$83),0)</x:f>
        <x:v>0</x:v>
      </x:c>
      <x:c r="H782" s="440" t="n">
        <x:f>IF(ISNUMBER(D782),IF(MAX(0,B782*(1+C782/12)-D782-F782)&lt;MAX(0.0000001,$E$17*0.00000000001),0,MAX(0,B782*(1+C782/12)-D782-F782)),IF(AND($B$171=1,I781=1),B782,""))</x:f>
        <x:v>0</x:v>
      </x:c>
      <x:c r="I782" s="444" t="n">
        <x:f>IF(OR(I781=1,AND(E782&gt;0,$B$78&lt;&gt;"Cash payoff",NOT(AND($B$78="Refinance",ISNUMBER($B$80),$B$80&gt;=0,$B$80&lt;=1,ROUND($B$81*12,0)&gt;=1,$B$81&lt;=100,SUM($B$82)&gt;=0,SUM($B$82)&lt;=1,SUM($B$83)&gt;=0))),AND(ISNUMBER(B782),B782&gt;0,$B$171=1,NOT(ISNUMBER(D782)))),1,0)</x:f>
        <x:v>0</x:v>
      </x:c>
      <x:c r="J782" s="440" t="n">
        <x:f>IF(ISNUMBER(L781),L781,"")</x:f>
        <x:v>0</x:v>
      </x:c>
      <x:c r="K782" s="440" t="n">
        <x:f>IF(AND(ISNUMBER(J782),J782=0),0,IF(AND($B$176=1,ISNUMBER(J782)),MIN(J782*(1+$B$87/12),IF($B$86=0,0,IF($B$87=0,$B$86/ROUND($B$88*12,0),$B$86*($B$87/12)/(1-(1+$B$87/12)^(-ROUND($B$88*12,0)))))),""))</x:f>
        <x:v>0</x:v>
      </x:c>
      <x:c r="L782" s="440" t="n">
        <x:f>IF(ISNUMBER(K782),IF(MAX(0,J782*(1+SUM($B$87)/12)-K782)&lt;MAX(0.0000001,$B$86*0.00000000001),0,MAX(0,J782*(1+SUM($B$87)/12)-K782)),"")</x:f>
        <x:v>0</x:v>
      </x:c>
      <x:c r="M782" s="440" t="n">
        <x:f>IF(AND(ISNUMBER(D782),ISNUMBER(K782)),D782+K782,"")</x:f>
        <x:v>0</x:v>
      </x:c>
      <x:c r="N782" s="440" t="n">
        <x:f>IF(AND(ISNUMBER(H782),ISNUMBER(L782)),H782+L782,"")</x:f>
        <x:v>0</x:v>
      </x:c>
    </x:row>
    <x:row r="783" ht="22" customHeight="1">
      <x:c r="A783" s="254" t="n">
        <x:f>383</x:f>
        <x:v>383</x:v>
      </x:c>
      <x:c r="B783" s="440" t="n">
        <x:f>IF(ISNUMBER(H782),H782,"")</x:f>
        <x:v>0</x:v>
      </x:c>
      <x:c r="C783" s="442" t="n">
        <x:f>IF(ISNUMBER(B783),IF(AND(383&gt;$B$173,$B$78="Refinance",ISNUMBER($B$80),$B$80&gt;=0,$B$80&lt;=1,ROUND($B$81*12,0)&gt;=1,$B$81&lt;=100,SUM($B$82)&gt;=0,SUM($B$82)&lt;=1,SUM($B$83)&gt;=0),$B$80,IF(AND($B$175&gt;0,383&gt;$B$175,ISNUMBER($B$75)),$B$75,$B$61)),"")</x:f>
        <x:v>0.0625</x:v>
      </x:c>
      <x:c r="D783" s="440" t="n">
        <x:f>IF(AND(ISNUMBER(B783),B783=0),0,IF(AND($B$171=1,I782=0,ISNUMBER(C783),ISNUMBER(IF(AND(383&lt;=$B$174,383&lt;=$B$173),B783*C783/12,IF(AND(383=$B$173+1,AND(383&gt;$B$173,$B$78="Refinance",ISNUMBER($B$80),$B$80&gt;=0,$B$80&lt;=1,ROUND($B$81*12,0)&gt;=1,$B$81&lt;=100,SUM($B$82)&gt;=0,SUM($B$82)&lt;=1,SUM($B$83)&gt;=0)),IF(B783=0,0,IF(C783=0,B783/ROUND($B$81*12,0),B783*(C783/12)/(1-(1+C783/12)^(-ROUND($B$81*12,0))))),IF(AND(NOT(AND(383&gt;$B$173,$B$78="Refinance",ISNUMBER($B$80),$B$80&gt;=0,$B$80&lt;=1,ROUND($B$81*12,0)&gt;=1,$B$81&lt;=100,SUM($B$82)&gt;=0,SUM($B$82)&lt;=1,SUM($B$83)&gt;=0)),OR(383=1,383=$B$174+1,AND($B$175&gt;0,383=$B$175+1))),IF(AND($B$170=1,$B$66&gt;0,OR($B$175=0,383&lt;=$B$175)),$B$66,IF($B$172-MAX(383-1,$B$174)&gt;0,IF(B783=0,0,IF(C783=0,B783/($B$172-MAX(383-1,$B$174)),B783*(C783/12)/(1-(1+C783/12)^(-($B$172-MAX(383-1,$B$174)))))),"")),D782))))),IF(IF(AND(383&lt;=$B$174,383&lt;=$B$173),B783*C783/12,IF(AND(383=$B$173+1,AND(383&gt;$B$173,$B$78="Refinance",ISNUMBER($B$80),$B$80&gt;=0,$B$80&lt;=1,ROUND($B$81*12,0)&gt;=1,$B$81&lt;=100,SUM($B$82)&gt;=0,SUM($B$82)&lt;=1,SUM($B$83)&gt;=0)),IF(B783=0,0,IF(C783=0,B783/ROUND($B$81*12,0),B783*(C783/12)/(1-(1+C783/12)^(-ROUND($B$81*12,0))))),IF(AND(NOT(AND(383&gt;$B$173,$B$78="Refinance",ISNUMBER($B$80),$B$80&gt;=0,$B$80&lt;=1,ROUND($B$81*12,0)&gt;=1,$B$81&lt;=100,SUM($B$82)&gt;=0,SUM($B$82)&lt;=1,SUM($B$83)&gt;=0)),OR(383=1,383=$B$174+1,AND($B$175&gt;0,383=$B$175+1))),IF(AND($B$170=1,$B$66&gt;0,OR($B$175=0,383&lt;=$B$175)),$B$66,IF($B$172-MAX(383-1,$B$174)&gt;0,IF(B783=0,0,IF(C783=0,B783/($B$172-MAX(383-1,$B$174)),B783*(C783/12)/(1-(1+C783/12)^(-($B$172-MAX(383-1,$B$174)))))),"")),D782)))+0.0000001&gt;=B783*C783/12,MIN(B783*(1+C783/12),IF(AND(383&lt;=$B$174,383&lt;=$B$173),B783*C783/12,IF(AND(383=$B$173+1,AND(383&gt;$B$173,$B$78="Refinance",ISNUMBER($B$80),$B$80&gt;=0,$B$80&lt;=1,ROUND($B$81*12,0)&gt;=1,$B$81&lt;=100,SUM($B$82)&gt;=0,SUM($B$82)&lt;=1,SUM($B$83)&gt;=0)),IF(B783=0,0,IF(C783=0,B783/ROUND($B$81*12,0),B783*(C783/12)/(1-(1+C783/12)^(-ROUND($B$81*12,0))))),IF(AND(NOT(AND(383&gt;$B$173,$B$78="Refinance",ISNUMBER($B$80),$B$80&gt;=0,$B$80&lt;=1,ROUND($B$81*12,0)&gt;=1,$B$81&lt;=100,SUM($B$82)&gt;=0,SUM($B$82)&lt;=1,SUM($B$83)&gt;=0)),OR(383=1,383=$B$174+1,AND($B$175&gt;0,383=$B$175+1))),IF(AND($B$170=1,$B$66&gt;0,OR($B$175=0,383&lt;=$B$175)),$B$66,IF($B$172-MAX(383-1,$B$174)&gt;0,IF(B783=0,0,IF(C783=0,B783/($B$172-MAX(383-1,$B$174)),B783*(C783/12)/(1-(1+C783/12)^(-($B$172-MAX(383-1,$B$174)))))),"")),D782)))),""),""))</x:f>
        <x:v>0</x:v>
      </x:c>
      <x:c r="E783" s="440" t="n">
        <x:f>IF(AND(383=$B$173,ISNUMBER(D783)),IF(MAX(0,B783*(1+C783/12)-D783)&lt;MAX(0.0000001,$E$17*0.00000000001),0,MAX(0,B783*(1+C783/12)-D783)),0)</x:f>
        <x:v>0</x:v>
      </x:c>
      <x:c r="F783" s="440" t="n">
        <x:f>IF($B$78="Cash payoff",E783,0)</x:f>
        <x:v>0</x:v>
      </x:c>
      <x:c r="G783" s="440" t="n">
        <x:f>IF(AND(E783&gt;0,AND($B$78="Refinance",ISNUMBER($B$80),$B$80&gt;=0,$B$80&lt;=1,ROUND($B$81*12,0)&gt;=1,$B$81&lt;=100,SUM($B$82)&gt;=0,SUM($B$82)&lt;=1,SUM($B$83)&gt;=0)),E783*SUM($B$82)+SUM($B$83),0)</x:f>
        <x:v>0</x:v>
      </x:c>
      <x:c r="H783" s="440" t="n">
        <x:f>IF(ISNUMBER(D783),IF(MAX(0,B783*(1+C783/12)-D783-F783)&lt;MAX(0.0000001,$E$17*0.00000000001),0,MAX(0,B783*(1+C783/12)-D783-F783)),IF(AND($B$171=1,I782=1),B783,""))</x:f>
        <x:v>0</x:v>
      </x:c>
      <x:c r="I783" s="444" t="n">
        <x:f>IF(OR(I782=1,AND(E783&gt;0,$B$78&lt;&gt;"Cash payoff",NOT(AND($B$78="Refinance",ISNUMBER($B$80),$B$80&gt;=0,$B$80&lt;=1,ROUND($B$81*12,0)&gt;=1,$B$81&lt;=100,SUM($B$82)&gt;=0,SUM($B$82)&lt;=1,SUM($B$83)&gt;=0))),AND(ISNUMBER(B783),B783&gt;0,$B$171=1,NOT(ISNUMBER(D783)))),1,0)</x:f>
        <x:v>0</x:v>
      </x:c>
      <x:c r="J783" s="440" t="n">
        <x:f>IF(ISNUMBER(L782),L782,"")</x:f>
        <x:v>0</x:v>
      </x:c>
      <x:c r="K783" s="440" t="n">
        <x:f>IF(AND(ISNUMBER(J783),J783=0),0,IF(AND($B$176=1,ISNUMBER(J783)),MIN(J783*(1+$B$87/12),IF($B$86=0,0,IF($B$87=0,$B$86/ROUND($B$88*12,0),$B$86*($B$87/12)/(1-(1+$B$87/12)^(-ROUND($B$88*12,0)))))),""))</x:f>
        <x:v>0</x:v>
      </x:c>
      <x:c r="L783" s="440" t="n">
        <x:f>IF(ISNUMBER(K783),IF(MAX(0,J783*(1+SUM($B$87)/12)-K783)&lt;MAX(0.0000001,$B$86*0.00000000001),0,MAX(0,J783*(1+SUM($B$87)/12)-K783)),"")</x:f>
        <x:v>0</x:v>
      </x:c>
      <x:c r="M783" s="440" t="n">
        <x:f>IF(AND(ISNUMBER(D783),ISNUMBER(K783)),D783+K783,"")</x:f>
        <x:v>0</x:v>
      </x:c>
      <x:c r="N783" s="440" t="n">
        <x:f>IF(AND(ISNUMBER(H783),ISNUMBER(L783)),H783+L783,"")</x:f>
        <x:v>0</x:v>
      </x:c>
    </x:row>
    <x:row r="784" ht="22" customHeight="1">
      <x:c r="A784" s="254" t="n">
        <x:f>384</x:f>
        <x:v>384</x:v>
      </x:c>
      <x:c r="B784" s="440" t="n">
        <x:f>IF(ISNUMBER(H783),H783,"")</x:f>
        <x:v>0</x:v>
      </x:c>
      <x:c r="C784" s="442" t="n">
        <x:f>IF(ISNUMBER(B784),IF(AND(384&gt;$B$173,$B$78="Refinance",ISNUMBER($B$80),$B$80&gt;=0,$B$80&lt;=1,ROUND($B$81*12,0)&gt;=1,$B$81&lt;=100,SUM($B$82)&gt;=0,SUM($B$82)&lt;=1,SUM($B$83)&gt;=0),$B$80,IF(AND($B$175&gt;0,384&gt;$B$175,ISNUMBER($B$75)),$B$75,$B$61)),"")</x:f>
        <x:v>0.0625</x:v>
      </x:c>
      <x:c r="D784" s="440" t="n">
        <x:f>IF(AND(ISNUMBER(B784),B784=0),0,IF(AND($B$171=1,I783=0,ISNUMBER(C784),ISNUMBER(IF(AND(384&lt;=$B$174,384&lt;=$B$173),B784*C784/12,IF(AND(384=$B$173+1,AND(384&gt;$B$173,$B$78="Refinance",ISNUMBER($B$80),$B$80&gt;=0,$B$80&lt;=1,ROUND($B$81*12,0)&gt;=1,$B$81&lt;=100,SUM($B$82)&gt;=0,SUM($B$82)&lt;=1,SUM($B$83)&gt;=0)),IF(B784=0,0,IF(C784=0,B784/ROUND($B$81*12,0),B784*(C784/12)/(1-(1+C784/12)^(-ROUND($B$81*12,0))))),IF(AND(NOT(AND(384&gt;$B$173,$B$78="Refinance",ISNUMBER($B$80),$B$80&gt;=0,$B$80&lt;=1,ROUND($B$81*12,0)&gt;=1,$B$81&lt;=100,SUM($B$82)&gt;=0,SUM($B$82)&lt;=1,SUM($B$83)&gt;=0)),OR(384=1,384=$B$174+1,AND($B$175&gt;0,384=$B$175+1))),IF(AND($B$170=1,$B$66&gt;0,OR($B$175=0,384&lt;=$B$175)),$B$66,IF($B$172-MAX(384-1,$B$174)&gt;0,IF(B784=0,0,IF(C784=0,B784/($B$172-MAX(384-1,$B$174)),B784*(C784/12)/(1-(1+C784/12)^(-($B$172-MAX(384-1,$B$174)))))),"")),D783))))),IF(IF(AND(384&lt;=$B$174,384&lt;=$B$173),B784*C784/12,IF(AND(384=$B$173+1,AND(384&gt;$B$173,$B$78="Refinance",ISNUMBER($B$80),$B$80&gt;=0,$B$80&lt;=1,ROUND($B$81*12,0)&gt;=1,$B$81&lt;=100,SUM($B$82)&gt;=0,SUM($B$82)&lt;=1,SUM($B$83)&gt;=0)),IF(B784=0,0,IF(C784=0,B784/ROUND($B$81*12,0),B784*(C784/12)/(1-(1+C784/12)^(-ROUND($B$81*12,0))))),IF(AND(NOT(AND(384&gt;$B$173,$B$78="Refinance",ISNUMBER($B$80),$B$80&gt;=0,$B$80&lt;=1,ROUND($B$81*12,0)&gt;=1,$B$81&lt;=100,SUM($B$82)&gt;=0,SUM($B$82)&lt;=1,SUM($B$83)&gt;=0)),OR(384=1,384=$B$174+1,AND($B$175&gt;0,384=$B$175+1))),IF(AND($B$170=1,$B$66&gt;0,OR($B$175=0,384&lt;=$B$175)),$B$66,IF($B$172-MAX(384-1,$B$174)&gt;0,IF(B784=0,0,IF(C784=0,B784/($B$172-MAX(384-1,$B$174)),B784*(C784/12)/(1-(1+C784/12)^(-($B$172-MAX(384-1,$B$174)))))),"")),D783)))+0.0000001&gt;=B784*C784/12,MIN(B784*(1+C784/12),IF(AND(384&lt;=$B$174,384&lt;=$B$173),B784*C784/12,IF(AND(384=$B$173+1,AND(384&gt;$B$173,$B$78="Refinance",ISNUMBER($B$80),$B$80&gt;=0,$B$80&lt;=1,ROUND($B$81*12,0)&gt;=1,$B$81&lt;=100,SUM($B$82)&gt;=0,SUM($B$82)&lt;=1,SUM($B$83)&gt;=0)),IF(B784=0,0,IF(C784=0,B784/ROUND($B$81*12,0),B784*(C784/12)/(1-(1+C784/12)^(-ROUND($B$81*12,0))))),IF(AND(NOT(AND(384&gt;$B$173,$B$78="Refinance",ISNUMBER($B$80),$B$80&gt;=0,$B$80&lt;=1,ROUND($B$81*12,0)&gt;=1,$B$81&lt;=100,SUM($B$82)&gt;=0,SUM($B$82)&lt;=1,SUM($B$83)&gt;=0)),OR(384=1,384=$B$174+1,AND($B$175&gt;0,384=$B$175+1))),IF(AND($B$170=1,$B$66&gt;0,OR($B$175=0,384&lt;=$B$175)),$B$66,IF($B$172-MAX(384-1,$B$174)&gt;0,IF(B784=0,0,IF(C784=0,B784/($B$172-MAX(384-1,$B$174)),B784*(C784/12)/(1-(1+C784/12)^(-($B$172-MAX(384-1,$B$174)))))),"")),D783)))),""),""))</x:f>
        <x:v>0</x:v>
      </x:c>
      <x:c r="E784" s="440" t="n">
        <x:f>IF(AND(384=$B$173,ISNUMBER(D784)),IF(MAX(0,B784*(1+C784/12)-D784)&lt;MAX(0.0000001,$E$17*0.00000000001),0,MAX(0,B784*(1+C784/12)-D784)),0)</x:f>
        <x:v>0</x:v>
      </x:c>
      <x:c r="F784" s="440" t="n">
        <x:f>IF($B$78="Cash payoff",E784,0)</x:f>
        <x:v>0</x:v>
      </x:c>
      <x:c r="G784" s="440" t="n">
        <x:f>IF(AND(E784&gt;0,AND($B$78="Refinance",ISNUMBER($B$80),$B$80&gt;=0,$B$80&lt;=1,ROUND($B$81*12,0)&gt;=1,$B$81&lt;=100,SUM($B$82)&gt;=0,SUM($B$82)&lt;=1,SUM($B$83)&gt;=0)),E784*SUM($B$82)+SUM($B$83),0)</x:f>
        <x:v>0</x:v>
      </x:c>
      <x:c r="H784" s="440" t="n">
        <x:f>IF(ISNUMBER(D784),IF(MAX(0,B784*(1+C784/12)-D784-F784)&lt;MAX(0.0000001,$E$17*0.00000000001),0,MAX(0,B784*(1+C784/12)-D784-F784)),IF(AND($B$171=1,I783=1),B784,""))</x:f>
        <x:v>0</x:v>
      </x:c>
      <x:c r="I784" s="444" t="n">
        <x:f>IF(OR(I783=1,AND(E784&gt;0,$B$78&lt;&gt;"Cash payoff",NOT(AND($B$78="Refinance",ISNUMBER($B$80),$B$80&gt;=0,$B$80&lt;=1,ROUND($B$81*12,0)&gt;=1,$B$81&lt;=100,SUM($B$82)&gt;=0,SUM($B$82)&lt;=1,SUM($B$83)&gt;=0))),AND(ISNUMBER(B784),B784&gt;0,$B$171=1,NOT(ISNUMBER(D784)))),1,0)</x:f>
        <x:v>0</x:v>
      </x:c>
      <x:c r="J784" s="440" t="n">
        <x:f>IF(ISNUMBER(L783),L783,"")</x:f>
        <x:v>0</x:v>
      </x:c>
      <x:c r="K784" s="440" t="n">
        <x:f>IF(AND(ISNUMBER(J784),J784=0),0,IF(AND($B$176=1,ISNUMBER(J784)),MIN(J784*(1+$B$87/12),IF($B$86=0,0,IF($B$87=0,$B$86/ROUND($B$88*12,0),$B$86*($B$87/12)/(1-(1+$B$87/12)^(-ROUND($B$88*12,0)))))),""))</x:f>
        <x:v>0</x:v>
      </x:c>
      <x:c r="L784" s="440" t="n">
        <x:f>IF(ISNUMBER(K784),IF(MAX(0,J784*(1+SUM($B$87)/12)-K784)&lt;MAX(0.0000001,$B$86*0.00000000001),0,MAX(0,J784*(1+SUM($B$87)/12)-K784)),"")</x:f>
        <x:v>0</x:v>
      </x:c>
      <x:c r="M784" s="440" t="n">
        <x:f>IF(AND(ISNUMBER(D784),ISNUMBER(K784)),D784+K784,"")</x:f>
        <x:v>0</x:v>
      </x:c>
      <x:c r="N784" s="440" t="n">
        <x:f>IF(AND(ISNUMBER(H784),ISNUMBER(L784)),H784+L784,"")</x:f>
        <x:v>0</x:v>
      </x:c>
    </x:row>
    <x:row r="785" ht="22" customHeight="1">
      <x:c r="A785" s="254" t="n">
        <x:f>385</x:f>
        <x:v>385</x:v>
      </x:c>
      <x:c r="B785" s="440" t="n">
        <x:f>IF(ISNUMBER(H784),H784,"")</x:f>
        <x:v>0</x:v>
      </x:c>
      <x:c r="C785" s="442" t="n">
        <x:f>IF(ISNUMBER(B785),IF(AND(385&gt;$B$173,$B$78="Refinance",ISNUMBER($B$80),$B$80&gt;=0,$B$80&lt;=1,ROUND($B$81*12,0)&gt;=1,$B$81&lt;=100,SUM($B$82)&gt;=0,SUM($B$82)&lt;=1,SUM($B$83)&gt;=0),$B$80,IF(AND($B$175&gt;0,385&gt;$B$175,ISNUMBER($B$75)),$B$75,$B$61)),"")</x:f>
        <x:v>0.0625</x:v>
      </x:c>
      <x:c r="D785" s="440" t="n">
        <x:f>IF(AND(ISNUMBER(B785),B785=0),0,IF(AND($B$171=1,I784=0,ISNUMBER(C785),ISNUMBER(IF(AND(385&lt;=$B$174,385&lt;=$B$173),B785*C785/12,IF(AND(385=$B$173+1,AND(385&gt;$B$173,$B$78="Refinance",ISNUMBER($B$80),$B$80&gt;=0,$B$80&lt;=1,ROUND($B$81*12,0)&gt;=1,$B$81&lt;=100,SUM($B$82)&gt;=0,SUM($B$82)&lt;=1,SUM($B$83)&gt;=0)),IF(B785=0,0,IF(C785=0,B785/ROUND($B$81*12,0),B785*(C785/12)/(1-(1+C785/12)^(-ROUND($B$81*12,0))))),IF(AND(NOT(AND(385&gt;$B$173,$B$78="Refinance",ISNUMBER($B$80),$B$80&gt;=0,$B$80&lt;=1,ROUND($B$81*12,0)&gt;=1,$B$81&lt;=100,SUM($B$82)&gt;=0,SUM($B$82)&lt;=1,SUM($B$83)&gt;=0)),OR(385=1,385=$B$174+1,AND($B$175&gt;0,385=$B$175+1))),IF(AND($B$170=1,$B$66&gt;0,OR($B$175=0,385&lt;=$B$175)),$B$66,IF($B$172-MAX(385-1,$B$174)&gt;0,IF(B785=0,0,IF(C785=0,B785/($B$172-MAX(385-1,$B$174)),B785*(C785/12)/(1-(1+C785/12)^(-($B$172-MAX(385-1,$B$174)))))),"")),D784))))),IF(IF(AND(385&lt;=$B$174,385&lt;=$B$173),B785*C785/12,IF(AND(385=$B$173+1,AND(385&gt;$B$173,$B$78="Refinance",ISNUMBER($B$80),$B$80&gt;=0,$B$80&lt;=1,ROUND($B$81*12,0)&gt;=1,$B$81&lt;=100,SUM($B$82)&gt;=0,SUM($B$82)&lt;=1,SUM($B$83)&gt;=0)),IF(B785=0,0,IF(C785=0,B785/ROUND($B$81*12,0),B785*(C785/12)/(1-(1+C785/12)^(-ROUND($B$81*12,0))))),IF(AND(NOT(AND(385&gt;$B$173,$B$78="Refinance",ISNUMBER($B$80),$B$80&gt;=0,$B$80&lt;=1,ROUND($B$81*12,0)&gt;=1,$B$81&lt;=100,SUM($B$82)&gt;=0,SUM($B$82)&lt;=1,SUM($B$83)&gt;=0)),OR(385=1,385=$B$174+1,AND($B$175&gt;0,385=$B$175+1))),IF(AND($B$170=1,$B$66&gt;0,OR($B$175=0,385&lt;=$B$175)),$B$66,IF($B$172-MAX(385-1,$B$174)&gt;0,IF(B785=0,0,IF(C785=0,B785/($B$172-MAX(385-1,$B$174)),B785*(C785/12)/(1-(1+C785/12)^(-($B$172-MAX(385-1,$B$174)))))),"")),D784)))+0.0000001&gt;=B785*C785/12,MIN(B785*(1+C785/12),IF(AND(385&lt;=$B$174,385&lt;=$B$173),B785*C785/12,IF(AND(385=$B$173+1,AND(385&gt;$B$173,$B$78="Refinance",ISNUMBER($B$80),$B$80&gt;=0,$B$80&lt;=1,ROUND($B$81*12,0)&gt;=1,$B$81&lt;=100,SUM($B$82)&gt;=0,SUM($B$82)&lt;=1,SUM($B$83)&gt;=0)),IF(B785=0,0,IF(C785=0,B785/ROUND($B$81*12,0),B785*(C785/12)/(1-(1+C785/12)^(-ROUND($B$81*12,0))))),IF(AND(NOT(AND(385&gt;$B$173,$B$78="Refinance",ISNUMBER($B$80),$B$80&gt;=0,$B$80&lt;=1,ROUND($B$81*12,0)&gt;=1,$B$81&lt;=100,SUM($B$82)&gt;=0,SUM($B$82)&lt;=1,SUM($B$83)&gt;=0)),OR(385=1,385=$B$174+1,AND($B$175&gt;0,385=$B$175+1))),IF(AND($B$170=1,$B$66&gt;0,OR($B$175=0,385&lt;=$B$175)),$B$66,IF($B$172-MAX(385-1,$B$174)&gt;0,IF(B785=0,0,IF(C785=0,B785/($B$172-MAX(385-1,$B$174)),B785*(C785/12)/(1-(1+C785/12)^(-($B$172-MAX(385-1,$B$174)))))),"")),D784)))),""),""))</x:f>
        <x:v>0</x:v>
      </x:c>
      <x:c r="E785" s="440" t="n">
        <x:f>IF(AND(385=$B$173,ISNUMBER(D785)),IF(MAX(0,B785*(1+C785/12)-D785)&lt;MAX(0.0000001,$E$17*0.00000000001),0,MAX(0,B785*(1+C785/12)-D785)),0)</x:f>
        <x:v>0</x:v>
      </x:c>
      <x:c r="F785" s="440" t="n">
        <x:f>IF($B$78="Cash payoff",E785,0)</x:f>
        <x:v>0</x:v>
      </x:c>
      <x:c r="G785" s="440" t="n">
        <x:f>IF(AND(E785&gt;0,AND($B$78="Refinance",ISNUMBER($B$80),$B$80&gt;=0,$B$80&lt;=1,ROUND($B$81*12,0)&gt;=1,$B$81&lt;=100,SUM($B$82)&gt;=0,SUM($B$82)&lt;=1,SUM($B$83)&gt;=0)),E785*SUM($B$82)+SUM($B$83),0)</x:f>
        <x:v>0</x:v>
      </x:c>
      <x:c r="H785" s="440" t="n">
        <x:f>IF(ISNUMBER(D785),IF(MAX(0,B785*(1+C785/12)-D785-F785)&lt;MAX(0.0000001,$E$17*0.00000000001),0,MAX(0,B785*(1+C785/12)-D785-F785)),IF(AND($B$171=1,I784=1),B785,""))</x:f>
        <x:v>0</x:v>
      </x:c>
      <x:c r="I785" s="444" t="n">
        <x:f>IF(OR(I784=1,AND(E785&gt;0,$B$78&lt;&gt;"Cash payoff",NOT(AND($B$78="Refinance",ISNUMBER($B$80),$B$80&gt;=0,$B$80&lt;=1,ROUND($B$81*12,0)&gt;=1,$B$81&lt;=100,SUM($B$82)&gt;=0,SUM($B$82)&lt;=1,SUM($B$83)&gt;=0))),AND(ISNUMBER(B785),B785&gt;0,$B$171=1,NOT(ISNUMBER(D785)))),1,0)</x:f>
        <x:v>0</x:v>
      </x:c>
      <x:c r="J785" s="440" t="n">
        <x:f>IF(ISNUMBER(L784),L784,"")</x:f>
        <x:v>0</x:v>
      </x:c>
      <x:c r="K785" s="440" t="n">
        <x:f>IF(AND(ISNUMBER(J785),J785=0),0,IF(AND($B$176=1,ISNUMBER(J785)),MIN(J785*(1+$B$87/12),IF($B$86=0,0,IF($B$87=0,$B$86/ROUND($B$88*12,0),$B$86*($B$87/12)/(1-(1+$B$87/12)^(-ROUND($B$88*12,0)))))),""))</x:f>
        <x:v>0</x:v>
      </x:c>
      <x:c r="L785" s="440" t="n">
        <x:f>IF(ISNUMBER(K785),IF(MAX(0,J785*(1+SUM($B$87)/12)-K785)&lt;MAX(0.0000001,$B$86*0.00000000001),0,MAX(0,J785*(1+SUM($B$87)/12)-K785)),"")</x:f>
        <x:v>0</x:v>
      </x:c>
      <x:c r="M785" s="440" t="n">
        <x:f>IF(AND(ISNUMBER(D785),ISNUMBER(K785)),D785+K785,"")</x:f>
        <x:v>0</x:v>
      </x:c>
      <x:c r="N785" s="440" t="n">
        <x:f>IF(AND(ISNUMBER(H785),ISNUMBER(L785)),H785+L785,"")</x:f>
        <x:v>0</x:v>
      </x:c>
    </x:row>
    <x:row r="786" ht="22" customHeight="1">
      <x:c r="A786" s="254" t="n">
        <x:f>386</x:f>
        <x:v>386</x:v>
      </x:c>
      <x:c r="B786" s="440" t="n">
        <x:f>IF(ISNUMBER(H785),H785,"")</x:f>
        <x:v>0</x:v>
      </x:c>
      <x:c r="C786" s="442" t="n">
        <x:f>IF(ISNUMBER(B786),IF(AND(386&gt;$B$173,$B$78="Refinance",ISNUMBER($B$80),$B$80&gt;=0,$B$80&lt;=1,ROUND($B$81*12,0)&gt;=1,$B$81&lt;=100,SUM($B$82)&gt;=0,SUM($B$82)&lt;=1,SUM($B$83)&gt;=0),$B$80,IF(AND($B$175&gt;0,386&gt;$B$175,ISNUMBER($B$75)),$B$75,$B$61)),"")</x:f>
        <x:v>0.0625</x:v>
      </x:c>
      <x:c r="D786" s="440" t="n">
        <x:f>IF(AND(ISNUMBER(B786),B786=0),0,IF(AND($B$171=1,I785=0,ISNUMBER(C786),ISNUMBER(IF(AND(386&lt;=$B$174,386&lt;=$B$173),B786*C786/12,IF(AND(386=$B$173+1,AND(386&gt;$B$173,$B$78="Refinance",ISNUMBER($B$80),$B$80&gt;=0,$B$80&lt;=1,ROUND($B$81*12,0)&gt;=1,$B$81&lt;=100,SUM($B$82)&gt;=0,SUM($B$82)&lt;=1,SUM($B$83)&gt;=0)),IF(B786=0,0,IF(C786=0,B786/ROUND($B$81*12,0),B786*(C786/12)/(1-(1+C786/12)^(-ROUND($B$81*12,0))))),IF(AND(NOT(AND(386&gt;$B$173,$B$78="Refinance",ISNUMBER($B$80),$B$80&gt;=0,$B$80&lt;=1,ROUND($B$81*12,0)&gt;=1,$B$81&lt;=100,SUM($B$82)&gt;=0,SUM($B$82)&lt;=1,SUM($B$83)&gt;=0)),OR(386=1,386=$B$174+1,AND($B$175&gt;0,386=$B$175+1))),IF(AND($B$170=1,$B$66&gt;0,OR($B$175=0,386&lt;=$B$175)),$B$66,IF($B$172-MAX(386-1,$B$174)&gt;0,IF(B786=0,0,IF(C786=0,B786/($B$172-MAX(386-1,$B$174)),B786*(C786/12)/(1-(1+C786/12)^(-($B$172-MAX(386-1,$B$174)))))),"")),D785))))),IF(IF(AND(386&lt;=$B$174,386&lt;=$B$173),B786*C786/12,IF(AND(386=$B$173+1,AND(386&gt;$B$173,$B$78="Refinance",ISNUMBER($B$80),$B$80&gt;=0,$B$80&lt;=1,ROUND($B$81*12,0)&gt;=1,$B$81&lt;=100,SUM($B$82)&gt;=0,SUM($B$82)&lt;=1,SUM($B$83)&gt;=0)),IF(B786=0,0,IF(C786=0,B786/ROUND($B$81*12,0),B786*(C786/12)/(1-(1+C786/12)^(-ROUND($B$81*12,0))))),IF(AND(NOT(AND(386&gt;$B$173,$B$78="Refinance",ISNUMBER($B$80),$B$80&gt;=0,$B$80&lt;=1,ROUND($B$81*12,0)&gt;=1,$B$81&lt;=100,SUM($B$82)&gt;=0,SUM($B$82)&lt;=1,SUM($B$83)&gt;=0)),OR(386=1,386=$B$174+1,AND($B$175&gt;0,386=$B$175+1))),IF(AND($B$170=1,$B$66&gt;0,OR($B$175=0,386&lt;=$B$175)),$B$66,IF($B$172-MAX(386-1,$B$174)&gt;0,IF(B786=0,0,IF(C786=0,B786/($B$172-MAX(386-1,$B$174)),B786*(C786/12)/(1-(1+C786/12)^(-($B$172-MAX(386-1,$B$174)))))),"")),D785)))+0.0000001&gt;=B786*C786/12,MIN(B786*(1+C786/12),IF(AND(386&lt;=$B$174,386&lt;=$B$173),B786*C786/12,IF(AND(386=$B$173+1,AND(386&gt;$B$173,$B$78="Refinance",ISNUMBER($B$80),$B$80&gt;=0,$B$80&lt;=1,ROUND($B$81*12,0)&gt;=1,$B$81&lt;=100,SUM($B$82)&gt;=0,SUM($B$82)&lt;=1,SUM($B$83)&gt;=0)),IF(B786=0,0,IF(C786=0,B786/ROUND($B$81*12,0),B786*(C786/12)/(1-(1+C786/12)^(-ROUND($B$81*12,0))))),IF(AND(NOT(AND(386&gt;$B$173,$B$78="Refinance",ISNUMBER($B$80),$B$80&gt;=0,$B$80&lt;=1,ROUND($B$81*12,0)&gt;=1,$B$81&lt;=100,SUM($B$82)&gt;=0,SUM($B$82)&lt;=1,SUM($B$83)&gt;=0)),OR(386=1,386=$B$174+1,AND($B$175&gt;0,386=$B$175+1))),IF(AND($B$170=1,$B$66&gt;0,OR($B$175=0,386&lt;=$B$175)),$B$66,IF($B$172-MAX(386-1,$B$174)&gt;0,IF(B786=0,0,IF(C786=0,B786/($B$172-MAX(386-1,$B$174)),B786*(C786/12)/(1-(1+C786/12)^(-($B$172-MAX(386-1,$B$174)))))),"")),D785)))),""),""))</x:f>
        <x:v>0</x:v>
      </x:c>
      <x:c r="E786" s="440" t="n">
        <x:f>IF(AND(386=$B$173,ISNUMBER(D786)),IF(MAX(0,B786*(1+C786/12)-D786)&lt;MAX(0.0000001,$E$17*0.00000000001),0,MAX(0,B786*(1+C786/12)-D786)),0)</x:f>
        <x:v>0</x:v>
      </x:c>
      <x:c r="F786" s="440" t="n">
        <x:f>IF($B$78="Cash payoff",E786,0)</x:f>
        <x:v>0</x:v>
      </x:c>
      <x:c r="G786" s="440" t="n">
        <x:f>IF(AND(E786&gt;0,AND($B$78="Refinance",ISNUMBER($B$80),$B$80&gt;=0,$B$80&lt;=1,ROUND($B$81*12,0)&gt;=1,$B$81&lt;=100,SUM($B$82)&gt;=0,SUM($B$82)&lt;=1,SUM($B$83)&gt;=0)),E786*SUM($B$82)+SUM($B$83),0)</x:f>
        <x:v>0</x:v>
      </x:c>
      <x:c r="H786" s="440" t="n">
        <x:f>IF(ISNUMBER(D786),IF(MAX(0,B786*(1+C786/12)-D786-F786)&lt;MAX(0.0000001,$E$17*0.00000000001),0,MAX(0,B786*(1+C786/12)-D786-F786)),IF(AND($B$171=1,I785=1),B786,""))</x:f>
        <x:v>0</x:v>
      </x:c>
      <x:c r="I786" s="444" t="n">
        <x:f>IF(OR(I785=1,AND(E786&gt;0,$B$78&lt;&gt;"Cash payoff",NOT(AND($B$78="Refinance",ISNUMBER($B$80),$B$80&gt;=0,$B$80&lt;=1,ROUND($B$81*12,0)&gt;=1,$B$81&lt;=100,SUM($B$82)&gt;=0,SUM($B$82)&lt;=1,SUM($B$83)&gt;=0))),AND(ISNUMBER(B786),B786&gt;0,$B$171=1,NOT(ISNUMBER(D786)))),1,0)</x:f>
        <x:v>0</x:v>
      </x:c>
      <x:c r="J786" s="440" t="n">
        <x:f>IF(ISNUMBER(L785),L785,"")</x:f>
        <x:v>0</x:v>
      </x:c>
      <x:c r="K786" s="440" t="n">
        <x:f>IF(AND(ISNUMBER(J786),J786=0),0,IF(AND($B$176=1,ISNUMBER(J786)),MIN(J786*(1+$B$87/12),IF($B$86=0,0,IF($B$87=0,$B$86/ROUND($B$88*12,0),$B$86*($B$87/12)/(1-(1+$B$87/12)^(-ROUND($B$88*12,0)))))),""))</x:f>
        <x:v>0</x:v>
      </x:c>
      <x:c r="L786" s="440" t="n">
        <x:f>IF(ISNUMBER(K786),IF(MAX(0,J786*(1+SUM($B$87)/12)-K786)&lt;MAX(0.0000001,$B$86*0.00000000001),0,MAX(0,J786*(1+SUM($B$87)/12)-K786)),"")</x:f>
        <x:v>0</x:v>
      </x:c>
      <x:c r="M786" s="440" t="n">
        <x:f>IF(AND(ISNUMBER(D786),ISNUMBER(K786)),D786+K786,"")</x:f>
        <x:v>0</x:v>
      </x:c>
      <x:c r="N786" s="440" t="n">
        <x:f>IF(AND(ISNUMBER(H786),ISNUMBER(L786)),H786+L786,"")</x:f>
        <x:v>0</x:v>
      </x:c>
    </x:row>
    <x:row r="787" ht="22" customHeight="1">
      <x:c r="A787" s="254" t="n">
        <x:f>387</x:f>
        <x:v>387</x:v>
      </x:c>
      <x:c r="B787" s="440" t="n">
        <x:f>IF(ISNUMBER(H786),H786,"")</x:f>
        <x:v>0</x:v>
      </x:c>
      <x:c r="C787" s="442" t="n">
        <x:f>IF(ISNUMBER(B787),IF(AND(387&gt;$B$173,$B$78="Refinance",ISNUMBER($B$80),$B$80&gt;=0,$B$80&lt;=1,ROUND($B$81*12,0)&gt;=1,$B$81&lt;=100,SUM($B$82)&gt;=0,SUM($B$82)&lt;=1,SUM($B$83)&gt;=0),$B$80,IF(AND($B$175&gt;0,387&gt;$B$175,ISNUMBER($B$75)),$B$75,$B$61)),"")</x:f>
        <x:v>0.0625</x:v>
      </x:c>
      <x:c r="D787" s="440" t="n">
        <x:f>IF(AND(ISNUMBER(B787),B787=0),0,IF(AND($B$171=1,I786=0,ISNUMBER(C787),ISNUMBER(IF(AND(387&lt;=$B$174,387&lt;=$B$173),B787*C787/12,IF(AND(387=$B$173+1,AND(387&gt;$B$173,$B$78="Refinance",ISNUMBER($B$80),$B$80&gt;=0,$B$80&lt;=1,ROUND($B$81*12,0)&gt;=1,$B$81&lt;=100,SUM($B$82)&gt;=0,SUM($B$82)&lt;=1,SUM($B$83)&gt;=0)),IF(B787=0,0,IF(C787=0,B787/ROUND($B$81*12,0),B787*(C787/12)/(1-(1+C787/12)^(-ROUND($B$81*12,0))))),IF(AND(NOT(AND(387&gt;$B$173,$B$78="Refinance",ISNUMBER($B$80),$B$80&gt;=0,$B$80&lt;=1,ROUND($B$81*12,0)&gt;=1,$B$81&lt;=100,SUM($B$82)&gt;=0,SUM($B$82)&lt;=1,SUM($B$83)&gt;=0)),OR(387=1,387=$B$174+1,AND($B$175&gt;0,387=$B$175+1))),IF(AND($B$170=1,$B$66&gt;0,OR($B$175=0,387&lt;=$B$175)),$B$66,IF($B$172-MAX(387-1,$B$174)&gt;0,IF(B787=0,0,IF(C787=0,B787/($B$172-MAX(387-1,$B$174)),B787*(C787/12)/(1-(1+C787/12)^(-($B$172-MAX(387-1,$B$174)))))),"")),D786))))),IF(IF(AND(387&lt;=$B$174,387&lt;=$B$173),B787*C787/12,IF(AND(387=$B$173+1,AND(387&gt;$B$173,$B$78="Refinance",ISNUMBER($B$80),$B$80&gt;=0,$B$80&lt;=1,ROUND($B$81*12,0)&gt;=1,$B$81&lt;=100,SUM($B$82)&gt;=0,SUM($B$82)&lt;=1,SUM($B$83)&gt;=0)),IF(B787=0,0,IF(C787=0,B787/ROUND($B$81*12,0),B787*(C787/12)/(1-(1+C787/12)^(-ROUND($B$81*12,0))))),IF(AND(NOT(AND(387&gt;$B$173,$B$78="Refinance",ISNUMBER($B$80),$B$80&gt;=0,$B$80&lt;=1,ROUND($B$81*12,0)&gt;=1,$B$81&lt;=100,SUM($B$82)&gt;=0,SUM($B$82)&lt;=1,SUM($B$83)&gt;=0)),OR(387=1,387=$B$174+1,AND($B$175&gt;0,387=$B$175+1))),IF(AND($B$170=1,$B$66&gt;0,OR($B$175=0,387&lt;=$B$175)),$B$66,IF($B$172-MAX(387-1,$B$174)&gt;0,IF(B787=0,0,IF(C787=0,B787/($B$172-MAX(387-1,$B$174)),B787*(C787/12)/(1-(1+C787/12)^(-($B$172-MAX(387-1,$B$174)))))),"")),D786)))+0.0000001&gt;=B787*C787/12,MIN(B787*(1+C787/12),IF(AND(387&lt;=$B$174,387&lt;=$B$173),B787*C787/12,IF(AND(387=$B$173+1,AND(387&gt;$B$173,$B$78="Refinance",ISNUMBER($B$80),$B$80&gt;=0,$B$80&lt;=1,ROUND($B$81*12,0)&gt;=1,$B$81&lt;=100,SUM($B$82)&gt;=0,SUM($B$82)&lt;=1,SUM($B$83)&gt;=0)),IF(B787=0,0,IF(C787=0,B787/ROUND($B$81*12,0),B787*(C787/12)/(1-(1+C787/12)^(-ROUND($B$81*12,0))))),IF(AND(NOT(AND(387&gt;$B$173,$B$78="Refinance",ISNUMBER($B$80),$B$80&gt;=0,$B$80&lt;=1,ROUND($B$81*12,0)&gt;=1,$B$81&lt;=100,SUM($B$82)&gt;=0,SUM($B$82)&lt;=1,SUM($B$83)&gt;=0)),OR(387=1,387=$B$174+1,AND($B$175&gt;0,387=$B$175+1))),IF(AND($B$170=1,$B$66&gt;0,OR($B$175=0,387&lt;=$B$175)),$B$66,IF($B$172-MAX(387-1,$B$174)&gt;0,IF(B787=0,0,IF(C787=0,B787/($B$172-MAX(387-1,$B$174)),B787*(C787/12)/(1-(1+C787/12)^(-($B$172-MAX(387-1,$B$174)))))),"")),D786)))),""),""))</x:f>
        <x:v>0</x:v>
      </x:c>
      <x:c r="E787" s="440" t="n">
        <x:f>IF(AND(387=$B$173,ISNUMBER(D787)),IF(MAX(0,B787*(1+C787/12)-D787)&lt;MAX(0.0000001,$E$17*0.00000000001),0,MAX(0,B787*(1+C787/12)-D787)),0)</x:f>
        <x:v>0</x:v>
      </x:c>
      <x:c r="F787" s="440" t="n">
        <x:f>IF($B$78="Cash payoff",E787,0)</x:f>
        <x:v>0</x:v>
      </x:c>
      <x:c r="G787" s="440" t="n">
        <x:f>IF(AND(E787&gt;0,AND($B$78="Refinance",ISNUMBER($B$80),$B$80&gt;=0,$B$80&lt;=1,ROUND($B$81*12,0)&gt;=1,$B$81&lt;=100,SUM($B$82)&gt;=0,SUM($B$82)&lt;=1,SUM($B$83)&gt;=0)),E787*SUM($B$82)+SUM($B$83),0)</x:f>
        <x:v>0</x:v>
      </x:c>
      <x:c r="H787" s="440" t="n">
        <x:f>IF(ISNUMBER(D787),IF(MAX(0,B787*(1+C787/12)-D787-F787)&lt;MAX(0.0000001,$E$17*0.00000000001),0,MAX(0,B787*(1+C787/12)-D787-F787)),IF(AND($B$171=1,I786=1),B787,""))</x:f>
        <x:v>0</x:v>
      </x:c>
      <x:c r="I787" s="444" t="n">
        <x:f>IF(OR(I786=1,AND(E787&gt;0,$B$78&lt;&gt;"Cash payoff",NOT(AND($B$78="Refinance",ISNUMBER($B$80),$B$80&gt;=0,$B$80&lt;=1,ROUND($B$81*12,0)&gt;=1,$B$81&lt;=100,SUM($B$82)&gt;=0,SUM($B$82)&lt;=1,SUM($B$83)&gt;=0))),AND(ISNUMBER(B787),B787&gt;0,$B$171=1,NOT(ISNUMBER(D787)))),1,0)</x:f>
        <x:v>0</x:v>
      </x:c>
      <x:c r="J787" s="440" t="n">
        <x:f>IF(ISNUMBER(L786),L786,"")</x:f>
        <x:v>0</x:v>
      </x:c>
      <x:c r="K787" s="440" t="n">
        <x:f>IF(AND(ISNUMBER(J787),J787=0),0,IF(AND($B$176=1,ISNUMBER(J787)),MIN(J787*(1+$B$87/12),IF($B$86=0,0,IF($B$87=0,$B$86/ROUND($B$88*12,0),$B$86*($B$87/12)/(1-(1+$B$87/12)^(-ROUND($B$88*12,0)))))),""))</x:f>
        <x:v>0</x:v>
      </x:c>
      <x:c r="L787" s="440" t="n">
        <x:f>IF(ISNUMBER(K787),IF(MAX(0,J787*(1+SUM($B$87)/12)-K787)&lt;MAX(0.0000001,$B$86*0.00000000001),0,MAX(0,J787*(1+SUM($B$87)/12)-K787)),"")</x:f>
        <x:v>0</x:v>
      </x:c>
      <x:c r="M787" s="440" t="n">
        <x:f>IF(AND(ISNUMBER(D787),ISNUMBER(K787)),D787+K787,"")</x:f>
        <x:v>0</x:v>
      </x:c>
      <x:c r="N787" s="440" t="n">
        <x:f>IF(AND(ISNUMBER(H787),ISNUMBER(L787)),H787+L787,"")</x:f>
        <x:v>0</x:v>
      </x:c>
    </x:row>
    <x:row r="788" ht="22" customHeight="1">
      <x:c r="A788" s="254" t="n">
        <x:f>388</x:f>
        <x:v>388</x:v>
      </x:c>
      <x:c r="B788" s="440" t="n">
        <x:f>IF(ISNUMBER(H787),H787,"")</x:f>
        <x:v>0</x:v>
      </x:c>
      <x:c r="C788" s="442" t="n">
        <x:f>IF(ISNUMBER(B788),IF(AND(388&gt;$B$173,$B$78="Refinance",ISNUMBER($B$80),$B$80&gt;=0,$B$80&lt;=1,ROUND($B$81*12,0)&gt;=1,$B$81&lt;=100,SUM($B$82)&gt;=0,SUM($B$82)&lt;=1,SUM($B$83)&gt;=0),$B$80,IF(AND($B$175&gt;0,388&gt;$B$175,ISNUMBER($B$75)),$B$75,$B$61)),"")</x:f>
        <x:v>0.0625</x:v>
      </x:c>
      <x:c r="D788" s="440" t="n">
        <x:f>IF(AND(ISNUMBER(B788),B788=0),0,IF(AND($B$171=1,I787=0,ISNUMBER(C788),ISNUMBER(IF(AND(388&lt;=$B$174,388&lt;=$B$173),B788*C788/12,IF(AND(388=$B$173+1,AND(388&gt;$B$173,$B$78="Refinance",ISNUMBER($B$80),$B$80&gt;=0,$B$80&lt;=1,ROUND($B$81*12,0)&gt;=1,$B$81&lt;=100,SUM($B$82)&gt;=0,SUM($B$82)&lt;=1,SUM($B$83)&gt;=0)),IF(B788=0,0,IF(C788=0,B788/ROUND($B$81*12,0),B788*(C788/12)/(1-(1+C788/12)^(-ROUND($B$81*12,0))))),IF(AND(NOT(AND(388&gt;$B$173,$B$78="Refinance",ISNUMBER($B$80),$B$80&gt;=0,$B$80&lt;=1,ROUND($B$81*12,0)&gt;=1,$B$81&lt;=100,SUM($B$82)&gt;=0,SUM($B$82)&lt;=1,SUM($B$83)&gt;=0)),OR(388=1,388=$B$174+1,AND($B$175&gt;0,388=$B$175+1))),IF(AND($B$170=1,$B$66&gt;0,OR($B$175=0,388&lt;=$B$175)),$B$66,IF($B$172-MAX(388-1,$B$174)&gt;0,IF(B788=0,0,IF(C788=0,B788/($B$172-MAX(388-1,$B$174)),B788*(C788/12)/(1-(1+C788/12)^(-($B$172-MAX(388-1,$B$174)))))),"")),D787))))),IF(IF(AND(388&lt;=$B$174,388&lt;=$B$173),B788*C788/12,IF(AND(388=$B$173+1,AND(388&gt;$B$173,$B$78="Refinance",ISNUMBER($B$80),$B$80&gt;=0,$B$80&lt;=1,ROUND($B$81*12,0)&gt;=1,$B$81&lt;=100,SUM($B$82)&gt;=0,SUM($B$82)&lt;=1,SUM($B$83)&gt;=0)),IF(B788=0,0,IF(C788=0,B788/ROUND($B$81*12,0),B788*(C788/12)/(1-(1+C788/12)^(-ROUND($B$81*12,0))))),IF(AND(NOT(AND(388&gt;$B$173,$B$78="Refinance",ISNUMBER($B$80),$B$80&gt;=0,$B$80&lt;=1,ROUND($B$81*12,0)&gt;=1,$B$81&lt;=100,SUM($B$82)&gt;=0,SUM($B$82)&lt;=1,SUM($B$83)&gt;=0)),OR(388=1,388=$B$174+1,AND($B$175&gt;0,388=$B$175+1))),IF(AND($B$170=1,$B$66&gt;0,OR($B$175=0,388&lt;=$B$175)),$B$66,IF($B$172-MAX(388-1,$B$174)&gt;0,IF(B788=0,0,IF(C788=0,B788/($B$172-MAX(388-1,$B$174)),B788*(C788/12)/(1-(1+C788/12)^(-($B$172-MAX(388-1,$B$174)))))),"")),D787)))+0.0000001&gt;=B788*C788/12,MIN(B788*(1+C788/12),IF(AND(388&lt;=$B$174,388&lt;=$B$173),B788*C788/12,IF(AND(388=$B$173+1,AND(388&gt;$B$173,$B$78="Refinance",ISNUMBER($B$80),$B$80&gt;=0,$B$80&lt;=1,ROUND($B$81*12,0)&gt;=1,$B$81&lt;=100,SUM($B$82)&gt;=0,SUM($B$82)&lt;=1,SUM($B$83)&gt;=0)),IF(B788=0,0,IF(C788=0,B788/ROUND($B$81*12,0),B788*(C788/12)/(1-(1+C788/12)^(-ROUND($B$81*12,0))))),IF(AND(NOT(AND(388&gt;$B$173,$B$78="Refinance",ISNUMBER($B$80),$B$80&gt;=0,$B$80&lt;=1,ROUND($B$81*12,0)&gt;=1,$B$81&lt;=100,SUM($B$82)&gt;=0,SUM($B$82)&lt;=1,SUM($B$83)&gt;=0)),OR(388=1,388=$B$174+1,AND($B$175&gt;0,388=$B$175+1))),IF(AND($B$170=1,$B$66&gt;0,OR($B$175=0,388&lt;=$B$175)),$B$66,IF($B$172-MAX(388-1,$B$174)&gt;0,IF(B788=0,0,IF(C788=0,B788/($B$172-MAX(388-1,$B$174)),B788*(C788/12)/(1-(1+C788/12)^(-($B$172-MAX(388-1,$B$174)))))),"")),D787)))),""),""))</x:f>
        <x:v>0</x:v>
      </x:c>
      <x:c r="E788" s="440" t="n">
        <x:f>IF(AND(388=$B$173,ISNUMBER(D788)),IF(MAX(0,B788*(1+C788/12)-D788)&lt;MAX(0.0000001,$E$17*0.00000000001),0,MAX(0,B788*(1+C788/12)-D788)),0)</x:f>
        <x:v>0</x:v>
      </x:c>
      <x:c r="F788" s="440" t="n">
        <x:f>IF($B$78="Cash payoff",E788,0)</x:f>
        <x:v>0</x:v>
      </x:c>
      <x:c r="G788" s="440" t="n">
        <x:f>IF(AND(E788&gt;0,AND($B$78="Refinance",ISNUMBER($B$80),$B$80&gt;=0,$B$80&lt;=1,ROUND($B$81*12,0)&gt;=1,$B$81&lt;=100,SUM($B$82)&gt;=0,SUM($B$82)&lt;=1,SUM($B$83)&gt;=0)),E788*SUM($B$82)+SUM($B$83),0)</x:f>
        <x:v>0</x:v>
      </x:c>
      <x:c r="H788" s="440" t="n">
        <x:f>IF(ISNUMBER(D788),IF(MAX(0,B788*(1+C788/12)-D788-F788)&lt;MAX(0.0000001,$E$17*0.00000000001),0,MAX(0,B788*(1+C788/12)-D788-F788)),IF(AND($B$171=1,I787=1),B788,""))</x:f>
        <x:v>0</x:v>
      </x:c>
      <x:c r="I788" s="444" t="n">
        <x:f>IF(OR(I787=1,AND(E788&gt;0,$B$78&lt;&gt;"Cash payoff",NOT(AND($B$78="Refinance",ISNUMBER($B$80),$B$80&gt;=0,$B$80&lt;=1,ROUND($B$81*12,0)&gt;=1,$B$81&lt;=100,SUM($B$82)&gt;=0,SUM($B$82)&lt;=1,SUM($B$83)&gt;=0))),AND(ISNUMBER(B788),B788&gt;0,$B$171=1,NOT(ISNUMBER(D788)))),1,0)</x:f>
        <x:v>0</x:v>
      </x:c>
      <x:c r="J788" s="440" t="n">
        <x:f>IF(ISNUMBER(L787),L787,"")</x:f>
        <x:v>0</x:v>
      </x:c>
      <x:c r="K788" s="440" t="n">
        <x:f>IF(AND(ISNUMBER(J788),J788=0),0,IF(AND($B$176=1,ISNUMBER(J788)),MIN(J788*(1+$B$87/12),IF($B$86=0,0,IF($B$87=0,$B$86/ROUND($B$88*12,0),$B$86*($B$87/12)/(1-(1+$B$87/12)^(-ROUND($B$88*12,0)))))),""))</x:f>
        <x:v>0</x:v>
      </x:c>
      <x:c r="L788" s="440" t="n">
        <x:f>IF(ISNUMBER(K788),IF(MAX(0,J788*(1+SUM($B$87)/12)-K788)&lt;MAX(0.0000001,$B$86*0.00000000001),0,MAX(0,J788*(1+SUM($B$87)/12)-K788)),"")</x:f>
        <x:v>0</x:v>
      </x:c>
      <x:c r="M788" s="440" t="n">
        <x:f>IF(AND(ISNUMBER(D788),ISNUMBER(K788)),D788+K788,"")</x:f>
        <x:v>0</x:v>
      </x:c>
      <x:c r="N788" s="440" t="n">
        <x:f>IF(AND(ISNUMBER(H788),ISNUMBER(L788)),H788+L788,"")</x:f>
        <x:v>0</x:v>
      </x:c>
    </x:row>
    <x:row r="789" ht="22" customHeight="1">
      <x:c r="A789" s="254" t="n">
        <x:f>389</x:f>
        <x:v>389</x:v>
      </x:c>
      <x:c r="B789" s="440" t="n">
        <x:f>IF(ISNUMBER(H788),H788,"")</x:f>
        <x:v>0</x:v>
      </x:c>
      <x:c r="C789" s="442" t="n">
        <x:f>IF(ISNUMBER(B789),IF(AND(389&gt;$B$173,$B$78="Refinance",ISNUMBER($B$80),$B$80&gt;=0,$B$80&lt;=1,ROUND($B$81*12,0)&gt;=1,$B$81&lt;=100,SUM($B$82)&gt;=0,SUM($B$82)&lt;=1,SUM($B$83)&gt;=0),$B$80,IF(AND($B$175&gt;0,389&gt;$B$175,ISNUMBER($B$75)),$B$75,$B$61)),"")</x:f>
        <x:v>0.0625</x:v>
      </x:c>
      <x:c r="D789" s="440" t="n">
        <x:f>IF(AND(ISNUMBER(B789),B789=0),0,IF(AND($B$171=1,I788=0,ISNUMBER(C789),ISNUMBER(IF(AND(389&lt;=$B$174,389&lt;=$B$173),B789*C789/12,IF(AND(389=$B$173+1,AND(389&gt;$B$173,$B$78="Refinance",ISNUMBER($B$80),$B$80&gt;=0,$B$80&lt;=1,ROUND($B$81*12,0)&gt;=1,$B$81&lt;=100,SUM($B$82)&gt;=0,SUM($B$82)&lt;=1,SUM($B$83)&gt;=0)),IF(B789=0,0,IF(C789=0,B789/ROUND($B$81*12,0),B789*(C789/12)/(1-(1+C789/12)^(-ROUND($B$81*12,0))))),IF(AND(NOT(AND(389&gt;$B$173,$B$78="Refinance",ISNUMBER($B$80),$B$80&gt;=0,$B$80&lt;=1,ROUND($B$81*12,0)&gt;=1,$B$81&lt;=100,SUM($B$82)&gt;=0,SUM($B$82)&lt;=1,SUM($B$83)&gt;=0)),OR(389=1,389=$B$174+1,AND($B$175&gt;0,389=$B$175+1))),IF(AND($B$170=1,$B$66&gt;0,OR($B$175=0,389&lt;=$B$175)),$B$66,IF($B$172-MAX(389-1,$B$174)&gt;0,IF(B789=0,0,IF(C789=0,B789/($B$172-MAX(389-1,$B$174)),B789*(C789/12)/(1-(1+C789/12)^(-($B$172-MAX(389-1,$B$174)))))),"")),D788))))),IF(IF(AND(389&lt;=$B$174,389&lt;=$B$173),B789*C789/12,IF(AND(389=$B$173+1,AND(389&gt;$B$173,$B$78="Refinance",ISNUMBER($B$80),$B$80&gt;=0,$B$80&lt;=1,ROUND($B$81*12,0)&gt;=1,$B$81&lt;=100,SUM($B$82)&gt;=0,SUM($B$82)&lt;=1,SUM($B$83)&gt;=0)),IF(B789=0,0,IF(C789=0,B789/ROUND($B$81*12,0),B789*(C789/12)/(1-(1+C789/12)^(-ROUND($B$81*12,0))))),IF(AND(NOT(AND(389&gt;$B$173,$B$78="Refinance",ISNUMBER($B$80),$B$80&gt;=0,$B$80&lt;=1,ROUND($B$81*12,0)&gt;=1,$B$81&lt;=100,SUM($B$82)&gt;=0,SUM($B$82)&lt;=1,SUM($B$83)&gt;=0)),OR(389=1,389=$B$174+1,AND($B$175&gt;0,389=$B$175+1))),IF(AND($B$170=1,$B$66&gt;0,OR($B$175=0,389&lt;=$B$175)),$B$66,IF($B$172-MAX(389-1,$B$174)&gt;0,IF(B789=0,0,IF(C789=0,B789/($B$172-MAX(389-1,$B$174)),B789*(C789/12)/(1-(1+C789/12)^(-($B$172-MAX(389-1,$B$174)))))),"")),D788)))+0.0000001&gt;=B789*C789/12,MIN(B789*(1+C789/12),IF(AND(389&lt;=$B$174,389&lt;=$B$173),B789*C789/12,IF(AND(389=$B$173+1,AND(389&gt;$B$173,$B$78="Refinance",ISNUMBER($B$80),$B$80&gt;=0,$B$80&lt;=1,ROUND($B$81*12,0)&gt;=1,$B$81&lt;=100,SUM($B$82)&gt;=0,SUM($B$82)&lt;=1,SUM($B$83)&gt;=0)),IF(B789=0,0,IF(C789=0,B789/ROUND($B$81*12,0),B789*(C789/12)/(1-(1+C789/12)^(-ROUND($B$81*12,0))))),IF(AND(NOT(AND(389&gt;$B$173,$B$78="Refinance",ISNUMBER($B$80),$B$80&gt;=0,$B$80&lt;=1,ROUND($B$81*12,0)&gt;=1,$B$81&lt;=100,SUM($B$82)&gt;=0,SUM($B$82)&lt;=1,SUM($B$83)&gt;=0)),OR(389=1,389=$B$174+1,AND($B$175&gt;0,389=$B$175+1))),IF(AND($B$170=1,$B$66&gt;0,OR($B$175=0,389&lt;=$B$175)),$B$66,IF($B$172-MAX(389-1,$B$174)&gt;0,IF(B789=0,0,IF(C789=0,B789/($B$172-MAX(389-1,$B$174)),B789*(C789/12)/(1-(1+C789/12)^(-($B$172-MAX(389-1,$B$174)))))),"")),D788)))),""),""))</x:f>
        <x:v>0</x:v>
      </x:c>
      <x:c r="E789" s="440" t="n">
        <x:f>IF(AND(389=$B$173,ISNUMBER(D789)),IF(MAX(0,B789*(1+C789/12)-D789)&lt;MAX(0.0000001,$E$17*0.00000000001),0,MAX(0,B789*(1+C789/12)-D789)),0)</x:f>
        <x:v>0</x:v>
      </x:c>
      <x:c r="F789" s="440" t="n">
        <x:f>IF($B$78="Cash payoff",E789,0)</x:f>
        <x:v>0</x:v>
      </x:c>
      <x:c r="G789" s="440" t="n">
        <x:f>IF(AND(E789&gt;0,AND($B$78="Refinance",ISNUMBER($B$80),$B$80&gt;=0,$B$80&lt;=1,ROUND($B$81*12,0)&gt;=1,$B$81&lt;=100,SUM($B$82)&gt;=0,SUM($B$82)&lt;=1,SUM($B$83)&gt;=0)),E789*SUM($B$82)+SUM($B$83),0)</x:f>
        <x:v>0</x:v>
      </x:c>
      <x:c r="H789" s="440" t="n">
        <x:f>IF(ISNUMBER(D789),IF(MAX(0,B789*(1+C789/12)-D789-F789)&lt;MAX(0.0000001,$E$17*0.00000000001),0,MAX(0,B789*(1+C789/12)-D789-F789)),IF(AND($B$171=1,I788=1),B789,""))</x:f>
        <x:v>0</x:v>
      </x:c>
      <x:c r="I789" s="444" t="n">
        <x:f>IF(OR(I788=1,AND(E789&gt;0,$B$78&lt;&gt;"Cash payoff",NOT(AND($B$78="Refinance",ISNUMBER($B$80),$B$80&gt;=0,$B$80&lt;=1,ROUND($B$81*12,0)&gt;=1,$B$81&lt;=100,SUM($B$82)&gt;=0,SUM($B$82)&lt;=1,SUM($B$83)&gt;=0))),AND(ISNUMBER(B789),B789&gt;0,$B$171=1,NOT(ISNUMBER(D789)))),1,0)</x:f>
        <x:v>0</x:v>
      </x:c>
      <x:c r="J789" s="440" t="n">
        <x:f>IF(ISNUMBER(L788),L788,"")</x:f>
        <x:v>0</x:v>
      </x:c>
      <x:c r="K789" s="440" t="n">
        <x:f>IF(AND(ISNUMBER(J789),J789=0),0,IF(AND($B$176=1,ISNUMBER(J789)),MIN(J789*(1+$B$87/12),IF($B$86=0,0,IF($B$87=0,$B$86/ROUND($B$88*12,0),$B$86*($B$87/12)/(1-(1+$B$87/12)^(-ROUND($B$88*12,0)))))),""))</x:f>
        <x:v>0</x:v>
      </x:c>
      <x:c r="L789" s="440" t="n">
        <x:f>IF(ISNUMBER(K789),IF(MAX(0,J789*(1+SUM($B$87)/12)-K789)&lt;MAX(0.0000001,$B$86*0.00000000001),0,MAX(0,J789*(1+SUM($B$87)/12)-K789)),"")</x:f>
        <x:v>0</x:v>
      </x:c>
      <x:c r="M789" s="440" t="n">
        <x:f>IF(AND(ISNUMBER(D789),ISNUMBER(K789)),D789+K789,"")</x:f>
        <x:v>0</x:v>
      </x:c>
      <x:c r="N789" s="440" t="n">
        <x:f>IF(AND(ISNUMBER(H789),ISNUMBER(L789)),H789+L789,"")</x:f>
        <x:v>0</x:v>
      </x:c>
    </x:row>
    <x:row r="790" ht="22" customHeight="1">
      <x:c r="A790" s="254" t="n">
        <x:f>390</x:f>
        <x:v>390</x:v>
      </x:c>
      <x:c r="B790" s="440" t="n">
        <x:f>IF(ISNUMBER(H789),H789,"")</x:f>
        <x:v>0</x:v>
      </x:c>
      <x:c r="C790" s="442" t="n">
        <x:f>IF(ISNUMBER(B790),IF(AND(390&gt;$B$173,$B$78="Refinance",ISNUMBER($B$80),$B$80&gt;=0,$B$80&lt;=1,ROUND($B$81*12,0)&gt;=1,$B$81&lt;=100,SUM($B$82)&gt;=0,SUM($B$82)&lt;=1,SUM($B$83)&gt;=0),$B$80,IF(AND($B$175&gt;0,390&gt;$B$175,ISNUMBER($B$75)),$B$75,$B$61)),"")</x:f>
        <x:v>0.0625</x:v>
      </x:c>
      <x:c r="D790" s="440" t="n">
        <x:f>IF(AND(ISNUMBER(B790),B790=0),0,IF(AND($B$171=1,I789=0,ISNUMBER(C790),ISNUMBER(IF(AND(390&lt;=$B$174,390&lt;=$B$173),B790*C790/12,IF(AND(390=$B$173+1,AND(390&gt;$B$173,$B$78="Refinance",ISNUMBER($B$80),$B$80&gt;=0,$B$80&lt;=1,ROUND($B$81*12,0)&gt;=1,$B$81&lt;=100,SUM($B$82)&gt;=0,SUM($B$82)&lt;=1,SUM($B$83)&gt;=0)),IF(B790=0,0,IF(C790=0,B790/ROUND($B$81*12,0),B790*(C790/12)/(1-(1+C790/12)^(-ROUND($B$81*12,0))))),IF(AND(NOT(AND(390&gt;$B$173,$B$78="Refinance",ISNUMBER($B$80),$B$80&gt;=0,$B$80&lt;=1,ROUND($B$81*12,0)&gt;=1,$B$81&lt;=100,SUM($B$82)&gt;=0,SUM($B$82)&lt;=1,SUM($B$83)&gt;=0)),OR(390=1,390=$B$174+1,AND($B$175&gt;0,390=$B$175+1))),IF(AND($B$170=1,$B$66&gt;0,OR($B$175=0,390&lt;=$B$175)),$B$66,IF($B$172-MAX(390-1,$B$174)&gt;0,IF(B790=0,0,IF(C790=0,B790/($B$172-MAX(390-1,$B$174)),B790*(C790/12)/(1-(1+C790/12)^(-($B$172-MAX(390-1,$B$174)))))),"")),D789))))),IF(IF(AND(390&lt;=$B$174,390&lt;=$B$173),B790*C790/12,IF(AND(390=$B$173+1,AND(390&gt;$B$173,$B$78="Refinance",ISNUMBER($B$80),$B$80&gt;=0,$B$80&lt;=1,ROUND($B$81*12,0)&gt;=1,$B$81&lt;=100,SUM($B$82)&gt;=0,SUM($B$82)&lt;=1,SUM($B$83)&gt;=0)),IF(B790=0,0,IF(C790=0,B790/ROUND($B$81*12,0),B790*(C790/12)/(1-(1+C790/12)^(-ROUND($B$81*12,0))))),IF(AND(NOT(AND(390&gt;$B$173,$B$78="Refinance",ISNUMBER($B$80),$B$80&gt;=0,$B$80&lt;=1,ROUND($B$81*12,0)&gt;=1,$B$81&lt;=100,SUM($B$82)&gt;=0,SUM($B$82)&lt;=1,SUM($B$83)&gt;=0)),OR(390=1,390=$B$174+1,AND($B$175&gt;0,390=$B$175+1))),IF(AND($B$170=1,$B$66&gt;0,OR($B$175=0,390&lt;=$B$175)),$B$66,IF($B$172-MAX(390-1,$B$174)&gt;0,IF(B790=0,0,IF(C790=0,B790/($B$172-MAX(390-1,$B$174)),B790*(C790/12)/(1-(1+C790/12)^(-($B$172-MAX(390-1,$B$174)))))),"")),D789)))+0.0000001&gt;=B790*C790/12,MIN(B790*(1+C790/12),IF(AND(390&lt;=$B$174,390&lt;=$B$173),B790*C790/12,IF(AND(390=$B$173+1,AND(390&gt;$B$173,$B$78="Refinance",ISNUMBER($B$80),$B$80&gt;=0,$B$80&lt;=1,ROUND($B$81*12,0)&gt;=1,$B$81&lt;=100,SUM($B$82)&gt;=0,SUM($B$82)&lt;=1,SUM($B$83)&gt;=0)),IF(B790=0,0,IF(C790=0,B790/ROUND($B$81*12,0),B790*(C790/12)/(1-(1+C790/12)^(-ROUND($B$81*12,0))))),IF(AND(NOT(AND(390&gt;$B$173,$B$78="Refinance",ISNUMBER($B$80),$B$80&gt;=0,$B$80&lt;=1,ROUND($B$81*12,0)&gt;=1,$B$81&lt;=100,SUM($B$82)&gt;=0,SUM($B$82)&lt;=1,SUM($B$83)&gt;=0)),OR(390=1,390=$B$174+1,AND($B$175&gt;0,390=$B$175+1))),IF(AND($B$170=1,$B$66&gt;0,OR($B$175=0,390&lt;=$B$175)),$B$66,IF($B$172-MAX(390-1,$B$174)&gt;0,IF(B790=0,0,IF(C790=0,B790/($B$172-MAX(390-1,$B$174)),B790*(C790/12)/(1-(1+C790/12)^(-($B$172-MAX(390-1,$B$174)))))),"")),D789)))),""),""))</x:f>
        <x:v>0</x:v>
      </x:c>
      <x:c r="E790" s="440" t="n">
        <x:f>IF(AND(390=$B$173,ISNUMBER(D790)),IF(MAX(0,B790*(1+C790/12)-D790)&lt;MAX(0.0000001,$E$17*0.00000000001),0,MAX(0,B790*(1+C790/12)-D790)),0)</x:f>
        <x:v>0</x:v>
      </x:c>
      <x:c r="F790" s="440" t="n">
        <x:f>IF($B$78="Cash payoff",E790,0)</x:f>
        <x:v>0</x:v>
      </x:c>
      <x:c r="G790" s="440" t="n">
        <x:f>IF(AND(E790&gt;0,AND($B$78="Refinance",ISNUMBER($B$80),$B$80&gt;=0,$B$80&lt;=1,ROUND($B$81*12,0)&gt;=1,$B$81&lt;=100,SUM($B$82)&gt;=0,SUM($B$82)&lt;=1,SUM($B$83)&gt;=0)),E790*SUM($B$82)+SUM($B$83),0)</x:f>
        <x:v>0</x:v>
      </x:c>
      <x:c r="H790" s="440" t="n">
        <x:f>IF(ISNUMBER(D790),IF(MAX(0,B790*(1+C790/12)-D790-F790)&lt;MAX(0.0000001,$E$17*0.00000000001),0,MAX(0,B790*(1+C790/12)-D790-F790)),IF(AND($B$171=1,I789=1),B790,""))</x:f>
        <x:v>0</x:v>
      </x:c>
      <x:c r="I790" s="444" t="n">
        <x:f>IF(OR(I789=1,AND(E790&gt;0,$B$78&lt;&gt;"Cash payoff",NOT(AND($B$78="Refinance",ISNUMBER($B$80),$B$80&gt;=0,$B$80&lt;=1,ROUND($B$81*12,0)&gt;=1,$B$81&lt;=100,SUM($B$82)&gt;=0,SUM($B$82)&lt;=1,SUM($B$83)&gt;=0))),AND(ISNUMBER(B790),B790&gt;0,$B$171=1,NOT(ISNUMBER(D790)))),1,0)</x:f>
        <x:v>0</x:v>
      </x:c>
      <x:c r="J790" s="440" t="n">
        <x:f>IF(ISNUMBER(L789),L789,"")</x:f>
        <x:v>0</x:v>
      </x:c>
      <x:c r="K790" s="440" t="n">
        <x:f>IF(AND(ISNUMBER(J790),J790=0),0,IF(AND($B$176=1,ISNUMBER(J790)),MIN(J790*(1+$B$87/12),IF($B$86=0,0,IF($B$87=0,$B$86/ROUND($B$88*12,0),$B$86*($B$87/12)/(1-(1+$B$87/12)^(-ROUND($B$88*12,0)))))),""))</x:f>
        <x:v>0</x:v>
      </x:c>
      <x:c r="L790" s="440" t="n">
        <x:f>IF(ISNUMBER(K790),IF(MAX(0,J790*(1+SUM($B$87)/12)-K790)&lt;MAX(0.0000001,$B$86*0.00000000001),0,MAX(0,J790*(1+SUM($B$87)/12)-K790)),"")</x:f>
        <x:v>0</x:v>
      </x:c>
      <x:c r="M790" s="440" t="n">
        <x:f>IF(AND(ISNUMBER(D790),ISNUMBER(K790)),D790+K790,"")</x:f>
        <x:v>0</x:v>
      </x:c>
      <x:c r="N790" s="440" t="n">
        <x:f>IF(AND(ISNUMBER(H790),ISNUMBER(L790)),H790+L790,"")</x:f>
        <x:v>0</x:v>
      </x:c>
    </x:row>
    <x:row r="791" ht="22" customHeight="1">
      <x:c r="A791" s="254" t="n">
        <x:f>391</x:f>
        <x:v>391</x:v>
      </x:c>
      <x:c r="B791" s="440" t="n">
        <x:f>IF(ISNUMBER(H790),H790,"")</x:f>
        <x:v>0</x:v>
      </x:c>
      <x:c r="C791" s="442" t="n">
        <x:f>IF(ISNUMBER(B791),IF(AND(391&gt;$B$173,$B$78="Refinance",ISNUMBER($B$80),$B$80&gt;=0,$B$80&lt;=1,ROUND($B$81*12,0)&gt;=1,$B$81&lt;=100,SUM($B$82)&gt;=0,SUM($B$82)&lt;=1,SUM($B$83)&gt;=0),$B$80,IF(AND($B$175&gt;0,391&gt;$B$175,ISNUMBER($B$75)),$B$75,$B$61)),"")</x:f>
        <x:v>0.0625</x:v>
      </x:c>
      <x:c r="D791" s="440" t="n">
        <x:f>IF(AND(ISNUMBER(B791),B791=0),0,IF(AND($B$171=1,I790=0,ISNUMBER(C791),ISNUMBER(IF(AND(391&lt;=$B$174,391&lt;=$B$173),B791*C791/12,IF(AND(391=$B$173+1,AND(391&gt;$B$173,$B$78="Refinance",ISNUMBER($B$80),$B$80&gt;=0,$B$80&lt;=1,ROUND($B$81*12,0)&gt;=1,$B$81&lt;=100,SUM($B$82)&gt;=0,SUM($B$82)&lt;=1,SUM($B$83)&gt;=0)),IF(B791=0,0,IF(C791=0,B791/ROUND($B$81*12,0),B791*(C791/12)/(1-(1+C791/12)^(-ROUND($B$81*12,0))))),IF(AND(NOT(AND(391&gt;$B$173,$B$78="Refinance",ISNUMBER($B$80),$B$80&gt;=0,$B$80&lt;=1,ROUND($B$81*12,0)&gt;=1,$B$81&lt;=100,SUM($B$82)&gt;=0,SUM($B$82)&lt;=1,SUM($B$83)&gt;=0)),OR(391=1,391=$B$174+1,AND($B$175&gt;0,391=$B$175+1))),IF(AND($B$170=1,$B$66&gt;0,OR($B$175=0,391&lt;=$B$175)),$B$66,IF($B$172-MAX(391-1,$B$174)&gt;0,IF(B791=0,0,IF(C791=0,B791/($B$172-MAX(391-1,$B$174)),B791*(C791/12)/(1-(1+C791/12)^(-($B$172-MAX(391-1,$B$174)))))),"")),D790))))),IF(IF(AND(391&lt;=$B$174,391&lt;=$B$173),B791*C791/12,IF(AND(391=$B$173+1,AND(391&gt;$B$173,$B$78="Refinance",ISNUMBER($B$80),$B$80&gt;=0,$B$80&lt;=1,ROUND($B$81*12,0)&gt;=1,$B$81&lt;=100,SUM($B$82)&gt;=0,SUM($B$82)&lt;=1,SUM($B$83)&gt;=0)),IF(B791=0,0,IF(C791=0,B791/ROUND($B$81*12,0),B791*(C791/12)/(1-(1+C791/12)^(-ROUND($B$81*12,0))))),IF(AND(NOT(AND(391&gt;$B$173,$B$78="Refinance",ISNUMBER($B$80),$B$80&gt;=0,$B$80&lt;=1,ROUND($B$81*12,0)&gt;=1,$B$81&lt;=100,SUM($B$82)&gt;=0,SUM($B$82)&lt;=1,SUM($B$83)&gt;=0)),OR(391=1,391=$B$174+1,AND($B$175&gt;0,391=$B$175+1))),IF(AND($B$170=1,$B$66&gt;0,OR($B$175=0,391&lt;=$B$175)),$B$66,IF($B$172-MAX(391-1,$B$174)&gt;0,IF(B791=0,0,IF(C791=0,B791/($B$172-MAX(391-1,$B$174)),B791*(C791/12)/(1-(1+C791/12)^(-($B$172-MAX(391-1,$B$174)))))),"")),D790)))+0.0000001&gt;=B791*C791/12,MIN(B791*(1+C791/12),IF(AND(391&lt;=$B$174,391&lt;=$B$173),B791*C791/12,IF(AND(391=$B$173+1,AND(391&gt;$B$173,$B$78="Refinance",ISNUMBER($B$80),$B$80&gt;=0,$B$80&lt;=1,ROUND($B$81*12,0)&gt;=1,$B$81&lt;=100,SUM($B$82)&gt;=0,SUM($B$82)&lt;=1,SUM($B$83)&gt;=0)),IF(B791=0,0,IF(C791=0,B791/ROUND($B$81*12,0),B791*(C791/12)/(1-(1+C791/12)^(-ROUND($B$81*12,0))))),IF(AND(NOT(AND(391&gt;$B$173,$B$78="Refinance",ISNUMBER($B$80),$B$80&gt;=0,$B$80&lt;=1,ROUND($B$81*12,0)&gt;=1,$B$81&lt;=100,SUM($B$82)&gt;=0,SUM($B$82)&lt;=1,SUM($B$83)&gt;=0)),OR(391=1,391=$B$174+1,AND($B$175&gt;0,391=$B$175+1))),IF(AND($B$170=1,$B$66&gt;0,OR($B$175=0,391&lt;=$B$175)),$B$66,IF($B$172-MAX(391-1,$B$174)&gt;0,IF(B791=0,0,IF(C791=0,B791/($B$172-MAX(391-1,$B$174)),B791*(C791/12)/(1-(1+C791/12)^(-($B$172-MAX(391-1,$B$174)))))),"")),D790)))),""),""))</x:f>
        <x:v>0</x:v>
      </x:c>
      <x:c r="E791" s="440" t="n">
        <x:f>IF(AND(391=$B$173,ISNUMBER(D791)),IF(MAX(0,B791*(1+C791/12)-D791)&lt;MAX(0.0000001,$E$17*0.00000000001),0,MAX(0,B791*(1+C791/12)-D791)),0)</x:f>
        <x:v>0</x:v>
      </x:c>
      <x:c r="F791" s="440" t="n">
        <x:f>IF($B$78="Cash payoff",E791,0)</x:f>
        <x:v>0</x:v>
      </x:c>
      <x:c r="G791" s="440" t="n">
        <x:f>IF(AND(E791&gt;0,AND($B$78="Refinance",ISNUMBER($B$80),$B$80&gt;=0,$B$80&lt;=1,ROUND($B$81*12,0)&gt;=1,$B$81&lt;=100,SUM($B$82)&gt;=0,SUM($B$82)&lt;=1,SUM($B$83)&gt;=0)),E791*SUM($B$82)+SUM($B$83),0)</x:f>
        <x:v>0</x:v>
      </x:c>
      <x:c r="H791" s="440" t="n">
        <x:f>IF(ISNUMBER(D791),IF(MAX(0,B791*(1+C791/12)-D791-F791)&lt;MAX(0.0000001,$E$17*0.00000000001),0,MAX(0,B791*(1+C791/12)-D791-F791)),IF(AND($B$171=1,I790=1),B791,""))</x:f>
        <x:v>0</x:v>
      </x:c>
      <x:c r="I791" s="444" t="n">
        <x:f>IF(OR(I790=1,AND(E791&gt;0,$B$78&lt;&gt;"Cash payoff",NOT(AND($B$78="Refinance",ISNUMBER($B$80),$B$80&gt;=0,$B$80&lt;=1,ROUND($B$81*12,0)&gt;=1,$B$81&lt;=100,SUM($B$82)&gt;=0,SUM($B$82)&lt;=1,SUM($B$83)&gt;=0))),AND(ISNUMBER(B791),B791&gt;0,$B$171=1,NOT(ISNUMBER(D791)))),1,0)</x:f>
        <x:v>0</x:v>
      </x:c>
      <x:c r="J791" s="440" t="n">
        <x:f>IF(ISNUMBER(L790),L790,"")</x:f>
        <x:v>0</x:v>
      </x:c>
      <x:c r="K791" s="440" t="n">
        <x:f>IF(AND(ISNUMBER(J791),J791=0),0,IF(AND($B$176=1,ISNUMBER(J791)),MIN(J791*(1+$B$87/12),IF($B$86=0,0,IF($B$87=0,$B$86/ROUND($B$88*12,0),$B$86*($B$87/12)/(1-(1+$B$87/12)^(-ROUND($B$88*12,0)))))),""))</x:f>
        <x:v>0</x:v>
      </x:c>
      <x:c r="L791" s="440" t="n">
        <x:f>IF(ISNUMBER(K791),IF(MAX(0,J791*(1+SUM($B$87)/12)-K791)&lt;MAX(0.0000001,$B$86*0.00000000001),0,MAX(0,J791*(1+SUM($B$87)/12)-K791)),"")</x:f>
        <x:v>0</x:v>
      </x:c>
      <x:c r="M791" s="440" t="n">
        <x:f>IF(AND(ISNUMBER(D791),ISNUMBER(K791)),D791+K791,"")</x:f>
        <x:v>0</x:v>
      </x:c>
      <x:c r="N791" s="440" t="n">
        <x:f>IF(AND(ISNUMBER(H791),ISNUMBER(L791)),H791+L791,"")</x:f>
        <x:v>0</x:v>
      </x:c>
    </x:row>
    <x:row r="792" ht="22" customHeight="1">
      <x:c r="A792" s="254" t="n">
        <x:f>392</x:f>
        <x:v>392</x:v>
      </x:c>
      <x:c r="B792" s="440" t="n">
        <x:f>IF(ISNUMBER(H791),H791,"")</x:f>
        <x:v>0</x:v>
      </x:c>
      <x:c r="C792" s="442" t="n">
        <x:f>IF(ISNUMBER(B792),IF(AND(392&gt;$B$173,$B$78="Refinance",ISNUMBER($B$80),$B$80&gt;=0,$B$80&lt;=1,ROUND($B$81*12,0)&gt;=1,$B$81&lt;=100,SUM($B$82)&gt;=0,SUM($B$82)&lt;=1,SUM($B$83)&gt;=0),$B$80,IF(AND($B$175&gt;0,392&gt;$B$175,ISNUMBER($B$75)),$B$75,$B$61)),"")</x:f>
        <x:v>0.0625</x:v>
      </x:c>
      <x:c r="D792" s="440" t="n">
        <x:f>IF(AND(ISNUMBER(B792),B792=0),0,IF(AND($B$171=1,I791=0,ISNUMBER(C792),ISNUMBER(IF(AND(392&lt;=$B$174,392&lt;=$B$173),B792*C792/12,IF(AND(392=$B$173+1,AND(392&gt;$B$173,$B$78="Refinance",ISNUMBER($B$80),$B$80&gt;=0,$B$80&lt;=1,ROUND($B$81*12,0)&gt;=1,$B$81&lt;=100,SUM($B$82)&gt;=0,SUM($B$82)&lt;=1,SUM($B$83)&gt;=0)),IF(B792=0,0,IF(C792=0,B792/ROUND($B$81*12,0),B792*(C792/12)/(1-(1+C792/12)^(-ROUND($B$81*12,0))))),IF(AND(NOT(AND(392&gt;$B$173,$B$78="Refinance",ISNUMBER($B$80),$B$80&gt;=0,$B$80&lt;=1,ROUND($B$81*12,0)&gt;=1,$B$81&lt;=100,SUM($B$82)&gt;=0,SUM($B$82)&lt;=1,SUM($B$83)&gt;=0)),OR(392=1,392=$B$174+1,AND($B$175&gt;0,392=$B$175+1))),IF(AND($B$170=1,$B$66&gt;0,OR($B$175=0,392&lt;=$B$175)),$B$66,IF($B$172-MAX(392-1,$B$174)&gt;0,IF(B792=0,0,IF(C792=0,B792/($B$172-MAX(392-1,$B$174)),B792*(C792/12)/(1-(1+C792/12)^(-($B$172-MAX(392-1,$B$174)))))),"")),D791))))),IF(IF(AND(392&lt;=$B$174,392&lt;=$B$173),B792*C792/12,IF(AND(392=$B$173+1,AND(392&gt;$B$173,$B$78="Refinance",ISNUMBER($B$80),$B$80&gt;=0,$B$80&lt;=1,ROUND($B$81*12,0)&gt;=1,$B$81&lt;=100,SUM($B$82)&gt;=0,SUM($B$82)&lt;=1,SUM($B$83)&gt;=0)),IF(B792=0,0,IF(C792=0,B792/ROUND($B$81*12,0),B792*(C792/12)/(1-(1+C792/12)^(-ROUND($B$81*12,0))))),IF(AND(NOT(AND(392&gt;$B$173,$B$78="Refinance",ISNUMBER($B$80),$B$80&gt;=0,$B$80&lt;=1,ROUND($B$81*12,0)&gt;=1,$B$81&lt;=100,SUM($B$82)&gt;=0,SUM($B$82)&lt;=1,SUM($B$83)&gt;=0)),OR(392=1,392=$B$174+1,AND($B$175&gt;0,392=$B$175+1))),IF(AND($B$170=1,$B$66&gt;0,OR($B$175=0,392&lt;=$B$175)),$B$66,IF($B$172-MAX(392-1,$B$174)&gt;0,IF(B792=0,0,IF(C792=0,B792/($B$172-MAX(392-1,$B$174)),B792*(C792/12)/(1-(1+C792/12)^(-($B$172-MAX(392-1,$B$174)))))),"")),D791)))+0.0000001&gt;=B792*C792/12,MIN(B792*(1+C792/12),IF(AND(392&lt;=$B$174,392&lt;=$B$173),B792*C792/12,IF(AND(392=$B$173+1,AND(392&gt;$B$173,$B$78="Refinance",ISNUMBER($B$80),$B$80&gt;=0,$B$80&lt;=1,ROUND($B$81*12,0)&gt;=1,$B$81&lt;=100,SUM($B$82)&gt;=0,SUM($B$82)&lt;=1,SUM($B$83)&gt;=0)),IF(B792=0,0,IF(C792=0,B792/ROUND($B$81*12,0),B792*(C792/12)/(1-(1+C792/12)^(-ROUND($B$81*12,0))))),IF(AND(NOT(AND(392&gt;$B$173,$B$78="Refinance",ISNUMBER($B$80),$B$80&gt;=0,$B$80&lt;=1,ROUND($B$81*12,0)&gt;=1,$B$81&lt;=100,SUM($B$82)&gt;=0,SUM($B$82)&lt;=1,SUM($B$83)&gt;=0)),OR(392=1,392=$B$174+1,AND($B$175&gt;0,392=$B$175+1))),IF(AND($B$170=1,$B$66&gt;0,OR($B$175=0,392&lt;=$B$175)),$B$66,IF($B$172-MAX(392-1,$B$174)&gt;0,IF(B792=0,0,IF(C792=0,B792/($B$172-MAX(392-1,$B$174)),B792*(C792/12)/(1-(1+C792/12)^(-($B$172-MAX(392-1,$B$174)))))),"")),D791)))),""),""))</x:f>
        <x:v>0</x:v>
      </x:c>
      <x:c r="E792" s="440" t="n">
        <x:f>IF(AND(392=$B$173,ISNUMBER(D792)),IF(MAX(0,B792*(1+C792/12)-D792)&lt;MAX(0.0000001,$E$17*0.00000000001),0,MAX(0,B792*(1+C792/12)-D792)),0)</x:f>
        <x:v>0</x:v>
      </x:c>
      <x:c r="F792" s="440" t="n">
        <x:f>IF($B$78="Cash payoff",E792,0)</x:f>
        <x:v>0</x:v>
      </x:c>
      <x:c r="G792" s="440" t="n">
        <x:f>IF(AND(E792&gt;0,AND($B$78="Refinance",ISNUMBER($B$80),$B$80&gt;=0,$B$80&lt;=1,ROUND($B$81*12,0)&gt;=1,$B$81&lt;=100,SUM($B$82)&gt;=0,SUM($B$82)&lt;=1,SUM($B$83)&gt;=0)),E792*SUM($B$82)+SUM($B$83),0)</x:f>
        <x:v>0</x:v>
      </x:c>
      <x:c r="H792" s="440" t="n">
        <x:f>IF(ISNUMBER(D792),IF(MAX(0,B792*(1+C792/12)-D792-F792)&lt;MAX(0.0000001,$E$17*0.00000000001),0,MAX(0,B792*(1+C792/12)-D792-F792)),IF(AND($B$171=1,I791=1),B792,""))</x:f>
        <x:v>0</x:v>
      </x:c>
      <x:c r="I792" s="444" t="n">
        <x:f>IF(OR(I791=1,AND(E792&gt;0,$B$78&lt;&gt;"Cash payoff",NOT(AND($B$78="Refinance",ISNUMBER($B$80),$B$80&gt;=0,$B$80&lt;=1,ROUND($B$81*12,0)&gt;=1,$B$81&lt;=100,SUM($B$82)&gt;=0,SUM($B$82)&lt;=1,SUM($B$83)&gt;=0))),AND(ISNUMBER(B792),B792&gt;0,$B$171=1,NOT(ISNUMBER(D792)))),1,0)</x:f>
        <x:v>0</x:v>
      </x:c>
      <x:c r="J792" s="440" t="n">
        <x:f>IF(ISNUMBER(L791),L791,"")</x:f>
        <x:v>0</x:v>
      </x:c>
      <x:c r="K792" s="440" t="n">
        <x:f>IF(AND(ISNUMBER(J792),J792=0),0,IF(AND($B$176=1,ISNUMBER(J792)),MIN(J792*(1+$B$87/12),IF($B$86=0,0,IF($B$87=0,$B$86/ROUND($B$88*12,0),$B$86*($B$87/12)/(1-(1+$B$87/12)^(-ROUND($B$88*12,0)))))),""))</x:f>
        <x:v>0</x:v>
      </x:c>
      <x:c r="L792" s="440" t="n">
        <x:f>IF(ISNUMBER(K792),IF(MAX(0,J792*(1+SUM($B$87)/12)-K792)&lt;MAX(0.0000001,$B$86*0.00000000001),0,MAX(0,J792*(1+SUM($B$87)/12)-K792)),"")</x:f>
        <x:v>0</x:v>
      </x:c>
      <x:c r="M792" s="440" t="n">
        <x:f>IF(AND(ISNUMBER(D792),ISNUMBER(K792)),D792+K792,"")</x:f>
        <x:v>0</x:v>
      </x:c>
      <x:c r="N792" s="440" t="n">
        <x:f>IF(AND(ISNUMBER(H792),ISNUMBER(L792)),H792+L792,"")</x:f>
        <x:v>0</x:v>
      </x:c>
    </x:row>
    <x:row r="793" ht="22" customHeight="1">
      <x:c r="A793" s="254" t="n">
        <x:f>393</x:f>
        <x:v>393</x:v>
      </x:c>
      <x:c r="B793" s="440" t="n">
        <x:f>IF(ISNUMBER(H792),H792,"")</x:f>
        <x:v>0</x:v>
      </x:c>
      <x:c r="C793" s="442" t="n">
        <x:f>IF(ISNUMBER(B793),IF(AND(393&gt;$B$173,$B$78="Refinance",ISNUMBER($B$80),$B$80&gt;=0,$B$80&lt;=1,ROUND($B$81*12,0)&gt;=1,$B$81&lt;=100,SUM($B$82)&gt;=0,SUM($B$82)&lt;=1,SUM($B$83)&gt;=0),$B$80,IF(AND($B$175&gt;0,393&gt;$B$175,ISNUMBER($B$75)),$B$75,$B$61)),"")</x:f>
        <x:v>0.0625</x:v>
      </x:c>
      <x:c r="D793" s="440" t="n">
        <x:f>IF(AND(ISNUMBER(B793),B793=0),0,IF(AND($B$171=1,I792=0,ISNUMBER(C793),ISNUMBER(IF(AND(393&lt;=$B$174,393&lt;=$B$173),B793*C793/12,IF(AND(393=$B$173+1,AND(393&gt;$B$173,$B$78="Refinance",ISNUMBER($B$80),$B$80&gt;=0,$B$80&lt;=1,ROUND($B$81*12,0)&gt;=1,$B$81&lt;=100,SUM($B$82)&gt;=0,SUM($B$82)&lt;=1,SUM($B$83)&gt;=0)),IF(B793=0,0,IF(C793=0,B793/ROUND($B$81*12,0),B793*(C793/12)/(1-(1+C793/12)^(-ROUND($B$81*12,0))))),IF(AND(NOT(AND(393&gt;$B$173,$B$78="Refinance",ISNUMBER($B$80),$B$80&gt;=0,$B$80&lt;=1,ROUND($B$81*12,0)&gt;=1,$B$81&lt;=100,SUM($B$82)&gt;=0,SUM($B$82)&lt;=1,SUM($B$83)&gt;=0)),OR(393=1,393=$B$174+1,AND($B$175&gt;0,393=$B$175+1))),IF(AND($B$170=1,$B$66&gt;0,OR($B$175=0,393&lt;=$B$175)),$B$66,IF($B$172-MAX(393-1,$B$174)&gt;0,IF(B793=0,0,IF(C793=0,B793/($B$172-MAX(393-1,$B$174)),B793*(C793/12)/(1-(1+C793/12)^(-($B$172-MAX(393-1,$B$174)))))),"")),D792))))),IF(IF(AND(393&lt;=$B$174,393&lt;=$B$173),B793*C793/12,IF(AND(393=$B$173+1,AND(393&gt;$B$173,$B$78="Refinance",ISNUMBER($B$80),$B$80&gt;=0,$B$80&lt;=1,ROUND($B$81*12,0)&gt;=1,$B$81&lt;=100,SUM($B$82)&gt;=0,SUM($B$82)&lt;=1,SUM($B$83)&gt;=0)),IF(B793=0,0,IF(C793=0,B793/ROUND($B$81*12,0),B793*(C793/12)/(1-(1+C793/12)^(-ROUND($B$81*12,0))))),IF(AND(NOT(AND(393&gt;$B$173,$B$78="Refinance",ISNUMBER($B$80),$B$80&gt;=0,$B$80&lt;=1,ROUND($B$81*12,0)&gt;=1,$B$81&lt;=100,SUM($B$82)&gt;=0,SUM($B$82)&lt;=1,SUM($B$83)&gt;=0)),OR(393=1,393=$B$174+1,AND($B$175&gt;0,393=$B$175+1))),IF(AND($B$170=1,$B$66&gt;0,OR($B$175=0,393&lt;=$B$175)),$B$66,IF($B$172-MAX(393-1,$B$174)&gt;0,IF(B793=0,0,IF(C793=0,B793/($B$172-MAX(393-1,$B$174)),B793*(C793/12)/(1-(1+C793/12)^(-($B$172-MAX(393-1,$B$174)))))),"")),D792)))+0.0000001&gt;=B793*C793/12,MIN(B793*(1+C793/12),IF(AND(393&lt;=$B$174,393&lt;=$B$173),B793*C793/12,IF(AND(393=$B$173+1,AND(393&gt;$B$173,$B$78="Refinance",ISNUMBER($B$80),$B$80&gt;=0,$B$80&lt;=1,ROUND($B$81*12,0)&gt;=1,$B$81&lt;=100,SUM($B$82)&gt;=0,SUM($B$82)&lt;=1,SUM($B$83)&gt;=0)),IF(B793=0,0,IF(C793=0,B793/ROUND($B$81*12,0),B793*(C793/12)/(1-(1+C793/12)^(-ROUND($B$81*12,0))))),IF(AND(NOT(AND(393&gt;$B$173,$B$78="Refinance",ISNUMBER($B$80),$B$80&gt;=0,$B$80&lt;=1,ROUND($B$81*12,0)&gt;=1,$B$81&lt;=100,SUM($B$82)&gt;=0,SUM($B$82)&lt;=1,SUM($B$83)&gt;=0)),OR(393=1,393=$B$174+1,AND($B$175&gt;0,393=$B$175+1))),IF(AND($B$170=1,$B$66&gt;0,OR($B$175=0,393&lt;=$B$175)),$B$66,IF($B$172-MAX(393-1,$B$174)&gt;0,IF(B793=0,0,IF(C793=0,B793/($B$172-MAX(393-1,$B$174)),B793*(C793/12)/(1-(1+C793/12)^(-($B$172-MAX(393-1,$B$174)))))),"")),D792)))),""),""))</x:f>
        <x:v>0</x:v>
      </x:c>
      <x:c r="E793" s="440" t="n">
        <x:f>IF(AND(393=$B$173,ISNUMBER(D793)),IF(MAX(0,B793*(1+C793/12)-D793)&lt;MAX(0.0000001,$E$17*0.00000000001),0,MAX(0,B793*(1+C793/12)-D793)),0)</x:f>
        <x:v>0</x:v>
      </x:c>
      <x:c r="F793" s="440" t="n">
        <x:f>IF($B$78="Cash payoff",E793,0)</x:f>
        <x:v>0</x:v>
      </x:c>
      <x:c r="G793" s="440" t="n">
        <x:f>IF(AND(E793&gt;0,AND($B$78="Refinance",ISNUMBER($B$80),$B$80&gt;=0,$B$80&lt;=1,ROUND($B$81*12,0)&gt;=1,$B$81&lt;=100,SUM($B$82)&gt;=0,SUM($B$82)&lt;=1,SUM($B$83)&gt;=0)),E793*SUM($B$82)+SUM($B$83),0)</x:f>
        <x:v>0</x:v>
      </x:c>
      <x:c r="H793" s="440" t="n">
        <x:f>IF(ISNUMBER(D793),IF(MAX(0,B793*(1+C793/12)-D793-F793)&lt;MAX(0.0000001,$E$17*0.00000000001),0,MAX(0,B793*(1+C793/12)-D793-F793)),IF(AND($B$171=1,I792=1),B793,""))</x:f>
        <x:v>0</x:v>
      </x:c>
      <x:c r="I793" s="444" t="n">
        <x:f>IF(OR(I792=1,AND(E793&gt;0,$B$78&lt;&gt;"Cash payoff",NOT(AND($B$78="Refinance",ISNUMBER($B$80),$B$80&gt;=0,$B$80&lt;=1,ROUND($B$81*12,0)&gt;=1,$B$81&lt;=100,SUM($B$82)&gt;=0,SUM($B$82)&lt;=1,SUM($B$83)&gt;=0))),AND(ISNUMBER(B793),B793&gt;0,$B$171=1,NOT(ISNUMBER(D793)))),1,0)</x:f>
        <x:v>0</x:v>
      </x:c>
      <x:c r="J793" s="440" t="n">
        <x:f>IF(ISNUMBER(L792),L792,"")</x:f>
        <x:v>0</x:v>
      </x:c>
      <x:c r="K793" s="440" t="n">
        <x:f>IF(AND(ISNUMBER(J793),J793=0),0,IF(AND($B$176=1,ISNUMBER(J793)),MIN(J793*(1+$B$87/12),IF($B$86=0,0,IF($B$87=0,$B$86/ROUND($B$88*12,0),$B$86*($B$87/12)/(1-(1+$B$87/12)^(-ROUND($B$88*12,0)))))),""))</x:f>
        <x:v>0</x:v>
      </x:c>
      <x:c r="L793" s="440" t="n">
        <x:f>IF(ISNUMBER(K793),IF(MAX(0,J793*(1+SUM($B$87)/12)-K793)&lt;MAX(0.0000001,$B$86*0.00000000001),0,MAX(0,J793*(1+SUM($B$87)/12)-K793)),"")</x:f>
        <x:v>0</x:v>
      </x:c>
      <x:c r="M793" s="440" t="n">
        <x:f>IF(AND(ISNUMBER(D793),ISNUMBER(K793)),D793+K793,"")</x:f>
        <x:v>0</x:v>
      </x:c>
      <x:c r="N793" s="440" t="n">
        <x:f>IF(AND(ISNUMBER(H793),ISNUMBER(L793)),H793+L793,"")</x:f>
        <x:v>0</x:v>
      </x:c>
    </x:row>
    <x:row r="794" ht="22" customHeight="1">
      <x:c r="A794" s="254" t="n">
        <x:f>394</x:f>
        <x:v>394</x:v>
      </x:c>
      <x:c r="B794" s="440" t="n">
        <x:f>IF(ISNUMBER(H793),H793,"")</x:f>
        <x:v>0</x:v>
      </x:c>
      <x:c r="C794" s="442" t="n">
        <x:f>IF(ISNUMBER(B794),IF(AND(394&gt;$B$173,$B$78="Refinance",ISNUMBER($B$80),$B$80&gt;=0,$B$80&lt;=1,ROUND($B$81*12,0)&gt;=1,$B$81&lt;=100,SUM($B$82)&gt;=0,SUM($B$82)&lt;=1,SUM($B$83)&gt;=0),$B$80,IF(AND($B$175&gt;0,394&gt;$B$175,ISNUMBER($B$75)),$B$75,$B$61)),"")</x:f>
        <x:v>0.0625</x:v>
      </x:c>
      <x:c r="D794" s="440" t="n">
        <x:f>IF(AND(ISNUMBER(B794),B794=0),0,IF(AND($B$171=1,I793=0,ISNUMBER(C794),ISNUMBER(IF(AND(394&lt;=$B$174,394&lt;=$B$173),B794*C794/12,IF(AND(394=$B$173+1,AND(394&gt;$B$173,$B$78="Refinance",ISNUMBER($B$80),$B$80&gt;=0,$B$80&lt;=1,ROUND($B$81*12,0)&gt;=1,$B$81&lt;=100,SUM($B$82)&gt;=0,SUM($B$82)&lt;=1,SUM($B$83)&gt;=0)),IF(B794=0,0,IF(C794=0,B794/ROUND($B$81*12,0),B794*(C794/12)/(1-(1+C794/12)^(-ROUND($B$81*12,0))))),IF(AND(NOT(AND(394&gt;$B$173,$B$78="Refinance",ISNUMBER($B$80),$B$80&gt;=0,$B$80&lt;=1,ROUND($B$81*12,0)&gt;=1,$B$81&lt;=100,SUM($B$82)&gt;=0,SUM($B$82)&lt;=1,SUM($B$83)&gt;=0)),OR(394=1,394=$B$174+1,AND($B$175&gt;0,394=$B$175+1))),IF(AND($B$170=1,$B$66&gt;0,OR($B$175=0,394&lt;=$B$175)),$B$66,IF($B$172-MAX(394-1,$B$174)&gt;0,IF(B794=0,0,IF(C794=0,B794/($B$172-MAX(394-1,$B$174)),B794*(C794/12)/(1-(1+C794/12)^(-($B$172-MAX(394-1,$B$174)))))),"")),D793))))),IF(IF(AND(394&lt;=$B$174,394&lt;=$B$173),B794*C794/12,IF(AND(394=$B$173+1,AND(394&gt;$B$173,$B$78="Refinance",ISNUMBER($B$80),$B$80&gt;=0,$B$80&lt;=1,ROUND($B$81*12,0)&gt;=1,$B$81&lt;=100,SUM($B$82)&gt;=0,SUM($B$82)&lt;=1,SUM($B$83)&gt;=0)),IF(B794=0,0,IF(C794=0,B794/ROUND($B$81*12,0),B794*(C794/12)/(1-(1+C794/12)^(-ROUND($B$81*12,0))))),IF(AND(NOT(AND(394&gt;$B$173,$B$78="Refinance",ISNUMBER($B$80),$B$80&gt;=0,$B$80&lt;=1,ROUND($B$81*12,0)&gt;=1,$B$81&lt;=100,SUM($B$82)&gt;=0,SUM($B$82)&lt;=1,SUM($B$83)&gt;=0)),OR(394=1,394=$B$174+1,AND($B$175&gt;0,394=$B$175+1))),IF(AND($B$170=1,$B$66&gt;0,OR($B$175=0,394&lt;=$B$175)),$B$66,IF($B$172-MAX(394-1,$B$174)&gt;0,IF(B794=0,0,IF(C794=0,B794/($B$172-MAX(394-1,$B$174)),B794*(C794/12)/(1-(1+C794/12)^(-($B$172-MAX(394-1,$B$174)))))),"")),D793)))+0.0000001&gt;=B794*C794/12,MIN(B794*(1+C794/12),IF(AND(394&lt;=$B$174,394&lt;=$B$173),B794*C794/12,IF(AND(394=$B$173+1,AND(394&gt;$B$173,$B$78="Refinance",ISNUMBER($B$80),$B$80&gt;=0,$B$80&lt;=1,ROUND($B$81*12,0)&gt;=1,$B$81&lt;=100,SUM($B$82)&gt;=0,SUM($B$82)&lt;=1,SUM($B$83)&gt;=0)),IF(B794=0,0,IF(C794=0,B794/ROUND($B$81*12,0),B794*(C794/12)/(1-(1+C794/12)^(-ROUND($B$81*12,0))))),IF(AND(NOT(AND(394&gt;$B$173,$B$78="Refinance",ISNUMBER($B$80),$B$80&gt;=0,$B$80&lt;=1,ROUND($B$81*12,0)&gt;=1,$B$81&lt;=100,SUM($B$82)&gt;=0,SUM($B$82)&lt;=1,SUM($B$83)&gt;=0)),OR(394=1,394=$B$174+1,AND($B$175&gt;0,394=$B$175+1))),IF(AND($B$170=1,$B$66&gt;0,OR($B$175=0,394&lt;=$B$175)),$B$66,IF($B$172-MAX(394-1,$B$174)&gt;0,IF(B794=0,0,IF(C794=0,B794/($B$172-MAX(394-1,$B$174)),B794*(C794/12)/(1-(1+C794/12)^(-($B$172-MAX(394-1,$B$174)))))),"")),D793)))),""),""))</x:f>
        <x:v>0</x:v>
      </x:c>
      <x:c r="E794" s="440" t="n">
        <x:f>IF(AND(394=$B$173,ISNUMBER(D794)),IF(MAX(0,B794*(1+C794/12)-D794)&lt;MAX(0.0000001,$E$17*0.00000000001),0,MAX(0,B794*(1+C794/12)-D794)),0)</x:f>
        <x:v>0</x:v>
      </x:c>
      <x:c r="F794" s="440" t="n">
        <x:f>IF($B$78="Cash payoff",E794,0)</x:f>
        <x:v>0</x:v>
      </x:c>
      <x:c r="G794" s="440" t="n">
        <x:f>IF(AND(E794&gt;0,AND($B$78="Refinance",ISNUMBER($B$80),$B$80&gt;=0,$B$80&lt;=1,ROUND($B$81*12,0)&gt;=1,$B$81&lt;=100,SUM($B$82)&gt;=0,SUM($B$82)&lt;=1,SUM($B$83)&gt;=0)),E794*SUM($B$82)+SUM($B$83),0)</x:f>
        <x:v>0</x:v>
      </x:c>
      <x:c r="H794" s="440" t="n">
        <x:f>IF(ISNUMBER(D794),IF(MAX(0,B794*(1+C794/12)-D794-F794)&lt;MAX(0.0000001,$E$17*0.00000000001),0,MAX(0,B794*(1+C794/12)-D794-F794)),IF(AND($B$171=1,I793=1),B794,""))</x:f>
        <x:v>0</x:v>
      </x:c>
      <x:c r="I794" s="444" t="n">
        <x:f>IF(OR(I793=1,AND(E794&gt;0,$B$78&lt;&gt;"Cash payoff",NOT(AND($B$78="Refinance",ISNUMBER($B$80),$B$80&gt;=0,$B$80&lt;=1,ROUND($B$81*12,0)&gt;=1,$B$81&lt;=100,SUM($B$82)&gt;=0,SUM($B$82)&lt;=1,SUM($B$83)&gt;=0))),AND(ISNUMBER(B794),B794&gt;0,$B$171=1,NOT(ISNUMBER(D794)))),1,0)</x:f>
        <x:v>0</x:v>
      </x:c>
      <x:c r="J794" s="440" t="n">
        <x:f>IF(ISNUMBER(L793),L793,"")</x:f>
        <x:v>0</x:v>
      </x:c>
      <x:c r="K794" s="440" t="n">
        <x:f>IF(AND(ISNUMBER(J794),J794=0),0,IF(AND($B$176=1,ISNUMBER(J794)),MIN(J794*(1+$B$87/12),IF($B$86=0,0,IF($B$87=0,$B$86/ROUND($B$88*12,0),$B$86*($B$87/12)/(1-(1+$B$87/12)^(-ROUND($B$88*12,0)))))),""))</x:f>
        <x:v>0</x:v>
      </x:c>
      <x:c r="L794" s="440" t="n">
        <x:f>IF(ISNUMBER(K794),IF(MAX(0,J794*(1+SUM($B$87)/12)-K794)&lt;MAX(0.0000001,$B$86*0.00000000001),0,MAX(0,J794*(1+SUM($B$87)/12)-K794)),"")</x:f>
        <x:v>0</x:v>
      </x:c>
      <x:c r="M794" s="440" t="n">
        <x:f>IF(AND(ISNUMBER(D794),ISNUMBER(K794)),D794+K794,"")</x:f>
        <x:v>0</x:v>
      </x:c>
      <x:c r="N794" s="440" t="n">
        <x:f>IF(AND(ISNUMBER(H794),ISNUMBER(L794)),H794+L794,"")</x:f>
        <x:v>0</x:v>
      </x:c>
    </x:row>
    <x:row r="795" ht="22" customHeight="1">
      <x:c r="A795" s="254" t="n">
        <x:f>395</x:f>
        <x:v>395</x:v>
      </x:c>
      <x:c r="B795" s="440" t="n">
        <x:f>IF(ISNUMBER(H794),H794,"")</x:f>
        <x:v>0</x:v>
      </x:c>
      <x:c r="C795" s="442" t="n">
        <x:f>IF(ISNUMBER(B795),IF(AND(395&gt;$B$173,$B$78="Refinance",ISNUMBER($B$80),$B$80&gt;=0,$B$80&lt;=1,ROUND($B$81*12,0)&gt;=1,$B$81&lt;=100,SUM($B$82)&gt;=0,SUM($B$82)&lt;=1,SUM($B$83)&gt;=0),$B$80,IF(AND($B$175&gt;0,395&gt;$B$175,ISNUMBER($B$75)),$B$75,$B$61)),"")</x:f>
        <x:v>0.0625</x:v>
      </x:c>
      <x:c r="D795" s="440" t="n">
        <x:f>IF(AND(ISNUMBER(B795),B795=0),0,IF(AND($B$171=1,I794=0,ISNUMBER(C795),ISNUMBER(IF(AND(395&lt;=$B$174,395&lt;=$B$173),B795*C795/12,IF(AND(395=$B$173+1,AND(395&gt;$B$173,$B$78="Refinance",ISNUMBER($B$80),$B$80&gt;=0,$B$80&lt;=1,ROUND($B$81*12,0)&gt;=1,$B$81&lt;=100,SUM($B$82)&gt;=0,SUM($B$82)&lt;=1,SUM($B$83)&gt;=0)),IF(B795=0,0,IF(C795=0,B795/ROUND($B$81*12,0),B795*(C795/12)/(1-(1+C795/12)^(-ROUND($B$81*12,0))))),IF(AND(NOT(AND(395&gt;$B$173,$B$78="Refinance",ISNUMBER($B$80),$B$80&gt;=0,$B$80&lt;=1,ROUND($B$81*12,0)&gt;=1,$B$81&lt;=100,SUM($B$82)&gt;=0,SUM($B$82)&lt;=1,SUM($B$83)&gt;=0)),OR(395=1,395=$B$174+1,AND($B$175&gt;0,395=$B$175+1))),IF(AND($B$170=1,$B$66&gt;0,OR($B$175=0,395&lt;=$B$175)),$B$66,IF($B$172-MAX(395-1,$B$174)&gt;0,IF(B795=0,0,IF(C795=0,B795/($B$172-MAX(395-1,$B$174)),B795*(C795/12)/(1-(1+C795/12)^(-($B$172-MAX(395-1,$B$174)))))),"")),D794))))),IF(IF(AND(395&lt;=$B$174,395&lt;=$B$173),B795*C795/12,IF(AND(395=$B$173+1,AND(395&gt;$B$173,$B$78="Refinance",ISNUMBER($B$80),$B$80&gt;=0,$B$80&lt;=1,ROUND($B$81*12,0)&gt;=1,$B$81&lt;=100,SUM($B$82)&gt;=0,SUM($B$82)&lt;=1,SUM($B$83)&gt;=0)),IF(B795=0,0,IF(C795=0,B795/ROUND($B$81*12,0),B795*(C795/12)/(1-(1+C795/12)^(-ROUND($B$81*12,0))))),IF(AND(NOT(AND(395&gt;$B$173,$B$78="Refinance",ISNUMBER($B$80),$B$80&gt;=0,$B$80&lt;=1,ROUND($B$81*12,0)&gt;=1,$B$81&lt;=100,SUM($B$82)&gt;=0,SUM($B$82)&lt;=1,SUM($B$83)&gt;=0)),OR(395=1,395=$B$174+1,AND($B$175&gt;0,395=$B$175+1))),IF(AND($B$170=1,$B$66&gt;0,OR($B$175=0,395&lt;=$B$175)),$B$66,IF($B$172-MAX(395-1,$B$174)&gt;0,IF(B795=0,0,IF(C795=0,B795/($B$172-MAX(395-1,$B$174)),B795*(C795/12)/(1-(1+C795/12)^(-($B$172-MAX(395-1,$B$174)))))),"")),D794)))+0.0000001&gt;=B795*C795/12,MIN(B795*(1+C795/12),IF(AND(395&lt;=$B$174,395&lt;=$B$173),B795*C795/12,IF(AND(395=$B$173+1,AND(395&gt;$B$173,$B$78="Refinance",ISNUMBER($B$80),$B$80&gt;=0,$B$80&lt;=1,ROUND($B$81*12,0)&gt;=1,$B$81&lt;=100,SUM($B$82)&gt;=0,SUM($B$82)&lt;=1,SUM($B$83)&gt;=0)),IF(B795=0,0,IF(C795=0,B795/ROUND($B$81*12,0),B795*(C795/12)/(1-(1+C795/12)^(-ROUND($B$81*12,0))))),IF(AND(NOT(AND(395&gt;$B$173,$B$78="Refinance",ISNUMBER($B$80),$B$80&gt;=0,$B$80&lt;=1,ROUND($B$81*12,0)&gt;=1,$B$81&lt;=100,SUM($B$82)&gt;=0,SUM($B$82)&lt;=1,SUM($B$83)&gt;=0)),OR(395=1,395=$B$174+1,AND($B$175&gt;0,395=$B$175+1))),IF(AND($B$170=1,$B$66&gt;0,OR($B$175=0,395&lt;=$B$175)),$B$66,IF($B$172-MAX(395-1,$B$174)&gt;0,IF(B795=0,0,IF(C795=0,B795/($B$172-MAX(395-1,$B$174)),B795*(C795/12)/(1-(1+C795/12)^(-($B$172-MAX(395-1,$B$174)))))),"")),D794)))),""),""))</x:f>
        <x:v>0</x:v>
      </x:c>
      <x:c r="E795" s="440" t="n">
        <x:f>IF(AND(395=$B$173,ISNUMBER(D795)),IF(MAX(0,B795*(1+C795/12)-D795)&lt;MAX(0.0000001,$E$17*0.00000000001),0,MAX(0,B795*(1+C795/12)-D795)),0)</x:f>
        <x:v>0</x:v>
      </x:c>
      <x:c r="F795" s="440" t="n">
        <x:f>IF($B$78="Cash payoff",E795,0)</x:f>
        <x:v>0</x:v>
      </x:c>
      <x:c r="G795" s="440" t="n">
        <x:f>IF(AND(E795&gt;0,AND($B$78="Refinance",ISNUMBER($B$80),$B$80&gt;=0,$B$80&lt;=1,ROUND($B$81*12,0)&gt;=1,$B$81&lt;=100,SUM($B$82)&gt;=0,SUM($B$82)&lt;=1,SUM($B$83)&gt;=0)),E795*SUM($B$82)+SUM($B$83),0)</x:f>
        <x:v>0</x:v>
      </x:c>
      <x:c r="H795" s="440" t="n">
        <x:f>IF(ISNUMBER(D795),IF(MAX(0,B795*(1+C795/12)-D795-F795)&lt;MAX(0.0000001,$E$17*0.00000000001),0,MAX(0,B795*(1+C795/12)-D795-F795)),IF(AND($B$171=1,I794=1),B795,""))</x:f>
        <x:v>0</x:v>
      </x:c>
      <x:c r="I795" s="444" t="n">
        <x:f>IF(OR(I794=1,AND(E795&gt;0,$B$78&lt;&gt;"Cash payoff",NOT(AND($B$78="Refinance",ISNUMBER($B$80),$B$80&gt;=0,$B$80&lt;=1,ROUND($B$81*12,0)&gt;=1,$B$81&lt;=100,SUM($B$82)&gt;=0,SUM($B$82)&lt;=1,SUM($B$83)&gt;=0))),AND(ISNUMBER(B795),B795&gt;0,$B$171=1,NOT(ISNUMBER(D795)))),1,0)</x:f>
        <x:v>0</x:v>
      </x:c>
      <x:c r="J795" s="440" t="n">
        <x:f>IF(ISNUMBER(L794),L794,"")</x:f>
        <x:v>0</x:v>
      </x:c>
      <x:c r="K795" s="440" t="n">
        <x:f>IF(AND(ISNUMBER(J795),J795=0),0,IF(AND($B$176=1,ISNUMBER(J795)),MIN(J795*(1+$B$87/12),IF($B$86=0,0,IF($B$87=0,$B$86/ROUND($B$88*12,0),$B$86*($B$87/12)/(1-(1+$B$87/12)^(-ROUND($B$88*12,0)))))),""))</x:f>
        <x:v>0</x:v>
      </x:c>
      <x:c r="L795" s="440" t="n">
        <x:f>IF(ISNUMBER(K795),IF(MAX(0,J795*(1+SUM($B$87)/12)-K795)&lt;MAX(0.0000001,$B$86*0.00000000001),0,MAX(0,J795*(1+SUM($B$87)/12)-K795)),"")</x:f>
        <x:v>0</x:v>
      </x:c>
      <x:c r="M795" s="440" t="n">
        <x:f>IF(AND(ISNUMBER(D795),ISNUMBER(K795)),D795+K795,"")</x:f>
        <x:v>0</x:v>
      </x:c>
      <x:c r="N795" s="440" t="n">
        <x:f>IF(AND(ISNUMBER(H795),ISNUMBER(L795)),H795+L795,"")</x:f>
        <x:v>0</x:v>
      </x:c>
    </x:row>
    <x:row r="796" ht="22" customHeight="1">
      <x:c r="A796" s="254" t="n">
        <x:f>396</x:f>
        <x:v>396</x:v>
      </x:c>
      <x:c r="B796" s="440" t="n">
        <x:f>IF(ISNUMBER(H795),H795,"")</x:f>
        <x:v>0</x:v>
      </x:c>
      <x:c r="C796" s="442" t="n">
        <x:f>IF(ISNUMBER(B796),IF(AND(396&gt;$B$173,$B$78="Refinance",ISNUMBER($B$80),$B$80&gt;=0,$B$80&lt;=1,ROUND($B$81*12,0)&gt;=1,$B$81&lt;=100,SUM($B$82)&gt;=0,SUM($B$82)&lt;=1,SUM($B$83)&gt;=0),$B$80,IF(AND($B$175&gt;0,396&gt;$B$175,ISNUMBER($B$75)),$B$75,$B$61)),"")</x:f>
        <x:v>0.0625</x:v>
      </x:c>
      <x:c r="D796" s="440" t="n">
        <x:f>IF(AND(ISNUMBER(B796),B796=0),0,IF(AND($B$171=1,I795=0,ISNUMBER(C796),ISNUMBER(IF(AND(396&lt;=$B$174,396&lt;=$B$173),B796*C796/12,IF(AND(396=$B$173+1,AND(396&gt;$B$173,$B$78="Refinance",ISNUMBER($B$80),$B$80&gt;=0,$B$80&lt;=1,ROUND($B$81*12,0)&gt;=1,$B$81&lt;=100,SUM($B$82)&gt;=0,SUM($B$82)&lt;=1,SUM($B$83)&gt;=0)),IF(B796=0,0,IF(C796=0,B796/ROUND($B$81*12,0),B796*(C796/12)/(1-(1+C796/12)^(-ROUND($B$81*12,0))))),IF(AND(NOT(AND(396&gt;$B$173,$B$78="Refinance",ISNUMBER($B$80),$B$80&gt;=0,$B$80&lt;=1,ROUND($B$81*12,0)&gt;=1,$B$81&lt;=100,SUM($B$82)&gt;=0,SUM($B$82)&lt;=1,SUM($B$83)&gt;=0)),OR(396=1,396=$B$174+1,AND($B$175&gt;0,396=$B$175+1))),IF(AND($B$170=1,$B$66&gt;0,OR($B$175=0,396&lt;=$B$175)),$B$66,IF($B$172-MAX(396-1,$B$174)&gt;0,IF(B796=0,0,IF(C796=0,B796/($B$172-MAX(396-1,$B$174)),B796*(C796/12)/(1-(1+C796/12)^(-($B$172-MAX(396-1,$B$174)))))),"")),D795))))),IF(IF(AND(396&lt;=$B$174,396&lt;=$B$173),B796*C796/12,IF(AND(396=$B$173+1,AND(396&gt;$B$173,$B$78="Refinance",ISNUMBER($B$80),$B$80&gt;=0,$B$80&lt;=1,ROUND($B$81*12,0)&gt;=1,$B$81&lt;=100,SUM($B$82)&gt;=0,SUM($B$82)&lt;=1,SUM($B$83)&gt;=0)),IF(B796=0,0,IF(C796=0,B796/ROUND($B$81*12,0),B796*(C796/12)/(1-(1+C796/12)^(-ROUND($B$81*12,0))))),IF(AND(NOT(AND(396&gt;$B$173,$B$78="Refinance",ISNUMBER($B$80),$B$80&gt;=0,$B$80&lt;=1,ROUND($B$81*12,0)&gt;=1,$B$81&lt;=100,SUM($B$82)&gt;=0,SUM($B$82)&lt;=1,SUM($B$83)&gt;=0)),OR(396=1,396=$B$174+1,AND($B$175&gt;0,396=$B$175+1))),IF(AND($B$170=1,$B$66&gt;0,OR($B$175=0,396&lt;=$B$175)),$B$66,IF($B$172-MAX(396-1,$B$174)&gt;0,IF(B796=0,0,IF(C796=0,B796/($B$172-MAX(396-1,$B$174)),B796*(C796/12)/(1-(1+C796/12)^(-($B$172-MAX(396-1,$B$174)))))),"")),D795)))+0.0000001&gt;=B796*C796/12,MIN(B796*(1+C796/12),IF(AND(396&lt;=$B$174,396&lt;=$B$173),B796*C796/12,IF(AND(396=$B$173+1,AND(396&gt;$B$173,$B$78="Refinance",ISNUMBER($B$80),$B$80&gt;=0,$B$80&lt;=1,ROUND($B$81*12,0)&gt;=1,$B$81&lt;=100,SUM($B$82)&gt;=0,SUM($B$82)&lt;=1,SUM($B$83)&gt;=0)),IF(B796=0,0,IF(C796=0,B796/ROUND($B$81*12,0),B796*(C796/12)/(1-(1+C796/12)^(-ROUND($B$81*12,0))))),IF(AND(NOT(AND(396&gt;$B$173,$B$78="Refinance",ISNUMBER($B$80),$B$80&gt;=0,$B$80&lt;=1,ROUND($B$81*12,0)&gt;=1,$B$81&lt;=100,SUM($B$82)&gt;=0,SUM($B$82)&lt;=1,SUM($B$83)&gt;=0)),OR(396=1,396=$B$174+1,AND($B$175&gt;0,396=$B$175+1))),IF(AND($B$170=1,$B$66&gt;0,OR($B$175=0,396&lt;=$B$175)),$B$66,IF($B$172-MAX(396-1,$B$174)&gt;0,IF(B796=0,0,IF(C796=0,B796/($B$172-MAX(396-1,$B$174)),B796*(C796/12)/(1-(1+C796/12)^(-($B$172-MAX(396-1,$B$174)))))),"")),D795)))),""),""))</x:f>
        <x:v>0</x:v>
      </x:c>
      <x:c r="E796" s="440" t="n">
        <x:f>IF(AND(396=$B$173,ISNUMBER(D796)),IF(MAX(0,B796*(1+C796/12)-D796)&lt;MAX(0.0000001,$E$17*0.00000000001),0,MAX(0,B796*(1+C796/12)-D796)),0)</x:f>
        <x:v>0</x:v>
      </x:c>
      <x:c r="F796" s="440" t="n">
        <x:f>IF($B$78="Cash payoff",E796,0)</x:f>
        <x:v>0</x:v>
      </x:c>
      <x:c r="G796" s="440" t="n">
        <x:f>IF(AND(E796&gt;0,AND($B$78="Refinance",ISNUMBER($B$80),$B$80&gt;=0,$B$80&lt;=1,ROUND($B$81*12,0)&gt;=1,$B$81&lt;=100,SUM($B$82)&gt;=0,SUM($B$82)&lt;=1,SUM($B$83)&gt;=0)),E796*SUM($B$82)+SUM($B$83),0)</x:f>
        <x:v>0</x:v>
      </x:c>
      <x:c r="H796" s="440" t="n">
        <x:f>IF(ISNUMBER(D796),IF(MAX(0,B796*(1+C796/12)-D796-F796)&lt;MAX(0.0000001,$E$17*0.00000000001),0,MAX(0,B796*(1+C796/12)-D796-F796)),IF(AND($B$171=1,I795=1),B796,""))</x:f>
        <x:v>0</x:v>
      </x:c>
      <x:c r="I796" s="444" t="n">
        <x:f>IF(OR(I795=1,AND(E796&gt;0,$B$78&lt;&gt;"Cash payoff",NOT(AND($B$78="Refinance",ISNUMBER($B$80),$B$80&gt;=0,$B$80&lt;=1,ROUND($B$81*12,0)&gt;=1,$B$81&lt;=100,SUM($B$82)&gt;=0,SUM($B$82)&lt;=1,SUM($B$83)&gt;=0))),AND(ISNUMBER(B796),B796&gt;0,$B$171=1,NOT(ISNUMBER(D796)))),1,0)</x:f>
        <x:v>0</x:v>
      </x:c>
      <x:c r="J796" s="440" t="n">
        <x:f>IF(ISNUMBER(L795),L795,"")</x:f>
        <x:v>0</x:v>
      </x:c>
      <x:c r="K796" s="440" t="n">
        <x:f>IF(AND(ISNUMBER(J796),J796=0),0,IF(AND($B$176=1,ISNUMBER(J796)),MIN(J796*(1+$B$87/12),IF($B$86=0,0,IF($B$87=0,$B$86/ROUND($B$88*12,0),$B$86*($B$87/12)/(1-(1+$B$87/12)^(-ROUND($B$88*12,0)))))),""))</x:f>
        <x:v>0</x:v>
      </x:c>
      <x:c r="L796" s="440" t="n">
        <x:f>IF(ISNUMBER(K796),IF(MAX(0,J796*(1+SUM($B$87)/12)-K796)&lt;MAX(0.0000001,$B$86*0.00000000001),0,MAX(0,J796*(1+SUM($B$87)/12)-K796)),"")</x:f>
        <x:v>0</x:v>
      </x:c>
      <x:c r="M796" s="440" t="n">
        <x:f>IF(AND(ISNUMBER(D796),ISNUMBER(K796)),D796+K796,"")</x:f>
        <x:v>0</x:v>
      </x:c>
      <x:c r="N796" s="440" t="n">
        <x:f>IF(AND(ISNUMBER(H796),ISNUMBER(L796)),H796+L796,"")</x:f>
        <x:v>0</x:v>
      </x:c>
    </x:row>
    <x:row r="797" ht="22" customHeight="1">
      <x:c r="A797" s="254" t="n">
        <x:f>397</x:f>
        <x:v>397</x:v>
      </x:c>
      <x:c r="B797" s="440" t="n">
        <x:f>IF(ISNUMBER(H796),H796,"")</x:f>
        <x:v>0</x:v>
      </x:c>
      <x:c r="C797" s="442" t="n">
        <x:f>IF(ISNUMBER(B797),IF(AND(397&gt;$B$173,$B$78="Refinance",ISNUMBER($B$80),$B$80&gt;=0,$B$80&lt;=1,ROUND($B$81*12,0)&gt;=1,$B$81&lt;=100,SUM($B$82)&gt;=0,SUM($B$82)&lt;=1,SUM($B$83)&gt;=0),$B$80,IF(AND($B$175&gt;0,397&gt;$B$175,ISNUMBER($B$75)),$B$75,$B$61)),"")</x:f>
        <x:v>0.0625</x:v>
      </x:c>
      <x:c r="D797" s="440" t="n">
        <x:f>IF(AND(ISNUMBER(B797),B797=0),0,IF(AND($B$171=1,I796=0,ISNUMBER(C797),ISNUMBER(IF(AND(397&lt;=$B$174,397&lt;=$B$173),B797*C797/12,IF(AND(397=$B$173+1,AND(397&gt;$B$173,$B$78="Refinance",ISNUMBER($B$80),$B$80&gt;=0,$B$80&lt;=1,ROUND($B$81*12,0)&gt;=1,$B$81&lt;=100,SUM($B$82)&gt;=0,SUM($B$82)&lt;=1,SUM($B$83)&gt;=0)),IF(B797=0,0,IF(C797=0,B797/ROUND($B$81*12,0),B797*(C797/12)/(1-(1+C797/12)^(-ROUND($B$81*12,0))))),IF(AND(NOT(AND(397&gt;$B$173,$B$78="Refinance",ISNUMBER($B$80),$B$80&gt;=0,$B$80&lt;=1,ROUND($B$81*12,0)&gt;=1,$B$81&lt;=100,SUM($B$82)&gt;=0,SUM($B$82)&lt;=1,SUM($B$83)&gt;=0)),OR(397=1,397=$B$174+1,AND($B$175&gt;0,397=$B$175+1))),IF(AND($B$170=1,$B$66&gt;0,OR($B$175=0,397&lt;=$B$175)),$B$66,IF($B$172-MAX(397-1,$B$174)&gt;0,IF(B797=0,0,IF(C797=0,B797/($B$172-MAX(397-1,$B$174)),B797*(C797/12)/(1-(1+C797/12)^(-($B$172-MAX(397-1,$B$174)))))),"")),D796))))),IF(IF(AND(397&lt;=$B$174,397&lt;=$B$173),B797*C797/12,IF(AND(397=$B$173+1,AND(397&gt;$B$173,$B$78="Refinance",ISNUMBER($B$80),$B$80&gt;=0,$B$80&lt;=1,ROUND($B$81*12,0)&gt;=1,$B$81&lt;=100,SUM($B$82)&gt;=0,SUM($B$82)&lt;=1,SUM($B$83)&gt;=0)),IF(B797=0,0,IF(C797=0,B797/ROUND($B$81*12,0),B797*(C797/12)/(1-(1+C797/12)^(-ROUND($B$81*12,0))))),IF(AND(NOT(AND(397&gt;$B$173,$B$78="Refinance",ISNUMBER($B$80),$B$80&gt;=0,$B$80&lt;=1,ROUND($B$81*12,0)&gt;=1,$B$81&lt;=100,SUM($B$82)&gt;=0,SUM($B$82)&lt;=1,SUM($B$83)&gt;=0)),OR(397=1,397=$B$174+1,AND($B$175&gt;0,397=$B$175+1))),IF(AND($B$170=1,$B$66&gt;0,OR($B$175=0,397&lt;=$B$175)),$B$66,IF($B$172-MAX(397-1,$B$174)&gt;0,IF(B797=0,0,IF(C797=0,B797/($B$172-MAX(397-1,$B$174)),B797*(C797/12)/(1-(1+C797/12)^(-($B$172-MAX(397-1,$B$174)))))),"")),D796)))+0.0000001&gt;=B797*C797/12,MIN(B797*(1+C797/12),IF(AND(397&lt;=$B$174,397&lt;=$B$173),B797*C797/12,IF(AND(397=$B$173+1,AND(397&gt;$B$173,$B$78="Refinance",ISNUMBER($B$80),$B$80&gt;=0,$B$80&lt;=1,ROUND($B$81*12,0)&gt;=1,$B$81&lt;=100,SUM($B$82)&gt;=0,SUM($B$82)&lt;=1,SUM($B$83)&gt;=0)),IF(B797=0,0,IF(C797=0,B797/ROUND($B$81*12,0),B797*(C797/12)/(1-(1+C797/12)^(-ROUND($B$81*12,0))))),IF(AND(NOT(AND(397&gt;$B$173,$B$78="Refinance",ISNUMBER($B$80),$B$80&gt;=0,$B$80&lt;=1,ROUND($B$81*12,0)&gt;=1,$B$81&lt;=100,SUM($B$82)&gt;=0,SUM($B$82)&lt;=1,SUM($B$83)&gt;=0)),OR(397=1,397=$B$174+1,AND($B$175&gt;0,397=$B$175+1))),IF(AND($B$170=1,$B$66&gt;0,OR($B$175=0,397&lt;=$B$175)),$B$66,IF($B$172-MAX(397-1,$B$174)&gt;0,IF(B797=0,0,IF(C797=0,B797/($B$172-MAX(397-1,$B$174)),B797*(C797/12)/(1-(1+C797/12)^(-($B$172-MAX(397-1,$B$174)))))),"")),D796)))),""),""))</x:f>
        <x:v>0</x:v>
      </x:c>
      <x:c r="E797" s="440" t="n">
        <x:f>IF(AND(397=$B$173,ISNUMBER(D797)),IF(MAX(0,B797*(1+C797/12)-D797)&lt;MAX(0.0000001,$E$17*0.00000000001),0,MAX(0,B797*(1+C797/12)-D797)),0)</x:f>
        <x:v>0</x:v>
      </x:c>
      <x:c r="F797" s="440" t="n">
        <x:f>IF($B$78="Cash payoff",E797,0)</x:f>
        <x:v>0</x:v>
      </x:c>
      <x:c r="G797" s="440" t="n">
        <x:f>IF(AND(E797&gt;0,AND($B$78="Refinance",ISNUMBER($B$80),$B$80&gt;=0,$B$80&lt;=1,ROUND($B$81*12,0)&gt;=1,$B$81&lt;=100,SUM($B$82)&gt;=0,SUM($B$82)&lt;=1,SUM($B$83)&gt;=0)),E797*SUM($B$82)+SUM($B$83),0)</x:f>
        <x:v>0</x:v>
      </x:c>
      <x:c r="H797" s="440" t="n">
        <x:f>IF(ISNUMBER(D797),IF(MAX(0,B797*(1+C797/12)-D797-F797)&lt;MAX(0.0000001,$E$17*0.00000000001),0,MAX(0,B797*(1+C797/12)-D797-F797)),IF(AND($B$171=1,I796=1),B797,""))</x:f>
        <x:v>0</x:v>
      </x:c>
      <x:c r="I797" s="444" t="n">
        <x:f>IF(OR(I796=1,AND(E797&gt;0,$B$78&lt;&gt;"Cash payoff",NOT(AND($B$78="Refinance",ISNUMBER($B$80),$B$80&gt;=0,$B$80&lt;=1,ROUND($B$81*12,0)&gt;=1,$B$81&lt;=100,SUM($B$82)&gt;=0,SUM($B$82)&lt;=1,SUM($B$83)&gt;=0))),AND(ISNUMBER(B797),B797&gt;0,$B$171=1,NOT(ISNUMBER(D797)))),1,0)</x:f>
        <x:v>0</x:v>
      </x:c>
      <x:c r="J797" s="440" t="n">
        <x:f>IF(ISNUMBER(L796),L796,"")</x:f>
        <x:v>0</x:v>
      </x:c>
      <x:c r="K797" s="440" t="n">
        <x:f>IF(AND(ISNUMBER(J797),J797=0),0,IF(AND($B$176=1,ISNUMBER(J797)),MIN(J797*(1+$B$87/12),IF($B$86=0,0,IF($B$87=0,$B$86/ROUND($B$88*12,0),$B$86*($B$87/12)/(1-(1+$B$87/12)^(-ROUND($B$88*12,0)))))),""))</x:f>
        <x:v>0</x:v>
      </x:c>
      <x:c r="L797" s="440" t="n">
        <x:f>IF(ISNUMBER(K797),IF(MAX(0,J797*(1+SUM($B$87)/12)-K797)&lt;MAX(0.0000001,$B$86*0.00000000001),0,MAX(0,J797*(1+SUM($B$87)/12)-K797)),"")</x:f>
        <x:v>0</x:v>
      </x:c>
      <x:c r="M797" s="440" t="n">
        <x:f>IF(AND(ISNUMBER(D797),ISNUMBER(K797)),D797+K797,"")</x:f>
        <x:v>0</x:v>
      </x:c>
      <x:c r="N797" s="440" t="n">
        <x:f>IF(AND(ISNUMBER(H797),ISNUMBER(L797)),H797+L797,"")</x:f>
        <x:v>0</x:v>
      </x:c>
    </x:row>
    <x:row r="798" ht="22" customHeight="1">
      <x:c r="A798" s="254" t="n">
        <x:f>398</x:f>
        <x:v>398</x:v>
      </x:c>
      <x:c r="B798" s="440" t="n">
        <x:f>IF(ISNUMBER(H797),H797,"")</x:f>
        <x:v>0</x:v>
      </x:c>
      <x:c r="C798" s="442" t="n">
        <x:f>IF(ISNUMBER(B798),IF(AND(398&gt;$B$173,$B$78="Refinance",ISNUMBER($B$80),$B$80&gt;=0,$B$80&lt;=1,ROUND($B$81*12,0)&gt;=1,$B$81&lt;=100,SUM($B$82)&gt;=0,SUM($B$82)&lt;=1,SUM($B$83)&gt;=0),$B$80,IF(AND($B$175&gt;0,398&gt;$B$175,ISNUMBER($B$75)),$B$75,$B$61)),"")</x:f>
        <x:v>0.0625</x:v>
      </x:c>
      <x:c r="D798" s="440" t="n">
        <x:f>IF(AND(ISNUMBER(B798),B798=0),0,IF(AND($B$171=1,I797=0,ISNUMBER(C798),ISNUMBER(IF(AND(398&lt;=$B$174,398&lt;=$B$173),B798*C798/12,IF(AND(398=$B$173+1,AND(398&gt;$B$173,$B$78="Refinance",ISNUMBER($B$80),$B$80&gt;=0,$B$80&lt;=1,ROUND($B$81*12,0)&gt;=1,$B$81&lt;=100,SUM($B$82)&gt;=0,SUM($B$82)&lt;=1,SUM($B$83)&gt;=0)),IF(B798=0,0,IF(C798=0,B798/ROUND($B$81*12,0),B798*(C798/12)/(1-(1+C798/12)^(-ROUND($B$81*12,0))))),IF(AND(NOT(AND(398&gt;$B$173,$B$78="Refinance",ISNUMBER($B$80),$B$80&gt;=0,$B$80&lt;=1,ROUND($B$81*12,0)&gt;=1,$B$81&lt;=100,SUM($B$82)&gt;=0,SUM($B$82)&lt;=1,SUM($B$83)&gt;=0)),OR(398=1,398=$B$174+1,AND($B$175&gt;0,398=$B$175+1))),IF(AND($B$170=1,$B$66&gt;0,OR($B$175=0,398&lt;=$B$175)),$B$66,IF($B$172-MAX(398-1,$B$174)&gt;0,IF(B798=0,0,IF(C798=0,B798/($B$172-MAX(398-1,$B$174)),B798*(C798/12)/(1-(1+C798/12)^(-($B$172-MAX(398-1,$B$174)))))),"")),D797))))),IF(IF(AND(398&lt;=$B$174,398&lt;=$B$173),B798*C798/12,IF(AND(398=$B$173+1,AND(398&gt;$B$173,$B$78="Refinance",ISNUMBER($B$80),$B$80&gt;=0,$B$80&lt;=1,ROUND($B$81*12,0)&gt;=1,$B$81&lt;=100,SUM($B$82)&gt;=0,SUM($B$82)&lt;=1,SUM($B$83)&gt;=0)),IF(B798=0,0,IF(C798=0,B798/ROUND($B$81*12,0),B798*(C798/12)/(1-(1+C798/12)^(-ROUND($B$81*12,0))))),IF(AND(NOT(AND(398&gt;$B$173,$B$78="Refinance",ISNUMBER($B$80),$B$80&gt;=0,$B$80&lt;=1,ROUND($B$81*12,0)&gt;=1,$B$81&lt;=100,SUM($B$82)&gt;=0,SUM($B$82)&lt;=1,SUM($B$83)&gt;=0)),OR(398=1,398=$B$174+1,AND($B$175&gt;0,398=$B$175+1))),IF(AND($B$170=1,$B$66&gt;0,OR($B$175=0,398&lt;=$B$175)),$B$66,IF($B$172-MAX(398-1,$B$174)&gt;0,IF(B798=0,0,IF(C798=0,B798/($B$172-MAX(398-1,$B$174)),B798*(C798/12)/(1-(1+C798/12)^(-($B$172-MAX(398-1,$B$174)))))),"")),D797)))+0.0000001&gt;=B798*C798/12,MIN(B798*(1+C798/12),IF(AND(398&lt;=$B$174,398&lt;=$B$173),B798*C798/12,IF(AND(398=$B$173+1,AND(398&gt;$B$173,$B$78="Refinance",ISNUMBER($B$80),$B$80&gt;=0,$B$80&lt;=1,ROUND($B$81*12,0)&gt;=1,$B$81&lt;=100,SUM($B$82)&gt;=0,SUM($B$82)&lt;=1,SUM($B$83)&gt;=0)),IF(B798=0,0,IF(C798=0,B798/ROUND($B$81*12,0),B798*(C798/12)/(1-(1+C798/12)^(-ROUND($B$81*12,0))))),IF(AND(NOT(AND(398&gt;$B$173,$B$78="Refinance",ISNUMBER($B$80),$B$80&gt;=0,$B$80&lt;=1,ROUND($B$81*12,0)&gt;=1,$B$81&lt;=100,SUM($B$82)&gt;=0,SUM($B$82)&lt;=1,SUM($B$83)&gt;=0)),OR(398=1,398=$B$174+1,AND($B$175&gt;0,398=$B$175+1))),IF(AND($B$170=1,$B$66&gt;0,OR($B$175=0,398&lt;=$B$175)),$B$66,IF($B$172-MAX(398-1,$B$174)&gt;0,IF(B798=0,0,IF(C798=0,B798/($B$172-MAX(398-1,$B$174)),B798*(C798/12)/(1-(1+C798/12)^(-($B$172-MAX(398-1,$B$174)))))),"")),D797)))),""),""))</x:f>
        <x:v>0</x:v>
      </x:c>
      <x:c r="E798" s="440" t="n">
        <x:f>IF(AND(398=$B$173,ISNUMBER(D798)),IF(MAX(0,B798*(1+C798/12)-D798)&lt;MAX(0.0000001,$E$17*0.00000000001),0,MAX(0,B798*(1+C798/12)-D798)),0)</x:f>
        <x:v>0</x:v>
      </x:c>
      <x:c r="F798" s="440" t="n">
        <x:f>IF($B$78="Cash payoff",E798,0)</x:f>
        <x:v>0</x:v>
      </x:c>
      <x:c r="G798" s="440" t="n">
        <x:f>IF(AND(E798&gt;0,AND($B$78="Refinance",ISNUMBER($B$80),$B$80&gt;=0,$B$80&lt;=1,ROUND($B$81*12,0)&gt;=1,$B$81&lt;=100,SUM($B$82)&gt;=0,SUM($B$82)&lt;=1,SUM($B$83)&gt;=0)),E798*SUM($B$82)+SUM($B$83),0)</x:f>
        <x:v>0</x:v>
      </x:c>
      <x:c r="H798" s="440" t="n">
        <x:f>IF(ISNUMBER(D798),IF(MAX(0,B798*(1+C798/12)-D798-F798)&lt;MAX(0.0000001,$E$17*0.00000000001),0,MAX(0,B798*(1+C798/12)-D798-F798)),IF(AND($B$171=1,I797=1),B798,""))</x:f>
        <x:v>0</x:v>
      </x:c>
      <x:c r="I798" s="444" t="n">
        <x:f>IF(OR(I797=1,AND(E798&gt;0,$B$78&lt;&gt;"Cash payoff",NOT(AND($B$78="Refinance",ISNUMBER($B$80),$B$80&gt;=0,$B$80&lt;=1,ROUND($B$81*12,0)&gt;=1,$B$81&lt;=100,SUM($B$82)&gt;=0,SUM($B$82)&lt;=1,SUM($B$83)&gt;=0))),AND(ISNUMBER(B798),B798&gt;0,$B$171=1,NOT(ISNUMBER(D798)))),1,0)</x:f>
        <x:v>0</x:v>
      </x:c>
      <x:c r="J798" s="440" t="n">
        <x:f>IF(ISNUMBER(L797),L797,"")</x:f>
        <x:v>0</x:v>
      </x:c>
      <x:c r="K798" s="440" t="n">
        <x:f>IF(AND(ISNUMBER(J798),J798=0),0,IF(AND($B$176=1,ISNUMBER(J798)),MIN(J798*(1+$B$87/12),IF($B$86=0,0,IF($B$87=0,$B$86/ROUND($B$88*12,0),$B$86*($B$87/12)/(1-(1+$B$87/12)^(-ROUND($B$88*12,0)))))),""))</x:f>
        <x:v>0</x:v>
      </x:c>
      <x:c r="L798" s="440" t="n">
        <x:f>IF(ISNUMBER(K798),IF(MAX(0,J798*(1+SUM($B$87)/12)-K798)&lt;MAX(0.0000001,$B$86*0.00000000001),0,MAX(0,J798*(1+SUM($B$87)/12)-K798)),"")</x:f>
        <x:v>0</x:v>
      </x:c>
      <x:c r="M798" s="440" t="n">
        <x:f>IF(AND(ISNUMBER(D798),ISNUMBER(K798)),D798+K798,"")</x:f>
        <x:v>0</x:v>
      </x:c>
      <x:c r="N798" s="440" t="n">
        <x:f>IF(AND(ISNUMBER(H798),ISNUMBER(L798)),H798+L798,"")</x:f>
        <x:v>0</x:v>
      </x:c>
    </x:row>
    <x:row r="799" ht="22" customHeight="1">
      <x:c r="A799" s="254" t="n">
        <x:f>399</x:f>
        <x:v>399</x:v>
      </x:c>
      <x:c r="B799" s="440" t="n">
        <x:f>IF(ISNUMBER(H798),H798,"")</x:f>
        <x:v>0</x:v>
      </x:c>
      <x:c r="C799" s="442" t="n">
        <x:f>IF(ISNUMBER(B799),IF(AND(399&gt;$B$173,$B$78="Refinance",ISNUMBER($B$80),$B$80&gt;=0,$B$80&lt;=1,ROUND($B$81*12,0)&gt;=1,$B$81&lt;=100,SUM($B$82)&gt;=0,SUM($B$82)&lt;=1,SUM($B$83)&gt;=0),$B$80,IF(AND($B$175&gt;0,399&gt;$B$175,ISNUMBER($B$75)),$B$75,$B$61)),"")</x:f>
        <x:v>0.0625</x:v>
      </x:c>
      <x:c r="D799" s="440" t="n">
        <x:f>IF(AND(ISNUMBER(B799),B799=0),0,IF(AND($B$171=1,I798=0,ISNUMBER(C799),ISNUMBER(IF(AND(399&lt;=$B$174,399&lt;=$B$173),B799*C799/12,IF(AND(399=$B$173+1,AND(399&gt;$B$173,$B$78="Refinance",ISNUMBER($B$80),$B$80&gt;=0,$B$80&lt;=1,ROUND($B$81*12,0)&gt;=1,$B$81&lt;=100,SUM($B$82)&gt;=0,SUM($B$82)&lt;=1,SUM($B$83)&gt;=0)),IF(B799=0,0,IF(C799=0,B799/ROUND($B$81*12,0),B799*(C799/12)/(1-(1+C799/12)^(-ROUND($B$81*12,0))))),IF(AND(NOT(AND(399&gt;$B$173,$B$78="Refinance",ISNUMBER($B$80),$B$80&gt;=0,$B$80&lt;=1,ROUND($B$81*12,0)&gt;=1,$B$81&lt;=100,SUM($B$82)&gt;=0,SUM($B$82)&lt;=1,SUM($B$83)&gt;=0)),OR(399=1,399=$B$174+1,AND($B$175&gt;0,399=$B$175+1))),IF(AND($B$170=1,$B$66&gt;0,OR($B$175=0,399&lt;=$B$175)),$B$66,IF($B$172-MAX(399-1,$B$174)&gt;0,IF(B799=0,0,IF(C799=0,B799/($B$172-MAX(399-1,$B$174)),B799*(C799/12)/(1-(1+C799/12)^(-($B$172-MAX(399-1,$B$174)))))),"")),D798))))),IF(IF(AND(399&lt;=$B$174,399&lt;=$B$173),B799*C799/12,IF(AND(399=$B$173+1,AND(399&gt;$B$173,$B$78="Refinance",ISNUMBER($B$80),$B$80&gt;=0,$B$80&lt;=1,ROUND($B$81*12,0)&gt;=1,$B$81&lt;=100,SUM($B$82)&gt;=0,SUM($B$82)&lt;=1,SUM($B$83)&gt;=0)),IF(B799=0,0,IF(C799=0,B799/ROUND($B$81*12,0),B799*(C799/12)/(1-(1+C799/12)^(-ROUND($B$81*12,0))))),IF(AND(NOT(AND(399&gt;$B$173,$B$78="Refinance",ISNUMBER($B$80),$B$80&gt;=0,$B$80&lt;=1,ROUND($B$81*12,0)&gt;=1,$B$81&lt;=100,SUM($B$82)&gt;=0,SUM($B$82)&lt;=1,SUM($B$83)&gt;=0)),OR(399=1,399=$B$174+1,AND($B$175&gt;0,399=$B$175+1))),IF(AND($B$170=1,$B$66&gt;0,OR($B$175=0,399&lt;=$B$175)),$B$66,IF($B$172-MAX(399-1,$B$174)&gt;0,IF(B799=0,0,IF(C799=0,B799/($B$172-MAX(399-1,$B$174)),B799*(C799/12)/(1-(1+C799/12)^(-($B$172-MAX(399-1,$B$174)))))),"")),D798)))+0.0000001&gt;=B799*C799/12,MIN(B799*(1+C799/12),IF(AND(399&lt;=$B$174,399&lt;=$B$173),B799*C799/12,IF(AND(399=$B$173+1,AND(399&gt;$B$173,$B$78="Refinance",ISNUMBER($B$80),$B$80&gt;=0,$B$80&lt;=1,ROUND($B$81*12,0)&gt;=1,$B$81&lt;=100,SUM($B$82)&gt;=0,SUM($B$82)&lt;=1,SUM($B$83)&gt;=0)),IF(B799=0,0,IF(C799=0,B799/ROUND($B$81*12,0),B799*(C799/12)/(1-(1+C799/12)^(-ROUND($B$81*12,0))))),IF(AND(NOT(AND(399&gt;$B$173,$B$78="Refinance",ISNUMBER($B$80),$B$80&gt;=0,$B$80&lt;=1,ROUND($B$81*12,0)&gt;=1,$B$81&lt;=100,SUM($B$82)&gt;=0,SUM($B$82)&lt;=1,SUM($B$83)&gt;=0)),OR(399=1,399=$B$174+1,AND($B$175&gt;0,399=$B$175+1))),IF(AND($B$170=1,$B$66&gt;0,OR($B$175=0,399&lt;=$B$175)),$B$66,IF($B$172-MAX(399-1,$B$174)&gt;0,IF(B799=0,0,IF(C799=0,B799/($B$172-MAX(399-1,$B$174)),B799*(C799/12)/(1-(1+C799/12)^(-($B$172-MAX(399-1,$B$174)))))),"")),D798)))),""),""))</x:f>
        <x:v>0</x:v>
      </x:c>
      <x:c r="E799" s="440" t="n">
        <x:f>IF(AND(399=$B$173,ISNUMBER(D799)),IF(MAX(0,B799*(1+C799/12)-D799)&lt;MAX(0.0000001,$E$17*0.00000000001),0,MAX(0,B799*(1+C799/12)-D799)),0)</x:f>
        <x:v>0</x:v>
      </x:c>
      <x:c r="F799" s="440" t="n">
        <x:f>IF($B$78="Cash payoff",E799,0)</x:f>
        <x:v>0</x:v>
      </x:c>
      <x:c r="G799" s="440" t="n">
        <x:f>IF(AND(E799&gt;0,AND($B$78="Refinance",ISNUMBER($B$80),$B$80&gt;=0,$B$80&lt;=1,ROUND($B$81*12,0)&gt;=1,$B$81&lt;=100,SUM($B$82)&gt;=0,SUM($B$82)&lt;=1,SUM($B$83)&gt;=0)),E799*SUM($B$82)+SUM($B$83),0)</x:f>
        <x:v>0</x:v>
      </x:c>
      <x:c r="H799" s="440" t="n">
        <x:f>IF(ISNUMBER(D799),IF(MAX(0,B799*(1+C799/12)-D799-F799)&lt;MAX(0.0000001,$E$17*0.00000000001),0,MAX(0,B799*(1+C799/12)-D799-F799)),IF(AND($B$171=1,I798=1),B799,""))</x:f>
        <x:v>0</x:v>
      </x:c>
      <x:c r="I799" s="444" t="n">
        <x:f>IF(OR(I798=1,AND(E799&gt;0,$B$78&lt;&gt;"Cash payoff",NOT(AND($B$78="Refinance",ISNUMBER($B$80),$B$80&gt;=0,$B$80&lt;=1,ROUND($B$81*12,0)&gt;=1,$B$81&lt;=100,SUM($B$82)&gt;=0,SUM($B$82)&lt;=1,SUM($B$83)&gt;=0))),AND(ISNUMBER(B799),B799&gt;0,$B$171=1,NOT(ISNUMBER(D799)))),1,0)</x:f>
        <x:v>0</x:v>
      </x:c>
      <x:c r="J799" s="440" t="n">
        <x:f>IF(ISNUMBER(L798),L798,"")</x:f>
        <x:v>0</x:v>
      </x:c>
      <x:c r="K799" s="440" t="n">
        <x:f>IF(AND(ISNUMBER(J799),J799=0),0,IF(AND($B$176=1,ISNUMBER(J799)),MIN(J799*(1+$B$87/12),IF($B$86=0,0,IF($B$87=0,$B$86/ROUND($B$88*12,0),$B$86*($B$87/12)/(1-(1+$B$87/12)^(-ROUND($B$88*12,0)))))),""))</x:f>
        <x:v>0</x:v>
      </x:c>
      <x:c r="L799" s="440" t="n">
        <x:f>IF(ISNUMBER(K799),IF(MAX(0,J799*(1+SUM($B$87)/12)-K799)&lt;MAX(0.0000001,$B$86*0.00000000001),0,MAX(0,J799*(1+SUM($B$87)/12)-K799)),"")</x:f>
        <x:v>0</x:v>
      </x:c>
      <x:c r="M799" s="440" t="n">
        <x:f>IF(AND(ISNUMBER(D799),ISNUMBER(K799)),D799+K799,"")</x:f>
        <x:v>0</x:v>
      </x:c>
      <x:c r="N799" s="440" t="n">
        <x:f>IF(AND(ISNUMBER(H799),ISNUMBER(L799)),H799+L799,"")</x:f>
        <x:v>0</x:v>
      </x:c>
    </x:row>
    <x:row r="800" ht="22" customHeight="1">
      <x:c r="A800" s="254" t="n">
        <x:f>400</x:f>
        <x:v>400</x:v>
      </x:c>
      <x:c r="B800" s="440" t="n">
        <x:f>IF(ISNUMBER(H799),H799,"")</x:f>
        <x:v>0</x:v>
      </x:c>
      <x:c r="C800" s="442" t="n">
        <x:f>IF(ISNUMBER(B800),IF(AND(400&gt;$B$173,$B$78="Refinance",ISNUMBER($B$80),$B$80&gt;=0,$B$80&lt;=1,ROUND($B$81*12,0)&gt;=1,$B$81&lt;=100,SUM($B$82)&gt;=0,SUM($B$82)&lt;=1,SUM($B$83)&gt;=0),$B$80,IF(AND($B$175&gt;0,400&gt;$B$175,ISNUMBER($B$75)),$B$75,$B$61)),"")</x:f>
        <x:v>0.0625</x:v>
      </x:c>
      <x:c r="D800" s="440" t="n">
        <x:f>IF(AND(ISNUMBER(B800),B800=0),0,IF(AND($B$171=1,I799=0,ISNUMBER(C800),ISNUMBER(IF(AND(400&lt;=$B$174,400&lt;=$B$173),B800*C800/12,IF(AND(400=$B$173+1,AND(400&gt;$B$173,$B$78="Refinance",ISNUMBER($B$80),$B$80&gt;=0,$B$80&lt;=1,ROUND($B$81*12,0)&gt;=1,$B$81&lt;=100,SUM($B$82)&gt;=0,SUM($B$82)&lt;=1,SUM($B$83)&gt;=0)),IF(B800=0,0,IF(C800=0,B800/ROUND($B$81*12,0),B800*(C800/12)/(1-(1+C800/12)^(-ROUND($B$81*12,0))))),IF(AND(NOT(AND(400&gt;$B$173,$B$78="Refinance",ISNUMBER($B$80),$B$80&gt;=0,$B$80&lt;=1,ROUND($B$81*12,0)&gt;=1,$B$81&lt;=100,SUM($B$82)&gt;=0,SUM($B$82)&lt;=1,SUM($B$83)&gt;=0)),OR(400=1,400=$B$174+1,AND($B$175&gt;0,400=$B$175+1))),IF(AND($B$170=1,$B$66&gt;0,OR($B$175=0,400&lt;=$B$175)),$B$66,IF($B$172-MAX(400-1,$B$174)&gt;0,IF(B800=0,0,IF(C800=0,B800/($B$172-MAX(400-1,$B$174)),B800*(C800/12)/(1-(1+C800/12)^(-($B$172-MAX(400-1,$B$174)))))),"")),D799))))),IF(IF(AND(400&lt;=$B$174,400&lt;=$B$173),B800*C800/12,IF(AND(400=$B$173+1,AND(400&gt;$B$173,$B$78="Refinance",ISNUMBER($B$80),$B$80&gt;=0,$B$80&lt;=1,ROUND($B$81*12,0)&gt;=1,$B$81&lt;=100,SUM($B$82)&gt;=0,SUM($B$82)&lt;=1,SUM($B$83)&gt;=0)),IF(B800=0,0,IF(C800=0,B800/ROUND($B$81*12,0),B800*(C800/12)/(1-(1+C800/12)^(-ROUND($B$81*12,0))))),IF(AND(NOT(AND(400&gt;$B$173,$B$78="Refinance",ISNUMBER($B$80),$B$80&gt;=0,$B$80&lt;=1,ROUND($B$81*12,0)&gt;=1,$B$81&lt;=100,SUM($B$82)&gt;=0,SUM($B$82)&lt;=1,SUM($B$83)&gt;=0)),OR(400=1,400=$B$174+1,AND($B$175&gt;0,400=$B$175+1))),IF(AND($B$170=1,$B$66&gt;0,OR($B$175=0,400&lt;=$B$175)),$B$66,IF($B$172-MAX(400-1,$B$174)&gt;0,IF(B800=0,0,IF(C800=0,B800/($B$172-MAX(400-1,$B$174)),B800*(C800/12)/(1-(1+C800/12)^(-($B$172-MAX(400-1,$B$174)))))),"")),D799)))+0.0000001&gt;=B800*C800/12,MIN(B800*(1+C800/12),IF(AND(400&lt;=$B$174,400&lt;=$B$173),B800*C800/12,IF(AND(400=$B$173+1,AND(400&gt;$B$173,$B$78="Refinance",ISNUMBER($B$80),$B$80&gt;=0,$B$80&lt;=1,ROUND($B$81*12,0)&gt;=1,$B$81&lt;=100,SUM($B$82)&gt;=0,SUM($B$82)&lt;=1,SUM($B$83)&gt;=0)),IF(B800=0,0,IF(C800=0,B800/ROUND($B$81*12,0),B800*(C800/12)/(1-(1+C800/12)^(-ROUND($B$81*12,0))))),IF(AND(NOT(AND(400&gt;$B$173,$B$78="Refinance",ISNUMBER($B$80),$B$80&gt;=0,$B$80&lt;=1,ROUND($B$81*12,0)&gt;=1,$B$81&lt;=100,SUM($B$82)&gt;=0,SUM($B$82)&lt;=1,SUM($B$83)&gt;=0)),OR(400=1,400=$B$174+1,AND($B$175&gt;0,400=$B$175+1))),IF(AND($B$170=1,$B$66&gt;0,OR($B$175=0,400&lt;=$B$175)),$B$66,IF($B$172-MAX(400-1,$B$174)&gt;0,IF(B800=0,0,IF(C800=0,B800/($B$172-MAX(400-1,$B$174)),B800*(C800/12)/(1-(1+C800/12)^(-($B$172-MAX(400-1,$B$174)))))),"")),D799)))),""),""))</x:f>
        <x:v>0</x:v>
      </x:c>
      <x:c r="E800" s="440" t="n">
        <x:f>IF(AND(400=$B$173,ISNUMBER(D800)),IF(MAX(0,B800*(1+C800/12)-D800)&lt;MAX(0.0000001,$E$17*0.00000000001),0,MAX(0,B800*(1+C800/12)-D800)),0)</x:f>
        <x:v>0</x:v>
      </x:c>
      <x:c r="F800" s="440" t="n">
        <x:f>IF($B$78="Cash payoff",E800,0)</x:f>
        <x:v>0</x:v>
      </x:c>
      <x:c r="G800" s="440" t="n">
        <x:f>IF(AND(E800&gt;0,AND($B$78="Refinance",ISNUMBER($B$80),$B$80&gt;=0,$B$80&lt;=1,ROUND($B$81*12,0)&gt;=1,$B$81&lt;=100,SUM($B$82)&gt;=0,SUM($B$82)&lt;=1,SUM($B$83)&gt;=0)),E800*SUM($B$82)+SUM($B$83),0)</x:f>
        <x:v>0</x:v>
      </x:c>
      <x:c r="H800" s="440" t="n">
        <x:f>IF(ISNUMBER(D800),IF(MAX(0,B800*(1+C800/12)-D800-F800)&lt;MAX(0.0000001,$E$17*0.00000000001),0,MAX(0,B800*(1+C800/12)-D800-F800)),IF(AND($B$171=1,I799=1),B800,""))</x:f>
        <x:v>0</x:v>
      </x:c>
      <x:c r="I800" s="444" t="n">
        <x:f>IF(OR(I799=1,AND(E800&gt;0,$B$78&lt;&gt;"Cash payoff",NOT(AND($B$78="Refinance",ISNUMBER($B$80),$B$80&gt;=0,$B$80&lt;=1,ROUND($B$81*12,0)&gt;=1,$B$81&lt;=100,SUM($B$82)&gt;=0,SUM($B$82)&lt;=1,SUM($B$83)&gt;=0))),AND(ISNUMBER(B800),B800&gt;0,$B$171=1,NOT(ISNUMBER(D800)))),1,0)</x:f>
        <x:v>0</x:v>
      </x:c>
      <x:c r="J800" s="440" t="n">
        <x:f>IF(ISNUMBER(L799),L799,"")</x:f>
        <x:v>0</x:v>
      </x:c>
      <x:c r="K800" s="440" t="n">
        <x:f>IF(AND(ISNUMBER(J800),J800=0),0,IF(AND($B$176=1,ISNUMBER(J800)),MIN(J800*(1+$B$87/12),IF($B$86=0,0,IF($B$87=0,$B$86/ROUND($B$88*12,0),$B$86*($B$87/12)/(1-(1+$B$87/12)^(-ROUND($B$88*12,0)))))),""))</x:f>
        <x:v>0</x:v>
      </x:c>
      <x:c r="L800" s="440" t="n">
        <x:f>IF(ISNUMBER(K800),IF(MAX(0,J800*(1+SUM($B$87)/12)-K800)&lt;MAX(0.0000001,$B$86*0.00000000001),0,MAX(0,J800*(1+SUM($B$87)/12)-K800)),"")</x:f>
        <x:v>0</x:v>
      </x:c>
      <x:c r="M800" s="440" t="n">
        <x:f>IF(AND(ISNUMBER(D800),ISNUMBER(K800)),D800+K800,"")</x:f>
        <x:v>0</x:v>
      </x:c>
      <x:c r="N800" s="440" t="n">
        <x:f>IF(AND(ISNUMBER(H800),ISNUMBER(L800)),H800+L800,"")</x:f>
        <x:v>0</x:v>
      </x:c>
    </x:row>
    <x:row r="801" ht="22" customHeight="1">
      <x:c r="A801" s="254" t="n">
        <x:f>401</x:f>
        <x:v>401</x:v>
      </x:c>
      <x:c r="B801" s="440" t="n">
        <x:f>IF(ISNUMBER(H800),H800,"")</x:f>
        <x:v>0</x:v>
      </x:c>
      <x:c r="C801" s="442" t="n">
        <x:f>IF(ISNUMBER(B801),IF(AND(401&gt;$B$173,$B$78="Refinance",ISNUMBER($B$80),$B$80&gt;=0,$B$80&lt;=1,ROUND($B$81*12,0)&gt;=1,$B$81&lt;=100,SUM($B$82)&gt;=0,SUM($B$82)&lt;=1,SUM($B$83)&gt;=0),$B$80,IF(AND($B$175&gt;0,401&gt;$B$175,ISNUMBER($B$75)),$B$75,$B$61)),"")</x:f>
        <x:v>0.0625</x:v>
      </x:c>
      <x:c r="D801" s="440" t="n">
        <x:f>IF(AND(ISNUMBER(B801),B801=0),0,IF(AND($B$171=1,I800=0,ISNUMBER(C801),ISNUMBER(IF(AND(401&lt;=$B$174,401&lt;=$B$173),B801*C801/12,IF(AND(401=$B$173+1,AND(401&gt;$B$173,$B$78="Refinance",ISNUMBER($B$80),$B$80&gt;=0,$B$80&lt;=1,ROUND($B$81*12,0)&gt;=1,$B$81&lt;=100,SUM($B$82)&gt;=0,SUM($B$82)&lt;=1,SUM($B$83)&gt;=0)),IF(B801=0,0,IF(C801=0,B801/ROUND($B$81*12,0),B801*(C801/12)/(1-(1+C801/12)^(-ROUND($B$81*12,0))))),IF(AND(NOT(AND(401&gt;$B$173,$B$78="Refinance",ISNUMBER($B$80),$B$80&gt;=0,$B$80&lt;=1,ROUND($B$81*12,0)&gt;=1,$B$81&lt;=100,SUM($B$82)&gt;=0,SUM($B$82)&lt;=1,SUM($B$83)&gt;=0)),OR(401=1,401=$B$174+1,AND($B$175&gt;0,401=$B$175+1))),IF(AND($B$170=1,$B$66&gt;0,OR($B$175=0,401&lt;=$B$175)),$B$66,IF($B$172-MAX(401-1,$B$174)&gt;0,IF(B801=0,0,IF(C801=0,B801/($B$172-MAX(401-1,$B$174)),B801*(C801/12)/(1-(1+C801/12)^(-($B$172-MAX(401-1,$B$174)))))),"")),D800))))),IF(IF(AND(401&lt;=$B$174,401&lt;=$B$173),B801*C801/12,IF(AND(401=$B$173+1,AND(401&gt;$B$173,$B$78="Refinance",ISNUMBER($B$80),$B$80&gt;=0,$B$80&lt;=1,ROUND($B$81*12,0)&gt;=1,$B$81&lt;=100,SUM($B$82)&gt;=0,SUM($B$82)&lt;=1,SUM($B$83)&gt;=0)),IF(B801=0,0,IF(C801=0,B801/ROUND($B$81*12,0),B801*(C801/12)/(1-(1+C801/12)^(-ROUND($B$81*12,0))))),IF(AND(NOT(AND(401&gt;$B$173,$B$78="Refinance",ISNUMBER($B$80),$B$80&gt;=0,$B$80&lt;=1,ROUND($B$81*12,0)&gt;=1,$B$81&lt;=100,SUM($B$82)&gt;=0,SUM($B$82)&lt;=1,SUM($B$83)&gt;=0)),OR(401=1,401=$B$174+1,AND($B$175&gt;0,401=$B$175+1))),IF(AND($B$170=1,$B$66&gt;0,OR($B$175=0,401&lt;=$B$175)),$B$66,IF($B$172-MAX(401-1,$B$174)&gt;0,IF(B801=0,0,IF(C801=0,B801/($B$172-MAX(401-1,$B$174)),B801*(C801/12)/(1-(1+C801/12)^(-($B$172-MAX(401-1,$B$174)))))),"")),D800)))+0.0000001&gt;=B801*C801/12,MIN(B801*(1+C801/12),IF(AND(401&lt;=$B$174,401&lt;=$B$173),B801*C801/12,IF(AND(401=$B$173+1,AND(401&gt;$B$173,$B$78="Refinance",ISNUMBER($B$80),$B$80&gt;=0,$B$80&lt;=1,ROUND($B$81*12,0)&gt;=1,$B$81&lt;=100,SUM($B$82)&gt;=0,SUM($B$82)&lt;=1,SUM($B$83)&gt;=0)),IF(B801=0,0,IF(C801=0,B801/ROUND($B$81*12,0),B801*(C801/12)/(1-(1+C801/12)^(-ROUND($B$81*12,0))))),IF(AND(NOT(AND(401&gt;$B$173,$B$78="Refinance",ISNUMBER($B$80),$B$80&gt;=0,$B$80&lt;=1,ROUND($B$81*12,0)&gt;=1,$B$81&lt;=100,SUM($B$82)&gt;=0,SUM($B$82)&lt;=1,SUM($B$83)&gt;=0)),OR(401=1,401=$B$174+1,AND($B$175&gt;0,401=$B$175+1))),IF(AND($B$170=1,$B$66&gt;0,OR($B$175=0,401&lt;=$B$175)),$B$66,IF($B$172-MAX(401-1,$B$174)&gt;0,IF(B801=0,0,IF(C801=0,B801/($B$172-MAX(401-1,$B$174)),B801*(C801/12)/(1-(1+C801/12)^(-($B$172-MAX(401-1,$B$174)))))),"")),D800)))),""),""))</x:f>
        <x:v>0</x:v>
      </x:c>
      <x:c r="E801" s="440" t="n">
        <x:f>IF(AND(401=$B$173,ISNUMBER(D801)),IF(MAX(0,B801*(1+C801/12)-D801)&lt;MAX(0.0000001,$E$17*0.00000000001),0,MAX(0,B801*(1+C801/12)-D801)),0)</x:f>
        <x:v>0</x:v>
      </x:c>
      <x:c r="F801" s="440" t="n">
        <x:f>IF($B$78="Cash payoff",E801,0)</x:f>
        <x:v>0</x:v>
      </x:c>
      <x:c r="G801" s="440" t="n">
        <x:f>IF(AND(E801&gt;0,AND($B$78="Refinance",ISNUMBER($B$80),$B$80&gt;=0,$B$80&lt;=1,ROUND($B$81*12,0)&gt;=1,$B$81&lt;=100,SUM($B$82)&gt;=0,SUM($B$82)&lt;=1,SUM($B$83)&gt;=0)),E801*SUM($B$82)+SUM($B$83),0)</x:f>
        <x:v>0</x:v>
      </x:c>
      <x:c r="H801" s="440" t="n">
        <x:f>IF(ISNUMBER(D801),IF(MAX(0,B801*(1+C801/12)-D801-F801)&lt;MAX(0.0000001,$E$17*0.00000000001),0,MAX(0,B801*(1+C801/12)-D801-F801)),IF(AND($B$171=1,I800=1),B801,""))</x:f>
        <x:v>0</x:v>
      </x:c>
      <x:c r="I801" s="444" t="n">
        <x:f>IF(OR(I800=1,AND(E801&gt;0,$B$78&lt;&gt;"Cash payoff",NOT(AND($B$78="Refinance",ISNUMBER($B$80),$B$80&gt;=0,$B$80&lt;=1,ROUND($B$81*12,0)&gt;=1,$B$81&lt;=100,SUM($B$82)&gt;=0,SUM($B$82)&lt;=1,SUM($B$83)&gt;=0))),AND(ISNUMBER(B801),B801&gt;0,$B$171=1,NOT(ISNUMBER(D801)))),1,0)</x:f>
        <x:v>0</x:v>
      </x:c>
      <x:c r="J801" s="440" t="n">
        <x:f>IF(ISNUMBER(L800),L800,"")</x:f>
        <x:v>0</x:v>
      </x:c>
      <x:c r="K801" s="440" t="n">
        <x:f>IF(AND(ISNUMBER(J801),J801=0),0,IF(AND($B$176=1,ISNUMBER(J801)),MIN(J801*(1+$B$87/12),IF($B$86=0,0,IF($B$87=0,$B$86/ROUND($B$88*12,0),$B$86*($B$87/12)/(1-(1+$B$87/12)^(-ROUND($B$88*12,0)))))),""))</x:f>
        <x:v>0</x:v>
      </x:c>
      <x:c r="L801" s="440" t="n">
        <x:f>IF(ISNUMBER(K801),IF(MAX(0,J801*(1+SUM($B$87)/12)-K801)&lt;MAX(0.0000001,$B$86*0.00000000001),0,MAX(0,J801*(1+SUM($B$87)/12)-K801)),"")</x:f>
        <x:v>0</x:v>
      </x:c>
      <x:c r="M801" s="440" t="n">
        <x:f>IF(AND(ISNUMBER(D801),ISNUMBER(K801)),D801+K801,"")</x:f>
        <x:v>0</x:v>
      </x:c>
      <x:c r="N801" s="440" t="n">
        <x:f>IF(AND(ISNUMBER(H801),ISNUMBER(L801)),H801+L801,"")</x:f>
        <x:v>0</x:v>
      </x:c>
    </x:row>
    <x:row r="802" ht="22" customHeight="1">
      <x:c r="A802" s="254" t="n">
        <x:f>402</x:f>
        <x:v>402</x:v>
      </x:c>
      <x:c r="B802" s="440" t="n">
        <x:f>IF(ISNUMBER(H801),H801,"")</x:f>
        <x:v>0</x:v>
      </x:c>
      <x:c r="C802" s="442" t="n">
        <x:f>IF(ISNUMBER(B802),IF(AND(402&gt;$B$173,$B$78="Refinance",ISNUMBER($B$80),$B$80&gt;=0,$B$80&lt;=1,ROUND($B$81*12,0)&gt;=1,$B$81&lt;=100,SUM($B$82)&gt;=0,SUM($B$82)&lt;=1,SUM($B$83)&gt;=0),$B$80,IF(AND($B$175&gt;0,402&gt;$B$175,ISNUMBER($B$75)),$B$75,$B$61)),"")</x:f>
        <x:v>0.0625</x:v>
      </x:c>
      <x:c r="D802" s="440" t="n">
        <x:f>IF(AND(ISNUMBER(B802),B802=0),0,IF(AND($B$171=1,I801=0,ISNUMBER(C802),ISNUMBER(IF(AND(402&lt;=$B$174,402&lt;=$B$173),B802*C802/12,IF(AND(402=$B$173+1,AND(402&gt;$B$173,$B$78="Refinance",ISNUMBER($B$80),$B$80&gt;=0,$B$80&lt;=1,ROUND($B$81*12,0)&gt;=1,$B$81&lt;=100,SUM($B$82)&gt;=0,SUM($B$82)&lt;=1,SUM($B$83)&gt;=0)),IF(B802=0,0,IF(C802=0,B802/ROUND($B$81*12,0),B802*(C802/12)/(1-(1+C802/12)^(-ROUND($B$81*12,0))))),IF(AND(NOT(AND(402&gt;$B$173,$B$78="Refinance",ISNUMBER($B$80),$B$80&gt;=0,$B$80&lt;=1,ROUND($B$81*12,0)&gt;=1,$B$81&lt;=100,SUM($B$82)&gt;=0,SUM($B$82)&lt;=1,SUM($B$83)&gt;=0)),OR(402=1,402=$B$174+1,AND($B$175&gt;0,402=$B$175+1))),IF(AND($B$170=1,$B$66&gt;0,OR($B$175=0,402&lt;=$B$175)),$B$66,IF($B$172-MAX(402-1,$B$174)&gt;0,IF(B802=0,0,IF(C802=0,B802/($B$172-MAX(402-1,$B$174)),B802*(C802/12)/(1-(1+C802/12)^(-($B$172-MAX(402-1,$B$174)))))),"")),D801))))),IF(IF(AND(402&lt;=$B$174,402&lt;=$B$173),B802*C802/12,IF(AND(402=$B$173+1,AND(402&gt;$B$173,$B$78="Refinance",ISNUMBER($B$80),$B$80&gt;=0,$B$80&lt;=1,ROUND($B$81*12,0)&gt;=1,$B$81&lt;=100,SUM($B$82)&gt;=0,SUM($B$82)&lt;=1,SUM($B$83)&gt;=0)),IF(B802=0,0,IF(C802=0,B802/ROUND($B$81*12,0),B802*(C802/12)/(1-(1+C802/12)^(-ROUND($B$81*12,0))))),IF(AND(NOT(AND(402&gt;$B$173,$B$78="Refinance",ISNUMBER($B$80),$B$80&gt;=0,$B$80&lt;=1,ROUND($B$81*12,0)&gt;=1,$B$81&lt;=100,SUM($B$82)&gt;=0,SUM($B$82)&lt;=1,SUM($B$83)&gt;=0)),OR(402=1,402=$B$174+1,AND($B$175&gt;0,402=$B$175+1))),IF(AND($B$170=1,$B$66&gt;0,OR($B$175=0,402&lt;=$B$175)),$B$66,IF($B$172-MAX(402-1,$B$174)&gt;0,IF(B802=0,0,IF(C802=0,B802/($B$172-MAX(402-1,$B$174)),B802*(C802/12)/(1-(1+C802/12)^(-($B$172-MAX(402-1,$B$174)))))),"")),D801)))+0.0000001&gt;=B802*C802/12,MIN(B802*(1+C802/12),IF(AND(402&lt;=$B$174,402&lt;=$B$173),B802*C802/12,IF(AND(402=$B$173+1,AND(402&gt;$B$173,$B$78="Refinance",ISNUMBER($B$80),$B$80&gt;=0,$B$80&lt;=1,ROUND($B$81*12,0)&gt;=1,$B$81&lt;=100,SUM($B$82)&gt;=0,SUM($B$82)&lt;=1,SUM($B$83)&gt;=0)),IF(B802=0,0,IF(C802=0,B802/ROUND($B$81*12,0),B802*(C802/12)/(1-(1+C802/12)^(-ROUND($B$81*12,0))))),IF(AND(NOT(AND(402&gt;$B$173,$B$78="Refinance",ISNUMBER($B$80),$B$80&gt;=0,$B$80&lt;=1,ROUND($B$81*12,0)&gt;=1,$B$81&lt;=100,SUM($B$82)&gt;=0,SUM($B$82)&lt;=1,SUM($B$83)&gt;=0)),OR(402=1,402=$B$174+1,AND($B$175&gt;0,402=$B$175+1))),IF(AND($B$170=1,$B$66&gt;0,OR($B$175=0,402&lt;=$B$175)),$B$66,IF($B$172-MAX(402-1,$B$174)&gt;0,IF(B802=0,0,IF(C802=0,B802/($B$172-MAX(402-1,$B$174)),B802*(C802/12)/(1-(1+C802/12)^(-($B$172-MAX(402-1,$B$174)))))),"")),D801)))),""),""))</x:f>
        <x:v>0</x:v>
      </x:c>
      <x:c r="E802" s="440" t="n">
        <x:f>IF(AND(402=$B$173,ISNUMBER(D802)),IF(MAX(0,B802*(1+C802/12)-D802)&lt;MAX(0.0000001,$E$17*0.00000000001),0,MAX(0,B802*(1+C802/12)-D802)),0)</x:f>
        <x:v>0</x:v>
      </x:c>
      <x:c r="F802" s="440" t="n">
        <x:f>IF($B$78="Cash payoff",E802,0)</x:f>
        <x:v>0</x:v>
      </x:c>
      <x:c r="G802" s="440" t="n">
        <x:f>IF(AND(E802&gt;0,AND($B$78="Refinance",ISNUMBER($B$80),$B$80&gt;=0,$B$80&lt;=1,ROUND($B$81*12,0)&gt;=1,$B$81&lt;=100,SUM($B$82)&gt;=0,SUM($B$82)&lt;=1,SUM($B$83)&gt;=0)),E802*SUM($B$82)+SUM($B$83),0)</x:f>
        <x:v>0</x:v>
      </x:c>
      <x:c r="H802" s="440" t="n">
        <x:f>IF(ISNUMBER(D802),IF(MAX(0,B802*(1+C802/12)-D802-F802)&lt;MAX(0.0000001,$E$17*0.00000000001),0,MAX(0,B802*(1+C802/12)-D802-F802)),IF(AND($B$171=1,I801=1),B802,""))</x:f>
        <x:v>0</x:v>
      </x:c>
      <x:c r="I802" s="444" t="n">
        <x:f>IF(OR(I801=1,AND(E802&gt;0,$B$78&lt;&gt;"Cash payoff",NOT(AND($B$78="Refinance",ISNUMBER($B$80),$B$80&gt;=0,$B$80&lt;=1,ROUND($B$81*12,0)&gt;=1,$B$81&lt;=100,SUM($B$82)&gt;=0,SUM($B$82)&lt;=1,SUM($B$83)&gt;=0))),AND(ISNUMBER(B802),B802&gt;0,$B$171=1,NOT(ISNUMBER(D802)))),1,0)</x:f>
        <x:v>0</x:v>
      </x:c>
      <x:c r="J802" s="440" t="n">
        <x:f>IF(ISNUMBER(L801),L801,"")</x:f>
        <x:v>0</x:v>
      </x:c>
      <x:c r="K802" s="440" t="n">
        <x:f>IF(AND(ISNUMBER(J802),J802=0),0,IF(AND($B$176=1,ISNUMBER(J802)),MIN(J802*(1+$B$87/12),IF($B$86=0,0,IF($B$87=0,$B$86/ROUND($B$88*12,0),$B$86*($B$87/12)/(1-(1+$B$87/12)^(-ROUND($B$88*12,0)))))),""))</x:f>
        <x:v>0</x:v>
      </x:c>
      <x:c r="L802" s="440" t="n">
        <x:f>IF(ISNUMBER(K802),IF(MAX(0,J802*(1+SUM($B$87)/12)-K802)&lt;MAX(0.0000001,$B$86*0.00000000001),0,MAX(0,J802*(1+SUM($B$87)/12)-K802)),"")</x:f>
        <x:v>0</x:v>
      </x:c>
      <x:c r="M802" s="440" t="n">
        <x:f>IF(AND(ISNUMBER(D802),ISNUMBER(K802)),D802+K802,"")</x:f>
        <x:v>0</x:v>
      </x:c>
      <x:c r="N802" s="440" t="n">
        <x:f>IF(AND(ISNUMBER(H802),ISNUMBER(L802)),H802+L802,"")</x:f>
        <x:v>0</x:v>
      </x:c>
    </x:row>
    <x:row r="803" ht="22" customHeight="1">
      <x:c r="A803" s="254" t="n">
        <x:f>403</x:f>
        <x:v>403</x:v>
      </x:c>
      <x:c r="B803" s="440" t="n">
        <x:f>IF(ISNUMBER(H802),H802,"")</x:f>
        <x:v>0</x:v>
      </x:c>
      <x:c r="C803" s="442" t="n">
        <x:f>IF(ISNUMBER(B803),IF(AND(403&gt;$B$173,$B$78="Refinance",ISNUMBER($B$80),$B$80&gt;=0,$B$80&lt;=1,ROUND($B$81*12,0)&gt;=1,$B$81&lt;=100,SUM($B$82)&gt;=0,SUM($B$82)&lt;=1,SUM($B$83)&gt;=0),$B$80,IF(AND($B$175&gt;0,403&gt;$B$175,ISNUMBER($B$75)),$B$75,$B$61)),"")</x:f>
        <x:v>0.0625</x:v>
      </x:c>
      <x:c r="D803" s="440" t="n">
        <x:f>IF(AND(ISNUMBER(B803),B803=0),0,IF(AND($B$171=1,I802=0,ISNUMBER(C803),ISNUMBER(IF(AND(403&lt;=$B$174,403&lt;=$B$173),B803*C803/12,IF(AND(403=$B$173+1,AND(403&gt;$B$173,$B$78="Refinance",ISNUMBER($B$80),$B$80&gt;=0,$B$80&lt;=1,ROUND($B$81*12,0)&gt;=1,$B$81&lt;=100,SUM($B$82)&gt;=0,SUM($B$82)&lt;=1,SUM($B$83)&gt;=0)),IF(B803=0,0,IF(C803=0,B803/ROUND($B$81*12,0),B803*(C803/12)/(1-(1+C803/12)^(-ROUND($B$81*12,0))))),IF(AND(NOT(AND(403&gt;$B$173,$B$78="Refinance",ISNUMBER($B$80),$B$80&gt;=0,$B$80&lt;=1,ROUND($B$81*12,0)&gt;=1,$B$81&lt;=100,SUM($B$82)&gt;=0,SUM($B$82)&lt;=1,SUM($B$83)&gt;=0)),OR(403=1,403=$B$174+1,AND($B$175&gt;0,403=$B$175+1))),IF(AND($B$170=1,$B$66&gt;0,OR($B$175=0,403&lt;=$B$175)),$B$66,IF($B$172-MAX(403-1,$B$174)&gt;0,IF(B803=0,0,IF(C803=0,B803/($B$172-MAX(403-1,$B$174)),B803*(C803/12)/(1-(1+C803/12)^(-($B$172-MAX(403-1,$B$174)))))),"")),D802))))),IF(IF(AND(403&lt;=$B$174,403&lt;=$B$173),B803*C803/12,IF(AND(403=$B$173+1,AND(403&gt;$B$173,$B$78="Refinance",ISNUMBER($B$80),$B$80&gt;=0,$B$80&lt;=1,ROUND($B$81*12,0)&gt;=1,$B$81&lt;=100,SUM($B$82)&gt;=0,SUM($B$82)&lt;=1,SUM($B$83)&gt;=0)),IF(B803=0,0,IF(C803=0,B803/ROUND($B$81*12,0),B803*(C803/12)/(1-(1+C803/12)^(-ROUND($B$81*12,0))))),IF(AND(NOT(AND(403&gt;$B$173,$B$78="Refinance",ISNUMBER($B$80),$B$80&gt;=0,$B$80&lt;=1,ROUND($B$81*12,0)&gt;=1,$B$81&lt;=100,SUM($B$82)&gt;=0,SUM($B$82)&lt;=1,SUM($B$83)&gt;=0)),OR(403=1,403=$B$174+1,AND($B$175&gt;0,403=$B$175+1))),IF(AND($B$170=1,$B$66&gt;0,OR($B$175=0,403&lt;=$B$175)),$B$66,IF($B$172-MAX(403-1,$B$174)&gt;0,IF(B803=0,0,IF(C803=0,B803/($B$172-MAX(403-1,$B$174)),B803*(C803/12)/(1-(1+C803/12)^(-($B$172-MAX(403-1,$B$174)))))),"")),D802)))+0.0000001&gt;=B803*C803/12,MIN(B803*(1+C803/12),IF(AND(403&lt;=$B$174,403&lt;=$B$173),B803*C803/12,IF(AND(403=$B$173+1,AND(403&gt;$B$173,$B$78="Refinance",ISNUMBER($B$80),$B$80&gt;=0,$B$80&lt;=1,ROUND($B$81*12,0)&gt;=1,$B$81&lt;=100,SUM($B$82)&gt;=0,SUM($B$82)&lt;=1,SUM($B$83)&gt;=0)),IF(B803=0,0,IF(C803=0,B803/ROUND($B$81*12,0),B803*(C803/12)/(1-(1+C803/12)^(-ROUND($B$81*12,0))))),IF(AND(NOT(AND(403&gt;$B$173,$B$78="Refinance",ISNUMBER($B$80),$B$80&gt;=0,$B$80&lt;=1,ROUND($B$81*12,0)&gt;=1,$B$81&lt;=100,SUM($B$82)&gt;=0,SUM($B$82)&lt;=1,SUM($B$83)&gt;=0)),OR(403=1,403=$B$174+1,AND($B$175&gt;0,403=$B$175+1))),IF(AND($B$170=1,$B$66&gt;0,OR($B$175=0,403&lt;=$B$175)),$B$66,IF($B$172-MAX(403-1,$B$174)&gt;0,IF(B803=0,0,IF(C803=0,B803/($B$172-MAX(403-1,$B$174)),B803*(C803/12)/(1-(1+C803/12)^(-($B$172-MAX(403-1,$B$174)))))),"")),D802)))),""),""))</x:f>
        <x:v>0</x:v>
      </x:c>
      <x:c r="E803" s="440" t="n">
        <x:f>IF(AND(403=$B$173,ISNUMBER(D803)),IF(MAX(0,B803*(1+C803/12)-D803)&lt;MAX(0.0000001,$E$17*0.00000000001),0,MAX(0,B803*(1+C803/12)-D803)),0)</x:f>
        <x:v>0</x:v>
      </x:c>
      <x:c r="F803" s="440" t="n">
        <x:f>IF($B$78="Cash payoff",E803,0)</x:f>
        <x:v>0</x:v>
      </x:c>
      <x:c r="G803" s="440" t="n">
        <x:f>IF(AND(E803&gt;0,AND($B$78="Refinance",ISNUMBER($B$80),$B$80&gt;=0,$B$80&lt;=1,ROUND($B$81*12,0)&gt;=1,$B$81&lt;=100,SUM($B$82)&gt;=0,SUM($B$82)&lt;=1,SUM($B$83)&gt;=0)),E803*SUM($B$82)+SUM($B$83),0)</x:f>
        <x:v>0</x:v>
      </x:c>
      <x:c r="H803" s="440" t="n">
        <x:f>IF(ISNUMBER(D803),IF(MAX(0,B803*(1+C803/12)-D803-F803)&lt;MAX(0.0000001,$E$17*0.00000000001),0,MAX(0,B803*(1+C803/12)-D803-F803)),IF(AND($B$171=1,I802=1),B803,""))</x:f>
        <x:v>0</x:v>
      </x:c>
      <x:c r="I803" s="444" t="n">
        <x:f>IF(OR(I802=1,AND(E803&gt;0,$B$78&lt;&gt;"Cash payoff",NOT(AND($B$78="Refinance",ISNUMBER($B$80),$B$80&gt;=0,$B$80&lt;=1,ROUND($B$81*12,0)&gt;=1,$B$81&lt;=100,SUM($B$82)&gt;=0,SUM($B$82)&lt;=1,SUM($B$83)&gt;=0))),AND(ISNUMBER(B803),B803&gt;0,$B$171=1,NOT(ISNUMBER(D803)))),1,0)</x:f>
        <x:v>0</x:v>
      </x:c>
      <x:c r="J803" s="440" t="n">
        <x:f>IF(ISNUMBER(L802),L802,"")</x:f>
        <x:v>0</x:v>
      </x:c>
      <x:c r="K803" s="440" t="n">
        <x:f>IF(AND(ISNUMBER(J803),J803=0),0,IF(AND($B$176=1,ISNUMBER(J803)),MIN(J803*(1+$B$87/12),IF($B$86=0,0,IF($B$87=0,$B$86/ROUND($B$88*12,0),$B$86*($B$87/12)/(1-(1+$B$87/12)^(-ROUND($B$88*12,0)))))),""))</x:f>
        <x:v>0</x:v>
      </x:c>
      <x:c r="L803" s="440" t="n">
        <x:f>IF(ISNUMBER(K803),IF(MAX(0,J803*(1+SUM($B$87)/12)-K803)&lt;MAX(0.0000001,$B$86*0.00000000001),0,MAX(0,J803*(1+SUM($B$87)/12)-K803)),"")</x:f>
        <x:v>0</x:v>
      </x:c>
      <x:c r="M803" s="440" t="n">
        <x:f>IF(AND(ISNUMBER(D803),ISNUMBER(K803)),D803+K803,"")</x:f>
        <x:v>0</x:v>
      </x:c>
      <x:c r="N803" s="440" t="n">
        <x:f>IF(AND(ISNUMBER(H803),ISNUMBER(L803)),H803+L803,"")</x:f>
        <x:v>0</x:v>
      </x:c>
    </x:row>
    <x:row r="804" ht="22" customHeight="1">
      <x:c r="A804" s="254" t="n">
        <x:f>404</x:f>
        <x:v>404</x:v>
      </x:c>
      <x:c r="B804" s="440" t="n">
        <x:f>IF(ISNUMBER(H803),H803,"")</x:f>
        <x:v>0</x:v>
      </x:c>
      <x:c r="C804" s="442" t="n">
        <x:f>IF(ISNUMBER(B804),IF(AND(404&gt;$B$173,$B$78="Refinance",ISNUMBER($B$80),$B$80&gt;=0,$B$80&lt;=1,ROUND($B$81*12,0)&gt;=1,$B$81&lt;=100,SUM($B$82)&gt;=0,SUM($B$82)&lt;=1,SUM($B$83)&gt;=0),$B$80,IF(AND($B$175&gt;0,404&gt;$B$175,ISNUMBER($B$75)),$B$75,$B$61)),"")</x:f>
        <x:v>0.0625</x:v>
      </x:c>
      <x:c r="D804" s="440" t="n">
        <x:f>IF(AND(ISNUMBER(B804),B804=0),0,IF(AND($B$171=1,I803=0,ISNUMBER(C804),ISNUMBER(IF(AND(404&lt;=$B$174,404&lt;=$B$173),B804*C804/12,IF(AND(404=$B$173+1,AND(404&gt;$B$173,$B$78="Refinance",ISNUMBER($B$80),$B$80&gt;=0,$B$80&lt;=1,ROUND($B$81*12,0)&gt;=1,$B$81&lt;=100,SUM($B$82)&gt;=0,SUM($B$82)&lt;=1,SUM($B$83)&gt;=0)),IF(B804=0,0,IF(C804=0,B804/ROUND($B$81*12,0),B804*(C804/12)/(1-(1+C804/12)^(-ROUND($B$81*12,0))))),IF(AND(NOT(AND(404&gt;$B$173,$B$78="Refinance",ISNUMBER($B$80),$B$80&gt;=0,$B$80&lt;=1,ROUND($B$81*12,0)&gt;=1,$B$81&lt;=100,SUM($B$82)&gt;=0,SUM($B$82)&lt;=1,SUM($B$83)&gt;=0)),OR(404=1,404=$B$174+1,AND($B$175&gt;0,404=$B$175+1))),IF(AND($B$170=1,$B$66&gt;0,OR($B$175=0,404&lt;=$B$175)),$B$66,IF($B$172-MAX(404-1,$B$174)&gt;0,IF(B804=0,0,IF(C804=0,B804/($B$172-MAX(404-1,$B$174)),B804*(C804/12)/(1-(1+C804/12)^(-($B$172-MAX(404-1,$B$174)))))),"")),D803))))),IF(IF(AND(404&lt;=$B$174,404&lt;=$B$173),B804*C804/12,IF(AND(404=$B$173+1,AND(404&gt;$B$173,$B$78="Refinance",ISNUMBER($B$80),$B$80&gt;=0,$B$80&lt;=1,ROUND($B$81*12,0)&gt;=1,$B$81&lt;=100,SUM($B$82)&gt;=0,SUM($B$82)&lt;=1,SUM($B$83)&gt;=0)),IF(B804=0,0,IF(C804=0,B804/ROUND($B$81*12,0),B804*(C804/12)/(1-(1+C804/12)^(-ROUND($B$81*12,0))))),IF(AND(NOT(AND(404&gt;$B$173,$B$78="Refinance",ISNUMBER($B$80),$B$80&gt;=0,$B$80&lt;=1,ROUND($B$81*12,0)&gt;=1,$B$81&lt;=100,SUM($B$82)&gt;=0,SUM($B$82)&lt;=1,SUM($B$83)&gt;=0)),OR(404=1,404=$B$174+1,AND($B$175&gt;0,404=$B$175+1))),IF(AND($B$170=1,$B$66&gt;0,OR($B$175=0,404&lt;=$B$175)),$B$66,IF($B$172-MAX(404-1,$B$174)&gt;0,IF(B804=0,0,IF(C804=0,B804/($B$172-MAX(404-1,$B$174)),B804*(C804/12)/(1-(1+C804/12)^(-($B$172-MAX(404-1,$B$174)))))),"")),D803)))+0.0000001&gt;=B804*C804/12,MIN(B804*(1+C804/12),IF(AND(404&lt;=$B$174,404&lt;=$B$173),B804*C804/12,IF(AND(404=$B$173+1,AND(404&gt;$B$173,$B$78="Refinance",ISNUMBER($B$80),$B$80&gt;=0,$B$80&lt;=1,ROUND($B$81*12,0)&gt;=1,$B$81&lt;=100,SUM($B$82)&gt;=0,SUM($B$82)&lt;=1,SUM($B$83)&gt;=0)),IF(B804=0,0,IF(C804=0,B804/ROUND($B$81*12,0),B804*(C804/12)/(1-(1+C804/12)^(-ROUND($B$81*12,0))))),IF(AND(NOT(AND(404&gt;$B$173,$B$78="Refinance",ISNUMBER($B$80),$B$80&gt;=0,$B$80&lt;=1,ROUND($B$81*12,0)&gt;=1,$B$81&lt;=100,SUM($B$82)&gt;=0,SUM($B$82)&lt;=1,SUM($B$83)&gt;=0)),OR(404=1,404=$B$174+1,AND($B$175&gt;0,404=$B$175+1))),IF(AND($B$170=1,$B$66&gt;0,OR($B$175=0,404&lt;=$B$175)),$B$66,IF($B$172-MAX(404-1,$B$174)&gt;0,IF(B804=0,0,IF(C804=0,B804/($B$172-MAX(404-1,$B$174)),B804*(C804/12)/(1-(1+C804/12)^(-($B$172-MAX(404-1,$B$174)))))),"")),D803)))),""),""))</x:f>
        <x:v>0</x:v>
      </x:c>
      <x:c r="E804" s="440" t="n">
        <x:f>IF(AND(404=$B$173,ISNUMBER(D804)),IF(MAX(0,B804*(1+C804/12)-D804)&lt;MAX(0.0000001,$E$17*0.00000000001),0,MAX(0,B804*(1+C804/12)-D804)),0)</x:f>
        <x:v>0</x:v>
      </x:c>
      <x:c r="F804" s="440" t="n">
        <x:f>IF($B$78="Cash payoff",E804,0)</x:f>
        <x:v>0</x:v>
      </x:c>
      <x:c r="G804" s="440" t="n">
        <x:f>IF(AND(E804&gt;0,AND($B$78="Refinance",ISNUMBER($B$80),$B$80&gt;=0,$B$80&lt;=1,ROUND($B$81*12,0)&gt;=1,$B$81&lt;=100,SUM($B$82)&gt;=0,SUM($B$82)&lt;=1,SUM($B$83)&gt;=0)),E804*SUM($B$82)+SUM($B$83),0)</x:f>
        <x:v>0</x:v>
      </x:c>
      <x:c r="H804" s="440" t="n">
        <x:f>IF(ISNUMBER(D804),IF(MAX(0,B804*(1+C804/12)-D804-F804)&lt;MAX(0.0000001,$E$17*0.00000000001),0,MAX(0,B804*(1+C804/12)-D804-F804)),IF(AND($B$171=1,I803=1),B804,""))</x:f>
        <x:v>0</x:v>
      </x:c>
      <x:c r="I804" s="444" t="n">
        <x:f>IF(OR(I803=1,AND(E804&gt;0,$B$78&lt;&gt;"Cash payoff",NOT(AND($B$78="Refinance",ISNUMBER($B$80),$B$80&gt;=0,$B$80&lt;=1,ROUND($B$81*12,0)&gt;=1,$B$81&lt;=100,SUM($B$82)&gt;=0,SUM($B$82)&lt;=1,SUM($B$83)&gt;=0))),AND(ISNUMBER(B804),B804&gt;0,$B$171=1,NOT(ISNUMBER(D804)))),1,0)</x:f>
        <x:v>0</x:v>
      </x:c>
      <x:c r="J804" s="440" t="n">
        <x:f>IF(ISNUMBER(L803),L803,"")</x:f>
        <x:v>0</x:v>
      </x:c>
      <x:c r="K804" s="440" t="n">
        <x:f>IF(AND(ISNUMBER(J804),J804=0),0,IF(AND($B$176=1,ISNUMBER(J804)),MIN(J804*(1+$B$87/12),IF($B$86=0,0,IF($B$87=0,$B$86/ROUND($B$88*12,0),$B$86*($B$87/12)/(1-(1+$B$87/12)^(-ROUND($B$88*12,0)))))),""))</x:f>
        <x:v>0</x:v>
      </x:c>
      <x:c r="L804" s="440" t="n">
        <x:f>IF(ISNUMBER(K804),IF(MAX(0,J804*(1+SUM($B$87)/12)-K804)&lt;MAX(0.0000001,$B$86*0.00000000001),0,MAX(0,J804*(1+SUM($B$87)/12)-K804)),"")</x:f>
        <x:v>0</x:v>
      </x:c>
      <x:c r="M804" s="440" t="n">
        <x:f>IF(AND(ISNUMBER(D804),ISNUMBER(K804)),D804+K804,"")</x:f>
        <x:v>0</x:v>
      </x:c>
      <x:c r="N804" s="440" t="n">
        <x:f>IF(AND(ISNUMBER(H804),ISNUMBER(L804)),H804+L804,"")</x:f>
        <x:v>0</x:v>
      </x:c>
    </x:row>
    <x:row r="805" ht="22" customHeight="1">
      <x:c r="A805" s="254" t="n">
        <x:f>405</x:f>
        <x:v>405</x:v>
      </x:c>
      <x:c r="B805" s="440" t="n">
        <x:f>IF(ISNUMBER(H804),H804,"")</x:f>
        <x:v>0</x:v>
      </x:c>
      <x:c r="C805" s="442" t="n">
        <x:f>IF(ISNUMBER(B805),IF(AND(405&gt;$B$173,$B$78="Refinance",ISNUMBER($B$80),$B$80&gt;=0,$B$80&lt;=1,ROUND($B$81*12,0)&gt;=1,$B$81&lt;=100,SUM($B$82)&gt;=0,SUM($B$82)&lt;=1,SUM($B$83)&gt;=0),$B$80,IF(AND($B$175&gt;0,405&gt;$B$175,ISNUMBER($B$75)),$B$75,$B$61)),"")</x:f>
        <x:v>0.0625</x:v>
      </x:c>
      <x:c r="D805" s="440" t="n">
        <x:f>IF(AND(ISNUMBER(B805),B805=0),0,IF(AND($B$171=1,I804=0,ISNUMBER(C805),ISNUMBER(IF(AND(405&lt;=$B$174,405&lt;=$B$173),B805*C805/12,IF(AND(405=$B$173+1,AND(405&gt;$B$173,$B$78="Refinance",ISNUMBER($B$80),$B$80&gt;=0,$B$80&lt;=1,ROUND($B$81*12,0)&gt;=1,$B$81&lt;=100,SUM($B$82)&gt;=0,SUM($B$82)&lt;=1,SUM($B$83)&gt;=0)),IF(B805=0,0,IF(C805=0,B805/ROUND($B$81*12,0),B805*(C805/12)/(1-(1+C805/12)^(-ROUND($B$81*12,0))))),IF(AND(NOT(AND(405&gt;$B$173,$B$78="Refinance",ISNUMBER($B$80),$B$80&gt;=0,$B$80&lt;=1,ROUND($B$81*12,0)&gt;=1,$B$81&lt;=100,SUM($B$82)&gt;=0,SUM($B$82)&lt;=1,SUM($B$83)&gt;=0)),OR(405=1,405=$B$174+1,AND($B$175&gt;0,405=$B$175+1))),IF(AND($B$170=1,$B$66&gt;0,OR($B$175=0,405&lt;=$B$175)),$B$66,IF($B$172-MAX(405-1,$B$174)&gt;0,IF(B805=0,0,IF(C805=0,B805/($B$172-MAX(405-1,$B$174)),B805*(C805/12)/(1-(1+C805/12)^(-($B$172-MAX(405-1,$B$174)))))),"")),D804))))),IF(IF(AND(405&lt;=$B$174,405&lt;=$B$173),B805*C805/12,IF(AND(405=$B$173+1,AND(405&gt;$B$173,$B$78="Refinance",ISNUMBER($B$80),$B$80&gt;=0,$B$80&lt;=1,ROUND($B$81*12,0)&gt;=1,$B$81&lt;=100,SUM($B$82)&gt;=0,SUM($B$82)&lt;=1,SUM($B$83)&gt;=0)),IF(B805=0,0,IF(C805=0,B805/ROUND($B$81*12,0),B805*(C805/12)/(1-(1+C805/12)^(-ROUND($B$81*12,0))))),IF(AND(NOT(AND(405&gt;$B$173,$B$78="Refinance",ISNUMBER($B$80),$B$80&gt;=0,$B$80&lt;=1,ROUND($B$81*12,0)&gt;=1,$B$81&lt;=100,SUM($B$82)&gt;=0,SUM($B$82)&lt;=1,SUM($B$83)&gt;=0)),OR(405=1,405=$B$174+1,AND($B$175&gt;0,405=$B$175+1))),IF(AND($B$170=1,$B$66&gt;0,OR($B$175=0,405&lt;=$B$175)),$B$66,IF($B$172-MAX(405-1,$B$174)&gt;0,IF(B805=0,0,IF(C805=0,B805/($B$172-MAX(405-1,$B$174)),B805*(C805/12)/(1-(1+C805/12)^(-($B$172-MAX(405-1,$B$174)))))),"")),D804)))+0.0000001&gt;=B805*C805/12,MIN(B805*(1+C805/12),IF(AND(405&lt;=$B$174,405&lt;=$B$173),B805*C805/12,IF(AND(405=$B$173+1,AND(405&gt;$B$173,$B$78="Refinance",ISNUMBER($B$80),$B$80&gt;=0,$B$80&lt;=1,ROUND($B$81*12,0)&gt;=1,$B$81&lt;=100,SUM($B$82)&gt;=0,SUM($B$82)&lt;=1,SUM($B$83)&gt;=0)),IF(B805=0,0,IF(C805=0,B805/ROUND($B$81*12,0),B805*(C805/12)/(1-(1+C805/12)^(-ROUND($B$81*12,0))))),IF(AND(NOT(AND(405&gt;$B$173,$B$78="Refinance",ISNUMBER($B$80),$B$80&gt;=0,$B$80&lt;=1,ROUND($B$81*12,0)&gt;=1,$B$81&lt;=100,SUM($B$82)&gt;=0,SUM($B$82)&lt;=1,SUM($B$83)&gt;=0)),OR(405=1,405=$B$174+1,AND($B$175&gt;0,405=$B$175+1))),IF(AND($B$170=1,$B$66&gt;0,OR($B$175=0,405&lt;=$B$175)),$B$66,IF($B$172-MAX(405-1,$B$174)&gt;0,IF(B805=0,0,IF(C805=0,B805/($B$172-MAX(405-1,$B$174)),B805*(C805/12)/(1-(1+C805/12)^(-($B$172-MAX(405-1,$B$174)))))),"")),D804)))),""),""))</x:f>
        <x:v>0</x:v>
      </x:c>
      <x:c r="E805" s="440" t="n">
        <x:f>IF(AND(405=$B$173,ISNUMBER(D805)),IF(MAX(0,B805*(1+C805/12)-D805)&lt;MAX(0.0000001,$E$17*0.00000000001),0,MAX(0,B805*(1+C805/12)-D805)),0)</x:f>
        <x:v>0</x:v>
      </x:c>
      <x:c r="F805" s="440" t="n">
        <x:f>IF($B$78="Cash payoff",E805,0)</x:f>
        <x:v>0</x:v>
      </x:c>
      <x:c r="G805" s="440" t="n">
        <x:f>IF(AND(E805&gt;0,AND($B$78="Refinance",ISNUMBER($B$80),$B$80&gt;=0,$B$80&lt;=1,ROUND($B$81*12,0)&gt;=1,$B$81&lt;=100,SUM($B$82)&gt;=0,SUM($B$82)&lt;=1,SUM($B$83)&gt;=0)),E805*SUM($B$82)+SUM($B$83),0)</x:f>
        <x:v>0</x:v>
      </x:c>
      <x:c r="H805" s="440" t="n">
        <x:f>IF(ISNUMBER(D805),IF(MAX(0,B805*(1+C805/12)-D805-F805)&lt;MAX(0.0000001,$E$17*0.00000000001),0,MAX(0,B805*(1+C805/12)-D805-F805)),IF(AND($B$171=1,I804=1),B805,""))</x:f>
        <x:v>0</x:v>
      </x:c>
      <x:c r="I805" s="444" t="n">
        <x:f>IF(OR(I804=1,AND(E805&gt;0,$B$78&lt;&gt;"Cash payoff",NOT(AND($B$78="Refinance",ISNUMBER($B$80),$B$80&gt;=0,$B$80&lt;=1,ROUND($B$81*12,0)&gt;=1,$B$81&lt;=100,SUM($B$82)&gt;=0,SUM($B$82)&lt;=1,SUM($B$83)&gt;=0))),AND(ISNUMBER(B805),B805&gt;0,$B$171=1,NOT(ISNUMBER(D805)))),1,0)</x:f>
        <x:v>0</x:v>
      </x:c>
      <x:c r="J805" s="440" t="n">
        <x:f>IF(ISNUMBER(L804),L804,"")</x:f>
        <x:v>0</x:v>
      </x:c>
      <x:c r="K805" s="440" t="n">
        <x:f>IF(AND(ISNUMBER(J805),J805=0),0,IF(AND($B$176=1,ISNUMBER(J805)),MIN(J805*(1+$B$87/12),IF($B$86=0,0,IF($B$87=0,$B$86/ROUND($B$88*12,0),$B$86*($B$87/12)/(1-(1+$B$87/12)^(-ROUND($B$88*12,0)))))),""))</x:f>
        <x:v>0</x:v>
      </x:c>
      <x:c r="L805" s="440" t="n">
        <x:f>IF(ISNUMBER(K805),IF(MAX(0,J805*(1+SUM($B$87)/12)-K805)&lt;MAX(0.0000001,$B$86*0.00000000001),0,MAX(0,J805*(1+SUM($B$87)/12)-K805)),"")</x:f>
        <x:v>0</x:v>
      </x:c>
      <x:c r="M805" s="440" t="n">
        <x:f>IF(AND(ISNUMBER(D805),ISNUMBER(K805)),D805+K805,"")</x:f>
        <x:v>0</x:v>
      </x:c>
      <x:c r="N805" s="440" t="n">
        <x:f>IF(AND(ISNUMBER(H805),ISNUMBER(L805)),H805+L805,"")</x:f>
        <x:v>0</x:v>
      </x:c>
    </x:row>
    <x:row r="806" ht="22" customHeight="1">
      <x:c r="A806" s="254" t="n">
        <x:f>406</x:f>
        <x:v>406</x:v>
      </x:c>
      <x:c r="B806" s="440" t="n">
        <x:f>IF(ISNUMBER(H805),H805,"")</x:f>
        <x:v>0</x:v>
      </x:c>
      <x:c r="C806" s="442" t="n">
        <x:f>IF(ISNUMBER(B806),IF(AND(406&gt;$B$173,$B$78="Refinance",ISNUMBER($B$80),$B$80&gt;=0,$B$80&lt;=1,ROUND($B$81*12,0)&gt;=1,$B$81&lt;=100,SUM($B$82)&gt;=0,SUM($B$82)&lt;=1,SUM($B$83)&gt;=0),$B$80,IF(AND($B$175&gt;0,406&gt;$B$175,ISNUMBER($B$75)),$B$75,$B$61)),"")</x:f>
        <x:v>0.0625</x:v>
      </x:c>
      <x:c r="D806" s="440" t="n">
        <x:f>IF(AND(ISNUMBER(B806),B806=0),0,IF(AND($B$171=1,I805=0,ISNUMBER(C806),ISNUMBER(IF(AND(406&lt;=$B$174,406&lt;=$B$173),B806*C806/12,IF(AND(406=$B$173+1,AND(406&gt;$B$173,$B$78="Refinance",ISNUMBER($B$80),$B$80&gt;=0,$B$80&lt;=1,ROUND($B$81*12,0)&gt;=1,$B$81&lt;=100,SUM($B$82)&gt;=0,SUM($B$82)&lt;=1,SUM($B$83)&gt;=0)),IF(B806=0,0,IF(C806=0,B806/ROUND($B$81*12,0),B806*(C806/12)/(1-(1+C806/12)^(-ROUND($B$81*12,0))))),IF(AND(NOT(AND(406&gt;$B$173,$B$78="Refinance",ISNUMBER($B$80),$B$80&gt;=0,$B$80&lt;=1,ROUND($B$81*12,0)&gt;=1,$B$81&lt;=100,SUM($B$82)&gt;=0,SUM($B$82)&lt;=1,SUM($B$83)&gt;=0)),OR(406=1,406=$B$174+1,AND($B$175&gt;0,406=$B$175+1))),IF(AND($B$170=1,$B$66&gt;0,OR($B$175=0,406&lt;=$B$175)),$B$66,IF($B$172-MAX(406-1,$B$174)&gt;0,IF(B806=0,0,IF(C806=0,B806/($B$172-MAX(406-1,$B$174)),B806*(C806/12)/(1-(1+C806/12)^(-($B$172-MAX(406-1,$B$174)))))),"")),D805))))),IF(IF(AND(406&lt;=$B$174,406&lt;=$B$173),B806*C806/12,IF(AND(406=$B$173+1,AND(406&gt;$B$173,$B$78="Refinance",ISNUMBER($B$80),$B$80&gt;=0,$B$80&lt;=1,ROUND($B$81*12,0)&gt;=1,$B$81&lt;=100,SUM($B$82)&gt;=0,SUM($B$82)&lt;=1,SUM($B$83)&gt;=0)),IF(B806=0,0,IF(C806=0,B806/ROUND($B$81*12,0),B806*(C806/12)/(1-(1+C806/12)^(-ROUND($B$81*12,0))))),IF(AND(NOT(AND(406&gt;$B$173,$B$78="Refinance",ISNUMBER($B$80),$B$80&gt;=0,$B$80&lt;=1,ROUND($B$81*12,0)&gt;=1,$B$81&lt;=100,SUM($B$82)&gt;=0,SUM($B$82)&lt;=1,SUM($B$83)&gt;=0)),OR(406=1,406=$B$174+1,AND($B$175&gt;0,406=$B$175+1))),IF(AND($B$170=1,$B$66&gt;0,OR($B$175=0,406&lt;=$B$175)),$B$66,IF($B$172-MAX(406-1,$B$174)&gt;0,IF(B806=0,0,IF(C806=0,B806/($B$172-MAX(406-1,$B$174)),B806*(C806/12)/(1-(1+C806/12)^(-($B$172-MAX(406-1,$B$174)))))),"")),D805)))+0.0000001&gt;=B806*C806/12,MIN(B806*(1+C806/12),IF(AND(406&lt;=$B$174,406&lt;=$B$173),B806*C806/12,IF(AND(406=$B$173+1,AND(406&gt;$B$173,$B$78="Refinance",ISNUMBER($B$80),$B$80&gt;=0,$B$80&lt;=1,ROUND($B$81*12,0)&gt;=1,$B$81&lt;=100,SUM($B$82)&gt;=0,SUM($B$82)&lt;=1,SUM($B$83)&gt;=0)),IF(B806=0,0,IF(C806=0,B806/ROUND($B$81*12,0),B806*(C806/12)/(1-(1+C806/12)^(-ROUND($B$81*12,0))))),IF(AND(NOT(AND(406&gt;$B$173,$B$78="Refinance",ISNUMBER($B$80),$B$80&gt;=0,$B$80&lt;=1,ROUND($B$81*12,0)&gt;=1,$B$81&lt;=100,SUM($B$82)&gt;=0,SUM($B$82)&lt;=1,SUM($B$83)&gt;=0)),OR(406=1,406=$B$174+1,AND($B$175&gt;0,406=$B$175+1))),IF(AND($B$170=1,$B$66&gt;0,OR($B$175=0,406&lt;=$B$175)),$B$66,IF($B$172-MAX(406-1,$B$174)&gt;0,IF(B806=0,0,IF(C806=0,B806/($B$172-MAX(406-1,$B$174)),B806*(C806/12)/(1-(1+C806/12)^(-($B$172-MAX(406-1,$B$174)))))),"")),D805)))),""),""))</x:f>
        <x:v>0</x:v>
      </x:c>
      <x:c r="E806" s="440" t="n">
        <x:f>IF(AND(406=$B$173,ISNUMBER(D806)),IF(MAX(0,B806*(1+C806/12)-D806)&lt;MAX(0.0000001,$E$17*0.00000000001),0,MAX(0,B806*(1+C806/12)-D806)),0)</x:f>
        <x:v>0</x:v>
      </x:c>
      <x:c r="F806" s="440" t="n">
        <x:f>IF($B$78="Cash payoff",E806,0)</x:f>
        <x:v>0</x:v>
      </x:c>
      <x:c r="G806" s="440" t="n">
        <x:f>IF(AND(E806&gt;0,AND($B$78="Refinance",ISNUMBER($B$80),$B$80&gt;=0,$B$80&lt;=1,ROUND($B$81*12,0)&gt;=1,$B$81&lt;=100,SUM($B$82)&gt;=0,SUM($B$82)&lt;=1,SUM($B$83)&gt;=0)),E806*SUM($B$82)+SUM($B$83),0)</x:f>
        <x:v>0</x:v>
      </x:c>
      <x:c r="H806" s="440" t="n">
        <x:f>IF(ISNUMBER(D806),IF(MAX(0,B806*(1+C806/12)-D806-F806)&lt;MAX(0.0000001,$E$17*0.00000000001),0,MAX(0,B806*(1+C806/12)-D806-F806)),IF(AND($B$171=1,I805=1),B806,""))</x:f>
        <x:v>0</x:v>
      </x:c>
      <x:c r="I806" s="444" t="n">
        <x:f>IF(OR(I805=1,AND(E806&gt;0,$B$78&lt;&gt;"Cash payoff",NOT(AND($B$78="Refinance",ISNUMBER($B$80),$B$80&gt;=0,$B$80&lt;=1,ROUND($B$81*12,0)&gt;=1,$B$81&lt;=100,SUM($B$82)&gt;=0,SUM($B$82)&lt;=1,SUM($B$83)&gt;=0))),AND(ISNUMBER(B806),B806&gt;0,$B$171=1,NOT(ISNUMBER(D806)))),1,0)</x:f>
        <x:v>0</x:v>
      </x:c>
      <x:c r="J806" s="440" t="n">
        <x:f>IF(ISNUMBER(L805),L805,"")</x:f>
        <x:v>0</x:v>
      </x:c>
      <x:c r="K806" s="440" t="n">
        <x:f>IF(AND(ISNUMBER(J806),J806=0),0,IF(AND($B$176=1,ISNUMBER(J806)),MIN(J806*(1+$B$87/12),IF($B$86=0,0,IF($B$87=0,$B$86/ROUND($B$88*12,0),$B$86*($B$87/12)/(1-(1+$B$87/12)^(-ROUND($B$88*12,0)))))),""))</x:f>
        <x:v>0</x:v>
      </x:c>
      <x:c r="L806" s="440" t="n">
        <x:f>IF(ISNUMBER(K806),IF(MAX(0,J806*(1+SUM($B$87)/12)-K806)&lt;MAX(0.0000001,$B$86*0.00000000001),0,MAX(0,J806*(1+SUM($B$87)/12)-K806)),"")</x:f>
        <x:v>0</x:v>
      </x:c>
      <x:c r="M806" s="440" t="n">
        <x:f>IF(AND(ISNUMBER(D806),ISNUMBER(K806)),D806+K806,"")</x:f>
        <x:v>0</x:v>
      </x:c>
      <x:c r="N806" s="440" t="n">
        <x:f>IF(AND(ISNUMBER(H806),ISNUMBER(L806)),H806+L806,"")</x:f>
        <x:v>0</x:v>
      </x:c>
    </x:row>
    <x:row r="807" ht="22" customHeight="1">
      <x:c r="A807" s="254" t="n">
        <x:f>407</x:f>
        <x:v>407</x:v>
      </x:c>
      <x:c r="B807" s="440" t="n">
        <x:f>IF(ISNUMBER(H806),H806,"")</x:f>
        <x:v>0</x:v>
      </x:c>
      <x:c r="C807" s="442" t="n">
        <x:f>IF(ISNUMBER(B807),IF(AND(407&gt;$B$173,$B$78="Refinance",ISNUMBER($B$80),$B$80&gt;=0,$B$80&lt;=1,ROUND($B$81*12,0)&gt;=1,$B$81&lt;=100,SUM($B$82)&gt;=0,SUM($B$82)&lt;=1,SUM($B$83)&gt;=0),$B$80,IF(AND($B$175&gt;0,407&gt;$B$175,ISNUMBER($B$75)),$B$75,$B$61)),"")</x:f>
        <x:v>0.0625</x:v>
      </x:c>
      <x:c r="D807" s="440" t="n">
        <x:f>IF(AND(ISNUMBER(B807),B807=0),0,IF(AND($B$171=1,I806=0,ISNUMBER(C807),ISNUMBER(IF(AND(407&lt;=$B$174,407&lt;=$B$173),B807*C807/12,IF(AND(407=$B$173+1,AND(407&gt;$B$173,$B$78="Refinance",ISNUMBER($B$80),$B$80&gt;=0,$B$80&lt;=1,ROUND($B$81*12,0)&gt;=1,$B$81&lt;=100,SUM($B$82)&gt;=0,SUM($B$82)&lt;=1,SUM($B$83)&gt;=0)),IF(B807=0,0,IF(C807=0,B807/ROUND($B$81*12,0),B807*(C807/12)/(1-(1+C807/12)^(-ROUND($B$81*12,0))))),IF(AND(NOT(AND(407&gt;$B$173,$B$78="Refinance",ISNUMBER($B$80),$B$80&gt;=0,$B$80&lt;=1,ROUND($B$81*12,0)&gt;=1,$B$81&lt;=100,SUM($B$82)&gt;=0,SUM($B$82)&lt;=1,SUM($B$83)&gt;=0)),OR(407=1,407=$B$174+1,AND($B$175&gt;0,407=$B$175+1))),IF(AND($B$170=1,$B$66&gt;0,OR($B$175=0,407&lt;=$B$175)),$B$66,IF($B$172-MAX(407-1,$B$174)&gt;0,IF(B807=0,0,IF(C807=0,B807/($B$172-MAX(407-1,$B$174)),B807*(C807/12)/(1-(1+C807/12)^(-($B$172-MAX(407-1,$B$174)))))),"")),D806))))),IF(IF(AND(407&lt;=$B$174,407&lt;=$B$173),B807*C807/12,IF(AND(407=$B$173+1,AND(407&gt;$B$173,$B$78="Refinance",ISNUMBER($B$80),$B$80&gt;=0,$B$80&lt;=1,ROUND($B$81*12,0)&gt;=1,$B$81&lt;=100,SUM($B$82)&gt;=0,SUM($B$82)&lt;=1,SUM($B$83)&gt;=0)),IF(B807=0,0,IF(C807=0,B807/ROUND($B$81*12,0),B807*(C807/12)/(1-(1+C807/12)^(-ROUND($B$81*12,0))))),IF(AND(NOT(AND(407&gt;$B$173,$B$78="Refinance",ISNUMBER($B$80),$B$80&gt;=0,$B$80&lt;=1,ROUND($B$81*12,0)&gt;=1,$B$81&lt;=100,SUM($B$82)&gt;=0,SUM($B$82)&lt;=1,SUM($B$83)&gt;=0)),OR(407=1,407=$B$174+1,AND($B$175&gt;0,407=$B$175+1))),IF(AND($B$170=1,$B$66&gt;0,OR($B$175=0,407&lt;=$B$175)),$B$66,IF($B$172-MAX(407-1,$B$174)&gt;0,IF(B807=0,0,IF(C807=0,B807/($B$172-MAX(407-1,$B$174)),B807*(C807/12)/(1-(1+C807/12)^(-($B$172-MAX(407-1,$B$174)))))),"")),D806)))+0.0000001&gt;=B807*C807/12,MIN(B807*(1+C807/12),IF(AND(407&lt;=$B$174,407&lt;=$B$173),B807*C807/12,IF(AND(407=$B$173+1,AND(407&gt;$B$173,$B$78="Refinance",ISNUMBER($B$80),$B$80&gt;=0,$B$80&lt;=1,ROUND($B$81*12,0)&gt;=1,$B$81&lt;=100,SUM($B$82)&gt;=0,SUM($B$82)&lt;=1,SUM($B$83)&gt;=0)),IF(B807=0,0,IF(C807=0,B807/ROUND($B$81*12,0),B807*(C807/12)/(1-(1+C807/12)^(-ROUND($B$81*12,0))))),IF(AND(NOT(AND(407&gt;$B$173,$B$78="Refinance",ISNUMBER($B$80),$B$80&gt;=0,$B$80&lt;=1,ROUND($B$81*12,0)&gt;=1,$B$81&lt;=100,SUM($B$82)&gt;=0,SUM($B$82)&lt;=1,SUM($B$83)&gt;=0)),OR(407=1,407=$B$174+1,AND($B$175&gt;0,407=$B$175+1))),IF(AND($B$170=1,$B$66&gt;0,OR($B$175=0,407&lt;=$B$175)),$B$66,IF($B$172-MAX(407-1,$B$174)&gt;0,IF(B807=0,0,IF(C807=0,B807/($B$172-MAX(407-1,$B$174)),B807*(C807/12)/(1-(1+C807/12)^(-($B$172-MAX(407-1,$B$174)))))),"")),D806)))),""),""))</x:f>
        <x:v>0</x:v>
      </x:c>
      <x:c r="E807" s="440" t="n">
        <x:f>IF(AND(407=$B$173,ISNUMBER(D807)),IF(MAX(0,B807*(1+C807/12)-D807)&lt;MAX(0.0000001,$E$17*0.00000000001),0,MAX(0,B807*(1+C807/12)-D807)),0)</x:f>
        <x:v>0</x:v>
      </x:c>
      <x:c r="F807" s="440" t="n">
        <x:f>IF($B$78="Cash payoff",E807,0)</x:f>
        <x:v>0</x:v>
      </x:c>
      <x:c r="G807" s="440" t="n">
        <x:f>IF(AND(E807&gt;0,AND($B$78="Refinance",ISNUMBER($B$80),$B$80&gt;=0,$B$80&lt;=1,ROUND($B$81*12,0)&gt;=1,$B$81&lt;=100,SUM($B$82)&gt;=0,SUM($B$82)&lt;=1,SUM($B$83)&gt;=0)),E807*SUM($B$82)+SUM($B$83),0)</x:f>
        <x:v>0</x:v>
      </x:c>
      <x:c r="H807" s="440" t="n">
        <x:f>IF(ISNUMBER(D807),IF(MAX(0,B807*(1+C807/12)-D807-F807)&lt;MAX(0.0000001,$E$17*0.00000000001),0,MAX(0,B807*(1+C807/12)-D807-F807)),IF(AND($B$171=1,I806=1),B807,""))</x:f>
        <x:v>0</x:v>
      </x:c>
      <x:c r="I807" s="444" t="n">
        <x:f>IF(OR(I806=1,AND(E807&gt;0,$B$78&lt;&gt;"Cash payoff",NOT(AND($B$78="Refinance",ISNUMBER($B$80),$B$80&gt;=0,$B$80&lt;=1,ROUND($B$81*12,0)&gt;=1,$B$81&lt;=100,SUM($B$82)&gt;=0,SUM($B$82)&lt;=1,SUM($B$83)&gt;=0))),AND(ISNUMBER(B807),B807&gt;0,$B$171=1,NOT(ISNUMBER(D807)))),1,0)</x:f>
        <x:v>0</x:v>
      </x:c>
      <x:c r="J807" s="440" t="n">
        <x:f>IF(ISNUMBER(L806),L806,"")</x:f>
        <x:v>0</x:v>
      </x:c>
      <x:c r="K807" s="440" t="n">
        <x:f>IF(AND(ISNUMBER(J807),J807=0),0,IF(AND($B$176=1,ISNUMBER(J807)),MIN(J807*(1+$B$87/12),IF($B$86=0,0,IF($B$87=0,$B$86/ROUND($B$88*12,0),$B$86*($B$87/12)/(1-(1+$B$87/12)^(-ROUND($B$88*12,0)))))),""))</x:f>
        <x:v>0</x:v>
      </x:c>
      <x:c r="L807" s="440" t="n">
        <x:f>IF(ISNUMBER(K807),IF(MAX(0,J807*(1+SUM($B$87)/12)-K807)&lt;MAX(0.0000001,$B$86*0.00000000001),0,MAX(0,J807*(1+SUM($B$87)/12)-K807)),"")</x:f>
        <x:v>0</x:v>
      </x:c>
      <x:c r="M807" s="440" t="n">
        <x:f>IF(AND(ISNUMBER(D807),ISNUMBER(K807)),D807+K807,"")</x:f>
        <x:v>0</x:v>
      </x:c>
      <x:c r="N807" s="440" t="n">
        <x:f>IF(AND(ISNUMBER(H807),ISNUMBER(L807)),H807+L807,"")</x:f>
        <x:v>0</x:v>
      </x:c>
    </x:row>
    <x:row r="808" ht="22" customHeight="1">
      <x:c r="A808" s="254" t="n">
        <x:f>408</x:f>
        <x:v>408</x:v>
      </x:c>
      <x:c r="B808" s="440" t="n">
        <x:f>IF(ISNUMBER(H807),H807,"")</x:f>
        <x:v>0</x:v>
      </x:c>
      <x:c r="C808" s="442" t="n">
        <x:f>IF(ISNUMBER(B808),IF(AND(408&gt;$B$173,$B$78="Refinance",ISNUMBER($B$80),$B$80&gt;=0,$B$80&lt;=1,ROUND($B$81*12,0)&gt;=1,$B$81&lt;=100,SUM($B$82)&gt;=0,SUM($B$82)&lt;=1,SUM($B$83)&gt;=0),$B$80,IF(AND($B$175&gt;0,408&gt;$B$175,ISNUMBER($B$75)),$B$75,$B$61)),"")</x:f>
        <x:v>0.0625</x:v>
      </x:c>
      <x:c r="D808" s="440" t="n">
        <x:f>IF(AND(ISNUMBER(B808),B808=0),0,IF(AND($B$171=1,I807=0,ISNUMBER(C808),ISNUMBER(IF(AND(408&lt;=$B$174,408&lt;=$B$173),B808*C808/12,IF(AND(408=$B$173+1,AND(408&gt;$B$173,$B$78="Refinance",ISNUMBER($B$80),$B$80&gt;=0,$B$80&lt;=1,ROUND($B$81*12,0)&gt;=1,$B$81&lt;=100,SUM($B$82)&gt;=0,SUM($B$82)&lt;=1,SUM($B$83)&gt;=0)),IF(B808=0,0,IF(C808=0,B808/ROUND($B$81*12,0),B808*(C808/12)/(1-(1+C808/12)^(-ROUND($B$81*12,0))))),IF(AND(NOT(AND(408&gt;$B$173,$B$78="Refinance",ISNUMBER($B$80),$B$80&gt;=0,$B$80&lt;=1,ROUND($B$81*12,0)&gt;=1,$B$81&lt;=100,SUM($B$82)&gt;=0,SUM($B$82)&lt;=1,SUM($B$83)&gt;=0)),OR(408=1,408=$B$174+1,AND($B$175&gt;0,408=$B$175+1))),IF(AND($B$170=1,$B$66&gt;0,OR($B$175=0,408&lt;=$B$175)),$B$66,IF($B$172-MAX(408-1,$B$174)&gt;0,IF(B808=0,0,IF(C808=0,B808/($B$172-MAX(408-1,$B$174)),B808*(C808/12)/(1-(1+C808/12)^(-($B$172-MAX(408-1,$B$174)))))),"")),D807))))),IF(IF(AND(408&lt;=$B$174,408&lt;=$B$173),B808*C808/12,IF(AND(408=$B$173+1,AND(408&gt;$B$173,$B$78="Refinance",ISNUMBER($B$80),$B$80&gt;=0,$B$80&lt;=1,ROUND($B$81*12,0)&gt;=1,$B$81&lt;=100,SUM($B$82)&gt;=0,SUM($B$82)&lt;=1,SUM($B$83)&gt;=0)),IF(B808=0,0,IF(C808=0,B808/ROUND($B$81*12,0),B808*(C808/12)/(1-(1+C808/12)^(-ROUND($B$81*12,0))))),IF(AND(NOT(AND(408&gt;$B$173,$B$78="Refinance",ISNUMBER($B$80),$B$80&gt;=0,$B$80&lt;=1,ROUND($B$81*12,0)&gt;=1,$B$81&lt;=100,SUM($B$82)&gt;=0,SUM($B$82)&lt;=1,SUM($B$83)&gt;=0)),OR(408=1,408=$B$174+1,AND($B$175&gt;0,408=$B$175+1))),IF(AND($B$170=1,$B$66&gt;0,OR($B$175=0,408&lt;=$B$175)),$B$66,IF($B$172-MAX(408-1,$B$174)&gt;0,IF(B808=0,0,IF(C808=0,B808/($B$172-MAX(408-1,$B$174)),B808*(C808/12)/(1-(1+C808/12)^(-($B$172-MAX(408-1,$B$174)))))),"")),D807)))+0.0000001&gt;=B808*C808/12,MIN(B808*(1+C808/12),IF(AND(408&lt;=$B$174,408&lt;=$B$173),B808*C808/12,IF(AND(408=$B$173+1,AND(408&gt;$B$173,$B$78="Refinance",ISNUMBER($B$80),$B$80&gt;=0,$B$80&lt;=1,ROUND($B$81*12,0)&gt;=1,$B$81&lt;=100,SUM($B$82)&gt;=0,SUM($B$82)&lt;=1,SUM($B$83)&gt;=0)),IF(B808=0,0,IF(C808=0,B808/ROUND($B$81*12,0),B808*(C808/12)/(1-(1+C808/12)^(-ROUND($B$81*12,0))))),IF(AND(NOT(AND(408&gt;$B$173,$B$78="Refinance",ISNUMBER($B$80),$B$80&gt;=0,$B$80&lt;=1,ROUND($B$81*12,0)&gt;=1,$B$81&lt;=100,SUM($B$82)&gt;=0,SUM($B$82)&lt;=1,SUM($B$83)&gt;=0)),OR(408=1,408=$B$174+1,AND($B$175&gt;0,408=$B$175+1))),IF(AND($B$170=1,$B$66&gt;0,OR($B$175=0,408&lt;=$B$175)),$B$66,IF($B$172-MAX(408-1,$B$174)&gt;0,IF(B808=0,0,IF(C808=0,B808/($B$172-MAX(408-1,$B$174)),B808*(C808/12)/(1-(1+C808/12)^(-($B$172-MAX(408-1,$B$174)))))),"")),D807)))),""),""))</x:f>
        <x:v>0</x:v>
      </x:c>
      <x:c r="E808" s="440" t="n">
        <x:f>IF(AND(408=$B$173,ISNUMBER(D808)),IF(MAX(0,B808*(1+C808/12)-D808)&lt;MAX(0.0000001,$E$17*0.00000000001),0,MAX(0,B808*(1+C808/12)-D808)),0)</x:f>
        <x:v>0</x:v>
      </x:c>
      <x:c r="F808" s="440" t="n">
        <x:f>IF($B$78="Cash payoff",E808,0)</x:f>
        <x:v>0</x:v>
      </x:c>
      <x:c r="G808" s="440" t="n">
        <x:f>IF(AND(E808&gt;0,AND($B$78="Refinance",ISNUMBER($B$80),$B$80&gt;=0,$B$80&lt;=1,ROUND($B$81*12,0)&gt;=1,$B$81&lt;=100,SUM($B$82)&gt;=0,SUM($B$82)&lt;=1,SUM($B$83)&gt;=0)),E808*SUM($B$82)+SUM($B$83),0)</x:f>
        <x:v>0</x:v>
      </x:c>
      <x:c r="H808" s="440" t="n">
        <x:f>IF(ISNUMBER(D808),IF(MAX(0,B808*(1+C808/12)-D808-F808)&lt;MAX(0.0000001,$E$17*0.00000000001),0,MAX(0,B808*(1+C808/12)-D808-F808)),IF(AND($B$171=1,I807=1),B808,""))</x:f>
        <x:v>0</x:v>
      </x:c>
      <x:c r="I808" s="444" t="n">
        <x:f>IF(OR(I807=1,AND(E808&gt;0,$B$78&lt;&gt;"Cash payoff",NOT(AND($B$78="Refinance",ISNUMBER($B$80),$B$80&gt;=0,$B$80&lt;=1,ROUND($B$81*12,0)&gt;=1,$B$81&lt;=100,SUM($B$82)&gt;=0,SUM($B$82)&lt;=1,SUM($B$83)&gt;=0))),AND(ISNUMBER(B808),B808&gt;0,$B$171=1,NOT(ISNUMBER(D808)))),1,0)</x:f>
        <x:v>0</x:v>
      </x:c>
      <x:c r="J808" s="440" t="n">
        <x:f>IF(ISNUMBER(L807),L807,"")</x:f>
        <x:v>0</x:v>
      </x:c>
      <x:c r="K808" s="440" t="n">
        <x:f>IF(AND(ISNUMBER(J808),J808=0),0,IF(AND($B$176=1,ISNUMBER(J808)),MIN(J808*(1+$B$87/12),IF($B$86=0,0,IF($B$87=0,$B$86/ROUND($B$88*12,0),$B$86*($B$87/12)/(1-(1+$B$87/12)^(-ROUND($B$88*12,0)))))),""))</x:f>
        <x:v>0</x:v>
      </x:c>
      <x:c r="L808" s="440" t="n">
        <x:f>IF(ISNUMBER(K808),IF(MAX(0,J808*(1+SUM($B$87)/12)-K808)&lt;MAX(0.0000001,$B$86*0.00000000001),0,MAX(0,J808*(1+SUM($B$87)/12)-K808)),"")</x:f>
        <x:v>0</x:v>
      </x:c>
      <x:c r="M808" s="440" t="n">
        <x:f>IF(AND(ISNUMBER(D808),ISNUMBER(K808)),D808+K808,"")</x:f>
        <x:v>0</x:v>
      </x:c>
      <x:c r="N808" s="440" t="n">
        <x:f>IF(AND(ISNUMBER(H808),ISNUMBER(L808)),H808+L808,"")</x:f>
        <x:v>0</x:v>
      </x:c>
    </x:row>
    <x:row r="809" ht="22" customHeight="1">
      <x:c r="A809" s="254" t="n">
        <x:f>409</x:f>
        <x:v>409</x:v>
      </x:c>
      <x:c r="B809" s="440" t="n">
        <x:f>IF(ISNUMBER(H808),H808,"")</x:f>
        <x:v>0</x:v>
      </x:c>
      <x:c r="C809" s="442" t="n">
        <x:f>IF(ISNUMBER(B809),IF(AND(409&gt;$B$173,$B$78="Refinance",ISNUMBER($B$80),$B$80&gt;=0,$B$80&lt;=1,ROUND($B$81*12,0)&gt;=1,$B$81&lt;=100,SUM($B$82)&gt;=0,SUM($B$82)&lt;=1,SUM($B$83)&gt;=0),$B$80,IF(AND($B$175&gt;0,409&gt;$B$175,ISNUMBER($B$75)),$B$75,$B$61)),"")</x:f>
        <x:v>0.0625</x:v>
      </x:c>
      <x:c r="D809" s="440" t="n">
        <x:f>IF(AND(ISNUMBER(B809),B809=0),0,IF(AND($B$171=1,I808=0,ISNUMBER(C809),ISNUMBER(IF(AND(409&lt;=$B$174,409&lt;=$B$173),B809*C809/12,IF(AND(409=$B$173+1,AND(409&gt;$B$173,$B$78="Refinance",ISNUMBER($B$80),$B$80&gt;=0,$B$80&lt;=1,ROUND($B$81*12,0)&gt;=1,$B$81&lt;=100,SUM($B$82)&gt;=0,SUM($B$82)&lt;=1,SUM($B$83)&gt;=0)),IF(B809=0,0,IF(C809=0,B809/ROUND($B$81*12,0),B809*(C809/12)/(1-(1+C809/12)^(-ROUND($B$81*12,0))))),IF(AND(NOT(AND(409&gt;$B$173,$B$78="Refinance",ISNUMBER($B$80),$B$80&gt;=0,$B$80&lt;=1,ROUND($B$81*12,0)&gt;=1,$B$81&lt;=100,SUM($B$82)&gt;=0,SUM($B$82)&lt;=1,SUM($B$83)&gt;=0)),OR(409=1,409=$B$174+1,AND($B$175&gt;0,409=$B$175+1))),IF(AND($B$170=1,$B$66&gt;0,OR($B$175=0,409&lt;=$B$175)),$B$66,IF($B$172-MAX(409-1,$B$174)&gt;0,IF(B809=0,0,IF(C809=0,B809/($B$172-MAX(409-1,$B$174)),B809*(C809/12)/(1-(1+C809/12)^(-($B$172-MAX(409-1,$B$174)))))),"")),D808))))),IF(IF(AND(409&lt;=$B$174,409&lt;=$B$173),B809*C809/12,IF(AND(409=$B$173+1,AND(409&gt;$B$173,$B$78="Refinance",ISNUMBER($B$80),$B$80&gt;=0,$B$80&lt;=1,ROUND($B$81*12,0)&gt;=1,$B$81&lt;=100,SUM($B$82)&gt;=0,SUM($B$82)&lt;=1,SUM($B$83)&gt;=0)),IF(B809=0,0,IF(C809=0,B809/ROUND($B$81*12,0),B809*(C809/12)/(1-(1+C809/12)^(-ROUND($B$81*12,0))))),IF(AND(NOT(AND(409&gt;$B$173,$B$78="Refinance",ISNUMBER($B$80),$B$80&gt;=0,$B$80&lt;=1,ROUND($B$81*12,0)&gt;=1,$B$81&lt;=100,SUM($B$82)&gt;=0,SUM($B$82)&lt;=1,SUM($B$83)&gt;=0)),OR(409=1,409=$B$174+1,AND($B$175&gt;0,409=$B$175+1))),IF(AND($B$170=1,$B$66&gt;0,OR($B$175=0,409&lt;=$B$175)),$B$66,IF($B$172-MAX(409-1,$B$174)&gt;0,IF(B809=0,0,IF(C809=0,B809/($B$172-MAX(409-1,$B$174)),B809*(C809/12)/(1-(1+C809/12)^(-($B$172-MAX(409-1,$B$174)))))),"")),D808)))+0.0000001&gt;=B809*C809/12,MIN(B809*(1+C809/12),IF(AND(409&lt;=$B$174,409&lt;=$B$173),B809*C809/12,IF(AND(409=$B$173+1,AND(409&gt;$B$173,$B$78="Refinance",ISNUMBER($B$80),$B$80&gt;=0,$B$80&lt;=1,ROUND($B$81*12,0)&gt;=1,$B$81&lt;=100,SUM($B$82)&gt;=0,SUM($B$82)&lt;=1,SUM($B$83)&gt;=0)),IF(B809=0,0,IF(C809=0,B809/ROUND($B$81*12,0),B809*(C809/12)/(1-(1+C809/12)^(-ROUND($B$81*12,0))))),IF(AND(NOT(AND(409&gt;$B$173,$B$78="Refinance",ISNUMBER($B$80),$B$80&gt;=0,$B$80&lt;=1,ROUND($B$81*12,0)&gt;=1,$B$81&lt;=100,SUM($B$82)&gt;=0,SUM($B$82)&lt;=1,SUM($B$83)&gt;=0)),OR(409=1,409=$B$174+1,AND($B$175&gt;0,409=$B$175+1))),IF(AND($B$170=1,$B$66&gt;0,OR($B$175=0,409&lt;=$B$175)),$B$66,IF($B$172-MAX(409-1,$B$174)&gt;0,IF(B809=0,0,IF(C809=0,B809/($B$172-MAX(409-1,$B$174)),B809*(C809/12)/(1-(1+C809/12)^(-($B$172-MAX(409-1,$B$174)))))),"")),D808)))),""),""))</x:f>
        <x:v>0</x:v>
      </x:c>
      <x:c r="E809" s="440" t="n">
        <x:f>IF(AND(409=$B$173,ISNUMBER(D809)),IF(MAX(0,B809*(1+C809/12)-D809)&lt;MAX(0.0000001,$E$17*0.00000000001),0,MAX(0,B809*(1+C809/12)-D809)),0)</x:f>
        <x:v>0</x:v>
      </x:c>
      <x:c r="F809" s="440" t="n">
        <x:f>IF($B$78="Cash payoff",E809,0)</x:f>
        <x:v>0</x:v>
      </x:c>
      <x:c r="G809" s="440" t="n">
        <x:f>IF(AND(E809&gt;0,AND($B$78="Refinance",ISNUMBER($B$80),$B$80&gt;=0,$B$80&lt;=1,ROUND($B$81*12,0)&gt;=1,$B$81&lt;=100,SUM($B$82)&gt;=0,SUM($B$82)&lt;=1,SUM($B$83)&gt;=0)),E809*SUM($B$82)+SUM($B$83),0)</x:f>
        <x:v>0</x:v>
      </x:c>
      <x:c r="H809" s="440" t="n">
        <x:f>IF(ISNUMBER(D809),IF(MAX(0,B809*(1+C809/12)-D809-F809)&lt;MAX(0.0000001,$E$17*0.00000000001),0,MAX(0,B809*(1+C809/12)-D809-F809)),IF(AND($B$171=1,I808=1),B809,""))</x:f>
        <x:v>0</x:v>
      </x:c>
      <x:c r="I809" s="444" t="n">
        <x:f>IF(OR(I808=1,AND(E809&gt;0,$B$78&lt;&gt;"Cash payoff",NOT(AND($B$78="Refinance",ISNUMBER($B$80),$B$80&gt;=0,$B$80&lt;=1,ROUND($B$81*12,0)&gt;=1,$B$81&lt;=100,SUM($B$82)&gt;=0,SUM($B$82)&lt;=1,SUM($B$83)&gt;=0))),AND(ISNUMBER(B809),B809&gt;0,$B$171=1,NOT(ISNUMBER(D809)))),1,0)</x:f>
        <x:v>0</x:v>
      </x:c>
      <x:c r="J809" s="440" t="n">
        <x:f>IF(ISNUMBER(L808),L808,"")</x:f>
        <x:v>0</x:v>
      </x:c>
      <x:c r="K809" s="440" t="n">
        <x:f>IF(AND(ISNUMBER(J809),J809=0),0,IF(AND($B$176=1,ISNUMBER(J809)),MIN(J809*(1+$B$87/12),IF($B$86=0,0,IF($B$87=0,$B$86/ROUND($B$88*12,0),$B$86*($B$87/12)/(1-(1+$B$87/12)^(-ROUND($B$88*12,0)))))),""))</x:f>
        <x:v>0</x:v>
      </x:c>
      <x:c r="L809" s="440" t="n">
        <x:f>IF(ISNUMBER(K809),IF(MAX(0,J809*(1+SUM($B$87)/12)-K809)&lt;MAX(0.0000001,$B$86*0.00000000001),0,MAX(0,J809*(1+SUM($B$87)/12)-K809)),"")</x:f>
        <x:v>0</x:v>
      </x:c>
      <x:c r="M809" s="440" t="n">
        <x:f>IF(AND(ISNUMBER(D809),ISNUMBER(K809)),D809+K809,"")</x:f>
        <x:v>0</x:v>
      </x:c>
      <x:c r="N809" s="440" t="n">
        <x:f>IF(AND(ISNUMBER(H809),ISNUMBER(L809)),H809+L809,"")</x:f>
        <x:v>0</x:v>
      </x:c>
    </x:row>
    <x:row r="810" ht="22" customHeight="1">
      <x:c r="A810" s="254" t="n">
        <x:f>410</x:f>
        <x:v>410</x:v>
      </x:c>
      <x:c r="B810" s="440" t="n">
        <x:f>IF(ISNUMBER(H809),H809,"")</x:f>
        <x:v>0</x:v>
      </x:c>
      <x:c r="C810" s="442" t="n">
        <x:f>IF(ISNUMBER(B810),IF(AND(410&gt;$B$173,$B$78="Refinance",ISNUMBER($B$80),$B$80&gt;=0,$B$80&lt;=1,ROUND($B$81*12,0)&gt;=1,$B$81&lt;=100,SUM($B$82)&gt;=0,SUM($B$82)&lt;=1,SUM($B$83)&gt;=0),$B$80,IF(AND($B$175&gt;0,410&gt;$B$175,ISNUMBER($B$75)),$B$75,$B$61)),"")</x:f>
        <x:v>0.0625</x:v>
      </x:c>
      <x:c r="D810" s="440" t="n">
        <x:f>IF(AND(ISNUMBER(B810),B810=0),0,IF(AND($B$171=1,I809=0,ISNUMBER(C810),ISNUMBER(IF(AND(410&lt;=$B$174,410&lt;=$B$173),B810*C810/12,IF(AND(410=$B$173+1,AND(410&gt;$B$173,$B$78="Refinance",ISNUMBER($B$80),$B$80&gt;=0,$B$80&lt;=1,ROUND($B$81*12,0)&gt;=1,$B$81&lt;=100,SUM($B$82)&gt;=0,SUM($B$82)&lt;=1,SUM($B$83)&gt;=0)),IF(B810=0,0,IF(C810=0,B810/ROUND($B$81*12,0),B810*(C810/12)/(1-(1+C810/12)^(-ROUND($B$81*12,0))))),IF(AND(NOT(AND(410&gt;$B$173,$B$78="Refinance",ISNUMBER($B$80),$B$80&gt;=0,$B$80&lt;=1,ROUND($B$81*12,0)&gt;=1,$B$81&lt;=100,SUM($B$82)&gt;=0,SUM($B$82)&lt;=1,SUM($B$83)&gt;=0)),OR(410=1,410=$B$174+1,AND($B$175&gt;0,410=$B$175+1))),IF(AND($B$170=1,$B$66&gt;0,OR($B$175=0,410&lt;=$B$175)),$B$66,IF($B$172-MAX(410-1,$B$174)&gt;0,IF(B810=0,0,IF(C810=0,B810/($B$172-MAX(410-1,$B$174)),B810*(C810/12)/(1-(1+C810/12)^(-($B$172-MAX(410-1,$B$174)))))),"")),D809))))),IF(IF(AND(410&lt;=$B$174,410&lt;=$B$173),B810*C810/12,IF(AND(410=$B$173+1,AND(410&gt;$B$173,$B$78="Refinance",ISNUMBER($B$80),$B$80&gt;=0,$B$80&lt;=1,ROUND($B$81*12,0)&gt;=1,$B$81&lt;=100,SUM($B$82)&gt;=0,SUM($B$82)&lt;=1,SUM($B$83)&gt;=0)),IF(B810=0,0,IF(C810=0,B810/ROUND($B$81*12,0),B810*(C810/12)/(1-(1+C810/12)^(-ROUND($B$81*12,0))))),IF(AND(NOT(AND(410&gt;$B$173,$B$78="Refinance",ISNUMBER($B$80),$B$80&gt;=0,$B$80&lt;=1,ROUND($B$81*12,0)&gt;=1,$B$81&lt;=100,SUM($B$82)&gt;=0,SUM($B$82)&lt;=1,SUM($B$83)&gt;=0)),OR(410=1,410=$B$174+1,AND($B$175&gt;0,410=$B$175+1))),IF(AND($B$170=1,$B$66&gt;0,OR($B$175=0,410&lt;=$B$175)),$B$66,IF($B$172-MAX(410-1,$B$174)&gt;0,IF(B810=0,0,IF(C810=0,B810/($B$172-MAX(410-1,$B$174)),B810*(C810/12)/(1-(1+C810/12)^(-($B$172-MAX(410-1,$B$174)))))),"")),D809)))+0.0000001&gt;=B810*C810/12,MIN(B810*(1+C810/12),IF(AND(410&lt;=$B$174,410&lt;=$B$173),B810*C810/12,IF(AND(410=$B$173+1,AND(410&gt;$B$173,$B$78="Refinance",ISNUMBER($B$80),$B$80&gt;=0,$B$80&lt;=1,ROUND($B$81*12,0)&gt;=1,$B$81&lt;=100,SUM($B$82)&gt;=0,SUM($B$82)&lt;=1,SUM($B$83)&gt;=0)),IF(B810=0,0,IF(C810=0,B810/ROUND($B$81*12,0),B810*(C810/12)/(1-(1+C810/12)^(-ROUND($B$81*12,0))))),IF(AND(NOT(AND(410&gt;$B$173,$B$78="Refinance",ISNUMBER($B$80),$B$80&gt;=0,$B$80&lt;=1,ROUND($B$81*12,0)&gt;=1,$B$81&lt;=100,SUM($B$82)&gt;=0,SUM($B$82)&lt;=1,SUM($B$83)&gt;=0)),OR(410=1,410=$B$174+1,AND($B$175&gt;0,410=$B$175+1))),IF(AND($B$170=1,$B$66&gt;0,OR($B$175=0,410&lt;=$B$175)),$B$66,IF($B$172-MAX(410-1,$B$174)&gt;0,IF(B810=0,0,IF(C810=0,B810/($B$172-MAX(410-1,$B$174)),B810*(C810/12)/(1-(1+C810/12)^(-($B$172-MAX(410-1,$B$174)))))),"")),D809)))),""),""))</x:f>
        <x:v>0</x:v>
      </x:c>
      <x:c r="E810" s="440" t="n">
        <x:f>IF(AND(410=$B$173,ISNUMBER(D810)),IF(MAX(0,B810*(1+C810/12)-D810)&lt;MAX(0.0000001,$E$17*0.00000000001),0,MAX(0,B810*(1+C810/12)-D810)),0)</x:f>
        <x:v>0</x:v>
      </x:c>
      <x:c r="F810" s="440" t="n">
        <x:f>IF($B$78="Cash payoff",E810,0)</x:f>
        <x:v>0</x:v>
      </x:c>
      <x:c r="G810" s="440" t="n">
        <x:f>IF(AND(E810&gt;0,AND($B$78="Refinance",ISNUMBER($B$80),$B$80&gt;=0,$B$80&lt;=1,ROUND($B$81*12,0)&gt;=1,$B$81&lt;=100,SUM($B$82)&gt;=0,SUM($B$82)&lt;=1,SUM($B$83)&gt;=0)),E810*SUM($B$82)+SUM($B$83),0)</x:f>
        <x:v>0</x:v>
      </x:c>
      <x:c r="H810" s="440" t="n">
        <x:f>IF(ISNUMBER(D810),IF(MAX(0,B810*(1+C810/12)-D810-F810)&lt;MAX(0.0000001,$E$17*0.00000000001),0,MAX(0,B810*(1+C810/12)-D810-F810)),IF(AND($B$171=1,I809=1),B810,""))</x:f>
        <x:v>0</x:v>
      </x:c>
      <x:c r="I810" s="444" t="n">
        <x:f>IF(OR(I809=1,AND(E810&gt;0,$B$78&lt;&gt;"Cash payoff",NOT(AND($B$78="Refinance",ISNUMBER($B$80),$B$80&gt;=0,$B$80&lt;=1,ROUND($B$81*12,0)&gt;=1,$B$81&lt;=100,SUM($B$82)&gt;=0,SUM($B$82)&lt;=1,SUM($B$83)&gt;=0))),AND(ISNUMBER(B810),B810&gt;0,$B$171=1,NOT(ISNUMBER(D810)))),1,0)</x:f>
        <x:v>0</x:v>
      </x:c>
      <x:c r="J810" s="440" t="n">
        <x:f>IF(ISNUMBER(L809),L809,"")</x:f>
        <x:v>0</x:v>
      </x:c>
      <x:c r="K810" s="440" t="n">
        <x:f>IF(AND(ISNUMBER(J810),J810=0),0,IF(AND($B$176=1,ISNUMBER(J810)),MIN(J810*(1+$B$87/12),IF($B$86=0,0,IF($B$87=0,$B$86/ROUND($B$88*12,0),$B$86*($B$87/12)/(1-(1+$B$87/12)^(-ROUND($B$88*12,0)))))),""))</x:f>
        <x:v>0</x:v>
      </x:c>
      <x:c r="L810" s="440" t="n">
        <x:f>IF(ISNUMBER(K810),IF(MAX(0,J810*(1+SUM($B$87)/12)-K810)&lt;MAX(0.0000001,$B$86*0.00000000001),0,MAX(0,J810*(1+SUM($B$87)/12)-K810)),"")</x:f>
        <x:v>0</x:v>
      </x:c>
      <x:c r="M810" s="440" t="n">
        <x:f>IF(AND(ISNUMBER(D810),ISNUMBER(K810)),D810+K810,"")</x:f>
        <x:v>0</x:v>
      </x:c>
      <x:c r="N810" s="440" t="n">
        <x:f>IF(AND(ISNUMBER(H810),ISNUMBER(L810)),H810+L810,"")</x:f>
        <x:v>0</x:v>
      </x:c>
    </x:row>
    <x:row r="811" ht="22" customHeight="1">
      <x:c r="A811" s="254" t="n">
        <x:f>411</x:f>
        <x:v>411</x:v>
      </x:c>
      <x:c r="B811" s="440" t="n">
        <x:f>IF(ISNUMBER(H810),H810,"")</x:f>
        <x:v>0</x:v>
      </x:c>
      <x:c r="C811" s="442" t="n">
        <x:f>IF(ISNUMBER(B811),IF(AND(411&gt;$B$173,$B$78="Refinance",ISNUMBER($B$80),$B$80&gt;=0,$B$80&lt;=1,ROUND($B$81*12,0)&gt;=1,$B$81&lt;=100,SUM($B$82)&gt;=0,SUM($B$82)&lt;=1,SUM($B$83)&gt;=0),$B$80,IF(AND($B$175&gt;0,411&gt;$B$175,ISNUMBER($B$75)),$B$75,$B$61)),"")</x:f>
        <x:v>0.0625</x:v>
      </x:c>
      <x:c r="D811" s="440" t="n">
        <x:f>IF(AND(ISNUMBER(B811),B811=0),0,IF(AND($B$171=1,I810=0,ISNUMBER(C811),ISNUMBER(IF(AND(411&lt;=$B$174,411&lt;=$B$173),B811*C811/12,IF(AND(411=$B$173+1,AND(411&gt;$B$173,$B$78="Refinance",ISNUMBER($B$80),$B$80&gt;=0,$B$80&lt;=1,ROUND($B$81*12,0)&gt;=1,$B$81&lt;=100,SUM($B$82)&gt;=0,SUM($B$82)&lt;=1,SUM($B$83)&gt;=0)),IF(B811=0,0,IF(C811=0,B811/ROUND($B$81*12,0),B811*(C811/12)/(1-(1+C811/12)^(-ROUND($B$81*12,0))))),IF(AND(NOT(AND(411&gt;$B$173,$B$78="Refinance",ISNUMBER($B$80),$B$80&gt;=0,$B$80&lt;=1,ROUND($B$81*12,0)&gt;=1,$B$81&lt;=100,SUM($B$82)&gt;=0,SUM($B$82)&lt;=1,SUM($B$83)&gt;=0)),OR(411=1,411=$B$174+1,AND($B$175&gt;0,411=$B$175+1))),IF(AND($B$170=1,$B$66&gt;0,OR($B$175=0,411&lt;=$B$175)),$B$66,IF($B$172-MAX(411-1,$B$174)&gt;0,IF(B811=0,0,IF(C811=0,B811/($B$172-MAX(411-1,$B$174)),B811*(C811/12)/(1-(1+C811/12)^(-($B$172-MAX(411-1,$B$174)))))),"")),D810))))),IF(IF(AND(411&lt;=$B$174,411&lt;=$B$173),B811*C811/12,IF(AND(411=$B$173+1,AND(411&gt;$B$173,$B$78="Refinance",ISNUMBER($B$80),$B$80&gt;=0,$B$80&lt;=1,ROUND($B$81*12,0)&gt;=1,$B$81&lt;=100,SUM($B$82)&gt;=0,SUM($B$82)&lt;=1,SUM($B$83)&gt;=0)),IF(B811=0,0,IF(C811=0,B811/ROUND($B$81*12,0),B811*(C811/12)/(1-(1+C811/12)^(-ROUND($B$81*12,0))))),IF(AND(NOT(AND(411&gt;$B$173,$B$78="Refinance",ISNUMBER($B$80),$B$80&gt;=0,$B$80&lt;=1,ROUND($B$81*12,0)&gt;=1,$B$81&lt;=100,SUM($B$82)&gt;=0,SUM($B$82)&lt;=1,SUM($B$83)&gt;=0)),OR(411=1,411=$B$174+1,AND($B$175&gt;0,411=$B$175+1))),IF(AND($B$170=1,$B$66&gt;0,OR($B$175=0,411&lt;=$B$175)),$B$66,IF($B$172-MAX(411-1,$B$174)&gt;0,IF(B811=0,0,IF(C811=0,B811/($B$172-MAX(411-1,$B$174)),B811*(C811/12)/(1-(1+C811/12)^(-($B$172-MAX(411-1,$B$174)))))),"")),D810)))+0.0000001&gt;=B811*C811/12,MIN(B811*(1+C811/12),IF(AND(411&lt;=$B$174,411&lt;=$B$173),B811*C811/12,IF(AND(411=$B$173+1,AND(411&gt;$B$173,$B$78="Refinance",ISNUMBER($B$80),$B$80&gt;=0,$B$80&lt;=1,ROUND($B$81*12,0)&gt;=1,$B$81&lt;=100,SUM($B$82)&gt;=0,SUM($B$82)&lt;=1,SUM($B$83)&gt;=0)),IF(B811=0,0,IF(C811=0,B811/ROUND($B$81*12,0),B811*(C811/12)/(1-(1+C811/12)^(-ROUND($B$81*12,0))))),IF(AND(NOT(AND(411&gt;$B$173,$B$78="Refinance",ISNUMBER($B$80),$B$80&gt;=0,$B$80&lt;=1,ROUND($B$81*12,0)&gt;=1,$B$81&lt;=100,SUM($B$82)&gt;=0,SUM($B$82)&lt;=1,SUM($B$83)&gt;=0)),OR(411=1,411=$B$174+1,AND($B$175&gt;0,411=$B$175+1))),IF(AND($B$170=1,$B$66&gt;0,OR($B$175=0,411&lt;=$B$175)),$B$66,IF($B$172-MAX(411-1,$B$174)&gt;0,IF(B811=0,0,IF(C811=0,B811/($B$172-MAX(411-1,$B$174)),B811*(C811/12)/(1-(1+C811/12)^(-($B$172-MAX(411-1,$B$174)))))),"")),D810)))),""),""))</x:f>
        <x:v>0</x:v>
      </x:c>
      <x:c r="E811" s="440" t="n">
        <x:f>IF(AND(411=$B$173,ISNUMBER(D811)),IF(MAX(0,B811*(1+C811/12)-D811)&lt;MAX(0.0000001,$E$17*0.00000000001),0,MAX(0,B811*(1+C811/12)-D811)),0)</x:f>
        <x:v>0</x:v>
      </x:c>
      <x:c r="F811" s="440" t="n">
        <x:f>IF($B$78="Cash payoff",E811,0)</x:f>
        <x:v>0</x:v>
      </x:c>
      <x:c r="G811" s="440" t="n">
        <x:f>IF(AND(E811&gt;0,AND($B$78="Refinance",ISNUMBER($B$80),$B$80&gt;=0,$B$80&lt;=1,ROUND($B$81*12,0)&gt;=1,$B$81&lt;=100,SUM($B$82)&gt;=0,SUM($B$82)&lt;=1,SUM($B$83)&gt;=0)),E811*SUM($B$82)+SUM($B$83),0)</x:f>
        <x:v>0</x:v>
      </x:c>
      <x:c r="H811" s="440" t="n">
        <x:f>IF(ISNUMBER(D811),IF(MAX(0,B811*(1+C811/12)-D811-F811)&lt;MAX(0.0000001,$E$17*0.00000000001),0,MAX(0,B811*(1+C811/12)-D811-F811)),IF(AND($B$171=1,I810=1),B811,""))</x:f>
        <x:v>0</x:v>
      </x:c>
      <x:c r="I811" s="444" t="n">
        <x:f>IF(OR(I810=1,AND(E811&gt;0,$B$78&lt;&gt;"Cash payoff",NOT(AND($B$78="Refinance",ISNUMBER($B$80),$B$80&gt;=0,$B$80&lt;=1,ROUND($B$81*12,0)&gt;=1,$B$81&lt;=100,SUM($B$82)&gt;=0,SUM($B$82)&lt;=1,SUM($B$83)&gt;=0))),AND(ISNUMBER(B811),B811&gt;0,$B$171=1,NOT(ISNUMBER(D811)))),1,0)</x:f>
        <x:v>0</x:v>
      </x:c>
      <x:c r="J811" s="440" t="n">
        <x:f>IF(ISNUMBER(L810),L810,"")</x:f>
        <x:v>0</x:v>
      </x:c>
      <x:c r="K811" s="440" t="n">
        <x:f>IF(AND(ISNUMBER(J811),J811=0),0,IF(AND($B$176=1,ISNUMBER(J811)),MIN(J811*(1+$B$87/12),IF($B$86=0,0,IF($B$87=0,$B$86/ROUND($B$88*12,0),$B$86*($B$87/12)/(1-(1+$B$87/12)^(-ROUND($B$88*12,0)))))),""))</x:f>
        <x:v>0</x:v>
      </x:c>
      <x:c r="L811" s="440" t="n">
        <x:f>IF(ISNUMBER(K811),IF(MAX(0,J811*(1+SUM($B$87)/12)-K811)&lt;MAX(0.0000001,$B$86*0.00000000001),0,MAX(0,J811*(1+SUM($B$87)/12)-K811)),"")</x:f>
        <x:v>0</x:v>
      </x:c>
      <x:c r="M811" s="440" t="n">
        <x:f>IF(AND(ISNUMBER(D811),ISNUMBER(K811)),D811+K811,"")</x:f>
        <x:v>0</x:v>
      </x:c>
      <x:c r="N811" s="440" t="n">
        <x:f>IF(AND(ISNUMBER(H811),ISNUMBER(L811)),H811+L811,"")</x:f>
        <x:v>0</x:v>
      </x:c>
    </x:row>
    <x:row r="812" ht="22" customHeight="1">
      <x:c r="A812" s="254" t="n">
        <x:f>412</x:f>
        <x:v>412</x:v>
      </x:c>
      <x:c r="B812" s="440" t="n">
        <x:f>IF(ISNUMBER(H811),H811,"")</x:f>
        <x:v>0</x:v>
      </x:c>
      <x:c r="C812" s="442" t="n">
        <x:f>IF(ISNUMBER(B812),IF(AND(412&gt;$B$173,$B$78="Refinance",ISNUMBER($B$80),$B$80&gt;=0,$B$80&lt;=1,ROUND($B$81*12,0)&gt;=1,$B$81&lt;=100,SUM($B$82)&gt;=0,SUM($B$82)&lt;=1,SUM($B$83)&gt;=0),$B$80,IF(AND($B$175&gt;0,412&gt;$B$175,ISNUMBER($B$75)),$B$75,$B$61)),"")</x:f>
        <x:v>0.0625</x:v>
      </x:c>
      <x:c r="D812" s="440" t="n">
        <x:f>IF(AND(ISNUMBER(B812),B812=0),0,IF(AND($B$171=1,I811=0,ISNUMBER(C812),ISNUMBER(IF(AND(412&lt;=$B$174,412&lt;=$B$173),B812*C812/12,IF(AND(412=$B$173+1,AND(412&gt;$B$173,$B$78="Refinance",ISNUMBER($B$80),$B$80&gt;=0,$B$80&lt;=1,ROUND($B$81*12,0)&gt;=1,$B$81&lt;=100,SUM($B$82)&gt;=0,SUM($B$82)&lt;=1,SUM($B$83)&gt;=0)),IF(B812=0,0,IF(C812=0,B812/ROUND($B$81*12,0),B812*(C812/12)/(1-(1+C812/12)^(-ROUND($B$81*12,0))))),IF(AND(NOT(AND(412&gt;$B$173,$B$78="Refinance",ISNUMBER($B$80),$B$80&gt;=0,$B$80&lt;=1,ROUND($B$81*12,0)&gt;=1,$B$81&lt;=100,SUM($B$82)&gt;=0,SUM($B$82)&lt;=1,SUM($B$83)&gt;=0)),OR(412=1,412=$B$174+1,AND($B$175&gt;0,412=$B$175+1))),IF(AND($B$170=1,$B$66&gt;0,OR($B$175=0,412&lt;=$B$175)),$B$66,IF($B$172-MAX(412-1,$B$174)&gt;0,IF(B812=0,0,IF(C812=0,B812/($B$172-MAX(412-1,$B$174)),B812*(C812/12)/(1-(1+C812/12)^(-($B$172-MAX(412-1,$B$174)))))),"")),D811))))),IF(IF(AND(412&lt;=$B$174,412&lt;=$B$173),B812*C812/12,IF(AND(412=$B$173+1,AND(412&gt;$B$173,$B$78="Refinance",ISNUMBER($B$80),$B$80&gt;=0,$B$80&lt;=1,ROUND($B$81*12,0)&gt;=1,$B$81&lt;=100,SUM($B$82)&gt;=0,SUM($B$82)&lt;=1,SUM($B$83)&gt;=0)),IF(B812=0,0,IF(C812=0,B812/ROUND($B$81*12,0),B812*(C812/12)/(1-(1+C812/12)^(-ROUND($B$81*12,0))))),IF(AND(NOT(AND(412&gt;$B$173,$B$78="Refinance",ISNUMBER($B$80),$B$80&gt;=0,$B$80&lt;=1,ROUND($B$81*12,0)&gt;=1,$B$81&lt;=100,SUM($B$82)&gt;=0,SUM($B$82)&lt;=1,SUM($B$83)&gt;=0)),OR(412=1,412=$B$174+1,AND($B$175&gt;0,412=$B$175+1))),IF(AND($B$170=1,$B$66&gt;0,OR($B$175=0,412&lt;=$B$175)),$B$66,IF($B$172-MAX(412-1,$B$174)&gt;0,IF(B812=0,0,IF(C812=0,B812/($B$172-MAX(412-1,$B$174)),B812*(C812/12)/(1-(1+C812/12)^(-($B$172-MAX(412-1,$B$174)))))),"")),D811)))+0.0000001&gt;=B812*C812/12,MIN(B812*(1+C812/12),IF(AND(412&lt;=$B$174,412&lt;=$B$173),B812*C812/12,IF(AND(412=$B$173+1,AND(412&gt;$B$173,$B$78="Refinance",ISNUMBER($B$80),$B$80&gt;=0,$B$80&lt;=1,ROUND($B$81*12,0)&gt;=1,$B$81&lt;=100,SUM($B$82)&gt;=0,SUM($B$82)&lt;=1,SUM($B$83)&gt;=0)),IF(B812=0,0,IF(C812=0,B812/ROUND($B$81*12,0),B812*(C812/12)/(1-(1+C812/12)^(-ROUND($B$81*12,0))))),IF(AND(NOT(AND(412&gt;$B$173,$B$78="Refinance",ISNUMBER($B$80),$B$80&gt;=0,$B$80&lt;=1,ROUND($B$81*12,0)&gt;=1,$B$81&lt;=100,SUM($B$82)&gt;=0,SUM($B$82)&lt;=1,SUM($B$83)&gt;=0)),OR(412=1,412=$B$174+1,AND($B$175&gt;0,412=$B$175+1))),IF(AND($B$170=1,$B$66&gt;0,OR($B$175=0,412&lt;=$B$175)),$B$66,IF($B$172-MAX(412-1,$B$174)&gt;0,IF(B812=0,0,IF(C812=0,B812/($B$172-MAX(412-1,$B$174)),B812*(C812/12)/(1-(1+C812/12)^(-($B$172-MAX(412-1,$B$174)))))),"")),D811)))),""),""))</x:f>
        <x:v>0</x:v>
      </x:c>
      <x:c r="E812" s="440" t="n">
        <x:f>IF(AND(412=$B$173,ISNUMBER(D812)),IF(MAX(0,B812*(1+C812/12)-D812)&lt;MAX(0.0000001,$E$17*0.00000000001),0,MAX(0,B812*(1+C812/12)-D812)),0)</x:f>
        <x:v>0</x:v>
      </x:c>
      <x:c r="F812" s="440" t="n">
        <x:f>IF($B$78="Cash payoff",E812,0)</x:f>
        <x:v>0</x:v>
      </x:c>
      <x:c r="G812" s="440" t="n">
        <x:f>IF(AND(E812&gt;0,AND($B$78="Refinance",ISNUMBER($B$80),$B$80&gt;=0,$B$80&lt;=1,ROUND($B$81*12,0)&gt;=1,$B$81&lt;=100,SUM($B$82)&gt;=0,SUM($B$82)&lt;=1,SUM($B$83)&gt;=0)),E812*SUM($B$82)+SUM($B$83),0)</x:f>
        <x:v>0</x:v>
      </x:c>
      <x:c r="H812" s="440" t="n">
        <x:f>IF(ISNUMBER(D812),IF(MAX(0,B812*(1+C812/12)-D812-F812)&lt;MAX(0.0000001,$E$17*0.00000000001),0,MAX(0,B812*(1+C812/12)-D812-F812)),IF(AND($B$171=1,I811=1),B812,""))</x:f>
        <x:v>0</x:v>
      </x:c>
      <x:c r="I812" s="444" t="n">
        <x:f>IF(OR(I811=1,AND(E812&gt;0,$B$78&lt;&gt;"Cash payoff",NOT(AND($B$78="Refinance",ISNUMBER($B$80),$B$80&gt;=0,$B$80&lt;=1,ROUND($B$81*12,0)&gt;=1,$B$81&lt;=100,SUM($B$82)&gt;=0,SUM($B$82)&lt;=1,SUM($B$83)&gt;=0))),AND(ISNUMBER(B812),B812&gt;0,$B$171=1,NOT(ISNUMBER(D812)))),1,0)</x:f>
        <x:v>0</x:v>
      </x:c>
      <x:c r="J812" s="440" t="n">
        <x:f>IF(ISNUMBER(L811),L811,"")</x:f>
        <x:v>0</x:v>
      </x:c>
      <x:c r="K812" s="440" t="n">
        <x:f>IF(AND(ISNUMBER(J812),J812=0),0,IF(AND($B$176=1,ISNUMBER(J812)),MIN(J812*(1+$B$87/12),IF($B$86=0,0,IF($B$87=0,$B$86/ROUND($B$88*12,0),$B$86*($B$87/12)/(1-(1+$B$87/12)^(-ROUND($B$88*12,0)))))),""))</x:f>
        <x:v>0</x:v>
      </x:c>
      <x:c r="L812" s="440" t="n">
        <x:f>IF(ISNUMBER(K812),IF(MAX(0,J812*(1+SUM($B$87)/12)-K812)&lt;MAX(0.0000001,$B$86*0.00000000001),0,MAX(0,J812*(1+SUM($B$87)/12)-K812)),"")</x:f>
        <x:v>0</x:v>
      </x:c>
      <x:c r="M812" s="440" t="n">
        <x:f>IF(AND(ISNUMBER(D812),ISNUMBER(K812)),D812+K812,"")</x:f>
        <x:v>0</x:v>
      </x:c>
      <x:c r="N812" s="440" t="n">
        <x:f>IF(AND(ISNUMBER(H812),ISNUMBER(L812)),H812+L812,"")</x:f>
        <x:v>0</x:v>
      </x:c>
    </x:row>
    <x:row r="813" ht="22" customHeight="1">
      <x:c r="A813" s="254" t="n">
        <x:f>413</x:f>
        <x:v>413</x:v>
      </x:c>
      <x:c r="B813" s="440" t="n">
        <x:f>IF(ISNUMBER(H812),H812,"")</x:f>
        <x:v>0</x:v>
      </x:c>
      <x:c r="C813" s="442" t="n">
        <x:f>IF(ISNUMBER(B813),IF(AND(413&gt;$B$173,$B$78="Refinance",ISNUMBER($B$80),$B$80&gt;=0,$B$80&lt;=1,ROUND($B$81*12,0)&gt;=1,$B$81&lt;=100,SUM($B$82)&gt;=0,SUM($B$82)&lt;=1,SUM($B$83)&gt;=0),$B$80,IF(AND($B$175&gt;0,413&gt;$B$175,ISNUMBER($B$75)),$B$75,$B$61)),"")</x:f>
        <x:v>0.0625</x:v>
      </x:c>
      <x:c r="D813" s="440" t="n">
        <x:f>IF(AND(ISNUMBER(B813),B813=0),0,IF(AND($B$171=1,I812=0,ISNUMBER(C813),ISNUMBER(IF(AND(413&lt;=$B$174,413&lt;=$B$173),B813*C813/12,IF(AND(413=$B$173+1,AND(413&gt;$B$173,$B$78="Refinance",ISNUMBER($B$80),$B$80&gt;=0,$B$80&lt;=1,ROUND($B$81*12,0)&gt;=1,$B$81&lt;=100,SUM($B$82)&gt;=0,SUM($B$82)&lt;=1,SUM($B$83)&gt;=0)),IF(B813=0,0,IF(C813=0,B813/ROUND($B$81*12,0),B813*(C813/12)/(1-(1+C813/12)^(-ROUND($B$81*12,0))))),IF(AND(NOT(AND(413&gt;$B$173,$B$78="Refinance",ISNUMBER($B$80),$B$80&gt;=0,$B$80&lt;=1,ROUND($B$81*12,0)&gt;=1,$B$81&lt;=100,SUM($B$82)&gt;=0,SUM($B$82)&lt;=1,SUM($B$83)&gt;=0)),OR(413=1,413=$B$174+1,AND($B$175&gt;0,413=$B$175+1))),IF(AND($B$170=1,$B$66&gt;0,OR($B$175=0,413&lt;=$B$175)),$B$66,IF($B$172-MAX(413-1,$B$174)&gt;0,IF(B813=0,0,IF(C813=0,B813/($B$172-MAX(413-1,$B$174)),B813*(C813/12)/(1-(1+C813/12)^(-($B$172-MAX(413-1,$B$174)))))),"")),D812))))),IF(IF(AND(413&lt;=$B$174,413&lt;=$B$173),B813*C813/12,IF(AND(413=$B$173+1,AND(413&gt;$B$173,$B$78="Refinance",ISNUMBER($B$80),$B$80&gt;=0,$B$80&lt;=1,ROUND($B$81*12,0)&gt;=1,$B$81&lt;=100,SUM($B$82)&gt;=0,SUM($B$82)&lt;=1,SUM($B$83)&gt;=0)),IF(B813=0,0,IF(C813=0,B813/ROUND($B$81*12,0),B813*(C813/12)/(1-(1+C813/12)^(-ROUND($B$81*12,0))))),IF(AND(NOT(AND(413&gt;$B$173,$B$78="Refinance",ISNUMBER($B$80),$B$80&gt;=0,$B$80&lt;=1,ROUND($B$81*12,0)&gt;=1,$B$81&lt;=100,SUM($B$82)&gt;=0,SUM($B$82)&lt;=1,SUM($B$83)&gt;=0)),OR(413=1,413=$B$174+1,AND($B$175&gt;0,413=$B$175+1))),IF(AND($B$170=1,$B$66&gt;0,OR($B$175=0,413&lt;=$B$175)),$B$66,IF($B$172-MAX(413-1,$B$174)&gt;0,IF(B813=0,0,IF(C813=0,B813/($B$172-MAX(413-1,$B$174)),B813*(C813/12)/(1-(1+C813/12)^(-($B$172-MAX(413-1,$B$174)))))),"")),D812)))+0.0000001&gt;=B813*C813/12,MIN(B813*(1+C813/12),IF(AND(413&lt;=$B$174,413&lt;=$B$173),B813*C813/12,IF(AND(413=$B$173+1,AND(413&gt;$B$173,$B$78="Refinance",ISNUMBER($B$80),$B$80&gt;=0,$B$80&lt;=1,ROUND($B$81*12,0)&gt;=1,$B$81&lt;=100,SUM($B$82)&gt;=0,SUM($B$82)&lt;=1,SUM($B$83)&gt;=0)),IF(B813=0,0,IF(C813=0,B813/ROUND($B$81*12,0),B813*(C813/12)/(1-(1+C813/12)^(-ROUND($B$81*12,0))))),IF(AND(NOT(AND(413&gt;$B$173,$B$78="Refinance",ISNUMBER($B$80),$B$80&gt;=0,$B$80&lt;=1,ROUND($B$81*12,0)&gt;=1,$B$81&lt;=100,SUM($B$82)&gt;=0,SUM($B$82)&lt;=1,SUM($B$83)&gt;=0)),OR(413=1,413=$B$174+1,AND($B$175&gt;0,413=$B$175+1))),IF(AND($B$170=1,$B$66&gt;0,OR($B$175=0,413&lt;=$B$175)),$B$66,IF($B$172-MAX(413-1,$B$174)&gt;0,IF(B813=0,0,IF(C813=0,B813/($B$172-MAX(413-1,$B$174)),B813*(C813/12)/(1-(1+C813/12)^(-($B$172-MAX(413-1,$B$174)))))),"")),D812)))),""),""))</x:f>
        <x:v>0</x:v>
      </x:c>
      <x:c r="E813" s="440" t="n">
        <x:f>IF(AND(413=$B$173,ISNUMBER(D813)),IF(MAX(0,B813*(1+C813/12)-D813)&lt;MAX(0.0000001,$E$17*0.00000000001),0,MAX(0,B813*(1+C813/12)-D813)),0)</x:f>
        <x:v>0</x:v>
      </x:c>
      <x:c r="F813" s="440" t="n">
        <x:f>IF($B$78="Cash payoff",E813,0)</x:f>
        <x:v>0</x:v>
      </x:c>
      <x:c r="G813" s="440" t="n">
        <x:f>IF(AND(E813&gt;0,AND($B$78="Refinance",ISNUMBER($B$80),$B$80&gt;=0,$B$80&lt;=1,ROUND($B$81*12,0)&gt;=1,$B$81&lt;=100,SUM($B$82)&gt;=0,SUM($B$82)&lt;=1,SUM($B$83)&gt;=0)),E813*SUM($B$82)+SUM($B$83),0)</x:f>
        <x:v>0</x:v>
      </x:c>
      <x:c r="H813" s="440" t="n">
        <x:f>IF(ISNUMBER(D813),IF(MAX(0,B813*(1+C813/12)-D813-F813)&lt;MAX(0.0000001,$E$17*0.00000000001),0,MAX(0,B813*(1+C813/12)-D813-F813)),IF(AND($B$171=1,I812=1),B813,""))</x:f>
        <x:v>0</x:v>
      </x:c>
      <x:c r="I813" s="444" t="n">
        <x:f>IF(OR(I812=1,AND(E813&gt;0,$B$78&lt;&gt;"Cash payoff",NOT(AND($B$78="Refinance",ISNUMBER($B$80),$B$80&gt;=0,$B$80&lt;=1,ROUND($B$81*12,0)&gt;=1,$B$81&lt;=100,SUM($B$82)&gt;=0,SUM($B$82)&lt;=1,SUM($B$83)&gt;=0))),AND(ISNUMBER(B813),B813&gt;0,$B$171=1,NOT(ISNUMBER(D813)))),1,0)</x:f>
        <x:v>0</x:v>
      </x:c>
      <x:c r="J813" s="440" t="n">
        <x:f>IF(ISNUMBER(L812),L812,"")</x:f>
        <x:v>0</x:v>
      </x:c>
      <x:c r="K813" s="440" t="n">
        <x:f>IF(AND(ISNUMBER(J813),J813=0),0,IF(AND($B$176=1,ISNUMBER(J813)),MIN(J813*(1+$B$87/12),IF($B$86=0,0,IF($B$87=0,$B$86/ROUND($B$88*12,0),$B$86*($B$87/12)/(1-(1+$B$87/12)^(-ROUND($B$88*12,0)))))),""))</x:f>
        <x:v>0</x:v>
      </x:c>
      <x:c r="L813" s="440" t="n">
        <x:f>IF(ISNUMBER(K813),IF(MAX(0,J813*(1+SUM($B$87)/12)-K813)&lt;MAX(0.0000001,$B$86*0.00000000001),0,MAX(0,J813*(1+SUM($B$87)/12)-K813)),"")</x:f>
        <x:v>0</x:v>
      </x:c>
      <x:c r="M813" s="440" t="n">
        <x:f>IF(AND(ISNUMBER(D813),ISNUMBER(K813)),D813+K813,"")</x:f>
        <x:v>0</x:v>
      </x:c>
      <x:c r="N813" s="440" t="n">
        <x:f>IF(AND(ISNUMBER(H813),ISNUMBER(L813)),H813+L813,"")</x:f>
        <x:v>0</x:v>
      </x:c>
    </x:row>
    <x:row r="814" ht="22" customHeight="1">
      <x:c r="A814" s="254" t="n">
        <x:f>414</x:f>
        <x:v>414</x:v>
      </x:c>
      <x:c r="B814" s="440" t="n">
        <x:f>IF(ISNUMBER(H813),H813,"")</x:f>
        <x:v>0</x:v>
      </x:c>
      <x:c r="C814" s="442" t="n">
        <x:f>IF(ISNUMBER(B814),IF(AND(414&gt;$B$173,$B$78="Refinance",ISNUMBER($B$80),$B$80&gt;=0,$B$80&lt;=1,ROUND($B$81*12,0)&gt;=1,$B$81&lt;=100,SUM($B$82)&gt;=0,SUM($B$82)&lt;=1,SUM($B$83)&gt;=0),$B$80,IF(AND($B$175&gt;0,414&gt;$B$175,ISNUMBER($B$75)),$B$75,$B$61)),"")</x:f>
        <x:v>0.0625</x:v>
      </x:c>
      <x:c r="D814" s="440" t="n">
        <x:f>IF(AND(ISNUMBER(B814),B814=0),0,IF(AND($B$171=1,I813=0,ISNUMBER(C814),ISNUMBER(IF(AND(414&lt;=$B$174,414&lt;=$B$173),B814*C814/12,IF(AND(414=$B$173+1,AND(414&gt;$B$173,$B$78="Refinance",ISNUMBER($B$80),$B$80&gt;=0,$B$80&lt;=1,ROUND($B$81*12,0)&gt;=1,$B$81&lt;=100,SUM($B$82)&gt;=0,SUM($B$82)&lt;=1,SUM($B$83)&gt;=0)),IF(B814=0,0,IF(C814=0,B814/ROUND($B$81*12,0),B814*(C814/12)/(1-(1+C814/12)^(-ROUND($B$81*12,0))))),IF(AND(NOT(AND(414&gt;$B$173,$B$78="Refinance",ISNUMBER($B$80),$B$80&gt;=0,$B$80&lt;=1,ROUND($B$81*12,0)&gt;=1,$B$81&lt;=100,SUM($B$82)&gt;=0,SUM($B$82)&lt;=1,SUM($B$83)&gt;=0)),OR(414=1,414=$B$174+1,AND($B$175&gt;0,414=$B$175+1))),IF(AND($B$170=1,$B$66&gt;0,OR($B$175=0,414&lt;=$B$175)),$B$66,IF($B$172-MAX(414-1,$B$174)&gt;0,IF(B814=0,0,IF(C814=0,B814/($B$172-MAX(414-1,$B$174)),B814*(C814/12)/(1-(1+C814/12)^(-($B$172-MAX(414-1,$B$174)))))),"")),D813))))),IF(IF(AND(414&lt;=$B$174,414&lt;=$B$173),B814*C814/12,IF(AND(414=$B$173+1,AND(414&gt;$B$173,$B$78="Refinance",ISNUMBER($B$80),$B$80&gt;=0,$B$80&lt;=1,ROUND($B$81*12,0)&gt;=1,$B$81&lt;=100,SUM($B$82)&gt;=0,SUM($B$82)&lt;=1,SUM($B$83)&gt;=0)),IF(B814=0,0,IF(C814=0,B814/ROUND($B$81*12,0),B814*(C814/12)/(1-(1+C814/12)^(-ROUND($B$81*12,0))))),IF(AND(NOT(AND(414&gt;$B$173,$B$78="Refinance",ISNUMBER($B$80),$B$80&gt;=0,$B$80&lt;=1,ROUND($B$81*12,0)&gt;=1,$B$81&lt;=100,SUM($B$82)&gt;=0,SUM($B$82)&lt;=1,SUM($B$83)&gt;=0)),OR(414=1,414=$B$174+1,AND($B$175&gt;0,414=$B$175+1))),IF(AND($B$170=1,$B$66&gt;0,OR($B$175=0,414&lt;=$B$175)),$B$66,IF($B$172-MAX(414-1,$B$174)&gt;0,IF(B814=0,0,IF(C814=0,B814/($B$172-MAX(414-1,$B$174)),B814*(C814/12)/(1-(1+C814/12)^(-($B$172-MAX(414-1,$B$174)))))),"")),D813)))+0.0000001&gt;=B814*C814/12,MIN(B814*(1+C814/12),IF(AND(414&lt;=$B$174,414&lt;=$B$173),B814*C814/12,IF(AND(414=$B$173+1,AND(414&gt;$B$173,$B$78="Refinance",ISNUMBER($B$80),$B$80&gt;=0,$B$80&lt;=1,ROUND($B$81*12,0)&gt;=1,$B$81&lt;=100,SUM($B$82)&gt;=0,SUM($B$82)&lt;=1,SUM($B$83)&gt;=0)),IF(B814=0,0,IF(C814=0,B814/ROUND($B$81*12,0),B814*(C814/12)/(1-(1+C814/12)^(-ROUND($B$81*12,0))))),IF(AND(NOT(AND(414&gt;$B$173,$B$78="Refinance",ISNUMBER($B$80),$B$80&gt;=0,$B$80&lt;=1,ROUND($B$81*12,0)&gt;=1,$B$81&lt;=100,SUM($B$82)&gt;=0,SUM($B$82)&lt;=1,SUM($B$83)&gt;=0)),OR(414=1,414=$B$174+1,AND($B$175&gt;0,414=$B$175+1))),IF(AND($B$170=1,$B$66&gt;0,OR($B$175=0,414&lt;=$B$175)),$B$66,IF($B$172-MAX(414-1,$B$174)&gt;0,IF(B814=0,0,IF(C814=0,B814/($B$172-MAX(414-1,$B$174)),B814*(C814/12)/(1-(1+C814/12)^(-($B$172-MAX(414-1,$B$174)))))),"")),D813)))),""),""))</x:f>
        <x:v>0</x:v>
      </x:c>
      <x:c r="E814" s="440" t="n">
        <x:f>IF(AND(414=$B$173,ISNUMBER(D814)),IF(MAX(0,B814*(1+C814/12)-D814)&lt;MAX(0.0000001,$E$17*0.00000000001),0,MAX(0,B814*(1+C814/12)-D814)),0)</x:f>
        <x:v>0</x:v>
      </x:c>
      <x:c r="F814" s="440" t="n">
        <x:f>IF($B$78="Cash payoff",E814,0)</x:f>
        <x:v>0</x:v>
      </x:c>
      <x:c r="G814" s="440" t="n">
        <x:f>IF(AND(E814&gt;0,AND($B$78="Refinance",ISNUMBER($B$80),$B$80&gt;=0,$B$80&lt;=1,ROUND($B$81*12,0)&gt;=1,$B$81&lt;=100,SUM($B$82)&gt;=0,SUM($B$82)&lt;=1,SUM($B$83)&gt;=0)),E814*SUM($B$82)+SUM($B$83),0)</x:f>
        <x:v>0</x:v>
      </x:c>
      <x:c r="H814" s="440" t="n">
        <x:f>IF(ISNUMBER(D814),IF(MAX(0,B814*(1+C814/12)-D814-F814)&lt;MAX(0.0000001,$E$17*0.00000000001),0,MAX(0,B814*(1+C814/12)-D814-F814)),IF(AND($B$171=1,I813=1),B814,""))</x:f>
        <x:v>0</x:v>
      </x:c>
      <x:c r="I814" s="444" t="n">
        <x:f>IF(OR(I813=1,AND(E814&gt;0,$B$78&lt;&gt;"Cash payoff",NOT(AND($B$78="Refinance",ISNUMBER($B$80),$B$80&gt;=0,$B$80&lt;=1,ROUND($B$81*12,0)&gt;=1,$B$81&lt;=100,SUM($B$82)&gt;=0,SUM($B$82)&lt;=1,SUM($B$83)&gt;=0))),AND(ISNUMBER(B814),B814&gt;0,$B$171=1,NOT(ISNUMBER(D814)))),1,0)</x:f>
        <x:v>0</x:v>
      </x:c>
      <x:c r="J814" s="440" t="n">
        <x:f>IF(ISNUMBER(L813),L813,"")</x:f>
        <x:v>0</x:v>
      </x:c>
      <x:c r="K814" s="440" t="n">
        <x:f>IF(AND(ISNUMBER(J814),J814=0),0,IF(AND($B$176=1,ISNUMBER(J814)),MIN(J814*(1+$B$87/12),IF($B$86=0,0,IF($B$87=0,$B$86/ROUND($B$88*12,0),$B$86*($B$87/12)/(1-(1+$B$87/12)^(-ROUND($B$88*12,0)))))),""))</x:f>
        <x:v>0</x:v>
      </x:c>
      <x:c r="L814" s="440" t="n">
        <x:f>IF(ISNUMBER(K814),IF(MAX(0,J814*(1+SUM($B$87)/12)-K814)&lt;MAX(0.0000001,$B$86*0.00000000001),0,MAX(0,J814*(1+SUM($B$87)/12)-K814)),"")</x:f>
        <x:v>0</x:v>
      </x:c>
      <x:c r="M814" s="440" t="n">
        <x:f>IF(AND(ISNUMBER(D814),ISNUMBER(K814)),D814+K814,"")</x:f>
        <x:v>0</x:v>
      </x:c>
      <x:c r="N814" s="440" t="n">
        <x:f>IF(AND(ISNUMBER(H814),ISNUMBER(L814)),H814+L814,"")</x:f>
        <x:v>0</x:v>
      </x:c>
    </x:row>
    <x:row r="815" ht="22" customHeight="1">
      <x:c r="A815" s="254" t="n">
        <x:f>415</x:f>
        <x:v>415</x:v>
      </x:c>
      <x:c r="B815" s="440" t="n">
        <x:f>IF(ISNUMBER(H814),H814,"")</x:f>
        <x:v>0</x:v>
      </x:c>
      <x:c r="C815" s="442" t="n">
        <x:f>IF(ISNUMBER(B815),IF(AND(415&gt;$B$173,$B$78="Refinance",ISNUMBER($B$80),$B$80&gt;=0,$B$80&lt;=1,ROUND($B$81*12,0)&gt;=1,$B$81&lt;=100,SUM($B$82)&gt;=0,SUM($B$82)&lt;=1,SUM($B$83)&gt;=0),$B$80,IF(AND($B$175&gt;0,415&gt;$B$175,ISNUMBER($B$75)),$B$75,$B$61)),"")</x:f>
        <x:v>0.0625</x:v>
      </x:c>
      <x:c r="D815" s="440" t="n">
        <x:f>IF(AND(ISNUMBER(B815),B815=0),0,IF(AND($B$171=1,I814=0,ISNUMBER(C815),ISNUMBER(IF(AND(415&lt;=$B$174,415&lt;=$B$173),B815*C815/12,IF(AND(415=$B$173+1,AND(415&gt;$B$173,$B$78="Refinance",ISNUMBER($B$80),$B$80&gt;=0,$B$80&lt;=1,ROUND($B$81*12,0)&gt;=1,$B$81&lt;=100,SUM($B$82)&gt;=0,SUM($B$82)&lt;=1,SUM($B$83)&gt;=0)),IF(B815=0,0,IF(C815=0,B815/ROUND($B$81*12,0),B815*(C815/12)/(1-(1+C815/12)^(-ROUND($B$81*12,0))))),IF(AND(NOT(AND(415&gt;$B$173,$B$78="Refinance",ISNUMBER($B$80),$B$80&gt;=0,$B$80&lt;=1,ROUND($B$81*12,0)&gt;=1,$B$81&lt;=100,SUM($B$82)&gt;=0,SUM($B$82)&lt;=1,SUM($B$83)&gt;=0)),OR(415=1,415=$B$174+1,AND($B$175&gt;0,415=$B$175+1))),IF(AND($B$170=1,$B$66&gt;0,OR($B$175=0,415&lt;=$B$175)),$B$66,IF($B$172-MAX(415-1,$B$174)&gt;0,IF(B815=0,0,IF(C815=0,B815/($B$172-MAX(415-1,$B$174)),B815*(C815/12)/(1-(1+C815/12)^(-($B$172-MAX(415-1,$B$174)))))),"")),D814))))),IF(IF(AND(415&lt;=$B$174,415&lt;=$B$173),B815*C815/12,IF(AND(415=$B$173+1,AND(415&gt;$B$173,$B$78="Refinance",ISNUMBER($B$80),$B$80&gt;=0,$B$80&lt;=1,ROUND($B$81*12,0)&gt;=1,$B$81&lt;=100,SUM($B$82)&gt;=0,SUM($B$82)&lt;=1,SUM($B$83)&gt;=0)),IF(B815=0,0,IF(C815=0,B815/ROUND($B$81*12,0),B815*(C815/12)/(1-(1+C815/12)^(-ROUND($B$81*12,0))))),IF(AND(NOT(AND(415&gt;$B$173,$B$78="Refinance",ISNUMBER($B$80),$B$80&gt;=0,$B$80&lt;=1,ROUND($B$81*12,0)&gt;=1,$B$81&lt;=100,SUM($B$82)&gt;=0,SUM($B$82)&lt;=1,SUM($B$83)&gt;=0)),OR(415=1,415=$B$174+1,AND($B$175&gt;0,415=$B$175+1))),IF(AND($B$170=1,$B$66&gt;0,OR($B$175=0,415&lt;=$B$175)),$B$66,IF($B$172-MAX(415-1,$B$174)&gt;0,IF(B815=0,0,IF(C815=0,B815/($B$172-MAX(415-1,$B$174)),B815*(C815/12)/(1-(1+C815/12)^(-($B$172-MAX(415-1,$B$174)))))),"")),D814)))+0.0000001&gt;=B815*C815/12,MIN(B815*(1+C815/12),IF(AND(415&lt;=$B$174,415&lt;=$B$173),B815*C815/12,IF(AND(415=$B$173+1,AND(415&gt;$B$173,$B$78="Refinance",ISNUMBER($B$80),$B$80&gt;=0,$B$80&lt;=1,ROUND($B$81*12,0)&gt;=1,$B$81&lt;=100,SUM($B$82)&gt;=0,SUM($B$82)&lt;=1,SUM($B$83)&gt;=0)),IF(B815=0,0,IF(C815=0,B815/ROUND($B$81*12,0),B815*(C815/12)/(1-(1+C815/12)^(-ROUND($B$81*12,0))))),IF(AND(NOT(AND(415&gt;$B$173,$B$78="Refinance",ISNUMBER($B$80),$B$80&gt;=0,$B$80&lt;=1,ROUND($B$81*12,0)&gt;=1,$B$81&lt;=100,SUM($B$82)&gt;=0,SUM($B$82)&lt;=1,SUM($B$83)&gt;=0)),OR(415=1,415=$B$174+1,AND($B$175&gt;0,415=$B$175+1))),IF(AND($B$170=1,$B$66&gt;0,OR($B$175=0,415&lt;=$B$175)),$B$66,IF($B$172-MAX(415-1,$B$174)&gt;0,IF(B815=0,0,IF(C815=0,B815/($B$172-MAX(415-1,$B$174)),B815*(C815/12)/(1-(1+C815/12)^(-($B$172-MAX(415-1,$B$174)))))),"")),D814)))),""),""))</x:f>
        <x:v>0</x:v>
      </x:c>
      <x:c r="E815" s="440" t="n">
        <x:f>IF(AND(415=$B$173,ISNUMBER(D815)),IF(MAX(0,B815*(1+C815/12)-D815)&lt;MAX(0.0000001,$E$17*0.00000000001),0,MAX(0,B815*(1+C815/12)-D815)),0)</x:f>
        <x:v>0</x:v>
      </x:c>
      <x:c r="F815" s="440" t="n">
        <x:f>IF($B$78="Cash payoff",E815,0)</x:f>
        <x:v>0</x:v>
      </x:c>
      <x:c r="G815" s="440" t="n">
        <x:f>IF(AND(E815&gt;0,AND($B$78="Refinance",ISNUMBER($B$80),$B$80&gt;=0,$B$80&lt;=1,ROUND($B$81*12,0)&gt;=1,$B$81&lt;=100,SUM($B$82)&gt;=0,SUM($B$82)&lt;=1,SUM($B$83)&gt;=0)),E815*SUM($B$82)+SUM($B$83),0)</x:f>
        <x:v>0</x:v>
      </x:c>
      <x:c r="H815" s="440" t="n">
        <x:f>IF(ISNUMBER(D815),IF(MAX(0,B815*(1+C815/12)-D815-F815)&lt;MAX(0.0000001,$E$17*0.00000000001),0,MAX(0,B815*(1+C815/12)-D815-F815)),IF(AND($B$171=1,I814=1),B815,""))</x:f>
        <x:v>0</x:v>
      </x:c>
      <x:c r="I815" s="444" t="n">
        <x:f>IF(OR(I814=1,AND(E815&gt;0,$B$78&lt;&gt;"Cash payoff",NOT(AND($B$78="Refinance",ISNUMBER($B$80),$B$80&gt;=0,$B$80&lt;=1,ROUND($B$81*12,0)&gt;=1,$B$81&lt;=100,SUM($B$82)&gt;=0,SUM($B$82)&lt;=1,SUM($B$83)&gt;=0))),AND(ISNUMBER(B815),B815&gt;0,$B$171=1,NOT(ISNUMBER(D815)))),1,0)</x:f>
        <x:v>0</x:v>
      </x:c>
      <x:c r="J815" s="440" t="n">
        <x:f>IF(ISNUMBER(L814),L814,"")</x:f>
        <x:v>0</x:v>
      </x:c>
      <x:c r="K815" s="440" t="n">
        <x:f>IF(AND(ISNUMBER(J815),J815=0),0,IF(AND($B$176=1,ISNUMBER(J815)),MIN(J815*(1+$B$87/12),IF($B$86=0,0,IF($B$87=0,$B$86/ROUND($B$88*12,0),$B$86*($B$87/12)/(1-(1+$B$87/12)^(-ROUND($B$88*12,0)))))),""))</x:f>
        <x:v>0</x:v>
      </x:c>
      <x:c r="L815" s="440" t="n">
        <x:f>IF(ISNUMBER(K815),IF(MAX(0,J815*(1+SUM($B$87)/12)-K815)&lt;MAX(0.0000001,$B$86*0.00000000001),0,MAX(0,J815*(1+SUM($B$87)/12)-K815)),"")</x:f>
        <x:v>0</x:v>
      </x:c>
      <x:c r="M815" s="440" t="n">
        <x:f>IF(AND(ISNUMBER(D815),ISNUMBER(K815)),D815+K815,"")</x:f>
        <x:v>0</x:v>
      </x:c>
      <x:c r="N815" s="440" t="n">
        <x:f>IF(AND(ISNUMBER(H815),ISNUMBER(L815)),H815+L815,"")</x:f>
        <x:v>0</x:v>
      </x:c>
    </x:row>
    <x:row r="816" ht="22" customHeight="1">
      <x:c r="A816" s="254" t="n">
        <x:f>416</x:f>
        <x:v>416</x:v>
      </x:c>
      <x:c r="B816" s="440" t="n">
        <x:f>IF(ISNUMBER(H815),H815,"")</x:f>
        <x:v>0</x:v>
      </x:c>
      <x:c r="C816" s="442" t="n">
        <x:f>IF(ISNUMBER(B816),IF(AND(416&gt;$B$173,$B$78="Refinance",ISNUMBER($B$80),$B$80&gt;=0,$B$80&lt;=1,ROUND($B$81*12,0)&gt;=1,$B$81&lt;=100,SUM($B$82)&gt;=0,SUM($B$82)&lt;=1,SUM($B$83)&gt;=0),$B$80,IF(AND($B$175&gt;0,416&gt;$B$175,ISNUMBER($B$75)),$B$75,$B$61)),"")</x:f>
        <x:v>0.0625</x:v>
      </x:c>
      <x:c r="D816" s="440" t="n">
        <x:f>IF(AND(ISNUMBER(B816),B816=0),0,IF(AND($B$171=1,I815=0,ISNUMBER(C816),ISNUMBER(IF(AND(416&lt;=$B$174,416&lt;=$B$173),B816*C816/12,IF(AND(416=$B$173+1,AND(416&gt;$B$173,$B$78="Refinance",ISNUMBER($B$80),$B$80&gt;=0,$B$80&lt;=1,ROUND($B$81*12,0)&gt;=1,$B$81&lt;=100,SUM($B$82)&gt;=0,SUM($B$82)&lt;=1,SUM($B$83)&gt;=0)),IF(B816=0,0,IF(C816=0,B816/ROUND($B$81*12,0),B816*(C816/12)/(1-(1+C816/12)^(-ROUND($B$81*12,0))))),IF(AND(NOT(AND(416&gt;$B$173,$B$78="Refinance",ISNUMBER($B$80),$B$80&gt;=0,$B$80&lt;=1,ROUND($B$81*12,0)&gt;=1,$B$81&lt;=100,SUM($B$82)&gt;=0,SUM($B$82)&lt;=1,SUM($B$83)&gt;=0)),OR(416=1,416=$B$174+1,AND($B$175&gt;0,416=$B$175+1))),IF(AND($B$170=1,$B$66&gt;0,OR($B$175=0,416&lt;=$B$175)),$B$66,IF($B$172-MAX(416-1,$B$174)&gt;0,IF(B816=0,0,IF(C816=0,B816/($B$172-MAX(416-1,$B$174)),B816*(C816/12)/(1-(1+C816/12)^(-($B$172-MAX(416-1,$B$174)))))),"")),D815))))),IF(IF(AND(416&lt;=$B$174,416&lt;=$B$173),B816*C816/12,IF(AND(416=$B$173+1,AND(416&gt;$B$173,$B$78="Refinance",ISNUMBER($B$80),$B$80&gt;=0,$B$80&lt;=1,ROUND($B$81*12,0)&gt;=1,$B$81&lt;=100,SUM($B$82)&gt;=0,SUM($B$82)&lt;=1,SUM($B$83)&gt;=0)),IF(B816=0,0,IF(C816=0,B816/ROUND($B$81*12,0),B816*(C816/12)/(1-(1+C816/12)^(-ROUND($B$81*12,0))))),IF(AND(NOT(AND(416&gt;$B$173,$B$78="Refinance",ISNUMBER($B$80),$B$80&gt;=0,$B$80&lt;=1,ROUND($B$81*12,0)&gt;=1,$B$81&lt;=100,SUM($B$82)&gt;=0,SUM($B$82)&lt;=1,SUM($B$83)&gt;=0)),OR(416=1,416=$B$174+1,AND($B$175&gt;0,416=$B$175+1))),IF(AND($B$170=1,$B$66&gt;0,OR($B$175=0,416&lt;=$B$175)),$B$66,IF($B$172-MAX(416-1,$B$174)&gt;0,IF(B816=0,0,IF(C816=0,B816/($B$172-MAX(416-1,$B$174)),B816*(C816/12)/(1-(1+C816/12)^(-($B$172-MAX(416-1,$B$174)))))),"")),D815)))+0.0000001&gt;=B816*C816/12,MIN(B816*(1+C816/12),IF(AND(416&lt;=$B$174,416&lt;=$B$173),B816*C816/12,IF(AND(416=$B$173+1,AND(416&gt;$B$173,$B$78="Refinance",ISNUMBER($B$80),$B$80&gt;=0,$B$80&lt;=1,ROUND($B$81*12,0)&gt;=1,$B$81&lt;=100,SUM($B$82)&gt;=0,SUM($B$82)&lt;=1,SUM($B$83)&gt;=0)),IF(B816=0,0,IF(C816=0,B816/ROUND($B$81*12,0),B816*(C816/12)/(1-(1+C816/12)^(-ROUND($B$81*12,0))))),IF(AND(NOT(AND(416&gt;$B$173,$B$78="Refinance",ISNUMBER($B$80),$B$80&gt;=0,$B$80&lt;=1,ROUND($B$81*12,0)&gt;=1,$B$81&lt;=100,SUM($B$82)&gt;=0,SUM($B$82)&lt;=1,SUM($B$83)&gt;=0)),OR(416=1,416=$B$174+1,AND($B$175&gt;0,416=$B$175+1))),IF(AND($B$170=1,$B$66&gt;0,OR($B$175=0,416&lt;=$B$175)),$B$66,IF($B$172-MAX(416-1,$B$174)&gt;0,IF(B816=0,0,IF(C816=0,B816/($B$172-MAX(416-1,$B$174)),B816*(C816/12)/(1-(1+C816/12)^(-($B$172-MAX(416-1,$B$174)))))),"")),D815)))),""),""))</x:f>
        <x:v>0</x:v>
      </x:c>
      <x:c r="E816" s="440" t="n">
        <x:f>IF(AND(416=$B$173,ISNUMBER(D816)),IF(MAX(0,B816*(1+C816/12)-D816)&lt;MAX(0.0000001,$E$17*0.00000000001),0,MAX(0,B816*(1+C816/12)-D816)),0)</x:f>
        <x:v>0</x:v>
      </x:c>
      <x:c r="F816" s="440" t="n">
        <x:f>IF($B$78="Cash payoff",E816,0)</x:f>
        <x:v>0</x:v>
      </x:c>
      <x:c r="G816" s="440" t="n">
        <x:f>IF(AND(E816&gt;0,AND($B$78="Refinance",ISNUMBER($B$80),$B$80&gt;=0,$B$80&lt;=1,ROUND($B$81*12,0)&gt;=1,$B$81&lt;=100,SUM($B$82)&gt;=0,SUM($B$82)&lt;=1,SUM($B$83)&gt;=0)),E816*SUM($B$82)+SUM($B$83),0)</x:f>
        <x:v>0</x:v>
      </x:c>
      <x:c r="H816" s="440" t="n">
        <x:f>IF(ISNUMBER(D816),IF(MAX(0,B816*(1+C816/12)-D816-F816)&lt;MAX(0.0000001,$E$17*0.00000000001),0,MAX(0,B816*(1+C816/12)-D816-F816)),IF(AND($B$171=1,I815=1),B816,""))</x:f>
        <x:v>0</x:v>
      </x:c>
      <x:c r="I816" s="444" t="n">
        <x:f>IF(OR(I815=1,AND(E816&gt;0,$B$78&lt;&gt;"Cash payoff",NOT(AND($B$78="Refinance",ISNUMBER($B$80),$B$80&gt;=0,$B$80&lt;=1,ROUND($B$81*12,0)&gt;=1,$B$81&lt;=100,SUM($B$82)&gt;=0,SUM($B$82)&lt;=1,SUM($B$83)&gt;=0))),AND(ISNUMBER(B816),B816&gt;0,$B$171=1,NOT(ISNUMBER(D816)))),1,0)</x:f>
        <x:v>0</x:v>
      </x:c>
      <x:c r="J816" s="440" t="n">
        <x:f>IF(ISNUMBER(L815),L815,"")</x:f>
        <x:v>0</x:v>
      </x:c>
      <x:c r="K816" s="440" t="n">
        <x:f>IF(AND(ISNUMBER(J816),J816=0),0,IF(AND($B$176=1,ISNUMBER(J816)),MIN(J816*(1+$B$87/12),IF($B$86=0,0,IF($B$87=0,$B$86/ROUND($B$88*12,0),$B$86*($B$87/12)/(1-(1+$B$87/12)^(-ROUND($B$88*12,0)))))),""))</x:f>
        <x:v>0</x:v>
      </x:c>
      <x:c r="L816" s="440" t="n">
        <x:f>IF(ISNUMBER(K816),IF(MAX(0,J816*(1+SUM($B$87)/12)-K816)&lt;MAX(0.0000001,$B$86*0.00000000001),0,MAX(0,J816*(1+SUM($B$87)/12)-K816)),"")</x:f>
        <x:v>0</x:v>
      </x:c>
      <x:c r="M816" s="440" t="n">
        <x:f>IF(AND(ISNUMBER(D816),ISNUMBER(K816)),D816+K816,"")</x:f>
        <x:v>0</x:v>
      </x:c>
      <x:c r="N816" s="440" t="n">
        <x:f>IF(AND(ISNUMBER(H816),ISNUMBER(L816)),H816+L816,"")</x:f>
        <x:v>0</x:v>
      </x:c>
    </x:row>
    <x:row r="817" ht="22" customHeight="1">
      <x:c r="A817" s="254" t="n">
        <x:f>417</x:f>
        <x:v>417</x:v>
      </x:c>
      <x:c r="B817" s="440" t="n">
        <x:f>IF(ISNUMBER(H816),H816,"")</x:f>
        <x:v>0</x:v>
      </x:c>
      <x:c r="C817" s="442" t="n">
        <x:f>IF(ISNUMBER(B817),IF(AND(417&gt;$B$173,$B$78="Refinance",ISNUMBER($B$80),$B$80&gt;=0,$B$80&lt;=1,ROUND($B$81*12,0)&gt;=1,$B$81&lt;=100,SUM($B$82)&gt;=0,SUM($B$82)&lt;=1,SUM($B$83)&gt;=0),$B$80,IF(AND($B$175&gt;0,417&gt;$B$175,ISNUMBER($B$75)),$B$75,$B$61)),"")</x:f>
        <x:v>0.0625</x:v>
      </x:c>
      <x:c r="D817" s="440" t="n">
        <x:f>IF(AND(ISNUMBER(B817),B817=0),0,IF(AND($B$171=1,I816=0,ISNUMBER(C817),ISNUMBER(IF(AND(417&lt;=$B$174,417&lt;=$B$173),B817*C817/12,IF(AND(417=$B$173+1,AND(417&gt;$B$173,$B$78="Refinance",ISNUMBER($B$80),$B$80&gt;=0,$B$80&lt;=1,ROUND($B$81*12,0)&gt;=1,$B$81&lt;=100,SUM($B$82)&gt;=0,SUM($B$82)&lt;=1,SUM($B$83)&gt;=0)),IF(B817=0,0,IF(C817=0,B817/ROUND($B$81*12,0),B817*(C817/12)/(1-(1+C817/12)^(-ROUND($B$81*12,0))))),IF(AND(NOT(AND(417&gt;$B$173,$B$78="Refinance",ISNUMBER($B$80),$B$80&gt;=0,$B$80&lt;=1,ROUND($B$81*12,0)&gt;=1,$B$81&lt;=100,SUM($B$82)&gt;=0,SUM($B$82)&lt;=1,SUM($B$83)&gt;=0)),OR(417=1,417=$B$174+1,AND($B$175&gt;0,417=$B$175+1))),IF(AND($B$170=1,$B$66&gt;0,OR($B$175=0,417&lt;=$B$175)),$B$66,IF($B$172-MAX(417-1,$B$174)&gt;0,IF(B817=0,0,IF(C817=0,B817/($B$172-MAX(417-1,$B$174)),B817*(C817/12)/(1-(1+C817/12)^(-($B$172-MAX(417-1,$B$174)))))),"")),D816))))),IF(IF(AND(417&lt;=$B$174,417&lt;=$B$173),B817*C817/12,IF(AND(417=$B$173+1,AND(417&gt;$B$173,$B$78="Refinance",ISNUMBER($B$80),$B$80&gt;=0,$B$80&lt;=1,ROUND($B$81*12,0)&gt;=1,$B$81&lt;=100,SUM($B$82)&gt;=0,SUM($B$82)&lt;=1,SUM($B$83)&gt;=0)),IF(B817=0,0,IF(C817=0,B817/ROUND($B$81*12,0),B817*(C817/12)/(1-(1+C817/12)^(-ROUND($B$81*12,0))))),IF(AND(NOT(AND(417&gt;$B$173,$B$78="Refinance",ISNUMBER($B$80),$B$80&gt;=0,$B$80&lt;=1,ROUND($B$81*12,0)&gt;=1,$B$81&lt;=100,SUM($B$82)&gt;=0,SUM($B$82)&lt;=1,SUM($B$83)&gt;=0)),OR(417=1,417=$B$174+1,AND($B$175&gt;0,417=$B$175+1))),IF(AND($B$170=1,$B$66&gt;0,OR($B$175=0,417&lt;=$B$175)),$B$66,IF($B$172-MAX(417-1,$B$174)&gt;0,IF(B817=0,0,IF(C817=0,B817/($B$172-MAX(417-1,$B$174)),B817*(C817/12)/(1-(1+C817/12)^(-($B$172-MAX(417-1,$B$174)))))),"")),D816)))+0.0000001&gt;=B817*C817/12,MIN(B817*(1+C817/12),IF(AND(417&lt;=$B$174,417&lt;=$B$173),B817*C817/12,IF(AND(417=$B$173+1,AND(417&gt;$B$173,$B$78="Refinance",ISNUMBER($B$80),$B$80&gt;=0,$B$80&lt;=1,ROUND($B$81*12,0)&gt;=1,$B$81&lt;=100,SUM($B$82)&gt;=0,SUM($B$82)&lt;=1,SUM($B$83)&gt;=0)),IF(B817=0,0,IF(C817=0,B817/ROUND($B$81*12,0),B817*(C817/12)/(1-(1+C817/12)^(-ROUND($B$81*12,0))))),IF(AND(NOT(AND(417&gt;$B$173,$B$78="Refinance",ISNUMBER($B$80),$B$80&gt;=0,$B$80&lt;=1,ROUND($B$81*12,0)&gt;=1,$B$81&lt;=100,SUM($B$82)&gt;=0,SUM($B$82)&lt;=1,SUM($B$83)&gt;=0)),OR(417=1,417=$B$174+1,AND($B$175&gt;0,417=$B$175+1))),IF(AND($B$170=1,$B$66&gt;0,OR($B$175=0,417&lt;=$B$175)),$B$66,IF($B$172-MAX(417-1,$B$174)&gt;0,IF(B817=0,0,IF(C817=0,B817/($B$172-MAX(417-1,$B$174)),B817*(C817/12)/(1-(1+C817/12)^(-($B$172-MAX(417-1,$B$174)))))),"")),D816)))),""),""))</x:f>
        <x:v>0</x:v>
      </x:c>
      <x:c r="E817" s="440" t="n">
        <x:f>IF(AND(417=$B$173,ISNUMBER(D817)),IF(MAX(0,B817*(1+C817/12)-D817)&lt;MAX(0.0000001,$E$17*0.00000000001),0,MAX(0,B817*(1+C817/12)-D817)),0)</x:f>
        <x:v>0</x:v>
      </x:c>
      <x:c r="F817" s="440" t="n">
        <x:f>IF($B$78="Cash payoff",E817,0)</x:f>
        <x:v>0</x:v>
      </x:c>
      <x:c r="G817" s="440" t="n">
        <x:f>IF(AND(E817&gt;0,AND($B$78="Refinance",ISNUMBER($B$80),$B$80&gt;=0,$B$80&lt;=1,ROUND($B$81*12,0)&gt;=1,$B$81&lt;=100,SUM($B$82)&gt;=0,SUM($B$82)&lt;=1,SUM($B$83)&gt;=0)),E817*SUM($B$82)+SUM($B$83),0)</x:f>
        <x:v>0</x:v>
      </x:c>
      <x:c r="H817" s="440" t="n">
        <x:f>IF(ISNUMBER(D817),IF(MAX(0,B817*(1+C817/12)-D817-F817)&lt;MAX(0.0000001,$E$17*0.00000000001),0,MAX(0,B817*(1+C817/12)-D817-F817)),IF(AND($B$171=1,I816=1),B817,""))</x:f>
        <x:v>0</x:v>
      </x:c>
      <x:c r="I817" s="444" t="n">
        <x:f>IF(OR(I816=1,AND(E817&gt;0,$B$78&lt;&gt;"Cash payoff",NOT(AND($B$78="Refinance",ISNUMBER($B$80),$B$80&gt;=0,$B$80&lt;=1,ROUND($B$81*12,0)&gt;=1,$B$81&lt;=100,SUM($B$82)&gt;=0,SUM($B$82)&lt;=1,SUM($B$83)&gt;=0))),AND(ISNUMBER(B817),B817&gt;0,$B$171=1,NOT(ISNUMBER(D817)))),1,0)</x:f>
        <x:v>0</x:v>
      </x:c>
      <x:c r="J817" s="440" t="n">
        <x:f>IF(ISNUMBER(L816),L816,"")</x:f>
        <x:v>0</x:v>
      </x:c>
      <x:c r="K817" s="440" t="n">
        <x:f>IF(AND(ISNUMBER(J817),J817=0),0,IF(AND($B$176=1,ISNUMBER(J817)),MIN(J817*(1+$B$87/12),IF($B$86=0,0,IF($B$87=0,$B$86/ROUND($B$88*12,0),$B$86*($B$87/12)/(1-(1+$B$87/12)^(-ROUND($B$88*12,0)))))),""))</x:f>
        <x:v>0</x:v>
      </x:c>
      <x:c r="L817" s="440" t="n">
        <x:f>IF(ISNUMBER(K817),IF(MAX(0,J817*(1+SUM($B$87)/12)-K817)&lt;MAX(0.0000001,$B$86*0.00000000001),0,MAX(0,J817*(1+SUM($B$87)/12)-K817)),"")</x:f>
        <x:v>0</x:v>
      </x:c>
      <x:c r="M817" s="440" t="n">
        <x:f>IF(AND(ISNUMBER(D817),ISNUMBER(K817)),D817+K817,"")</x:f>
        <x:v>0</x:v>
      </x:c>
      <x:c r="N817" s="440" t="n">
        <x:f>IF(AND(ISNUMBER(H817),ISNUMBER(L817)),H817+L817,"")</x:f>
        <x:v>0</x:v>
      </x:c>
    </x:row>
    <x:row r="818" ht="22" customHeight="1">
      <x:c r="A818" s="254" t="n">
        <x:f>418</x:f>
        <x:v>418</x:v>
      </x:c>
      <x:c r="B818" s="440" t="n">
        <x:f>IF(ISNUMBER(H817),H817,"")</x:f>
        <x:v>0</x:v>
      </x:c>
      <x:c r="C818" s="442" t="n">
        <x:f>IF(ISNUMBER(B818),IF(AND(418&gt;$B$173,$B$78="Refinance",ISNUMBER($B$80),$B$80&gt;=0,$B$80&lt;=1,ROUND($B$81*12,0)&gt;=1,$B$81&lt;=100,SUM($B$82)&gt;=0,SUM($B$82)&lt;=1,SUM($B$83)&gt;=0),$B$80,IF(AND($B$175&gt;0,418&gt;$B$175,ISNUMBER($B$75)),$B$75,$B$61)),"")</x:f>
        <x:v>0.0625</x:v>
      </x:c>
      <x:c r="D818" s="440" t="n">
        <x:f>IF(AND(ISNUMBER(B818),B818=0),0,IF(AND($B$171=1,I817=0,ISNUMBER(C818),ISNUMBER(IF(AND(418&lt;=$B$174,418&lt;=$B$173),B818*C818/12,IF(AND(418=$B$173+1,AND(418&gt;$B$173,$B$78="Refinance",ISNUMBER($B$80),$B$80&gt;=0,$B$80&lt;=1,ROUND($B$81*12,0)&gt;=1,$B$81&lt;=100,SUM($B$82)&gt;=0,SUM($B$82)&lt;=1,SUM($B$83)&gt;=0)),IF(B818=0,0,IF(C818=0,B818/ROUND($B$81*12,0),B818*(C818/12)/(1-(1+C818/12)^(-ROUND($B$81*12,0))))),IF(AND(NOT(AND(418&gt;$B$173,$B$78="Refinance",ISNUMBER($B$80),$B$80&gt;=0,$B$80&lt;=1,ROUND($B$81*12,0)&gt;=1,$B$81&lt;=100,SUM($B$82)&gt;=0,SUM($B$82)&lt;=1,SUM($B$83)&gt;=0)),OR(418=1,418=$B$174+1,AND($B$175&gt;0,418=$B$175+1))),IF(AND($B$170=1,$B$66&gt;0,OR($B$175=0,418&lt;=$B$175)),$B$66,IF($B$172-MAX(418-1,$B$174)&gt;0,IF(B818=0,0,IF(C818=0,B818/($B$172-MAX(418-1,$B$174)),B818*(C818/12)/(1-(1+C818/12)^(-($B$172-MAX(418-1,$B$174)))))),"")),D817))))),IF(IF(AND(418&lt;=$B$174,418&lt;=$B$173),B818*C818/12,IF(AND(418=$B$173+1,AND(418&gt;$B$173,$B$78="Refinance",ISNUMBER($B$80),$B$80&gt;=0,$B$80&lt;=1,ROUND($B$81*12,0)&gt;=1,$B$81&lt;=100,SUM($B$82)&gt;=0,SUM($B$82)&lt;=1,SUM($B$83)&gt;=0)),IF(B818=0,0,IF(C818=0,B818/ROUND($B$81*12,0),B818*(C818/12)/(1-(1+C818/12)^(-ROUND($B$81*12,0))))),IF(AND(NOT(AND(418&gt;$B$173,$B$78="Refinance",ISNUMBER($B$80),$B$80&gt;=0,$B$80&lt;=1,ROUND($B$81*12,0)&gt;=1,$B$81&lt;=100,SUM($B$82)&gt;=0,SUM($B$82)&lt;=1,SUM($B$83)&gt;=0)),OR(418=1,418=$B$174+1,AND($B$175&gt;0,418=$B$175+1))),IF(AND($B$170=1,$B$66&gt;0,OR($B$175=0,418&lt;=$B$175)),$B$66,IF($B$172-MAX(418-1,$B$174)&gt;0,IF(B818=0,0,IF(C818=0,B818/($B$172-MAX(418-1,$B$174)),B818*(C818/12)/(1-(1+C818/12)^(-($B$172-MAX(418-1,$B$174)))))),"")),D817)))+0.0000001&gt;=B818*C818/12,MIN(B818*(1+C818/12),IF(AND(418&lt;=$B$174,418&lt;=$B$173),B818*C818/12,IF(AND(418=$B$173+1,AND(418&gt;$B$173,$B$78="Refinance",ISNUMBER($B$80),$B$80&gt;=0,$B$80&lt;=1,ROUND($B$81*12,0)&gt;=1,$B$81&lt;=100,SUM($B$82)&gt;=0,SUM($B$82)&lt;=1,SUM($B$83)&gt;=0)),IF(B818=0,0,IF(C818=0,B818/ROUND($B$81*12,0),B818*(C818/12)/(1-(1+C818/12)^(-ROUND($B$81*12,0))))),IF(AND(NOT(AND(418&gt;$B$173,$B$78="Refinance",ISNUMBER($B$80),$B$80&gt;=0,$B$80&lt;=1,ROUND($B$81*12,0)&gt;=1,$B$81&lt;=100,SUM($B$82)&gt;=0,SUM($B$82)&lt;=1,SUM($B$83)&gt;=0)),OR(418=1,418=$B$174+1,AND($B$175&gt;0,418=$B$175+1))),IF(AND($B$170=1,$B$66&gt;0,OR($B$175=0,418&lt;=$B$175)),$B$66,IF($B$172-MAX(418-1,$B$174)&gt;0,IF(B818=0,0,IF(C818=0,B818/($B$172-MAX(418-1,$B$174)),B818*(C818/12)/(1-(1+C818/12)^(-($B$172-MAX(418-1,$B$174)))))),"")),D817)))),""),""))</x:f>
        <x:v>0</x:v>
      </x:c>
      <x:c r="E818" s="440" t="n">
        <x:f>IF(AND(418=$B$173,ISNUMBER(D818)),IF(MAX(0,B818*(1+C818/12)-D818)&lt;MAX(0.0000001,$E$17*0.00000000001),0,MAX(0,B818*(1+C818/12)-D818)),0)</x:f>
        <x:v>0</x:v>
      </x:c>
      <x:c r="F818" s="440" t="n">
        <x:f>IF($B$78="Cash payoff",E818,0)</x:f>
        <x:v>0</x:v>
      </x:c>
      <x:c r="G818" s="440" t="n">
        <x:f>IF(AND(E818&gt;0,AND($B$78="Refinance",ISNUMBER($B$80),$B$80&gt;=0,$B$80&lt;=1,ROUND($B$81*12,0)&gt;=1,$B$81&lt;=100,SUM($B$82)&gt;=0,SUM($B$82)&lt;=1,SUM($B$83)&gt;=0)),E818*SUM($B$82)+SUM($B$83),0)</x:f>
        <x:v>0</x:v>
      </x:c>
      <x:c r="H818" s="440" t="n">
        <x:f>IF(ISNUMBER(D818),IF(MAX(0,B818*(1+C818/12)-D818-F818)&lt;MAX(0.0000001,$E$17*0.00000000001),0,MAX(0,B818*(1+C818/12)-D818-F818)),IF(AND($B$171=1,I817=1),B818,""))</x:f>
        <x:v>0</x:v>
      </x:c>
      <x:c r="I818" s="444" t="n">
        <x:f>IF(OR(I817=1,AND(E818&gt;0,$B$78&lt;&gt;"Cash payoff",NOT(AND($B$78="Refinance",ISNUMBER($B$80),$B$80&gt;=0,$B$80&lt;=1,ROUND($B$81*12,0)&gt;=1,$B$81&lt;=100,SUM($B$82)&gt;=0,SUM($B$82)&lt;=1,SUM($B$83)&gt;=0))),AND(ISNUMBER(B818),B818&gt;0,$B$171=1,NOT(ISNUMBER(D818)))),1,0)</x:f>
        <x:v>0</x:v>
      </x:c>
      <x:c r="J818" s="440" t="n">
        <x:f>IF(ISNUMBER(L817),L817,"")</x:f>
        <x:v>0</x:v>
      </x:c>
      <x:c r="K818" s="440" t="n">
        <x:f>IF(AND(ISNUMBER(J818),J818=0),0,IF(AND($B$176=1,ISNUMBER(J818)),MIN(J818*(1+$B$87/12),IF($B$86=0,0,IF($B$87=0,$B$86/ROUND($B$88*12,0),$B$86*($B$87/12)/(1-(1+$B$87/12)^(-ROUND($B$88*12,0)))))),""))</x:f>
        <x:v>0</x:v>
      </x:c>
      <x:c r="L818" s="440" t="n">
        <x:f>IF(ISNUMBER(K818),IF(MAX(0,J818*(1+SUM($B$87)/12)-K818)&lt;MAX(0.0000001,$B$86*0.00000000001),0,MAX(0,J818*(1+SUM($B$87)/12)-K818)),"")</x:f>
        <x:v>0</x:v>
      </x:c>
      <x:c r="M818" s="440" t="n">
        <x:f>IF(AND(ISNUMBER(D818),ISNUMBER(K818)),D818+K818,"")</x:f>
        <x:v>0</x:v>
      </x:c>
      <x:c r="N818" s="440" t="n">
        <x:f>IF(AND(ISNUMBER(H818),ISNUMBER(L818)),H818+L818,"")</x:f>
        <x:v>0</x:v>
      </x:c>
    </x:row>
    <x:row r="819" ht="22" customHeight="1">
      <x:c r="A819" s="254" t="n">
        <x:f>419</x:f>
        <x:v>419</x:v>
      </x:c>
      <x:c r="B819" s="440" t="n">
        <x:f>IF(ISNUMBER(H818),H818,"")</x:f>
        <x:v>0</x:v>
      </x:c>
      <x:c r="C819" s="442" t="n">
        <x:f>IF(ISNUMBER(B819),IF(AND(419&gt;$B$173,$B$78="Refinance",ISNUMBER($B$80),$B$80&gt;=0,$B$80&lt;=1,ROUND($B$81*12,0)&gt;=1,$B$81&lt;=100,SUM($B$82)&gt;=0,SUM($B$82)&lt;=1,SUM($B$83)&gt;=0),$B$80,IF(AND($B$175&gt;0,419&gt;$B$175,ISNUMBER($B$75)),$B$75,$B$61)),"")</x:f>
        <x:v>0.0625</x:v>
      </x:c>
      <x:c r="D819" s="440" t="n">
        <x:f>IF(AND(ISNUMBER(B819),B819=0),0,IF(AND($B$171=1,I818=0,ISNUMBER(C819),ISNUMBER(IF(AND(419&lt;=$B$174,419&lt;=$B$173),B819*C819/12,IF(AND(419=$B$173+1,AND(419&gt;$B$173,$B$78="Refinance",ISNUMBER($B$80),$B$80&gt;=0,$B$80&lt;=1,ROUND($B$81*12,0)&gt;=1,$B$81&lt;=100,SUM($B$82)&gt;=0,SUM($B$82)&lt;=1,SUM($B$83)&gt;=0)),IF(B819=0,0,IF(C819=0,B819/ROUND($B$81*12,0),B819*(C819/12)/(1-(1+C819/12)^(-ROUND($B$81*12,0))))),IF(AND(NOT(AND(419&gt;$B$173,$B$78="Refinance",ISNUMBER($B$80),$B$80&gt;=0,$B$80&lt;=1,ROUND($B$81*12,0)&gt;=1,$B$81&lt;=100,SUM($B$82)&gt;=0,SUM($B$82)&lt;=1,SUM($B$83)&gt;=0)),OR(419=1,419=$B$174+1,AND($B$175&gt;0,419=$B$175+1))),IF(AND($B$170=1,$B$66&gt;0,OR($B$175=0,419&lt;=$B$175)),$B$66,IF($B$172-MAX(419-1,$B$174)&gt;0,IF(B819=0,0,IF(C819=0,B819/($B$172-MAX(419-1,$B$174)),B819*(C819/12)/(1-(1+C819/12)^(-($B$172-MAX(419-1,$B$174)))))),"")),D818))))),IF(IF(AND(419&lt;=$B$174,419&lt;=$B$173),B819*C819/12,IF(AND(419=$B$173+1,AND(419&gt;$B$173,$B$78="Refinance",ISNUMBER($B$80),$B$80&gt;=0,$B$80&lt;=1,ROUND($B$81*12,0)&gt;=1,$B$81&lt;=100,SUM($B$82)&gt;=0,SUM($B$82)&lt;=1,SUM($B$83)&gt;=0)),IF(B819=0,0,IF(C819=0,B819/ROUND($B$81*12,0),B819*(C819/12)/(1-(1+C819/12)^(-ROUND($B$81*12,0))))),IF(AND(NOT(AND(419&gt;$B$173,$B$78="Refinance",ISNUMBER($B$80),$B$80&gt;=0,$B$80&lt;=1,ROUND($B$81*12,0)&gt;=1,$B$81&lt;=100,SUM($B$82)&gt;=0,SUM($B$82)&lt;=1,SUM($B$83)&gt;=0)),OR(419=1,419=$B$174+1,AND($B$175&gt;0,419=$B$175+1))),IF(AND($B$170=1,$B$66&gt;0,OR($B$175=0,419&lt;=$B$175)),$B$66,IF($B$172-MAX(419-1,$B$174)&gt;0,IF(B819=0,0,IF(C819=0,B819/($B$172-MAX(419-1,$B$174)),B819*(C819/12)/(1-(1+C819/12)^(-($B$172-MAX(419-1,$B$174)))))),"")),D818)))+0.0000001&gt;=B819*C819/12,MIN(B819*(1+C819/12),IF(AND(419&lt;=$B$174,419&lt;=$B$173),B819*C819/12,IF(AND(419=$B$173+1,AND(419&gt;$B$173,$B$78="Refinance",ISNUMBER($B$80),$B$80&gt;=0,$B$80&lt;=1,ROUND($B$81*12,0)&gt;=1,$B$81&lt;=100,SUM($B$82)&gt;=0,SUM($B$82)&lt;=1,SUM($B$83)&gt;=0)),IF(B819=0,0,IF(C819=0,B819/ROUND($B$81*12,0),B819*(C819/12)/(1-(1+C819/12)^(-ROUND($B$81*12,0))))),IF(AND(NOT(AND(419&gt;$B$173,$B$78="Refinance",ISNUMBER($B$80),$B$80&gt;=0,$B$80&lt;=1,ROUND($B$81*12,0)&gt;=1,$B$81&lt;=100,SUM($B$82)&gt;=0,SUM($B$82)&lt;=1,SUM($B$83)&gt;=0)),OR(419=1,419=$B$174+1,AND($B$175&gt;0,419=$B$175+1))),IF(AND($B$170=1,$B$66&gt;0,OR($B$175=0,419&lt;=$B$175)),$B$66,IF($B$172-MAX(419-1,$B$174)&gt;0,IF(B819=0,0,IF(C819=0,B819/($B$172-MAX(419-1,$B$174)),B819*(C819/12)/(1-(1+C819/12)^(-($B$172-MAX(419-1,$B$174)))))),"")),D818)))),""),""))</x:f>
        <x:v>0</x:v>
      </x:c>
      <x:c r="E819" s="440" t="n">
        <x:f>IF(AND(419=$B$173,ISNUMBER(D819)),IF(MAX(0,B819*(1+C819/12)-D819)&lt;MAX(0.0000001,$E$17*0.00000000001),0,MAX(0,B819*(1+C819/12)-D819)),0)</x:f>
        <x:v>0</x:v>
      </x:c>
      <x:c r="F819" s="440" t="n">
        <x:f>IF($B$78="Cash payoff",E819,0)</x:f>
        <x:v>0</x:v>
      </x:c>
      <x:c r="G819" s="440" t="n">
        <x:f>IF(AND(E819&gt;0,AND($B$78="Refinance",ISNUMBER($B$80),$B$80&gt;=0,$B$80&lt;=1,ROUND($B$81*12,0)&gt;=1,$B$81&lt;=100,SUM($B$82)&gt;=0,SUM($B$82)&lt;=1,SUM($B$83)&gt;=0)),E819*SUM($B$82)+SUM($B$83),0)</x:f>
        <x:v>0</x:v>
      </x:c>
      <x:c r="H819" s="440" t="n">
        <x:f>IF(ISNUMBER(D819),IF(MAX(0,B819*(1+C819/12)-D819-F819)&lt;MAX(0.0000001,$E$17*0.00000000001),0,MAX(0,B819*(1+C819/12)-D819-F819)),IF(AND($B$171=1,I818=1),B819,""))</x:f>
        <x:v>0</x:v>
      </x:c>
      <x:c r="I819" s="444" t="n">
        <x:f>IF(OR(I818=1,AND(E819&gt;0,$B$78&lt;&gt;"Cash payoff",NOT(AND($B$78="Refinance",ISNUMBER($B$80),$B$80&gt;=0,$B$80&lt;=1,ROUND($B$81*12,0)&gt;=1,$B$81&lt;=100,SUM($B$82)&gt;=0,SUM($B$82)&lt;=1,SUM($B$83)&gt;=0))),AND(ISNUMBER(B819),B819&gt;0,$B$171=1,NOT(ISNUMBER(D819)))),1,0)</x:f>
        <x:v>0</x:v>
      </x:c>
      <x:c r="J819" s="440" t="n">
        <x:f>IF(ISNUMBER(L818),L818,"")</x:f>
        <x:v>0</x:v>
      </x:c>
      <x:c r="K819" s="440" t="n">
        <x:f>IF(AND(ISNUMBER(J819),J819=0),0,IF(AND($B$176=1,ISNUMBER(J819)),MIN(J819*(1+$B$87/12),IF($B$86=0,0,IF($B$87=0,$B$86/ROUND($B$88*12,0),$B$86*($B$87/12)/(1-(1+$B$87/12)^(-ROUND($B$88*12,0)))))),""))</x:f>
        <x:v>0</x:v>
      </x:c>
      <x:c r="L819" s="440" t="n">
        <x:f>IF(ISNUMBER(K819),IF(MAX(0,J819*(1+SUM($B$87)/12)-K819)&lt;MAX(0.0000001,$B$86*0.00000000001),0,MAX(0,J819*(1+SUM($B$87)/12)-K819)),"")</x:f>
        <x:v>0</x:v>
      </x:c>
      <x:c r="M819" s="440" t="n">
        <x:f>IF(AND(ISNUMBER(D819),ISNUMBER(K819)),D819+K819,"")</x:f>
        <x:v>0</x:v>
      </x:c>
      <x:c r="N819" s="440" t="n">
        <x:f>IF(AND(ISNUMBER(H819),ISNUMBER(L819)),H819+L819,"")</x:f>
        <x:v>0</x:v>
      </x:c>
    </x:row>
    <x:row r="820" ht="22" customHeight="1">
      <x:c r="A820" s="254" t="n">
        <x:f>420</x:f>
        <x:v>420</x:v>
      </x:c>
      <x:c r="B820" s="440" t="n">
        <x:f>IF(ISNUMBER(H819),H819,"")</x:f>
        <x:v>0</x:v>
      </x:c>
      <x:c r="C820" s="442" t="n">
        <x:f>IF(ISNUMBER(B820),IF(AND(420&gt;$B$173,$B$78="Refinance",ISNUMBER($B$80),$B$80&gt;=0,$B$80&lt;=1,ROUND($B$81*12,0)&gt;=1,$B$81&lt;=100,SUM($B$82)&gt;=0,SUM($B$82)&lt;=1,SUM($B$83)&gt;=0),$B$80,IF(AND($B$175&gt;0,420&gt;$B$175,ISNUMBER($B$75)),$B$75,$B$61)),"")</x:f>
        <x:v>0.0625</x:v>
      </x:c>
      <x:c r="D820" s="440" t="n">
        <x:f>IF(AND(ISNUMBER(B820),B820=0),0,IF(AND($B$171=1,I819=0,ISNUMBER(C820),ISNUMBER(IF(AND(420&lt;=$B$174,420&lt;=$B$173),B820*C820/12,IF(AND(420=$B$173+1,AND(420&gt;$B$173,$B$78="Refinance",ISNUMBER($B$80),$B$80&gt;=0,$B$80&lt;=1,ROUND($B$81*12,0)&gt;=1,$B$81&lt;=100,SUM($B$82)&gt;=0,SUM($B$82)&lt;=1,SUM($B$83)&gt;=0)),IF(B820=0,0,IF(C820=0,B820/ROUND($B$81*12,0),B820*(C820/12)/(1-(1+C820/12)^(-ROUND($B$81*12,0))))),IF(AND(NOT(AND(420&gt;$B$173,$B$78="Refinance",ISNUMBER($B$80),$B$80&gt;=0,$B$80&lt;=1,ROUND($B$81*12,0)&gt;=1,$B$81&lt;=100,SUM($B$82)&gt;=0,SUM($B$82)&lt;=1,SUM($B$83)&gt;=0)),OR(420=1,420=$B$174+1,AND($B$175&gt;0,420=$B$175+1))),IF(AND($B$170=1,$B$66&gt;0,OR($B$175=0,420&lt;=$B$175)),$B$66,IF($B$172-MAX(420-1,$B$174)&gt;0,IF(B820=0,0,IF(C820=0,B820/($B$172-MAX(420-1,$B$174)),B820*(C820/12)/(1-(1+C820/12)^(-($B$172-MAX(420-1,$B$174)))))),"")),D819))))),IF(IF(AND(420&lt;=$B$174,420&lt;=$B$173),B820*C820/12,IF(AND(420=$B$173+1,AND(420&gt;$B$173,$B$78="Refinance",ISNUMBER($B$80),$B$80&gt;=0,$B$80&lt;=1,ROUND($B$81*12,0)&gt;=1,$B$81&lt;=100,SUM($B$82)&gt;=0,SUM($B$82)&lt;=1,SUM($B$83)&gt;=0)),IF(B820=0,0,IF(C820=0,B820/ROUND($B$81*12,0),B820*(C820/12)/(1-(1+C820/12)^(-ROUND($B$81*12,0))))),IF(AND(NOT(AND(420&gt;$B$173,$B$78="Refinance",ISNUMBER($B$80),$B$80&gt;=0,$B$80&lt;=1,ROUND($B$81*12,0)&gt;=1,$B$81&lt;=100,SUM($B$82)&gt;=0,SUM($B$82)&lt;=1,SUM($B$83)&gt;=0)),OR(420=1,420=$B$174+1,AND($B$175&gt;0,420=$B$175+1))),IF(AND($B$170=1,$B$66&gt;0,OR($B$175=0,420&lt;=$B$175)),$B$66,IF($B$172-MAX(420-1,$B$174)&gt;0,IF(B820=0,0,IF(C820=0,B820/($B$172-MAX(420-1,$B$174)),B820*(C820/12)/(1-(1+C820/12)^(-($B$172-MAX(420-1,$B$174)))))),"")),D819)))+0.0000001&gt;=B820*C820/12,MIN(B820*(1+C820/12),IF(AND(420&lt;=$B$174,420&lt;=$B$173),B820*C820/12,IF(AND(420=$B$173+1,AND(420&gt;$B$173,$B$78="Refinance",ISNUMBER($B$80),$B$80&gt;=0,$B$80&lt;=1,ROUND($B$81*12,0)&gt;=1,$B$81&lt;=100,SUM($B$82)&gt;=0,SUM($B$82)&lt;=1,SUM($B$83)&gt;=0)),IF(B820=0,0,IF(C820=0,B820/ROUND($B$81*12,0),B820*(C820/12)/(1-(1+C820/12)^(-ROUND($B$81*12,0))))),IF(AND(NOT(AND(420&gt;$B$173,$B$78="Refinance",ISNUMBER($B$80),$B$80&gt;=0,$B$80&lt;=1,ROUND($B$81*12,0)&gt;=1,$B$81&lt;=100,SUM($B$82)&gt;=0,SUM($B$82)&lt;=1,SUM($B$83)&gt;=0)),OR(420=1,420=$B$174+1,AND($B$175&gt;0,420=$B$175+1))),IF(AND($B$170=1,$B$66&gt;0,OR($B$175=0,420&lt;=$B$175)),$B$66,IF($B$172-MAX(420-1,$B$174)&gt;0,IF(B820=0,0,IF(C820=0,B820/($B$172-MAX(420-1,$B$174)),B820*(C820/12)/(1-(1+C820/12)^(-($B$172-MAX(420-1,$B$174)))))),"")),D819)))),""),""))</x:f>
        <x:v>0</x:v>
      </x:c>
      <x:c r="E820" s="440" t="n">
        <x:f>IF(AND(420=$B$173,ISNUMBER(D820)),IF(MAX(0,B820*(1+C820/12)-D820)&lt;MAX(0.0000001,$E$17*0.00000000001),0,MAX(0,B820*(1+C820/12)-D820)),0)</x:f>
        <x:v>0</x:v>
      </x:c>
      <x:c r="F820" s="440" t="n">
        <x:f>IF($B$78="Cash payoff",E820,0)</x:f>
        <x:v>0</x:v>
      </x:c>
      <x:c r="G820" s="440" t="n">
        <x:f>IF(AND(E820&gt;0,AND($B$78="Refinance",ISNUMBER($B$80),$B$80&gt;=0,$B$80&lt;=1,ROUND($B$81*12,0)&gt;=1,$B$81&lt;=100,SUM($B$82)&gt;=0,SUM($B$82)&lt;=1,SUM($B$83)&gt;=0)),E820*SUM($B$82)+SUM($B$83),0)</x:f>
        <x:v>0</x:v>
      </x:c>
      <x:c r="H820" s="440" t="n">
        <x:f>IF(ISNUMBER(D820),IF(MAX(0,B820*(1+C820/12)-D820-F820)&lt;MAX(0.0000001,$E$17*0.00000000001),0,MAX(0,B820*(1+C820/12)-D820-F820)),IF(AND($B$171=1,I819=1),B820,""))</x:f>
        <x:v>0</x:v>
      </x:c>
      <x:c r="I820" s="444" t="n">
        <x:f>IF(OR(I819=1,AND(E820&gt;0,$B$78&lt;&gt;"Cash payoff",NOT(AND($B$78="Refinance",ISNUMBER($B$80),$B$80&gt;=0,$B$80&lt;=1,ROUND($B$81*12,0)&gt;=1,$B$81&lt;=100,SUM($B$82)&gt;=0,SUM($B$82)&lt;=1,SUM($B$83)&gt;=0))),AND(ISNUMBER(B820),B820&gt;0,$B$171=1,NOT(ISNUMBER(D820)))),1,0)</x:f>
        <x:v>0</x:v>
      </x:c>
      <x:c r="J820" s="440" t="n">
        <x:f>IF(ISNUMBER(L819),L819,"")</x:f>
        <x:v>0</x:v>
      </x:c>
      <x:c r="K820" s="440" t="n">
        <x:f>IF(AND(ISNUMBER(J820),J820=0),0,IF(AND($B$176=1,ISNUMBER(J820)),MIN(J820*(1+$B$87/12),IF($B$86=0,0,IF($B$87=0,$B$86/ROUND($B$88*12,0),$B$86*($B$87/12)/(1-(1+$B$87/12)^(-ROUND($B$88*12,0)))))),""))</x:f>
        <x:v>0</x:v>
      </x:c>
      <x:c r="L820" s="440" t="n">
        <x:f>IF(ISNUMBER(K820),IF(MAX(0,J820*(1+SUM($B$87)/12)-K820)&lt;MAX(0.0000001,$B$86*0.00000000001),0,MAX(0,J820*(1+SUM($B$87)/12)-K820)),"")</x:f>
        <x:v>0</x:v>
      </x:c>
      <x:c r="M820" s="440" t="n">
        <x:f>IF(AND(ISNUMBER(D820),ISNUMBER(K820)),D820+K820,"")</x:f>
        <x:v>0</x:v>
      </x:c>
      <x:c r="N820" s="440" t="n">
        <x:f>IF(AND(ISNUMBER(H820),ISNUMBER(L820)),H820+L820,"")</x:f>
        <x:v>0</x:v>
      </x:c>
    </x:row>
    <x:row r="821" ht="22" customHeight="1">
      <x:c r="A821" s="254" t="n">
        <x:f>421</x:f>
        <x:v>421</x:v>
      </x:c>
      <x:c r="B821" s="440" t="n">
        <x:f>IF(ISNUMBER(H820),H820,"")</x:f>
        <x:v>0</x:v>
      </x:c>
      <x:c r="C821" s="442" t="n">
        <x:f>IF(ISNUMBER(B821),IF(AND(421&gt;$B$173,$B$78="Refinance",ISNUMBER($B$80),$B$80&gt;=0,$B$80&lt;=1,ROUND($B$81*12,0)&gt;=1,$B$81&lt;=100,SUM($B$82)&gt;=0,SUM($B$82)&lt;=1,SUM($B$83)&gt;=0),$B$80,IF(AND($B$175&gt;0,421&gt;$B$175,ISNUMBER($B$75)),$B$75,$B$61)),"")</x:f>
        <x:v>0.0625</x:v>
      </x:c>
      <x:c r="D821" s="440" t="n">
        <x:f>IF(AND(ISNUMBER(B821),B821=0),0,IF(AND($B$171=1,I820=0,ISNUMBER(C821),ISNUMBER(IF(AND(421&lt;=$B$174,421&lt;=$B$173),B821*C821/12,IF(AND(421=$B$173+1,AND(421&gt;$B$173,$B$78="Refinance",ISNUMBER($B$80),$B$80&gt;=0,$B$80&lt;=1,ROUND($B$81*12,0)&gt;=1,$B$81&lt;=100,SUM($B$82)&gt;=0,SUM($B$82)&lt;=1,SUM($B$83)&gt;=0)),IF(B821=0,0,IF(C821=0,B821/ROUND($B$81*12,0),B821*(C821/12)/(1-(1+C821/12)^(-ROUND($B$81*12,0))))),IF(AND(NOT(AND(421&gt;$B$173,$B$78="Refinance",ISNUMBER($B$80),$B$80&gt;=0,$B$80&lt;=1,ROUND($B$81*12,0)&gt;=1,$B$81&lt;=100,SUM($B$82)&gt;=0,SUM($B$82)&lt;=1,SUM($B$83)&gt;=0)),OR(421=1,421=$B$174+1,AND($B$175&gt;0,421=$B$175+1))),IF(AND($B$170=1,$B$66&gt;0,OR($B$175=0,421&lt;=$B$175)),$B$66,IF($B$172-MAX(421-1,$B$174)&gt;0,IF(B821=0,0,IF(C821=0,B821/($B$172-MAX(421-1,$B$174)),B821*(C821/12)/(1-(1+C821/12)^(-($B$172-MAX(421-1,$B$174)))))),"")),D820))))),IF(IF(AND(421&lt;=$B$174,421&lt;=$B$173),B821*C821/12,IF(AND(421=$B$173+1,AND(421&gt;$B$173,$B$78="Refinance",ISNUMBER($B$80),$B$80&gt;=0,$B$80&lt;=1,ROUND($B$81*12,0)&gt;=1,$B$81&lt;=100,SUM($B$82)&gt;=0,SUM($B$82)&lt;=1,SUM($B$83)&gt;=0)),IF(B821=0,0,IF(C821=0,B821/ROUND($B$81*12,0),B821*(C821/12)/(1-(1+C821/12)^(-ROUND($B$81*12,0))))),IF(AND(NOT(AND(421&gt;$B$173,$B$78="Refinance",ISNUMBER($B$80),$B$80&gt;=0,$B$80&lt;=1,ROUND($B$81*12,0)&gt;=1,$B$81&lt;=100,SUM($B$82)&gt;=0,SUM($B$82)&lt;=1,SUM($B$83)&gt;=0)),OR(421=1,421=$B$174+1,AND($B$175&gt;0,421=$B$175+1))),IF(AND($B$170=1,$B$66&gt;0,OR($B$175=0,421&lt;=$B$175)),$B$66,IF($B$172-MAX(421-1,$B$174)&gt;0,IF(B821=0,0,IF(C821=0,B821/($B$172-MAX(421-1,$B$174)),B821*(C821/12)/(1-(1+C821/12)^(-($B$172-MAX(421-1,$B$174)))))),"")),D820)))+0.0000001&gt;=B821*C821/12,MIN(B821*(1+C821/12),IF(AND(421&lt;=$B$174,421&lt;=$B$173),B821*C821/12,IF(AND(421=$B$173+1,AND(421&gt;$B$173,$B$78="Refinance",ISNUMBER($B$80),$B$80&gt;=0,$B$80&lt;=1,ROUND($B$81*12,0)&gt;=1,$B$81&lt;=100,SUM($B$82)&gt;=0,SUM($B$82)&lt;=1,SUM($B$83)&gt;=0)),IF(B821=0,0,IF(C821=0,B821/ROUND($B$81*12,0),B821*(C821/12)/(1-(1+C821/12)^(-ROUND($B$81*12,0))))),IF(AND(NOT(AND(421&gt;$B$173,$B$78="Refinance",ISNUMBER($B$80),$B$80&gt;=0,$B$80&lt;=1,ROUND($B$81*12,0)&gt;=1,$B$81&lt;=100,SUM($B$82)&gt;=0,SUM($B$82)&lt;=1,SUM($B$83)&gt;=0)),OR(421=1,421=$B$174+1,AND($B$175&gt;0,421=$B$175+1))),IF(AND($B$170=1,$B$66&gt;0,OR($B$175=0,421&lt;=$B$175)),$B$66,IF($B$172-MAX(421-1,$B$174)&gt;0,IF(B821=0,0,IF(C821=0,B821/($B$172-MAX(421-1,$B$174)),B821*(C821/12)/(1-(1+C821/12)^(-($B$172-MAX(421-1,$B$174)))))),"")),D820)))),""),""))</x:f>
        <x:v>0</x:v>
      </x:c>
      <x:c r="E821" s="440" t="n">
        <x:f>IF(AND(421=$B$173,ISNUMBER(D821)),IF(MAX(0,B821*(1+C821/12)-D821)&lt;MAX(0.0000001,$E$17*0.00000000001),0,MAX(0,B821*(1+C821/12)-D821)),0)</x:f>
        <x:v>0</x:v>
      </x:c>
      <x:c r="F821" s="440" t="n">
        <x:f>IF($B$78="Cash payoff",E821,0)</x:f>
        <x:v>0</x:v>
      </x:c>
      <x:c r="G821" s="440" t="n">
        <x:f>IF(AND(E821&gt;0,AND($B$78="Refinance",ISNUMBER($B$80),$B$80&gt;=0,$B$80&lt;=1,ROUND($B$81*12,0)&gt;=1,$B$81&lt;=100,SUM($B$82)&gt;=0,SUM($B$82)&lt;=1,SUM($B$83)&gt;=0)),E821*SUM($B$82)+SUM($B$83),0)</x:f>
        <x:v>0</x:v>
      </x:c>
      <x:c r="H821" s="440" t="n">
        <x:f>IF(ISNUMBER(D821),IF(MAX(0,B821*(1+C821/12)-D821-F821)&lt;MAX(0.0000001,$E$17*0.00000000001),0,MAX(0,B821*(1+C821/12)-D821-F821)),IF(AND($B$171=1,I820=1),B821,""))</x:f>
        <x:v>0</x:v>
      </x:c>
      <x:c r="I821" s="444" t="n">
        <x:f>IF(OR(I820=1,AND(E821&gt;0,$B$78&lt;&gt;"Cash payoff",NOT(AND($B$78="Refinance",ISNUMBER($B$80),$B$80&gt;=0,$B$80&lt;=1,ROUND($B$81*12,0)&gt;=1,$B$81&lt;=100,SUM($B$82)&gt;=0,SUM($B$82)&lt;=1,SUM($B$83)&gt;=0))),AND(ISNUMBER(B821),B821&gt;0,$B$171=1,NOT(ISNUMBER(D821)))),1,0)</x:f>
        <x:v>0</x:v>
      </x:c>
      <x:c r="J821" s="440" t="n">
        <x:f>IF(ISNUMBER(L820),L820,"")</x:f>
        <x:v>0</x:v>
      </x:c>
      <x:c r="K821" s="440" t="n">
        <x:f>IF(AND(ISNUMBER(J821),J821=0),0,IF(AND($B$176=1,ISNUMBER(J821)),MIN(J821*(1+$B$87/12),IF($B$86=0,0,IF($B$87=0,$B$86/ROUND($B$88*12,0),$B$86*($B$87/12)/(1-(1+$B$87/12)^(-ROUND($B$88*12,0)))))),""))</x:f>
        <x:v>0</x:v>
      </x:c>
      <x:c r="L821" s="440" t="n">
        <x:f>IF(ISNUMBER(K821),IF(MAX(0,J821*(1+SUM($B$87)/12)-K821)&lt;MAX(0.0000001,$B$86*0.00000000001),0,MAX(0,J821*(1+SUM($B$87)/12)-K821)),"")</x:f>
        <x:v>0</x:v>
      </x:c>
      <x:c r="M821" s="440" t="n">
        <x:f>IF(AND(ISNUMBER(D821),ISNUMBER(K821)),D821+K821,"")</x:f>
        <x:v>0</x:v>
      </x:c>
      <x:c r="N821" s="440" t="n">
        <x:f>IF(AND(ISNUMBER(H821),ISNUMBER(L821)),H821+L821,"")</x:f>
        <x:v>0</x:v>
      </x:c>
    </x:row>
    <x:row r="822" ht="22" customHeight="1">
      <x:c r="A822" s="254" t="n">
        <x:f>422</x:f>
        <x:v>422</x:v>
      </x:c>
      <x:c r="B822" s="440" t="n">
        <x:f>IF(ISNUMBER(H821),H821,"")</x:f>
        <x:v>0</x:v>
      </x:c>
      <x:c r="C822" s="442" t="n">
        <x:f>IF(ISNUMBER(B822),IF(AND(422&gt;$B$173,$B$78="Refinance",ISNUMBER($B$80),$B$80&gt;=0,$B$80&lt;=1,ROUND($B$81*12,0)&gt;=1,$B$81&lt;=100,SUM($B$82)&gt;=0,SUM($B$82)&lt;=1,SUM($B$83)&gt;=0),$B$80,IF(AND($B$175&gt;0,422&gt;$B$175,ISNUMBER($B$75)),$B$75,$B$61)),"")</x:f>
        <x:v>0.0625</x:v>
      </x:c>
      <x:c r="D822" s="440" t="n">
        <x:f>IF(AND(ISNUMBER(B822),B822=0),0,IF(AND($B$171=1,I821=0,ISNUMBER(C822),ISNUMBER(IF(AND(422&lt;=$B$174,422&lt;=$B$173),B822*C822/12,IF(AND(422=$B$173+1,AND(422&gt;$B$173,$B$78="Refinance",ISNUMBER($B$80),$B$80&gt;=0,$B$80&lt;=1,ROUND($B$81*12,0)&gt;=1,$B$81&lt;=100,SUM($B$82)&gt;=0,SUM($B$82)&lt;=1,SUM($B$83)&gt;=0)),IF(B822=0,0,IF(C822=0,B822/ROUND($B$81*12,0),B822*(C822/12)/(1-(1+C822/12)^(-ROUND($B$81*12,0))))),IF(AND(NOT(AND(422&gt;$B$173,$B$78="Refinance",ISNUMBER($B$80),$B$80&gt;=0,$B$80&lt;=1,ROUND($B$81*12,0)&gt;=1,$B$81&lt;=100,SUM($B$82)&gt;=0,SUM($B$82)&lt;=1,SUM($B$83)&gt;=0)),OR(422=1,422=$B$174+1,AND($B$175&gt;0,422=$B$175+1))),IF(AND($B$170=1,$B$66&gt;0,OR($B$175=0,422&lt;=$B$175)),$B$66,IF($B$172-MAX(422-1,$B$174)&gt;0,IF(B822=0,0,IF(C822=0,B822/($B$172-MAX(422-1,$B$174)),B822*(C822/12)/(1-(1+C822/12)^(-($B$172-MAX(422-1,$B$174)))))),"")),D821))))),IF(IF(AND(422&lt;=$B$174,422&lt;=$B$173),B822*C822/12,IF(AND(422=$B$173+1,AND(422&gt;$B$173,$B$78="Refinance",ISNUMBER($B$80),$B$80&gt;=0,$B$80&lt;=1,ROUND($B$81*12,0)&gt;=1,$B$81&lt;=100,SUM($B$82)&gt;=0,SUM($B$82)&lt;=1,SUM($B$83)&gt;=0)),IF(B822=0,0,IF(C822=0,B822/ROUND($B$81*12,0),B822*(C822/12)/(1-(1+C822/12)^(-ROUND($B$81*12,0))))),IF(AND(NOT(AND(422&gt;$B$173,$B$78="Refinance",ISNUMBER($B$80),$B$80&gt;=0,$B$80&lt;=1,ROUND($B$81*12,0)&gt;=1,$B$81&lt;=100,SUM($B$82)&gt;=0,SUM($B$82)&lt;=1,SUM($B$83)&gt;=0)),OR(422=1,422=$B$174+1,AND($B$175&gt;0,422=$B$175+1))),IF(AND($B$170=1,$B$66&gt;0,OR($B$175=0,422&lt;=$B$175)),$B$66,IF($B$172-MAX(422-1,$B$174)&gt;0,IF(B822=0,0,IF(C822=0,B822/($B$172-MAX(422-1,$B$174)),B822*(C822/12)/(1-(1+C822/12)^(-($B$172-MAX(422-1,$B$174)))))),"")),D821)))+0.0000001&gt;=B822*C822/12,MIN(B822*(1+C822/12),IF(AND(422&lt;=$B$174,422&lt;=$B$173),B822*C822/12,IF(AND(422=$B$173+1,AND(422&gt;$B$173,$B$78="Refinance",ISNUMBER($B$80),$B$80&gt;=0,$B$80&lt;=1,ROUND($B$81*12,0)&gt;=1,$B$81&lt;=100,SUM($B$82)&gt;=0,SUM($B$82)&lt;=1,SUM($B$83)&gt;=0)),IF(B822=0,0,IF(C822=0,B822/ROUND($B$81*12,0),B822*(C822/12)/(1-(1+C822/12)^(-ROUND($B$81*12,0))))),IF(AND(NOT(AND(422&gt;$B$173,$B$78="Refinance",ISNUMBER($B$80),$B$80&gt;=0,$B$80&lt;=1,ROUND($B$81*12,0)&gt;=1,$B$81&lt;=100,SUM($B$82)&gt;=0,SUM($B$82)&lt;=1,SUM($B$83)&gt;=0)),OR(422=1,422=$B$174+1,AND($B$175&gt;0,422=$B$175+1))),IF(AND($B$170=1,$B$66&gt;0,OR($B$175=0,422&lt;=$B$175)),$B$66,IF($B$172-MAX(422-1,$B$174)&gt;0,IF(B822=0,0,IF(C822=0,B822/($B$172-MAX(422-1,$B$174)),B822*(C822/12)/(1-(1+C822/12)^(-($B$172-MAX(422-1,$B$174)))))),"")),D821)))),""),""))</x:f>
        <x:v>0</x:v>
      </x:c>
      <x:c r="E822" s="440" t="n">
        <x:f>IF(AND(422=$B$173,ISNUMBER(D822)),IF(MAX(0,B822*(1+C822/12)-D822)&lt;MAX(0.0000001,$E$17*0.00000000001),0,MAX(0,B822*(1+C822/12)-D822)),0)</x:f>
        <x:v>0</x:v>
      </x:c>
      <x:c r="F822" s="440" t="n">
        <x:f>IF($B$78="Cash payoff",E822,0)</x:f>
        <x:v>0</x:v>
      </x:c>
      <x:c r="G822" s="440" t="n">
        <x:f>IF(AND(E822&gt;0,AND($B$78="Refinance",ISNUMBER($B$80),$B$80&gt;=0,$B$80&lt;=1,ROUND($B$81*12,0)&gt;=1,$B$81&lt;=100,SUM($B$82)&gt;=0,SUM($B$82)&lt;=1,SUM($B$83)&gt;=0)),E822*SUM($B$82)+SUM($B$83),0)</x:f>
        <x:v>0</x:v>
      </x:c>
      <x:c r="H822" s="440" t="n">
        <x:f>IF(ISNUMBER(D822),IF(MAX(0,B822*(1+C822/12)-D822-F822)&lt;MAX(0.0000001,$E$17*0.00000000001),0,MAX(0,B822*(1+C822/12)-D822-F822)),IF(AND($B$171=1,I821=1),B822,""))</x:f>
        <x:v>0</x:v>
      </x:c>
      <x:c r="I822" s="444" t="n">
        <x:f>IF(OR(I821=1,AND(E822&gt;0,$B$78&lt;&gt;"Cash payoff",NOT(AND($B$78="Refinance",ISNUMBER($B$80),$B$80&gt;=0,$B$80&lt;=1,ROUND($B$81*12,0)&gt;=1,$B$81&lt;=100,SUM($B$82)&gt;=0,SUM($B$82)&lt;=1,SUM($B$83)&gt;=0))),AND(ISNUMBER(B822),B822&gt;0,$B$171=1,NOT(ISNUMBER(D822)))),1,0)</x:f>
        <x:v>0</x:v>
      </x:c>
      <x:c r="J822" s="440" t="n">
        <x:f>IF(ISNUMBER(L821),L821,"")</x:f>
        <x:v>0</x:v>
      </x:c>
      <x:c r="K822" s="440" t="n">
        <x:f>IF(AND(ISNUMBER(J822),J822=0),0,IF(AND($B$176=1,ISNUMBER(J822)),MIN(J822*(1+$B$87/12),IF($B$86=0,0,IF($B$87=0,$B$86/ROUND($B$88*12,0),$B$86*($B$87/12)/(1-(1+$B$87/12)^(-ROUND($B$88*12,0)))))),""))</x:f>
        <x:v>0</x:v>
      </x:c>
      <x:c r="L822" s="440" t="n">
        <x:f>IF(ISNUMBER(K822),IF(MAX(0,J822*(1+SUM($B$87)/12)-K822)&lt;MAX(0.0000001,$B$86*0.00000000001),0,MAX(0,J822*(1+SUM($B$87)/12)-K822)),"")</x:f>
        <x:v>0</x:v>
      </x:c>
      <x:c r="M822" s="440" t="n">
        <x:f>IF(AND(ISNUMBER(D822),ISNUMBER(K822)),D822+K822,"")</x:f>
        <x:v>0</x:v>
      </x:c>
      <x:c r="N822" s="440" t="n">
        <x:f>IF(AND(ISNUMBER(H822),ISNUMBER(L822)),H822+L822,"")</x:f>
        <x:v>0</x:v>
      </x:c>
    </x:row>
    <x:row r="823" ht="22" customHeight="1">
      <x:c r="A823" s="254" t="n">
        <x:f>423</x:f>
        <x:v>423</x:v>
      </x:c>
      <x:c r="B823" s="440" t="n">
        <x:f>IF(ISNUMBER(H822),H822,"")</x:f>
        <x:v>0</x:v>
      </x:c>
      <x:c r="C823" s="442" t="n">
        <x:f>IF(ISNUMBER(B823),IF(AND(423&gt;$B$173,$B$78="Refinance",ISNUMBER($B$80),$B$80&gt;=0,$B$80&lt;=1,ROUND($B$81*12,0)&gt;=1,$B$81&lt;=100,SUM($B$82)&gt;=0,SUM($B$82)&lt;=1,SUM($B$83)&gt;=0),$B$80,IF(AND($B$175&gt;0,423&gt;$B$175,ISNUMBER($B$75)),$B$75,$B$61)),"")</x:f>
        <x:v>0.0625</x:v>
      </x:c>
      <x:c r="D823" s="440" t="n">
        <x:f>IF(AND(ISNUMBER(B823),B823=0),0,IF(AND($B$171=1,I822=0,ISNUMBER(C823),ISNUMBER(IF(AND(423&lt;=$B$174,423&lt;=$B$173),B823*C823/12,IF(AND(423=$B$173+1,AND(423&gt;$B$173,$B$78="Refinance",ISNUMBER($B$80),$B$80&gt;=0,$B$80&lt;=1,ROUND($B$81*12,0)&gt;=1,$B$81&lt;=100,SUM($B$82)&gt;=0,SUM($B$82)&lt;=1,SUM($B$83)&gt;=0)),IF(B823=0,0,IF(C823=0,B823/ROUND($B$81*12,0),B823*(C823/12)/(1-(1+C823/12)^(-ROUND($B$81*12,0))))),IF(AND(NOT(AND(423&gt;$B$173,$B$78="Refinance",ISNUMBER($B$80),$B$80&gt;=0,$B$80&lt;=1,ROUND($B$81*12,0)&gt;=1,$B$81&lt;=100,SUM($B$82)&gt;=0,SUM($B$82)&lt;=1,SUM($B$83)&gt;=0)),OR(423=1,423=$B$174+1,AND($B$175&gt;0,423=$B$175+1))),IF(AND($B$170=1,$B$66&gt;0,OR($B$175=0,423&lt;=$B$175)),$B$66,IF($B$172-MAX(423-1,$B$174)&gt;0,IF(B823=0,0,IF(C823=0,B823/($B$172-MAX(423-1,$B$174)),B823*(C823/12)/(1-(1+C823/12)^(-($B$172-MAX(423-1,$B$174)))))),"")),D822))))),IF(IF(AND(423&lt;=$B$174,423&lt;=$B$173),B823*C823/12,IF(AND(423=$B$173+1,AND(423&gt;$B$173,$B$78="Refinance",ISNUMBER($B$80),$B$80&gt;=0,$B$80&lt;=1,ROUND($B$81*12,0)&gt;=1,$B$81&lt;=100,SUM($B$82)&gt;=0,SUM($B$82)&lt;=1,SUM($B$83)&gt;=0)),IF(B823=0,0,IF(C823=0,B823/ROUND($B$81*12,0),B823*(C823/12)/(1-(1+C823/12)^(-ROUND($B$81*12,0))))),IF(AND(NOT(AND(423&gt;$B$173,$B$78="Refinance",ISNUMBER($B$80),$B$80&gt;=0,$B$80&lt;=1,ROUND($B$81*12,0)&gt;=1,$B$81&lt;=100,SUM($B$82)&gt;=0,SUM($B$82)&lt;=1,SUM($B$83)&gt;=0)),OR(423=1,423=$B$174+1,AND($B$175&gt;0,423=$B$175+1))),IF(AND($B$170=1,$B$66&gt;0,OR($B$175=0,423&lt;=$B$175)),$B$66,IF($B$172-MAX(423-1,$B$174)&gt;0,IF(B823=0,0,IF(C823=0,B823/($B$172-MAX(423-1,$B$174)),B823*(C823/12)/(1-(1+C823/12)^(-($B$172-MAX(423-1,$B$174)))))),"")),D822)))+0.0000001&gt;=B823*C823/12,MIN(B823*(1+C823/12),IF(AND(423&lt;=$B$174,423&lt;=$B$173),B823*C823/12,IF(AND(423=$B$173+1,AND(423&gt;$B$173,$B$78="Refinance",ISNUMBER($B$80),$B$80&gt;=0,$B$80&lt;=1,ROUND($B$81*12,0)&gt;=1,$B$81&lt;=100,SUM($B$82)&gt;=0,SUM($B$82)&lt;=1,SUM($B$83)&gt;=0)),IF(B823=0,0,IF(C823=0,B823/ROUND($B$81*12,0),B823*(C823/12)/(1-(1+C823/12)^(-ROUND($B$81*12,0))))),IF(AND(NOT(AND(423&gt;$B$173,$B$78="Refinance",ISNUMBER($B$80),$B$80&gt;=0,$B$80&lt;=1,ROUND($B$81*12,0)&gt;=1,$B$81&lt;=100,SUM($B$82)&gt;=0,SUM($B$82)&lt;=1,SUM($B$83)&gt;=0)),OR(423=1,423=$B$174+1,AND($B$175&gt;0,423=$B$175+1))),IF(AND($B$170=1,$B$66&gt;0,OR($B$175=0,423&lt;=$B$175)),$B$66,IF($B$172-MAX(423-1,$B$174)&gt;0,IF(B823=0,0,IF(C823=0,B823/($B$172-MAX(423-1,$B$174)),B823*(C823/12)/(1-(1+C823/12)^(-($B$172-MAX(423-1,$B$174)))))),"")),D822)))),""),""))</x:f>
        <x:v>0</x:v>
      </x:c>
      <x:c r="E823" s="440" t="n">
        <x:f>IF(AND(423=$B$173,ISNUMBER(D823)),IF(MAX(0,B823*(1+C823/12)-D823)&lt;MAX(0.0000001,$E$17*0.00000000001),0,MAX(0,B823*(1+C823/12)-D823)),0)</x:f>
        <x:v>0</x:v>
      </x:c>
      <x:c r="F823" s="440" t="n">
        <x:f>IF($B$78="Cash payoff",E823,0)</x:f>
        <x:v>0</x:v>
      </x:c>
      <x:c r="G823" s="440" t="n">
        <x:f>IF(AND(E823&gt;0,AND($B$78="Refinance",ISNUMBER($B$80),$B$80&gt;=0,$B$80&lt;=1,ROUND($B$81*12,0)&gt;=1,$B$81&lt;=100,SUM($B$82)&gt;=0,SUM($B$82)&lt;=1,SUM($B$83)&gt;=0)),E823*SUM($B$82)+SUM($B$83),0)</x:f>
        <x:v>0</x:v>
      </x:c>
      <x:c r="H823" s="440" t="n">
        <x:f>IF(ISNUMBER(D823),IF(MAX(0,B823*(1+C823/12)-D823-F823)&lt;MAX(0.0000001,$E$17*0.00000000001),0,MAX(0,B823*(1+C823/12)-D823-F823)),IF(AND($B$171=1,I822=1),B823,""))</x:f>
        <x:v>0</x:v>
      </x:c>
      <x:c r="I823" s="444" t="n">
        <x:f>IF(OR(I822=1,AND(E823&gt;0,$B$78&lt;&gt;"Cash payoff",NOT(AND($B$78="Refinance",ISNUMBER($B$80),$B$80&gt;=0,$B$80&lt;=1,ROUND($B$81*12,0)&gt;=1,$B$81&lt;=100,SUM($B$82)&gt;=0,SUM($B$82)&lt;=1,SUM($B$83)&gt;=0))),AND(ISNUMBER(B823),B823&gt;0,$B$171=1,NOT(ISNUMBER(D823)))),1,0)</x:f>
        <x:v>0</x:v>
      </x:c>
      <x:c r="J823" s="440" t="n">
        <x:f>IF(ISNUMBER(L822),L822,"")</x:f>
        <x:v>0</x:v>
      </x:c>
      <x:c r="K823" s="440" t="n">
        <x:f>IF(AND(ISNUMBER(J823),J823=0),0,IF(AND($B$176=1,ISNUMBER(J823)),MIN(J823*(1+$B$87/12),IF($B$86=0,0,IF($B$87=0,$B$86/ROUND($B$88*12,0),$B$86*($B$87/12)/(1-(1+$B$87/12)^(-ROUND($B$88*12,0)))))),""))</x:f>
        <x:v>0</x:v>
      </x:c>
      <x:c r="L823" s="440" t="n">
        <x:f>IF(ISNUMBER(K823),IF(MAX(0,J823*(1+SUM($B$87)/12)-K823)&lt;MAX(0.0000001,$B$86*0.00000000001),0,MAX(0,J823*(1+SUM($B$87)/12)-K823)),"")</x:f>
        <x:v>0</x:v>
      </x:c>
      <x:c r="M823" s="440" t="n">
        <x:f>IF(AND(ISNUMBER(D823),ISNUMBER(K823)),D823+K823,"")</x:f>
        <x:v>0</x:v>
      </x:c>
      <x:c r="N823" s="440" t="n">
        <x:f>IF(AND(ISNUMBER(H823),ISNUMBER(L823)),H823+L823,"")</x:f>
        <x:v>0</x:v>
      </x:c>
    </x:row>
    <x:row r="824" ht="22" customHeight="1">
      <x:c r="A824" s="254" t="n">
        <x:f>424</x:f>
        <x:v>424</x:v>
      </x:c>
      <x:c r="B824" s="440" t="n">
        <x:f>IF(ISNUMBER(H823),H823,"")</x:f>
        <x:v>0</x:v>
      </x:c>
      <x:c r="C824" s="442" t="n">
        <x:f>IF(ISNUMBER(B824),IF(AND(424&gt;$B$173,$B$78="Refinance",ISNUMBER($B$80),$B$80&gt;=0,$B$80&lt;=1,ROUND($B$81*12,0)&gt;=1,$B$81&lt;=100,SUM($B$82)&gt;=0,SUM($B$82)&lt;=1,SUM($B$83)&gt;=0),$B$80,IF(AND($B$175&gt;0,424&gt;$B$175,ISNUMBER($B$75)),$B$75,$B$61)),"")</x:f>
        <x:v>0.0625</x:v>
      </x:c>
      <x:c r="D824" s="440" t="n">
        <x:f>IF(AND(ISNUMBER(B824),B824=0),0,IF(AND($B$171=1,I823=0,ISNUMBER(C824),ISNUMBER(IF(AND(424&lt;=$B$174,424&lt;=$B$173),B824*C824/12,IF(AND(424=$B$173+1,AND(424&gt;$B$173,$B$78="Refinance",ISNUMBER($B$80),$B$80&gt;=0,$B$80&lt;=1,ROUND($B$81*12,0)&gt;=1,$B$81&lt;=100,SUM($B$82)&gt;=0,SUM($B$82)&lt;=1,SUM($B$83)&gt;=0)),IF(B824=0,0,IF(C824=0,B824/ROUND($B$81*12,0),B824*(C824/12)/(1-(1+C824/12)^(-ROUND($B$81*12,0))))),IF(AND(NOT(AND(424&gt;$B$173,$B$78="Refinance",ISNUMBER($B$80),$B$80&gt;=0,$B$80&lt;=1,ROUND($B$81*12,0)&gt;=1,$B$81&lt;=100,SUM($B$82)&gt;=0,SUM($B$82)&lt;=1,SUM($B$83)&gt;=0)),OR(424=1,424=$B$174+1,AND($B$175&gt;0,424=$B$175+1))),IF(AND($B$170=1,$B$66&gt;0,OR($B$175=0,424&lt;=$B$175)),$B$66,IF($B$172-MAX(424-1,$B$174)&gt;0,IF(B824=0,0,IF(C824=0,B824/($B$172-MAX(424-1,$B$174)),B824*(C824/12)/(1-(1+C824/12)^(-($B$172-MAX(424-1,$B$174)))))),"")),D823))))),IF(IF(AND(424&lt;=$B$174,424&lt;=$B$173),B824*C824/12,IF(AND(424=$B$173+1,AND(424&gt;$B$173,$B$78="Refinance",ISNUMBER($B$80),$B$80&gt;=0,$B$80&lt;=1,ROUND($B$81*12,0)&gt;=1,$B$81&lt;=100,SUM($B$82)&gt;=0,SUM($B$82)&lt;=1,SUM($B$83)&gt;=0)),IF(B824=0,0,IF(C824=0,B824/ROUND($B$81*12,0),B824*(C824/12)/(1-(1+C824/12)^(-ROUND($B$81*12,0))))),IF(AND(NOT(AND(424&gt;$B$173,$B$78="Refinance",ISNUMBER($B$80),$B$80&gt;=0,$B$80&lt;=1,ROUND($B$81*12,0)&gt;=1,$B$81&lt;=100,SUM($B$82)&gt;=0,SUM($B$82)&lt;=1,SUM($B$83)&gt;=0)),OR(424=1,424=$B$174+1,AND($B$175&gt;0,424=$B$175+1))),IF(AND($B$170=1,$B$66&gt;0,OR($B$175=0,424&lt;=$B$175)),$B$66,IF($B$172-MAX(424-1,$B$174)&gt;0,IF(B824=0,0,IF(C824=0,B824/($B$172-MAX(424-1,$B$174)),B824*(C824/12)/(1-(1+C824/12)^(-($B$172-MAX(424-1,$B$174)))))),"")),D823)))+0.0000001&gt;=B824*C824/12,MIN(B824*(1+C824/12),IF(AND(424&lt;=$B$174,424&lt;=$B$173),B824*C824/12,IF(AND(424=$B$173+1,AND(424&gt;$B$173,$B$78="Refinance",ISNUMBER($B$80),$B$80&gt;=0,$B$80&lt;=1,ROUND($B$81*12,0)&gt;=1,$B$81&lt;=100,SUM($B$82)&gt;=0,SUM($B$82)&lt;=1,SUM($B$83)&gt;=0)),IF(B824=0,0,IF(C824=0,B824/ROUND($B$81*12,0),B824*(C824/12)/(1-(1+C824/12)^(-ROUND($B$81*12,0))))),IF(AND(NOT(AND(424&gt;$B$173,$B$78="Refinance",ISNUMBER($B$80),$B$80&gt;=0,$B$80&lt;=1,ROUND($B$81*12,0)&gt;=1,$B$81&lt;=100,SUM($B$82)&gt;=0,SUM($B$82)&lt;=1,SUM($B$83)&gt;=0)),OR(424=1,424=$B$174+1,AND($B$175&gt;0,424=$B$175+1))),IF(AND($B$170=1,$B$66&gt;0,OR($B$175=0,424&lt;=$B$175)),$B$66,IF($B$172-MAX(424-1,$B$174)&gt;0,IF(B824=0,0,IF(C824=0,B824/($B$172-MAX(424-1,$B$174)),B824*(C824/12)/(1-(1+C824/12)^(-($B$172-MAX(424-1,$B$174)))))),"")),D823)))),""),""))</x:f>
        <x:v>0</x:v>
      </x:c>
      <x:c r="E824" s="440" t="n">
        <x:f>IF(AND(424=$B$173,ISNUMBER(D824)),IF(MAX(0,B824*(1+C824/12)-D824)&lt;MAX(0.0000001,$E$17*0.00000000001),0,MAX(0,B824*(1+C824/12)-D824)),0)</x:f>
        <x:v>0</x:v>
      </x:c>
      <x:c r="F824" s="440" t="n">
        <x:f>IF($B$78="Cash payoff",E824,0)</x:f>
        <x:v>0</x:v>
      </x:c>
      <x:c r="G824" s="440" t="n">
        <x:f>IF(AND(E824&gt;0,AND($B$78="Refinance",ISNUMBER($B$80),$B$80&gt;=0,$B$80&lt;=1,ROUND($B$81*12,0)&gt;=1,$B$81&lt;=100,SUM($B$82)&gt;=0,SUM($B$82)&lt;=1,SUM($B$83)&gt;=0)),E824*SUM($B$82)+SUM($B$83),0)</x:f>
        <x:v>0</x:v>
      </x:c>
      <x:c r="H824" s="440" t="n">
        <x:f>IF(ISNUMBER(D824),IF(MAX(0,B824*(1+C824/12)-D824-F824)&lt;MAX(0.0000001,$E$17*0.00000000001),0,MAX(0,B824*(1+C824/12)-D824-F824)),IF(AND($B$171=1,I823=1),B824,""))</x:f>
        <x:v>0</x:v>
      </x:c>
      <x:c r="I824" s="444" t="n">
        <x:f>IF(OR(I823=1,AND(E824&gt;0,$B$78&lt;&gt;"Cash payoff",NOT(AND($B$78="Refinance",ISNUMBER($B$80),$B$80&gt;=0,$B$80&lt;=1,ROUND($B$81*12,0)&gt;=1,$B$81&lt;=100,SUM($B$82)&gt;=0,SUM($B$82)&lt;=1,SUM($B$83)&gt;=0))),AND(ISNUMBER(B824),B824&gt;0,$B$171=1,NOT(ISNUMBER(D824)))),1,0)</x:f>
        <x:v>0</x:v>
      </x:c>
      <x:c r="J824" s="440" t="n">
        <x:f>IF(ISNUMBER(L823),L823,"")</x:f>
        <x:v>0</x:v>
      </x:c>
      <x:c r="K824" s="440" t="n">
        <x:f>IF(AND(ISNUMBER(J824),J824=0),0,IF(AND($B$176=1,ISNUMBER(J824)),MIN(J824*(1+$B$87/12),IF($B$86=0,0,IF($B$87=0,$B$86/ROUND($B$88*12,0),$B$86*($B$87/12)/(1-(1+$B$87/12)^(-ROUND($B$88*12,0)))))),""))</x:f>
        <x:v>0</x:v>
      </x:c>
      <x:c r="L824" s="440" t="n">
        <x:f>IF(ISNUMBER(K824),IF(MAX(0,J824*(1+SUM($B$87)/12)-K824)&lt;MAX(0.0000001,$B$86*0.00000000001),0,MAX(0,J824*(1+SUM($B$87)/12)-K824)),"")</x:f>
        <x:v>0</x:v>
      </x:c>
      <x:c r="M824" s="440" t="n">
        <x:f>IF(AND(ISNUMBER(D824),ISNUMBER(K824)),D824+K824,"")</x:f>
        <x:v>0</x:v>
      </x:c>
      <x:c r="N824" s="440" t="n">
        <x:f>IF(AND(ISNUMBER(H824),ISNUMBER(L824)),H824+L824,"")</x:f>
        <x:v>0</x:v>
      </x:c>
    </x:row>
    <x:row r="825" ht="22" customHeight="1">
      <x:c r="A825" s="254" t="n">
        <x:f>425</x:f>
        <x:v>425</x:v>
      </x:c>
      <x:c r="B825" s="440" t="n">
        <x:f>IF(ISNUMBER(H824),H824,"")</x:f>
        <x:v>0</x:v>
      </x:c>
      <x:c r="C825" s="442" t="n">
        <x:f>IF(ISNUMBER(B825),IF(AND(425&gt;$B$173,$B$78="Refinance",ISNUMBER($B$80),$B$80&gt;=0,$B$80&lt;=1,ROUND($B$81*12,0)&gt;=1,$B$81&lt;=100,SUM($B$82)&gt;=0,SUM($B$82)&lt;=1,SUM($B$83)&gt;=0),$B$80,IF(AND($B$175&gt;0,425&gt;$B$175,ISNUMBER($B$75)),$B$75,$B$61)),"")</x:f>
        <x:v>0.0625</x:v>
      </x:c>
      <x:c r="D825" s="440" t="n">
        <x:f>IF(AND(ISNUMBER(B825),B825=0),0,IF(AND($B$171=1,I824=0,ISNUMBER(C825),ISNUMBER(IF(AND(425&lt;=$B$174,425&lt;=$B$173),B825*C825/12,IF(AND(425=$B$173+1,AND(425&gt;$B$173,$B$78="Refinance",ISNUMBER($B$80),$B$80&gt;=0,$B$80&lt;=1,ROUND($B$81*12,0)&gt;=1,$B$81&lt;=100,SUM($B$82)&gt;=0,SUM($B$82)&lt;=1,SUM($B$83)&gt;=0)),IF(B825=0,0,IF(C825=0,B825/ROUND($B$81*12,0),B825*(C825/12)/(1-(1+C825/12)^(-ROUND($B$81*12,0))))),IF(AND(NOT(AND(425&gt;$B$173,$B$78="Refinance",ISNUMBER($B$80),$B$80&gt;=0,$B$80&lt;=1,ROUND($B$81*12,0)&gt;=1,$B$81&lt;=100,SUM($B$82)&gt;=0,SUM($B$82)&lt;=1,SUM($B$83)&gt;=0)),OR(425=1,425=$B$174+1,AND($B$175&gt;0,425=$B$175+1))),IF(AND($B$170=1,$B$66&gt;0,OR($B$175=0,425&lt;=$B$175)),$B$66,IF($B$172-MAX(425-1,$B$174)&gt;0,IF(B825=0,0,IF(C825=0,B825/($B$172-MAX(425-1,$B$174)),B825*(C825/12)/(1-(1+C825/12)^(-($B$172-MAX(425-1,$B$174)))))),"")),D824))))),IF(IF(AND(425&lt;=$B$174,425&lt;=$B$173),B825*C825/12,IF(AND(425=$B$173+1,AND(425&gt;$B$173,$B$78="Refinance",ISNUMBER($B$80),$B$80&gt;=0,$B$80&lt;=1,ROUND($B$81*12,0)&gt;=1,$B$81&lt;=100,SUM($B$82)&gt;=0,SUM($B$82)&lt;=1,SUM($B$83)&gt;=0)),IF(B825=0,0,IF(C825=0,B825/ROUND($B$81*12,0),B825*(C825/12)/(1-(1+C825/12)^(-ROUND($B$81*12,0))))),IF(AND(NOT(AND(425&gt;$B$173,$B$78="Refinance",ISNUMBER($B$80),$B$80&gt;=0,$B$80&lt;=1,ROUND($B$81*12,0)&gt;=1,$B$81&lt;=100,SUM($B$82)&gt;=0,SUM($B$82)&lt;=1,SUM($B$83)&gt;=0)),OR(425=1,425=$B$174+1,AND($B$175&gt;0,425=$B$175+1))),IF(AND($B$170=1,$B$66&gt;0,OR($B$175=0,425&lt;=$B$175)),$B$66,IF($B$172-MAX(425-1,$B$174)&gt;0,IF(B825=0,0,IF(C825=0,B825/($B$172-MAX(425-1,$B$174)),B825*(C825/12)/(1-(1+C825/12)^(-($B$172-MAX(425-1,$B$174)))))),"")),D824)))+0.0000001&gt;=B825*C825/12,MIN(B825*(1+C825/12),IF(AND(425&lt;=$B$174,425&lt;=$B$173),B825*C825/12,IF(AND(425=$B$173+1,AND(425&gt;$B$173,$B$78="Refinance",ISNUMBER($B$80),$B$80&gt;=0,$B$80&lt;=1,ROUND($B$81*12,0)&gt;=1,$B$81&lt;=100,SUM($B$82)&gt;=0,SUM($B$82)&lt;=1,SUM($B$83)&gt;=0)),IF(B825=0,0,IF(C825=0,B825/ROUND($B$81*12,0),B825*(C825/12)/(1-(1+C825/12)^(-ROUND($B$81*12,0))))),IF(AND(NOT(AND(425&gt;$B$173,$B$78="Refinance",ISNUMBER($B$80),$B$80&gt;=0,$B$80&lt;=1,ROUND($B$81*12,0)&gt;=1,$B$81&lt;=100,SUM($B$82)&gt;=0,SUM($B$82)&lt;=1,SUM($B$83)&gt;=0)),OR(425=1,425=$B$174+1,AND($B$175&gt;0,425=$B$175+1))),IF(AND($B$170=1,$B$66&gt;0,OR($B$175=0,425&lt;=$B$175)),$B$66,IF($B$172-MAX(425-1,$B$174)&gt;0,IF(B825=0,0,IF(C825=0,B825/($B$172-MAX(425-1,$B$174)),B825*(C825/12)/(1-(1+C825/12)^(-($B$172-MAX(425-1,$B$174)))))),"")),D824)))),""),""))</x:f>
        <x:v>0</x:v>
      </x:c>
      <x:c r="E825" s="440" t="n">
        <x:f>IF(AND(425=$B$173,ISNUMBER(D825)),IF(MAX(0,B825*(1+C825/12)-D825)&lt;MAX(0.0000001,$E$17*0.00000000001),0,MAX(0,B825*(1+C825/12)-D825)),0)</x:f>
        <x:v>0</x:v>
      </x:c>
      <x:c r="F825" s="440" t="n">
        <x:f>IF($B$78="Cash payoff",E825,0)</x:f>
        <x:v>0</x:v>
      </x:c>
      <x:c r="G825" s="440" t="n">
        <x:f>IF(AND(E825&gt;0,AND($B$78="Refinance",ISNUMBER($B$80),$B$80&gt;=0,$B$80&lt;=1,ROUND($B$81*12,0)&gt;=1,$B$81&lt;=100,SUM($B$82)&gt;=0,SUM($B$82)&lt;=1,SUM($B$83)&gt;=0)),E825*SUM($B$82)+SUM($B$83),0)</x:f>
        <x:v>0</x:v>
      </x:c>
      <x:c r="H825" s="440" t="n">
        <x:f>IF(ISNUMBER(D825),IF(MAX(0,B825*(1+C825/12)-D825-F825)&lt;MAX(0.0000001,$E$17*0.00000000001),0,MAX(0,B825*(1+C825/12)-D825-F825)),IF(AND($B$171=1,I824=1),B825,""))</x:f>
        <x:v>0</x:v>
      </x:c>
      <x:c r="I825" s="444" t="n">
        <x:f>IF(OR(I824=1,AND(E825&gt;0,$B$78&lt;&gt;"Cash payoff",NOT(AND($B$78="Refinance",ISNUMBER($B$80),$B$80&gt;=0,$B$80&lt;=1,ROUND($B$81*12,0)&gt;=1,$B$81&lt;=100,SUM($B$82)&gt;=0,SUM($B$82)&lt;=1,SUM($B$83)&gt;=0))),AND(ISNUMBER(B825),B825&gt;0,$B$171=1,NOT(ISNUMBER(D825)))),1,0)</x:f>
        <x:v>0</x:v>
      </x:c>
      <x:c r="J825" s="440" t="n">
        <x:f>IF(ISNUMBER(L824),L824,"")</x:f>
        <x:v>0</x:v>
      </x:c>
      <x:c r="K825" s="440" t="n">
        <x:f>IF(AND(ISNUMBER(J825),J825=0),0,IF(AND($B$176=1,ISNUMBER(J825)),MIN(J825*(1+$B$87/12),IF($B$86=0,0,IF($B$87=0,$B$86/ROUND($B$88*12,0),$B$86*($B$87/12)/(1-(1+$B$87/12)^(-ROUND($B$88*12,0)))))),""))</x:f>
        <x:v>0</x:v>
      </x:c>
      <x:c r="L825" s="440" t="n">
        <x:f>IF(ISNUMBER(K825),IF(MAX(0,J825*(1+SUM($B$87)/12)-K825)&lt;MAX(0.0000001,$B$86*0.00000000001),0,MAX(0,J825*(1+SUM($B$87)/12)-K825)),"")</x:f>
        <x:v>0</x:v>
      </x:c>
      <x:c r="M825" s="440" t="n">
        <x:f>IF(AND(ISNUMBER(D825),ISNUMBER(K825)),D825+K825,"")</x:f>
        <x:v>0</x:v>
      </x:c>
      <x:c r="N825" s="440" t="n">
        <x:f>IF(AND(ISNUMBER(H825),ISNUMBER(L825)),H825+L825,"")</x:f>
        <x:v>0</x:v>
      </x:c>
    </x:row>
    <x:row r="826" ht="22" customHeight="1">
      <x:c r="A826" s="254" t="n">
        <x:f>426</x:f>
        <x:v>426</x:v>
      </x:c>
      <x:c r="B826" s="440" t="n">
        <x:f>IF(ISNUMBER(H825),H825,"")</x:f>
        <x:v>0</x:v>
      </x:c>
      <x:c r="C826" s="442" t="n">
        <x:f>IF(ISNUMBER(B826),IF(AND(426&gt;$B$173,$B$78="Refinance",ISNUMBER($B$80),$B$80&gt;=0,$B$80&lt;=1,ROUND($B$81*12,0)&gt;=1,$B$81&lt;=100,SUM($B$82)&gt;=0,SUM($B$82)&lt;=1,SUM($B$83)&gt;=0),$B$80,IF(AND($B$175&gt;0,426&gt;$B$175,ISNUMBER($B$75)),$B$75,$B$61)),"")</x:f>
        <x:v>0.0625</x:v>
      </x:c>
      <x:c r="D826" s="440" t="n">
        <x:f>IF(AND(ISNUMBER(B826),B826=0),0,IF(AND($B$171=1,I825=0,ISNUMBER(C826),ISNUMBER(IF(AND(426&lt;=$B$174,426&lt;=$B$173),B826*C826/12,IF(AND(426=$B$173+1,AND(426&gt;$B$173,$B$78="Refinance",ISNUMBER($B$80),$B$80&gt;=0,$B$80&lt;=1,ROUND($B$81*12,0)&gt;=1,$B$81&lt;=100,SUM($B$82)&gt;=0,SUM($B$82)&lt;=1,SUM($B$83)&gt;=0)),IF(B826=0,0,IF(C826=0,B826/ROUND($B$81*12,0),B826*(C826/12)/(1-(1+C826/12)^(-ROUND($B$81*12,0))))),IF(AND(NOT(AND(426&gt;$B$173,$B$78="Refinance",ISNUMBER($B$80),$B$80&gt;=0,$B$80&lt;=1,ROUND($B$81*12,0)&gt;=1,$B$81&lt;=100,SUM($B$82)&gt;=0,SUM($B$82)&lt;=1,SUM($B$83)&gt;=0)),OR(426=1,426=$B$174+1,AND($B$175&gt;0,426=$B$175+1))),IF(AND($B$170=1,$B$66&gt;0,OR($B$175=0,426&lt;=$B$175)),$B$66,IF($B$172-MAX(426-1,$B$174)&gt;0,IF(B826=0,0,IF(C826=0,B826/($B$172-MAX(426-1,$B$174)),B826*(C826/12)/(1-(1+C826/12)^(-($B$172-MAX(426-1,$B$174)))))),"")),D825))))),IF(IF(AND(426&lt;=$B$174,426&lt;=$B$173),B826*C826/12,IF(AND(426=$B$173+1,AND(426&gt;$B$173,$B$78="Refinance",ISNUMBER($B$80),$B$80&gt;=0,$B$80&lt;=1,ROUND($B$81*12,0)&gt;=1,$B$81&lt;=100,SUM($B$82)&gt;=0,SUM($B$82)&lt;=1,SUM($B$83)&gt;=0)),IF(B826=0,0,IF(C826=0,B826/ROUND($B$81*12,0),B826*(C826/12)/(1-(1+C826/12)^(-ROUND($B$81*12,0))))),IF(AND(NOT(AND(426&gt;$B$173,$B$78="Refinance",ISNUMBER($B$80),$B$80&gt;=0,$B$80&lt;=1,ROUND($B$81*12,0)&gt;=1,$B$81&lt;=100,SUM($B$82)&gt;=0,SUM($B$82)&lt;=1,SUM($B$83)&gt;=0)),OR(426=1,426=$B$174+1,AND($B$175&gt;0,426=$B$175+1))),IF(AND($B$170=1,$B$66&gt;0,OR($B$175=0,426&lt;=$B$175)),$B$66,IF($B$172-MAX(426-1,$B$174)&gt;0,IF(B826=0,0,IF(C826=0,B826/($B$172-MAX(426-1,$B$174)),B826*(C826/12)/(1-(1+C826/12)^(-($B$172-MAX(426-1,$B$174)))))),"")),D825)))+0.0000001&gt;=B826*C826/12,MIN(B826*(1+C826/12),IF(AND(426&lt;=$B$174,426&lt;=$B$173),B826*C826/12,IF(AND(426=$B$173+1,AND(426&gt;$B$173,$B$78="Refinance",ISNUMBER($B$80),$B$80&gt;=0,$B$80&lt;=1,ROUND($B$81*12,0)&gt;=1,$B$81&lt;=100,SUM($B$82)&gt;=0,SUM($B$82)&lt;=1,SUM($B$83)&gt;=0)),IF(B826=0,0,IF(C826=0,B826/ROUND($B$81*12,0),B826*(C826/12)/(1-(1+C826/12)^(-ROUND($B$81*12,0))))),IF(AND(NOT(AND(426&gt;$B$173,$B$78="Refinance",ISNUMBER($B$80),$B$80&gt;=0,$B$80&lt;=1,ROUND($B$81*12,0)&gt;=1,$B$81&lt;=100,SUM($B$82)&gt;=0,SUM($B$82)&lt;=1,SUM($B$83)&gt;=0)),OR(426=1,426=$B$174+1,AND($B$175&gt;0,426=$B$175+1))),IF(AND($B$170=1,$B$66&gt;0,OR($B$175=0,426&lt;=$B$175)),$B$66,IF($B$172-MAX(426-1,$B$174)&gt;0,IF(B826=0,0,IF(C826=0,B826/($B$172-MAX(426-1,$B$174)),B826*(C826/12)/(1-(1+C826/12)^(-($B$172-MAX(426-1,$B$174)))))),"")),D825)))),""),""))</x:f>
        <x:v>0</x:v>
      </x:c>
      <x:c r="E826" s="440" t="n">
        <x:f>IF(AND(426=$B$173,ISNUMBER(D826)),IF(MAX(0,B826*(1+C826/12)-D826)&lt;MAX(0.0000001,$E$17*0.00000000001),0,MAX(0,B826*(1+C826/12)-D826)),0)</x:f>
        <x:v>0</x:v>
      </x:c>
      <x:c r="F826" s="440" t="n">
        <x:f>IF($B$78="Cash payoff",E826,0)</x:f>
        <x:v>0</x:v>
      </x:c>
      <x:c r="G826" s="440" t="n">
        <x:f>IF(AND(E826&gt;0,AND($B$78="Refinance",ISNUMBER($B$80),$B$80&gt;=0,$B$80&lt;=1,ROUND($B$81*12,0)&gt;=1,$B$81&lt;=100,SUM($B$82)&gt;=0,SUM($B$82)&lt;=1,SUM($B$83)&gt;=0)),E826*SUM($B$82)+SUM($B$83),0)</x:f>
        <x:v>0</x:v>
      </x:c>
      <x:c r="H826" s="440" t="n">
        <x:f>IF(ISNUMBER(D826),IF(MAX(0,B826*(1+C826/12)-D826-F826)&lt;MAX(0.0000001,$E$17*0.00000000001),0,MAX(0,B826*(1+C826/12)-D826-F826)),IF(AND($B$171=1,I825=1),B826,""))</x:f>
        <x:v>0</x:v>
      </x:c>
      <x:c r="I826" s="444" t="n">
        <x:f>IF(OR(I825=1,AND(E826&gt;0,$B$78&lt;&gt;"Cash payoff",NOT(AND($B$78="Refinance",ISNUMBER($B$80),$B$80&gt;=0,$B$80&lt;=1,ROUND($B$81*12,0)&gt;=1,$B$81&lt;=100,SUM($B$82)&gt;=0,SUM($B$82)&lt;=1,SUM($B$83)&gt;=0))),AND(ISNUMBER(B826),B826&gt;0,$B$171=1,NOT(ISNUMBER(D826)))),1,0)</x:f>
        <x:v>0</x:v>
      </x:c>
      <x:c r="J826" s="440" t="n">
        <x:f>IF(ISNUMBER(L825),L825,"")</x:f>
        <x:v>0</x:v>
      </x:c>
      <x:c r="K826" s="440" t="n">
        <x:f>IF(AND(ISNUMBER(J826),J826=0),0,IF(AND($B$176=1,ISNUMBER(J826)),MIN(J826*(1+$B$87/12),IF($B$86=0,0,IF($B$87=0,$B$86/ROUND($B$88*12,0),$B$86*($B$87/12)/(1-(1+$B$87/12)^(-ROUND($B$88*12,0)))))),""))</x:f>
        <x:v>0</x:v>
      </x:c>
      <x:c r="L826" s="440" t="n">
        <x:f>IF(ISNUMBER(K826),IF(MAX(0,J826*(1+SUM($B$87)/12)-K826)&lt;MAX(0.0000001,$B$86*0.00000000001),0,MAX(0,J826*(1+SUM($B$87)/12)-K826)),"")</x:f>
        <x:v>0</x:v>
      </x:c>
      <x:c r="M826" s="440" t="n">
        <x:f>IF(AND(ISNUMBER(D826),ISNUMBER(K826)),D826+K826,"")</x:f>
        <x:v>0</x:v>
      </x:c>
      <x:c r="N826" s="440" t="n">
        <x:f>IF(AND(ISNUMBER(H826),ISNUMBER(L826)),H826+L826,"")</x:f>
        <x:v>0</x:v>
      </x:c>
    </x:row>
    <x:row r="827" ht="22" customHeight="1">
      <x:c r="A827" s="254" t="n">
        <x:f>427</x:f>
        <x:v>427</x:v>
      </x:c>
      <x:c r="B827" s="440" t="n">
        <x:f>IF(ISNUMBER(H826),H826,"")</x:f>
        <x:v>0</x:v>
      </x:c>
      <x:c r="C827" s="442" t="n">
        <x:f>IF(ISNUMBER(B827),IF(AND(427&gt;$B$173,$B$78="Refinance",ISNUMBER($B$80),$B$80&gt;=0,$B$80&lt;=1,ROUND($B$81*12,0)&gt;=1,$B$81&lt;=100,SUM($B$82)&gt;=0,SUM($B$82)&lt;=1,SUM($B$83)&gt;=0),$B$80,IF(AND($B$175&gt;0,427&gt;$B$175,ISNUMBER($B$75)),$B$75,$B$61)),"")</x:f>
        <x:v>0.0625</x:v>
      </x:c>
      <x:c r="D827" s="440" t="n">
        <x:f>IF(AND(ISNUMBER(B827),B827=0),0,IF(AND($B$171=1,I826=0,ISNUMBER(C827),ISNUMBER(IF(AND(427&lt;=$B$174,427&lt;=$B$173),B827*C827/12,IF(AND(427=$B$173+1,AND(427&gt;$B$173,$B$78="Refinance",ISNUMBER($B$80),$B$80&gt;=0,$B$80&lt;=1,ROUND($B$81*12,0)&gt;=1,$B$81&lt;=100,SUM($B$82)&gt;=0,SUM($B$82)&lt;=1,SUM($B$83)&gt;=0)),IF(B827=0,0,IF(C827=0,B827/ROUND($B$81*12,0),B827*(C827/12)/(1-(1+C827/12)^(-ROUND($B$81*12,0))))),IF(AND(NOT(AND(427&gt;$B$173,$B$78="Refinance",ISNUMBER($B$80),$B$80&gt;=0,$B$80&lt;=1,ROUND($B$81*12,0)&gt;=1,$B$81&lt;=100,SUM($B$82)&gt;=0,SUM($B$82)&lt;=1,SUM($B$83)&gt;=0)),OR(427=1,427=$B$174+1,AND($B$175&gt;0,427=$B$175+1))),IF(AND($B$170=1,$B$66&gt;0,OR($B$175=0,427&lt;=$B$175)),$B$66,IF($B$172-MAX(427-1,$B$174)&gt;0,IF(B827=0,0,IF(C827=0,B827/($B$172-MAX(427-1,$B$174)),B827*(C827/12)/(1-(1+C827/12)^(-($B$172-MAX(427-1,$B$174)))))),"")),D826))))),IF(IF(AND(427&lt;=$B$174,427&lt;=$B$173),B827*C827/12,IF(AND(427=$B$173+1,AND(427&gt;$B$173,$B$78="Refinance",ISNUMBER($B$80),$B$80&gt;=0,$B$80&lt;=1,ROUND($B$81*12,0)&gt;=1,$B$81&lt;=100,SUM($B$82)&gt;=0,SUM($B$82)&lt;=1,SUM($B$83)&gt;=0)),IF(B827=0,0,IF(C827=0,B827/ROUND($B$81*12,0),B827*(C827/12)/(1-(1+C827/12)^(-ROUND($B$81*12,0))))),IF(AND(NOT(AND(427&gt;$B$173,$B$78="Refinance",ISNUMBER($B$80),$B$80&gt;=0,$B$80&lt;=1,ROUND($B$81*12,0)&gt;=1,$B$81&lt;=100,SUM($B$82)&gt;=0,SUM($B$82)&lt;=1,SUM($B$83)&gt;=0)),OR(427=1,427=$B$174+1,AND($B$175&gt;0,427=$B$175+1))),IF(AND($B$170=1,$B$66&gt;0,OR($B$175=0,427&lt;=$B$175)),$B$66,IF($B$172-MAX(427-1,$B$174)&gt;0,IF(B827=0,0,IF(C827=0,B827/($B$172-MAX(427-1,$B$174)),B827*(C827/12)/(1-(1+C827/12)^(-($B$172-MAX(427-1,$B$174)))))),"")),D826)))+0.0000001&gt;=B827*C827/12,MIN(B827*(1+C827/12),IF(AND(427&lt;=$B$174,427&lt;=$B$173),B827*C827/12,IF(AND(427=$B$173+1,AND(427&gt;$B$173,$B$78="Refinance",ISNUMBER($B$80),$B$80&gt;=0,$B$80&lt;=1,ROUND($B$81*12,0)&gt;=1,$B$81&lt;=100,SUM($B$82)&gt;=0,SUM($B$82)&lt;=1,SUM($B$83)&gt;=0)),IF(B827=0,0,IF(C827=0,B827/ROUND($B$81*12,0),B827*(C827/12)/(1-(1+C827/12)^(-ROUND($B$81*12,0))))),IF(AND(NOT(AND(427&gt;$B$173,$B$78="Refinance",ISNUMBER($B$80),$B$80&gt;=0,$B$80&lt;=1,ROUND($B$81*12,0)&gt;=1,$B$81&lt;=100,SUM($B$82)&gt;=0,SUM($B$82)&lt;=1,SUM($B$83)&gt;=0)),OR(427=1,427=$B$174+1,AND($B$175&gt;0,427=$B$175+1))),IF(AND($B$170=1,$B$66&gt;0,OR($B$175=0,427&lt;=$B$175)),$B$66,IF($B$172-MAX(427-1,$B$174)&gt;0,IF(B827=0,0,IF(C827=0,B827/($B$172-MAX(427-1,$B$174)),B827*(C827/12)/(1-(1+C827/12)^(-($B$172-MAX(427-1,$B$174)))))),"")),D826)))),""),""))</x:f>
        <x:v>0</x:v>
      </x:c>
      <x:c r="E827" s="440" t="n">
        <x:f>IF(AND(427=$B$173,ISNUMBER(D827)),IF(MAX(0,B827*(1+C827/12)-D827)&lt;MAX(0.0000001,$E$17*0.00000000001),0,MAX(0,B827*(1+C827/12)-D827)),0)</x:f>
        <x:v>0</x:v>
      </x:c>
      <x:c r="F827" s="440" t="n">
        <x:f>IF($B$78="Cash payoff",E827,0)</x:f>
        <x:v>0</x:v>
      </x:c>
      <x:c r="G827" s="440" t="n">
        <x:f>IF(AND(E827&gt;0,AND($B$78="Refinance",ISNUMBER($B$80),$B$80&gt;=0,$B$80&lt;=1,ROUND($B$81*12,0)&gt;=1,$B$81&lt;=100,SUM($B$82)&gt;=0,SUM($B$82)&lt;=1,SUM($B$83)&gt;=0)),E827*SUM($B$82)+SUM($B$83),0)</x:f>
        <x:v>0</x:v>
      </x:c>
      <x:c r="H827" s="440" t="n">
        <x:f>IF(ISNUMBER(D827),IF(MAX(0,B827*(1+C827/12)-D827-F827)&lt;MAX(0.0000001,$E$17*0.00000000001),0,MAX(0,B827*(1+C827/12)-D827-F827)),IF(AND($B$171=1,I826=1),B827,""))</x:f>
        <x:v>0</x:v>
      </x:c>
      <x:c r="I827" s="444" t="n">
        <x:f>IF(OR(I826=1,AND(E827&gt;0,$B$78&lt;&gt;"Cash payoff",NOT(AND($B$78="Refinance",ISNUMBER($B$80),$B$80&gt;=0,$B$80&lt;=1,ROUND($B$81*12,0)&gt;=1,$B$81&lt;=100,SUM($B$82)&gt;=0,SUM($B$82)&lt;=1,SUM($B$83)&gt;=0))),AND(ISNUMBER(B827),B827&gt;0,$B$171=1,NOT(ISNUMBER(D827)))),1,0)</x:f>
        <x:v>0</x:v>
      </x:c>
      <x:c r="J827" s="440" t="n">
        <x:f>IF(ISNUMBER(L826),L826,"")</x:f>
        <x:v>0</x:v>
      </x:c>
      <x:c r="K827" s="440" t="n">
        <x:f>IF(AND(ISNUMBER(J827),J827=0),0,IF(AND($B$176=1,ISNUMBER(J827)),MIN(J827*(1+$B$87/12),IF($B$86=0,0,IF($B$87=0,$B$86/ROUND($B$88*12,0),$B$86*($B$87/12)/(1-(1+$B$87/12)^(-ROUND($B$88*12,0)))))),""))</x:f>
        <x:v>0</x:v>
      </x:c>
      <x:c r="L827" s="440" t="n">
        <x:f>IF(ISNUMBER(K827),IF(MAX(0,J827*(1+SUM($B$87)/12)-K827)&lt;MAX(0.0000001,$B$86*0.00000000001),0,MAX(0,J827*(1+SUM($B$87)/12)-K827)),"")</x:f>
        <x:v>0</x:v>
      </x:c>
      <x:c r="M827" s="440" t="n">
        <x:f>IF(AND(ISNUMBER(D827),ISNUMBER(K827)),D827+K827,"")</x:f>
        <x:v>0</x:v>
      </x:c>
      <x:c r="N827" s="440" t="n">
        <x:f>IF(AND(ISNUMBER(H827),ISNUMBER(L827)),H827+L827,"")</x:f>
        <x:v>0</x:v>
      </x:c>
    </x:row>
    <x:row r="828" ht="22" customHeight="1">
      <x:c r="A828" s="254" t="n">
        <x:f>428</x:f>
        <x:v>428</x:v>
      </x:c>
      <x:c r="B828" s="440" t="n">
        <x:f>IF(ISNUMBER(H827),H827,"")</x:f>
        <x:v>0</x:v>
      </x:c>
      <x:c r="C828" s="442" t="n">
        <x:f>IF(ISNUMBER(B828),IF(AND(428&gt;$B$173,$B$78="Refinance",ISNUMBER($B$80),$B$80&gt;=0,$B$80&lt;=1,ROUND($B$81*12,0)&gt;=1,$B$81&lt;=100,SUM($B$82)&gt;=0,SUM($B$82)&lt;=1,SUM($B$83)&gt;=0),$B$80,IF(AND($B$175&gt;0,428&gt;$B$175,ISNUMBER($B$75)),$B$75,$B$61)),"")</x:f>
        <x:v>0.0625</x:v>
      </x:c>
      <x:c r="D828" s="440" t="n">
        <x:f>IF(AND(ISNUMBER(B828),B828=0),0,IF(AND($B$171=1,I827=0,ISNUMBER(C828),ISNUMBER(IF(AND(428&lt;=$B$174,428&lt;=$B$173),B828*C828/12,IF(AND(428=$B$173+1,AND(428&gt;$B$173,$B$78="Refinance",ISNUMBER($B$80),$B$80&gt;=0,$B$80&lt;=1,ROUND($B$81*12,0)&gt;=1,$B$81&lt;=100,SUM($B$82)&gt;=0,SUM($B$82)&lt;=1,SUM($B$83)&gt;=0)),IF(B828=0,0,IF(C828=0,B828/ROUND($B$81*12,0),B828*(C828/12)/(1-(1+C828/12)^(-ROUND($B$81*12,0))))),IF(AND(NOT(AND(428&gt;$B$173,$B$78="Refinance",ISNUMBER($B$80),$B$80&gt;=0,$B$80&lt;=1,ROUND($B$81*12,0)&gt;=1,$B$81&lt;=100,SUM($B$82)&gt;=0,SUM($B$82)&lt;=1,SUM($B$83)&gt;=0)),OR(428=1,428=$B$174+1,AND($B$175&gt;0,428=$B$175+1))),IF(AND($B$170=1,$B$66&gt;0,OR($B$175=0,428&lt;=$B$175)),$B$66,IF($B$172-MAX(428-1,$B$174)&gt;0,IF(B828=0,0,IF(C828=0,B828/($B$172-MAX(428-1,$B$174)),B828*(C828/12)/(1-(1+C828/12)^(-($B$172-MAX(428-1,$B$174)))))),"")),D827))))),IF(IF(AND(428&lt;=$B$174,428&lt;=$B$173),B828*C828/12,IF(AND(428=$B$173+1,AND(428&gt;$B$173,$B$78="Refinance",ISNUMBER($B$80),$B$80&gt;=0,$B$80&lt;=1,ROUND($B$81*12,0)&gt;=1,$B$81&lt;=100,SUM($B$82)&gt;=0,SUM($B$82)&lt;=1,SUM($B$83)&gt;=0)),IF(B828=0,0,IF(C828=0,B828/ROUND($B$81*12,0),B828*(C828/12)/(1-(1+C828/12)^(-ROUND($B$81*12,0))))),IF(AND(NOT(AND(428&gt;$B$173,$B$78="Refinance",ISNUMBER($B$80),$B$80&gt;=0,$B$80&lt;=1,ROUND($B$81*12,0)&gt;=1,$B$81&lt;=100,SUM($B$82)&gt;=0,SUM($B$82)&lt;=1,SUM($B$83)&gt;=0)),OR(428=1,428=$B$174+1,AND($B$175&gt;0,428=$B$175+1))),IF(AND($B$170=1,$B$66&gt;0,OR($B$175=0,428&lt;=$B$175)),$B$66,IF($B$172-MAX(428-1,$B$174)&gt;0,IF(B828=0,0,IF(C828=0,B828/($B$172-MAX(428-1,$B$174)),B828*(C828/12)/(1-(1+C828/12)^(-($B$172-MAX(428-1,$B$174)))))),"")),D827)))+0.0000001&gt;=B828*C828/12,MIN(B828*(1+C828/12),IF(AND(428&lt;=$B$174,428&lt;=$B$173),B828*C828/12,IF(AND(428=$B$173+1,AND(428&gt;$B$173,$B$78="Refinance",ISNUMBER($B$80),$B$80&gt;=0,$B$80&lt;=1,ROUND($B$81*12,0)&gt;=1,$B$81&lt;=100,SUM($B$82)&gt;=0,SUM($B$82)&lt;=1,SUM($B$83)&gt;=0)),IF(B828=0,0,IF(C828=0,B828/ROUND($B$81*12,0),B828*(C828/12)/(1-(1+C828/12)^(-ROUND($B$81*12,0))))),IF(AND(NOT(AND(428&gt;$B$173,$B$78="Refinance",ISNUMBER($B$80),$B$80&gt;=0,$B$80&lt;=1,ROUND($B$81*12,0)&gt;=1,$B$81&lt;=100,SUM($B$82)&gt;=0,SUM($B$82)&lt;=1,SUM($B$83)&gt;=0)),OR(428=1,428=$B$174+1,AND($B$175&gt;0,428=$B$175+1))),IF(AND($B$170=1,$B$66&gt;0,OR($B$175=0,428&lt;=$B$175)),$B$66,IF($B$172-MAX(428-1,$B$174)&gt;0,IF(B828=0,0,IF(C828=0,B828/($B$172-MAX(428-1,$B$174)),B828*(C828/12)/(1-(1+C828/12)^(-($B$172-MAX(428-1,$B$174)))))),"")),D827)))),""),""))</x:f>
        <x:v>0</x:v>
      </x:c>
      <x:c r="E828" s="440" t="n">
        <x:f>IF(AND(428=$B$173,ISNUMBER(D828)),IF(MAX(0,B828*(1+C828/12)-D828)&lt;MAX(0.0000001,$E$17*0.00000000001),0,MAX(0,B828*(1+C828/12)-D828)),0)</x:f>
        <x:v>0</x:v>
      </x:c>
      <x:c r="F828" s="440" t="n">
        <x:f>IF($B$78="Cash payoff",E828,0)</x:f>
        <x:v>0</x:v>
      </x:c>
      <x:c r="G828" s="440" t="n">
        <x:f>IF(AND(E828&gt;0,AND($B$78="Refinance",ISNUMBER($B$80),$B$80&gt;=0,$B$80&lt;=1,ROUND($B$81*12,0)&gt;=1,$B$81&lt;=100,SUM($B$82)&gt;=0,SUM($B$82)&lt;=1,SUM($B$83)&gt;=0)),E828*SUM($B$82)+SUM($B$83),0)</x:f>
        <x:v>0</x:v>
      </x:c>
      <x:c r="H828" s="440" t="n">
        <x:f>IF(ISNUMBER(D828),IF(MAX(0,B828*(1+C828/12)-D828-F828)&lt;MAX(0.0000001,$E$17*0.00000000001),0,MAX(0,B828*(1+C828/12)-D828-F828)),IF(AND($B$171=1,I827=1),B828,""))</x:f>
        <x:v>0</x:v>
      </x:c>
      <x:c r="I828" s="444" t="n">
        <x:f>IF(OR(I827=1,AND(E828&gt;0,$B$78&lt;&gt;"Cash payoff",NOT(AND($B$78="Refinance",ISNUMBER($B$80),$B$80&gt;=0,$B$80&lt;=1,ROUND($B$81*12,0)&gt;=1,$B$81&lt;=100,SUM($B$82)&gt;=0,SUM($B$82)&lt;=1,SUM($B$83)&gt;=0))),AND(ISNUMBER(B828),B828&gt;0,$B$171=1,NOT(ISNUMBER(D828)))),1,0)</x:f>
        <x:v>0</x:v>
      </x:c>
      <x:c r="J828" s="440" t="n">
        <x:f>IF(ISNUMBER(L827),L827,"")</x:f>
        <x:v>0</x:v>
      </x:c>
      <x:c r="K828" s="440" t="n">
        <x:f>IF(AND(ISNUMBER(J828),J828=0),0,IF(AND($B$176=1,ISNUMBER(J828)),MIN(J828*(1+$B$87/12),IF($B$86=0,0,IF($B$87=0,$B$86/ROUND($B$88*12,0),$B$86*($B$87/12)/(1-(1+$B$87/12)^(-ROUND($B$88*12,0)))))),""))</x:f>
        <x:v>0</x:v>
      </x:c>
      <x:c r="L828" s="440" t="n">
        <x:f>IF(ISNUMBER(K828),IF(MAX(0,J828*(1+SUM($B$87)/12)-K828)&lt;MAX(0.0000001,$B$86*0.00000000001),0,MAX(0,J828*(1+SUM($B$87)/12)-K828)),"")</x:f>
        <x:v>0</x:v>
      </x:c>
      <x:c r="M828" s="440" t="n">
        <x:f>IF(AND(ISNUMBER(D828),ISNUMBER(K828)),D828+K828,"")</x:f>
        <x:v>0</x:v>
      </x:c>
      <x:c r="N828" s="440" t="n">
        <x:f>IF(AND(ISNUMBER(H828),ISNUMBER(L828)),H828+L828,"")</x:f>
        <x:v>0</x:v>
      </x:c>
    </x:row>
    <x:row r="829" ht="22" customHeight="1">
      <x:c r="A829" s="254" t="n">
        <x:f>429</x:f>
        <x:v>429</x:v>
      </x:c>
      <x:c r="B829" s="440" t="n">
        <x:f>IF(ISNUMBER(H828),H828,"")</x:f>
        <x:v>0</x:v>
      </x:c>
      <x:c r="C829" s="442" t="n">
        <x:f>IF(ISNUMBER(B829),IF(AND(429&gt;$B$173,$B$78="Refinance",ISNUMBER($B$80),$B$80&gt;=0,$B$80&lt;=1,ROUND($B$81*12,0)&gt;=1,$B$81&lt;=100,SUM($B$82)&gt;=0,SUM($B$82)&lt;=1,SUM($B$83)&gt;=0),$B$80,IF(AND($B$175&gt;0,429&gt;$B$175,ISNUMBER($B$75)),$B$75,$B$61)),"")</x:f>
        <x:v>0.0625</x:v>
      </x:c>
      <x:c r="D829" s="440" t="n">
        <x:f>IF(AND(ISNUMBER(B829),B829=0),0,IF(AND($B$171=1,I828=0,ISNUMBER(C829),ISNUMBER(IF(AND(429&lt;=$B$174,429&lt;=$B$173),B829*C829/12,IF(AND(429=$B$173+1,AND(429&gt;$B$173,$B$78="Refinance",ISNUMBER($B$80),$B$80&gt;=0,$B$80&lt;=1,ROUND($B$81*12,0)&gt;=1,$B$81&lt;=100,SUM($B$82)&gt;=0,SUM($B$82)&lt;=1,SUM($B$83)&gt;=0)),IF(B829=0,0,IF(C829=0,B829/ROUND($B$81*12,0),B829*(C829/12)/(1-(1+C829/12)^(-ROUND($B$81*12,0))))),IF(AND(NOT(AND(429&gt;$B$173,$B$78="Refinance",ISNUMBER($B$80),$B$80&gt;=0,$B$80&lt;=1,ROUND($B$81*12,0)&gt;=1,$B$81&lt;=100,SUM($B$82)&gt;=0,SUM($B$82)&lt;=1,SUM($B$83)&gt;=0)),OR(429=1,429=$B$174+1,AND($B$175&gt;0,429=$B$175+1))),IF(AND($B$170=1,$B$66&gt;0,OR($B$175=0,429&lt;=$B$175)),$B$66,IF($B$172-MAX(429-1,$B$174)&gt;0,IF(B829=0,0,IF(C829=0,B829/($B$172-MAX(429-1,$B$174)),B829*(C829/12)/(1-(1+C829/12)^(-($B$172-MAX(429-1,$B$174)))))),"")),D828))))),IF(IF(AND(429&lt;=$B$174,429&lt;=$B$173),B829*C829/12,IF(AND(429=$B$173+1,AND(429&gt;$B$173,$B$78="Refinance",ISNUMBER($B$80),$B$80&gt;=0,$B$80&lt;=1,ROUND($B$81*12,0)&gt;=1,$B$81&lt;=100,SUM($B$82)&gt;=0,SUM($B$82)&lt;=1,SUM($B$83)&gt;=0)),IF(B829=0,0,IF(C829=0,B829/ROUND($B$81*12,0),B829*(C829/12)/(1-(1+C829/12)^(-ROUND($B$81*12,0))))),IF(AND(NOT(AND(429&gt;$B$173,$B$78="Refinance",ISNUMBER($B$80),$B$80&gt;=0,$B$80&lt;=1,ROUND($B$81*12,0)&gt;=1,$B$81&lt;=100,SUM($B$82)&gt;=0,SUM($B$82)&lt;=1,SUM($B$83)&gt;=0)),OR(429=1,429=$B$174+1,AND($B$175&gt;0,429=$B$175+1))),IF(AND($B$170=1,$B$66&gt;0,OR($B$175=0,429&lt;=$B$175)),$B$66,IF($B$172-MAX(429-1,$B$174)&gt;0,IF(B829=0,0,IF(C829=0,B829/($B$172-MAX(429-1,$B$174)),B829*(C829/12)/(1-(1+C829/12)^(-($B$172-MAX(429-1,$B$174)))))),"")),D828)))+0.0000001&gt;=B829*C829/12,MIN(B829*(1+C829/12),IF(AND(429&lt;=$B$174,429&lt;=$B$173),B829*C829/12,IF(AND(429=$B$173+1,AND(429&gt;$B$173,$B$78="Refinance",ISNUMBER($B$80),$B$80&gt;=0,$B$80&lt;=1,ROUND($B$81*12,0)&gt;=1,$B$81&lt;=100,SUM($B$82)&gt;=0,SUM($B$82)&lt;=1,SUM($B$83)&gt;=0)),IF(B829=0,0,IF(C829=0,B829/ROUND($B$81*12,0),B829*(C829/12)/(1-(1+C829/12)^(-ROUND($B$81*12,0))))),IF(AND(NOT(AND(429&gt;$B$173,$B$78="Refinance",ISNUMBER($B$80),$B$80&gt;=0,$B$80&lt;=1,ROUND($B$81*12,0)&gt;=1,$B$81&lt;=100,SUM($B$82)&gt;=0,SUM($B$82)&lt;=1,SUM($B$83)&gt;=0)),OR(429=1,429=$B$174+1,AND($B$175&gt;0,429=$B$175+1))),IF(AND($B$170=1,$B$66&gt;0,OR($B$175=0,429&lt;=$B$175)),$B$66,IF($B$172-MAX(429-1,$B$174)&gt;0,IF(B829=0,0,IF(C829=0,B829/($B$172-MAX(429-1,$B$174)),B829*(C829/12)/(1-(1+C829/12)^(-($B$172-MAX(429-1,$B$174)))))),"")),D828)))),""),""))</x:f>
        <x:v>0</x:v>
      </x:c>
      <x:c r="E829" s="440" t="n">
        <x:f>IF(AND(429=$B$173,ISNUMBER(D829)),IF(MAX(0,B829*(1+C829/12)-D829)&lt;MAX(0.0000001,$E$17*0.00000000001),0,MAX(0,B829*(1+C829/12)-D829)),0)</x:f>
        <x:v>0</x:v>
      </x:c>
      <x:c r="F829" s="440" t="n">
        <x:f>IF($B$78="Cash payoff",E829,0)</x:f>
        <x:v>0</x:v>
      </x:c>
      <x:c r="G829" s="440" t="n">
        <x:f>IF(AND(E829&gt;0,AND($B$78="Refinance",ISNUMBER($B$80),$B$80&gt;=0,$B$80&lt;=1,ROUND($B$81*12,0)&gt;=1,$B$81&lt;=100,SUM($B$82)&gt;=0,SUM($B$82)&lt;=1,SUM($B$83)&gt;=0)),E829*SUM($B$82)+SUM($B$83),0)</x:f>
        <x:v>0</x:v>
      </x:c>
      <x:c r="H829" s="440" t="n">
        <x:f>IF(ISNUMBER(D829),IF(MAX(0,B829*(1+C829/12)-D829-F829)&lt;MAX(0.0000001,$E$17*0.00000000001),0,MAX(0,B829*(1+C829/12)-D829-F829)),IF(AND($B$171=1,I828=1),B829,""))</x:f>
        <x:v>0</x:v>
      </x:c>
      <x:c r="I829" s="444" t="n">
        <x:f>IF(OR(I828=1,AND(E829&gt;0,$B$78&lt;&gt;"Cash payoff",NOT(AND($B$78="Refinance",ISNUMBER($B$80),$B$80&gt;=0,$B$80&lt;=1,ROUND($B$81*12,0)&gt;=1,$B$81&lt;=100,SUM($B$82)&gt;=0,SUM($B$82)&lt;=1,SUM($B$83)&gt;=0))),AND(ISNUMBER(B829),B829&gt;0,$B$171=1,NOT(ISNUMBER(D829)))),1,0)</x:f>
        <x:v>0</x:v>
      </x:c>
      <x:c r="J829" s="440" t="n">
        <x:f>IF(ISNUMBER(L828),L828,"")</x:f>
        <x:v>0</x:v>
      </x:c>
      <x:c r="K829" s="440" t="n">
        <x:f>IF(AND(ISNUMBER(J829),J829=0),0,IF(AND($B$176=1,ISNUMBER(J829)),MIN(J829*(1+$B$87/12),IF($B$86=0,0,IF($B$87=0,$B$86/ROUND($B$88*12,0),$B$86*($B$87/12)/(1-(1+$B$87/12)^(-ROUND($B$88*12,0)))))),""))</x:f>
        <x:v>0</x:v>
      </x:c>
      <x:c r="L829" s="440" t="n">
        <x:f>IF(ISNUMBER(K829),IF(MAX(0,J829*(1+SUM($B$87)/12)-K829)&lt;MAX(0.0000001,$B$86*0.00000000001),0,MAX(0,J829*(1+SUM($B$87)/12)-K829)),"")</x:f>
        <x:v>0</x:v>
      </x:c>
      <x:c r="M829" s="440" t="n">
        <x:f>IF(AND(ISNUMBER(D829),ISNUMBER(K829)),D829+K829,"")</x:f>
        <x:v>0</x:v>
      </x:c>
      <x:c r="N829" s="440" t="n">
        <x:f>IF(AND(ISNUMBER(H829),ISNUMBER(L829)),H829+L829,"")</x:f>
        <x:v>0</x:v>
      </x:c>
    </x:row>
    <x:row r="830" ht="22" customHeight="1">
      <x:c r="A830" s="254" t="n">
        <x:f>430</x:f>
        <x:v>430</x:v>
      </x:c>
      <x:c r="B830" s="440" t="n">
        <x:f>IF(ISNUMBER(H829),H829,"")</x:f>
        <x:v>0</x:v>
      </x:c>
      <x:c r="C830" s="442" t="n">
        <x:f>IF(ISNUMBER(B830),IF(AND(430&gt;$B$173,$B$78="Refinance",ISNUMBER($B$80),$B$80&gt;=0,$B$80&lt;=1,ROUND($B$81*12,0)&gt;=1,$B$81&lt;=100,SUM($B$82)&gt;=0,SUM($B$82)&lt;=1,SUM($B$83)&gt;=0),$B$80,IF(AND($B$175&gt;0,430&gt;$B$175,ISNUMBER($B$75)),$B$75,$B$61)),"")</x:f>
        <x:v>0.0625</x:v>
      </x:c>
      <x:c r="D830" s="440" t="n">
        <x:f>IF(AND(ISNUMBER(B830),B830=0),0,IF(AND($B$171=1,I829=0,ISNUMBER(C830),ISNUMBER(IF(AND(430&lt;=$B$174,430&lt;=$B$173),B830*C830/12,IF(AND(430=$B$173+1,AND(430&gt;$B$173,$B$78="Refinance",ISNUMBER($B$80),$B$80&gt;=0,$B$80&lt;=1,ROUND($B$81*12,0)&gt;=1,$B$81&lt;=100,SUM($B$82)&gt;=0,SUM($B$82)&lt;=1,SUM($B$83)&gt;=0)),IF(B830=0,0,IF(C830=0,B830/ROUND($B$81*12,0),B830*(C830/12)/(1-(1+C830/12)^(-ROUND($B$81*12,0))))),IF(AND(NOT(AND(430&gt;$B$173,$B$78="Refinance",ISNUMBER($B$80),$B$80&gt;=0,$B$80&lt;=1,ROUND($B$81*12,0)&gt;=1,$B$81&lt;=100,SUM($B$82)&gt;=0,SUM($B$82)&lt;=1,SUM($B$83)&gt;=0)),OR(430=1,430=$B$174+1,AND($B$175&gt;0,430=$B$175+1))),IF(AND($B$170=1,$B$66&gt;0,OR($B$175=0,430&lt;=$B$175)),$B$66,IF($B$172-MAX(430-1,$B$174)&gt;0,IF(B830=0,0,IF(C830=0,B830/($B$172-MAX(430-1,$B$174)),B830*(C830/12)/(1-(1+C830/12)^(-($B$172-MAX(430-1,$B$174)))))),"")),D829))))),IF(IF(AND(430&lt;=$B$174,430&lt;=$B$173),B830*C830/12,IF(AND(430=$B$173+1,AND(430&gt;$B$173,$B$78="Refinance",ISNUMBER($B$80),$B$80&gt;=0,$B$80&lt;=1,ROUND($B$81*12,0)&gt;=1,$B$81&lt;=100,SUM($B$82)&gt;=0,SUM($B$82)&lt;=1,SUM($B$83)&gt;=0)),IF(B830=0,0,IF(C830=0,B830/ROUND($B$81*12,0),B830*(C830/12)/(1-(1+C830/12)^(-ROUND($B$81*12,0))))),IF(AND(NOT(AND(430&gt;$B$173,$B$78="Refinance",ISNUMBER($B$80),$B$80&gt;=0,$B$80&lt;=1,ROUND($B$81*12,0)&gt;=1,$B$81&lt;=100,SUM($B$82)&gt;=0,SUM($B$82)&lt;=1,SUM($B$83)&gt;=0)),OR(430=1,430=$B$174+1,AND($B$175&gt;0,430=$B$175+1))),IF(AND($B$170=1,$B$66&gt;0,OR($B$175=0,430&lt;=$B$175)),$B$66,IF($B$172-MAX(430-1,$B$174)&gt;0,IF(B830=0,0,IF(C830=0,B830/($B$172-MAX(430-1,$B$174)),B830*(C830/12)/(1-(1+C830/12)^(-($B$172-MAX(430-1,$B$174)))))),"")),D829)))+0.0000001&gt;=B830*C830/12,MIN(B830*(1+C830/12),IF(AND(430&lt;=$B$174,430&lt;=$B$173),B830*C830/12,IF(AND(430=$B$173+1,AND(430&gt;$B$173,$B$78="Refinance",ISNUMBER($B$80),$B$80&gt;=0,$B$80&lt;=1,ROUND($B$81*12,0)&gt;=1,$B$81&lt;=100,SUM($B$82)&gt;=0,SUM($B$82)&lt;=1,SUM($B$83)&gt;=0)),IF(B830=0,0,IF(C830=0,B830/ROUND($B$81*12,0),B830*(C830/12)/(1-(1+C830/12)^(-ROUND($B$81*12,0))))),IF(AND(NOT(AND(430&gt;$B$173,$B$78="Refinance",ISNUMBER($B$80),$B$80&gt;=0,$B$80&lt;=1,ROUND($B$81*12,0)&gt;=1,$B$81&lt;=100,SUM($B$82)&gt;=0,SUM($B$82)&lt;=1,SUM($B$83)&gt;=0)),OR(430=1,430=$B$174+1,AND($B$175&gt;0,430=$B$175+1))),IF(AND($B$170=1,$B$66&gt;0,OR($B$175=0,430&lt;=$B$175)),$B$66,IF($B$172-MAX(430-1,$B$174)&gt;0,IF(B830=0,0,IF(C830=0,B830/($B$172-MAX(430-1,$B$174)),B830*(C830/12)/(1-(1+C830/12)^(-($B$172-MAX(430-1,$B$174)))))),"")),D829)))),""),""))</x:f>
        <x:v>0</x:v>
      </x:c>
      <x:c r="E830" s="440" t="n">
        <x:f>IF(AND(430=$B$173,ISNUMBER(D830)),IF(MAX(0,B830*(1+C830/12)-D830)&lt;MAX(0.0000001,$E$17*0.00000000001),0,MAX(0,B830*(1+C830/12)-D830)),0)</x:f>
        <x:v>0</x:v>
      </x:c>
      <x:c r="F830" s="440" t="n">
        <x:f>IF($B$78="Cash payoff",E830,0)</x:f>
        <x:v>0</x:v>
      </x:c>
      <x:c r="G830" s="440" t="n">
        <x:f>IF(AND(E830&gt;0,AND($B$78="Refinance",ISNUMBER($B$80),$B$80&gt;=0,$B$80&lt;=1,ROUND($B$81*12,0)&gt;=1,$B$81&lt;=100,SUM($B$82)&gt;=0,SUM($B$82)&lt;=1,SUM($B$83)&gt;=0)),E830*SUM($B$82)+SUM($B$83),0)</x:f>
        <x:v>0</x:v>
      </x:c>
      <x:c r="H830" s="440" t="n">
        <x:f>IF(ISNUMBER(D830),IF(MAX(0,B830*(1+C830/12)-D830-F830)&lt;MAX(0.0000001,$E$17*0.00000000001),0,MAX(0,B830*(1+C830/12)-D830-F830)),IF(AND($B$171=1,I829=1),B830,""))</x:f>
        <x:v>0</x:v>
      </x:c>
      <x:c r="I830" s="444" t="n">
        <x:f>IF(OR(I829=1,AND(E830&gt;0,$B$78&lt;&gt;"Cash payoff",NOT(AND($B$78="Refinance",ISNUMBER($B$80),$B$80&gt;=0,$B$80&lt;=1,ROUND($B$81*12,0)&gt;=1,$B$81&lt;=100,SUM($B$82)&gt;=0,SUM($B$82)&lt;=1,SUM($B$83)&gt;=0))),AND(ISNUMBER(B830),B830&gt;0,$B$171=1,NOT(ISNUMBER(D830)))),1,0)</x:f>
        <x:v>0</x:v>
      </x:c>
      <x:c r="J830" s="440" t="n">
        <x:f>IF(ISNUMBER(L829),L829,"")</x:f>
        <x:v>0</x:v>
      </x:c>
      <x:c r="K830" s="440" t="n">
        <x:f>IF(AND(ISNUMBER(J830),J830=0),0,IF(AND($B$176=1,ISNUMBER(J830)),MIN(J830*(1+$B$87/12),IF($B$86=0,0,IF($B$87=0,$B$86/ROUND($B$88*12,0),$B$86*($B$87/12)/(1-(1+$B$87/12)^(-ROUND($B$88*12,0)))))),""))</x:f>
        <x:v>0</x:v>
      </x:c>
      <x:c r="L830" s="440" t="n">
        <x:f>IF(ISNUMBER(K830),IF(MAX(0,J830*(1+SUM($B$87)/12)-K830)&lt;MAX(0.0000001,$B$86*0.00000000001),0,MAX(0,J830*(1+SUM($B$87)/12)-K830)),"")</x:f>
        <x:v>0</x:v>
      </x:c>
      <x:c r="M830" s="440" t="n">
        <x:f>IF(AND(ISNUMBER(D830),ISNUMBER(K830)),D830+K830,"")</x:f>
        <x:v>0</x:v>
      </x:c>
      <x:c r="N830" s="440" t="n">
        <x:f>IF(AND(ISNUMBER(H830),ISNUMBER(L830)),H830+L830,"")</x:f>
        <x:v>0</x:v>
      </x:c>
    </x:row>
    <x:row r="831" ht="22" customHeight="1">
      <x:c r="A831" s="254" t="n">
        <x:f>431</x:f>
        <x:v>431</x:v>
      </x:c>
      <x:c r="B831" s="440" t="n">
        <x:f>IF(ISNUMBER(H830),H830,"")</x:f>
        <x:v>0</x:v>
      </x:c>
      <x:c r="C831" s="442" t="n">
        <x:f>IF(ISNUMBER(B831),IF(AND(431&gt;$B$173,$B$78="Refinance",ISNUMBER($B$80),$B$80&gt;=0,$B$80&lt;=1,ROUND($B$81*12,0)&gt;=1,$B$81&lt;=100,SUM($B$82)&gt;=0,SUM($B$82)&lt;=1,SUM($B$83)&gt;=0),$B$80,IF(AND($B$175&gt;0,431&gt;$B$175,ISNUMBER($B$75)),$B$75,$B$61)),"")</x:f>
        <x:v>0.0625</x:v>
      </x:c>
      <x:c r="D831" s="440" t="n">
        <x:f>IF(AND(ISNUMBER(B831),B831=0),0,IF(AND($B$171=1,I830=0,ISNUMBER(C831),ISNUMBER(IF(AND(431&lt;=$B$174,431&lt;=$B$173),B831*C831/12,IF(AND(431=$B$173+1,AND(431&gt;$B$173,$B$78="Refinance",ISNUMBER($B$80),$B$80&gt;=0,$B$80&lt;=1,ROUND($B$81*12,0)&gt;=1,$B$81&lt;=100,SUM($B$82)&gt;=0,SUM($B$82)&lt;=1,SUM($B$83)&gt;=0)),IF(B831=0,0,IF(C831=0,B831/ROUND($B$81*12,0),B831*(C831/12)/(1-(1+C831/12)^(-ROUND($B$81*12,0))))),IF(AND(NOT(AND(431&gt;$B$173,$B$78="Refinance",ISNUMBER($B$80),$B$80&gt;=0,$B$80&lt;=1,ROUND($B$81*12,0)&gt;=1,$B$81&lt;=100,SUM($B$82)&gt;=0,SUM($B$82)&lt;=1,SUM($B$83)&gt;=0)),OR(431=1,431=$B$174+1,AND($B$175&gt;0,431=$B$175+1))),IF(AND($B$170=1,$B$66&gt;0,OR($B$175=0,431&lt;=$B$175)),$B$66,IF($B$172-MAX(431-1,$B$174)&gt;0,IF(B831=0,0,IF(C831=0,B831/($B$172-MAX(431-1,$B$174)),B831*(C831/12)/(1-(1+C831/12)^(-($B$172-MAX(431-1,$B$174)))))),"")),D830))))),IF(IF(AND(431&lt;=$B$174,431&lt;=$B$173),B831*C831/12,IF(AND(431=$B$173+1,AND(431&gt;$B$173,$B$78="Refinance",ISNUMBER($B$80),$B$80&gt;=0,$B$80&lt;=1,ROUND($B$81*12,0)&gt;=1,$B$81&lt;=100,SUM($B$82)&gt;=0,SUM($B$82)&lt;=1,SUM($B$83)&gt;=0)),IF(B831=0,0,IF(C831=0,B831/ROUND($B$81*12,0),B831*(C831/12)/(1-(1+C831/12)^(-ROUND($B$81*12,0))))),IF(AND(NOT(AND(431&gt;$B$173,$B$78="Refinance",ISNUMBER($B$80),$B$80&gt;=0,$B$80&lt;=1,ROUND($B$81*12,0)&gt;=1,$B$81&lt;=100,SUM($B$82)&gt;=0,SUM($B$82)&lt;=1,SUM($B$83)&gt;=0)),OR(431=1,431=$B$174+1,AND($B$175&gt;0,431=$B$175+1))),IF(AND($B$170=1,$B$66&gt;0,OR($B$175=0,431&lt;=$B$175)),$B$66,IF($B$172-MAX(431-1,$B$174)&gt;0,IF(B831=0,0,IF(C831=0,B831/($B$172-MAX(431-1,$B$174)),B831*(C831/12)/(1-(1+C831/12)^(-($B$172-MAX(431-1,$B$174)))))),"")),D830)))+0.0000001&gt;=B831*C831/12,MIN(B831*(1+C831/12),IF(AND(431&lt;=$B$174,431&lt;=$B$173),B831*C831/12,IF(AND(431=$B$173+1,AND(431&gt;$B$173,$B$78="Refinance",ISNUMBER($B$80),$B$80&gt;=0,$B$80&lt;=1,ROUND($B$81*12,0)&gt;=1,$B$81&lt;=100,SUM($B$82)&gt;=0,SUM($B$82)&lt;=1,SUM($B$83)&gt;=0)),IF(B831=0,0,IF(C831=0,B831/ROUND($B$81*12,0),B831*(C831/12)/(1-(1+C831/12)^(-ROUND($B$81*12,0))))),IF(AND(NOT(AND(431&gt;$B$173,$B$78="Refinance",ISNUMBER($B$80),$B$80&gt;=0,$B$80&lt;=1,ROUND($B$81*12,0)&gt;=1,$B$81&lt;=100,SUM($B$82)&gt;=0,SUM($B$82)&lt;=1,SUM($B$83)&gt;=0)),OR(431=1,431=$B$174+1,AND($B$175&gt;0,431=$B$175+1))),IF(AND($B$170=1,$B$66&gt;0,OR($B$175=0,431&lt;=$B$175)),$B$66,IF($B$172-MAX(431-1,$B$174)&gt;0,IF(B831=0,0,IF(C831=0,B831/($B$172-MAX(431-1,$B$174)),B831*(C831/12)/(1-(1+C831/12)^(-($B$172-MAX(431-1,$B$174)))))),"")),D830)))),""),""))</x:f>
        <x:v>0</x:v>
      </x:c>
      <x:c r="E831" s="440" t="n">
        <x:f>IF(AND(431=$B$173,ISNUMBER(D831)),IF(MAX(0,B831*(1+C831/12)-D831)&lt;MAX(0.0000001,$E$17*0.00000000001),0,MAX(0,B831*(1+C831/12)-D831)),0)</x:f>
        <x:v>0</x:v>
      </x:c>
      <x:c r="F831" s="440" t="n">
        <x:f>IF($B$78="Cash payoff",E831,0)</x:f>
        <x:v>0</x:v>
      </x:c>
      <x:c r="G831" s="440" t="n">
        <x:f>IF(AND(E831&gt;0,AND($B$78="Refinance",ISNUMBER($B$80),$B$80&gt;=0,$B$80&lt;=1,ROUND($B$81*12,0)&gt;=1,$B$81&lt;=100,SUM($B$82)&gt;=0,SUM($B$82)&lt;=1,SUM($B$83)&gt;=0)),E831*SUM($B$82)+SUM($B$83),0)</x:f>
        <x:v>0</x:v>
      </x:c>
      <x:c r="H831" s="440" t="n">
        <x:f>IF(ISNUMBER(D831),IF(MAX(0,B831*(1+C831/12)-D831-F831)&lt;MAX(0.0000001,$E$17*0.00000000001),0,MAX(0,B831*(1+C831/12)-D831-F831)),IF(AND($B$171=1,I830=1),B831,""))</x:f>
        <x:v>0</x:v>
      </x:c>
      <x:c r="I831" s="444" t="n">
        <x:f>IF(OR(I830=1,AND(E831&gt;0,$B$78&lt;&gt;"Cash payoff",NOT(AND($B$78="Refinance",ISNUMBER($B$80),$B$80&gt;=0,$B$80&lt;=1,ROUND($B$81*12,0)&gt;=1,$B$81&lt;=100,SUM($B$82)&gt;=0,SUM($B$82)&lt;=1,SUM($B$83)&gt;=0))),AND(ISNUMBER(B831),B831&gt;0,$B$171=1,NOT(ISNUMBER(D831)))),1,0)</x:f>
        <x:v>0</x:v>
      </x:c>
      <x:c r="J831" s="440" t="n">
        <x:f>IF(ISNUMBER(L830),L830,"")</x:f>
        <x:v>0</x:v>
      </x:c>
      <x:c r="K831" s="440" t="n">
        <x:f>IF(AND(ISNUMBER(J831),J831=0),0,IF(AND($B$176=1,ISNUMBER(J831)),MIN(J831*(1+$B$87/12),IF($B$86=0,0,IF($B$87=0,$B$86/ROUND($B$88*12,0),$B$86*($B$87/12)/(1-(1+$B$87/12)^(-ROUND($B$88*12,0)))))),""))</x:f>
        <x:v>0</x:v>
      </x:c>
      <x:c r="L831" s="440" t="n">
        <x:f>IF(ISNUMBER(K831),IF(MAX(0,J831*(1+SUM($B$87)/12)-K831)&lt;MAX(0.0000001,$B$86*0.00000000001),0,MAX(0,J831*(1+SUM($B$87)/12)-K831)),"")</x:f>
        <x:v>0</x:v>
      </x:c>
      <x:c r="M831" s="440" t="n">
        <x:f>IF(AND(ISNUMBER(D831),ISNUMBER(K831)),D831+K831,"")</x:f>
        <x:v>0</x:v>
      </x:c>
      <x:c r="N831" s="440" t="n">
        <x:f>IF(AND(ISNUMBER(H831),ISNUMBER(L831)),H831+L831,"")</x:f>
        <x:v>0</x:v>
      </x:c>
    </x:row>
    <x:row r="832" ht="22" customHeight="1">
      <x:c r="A832" s="254" t="n">
        <x:f>432</x:f>
        <x:v>432</x:v>
      </x:c>
      <x:c r="B832" s="440" t="n">
        <x:f>IF(ISNUMBER(H831),H831,"")</x:f>
        <x:v>0</x:v>
      </x:c>
      <x:c r="C832" s="442" t="n">
        <x:f>IF(ISNUMBER(B832),IF(AND(432&gt;$B$173,$B$78="Refinance",ISNUMBER($B$80),$B$80&gt;=0,$B$80&lt;=1,ROUND($B$81*12,0)&gt;=1,$B$81&lt;=100,SUM($B$82)&gt;=0,SUM($B$82)&lt;=1,SUM($B$83)&gt;=0),$B$80,IF(AND($B$175&gt;0,432&gt;$B$175,ISNUMBER($B$75)),$B$75,$B$61)),"")</x:f>
        <x:v>0.0625</x:v>
      </x:c>
      <x:c r="D832" s="440" t="n">
        <x:f>IF(AND(ISNUMBER(B832),B832=0),0,IF(AND($B$171=1,I831=0,ISNUMBER(C832),ISNUMBER(IF(AND(432&lt;=$B$174,432&lt;=$B$173),B832*C832/12,IF(AND(432=$B$173+1,AND(432&gt;$B$173,$B$78="Refinance",ISNUMBER($B$80),$B$80&gt;=0,$B$80&lt;=1,ROUND($B$81*12,0)&gt;=1,$B$81&lt;=100,SUM($B$82)&gt;=0,SUM($B$82)&lt;=1,SUM($B$83)&gt;=0)),IF(B832=0,0,IF(C832=0,B832/ROUND($B$81*12,0),B832*(C832/12)/(1-(1+C832/12)^(-ROUND($B$81*12,0))))),IF(AND(NOT(AND(432&gt;$B$173,$B$78="Refinance",ISNUMBER($B$80),$B$80&gt;=0,$B$80&lt;=1,ROUND($B$81*12,0)&gt;=1,$B$81&lt;=100,SUM($B$82)&gt;=0,SUM($B$82)&lt;=1,SUM($B$83)&gt;=0)),OR(432=1,432=$B$174+1,AND($B$175&gt;0,432=$B$175+1))),IF(AND($B$170=1,$B$66&gt;0,OR($B$175=0,432&lt;=$B$175)),$B$66,IF($B$172-MAX(432-1,$B$174)&gt;0,IF(B832=0,0,IF(C832=0,B832/($B$172-MAX(432-1,$B$174)),B832*(C832/12)/(1-(1+C832/12)^(-($B$172-MAX(432-1,$B$174)))))),"")),D831))))),IF(IF(AND(432&lt;=$B$174,432&lt;=$B$173),B832*C832/12,IF(AND(432=$B$173+1,AND(432&gt;$B$173,$B$78="Refinance",ISNUMBER($B$80),$B$80&gt;=0,$B$80&lt;=1,ROUND($B$81*12,0)&gt;=1,$B$81&lt;=100,SUM($B$82)&gt;=0,SUM($B$82)&lt;=1,SUM($B$83)&gt;=0)),IF(B832=0,0,IF(C832=0,B832/ROUND($B$81*12,0),B832*(C832/12)/(1-(1+C832/12)^(-ROUND($B$81*12,0))))),IF(AND(NOT(AND(432&gt;$B$173,$B$78="Refinance",ISNUMBER($B$80),$B$80&gt;=0,$B$80&lt;=1,ROUND($B$81*12,0)&gt;=1,$B$81&lt;=100,SUM($B$82)&gt;=0,SUM($B$82)&lt;=1,SUM($B$83)&gt;=0)),OR(432=1,432=$B$174+1,AND($B$175&gt;0,432=$B$175+1))),IF(AND($B$170=1,$B$66&gt;0,OR($B$175=0,432&lt;=$B$175)),$B$66,IF($B$172-MAX(432-1,$B$174)&gt;0,IF(B832=0,0,IF(C832=0,B832/($B$172-MAX(432-1,$B$174)),B832*(C832/12)/(1-(1+C832/12)^(-($B$172-MAX(432-1,$B$174)))))),"")),D831)))+0.0000001&gt;=B832*C832/12,MIN(B832*(1+C832/12),IF(AND(432&lt;=$B$174,432&lt;=$B$173),B832*C832/12,IF(AND(432=$B$173+1,AND(432&gt;$B$173,$B$78="Refinance",ISNUMBER($B$80),$B$80&gt;=0,$B$80&lt;=1,ROUND($B$81*12,0)&gt;=1,$B$81&lt;=100,SUM($B$82)&gt;=0,SUM($B$82)&lt;=1,SUM($B$83)&gt;=0)),IF(B832=0,0,IF(C832=0,B832/ROUND($B$81*12,0),B832*(C832/12)/(1-(1+C832/12)^(-ROUND($B$81*12,0))))),IF(AND(NOT(AND(432&gt;$B$173,$B$78="Refinance",ISNUMBER($B$80),$B$80&gt;=0,$B$80&lt;=1,ROUND($B$81*12,0)&gt;=1,$B$81&lt;=100,SUM($B$82)&gt;=0,SUM($B$82)&lt;=1,SUM($B$83)&gt;=0)),OR(432=1,432=$B$174+1,AND($B$175&gt;0,432=$B$175+1))),IF(AND($B$170=1,$B$66&gt;0,OR($B$175=0,432&lt;=$B$175)),$B$66,IF($B$172-MAX(432-1,$B$174)&gt;0,IF(B832=0,0,IF(C832=0,B832/($B$172-MAX(432-1,$B$174)),B832*(C832/12)/(1-(1+C832/12)^(-($B$172-MAX(432-1,$B$174)))))),"")),D831)))),""),""))</x:f>
        <x:v>0</x:v>
      </x:c>
      <x:c r="E832" s="440" t="n">
        <x:f>IF(AND(432=$B$173,ISNUMBER(D832)),IF(MAX(0,B832*(1+C832/12)-D832)&lt;MAX(0.0000001,$E$17*0.00000000001),0,MAX(0,B832*(1+C832/12)-D832)),0)</x:f>
        <x:v>0</x:v>
      </x:c>
      <x:c r="F832" s="440" t="n">
        <x:f>IF($B$78="Cash payoff",E832,0)</x:f>
        <x:v>0</x:v>
      </x:c>
      <x:c r="G832" s="440" t="n">
        <x:f>IF(AND(E832&gt;0,AND($B$78="Refinance",ISNUMBER($B$80),$B$80&gt;=0,$B$80&lt;=1,ROUND($B$81*12,0)&gt;=1,$B$81&lt;=100,SUM($B$82)&gt;=0,SUM($B$82)&lt;=1,SUM($B$83)&gt;=0)),E832*SUM($B$82)+SUM($B$83),0)</x:f>
        <x:v>0</x:v>
      </x:c>
      <x:c r="H832" s="440" t="n">
        <x:f>IF(ISNUMBER(D832),IF(MAX(0,B832*(1+C832/12)-D832-F832)&lt;MAX(0.0000001,$E$17*0.00000000001),0,MAX(0,B832*(1+C832/12)-D832-F832)),IF(AND($B$171=1,I831=1),B832,""))</x:f>
        <x:v>0</x:v>
      </x:c>
      <x:c r="I832" s="444" t="n">
        <x:f>IF(OR(I831=1,AND(E832&gt;0,$B$78&lt;&gt;"Cash payoff",NOT(AND($B$78="Refinance",ISNUMBER($B$80),$B$80&gt;=0,$B$80&lt;=1,ROUND($B$81*12,0)&gt;=1,$B$81&lt;=100,SUM($B$82)&gt;=0,SUM($B$82)&lt;=1,SUM($B$83)&gt;=0))),AND(ISNUMBER(B832),B832&gt;0,$B$171=1,NOT(ISNUMBER(D832)))),1,0)</x:f>
        <x:v>0</x:v>
      </x:c>
      <x:c r="J832" s="440" t="n">
        <x:f>IF(ISNUMBER(L831),L831,"")</x:f>
        <x:v>0</x:v>
      </x:c>
      <x:c r="K832" s="440" t="n">
        <x:f>IF(AND(ISNUMBER(J832),J832=0),0,IF(AND($B$176=1,ISNUMBER(J832)),MIN(J832*(1+$B$87/12),IF($B$86=0,0,IF($B$87=0,$B$86/ROUND($B$88*12,0),$B$86*($B$87/12)/(1-(1+$B$87/12)^(-ROUND($B$88*12,0)))))),""))</x:f>
        <x:v>0</x:v>
      </x:c>
      <x:c r="L832" s="440" t="n">
        <x:f>IF(ISNUMBER(K832),IF(MAX(0,J832*(1+SUM($B$87)/12)-K832)&lt;MAX(0.0000001,$B$86*0.00000000001),0,MAX(0,J832*(1+SUM($B$87)/12)-K832)),"")</x:f>
        <x:v>0</x:v>
      </x:c>
      <x:c r="M832" s="440" t="n">
        <x:f>IF(AND(ISNUMBER(D832),ISNUMBER(K832)),D832+K832,"")</x:f>
        <x:v>0</x:v>
      </x:c>
      <x:c r="N832" s="440" t="n">
        <x:f>IF(AND(ISNUMBER(H832),ISNUMBER(L832)),H832+L832,"")</x:f>
        <x:v>0</x:v>
      </x:c>
    </x:row>
    <x:row r="833" ht="22" customHeight="1">
      <x:c r="A833" s="254" t="n">
        <x:f>433</x:f>
        <x:v>433</x:v>
      </x:c>
      <x:c r="B833" s="440" t="n">
        <x:f>IF(ISNUMBER(H832),H832,"")</x:f>
        <x:v>0</x:v>
      </x:c>
      <x:c r="C833" s="442" t="n">
        <x:f>IF(ISNUMBER(B833),IF(AND(433&gt;$B$173,$B$78="Refinance",ISNUMBER($B$80),$B$80&gt;=0,$B$80&lt;=1,ROUND($B$81*12,0)&gt;=1,$B$81&lt;=100,SUM($B$82)&gt;=0,SUM($B$82)&lt;=1,SUM($B$83)&gt;=0),$B$80,IF(AND($B$175&gt;0,433&gt;$B$175,ISNUMBER($B$75)),$B$75,$B$61)),"")</x:f>
        <x:v>0.0625</x:v>
      </x:c>
      <x:c r="D833" s="440" t="n">
        <x:f>IF(AND(ISNUMBER(B833),B833=0),0,IF(AND($B$171=1,I832=0,ISNUMBER(C833),ISNUMBER(IF(AND(433&lt;=$B$174,433&lt;=$B$173),B833*C833/12,IF(AND(433=$B$173+1,AND(433&gt;$B$173,$B$78="Refinance",ISNUMBER($B$80),$B$80&gt;=0,$B$80&lt;=1,ROUND($B$81*12,0)&gt;=1,$B$81&lt;=100,SUM($B$82)&gt;=0,SUM($B$82)&lt;=1,SUM($B$83)&gt;=0)),IF(B833=0,0,IF(C833=0,B833/ROUND($B$81*12,0),B833*(C833/12)/(1-(1+C833/12)^(-ROUND($B$81*12,0))))),IF(AND(NOT(AND(433&gt;$B$173,$B$78="Refinance",ISNUMBER($B$80),$B$80&gt;=0,$B$80&lt;=1,ROUND($B$81*12,0)&gt;=1,$B$81&lt;=100,SUM($B$82)&gt;=0,SUM($B$82)&lt;=1,SUM($B$83)&gt;=0)),OR(433=1,433=$B$174+1,AND($B$175&gt;0,433=$B$175+1))),IF(AND($B$170=1,$B$66&gt;0,OR($B$175=0,433&lt;=$B$175)),$B$66,IF($B$172-MAX(433-1,$B$174)&gt;0,IF(B833=0,0,IF(C833=0,B833/($B$172-MAX(433-1,$B$174)),B833*(C833/12)/(1-(1+C833/12)^(-($B$172-MAX(433-1,$B$174)))))),"")),D832))))),IF(IF(AND(433&lt;=$B$174,433&lt;=$B$173),B833*C833/12,IF(AND(433=$B$173+1,AND(433&gt;$B$173,$B$78="Refinance",ISNUMBER($B$80),$B$80&gt;=0,$B$80&lt;=1,ROUND($B$81*12,0)&gt;=1,$B$81&lt;=100,SUM($B$82)&gt;=0,SUM($B$82)&lt;=1,SUM($B$83)&gt;=0)),IF(B833=0,0,IF(C833=0,B833/ROUND($B$81*12,0),B833*(C833/12)/(1-(1+C833/12)^(-ROUND($B$81*12,0))))),IF(AND(NOT(AND(433&gt;$B$173,$B$78="Refinance",ISNUMBER($B$80),$B$80&gt;=0,$B$80&lt;=1,ROUND($B$81*12,0)&gt;=1,$B$81&lt;=100,SUM($B$82)&gt;=0,SUM($B$82)&lt;=1,SUM($B$83)&gt;=0)),OR(433=1,433=$B$174+1,AND($B$175&gt;0,433=$B$175+1))),IF(AND($B$170=1,$B$66&gt;0,OR($B$175=0,433&lt;=$B$175)),$B$66,IF($B$172-MAX(433-1,$B$174)&gt;0,IF(B833=0,0,IF(C833=0,B833/($B$172-MAX(433-1,$B$174)),B833*(C833/12)/(1-(1+C833/12)^(-($B$172-MAX(433-1,$B$174)))))),"")),D832)))+0.0000001&gt;=B833*C833/12,MIN(B833*(1+C833/12),IF(AND(433&lt;=$B$174,433&lt;=$B$173),B833*C833/12,IF(AND(433=$B$173+1,AND(433&gt;$B$173,$B$78="Refinance",ISNUMBER($B$80),$B$80&gt;=0,$B$80&lt;=1,ROUND($B$81*12,0)&gt;=1,$B$81&lt;=100,SUM($B$82)&gt;=0,SUM($B$82)&lt;=1,SUM($B$83)&gt;=0)),IF(B833=0,0,IF(C833=0,B833/ROUND($B$81*12,0),B833*(C833/12)/(1-(1+C833/12)^(-ROUND($B$81*12,0))))),IF(AND(NOT(AND(433&gt;$B$173,$B$78="Refinance",ISNUMBER($B$80),$B$80&gt;=0,$B$80&lt;=1,ROUND($B$81*12,0)&gt;=1,$B$81&lt;=100,SUM($B$82)&gt;=0,SUM($B$82)&lt;=1,SUM($B$83)&gt;=0)),OR(433=1,433=$B$174+1,AND($B$175&gt;0,433=$B$175+1))),IF(AND($B$170=1,$B$66&gt;0,OR($B$175=0,433&lt;=$B$175)),$B$66,IF($B$172-MAX(433-1,$B$174)&gt;0,IF(B833=0,0,IF(C833=0,B833/($B$172-MAX(433-1,$B$174)),B833*(C833/12)/(1-(1+C833/12)^(-($B$172-MAX(433-1,$B$174)))))),"")),D832)))),""),""))</x:f>
        <x:v>0</x:v>
      </x:c>
      <x:c r="E833" s="440" t="n">
        <x:f>IF(AND(433=$B$173,ISNUMBER(D833)),IF(MAX(0,B833*(1+C833/12)-D833)&lt;MAX(0.0000001,$E$17*0.00000000001),0,MAX(0,B833*(1+C833/12)-D833)),0)</x:f>
        <x:v>0</x:v>
      </x:c>
      <x:c r="F833" s="440" t="n">
        <x:f>IF($B$78="Cash payoff",E833,0)</x:f>
        <x:v>0</x:v>
      </x:c>
      <x:c r="G833" s="440" t="n">
        <x:f>IF(AND(E833&gt;0,AND($B$78="Refinance",ISNUMBER($B$80),$B$80&gt;=0,$B$80&lt;=1,ROUND($B$81*12,0)&gt;=1,$B$81&lt;=100,SUM($B$82)&gt;=0,SUM($B$82)&lt;=1,SUM($B$83)&gt;=0)),E833*SUM($B$82)+SUM($B$83),0)</x:f>
        <x:v>0</x:v>
      </x:c>
      <x:c r="H833" s="440" t="n">
        <x:f>IF(ISNUMBER(D833),IF(MAX(0,B833*(1+C833/12)-D833-F833)&lt;MAX(0.0000001,$E$17*0.00000000001),0,MAX(0,B833*(1+C833/12)-D833-F833)),IF(AND($B$171=1,I832=1),B833,""))</x:f>
        <x:v>0</x:v>
      </x:c>
      <x:c r="I833" s="444" t="n">
        <x:f>IF(OR(I832=1,AND(E833&gt;0,$B$78&lt;&gt;"Cash payoff",NOT(AND($B$78="Refinance",ISNUMBER($B$80),$B$80&gt;=0,$B$80&lt;=1,ROUND($B$81*12,0)&gt;=1,$B$81&lt;=100,SUM($B$82)&gt;=0,SUM($B$82)&lt;=1,SUM($B$83)&gt;=0))),AND(ISNUMBER(B833),B833&gt;0,$B$171=1,NOT(ISNUMBER(D833)))),1,0)</x:f>
        <x:v>0</x:v>
      </x:c>
      <x:c r="J833" s="440" t="n">
        <x:f>IF(ISNUMBER(L832),L832,"")</x:f>
        <x:v>0</x:v>
      </x:c>
      <x:c r="K833" s="440" t="n">
        <x:f>IF(AND(ISNUMBER(J833),J833=0),0,IF(AND($B$176=1,ISNUMBER(J833)),MIN(J833*(1+$B$87/12),IF($B$86=0,0,IF($B$87=0,$B$86/ROUND($B$88*12,0),$B$86*($B$87/12)/(1-(1+$B$87/12)^(-ROUND($B$88*12,0)))))),""))</x:f>
        <x:v>0</x:v>
      </x:c>
      <x:c r="L833" s="440" t="n">
        <x:f>IF(ISNUMBER(K833),IF(MAX(0,J833*(1+SUM($B$87)/12)-K833)&lt;MAX(0.0000001,$B$86*0.00000000001),0,MAX(0,J833*(1+SUM($B$87)/12)-K833)),"")</x:f>
        <x:v>0</x:v>
      </x:c>
      <x:c r="M833" s="440" t="n">
        <x:f>IF(AND(ISNUMBER(D833),ISNUMBER(K833)),D833+K833,"")</x:f>
        <x:v>0</x:v>
      </x:c>
      <x:c r="N833" s="440" t="n">
        <x:f>IF(AND(ISNUMBER(H833),ISNUMBER(L833)),H833+L833,"")</x:f>
        <x:v>0</x:v>
      </x:c>
    </x:row>
    <x:row r="834" ht="22" customHeight="1">
      <x:c r="A834" s="254" t="n">
        <x:f>434</x:f>
        <x:v>434</x:v>
      </x:c>
      <x:c r="B834" s="440" t="n">
        <x:f>IF(ISNUMBER(H833),H833,"")</x:f>
        <x:v>0</x:v>
      </x:c>
      <x:c r="C834" s="442" t="n">
        <x:f>IF(ISNUMBER(B834),IF(AND(434&gt;$B$173,$B$78="Refinance",ISNUMBER($B$80),$B$80&gt;=0,$B$80&lt;=1,ROUND($B$81*12,0)&gt;=1,$B$81&lt;=100,SUM($B$82)&gt;=0,SUM($B$82)&lt;=1,SUM($B$83)&gt;=0),$B$80,IF(AND($B$175&gt;0,434&gt;$B$175,ISNUMBER($B$75)),$B$75,$B$61)),"")</x:f>
        <x:v>0.0625</x:v>
      </x:c>
      <x:c r="D834" s="440" t="n">
        <x:f>IF(AND(ISNUMBER(B834),B834=0),0,IF(AND($B$171=1,I833=0,ISNUMBER(C834),ISNUMBER(IF(AND(434&lt;=$B$174,434&lt;=$B$173),B834*C834/12,IF(AND(434=$B$173+1,AND(434&gt;$B$173,$B$78="Refinance",ISNUMBER($B$80),$B$80&gt;=0,$B$80&lt;=1,ROUND($B$81*12,0)&gt;=1,$B$81&lt;=100,SUM($B$82)&gt;=0,SUM($B$82)&lt;=1,SUM($B$83)&gt;=0)),IF(B834=0,0,IF(C834=0,B834/ROUND($B$81*12,0),B834*(C834/12)/(1-(1+C834/12)^(-ROUND($B$81*12,0))))),IF(AND(NOT(AND(434&gt;$B$173,$B$78="Refinance",ISNUMBER($B$80),$B$80&gt;=0,$B$80&lt;=1,ROUND($B$81*12,0)&gt;=1,$B$81&lt;=100,SUM($B$82)&gt;=0,SUM($B$82)&lt;=1,SUM($B$83)&gt;=0)),OR(434=1,434=$B$174+1,AND($B$175&gt;0,434=$B$175+1))),IF(AND($B$170=1,$B$66&gt;0,OR($B$175=0,434&lt;=$B$175)),$B$66,IF($B$172-MAX(434-1,$B$174)&gt;0,IF(B834=0,0,IF(C834=0,B834/($B$172-MAX(434-1,$B$174)),B834*(C834/12)/(1-(1+C834/12)^(-($B$172-MAX(434-1,$B$174)))))),"")),D833))))),IF(IF(AND(434&lt;=$B$174,434&lt;=$B$173),B834*C834/12,IF(AND(434=$B$173+1,AND(434&gt;$B$173,$B$78="Refinance",ISNUMBER($B$80),$B$80&gt;=0,$B$80&lt;=1,ROUND($B$81*12,0)&gt;=1,$B$81&lt;=100,SUM($B$82)&gt;=0,SUM($B$82)&lt;=1,SUM($B$83)&gt;=0)),IF(B834=0,0,IF(C834=0,B834/ROUND($B$81*12,0),B834*(C834/12)/(1-(1+C834/12)^(-ROUND($B$81*12,0))))),IF(AND(NOT(AND(434&gt;$B$173,$B$78="Refinance",ISNUMBER($B$80),$B$80&gt;=0,$B$80&lt;=1,ROUND($B$81*12,0)&gt;=1,$B$81&lt;=100,SUM($B$82)&gt;=0,SUM($B$82)&lt;=1,SUM($B$83)&gt;=0)),OR(434=1,434=$B$174+1,AND($B$175&gt;0,434=$B$175+1))),IF(AND($B$170=1,$B$66&gt;0,OR($B$175=0,434&lt;=$B$175)),$B$66,IF($B$172-MAX(434-1,$B$174)&gt;0,IF(B834=0,0,IF(C834=0,B834/($B$172-MAX(434-1,$B$174)),B834*(C834/12)/(1-(1+C834/12)^(-($B$172-MAX(434-1,$B$174)))))),"")),D833)))+0.0000001&gt;=B834*C834/12,MIN(B834*(1+C834/12),IF(AND(434&lt;=$B$174,434&lt;=$B$173),B834*C834/12,IF(AND(434=$B$173+1,AND(434&gt;$B$173,$B$78="Refinance",ISNUMBER($B$80),$B$80&gt;=0,$B$80&lt;=1,ROUND($B$81*12,0)&gt;=1,$B$81&lt;=100,SUM($B$82)&gt;=0,SUM($B$82)&lt;=1,SUM($B$83)&gt;=0)),IF(B834=0,0,IF(C834=0,B834/ROUND($B$81*12,0),B834*(C834/12)/(1-(1+C834/12)^(-ROUND($B$81*12,0))))),IF(AND(NOT(AND(434&gt;$B$173,$B$78="Refinance",ISNUMBER($B$80),$B$80&gt;=0,$B$80&lt;=1,ROUND($B$81*12,0)&gt;=1,$B$81&lt;=100,SUM($B$82)&gt;=0,SUM($B$82)&lt;=1,SUM($B$83)&gt;=0)),OR(434=1,434=$B$174+1,AND($B$175&gt;0,434=$B$175+1))),IF(AND($B$170=1,$B$66&gt;0,OR($B$175=0,434&lt;=$B$175)),$B$66,IF($B$172-MAX(434-1,$B$174)&gt;0,IF(B834=0,0,IF(C834=0,B834/($B$172-MAX(434-1,$B$174)),B834*(C834/12)/(1-(1+C834/12)^(-($B$172-MAX(434-1,$B$174)))))),"")),D833)))),""),""))</x:f>
        <x:v>0</x:v>
      </x:c>
      <x:c r="E834" s="440" t="n">
        <x:f>IF(AND(434=$B$173,ISNUMBER(D834)),IF(MAX(0,B834*(1+C834/12)-D834)&lt;MAX(0.0000001,$E$17*0.00000000001),0,MAX(0,B834*(1+C834/12)-D834)),0)</x:f>
        <x:v>0</x:v>
      </x:c>
      <x:c r="F834" s="440" t="n">
        <x:f>IF($B$78="Cash payoff",E834,0)</x:f>
        <x:v>0</x:v>
      </x:c>
      <x:c r="G834" s="440" t="n">
        <x:f>IF(AND(E834&gt;0,AND($B$78="Refinance",ISNUMBER($B$80),$B$80&gt;=0,$B$80&lt;=1,ROUND($B$81*12,0)&gt;=1,$B$81&lt;=100,SUM($B$82)&gt;=0,SUM($B$82)&lt;=1,SUM($B$83)&gt;=0)),E834*SUM($B$82)+SUM($B$83),0)</x:f>
        <x:v>0</x:v>
      </x:c>
      <x:c r="H834" s="440" t="n">
        <x:f>IF(ISNUMBER(D834),IF(MAX(0,B834*(1+C834/12)-D834-F834)&lt;MAX(0.0000001,$E$17*0.00000000001),0,MAX(0,B834*(1+C834/12)-D834-F834)),IF(AND($B$171=1,I833=1),B834,""))</x:f>
        <x:v>0</x:v>
      </x:c>
      <x:c r="I834" s="444" t="n">
        <x:f>IF(OR(I833=1,AND(E834&gt;0,$B$78&lt;&gt;"Cash payoff",NOT(AND($B$78="Refinance",ISNUMBER($B$80),$B$80&gt;=0,$B$80&lt;=1,ROUND($B$81*12,0)&gt;=1,$B$81&lt;=100,SUM($B$82)&gt;=0,SUM($B$82)&lt;=1,SUM($B$83)&gt;=0))),AND(ISNUMBER(B834),B834&gt;0,$B$171=1,NOT(ISNUMBER(D834)))),1,0)</x:f>
        <x:v>0</x:v>
      </x:c>
      <x:c r="J834" s="440" t="n">
        <x:f>IF(ISNUMBER(L833),L833,"")</x:f>
        <x:v>0</x:v>
      </x:c>
      <x:c r="K834" s="440" t="n">
        <x:f>IF(AND(ISNUMBER(J834),J834=0),0,IF(AND($B$176=1,ISNUMBER(J834)),MIN(J834*(1+$B$87/12),IF($B$86=0,0,IF($B$87=0,$B$86/ROUND($B$88*12,0),$B$86*($B$87/12)/(1-(1+$B$87/12)^(-ROUND($B$88*12,0)))))),""))</x:f>
        <x:v>0</x:v>
      </x:c>
      <x:c r="L834" s="440" t="n">
        <x:f>IF(ISNUMBER(K834),IF(MAX(0,J834*(1+SUM($B$87)/12)-K834)&lt;MAX(0.0000001,$B$86*0.00000000001),0,MAX(0,J834*(1+SUM($B$87)/12)-K834)),"")</x:f>
        <x:v>0</x:v>
      </x:c>
      <x:c r="M834" s="440" t="n">
        <x:f>IF(AND(ISNUMBER(D834),ISNUMBER(K834)),D834+K834,"")</x:f>
        <x:v>0</x:v>
      </x:c>
      <x:c r="N834" s="440" t="n">
        <x:f>IF(AND(ISNUMBER(H834),ISNUMBER(L834)),H834+L834,"")</x:f>
        <x:v>0</x:v>
      </x:c>
    </x:row>
    <x:row r="835" ht="22" customHeight="1">
      <x:c r="A835" s="254" t="n">
        <x:f>435</x:f>
        <x:v>435</x:v>
      </x:c>
      <x:c r="B835" s="440" t="n">
        <x:f>IF(ISNUMBER(H834),H834,"")</x:f>
        <x:v>0</x:v>
      </x:c>
      <x:c r="C835" s="442" t="n">
        <x:f>IF(ISNUMBER(B835),IF(AND(435&gt;$B$173,$B$78="Refinance",ISNUMBER($B$80),$B$80&gt;=0,$B$80&lt;=1,ROUND($B$81*12,0)&gt;=1,$B$81&lt;=100,SUM($B$82)&gt;=0,SUM($B$82)&lt;=1,SUM($B$83)&gt;=0),$B$80,IF(AND($B$175&gt;0,435&gt;$B$175,ISNUMBER($B$75)),$B$75,$B$61)),"")</x:f>
        <x:v>0.0625</x:v>
      </x:c>
      <x:c r="D835" s="440" t="n">
        <x:f>IF(AND(ISNUMBER(B835),B835=0),0,IF(AND($B$171=1,I834=0,ISNUMBER(C835),ISNUMBER(IF(AND(435&lt;=$B$174,435&lt;=$B$173),B835*C835/12,IF(AND(435=$B$173+1,AND(435&gt;$B$173,$B$78="Refinance",ISNUMBER($B$80),$B$80&gt;=0,$B$80&lt;=1,ROUND($B$81*12,0)&gt;=1,$B$81&lt;=100,SUM($B$82)&gt;=0,SUM($B$82)&lt;=1,SUM($B$83)&gt;=0)),IF(B835=0,0,IF(C835=0,B835/ROUND($B$81*12,0),B835*(C835/12)/(1-(1+C835/12)^(-ROUND($B$81*12,0))))),IF(AND(NOT(AND(435&gt;$B$173,$B$78="Refinance",ISNUMBER($B$80),$B$80&gt;=0,$B$80&lt;=1,ROUND($B$81*12,0)&gt;=1,$B$81&lt;=100,SUM($B$82)&gt;=0,SUM($B$82)&lt;=1,SUM($B$83)&gt;=0)),OR(435=1,435=$B$174+1,AND($B$175&gt;0,435=$B$175+1))),IF(AND($B$170=1,$B$66&gt;0,OR($B$175=0,435&lt;=$B$175)),$B$66,IF($B$172-MAX(435-1,$B$174)&gt;0,IF(B835=0,0,IF(C835=0,B835/($B$172-MAX(435-1,$B$174)),B835*(C835/12)/(1-(1+C835/12)^(-($B$172-MAX(435-1,$B$174)))))),"")),D834))))),IF(IF(AND(435&lt;=$B$174,435&lt;=$B$173),B835*C835/12,IF(AND(435=$B$173+1,AND(435&gt;$B$173,$B$78="Refinance",ISNUMBER($B$80),$B$80&gt;=0,$B$80&lt;=1,ROUND($B$81*12,0)&gt;=1,$B$81&lt;=100,SUM($B$82)&gt;=0,SUM($B$82)&lt;=1,SUM($B$83)&gt;=0)),IF(B835=0,0,IF(C835=0,B835/ROUND($B$81*12,0),B835*(C835/12)/(1-(1+C835/12)^(-ROUND($B$81*12,0))))),IF(AND(NOT(AND(435&gt;$B$173,$B$78="Refinance",ISNUMBER($B$80),$B$80&gt;=0,$B$80&lt;=1,ROUND($B$81*12,0)&gt;=1,$B$81&lt;=100,SUM($B$82)&gt;=0,SUM($B$82)&lt;=1,SUM($B$83)&gt;=0)),OR(435=1,435=$B$174+1,AND($B$175&gt;0,435=$B$175+1))),IF(AND($B$170=1,$B$66&gt;0,OR($B$175=0,435&lt;=$B$175)),$B$66,IF($B$172-MAX(435-1,$B$174)&gt;0,IF(B835=0,0,IF(C835=0,B835/($B$172-MAX(435-1,$B$174)),B835*(C835/12)/(1-(1+C835/12)^(-($B$172-MAX(435-1,$B$174)))))),"")),D834)))+0.0000001&gt;=B835*C835/12,MIN(B835*(1+C835/12),IF(AND(435&lt;=$B$174,435&lt;=$B$173),B835*C835/12,IF(AND(435=$B$173+1,AND(435&gt;$B$173,$B$78="Refinance",ISNUMBER($B$80),$B$80&gt;=0,$B$80&lt;=1,ROUND($B$81*12,0)&gt;=1,$B$81&lt;=100,SUM($B$82)&gt;=0,SUM($B$82)&lt;=1,SUM($B$83)&gt;=0)),IF(B835=0,0,IF(C835=0,B835/ROUND($B$81*12,0),B835*(C835/12)/(1-(1+C835/12)^(-ROUND($B$81*12,0))))),IF(AND(NOT(AND(435&gt;$B$173,$B$78="Refinance",ISNUMBER($B$80),$B$80&gt;=0,$B$80&lt;=1,ROUND($B$81*12,0)&gt;=1,$B$81&lt;=100,SUM($B$82)&gt;=0,SUM($B$82)&lt;=1,SUM($B$83)&gt;=0)),OR(435=1,435=$B$174+1,AND($B$175&gt;0,435=$B$175+1))),IF(AND($B$170=1,$B$66&gt;0,OR($B$175=0,435&lt;=$B$175)),$B$66,IF($B$172-MAX(435-1,$B$174)&gt;0,IF(B835=0,0,IF(C835=0,B835/($B$172-MAX(435-1,$B$174)),B835*(C835/12)/(1-(1+C835/12)^(-($B$172-MAX(435-1,$B$174)))))),"")),D834)))),""),""))</x:f>
        <x:v>0</x:v>
      </x:c>
      <x:c r="E835" s="440" t="n">
        <x:f>IF(AND(435=$B$173,ISNUMBER(D835)),IF(MAX(0,B835*(1+C835/12)-D835)&lt;MAX(0.0000001,$E$17*0.00000000001),0,MAX(0,B835*(1+C835/12)-D835)),0)</x:f>
        <x:v>0</x:v>
      </x:c>
      <x:c r="F835" s="440" t="n">
        <x:f>IF($B$78="Cash payoff",E835,0)</x:f>
        <x:v>0</x:v>
      </x:c>
      <x:c r="G835" s="440" t="n">
        <x:f>IF(AND(E835&gt;0,AND($B$78="Refinance",ISNUMBER($B$80),$B$80&gt;=0,$B$80&lt;=1,ROUND($B$81*12,0)&gt;=1,$B$81&lt;=100,SUM($B$82)&gt;=0,SUM($B$82)&lt;=1,SUM($B$83)&gt;=0)),E835*SUM($B$82)+SUM($B$83),0)</x:f>
        <x:v>0</x:v>
      </x:c>
      <x:c r="H835" s="440" t="n">
        <x:f>IF(ISNUMBER(D835),IF(MAX(0,B835*(1+C835/12)-D835-F835)&lt;MAX(0.0000001,$E$17*0.00000000001),0,MAX(0,B835*(1+C835/12)-D835-F835)),IF(AND($B$171=1,I834=1),B835,""))</x:f>
        <x:v>0</x:v>
      </x:c>
      <x:c r="I835" s="444" t="n">
        <x:f>IF(OR(I834=1,AND(E835&gt;0,$B$78&lt;&gt;"Cash payoff",NOT(AND($B$78="Refinance",ISNUMBER($B$80),$B$80&gt;=0,$B$80&lt;=1,ROUND($B$81*12,0)&gt;=1,$B$81&lt;=100,SUM($B$82)&gt;=0,SUM($B$82)&lt;=1,SUM($B$83)&gt;=0))),AND(ISNUMBER(B835),B835&gt;0,$B$171=1,NOT(ISNUMBER(D835)))),1,0)</x:f>
        <x:v>0</x:v>
      </x:c>
      <x:c r="J835" s="440" t="n">
        <x:f>IF(ISNUMBER(L834),L834,"")</x:f>
        <x:v>0</x:v>
      </x:c>
      <x:c r="K835" s="440" t="n">
        <x:f>IF(AND(ISNUMBER(J835),J835=0),0,IF(AND($B$176=1,ISNUMBER(J835)),MIN(J835*(1+$B$87/12),IF($B$86=0,0,IF($B$87=0,$B$86/ROUND($B$88*12,0),$B$86*($B$87/12)/(1-(1+$B$87/12)^(-ROUND($B$88*12,0)))))),""))</x:f>
        <x:v>0</x:v>
      </x:c>
      <x:c r="L835" s="440" t="n">
        <x:f>IF(ISNUMBER(K835),IF(MAX(0,J835*(1+SUM($B$87)/12)-K835)&lt;MAX(0.0000001,$B$86*0.00000000001),0,MAX(0,J835*(1+SUM($B$87)/12)-K835)),"")</x:f>
        <x:v>0</x:v>
      </x:c>
      <x:c r="M835" s="440" t="n">
        <x:f>IF(AND(ISNUMBER(D835),ISNUMBER(K835)),D835+K835,"")</x:f>
        <x:v>0</x:v>
      </x:c>
      <x:c r="N835" s="440" t="n">
        <x:f>IF(AND(ISNUMBER(H835),ISNUMBER(L835)),H835+L835,"")</x:f>
        <x:v>0</x:v>
      </x:c>
    </x:row>
    <x:row r="836" ht="22" customHeight="1">
      <x:c r="A836" s="254" t="n">
        <x:f>436</x:f>
        <x:v>436</x:v>
      </x:c>
      <x:c r="B836" s="440" t="n">
        <x:f>IF(ISNUMBER(H835),H835,"")</x:f>
        <x:v>0</x:v>
      </x:c>
      <x:c r="C836" s="442" t="n">
        <x:f>IF(ISNUMBER(B836),IF(AND(436&gt;$B$173,$B$78="Refinance",ISNUMBER($B$80),$B$80&gt;=0,$B$80&lt;=1,ROUND($B$81*12,0)&gt;=1,$B$81&lt;=100,SUM($B$82)&gt;=0,SUM($B$82)&lt;=1,SUM($B$83)&gt;=0),$B$80,IF(AND($B$175&gt;0,436&gt;$B$175,ISNUMBER($B$75)),$B$75,$B$61)),"")</x:f>
        <x:v>0.0625</x:v>
      </x:c>
      <x:c r="D836" s="440" t="n">
        <x:f>IF(AND(ISNUMBER(B836),B836=0),0,IF(AND($B$171=1,I835=0,ISNUMBER(C836),ISNUMBER(IF(AND(436&lt;=$B$174,436&lt;=$B$173),B836*C836/12,IF(AND(436=$B$173+1,AND(436&gt;$B$173,$B$78="Refinance",ISNUMBER($B$80),$B$80&gt;=0,$B$80&lt;=1,ROUND($B$81*12,0)&gt;=1,$B$81&lt;=100,SUM($B$82)&gt;=0,SUM($B$82)&lt;=1,SUM($B$83)&gt;=0)),IF(B836=0,0,IF(C836=0,B836/ROUND($B$81*12,0),B836*(C836/12)/(1-(1+C836/12)^(-ROUND($B$81*12,0))))),IF(AND(NOT(AND(436&gt;$B$173,$B$78="Refinance",ISNUMBER($B$80),$B$80&gt;=0,$B$80&lt;=1,ROUND($B$81*12,0)&gt;=1,$B$81&lt;=100,SUM($B$82)&gt;=0,SUM($B$82)&lt;=1,SUM($B$83)&gt;=0)),OR(436=1,436=$B$174+1,AND($B$175&gt;0,436=$B$175+1))),IF(AND($B$170=1,$B$66&gt;0,OR($B$175=0,436&lt;=$B$175)),$B$66,IF($B$172-MAX(436-1,$B$174)&gt;0,IF(B836=0,0,IF(C836=0,B836/($B$172-MAX(436-1,$B$174)),B836*(C836/12)/(1-(1+C836/12)^(-($B$172-MAX(436-1,$B$174)))))),"")),D835))))),IF(IF(AND(436&lt;=$B$174,436&lt;=$B$173),B836*C836/12,IF(AND(436=$B$173+1,AND(436&gt;$B$173,$B$78="Refinance",ISNUMBER($B$80),$B$80&gt;=0,$B$80&lt;=1,ROUND($B$81*12,0)&gt;=1,$B$81&lt;=100,SUM($B$82)&gt;=0,SUM($B$82)&lt;=1,SUM($B$83)&gt;=0)),IF(B836=0,0,IF(C836=0,B836/ROUND($B$81*12,0),B836*(C836/12)/(1-(1+C836/12)^(-ROUND($B$81*12,0))))),IF(AND(NOT(AND(436&gt;$B$173,$B$78="Refinance",ISNUMBER($B$80),$B$80&gt;=0,$B$80&lt;=1,ROUND($B$81*12,0)&gt;=1,$B$81&lt;=100,SUM($B$82)&gt;=0,SUM($B$82)&lt;=1,SUM($B$83)&gt;=0)),OR(436=1,436=$B$174+1,AND($B$175&gt;0,436=$B$175+1))),IF(AND($B$170=1,$B$66&gt;0,OR($B$175=0,436&lt;=$B$175)),$B$66,IF($B$172-MAX(436-1,$B$174)&gt;0,IF(B836=0,0,IF(C836=0,B836/($B$172-MAX(436-1,$B$174)),B836*(C836/12)/(1-(1+C836/12)^(-($B$172-MAX(436-1,$B$174)))))),"")),D835)))+0.0000001&gt;=B836*C836/12,MIN(B836*(1+C836/12),IF(AND(436&lt;=$B$174,436&lt;=$B$173),B836*C836/12,IF(AND(436=$B$173+1,AND(436&gt;$B$173,$B$78="Refinance",ISNUMBER($B$80),$B$80&gt;=0,$B$80&lt;=1,ROUND($B$81*12,0)&gt;=1,$B$81&lt;=100,SUM($B$82)&gt;=0,SUM($B$82)&lt;=1,SUM($B$83)&gt;=0)),IF(B836=0,0,IF(C836=0,B836/ROUND($B$81*12,0),B836*(C836/12)/(1-(1+C836/12)^(-ROUND($B$81*12,0))))),IF(AND(NOT(AND(436&gt;$B$173,$B$78="Refinance",ISNUMBER($B$80),$B$80&gt;=0,$B$80&lt;=1,ROUND($B$81*12,0)&gt;=1,$B$81&lt;=100,SUM($B$82)&gt;=0,SUM($B$82)&lt;=1,SUM($B$83)&gt;=0)),OR(436=1,436=$B$174+1,AND($B$175&gt;0,436=$B$175+1))),IF(AND($B$170=1,$B$66&gt;0,OR($B$175=0,436&lt;=$B$175)),$B$66,IF($B$172-MAX(436-1,$B$174)&gt;0,IF(B836=0,0,IF(C836=0,B836/($B$172-MAX(436-1,$B$174)),B836*(C836/12)/(1-(1+C836/12)^(-($B$172-MAX(436-1,$B$174)))))),"")),D835)))),""),""))</x:f>
        <x:v>0</x:v>
      </x:c>
      <x:c r="E836" s="440" t="n">
        <x:f>IF(AND(436=$B$173,ISNUMBER(D836)),IF(MAX(0,B836*(1+C836/12)-D836)&lt;MAX(0.0000001,$E$17*0.00000000001),0,MAX(0,B836*(1+C836/12)-D836)),0)</x:f>
        <x:v>0</x:v>
      </x:c>
      <x:c r="F836" s="440" t="n">
        <x:f>IF($B$78="Cash payoff",E836,0)</x:f>
        <x:v>0</x:v>
      </x:c>
      <x:c r="G836" s="440" t="n">
        <x:f>IF(AND(E836&gt;0,AND($B$78="Refinance",ISNUMBER($B$80),$B$80&gt;=0,$B$80&lt;=1,ROUND($B$81*12,0)&gt;=1,$B$81&lt;=100,SUM($B$82)&gt;=0,SUM($B$82)&lt;=1,SUM($B$83)&gt;=0)),E836*SUM($B$82)+SUM($B$83),0)</x:f>
        <x:v>0</x:v>
      </x:c>
      <x:c r="H836" s="440" t="n">
        <x:f>IF(ISNUMBER(D836),IF(MAX(0,B836*(1+C836/12)-D836-F836)&lt;MAX(0.0000001,$E$17*0.00000000001),0,MAX(0,B836*(1+C836/12)-D836-F836)),IF(AND($B$171=1,I835=1),B836,""))</x:f>
        <x:v>0</x:v>
      </x:c>
      <x:c r="I836" s="444" t="n">
        <x:f>IF(OR(I835=1,AND(E836&gt;0,$B$78&lt;&gt;"Cash payoff",NOT(AND($B$78="Refinance",ISNUMBER($B$80),$B$80&gt;=0,$B$80&lt;=1,ROUND($B$81*12,0)&gt;=1,$B$81&lt;=100,SUM($B$82)&gt;=0,SUM($B$82)&lt;=1,SUM($B$83)&gt;=0))),AND(ISNUMBER(B836),B836&gt;0,$B$171=1,NOT(ISNUMBER(D836)))),1,0)</x:f>
        <x:v>0</x:v>
      </x:c>
      <x:c r="J836" s="440" t="n">
        <x:f>IF(ISNUMBER(L835),L835,"")</x:f>
        <x:v>0</x:v>
      </x:c>
      <x:c r="K836" s="440" t="n">
        <x:f>IF(AND(ISNUMBER(J836),J836=0),0,IF(AND($B$176=1,ISNUMBER(J836)),MIN(J836*(1+$B$87/12),IF($B$86=0,0,IF($B$87=0,$B$86/ROUND($B$88*12,0),$B$86*($B$87/12)/(1-(1+$B$87/12)^(-ROUND($B$88*12,0)))))),""))</x:f>
        <x:v>0</x:v>
      </x:c>
      <x:c r="L836" s="440" t="n">
        <x:f>IF(ISNUMBER(K836),IF(MAX(0,J836*(1+SUM($B$87)/12)-K836)&lt;MAX(0.0000001,$B$86*0.00000000001),0,MAX(0,J836*(1+SUM($B$87)/12)-K836)),"")</x:f>
        <x:v>0</x:v>
      </x:c>
      <x:c r="M836" s="440" t="n">
        <x:f>IF(AND(ISNUMBER(D836),ISNUMBER(K836)),D836+K836,"")</x:f>
        <x:v>0</x:v>
      </x:c>
      <x:c r="N836" s="440" t="n">
        <x:f>IF(AND(ISNUMBER(H836),ISNUMBER(L836)),H836+L836,"")</x:f>
        <x:v>0</x:v>
      </x:c>
    </x:row>
    <x:row r="837" ht="22" customHeight="1">
      <x:c r="A837" s="254" t="n">
        <x:f>437</x:f>
        <x:v>437</x:v>
      </x:c>
      <x:c r="B837" s="440" t="n">
        <x:f>IF(ISNUMBER(H836),H836,"")</x:f>
        <x:v>0</x:v>
      </x:c>
      <x:c r="C837" s="442" t="n">
        <x:f>IF(ISNUMBER(B837),IF(AND(437&gt;$B$173,$B$78="Refinance",ISNUMBER($B$80),$B$80&gt;=0,$B$80&lt;=1,ROUND($B$81*12,0)&gt;=1,$B$81&lt;=100,SUM($B$82)&gt;=0,SUM($B$82)&lt;=1,SUM($B$83)&gt;=0),$B$80,IF(AND($B$175&gt;0,437&gt;$B$175,ISNUMBER($B$75)),$B$75,$B$61)),"")</x:f>
        <x:v>0.0625</x:v>
      </x:c>
      <x:c r="D837" s="440" t="n">
        <x:f>IF(AND(ISNUMBER(B837),B837=0),0,IF(AND($B$171=1,I836=0,ISNUMBER(C837),ISNUMBER(IF(AND(437&lt;=$B$174,437&lt;=$B$173),B837*C837/12,IF(AND(437=$B$173+1,AND(437&gt;$B$173,$B$78="Refinance",ISNUMBER($B$80),$B$80&gt;=0,$B$80&lt;=1,ROUND($B$81*12,0)&gt;=1,$B$81&lt;=100,SUM($B$82)&gt;=0,SUM($B$82)&lt;=1,SUM($B$83)&gt;=0)),IF(B837=0,0,IF(C837=0,B837/ROUND($B$81*12,0),B837*(C837/12)/(1-(1+C837/12)^(-ROUND($B$81*12,0))))),IF(AND(NOT(AND(437&gt;$B$173,$B$78="Refinance",ISNUMBER($B$80),$B$80&gt;=0,$B$80&lt;=1,ROUND($B$81*12,0)&gt;=1,$B$81&lt;=100,SUM($B$82)&gt;=0,SUM($B$82)&lt;=1,SUM($B$83)&gt;=0)),OR(437=1,437=$B$174+1,AND($B$175&gt;0,437=$B$175+1))),IF(AND($B$170=1,$B$66&gt;0,OR($B$175=0,437&lt;=$B$175)),$B$66,IF($B$172-MAX(437-1,$B$174)&gt;0,IF(B837=0,0,IF(C837=0,B837/($B$172-MAX(437-1,$B$174)),B837*(C837/12)/(1-(1+C837/12)^(-($B$172-MAX(437-1,$B$174)))))),"")),D836))))),IF(IF(AND(437&lt;=$B$174,437&lt;=$B$173),B837*C837/12,IF(AND(437=$B$173+1,AND(437&gt;$B$173,$B$78="Refinance",ISNUMBER($B$80),$B$80&gt;=0,$B$80&lt;=1,ROUND($B$81*12,0)&gt;=1,$B$81&lt;=100,SUM($B$82)&gt;=0,SUM($B$82)&lt;=1,SUM($B$83)&gt;=0)),IF(B837=0,0,IF(C837=0,B837/ROUND($B$81*12,0),B837*(C837/12)/(1-(1+C837/12)^(-ROUND($B$81*12,0))))),IF(AND(NOT(AND(437&gt;$B$173,$B$78="Refinance",ISNUMBER($B$80),$B$80&gt;=0,$B$80&lt;=1,ROUND($B$81*12,0)&gt;=1,$B$81&lt;=100,SUM($B$82)&gt;=0,SUM($B$82)&lt;=1,SUM($B$83)&gt;=0)),OR(437=1,437=$B$174+1,AND($B$175&gt;0,437=$B$175+1))),IF(AND($B$170=1,$B$66&gt;0,OR($B$175=0,437&lt;=$B$175)),$B$66,IF($B$172-MAX(437-1,$B$174)&gt;0,IF(B837=0,0,IF(C837=0,B837/($B$172-MAX(437-1,$B$174)),B837*(C837/12)/(1-(1+C837/12)^(-($B$172-MAX(437-1,$B$174)))))),"")),D836)))+0.0000001&gt;=B837*C837/12,MIN(B837*(1+C837/12),IF(AND(437&lt;=$B$174,437&lt;=$B$173),B837*C837/12,IF(AND(437=$B$173+1,AND(437&gt;$B$173,$B$78="Refinance",ISNUMBER($B$80),$B$80&gt;=0,$B$80&lt;=1,ROUND($B$81*12,0)&gt;=1,$B$81&lt;=100,SUM($B$82)&gt;=0,SUM($B$82)&lt;=1,SUM($B$83)&gt;=0)),IF(B837=0,0,IF(C837=0,B837/ROUND($B$81*12,0),B837*(C837/12)/(1-(1+C837/12)^(-ROUND($B$81*12,0))))),IF(AND(NOT(AND(437&gt;$B$173,$B$78="Refinance",ISNUMBER($B$80),$B$80&gt;=0,$B$80&lt;=1,ROUND($B$81*12,0)&gt;=1,$B$81&lt;=100,SUM($B$82)&gt;=0,SUM($B$82)&lt;=1,SUM($B$83)&gt;=0)),OR(437=1,437=$B$174+1,AND($B$175&gt;0,437=$B$175+1))),IF(AND($B$170=1,$B$66&gt;0,OR($B$175=0,437&lt;=$B$175)),$B$66,IF($B$172-MAX(437-1,$B$174)&gt;0,IF(B837=0,0,IF(C837=0,B837/($B$172-MAX(437-1,$B$174)),B837*(C837/12)/(1-(1+C837/12)^(-($B$172-MAX(437-1,$B$174)))))),"")),D836)))),""),""))</x:f>
        <x:v>0</x:v>
      </x:c>
      <x:c r="E837" s="440" t="n">
        <x:f>IF(AND(437=$B$173,ISNUMBER(D837)),IF(MAX(0,B837*(1+C837/12)-D837)&lt;MAX(0.0000001,$E$17*0.00000000001),0,MAX(0,B837*(1+C837/12)-D837)),0)</x:f>
        <x:v>0</x:v>
      </x:c>
      <x:c r="F837" s="440" t="n">
        <x:f>IF($B$78="Cash payoff",E837,0)</x:f>
        <x:v>0</x:v>
      </x:c>
      <x:c r="G837" s="440" t="n">
        <x:f>IF(AND(E837&gt;0,AND($B$78="Refinance",ISNUMBER($B$80),$B$80&gt;=0,$B$80&lt;=1,ROUND($B$81*12,0)&gt;=1,$B$81&lt;=100,SUM($B$82)&gt;=0,SUM($B$82)&lt;=1,SUM($B$83)&gt;=0)),E837*SUM($B$82)+SUM($B$83),0)</x:f>
        <x:v>0</x:v>
      </x:c>
      <x:c r="H837" s="440" t="n">
        <x:f>IF(ISNUMBER(D837),IF(MAX(0,B837*(1+C837/12)-D837-F837)&lt;MAX(0.0000001,$E$17*0.00000000001),0,MAX(0,B837*(1+C837/12)-D837-F837)),IF(AND($B$171=1,I836=1),B837,""))</x:f>
        <x:v>0</x:v>
      </x:c>
      <x:c r="I837" s="444" t="n">
        <x:f>IF(OR(I836=1,AND(E837&gt;0,$B$78&lt;&gt;"Cash payoff",NOT(AND($B$78="Refinance",ISNUMBER($B$80),$B$80&gt;=0,$B$80&lt;=1,ROUND($B$81*12,0)&gt;=1,$B$81&lt;=100,SUM($B$82)&gt;=0,SUM($B$82)&lt;=1,SUM($B$83)&gt;=0))),AND(ISNUMBER(B837),B837&gt;0,$B$171=1,NOT(ISNUMBER(D837)))),1,0)</x:f>
        <x:v>0</x:v>
      </x:c>
      <x:c r="J837" s="440" t="n">
        <x:f>IF(ISNUMBER(L836),L836,"")</x:f>
        <x:v>0</x:v>
      </x:c>
      <x:c r="K837" s="440" t="n">
        <x:f>IF(AND(ISNUMBER(J837),J837=0),0,IF(AND($B$176=1,ISNUMBER(J837)),MIN(J837*(1+$B$87/12),IF($B$86=0,0,IF($B$87=0,$B$86/ROUND($B$88*12,0),$B$86*($B$87/12)/(1-(1+$B$87/12)^(-ROUND($B$88*12,0)))))),""))</x:f>
        <x:v>0</x:v>
      </x:c>
      <x:c r="L837" s="440" t="n">
        <x:f>IF(ISNUMBER(K837),IF(MAX(0,J837*(1+SUM($B$87)/12)-K837)&lt;MAX(0.0000001,$B$86*0.00000000001),0,MAX(0,J837*(1+SUM($B$87)/12)-K837)),"")</x:f>
        <x:v>0</x:v>
      </x:c>
      <x:c r="M837" s="440" t="n">
        <x:f>IF(AND(ISNUMBER(D837),ISNUMBER(K837)),D837+K837,"")</x:f>
        <x:v>0</x:v>
      </x:c>
      <x:c r="N837" s="440" t="n">
        <x:f>IF(AND(ISNUMBER(H837),ISNUMBER(L837)),H837+L837,"")</x:f>
        <x:v>0</x:v>
      </x:c>
    </x:row>
    <x:row r="838" ht="22" customHeight="1">
      <x:c r="A838" s="254" t="n">
        <x:f>438</x:f>
        <x:v>438</x:v>
      </x:c>
      <x:c r="B838" s="440" t="n">
        <x:f>IF(ISNUMBER(H837),H837,"")</x:f>
        <x:v>0</x:v>
      </x:c>
      <x:c r="C838" s="442" t="n">
        <x:f>IF(ISNUMBER(B838),IF(AND(438&gt;$B$173,$B$78="Refinance",ISNUMBER($B$80),$B$80&gt;=0,$B$80&lt;=1,ROUND($B$81*12,0)&gt;=1,$B$81&lt;=100,SUM($B$82)&gt;=0,SUM($B$82)&lt;=1,SUM($B$83)&gt;=0),$B$80,IF(AND($B$175&gt;0,438&gt;$B$175,ISNUMBER($B$75)),$B$75,$B$61)),"")</x:f>
        <x:v>0.0625</x:v>
      </x:c>
      <x:c r="D838" s="440" t="n">
        <x:f>IF(AND(ISNUMBER(B838),B838=0),0,IF(AND($B$171=1,I837=0,ISNUMBER(C838),ISNUMBER(IF(AND(438&lt;=$B$174,438&lt;=$B$173),B838*C838/12,IF(AND(438=$B$173+1,AND(438&gt;$B$173,$B$78="Refinance",ISNUMBER($B$80),$B$80&gt;=0,$B$80&lt;=1,ROUND($B$81*12,0)&gt;=1,$B$81&lt;=100,SUM($B$82)&gt;=0,SUM($B$82)&lt;=1,SUM($B$83)&gt;=0)),IF(B838=0,0,IF(C838=0,B838/ROUND($B$81*12,0),B838*(C838/12)/(1-(1+C838/12)^(-ROUND($B$81*12,0))))),IF(AND(NOT(AND(438&gt;$B$173,$B$78="Refinance",ISNUMBER($B$80),$B$80&gt;=0,$B$80&lt;=1,ROUND($B$81*12,0)&gt;=1,$B$81&lt;=100,SUM($B$82)&gt;=0,SUM($B$82)&lt;=1,SUM($B$83)&gt;=0)),OR(438=1,438=$B$174+1,AND($B$175&gt;0,438=$B$175+1))),IF(AND($B$170=1,$B$66&gt;0,OR($B$175=0,438&lt;=$B$175)),$B$66,IF($B$172-MAX(438-1,$B$174)&gt;0,IF(B838=0,0,IF(C838=0,B838/($B$172-MAX(438-1,$B$174)),B838*(C838/12)/(1-(1+C838/12)^(-($B$172-MAX(438-1,$B$174)))))),"")),D837))))),IF(IF(AND(438&lt;=$B$174,438&lt;=$B$173),B838*C838/12,IF(AND(438=$B$173+1,AND(438&gt;$B$173,$B$78="Refinance",ISNUMBER($B$80),$B$80&gt;=0,$B$80&lt;=1,ROUND($B$81*12,0)&gt;=1,$B$81&lt;=100,SUM($B$82)&gt;=0,SUM($B$82)&lt;=1,SUM($B$83)&gt;=0)),IF(B838=0,0,IF(C838=0,B838/ROUND($B$81*12,0),B838*(C838/12)/(1-(1+C838/12)^(-ROUND($B$81*12,0))))),IF(AND(NOT(AND(438&gt;$B$173,$B$78="Refinance",ISNUMBER($B$80),$B$80&gt;=0,$B$80&lt;=1,ROUND($B$81*12,0)&gt;=1,$B$81&lt;=100,SUM($B$82)&gt;=0,SUM($B$82)&lt;=1,SUM($B$83)&gt;=0)),OR(438=1,438=$B$174+1,AND($B$175&gt;0,438=$B$175+1))),IF(AND($B$170=1,$B$66&gt;0,OR($B$175=0,438&lt;=$B$175)),$B$66,IF($B$172-MAX(438-1,$B$174)&gt;0,IF(B838=0,0,IF(C838=0,B838/($B$172-MAX(438-1,$B$174)),B838*(C838/12)/(1-(1+C838/12)^(-($B$172-MAX(438-1,$B$174)))))),"")),D837)))+0.0000001&gt;=B838*C838/12,MIN(B838*(1+C838/12),IF(AND(438&lt;=$B$174,438&lt;=$B$173),B838*C838/12,IF(AND(438=$B$173+1,AND(438&gt;$B$173,$B$78="Refinance",ISNUMBER($B$80),$B$80&gt;=0,$B$80&lt;=1,ROUND($B$81*12,0)&gt;=1,$B$81&lt;=100,SUM($B$82)&gt;=0,SUM($B$82)&lt;=1,SUM($B$83)&gt;=0)),IF(B838=0,0,IF(C838=0,B838/ROUND($B$81*12,0),B838*(C838/12)/(1-(1+C838/12)^(-ROUND($B$81*12,0))))),IF(AND(NOT(AND(438&gt;$B$173,$B$78="Refinance",ISNUMBER($B$80),$B$80&gt;=0,$B$80&lt;=1,ROUND($B$81*12,0)&gt;=1,$B$81&lt;=100,SUM($B$82)&gt;=0,SUM($B$82)&lt;=1,SUM($B$83)&gt;=0)),OR(438=1,438=$B$174+1,AND($B$175&gt;0,438=$B$175+1))),IF(AND($B$170=1,$B$66&gt;0,OR($B$175=0,438&lt;=$B$175)),$B$66,IF($B$172-MAX(438-1,$B$174)&gt;0,IF(B838=0,0,IF(C838=0,B838/($B$172-MAX(438-1,$B$174)),B838*(C838/12)/(1-(1+C838/12)^(-($B$172-MAX(438-1,$B$174)))))),"")),D837)))),""),""))</x:f>
        <x:v>0</x:v>
      </x:c>
      <x:c r="E838" s="440" t="n">
        <x:f>IF(AND(438=$B$173,ISNUMBER(D838)),IF(MAX(0,B838*(1+C838/12)-D838)&lt;MAX(0.0000001,$E$17*0.00000000001),0,MAX(0,B838*(1+C838/12)-D838)),0)</x:f>
        <x:v>0</x:v>
      </x:c>
      <x:c r="F838" s="440" t="n">
        <x:f>IF($B$78="Cash payoff",E838,0)</x:f>
        <x:v>0</x:v>
      </x:c>
      <x:c r="G838" s="440" t="n">
        <x:f>IF(AND(E838&gt;0,AND($B$78="Refinance",ISNUMBER($B$80),$B$80&gt;=0,$B$80&lt;=1,ROUND($B$81*12,0)&gt;=1,$B$81&lt;=100,SUM($B$82)&gt;=0,SUM($B$82)&lt;=1,SUM($B$83)&gt;=0)),E838*SUM($B$82)+SUM($B$83),0)</x:f>
        <x:v>0</x:v>
      </x:c>
      <x:c r="H838" s="440" t="n">
        <x:f>IF(ISNUMBER(D838),IF(MAX(0,B838*(1+C838/12)-D838-F838)&lt;MAX(0.0000001,$E$17*0.00000000001),0,MAX(0,B838*(1+C838/12)-D838-F838)),IF(AND($B$171=1,I837=1),B838,""))</x:f>
        <x:v>0</x:v>
      </x:c>
      <x:c r="I838" s="444" t="n">
        <x:f>IF(OR(I837=1,AND(E838&gt;0,$B$78&lt;&gt;"Cash payoff",NOT(AND($B$78="Refinance",ISNUMBER($B$80),$B$80&gt;=0,$B$80&lt;=1,ROUND($B$81*12,0)&gt;=1,$B$81&lt;=100,SUM($B$82)&gt;=0,SUM($B$82)&lt;=1,SUM($B$83)&gt;=0))),AND(ISNUMBER(B838),B838&gt;0,$B$171=1,NOT(ISNUMBER(D838)))),1,0)</x:f>
        <x:v>0</x:v>
      </x:c>
      <x:c r="J838" s="440" t="n">
        <x:f>IF(ISNUMBER(L837),L837,"")</x:f>
        <x:v>0</x:v>
      </x:c>
      <x:c r="K838" s="440" t="n">
        <x:f>IF(AND(ISNUMBER(J838),J838=0),0,IF(AND($B$176=1,ISNUMBER(J838)),MIN(J838*(1+$B$87/12),IF($B$86=0,0,IF($B$87=0,$B$86/ROUND($B$88*12,0),$B$86*($B$87/12)/(1-(1+$B$87/12)^(-ROUND($B$88*12,0)))))),""))</x:f>
        <x:v>0</x:v>
      </x:c>
      <x:c r="L838" s="440" t="n">
        <x:f>IF(ISNUMBER(K838),IF(MAX(0,J838*(1+SUM($B$87)/12)-K838)&lt;MAX(0.0000001,$B$86*0.00000000001),0,MAX(0,J838*(1+SUM($B$87)/12)-K838)),"")</x:f>
        <x:v>0</x:v>
      </x:c>
      <x:c r="M838" s="440" t="n">
        <x:f>IF(AND(ISNUMBER(D838),ISNUMBER(K838)),D838+K838,"")</x:f>
        <x:v>0</x:v>
      </x:c>
      <x:c r="N838" s="440" t="n">
        <x:f>IF(AND(ISNUMBER(H838),ISNUMBER(L838)),H838+L838,"")</x:f>
        <x:v>0</x:v>
      </x:c>
    </x:row>
    <x:row r="839" ht="22" customHeight="1">
      <x:c r="A839" s="254" t="n">
        <x:f>439</x:f>
        <x:v>439</x:v>
      </x:c>
      <x:c r="B839" s="440" t="n">
        <x:f>IF(ISNUMBER(H838),H838,"")</x:f>
        <x:v>0</x:v>
      </x:c>
      <x:c r="C839" s="442" t="n">
        <x:f>IF(ISNUMBER(B839),IF(AND(439&gt;$B$173,$B$78="Refinance",ISNUMBER($B$80),$B$80&gt;=0,$B$80&lt;=1,ROUND($B$81*12,0)&gt;=1,$B$81&lt;=100,SUM($B$82)&gt;=0,SUM($B$82)&lt;=1,SUM($B$83)&gt;=0),$B$80,IF(AND($B$175&gt;0,439&gt;$B$175,ISNUMBER($B$75)),$B$75,$B$61)),"")</x:f>
        <x:v>0.0625</x:v>
      </x:c>
      <x:c r="D839" s="440" t="n">
        <x:f>IF(AND(ISNUMBER(B839),B839=0),0,IF(AND($B$171=1,I838=0,ISNUMBER(C839),ISNUMBER(IF(AND(439&lt;=$B$174,439&lt;=$B$173),B839*C839/12,IF(AND(439=$B$173+1,AND(439&gt;$B$173,$B$78="Refinance",ISNUMBER($B$80),$B$80&gt;=0,$B$80&lt;=1,ROUND($B$81*12,0)&gt;=1,$B$81&lt;=100,SUM($B$82)&gt;=0,SUM($B$82)&lt;=1,SUM($B$83)&gt;=0)),IF(B839=0,0,IF(C839=0,B839/ROUND($B$81*12,0),B839*(C839/12)/(1-(1+C839/12)^(-ROUND($B$81*12,0))))),IF(AND(NOT(AND(439&gt;$B$173,$B$78="Refinance",ISNUMBER($B$80),$B$80&gt;=0,$B$80&lt;=1,ROUND($B$81*12,0)&gt;=1,$B$81&lt;=100,SUM($B$82)&gt;=0,SUM($B$82)&lt;=1,SUM($B$83)&gt;=0)),OR(439=1,439=$B$174+1,AND($B$175&gt;0,439=$B$175+1))),IF(AND($B$170=1,$B$66&gt;0,OR($B$175=0,439&lt;=$B$175)),$B$66,IF($B$172-MAX(439-1,$B$174)&gt;0,IF(B839=0,0,IF(C839=0,B839/($B$172-MAX(439-1,$B$174)),B839*(C839/12)/(1-(1+C839/12)^(-($B$172-MAX(439-1,$B$174)))))),"")),D838))))),IF(IF(AND(439&lt;=$B$174,439&lt;=$B$173),B839*C839/12,IF(AND(439=$B$173+1,AND(439&gt;$B$173,$B$78="Refinance",ISNUMBER($B$80),$B$80&gt;=0,$B$80&lt;=1,ROUND($B$81*12,0)&gt;=1,$B$81&lt;=100,SUM($B$82)&gt;=0,SUM($B$82)&lt;=1,SUM($B$83)&gt;=0)),IF(B839=0,0,IF(C839=0,B839/ROUND($B$81*12,0),B839*(C839/12)/(1-(1+C839/12)^(-ROUND($B$81*12,0))))),IF(AND(NOT(AND(439&gt;$B$173,$B$78="Refinance",ISNUMBER($B$80),$B$80&gt;=0,$B$80&lt;=1,ROUND($B$81*12,0)&gt;=1,$B$81&lt;=100,SUM($B$82)&gt;=0,SUM($B$82)&lt;=1,SUM($B$83)&gt;=0)),OR(439=1,439=$B$174+1,AND($B$175&gt;0,439=$B$175+1))),IF(AND($B$170=1,$B$66&gt;0,OR($B$175=0,439&lt;=$B$175)),$B$66,IF($B$172-MAX(439-1,$B$174)&gt;0,IF(B839=0,0,IF(C839=0,B839/($B$172-MAX(439-1,$B$174)),B839*(C839/12)/(1-(1+C839/12)^(-($B$172-MAX(439-1,$B$174)))))),"")),D838)))+0.0000001&gt;=B839*C839/12,MIN(B839*(1+C839/12),IF(AND(439&lt;=$B$174,439&lt;=$B$173),B839*C839/12,IF(AND(439=$B$173+1,AND(439&gt;$B$173,$B$78="Refinance",ISNUMBER($B$80),$B$80&gt;=0,$B$80&lt;=1,ROUND($B$81*12,0)&gt;=1,$B$81&lt;=100,SUM($B$82)&gt;=0,SUM($B$82)&lt;=1,SUM($B$83)&gt;=0)),IF(B839=0,0,IF(C839=0,B839/ROUND($B$81*12,0),B839*(C839/12)/(1-(1+C839/12)^(-ROUND($B$81*12,0))))),IF(AND(NOT(AND(439&gt;$B$173,$B$78="Refinance",ISNUMBER($B$80),$B$80&gt;=0,$B$80&lt;=1,ROUND($B$81*12,0)&gt;=1,$B$81&lt;=100,SUM($B$82)&gt;=0,SUM($B$82)&lt;=1,SUM($B$83)&gt;=0)),OR(439=1,439=$B$174+1,AND($B$175&gt;0,439=$B$175+1))),IF(AND($B$170=1,$B$66&gt;0,OR($B$175=0,439&lt;=$B$175)),$B$66,IF($B$172-MAX(439-1,$B$174)&gt;0,IF(B839=0,0,IF(C839=0,B839/($B$172-MAX(439-1,$B$174)),B839*(C839/12)/(1-(1+C839/12)^(-($B$172-MAX(439-1,$B$174)))))),"")),D838)))),""),""))</x:f>
        <x:v>0</x:v>
      </x:c>
      <x:c r="E839" s="440" t="n">
        <x:f>IF(AND(439=$B$173,ISNUMBER(D839)),IF(MAX(0,B839*(1+C839/12)-D839)&lt;MAX(0.0000001,$E$17*0.00000000001),0,MAX(0,B839*(1+C839/12)-D839)),0)</x:f>
        <x:v>0</x:v>
      </x:c>
      <x:c r="F839" s="440" t="n">
        <x:f>IF($B$78="Cash payoff",E839,0)</x:f>
        <x:v>0</x:v>
      </x:c>
      <x:c r="G839" s="440" t="n">
        <x:f>IF(AND(E839&gt;0,AND($B$78="Refinance",ISNUMBER($B$80),$B$80&gt;=0,$B$80&lt;=1,ROUND($B$81*12,0)&gt;=1,$B$81&lt;=100,SUM($B$82)&gt;=0,SUM($B$82)&lt;=1,SUM($B$83)&gt;=0)),E839*SUM($B$82)+SUM($B$83),0)</x:f>
        <x:v>0</x:v>
      </x:c>
      <x:c r="H839" s="440" t="n">
        <x:f>IF(ISNUMBER(D839),IF(MAX(0,B839*(1+C839/12)-D839-F839)&lt;MAX(0.0000001,$E$17*0.00000000001),0,MAX(0,B839*(1+C839/12)-D839-F839)),IF(AND($B$171=1,I838=1),B839,""))</x:f>
        <x:v>0</x:v>
      </x:c>
      <x:c r="I839" s="444" t="n">
        <x:f>IF(OR(I838=1,AND(E839&gt;0,$B$78&lt;&gt;"Cash payoff",NOT(AND($B$78="Refinance",ISNUMBER($B$80),$B$80&gt;=0,$B$80&lt;=1,ROUND($B$81*12,0)&gt;=1,$B$81&lt;=100,SUM($B$82)&gt;=0,SUM($B$82)&lt;=1,SUM($B$83)&gt;=0))),AND(ISNUMBER(B839),B839&gt;0,$B$171=1,NOT(ISNUMBER(D839)))),1,0)</x:f>
        <x:v>0</x:v>
      </x:c>
      <x:c r="J839" s="440" t="n">
        <x:f>IF(ISNUMBER(L838),L838,"")</x:f>
        <x:v>0</x:v>
      </x:c>
      <x:c r="K839" s="440" t="n">
        <x:f>IF(AND(ISNUMBER(J839),J839=0),0,IF(AND($B$176=1,ISNUMBER(J839)),MIN(J839*(1+$B$87/12),IF($B$86=0,0,IF($B$87=0,$B$86/ROUND($B$88*12,0),$B$86*($B$87/12)/(1-(1+$B$87/12)^(-ROUND($B$88*12,0)))))),""))</x:f>
        <x:v>0</x:v>
      </x:c>
      <x:c r="L839" s="440" t="n">
        <x:f>IF(ISNUMBER(K839),IF(MAX(0,J839*(1+SUM($B$87)/12)-K839)&lt;MAX(0.0000001,$B$86*0.00000000001),0,MAX(0,J839*(1+SUM($B$87)/12)-K839)),"")</x:f>
        <x:v>0</x:v>
      </x:c>
      <x:c r="M839" s="440" t="n">
        <x:f>IF(AND(ISNUMBER(D839),ISNUMBER(K839)),D839+K839,"")</x:f>
        <x:v>0</x:v>
      </x:c>
      <x:c r="N839" s="440" t="n">
        <x:f>IF(AND(ISNUMBER(H839),ISNUMBER(L839)),H839+L839,"")</x:f>
        <x:v>0</x:v>
      </x:c>
    </x:row>
    <x:row r="840" ht="22" customHeight="1">
      <x:c r="A840" s="254" t="n">
        <x:f>440</x:f>
        <x:v>440</x:v>
      </x:c>
      <x:c r="B840" s="440" t="n">
        <x:f>IF(ISNUMBER(H839),H839,"")</x:f>
        <x:v>0</x:v>
      </x:c>
      <x:c r="C840" s="442" t="n">
        <x:f>IF(ISNUMBER(B840),IF(AND(440&gt;$B$173,$B$78="Refinance",ISNUMBER($B$80),$B$80&gt;=0,$B$80&lt;=1,ROUND($B$81*12,0)&gt;=1,$B$81&lt;=100,SUM($B$82)&gt;=0,SUM($B$82)&lt;=1,SUM($B$83)&gt;=0),$B$80,IF(AND($B$175&gt;0,440&gt;$B$175,ISNUMBER($B$75)),$B$75,$B$61)),"")</x:f>
        <x:v>0.0625</x:v>
      </x:c>
      <x:c r="D840" s="440" t="n">
        <x:f>IF(AND(ISNUMBER(B840),B840=0),0,IF(AND($B$171=1,I839=0,ISNUMBER(C840),ISNUMBER(IF(AND(440&lt;=$B$174,440&lt;=$B$173),B840*C840/12,IF(AND(440=$B$173+1,AND(440&gt;$B$173,$B$78="Refinance",ISNUMBER($B$80),$B$80&gt;=0,$B$80&lt;=1,ROUND($B$81*12,0)&gt;=1,$B$81&lt;=100,SUM($B$82)&gt;=0,SUM($B$82)&lt;=1,SUM($B$83)&gt;=0)),IF(B840=0,0,IF(C840=0,B840/ROUND($B$81*12,0),B840*(C840/12)/(1-(1+C840/12)^(-ROUND($B$81*12,0))))),IF(AND(NOT(AND(440&gt;$B$173,$B$78="Refinance",ISNUMBER($B$80),$B$80&gt;=0,$B$80&lt;=1,ROUND($B$81*12,0)&gt;=1,$B$81&lt;=100,SUM($B$82)&gt;=0,SUM($B$82)&lt;=1,SUM($B$83)&gt;=0)),OR(440=1,440=$B$174+1,AND($B$175&gt;0,440=$B$175+1))),IF(AND($B$170=1,$B$66&gt;0,OR($B$175=0,440&lt;=$B$175)),$B$66,IF($B$172-MAX(440-1,$B$174)&gt;0,IF(B840=0,0,IF(C840=0,B840/($B$172-MAX(440-1,$B$174)),B840*(C840/12)/(1-(1+C840/12)^(-($B$172-MAX(440-1,$B$174)))))),"")),D839))))),IF(IF(AND(440&lt;=$B$174,440&lt;=$B$173),B840*C840/12,IF(AND(440=$B$173+1,AND(440&gt;$B$173,$B$78="Refinance",ISNUMBER($B$80),$B$80&gt;=0,$B$80&lt;=1,ROUND($B$81*12,0)&gt;=1,$B$81&lt;=100,SUM($B$82)&gt;=0,SUM($B$82)&lt;=1,SUM($B$83)&gt;=0)),IF(B840=0,0,IF(C840=0,B840/ROUND($B$81*12,0),B840*(C840/12)/(1-(1+C840/12)^(-ROUND($B$81*12,0))))),IF(AND(NOT(AND(440&gt;$B$173,$B$78="Refinance",ISNUMBER($B$80),$B$80&gt;=0,$B$80&lt;=1,ROUND($B$81*12,0)&gt;=1,$B$81&lt;=100,SUM($B$82)&gt;=0,SUM($B$82)&lt;=1,SUM($B$83)&gt;=0)),OR(440=1,440=$B$174+1,AND($B$175&gt;0,440=$B$175+1))),IF(AND($B$170=1,$B$66&gt;0,OR($B$175=0,440&lt;=$B$175)),$B$66,IF($B$172-MAX(440-1,$B$174)&gt;0,IF(B840=0,0,IF(C840=0,B840/($B$172-MAX(440-1,$B$174)),B840*(C840/12)/(1-(1+C840/12)^(-($B$172-MAX(440-1,$B$174)))))),"")),D839)))+0.0000001&gt;=B840*C840/12,MIN(B840*(1+C840/12),IF(AND(440&lt;=$B$174,440&lt;=$B$173),B840*C840/12,IF(AND(440=$B$173+1,AND(440&gt;$B$173,$B$78="Refinance",ISNUMBER($B$80),$B$80&gt;=0,$B$80&lt;=1,ROUND($B$81*12,0)&gt;=1,$B$81&lt;=100,SUM($B$82)&gt;=0,SUM($B$82)&lt;=1,SUM($B$83)&gt;=0)),IF(B840=0,0,IF(C840=0,B840/ROUND($B$81*12,0),B840*(C840/12)/(1-(1+C840/12)^(-ROUND($B$81*12,0))))),IF(AND(NOT(AND(440&gt;$B$173,$B$78="Refinance",ISNUMBER($B$80),$B$80&gt;=0,$B$80&lt;=1,ROUND($B$81*12,0)&gt;=1,$B$81&lt;=100,SUM($B$82)&gt;=0,SUM($B$82)&lt;=1,SUM($B$83)&gt;=0)),OR(440=1,440=$B$174+1,AND($B$175&gt;0,440=$B$175+1))),IF(AND($B$170=1,$B$66&gt;0,OR($B$175=0,440&lt;=$B$175)),$B$66,IF($B$172-MAX(440-1,$B$174)&gt;0,IF(B840=0,0,IF(C840=0,B840/($B$172-MAX(440-1,$B$174)),B840*(C840/12)/(1-(1+C840/12)^(-($B$172-MAX(440-1,$B$174)))))),"")),D839)))),""),""))</x:f>
        <x:v>0</x:v>
      </x:c>
      <x:c r="E840" s="440" t="n">
        <x:f>IF(AND(440=$B$173,ISNUMBER(D840)),IF(MAX(0,B840*(1+C840/12)-D840)&lt;MAX(0.0000001,$E$17*0.00000000001),0,MAX(0,B840*(1+C840/12)-D840)),0)</x:f>
        <x:v>0</x:v>
      </x:c>
      <x:c r="F840" s="440" t="n">
        <x:f>IF($B$78="Cash payoff",E840,0)</x:f>
        <x:v>0</x:v>
      </x:c>
      <x:c r="G840" s="440" t="n">
        <x:f>IF(AND(E840&gt;0,AND($B$78="Refinance",ISNUMBER($B$80),$B$80&gt;=0,$B$80&lt;=1,ROUND($B$81*12,0)&gt;=1,$B$81&lt;=100,SUM($B$82)&gt;=0,SUM($B$82)&lt;=1,SUM($B$83)&gt;=0)),E840*SUM($B$82)+SUM($B$83),0)</x:f>
        <x:v>0</x:v>
      </x:c>
      <x:c r="H840" s="440" t="n">
        <x:f>IF(ISNUMBER(D840),IF(MAX(0,B840*(1+C840/12)-D840-F840)&lt;MAX(0.0000001,$E$17*0.00000000001),0,MAX(0,B840*(1+C840/12)-D840-F840)),IF(AND($B$171=1,I839=1),B840,""))</x:f>
        <x:v>0</x:v>
      </x:c>
      <x:c r="I840" s="444" t="n">
        <x:f>IF(OR(I839=1,AND(E840&gt;0,$B$78&lt;&gt;"Cash payoff",NOT(AND($B$78="Refinance",ISNUMBER($B$80),$B$80&gt;=0,$B$80&lt;=1,ROUND($B$81*12,0)&gt;=1,$B$81&lt;=100,SUM($B$82)&gt;=0,SUM($B$82)&lt;=1,SUM($B$83)&gt;=0))),AND(ISNUMBER(B840),B840&gt;0,$B$171=1,NOT(ISNUMBER(D840)))),1,0)</x:f>
        <x:v>0</x:v>
      </x:c>
      <x:c r="J840" s="440" t="n">
        <x:f>IF(ISNUMBER(L839),L839,"")</x:f>
        <x:v>0</x:v>
      </x:c>
      <x:c r="K840" s="440" t="n">
        <x:f>IF(AND(ISNUMBER(J840),J840=0),0,IF(AND($B$176=1,ISNUMBER(J840)),MIN(J840*(1+$B$87/12),IF($B$86=0,0,IF($B$87=0,$B$86/ROUND($B$88*12,0),$B$86*($B$87/12)/(1-(1+$B$87/12)^(-ROUND($B$88*12,0)))))),""))</x:f>
        <x:v>0</x:v>
      </x:c>
      <x:c r="L840" s="440" t="n">
        <x:f>IF(ISNUMBER(K840),IF(MAX(0,J840*(1+SUM($B$87)/12)-K840)&lt;MAX(0.0000001,$B$86*0.00000000001),0,MAX(0,J840*(1+SUM($B$87)/12)-K840)),"")</x:f>
        <x:v>0</x:v>
      </x:c>
      <x:c r="M840" s="440" t="n">
        <x:f>IF(AND(ISNUMBER(D840),ISNUMBER(K840)),D840+K840,"")</x:f>
        <x:v>0</x:v>
      </x:c>
      <x:c r="N840" s="440" t="n">
        <x:f>IF(AND(ISNUMBER(H840),ISNUMBER(L840)),H840+L840,"")</x:f>
        <x:v>0</x:v>
      </x:c>
    </x:row>
    <x:row r="841" ht="22" customHeight="1">
      <x:c r="A841" s="254" t="n">
        <x:f>441</x:f>
        <x:v>441</x:v>
      </x:c>
      <x:c r="B841" s="440" t="n">
        <x:f>IF(ISNUMBER(H840),H840,"")</x:f>
        <x:v>0</x:v>
      </x:c>
      <x:c r="C841" s="442" t="n">
        <x:f>IF(ISNUMBER(B841),IF(AND(441&gt;$B$173,$B$78="Refinance",ISNUMBER($B$80),$B$80&gt;=0,$B$80&lt;=1,ROUND($B$81*12,0)&gt;=1,$B$81&lt;=100,SUM($B$82)&gt;=0,SUM($B$82)&lt;=1,SUM($B$83)&gt;=0),$B$80,IF(AND($B$175&gt;0,441&gt;$B$175,ISNUMBER($B$75)),$B$75,$B$61)),"")</x:f>
        <x:v>0.0625</x:v>
      </x:c>
      <x:c r="D841" s="440" t="n">
        <x:f>IF(AND(ISNUMBER(B841),B841=0),0,IF(AND($B$171=1,I840=0,ISNUMBER(C841),ISNUMBER(IF(AND(441&lt;=$B$174,441&lt;=$B$173),B841*C841/12,IF(AND(441=$B$173+1,AND(441&gt;$B$173,$B$78="Refinance",ISNUMBER($B$80),$B$80&gt;=0,$B$80&lt;=1,ROUND($B$81*12,0)&gt;=1,$B$81&lt;=100,SUM($B$82)&gt;=0,SUM($B$82)&lt;=1,SUM($B$83)&gt;=0)),IF(B841=0,0,IF(C841=0,B841/ROUND($B$81*12,0),B841*(C841/12)/(1-(1+C841/12)^(-ROUND($B$81*12,0))))),IF(AND(NOT(AND(441&gt;$B$173,$B$78="Refinance",ISNUMBER($B$80),$B$80&gt;=0,$B$80&lt;=1,ROUND($B$81*12,0)&gt;=1,$B$81&lt;=100,SUM($B$82)&gt;=0,SUM($B$82)&lt;=1,SUM($B$83)&gt;=0)),OR(441=1,441=$B$174+1,AND($B$175&gt;0,441=$B$175+1))),IF(AND($B$170=1,$B$66&gt;0,OR($B$175=0,441&lt;=$B$175)),$B$66,IF($B$172-MAX(441-1,$B$174)&gt;0,IF(B841=0,0,IF(C841=0,B841/($B$172-MAX(441-1,$B$174)),B841*(C841/12)/(1-(1+C841/12)^(-($B$172-MAX(441-1,$B$174)))))),"")),D840))))),IF(IF(AND(441&lt;=$B$174,441&lt;=$B$173),B841*C841/12,IF(AND(441=$B$173+1,AND(441&gt;$B$173,$B$78="Refinance",ISNUMBER($B$80),$B$80&gt;=0,$B$80&lt;=1,ROUND($B$81*12,0)&gt;=1,$B$81&lt;=100,SUM($B$82)&gt;=0,SUM($B$82)&lt;=1,SUM($B$83)&gt;=0)),IF(B841=0,0,IF(C841=0,B841/ROUND($B$81*12,0),B841*(C841/12)/(1-(1+C841/12)^(-ROUND($B$81*12,0))))),IF(AND(NOT(AND(441&gt;$B$173,$B$78="Refinance",ISNUMBER($B$80),$B$80&gt;=0,$B$80&lt;=1,ROUND($B$81*12,0)&gt;=1,$B$81&lt;=100,SUM($B$82)&gt;=0,SUM($B$82)&lt;=1,SUM($B$83)&gt;=0)),OR(441=1,441=$B$174+1,AND($B$175&gt;0,441=$B$175+1))),IF(AND($B$170=1,$B$66&gt;0,OR($B$175=0,441&lt;=$B$175)),$B$66,IF($B$172-MAX(441-1,$B$174)&gt;0,IF(B841=0,0,IF(C841=0,B841/($B$172-MAX(441-1,$B$174)),B841*(C841/12)/(1-(1+C841/12)^(-($B$172-MAX(441-1,$B$174)))))),"")),D840)))+0.0000001&gt;=B841*C841/12,MIN(B841*(1+C841/12),IF(AND(441&lt;=$B$174,441&lt;=$B$173),B841*C841/12,IF(AND(441=$B$173+1,AND(441&gt;$B$173,$B$78="Refinance",ISNUMBER($B$80),$B$80&gt;=0,$B$80&lt;=1,ROUND($B$81*12,0)&gt;=1,$B$81&lt;=100,SUM($B$82)&gt;=0,SUM($B$82)&lt;=1,SUM($B$83)&gt;=0)),IF(B841=0,0,IF(C841=0,B841/ROUND($B$81*12,0),B841*(C841/12)/(1-(1+C841/12)^(-ROUND($B$81*12,0))))),IF(AND(NOT(AND(441&gt;$B$173,$B$78="Refinance",ISNUMBER($B$80),$B$80&gt;=0,$B$80&lt;=1,ROUND($B$81*12,0)&gt;=1,$B$81&lt;=100,SUM($B$82)&gt;=0,SUM($B$82)&lt;=1,SUM($B$83)&gt;=0)),OR(441=1,441=$B$174+1,AND($B$175&gt;0,441=$B$175+1))),IF(AND($B$170=1,$B$66&gt;0,OR($B$175=0,441&lt;=$B$175)),$B$66,IF($B$172-MAX(441-1,$B$174)&gt;0,IF(B841=0,0,IF(C841=0,B841/($B$172-MAX(441-1,$B$174)),B841*(C841/12)/(1-(1+C841/12)^(-($B$172-MAX(441-1,$B$174)))))),"")),D840)))),""),""))</x:f>
        <x:v>0</x:v>
      </x:c>
      <x:c r="E841" s="440" t="n">
        <x:f>IF(AND(441=$B$173,ISNUMBER(D841)),IF(MAX(0,B841*(1+C841/12)-D841)&lt;MAX(0.0000001,$E$17*0.00000000001),0,MAX(0,B841*(1+C841/12)-D841)),0)</x:f>
        <x:v>0</x:v>
      </x:c>
      <x:c r="F841" s="440" t="n">
        <x:f>IF($B$78="Cash payoff",E841,0)</x:f>
        <x:v>0</x:v>
      </x:c>
      <x:c r="G841" s="440" t="n">
        <x:f>IF(AND(E841&gt;0,AND($B$78="Refinance",ISNUMBER($B$80),$B$80&gt;=0,$B$80&lt;=1,ROUND($B$81*12,0)&gt;=1,$B$81&lt;=100,SUM($B$82)&gt;=0,SUM($B$82)&lt;=1,SUM($B$83)&gt;=0)),E841*SUM($B$82)+SUM($B$83),0)</x:f>
        <x:v>0</x:v>
      </x:c>
      <x:c r="H841" s="440" t="n">
        <x:f>IF(ISNUMBER(D841),IF(MAX(0,B841*(1+C841/12)-D841-F841)&lt;MAX(0.0000001,$E$17*0.00000000001),0,MAX(0,B841*(1+C841/12)-D841-F841)),IF(AND($B$171=1,I840=1),B841,""))</x:f>
        <x:v>0</x:v>
      </x:c>
      <x:c r="I841" s="444" t="n">
        <x:f>IF(OR(I840=1,AND(E841&gt;0,$B$78&lt;&gt;"Cash payoff",NOT(AND($B$78="Refinance",ISNUMBER($B$80),$B$80&gt;=0,$B$80&lt;=1,ROUND($B$81*12,0)&gt;=1,$B$81&lt;=100,SUM($B$82)&gt;=0,SUM($B$82)&lt;=1,SUM($B$83)&gt;=0))),AND(ISNUMBER(B841),B841&gt;0,$B$171=1,NOT(ISNUMBER(D841)))),1,0)</x:f>
        <x:v>0</x:v>
      </x:c>
      <x:c r="J841" s="440" t="n">
        <x:f>IF(ISNUMBER(L840),L840,"")</x:f>
        <x:v>0</x:v>
      </x:c>
      <x:c r="K841" s="440" t="n">
        <x:f>IF(AND(ISNUMBER(J841),J841=0),0,IF(AND($B$176=1,ISNUMBER(J841)),MIN(J841*(1+$B$87/12),IF($B$86=0,0,IF($B$87=0,$B$86/ROUND($B$88*12,0),$B$86*($B$87/12)/(1-(1+$B$87/12)^(-ROUND($B$88*12,0)))))),""))</x:f>
        <x:v>0</x:v>
      </x:c>
      <x:c r="L841" s="440" t="n">
        <x:f>IF(ISNUMBER(K841),IF(MAX(0,J841*(1+SUM($B$87)/12)-K841)&lt;MAX(0.0000001,$B$86*0.00000000001),0,MAX(0,J841*(1+SUM($B$87)/12)-K841)),"")</x:f>
        <x:v>0</x:v>
      </x:c>
      <x:c r="M841" s="440" t="n">
        <x:f>IF(AND(ISNUMBER(D841),ISNUMBER(K841)),D841+K841,"")</x:f>
        <x:v>0</x:v>
      </x:c>
      <x:c r="N841" s="440" t="n">
        <x:f>IF(AND(ISNUMBER(H841),ISNUMBER(L841)),H841+L841,"")</x:f>
        <x:v>0</x:v>
      </x:c>
    </x:row>
    <x:row r="842" ht="22" customHeight="1">
      <x:c r="A842" s="254" t="n">
        <x:f>442</x:f>
        <x:v>442</x:v>
      </x:c>
      <x:c r="B842" s="440" t="n">
        <x:f>IF(ISNUMBER(H841),H841,"")</x:f>
        <x:v>0</x:v>
      </x:c>
      <x:c r="C842" s="442" t="n">
        <x:f>IF(ISNUMBER(B842),IF(AND(442&gt;$B$173,$B$78="Refinance",ISNUMBER($B$80),$B$80&gt;=0,$B$80&lt;=1,ROUND($B$81*12,0)&gt;=1,$B$81&lt;=100,SUM($B$82)&gt;=0,SUM($B$82)&lt;=1,SUM($B$83)&gt;=0),$B$80,IF(AND($B$175&gt;0,442&gt;$B$175,ISNUMBER($B$75)),$B$75,$B$61)),"")</x:f>
        <x:v>0.0625</x:v>
      </x:c>
      <x:c r="D842" s="440" t="n">
        <x:f>IF(AND(ISNUMBER(B842),B842=0),0,IF(AND($B$171=1,I841=0,ISNUMBER(C842),ISNUMBER(IF(AND(442&lt;=$B$174,442&lt;=$B$173),B842*C842/12,IF(AND(442=$B$173+1,AND(442&gt;$B$173,$B$78="Refinance",ISNUMBER($B$80),$B$80&gt;=0,$B$80&lt;=1,ROUND($B$81*12,0)&gt;=1,$B$81&lt;=100,SUM($B$82)&gt;=0,SUM($B$82)&lt;=1,SUM($B$83)&gt;=0)),IF(B842=0,0,IF(C842=0,B842/ROUND($B$81*12,0),B842*(C842/12)/(1-(1+C842/12)^(-ROUND($B$81*12,0))))),IF(AND(NOT(AND(442&gt;$B$173,$B$78="Refinance",ISNUMBER($B$80),$B$80&gt;=0,$B$80&lt;=1,ROUND($B$81*12,0)&gt;=1,$B$81&lt;=100,SUM($B$82)&gt;=0,SUM($B$82)&lt;=1,SUM($B$83)&gt;=0)),OR(442=1,442=$B$174+1,AND($B$175&gt;0,442=$B$175+1))),IF(AND($B$170=1,$B$66&gt;0,OR($B$175=0,442&lt;=$B$175)),$B$66,IF($B$172-MAX(442-1,$B$174)&gt;0,IF(B842=0,0,IF(C842=0,B842/($B$172-MAX(442-1,$B$174)),B842*(C842/12)/(1-(1+C842/12)^(-($B$172-MAX(442-1,$B$174)))))),"")),D841))))),IF(IF(AND(442&lt;=$B$174,442&lt;=$B$173),B842*C842/12,IF(AND(442=$B$173+1,AND(442&gt;$B$173,$B$78="Refinance",ISNUMBER($B$80),$B$80&gt;=0,$B$80&lt;=1,ROUND($B$81*12,0)&gt;=1,$B$81&lt;=100,SUM($B$82)&gt;=0,SUM($B$82)&lt;=1,SUM($B$83)&gt;=0)),IF(B842=0,0,IF(C842=0,B842/ROUND($B$81*12,0),B842*(C842/12)/(1-(1+C842/12)^(-ROUND($B$81*12,0))))),IF(AND(NOT(AND(442&gt;$B$173,$B$78="Refinance",ISNUMBER($B$80),$B$80&gt;=0,$B$80&lt;=1,ROUND($B$81*12,0)&gt;=1,$B$81&lt;=100,SUM($B$82)&gt;=0,SUM($B$82)&lt;=1,SUM($B$83)&gt;=0)),OR(442=1,442=$B$174+1,AND($B$175&gt;0,442=$B$175+1))),IF(AND($B$170=1,$B$66&gt;0,OR($B$175=0,442&lt;=$B$175)),$B$66,IF($B$172-MAX(442-1,$B$174)&gt;0,IF(B842=0,0,IF(C842=0,B842/($B$172-MAX(442-1,$B$174)),B842*(C842/12)/(1-(1+C842/12)^(-($B$172-MAX(442-1,$B$174)))))),"")),D841)))+0.0000001&gt;=B842*C842/12,MIN(B842*(1+C842/12),IF(AND(442&lt;=$B$174,442&lt;=$B$173),B842*C842/12,IF(AND(442=$B$173+1,AND(442&gt;$B$173,$B$78="Refinance",ISNUMBER($B$80),$B$80&gt;=0,$B$80&lt;=1,ROUND($B$81*12,0)&gt;=1,$B$81&lt;=100,SUM($B$82)&gt;=0,SUM($B$82)&lt;=1,SUM($B$83)&gt;=0)),IF(B842=0,0,IF(C842=0,B842/ROUND($B$81*12,0),B842*(C842/12)/(1-(1+C842/12)^(-ROUND($B$81*12,0))))),IF(AND(NOT(AND(442&gt;$B$173,$B$78="Refinance",ISNUMBER($B$80),$B$80&gt;=0,$B$80&lt;=1,ROUND($B$81*12,0)&gt;=1,$B$81&lt;=100,SUM($B$82)&gt;=0,SUM($B$82)&lt;=1,SUM($B$83)&gt;=0)),OR(442=1,442=$B$174+1,AND($B$175&gt;0,442=$B$175+1))),IF(AND($B$170=1,$B$66&gt;0,OR($B$175=0,442&lt;=$B$175)),$B$66,IF($B$172-MAX(442-1,$B$174)&gt;0,IF(B842=0,0,IF(C842=0,B842/($B$172-MAX(442-1,$B$174)),B842*(C842/12)/(1-(1+C842/12)^(-($B$172-MAX(442-1,$B$174)))))),"")),D841)))),""),""))</x:f>
        <x:v>0</x:v>
      </x:c>
      <x:c r="E842" s="440" t="n">
        <x:f>IF(AND(442=$B$173,ISNUMBER(D842)),IF(MAX(0,B842*(1+C842/12)-D842)&lt;MAX(0.0000001,$E$17*0.00000000001),0,MAX(0,B842*(1+C842/12)-D842)),0)</x:f>
        <x:v>0</x:v>
      </x:c>
      <x:c r="F842" s="440" t="n">
        <x:f>IF($B$78="Cash payoff",E842,0)</x:f>
        <x:v>0</x:v>
      </x:c>
      <x:c r="G842" s="440" t="n">
        <x:f>IF(AND(E842&gt;0,AND($B$78="Refinance",ISNUMBER($B$80),$B$80&gt;=0,$B$80&lt;=1,ROUND($B$81*12,0)&gt;=1,$B$81&lt;=100,SUM($B$82)&gt;=0,SUM($B$82)&lt;=1,SUM($B$83)&gt;=0)),E842*SUM($B$82)+SUM($B$83),0)</x:f>
        <x:v>0</x:v>
      </x:c>
      <x:c r="H842" s="440" t="n">
        <x:f>IF(ISNUMBER(D842),IF(MAX(0,B842*(1+C842/12)-D842-F842)&lt;MAX(0.0000001,$E$17*0.00000000001),0,MAX(0,B842*(1+C842/12)-D842-F842)),IF(AND($B$171=1,I841=1),B842,""))</x:f>
        <x:v>0</x:v>
      </x:c>
      <x:c r="I842" s="444" t="n">
        <x:f>IF(OR(I841=1,AND(E842&gt;0,$B$78&lt;&gt;"Cash payoff",NOT(AND($B$78="Refinance",ISNUMBER($B$80),$B$80&gt;=0,$B$80&lt;=1,ROUND($B$81*12,0)&gt;=1,$B$81&lt;=100,SUM($B$82)&gt;=0,SUM($B$82)&lt;=1,SUM($B$83)&gt;=0))),AND(ISNUMBER(B842),B842&gt;0,$B$171=1,NOT(ISNUMBER(D842)))),1,0)</x:f>
        <x:v>0</x:v>
      </x:c>
      <x:c r="J842" s="440" t="n">
        <x:f>IF(ISNUMBER(L841),L841,"")</x:f>
        <x:v>0</x:v>
      </x:c>
      <x:c r="K842" s="440" t="n">
        <x:f>IF(AND(ISNUMBER(J842),J842=0),0,IF(AND($B$176=1,ISNUMBER(J842)),MIN(J842*(1+$B$87/12),IF($B$86=0,0,IF($B$87=0,$B$86/ROUND($B$88*12,0),$B$86*($B$87/12)/(1-(1+$B$87/12)^(-ROUND($B$88*12,0)))))),""))</x:f>
        <x:v>0</x:v>
      </x:c>
      <x:c r="L842" s="440" t="n">
        <x:f>IF(ISNUMBER(K842),IF(MAX(0,J842*(1+SUM($B$87)/12)-K842)&lt;MAX(0.0000001,$B$86*0.00000000001),0,MAX(0,J842*(1+SUM($B$87)/12)-K842)),"")</x:f>
        <x:v>0</x:v>
      </x:c>
      <x:c r="M842" s="440" t="n">
        <x:f>IF(AND(ISNUMBER(D842),ISNUMBER(K842)),D842+K842,"")</x:f>
        <x:v>0</x:v>
      </x:c>
      <x:c r="N842" s="440" t="n">
        <x:f>IF(AND(ISNUMBER(H842),ISNUMBER(L842)),H842+L842,"")</x:f>
        <x:v>0</x:v>
      </x:c>
    </x:row>
    <x:row r="843" ht="22" customHeight="1">
      <x:c r="A843" s="254" t="n">
        <x:f>443</x:f>
        <x:v>443</x:v>
      </x:c>
      <x:c r="B843" s="440" t="n">
        <x:f>IF(ISNUMBER(H842),H842,"")</x:f>
        <x:v>0</x:v>
      </x:c>
      <x:c r="C843" s="442" t="n">
        <x:f>IF(ISNUMBER(B843),IF(AND(443&gt;$B$173,$B$78="Refinance",ISNUMBER($B$80),$B$80&gt;=0,$B$80&lt;=1,ROUND($B$81*12,0)&gt;=1,$B$81&lt;=100,SUM($B$82)&gt;=0,SUM($B$82)&lt;=1,SUM($B$83)&gt;=0),$B$80,IF(AND($B$175&gt;0,443&gt;$B$175,ISNUMBER($B$75)),$B$75,$B$61)),"")</x:f>
        <x:v>0.0625</x:v>
      </x:c>
      <x:c r="D843" s="440" t="n">
        <x:f>IF(AND(ISNUMBER(B843),B843=0),0,IF(AND($B$171=1,I842=0,ISNUMBER(C843),ISNUMBER(IF(AND(443&lt;=$B$174,443&lt;=$B$173),B843*C843/12,IF(AND(443=$B$173+1,AND(443&gt;$B$173,$B$78="Refinance",ISNUMBER($B$80),$B$80&gt;=0,$B$80&lt;=1,ROUND($B$81*12,0)&gt;=1,$B$81&lt;=100,SUM($B$82)&gt;=0,SUM($B$82)&lt;=1,SUM($B$83)&gt;=0)),IF(B843=0,0,IF(C843=0,B843/ROUND($B$81*12,0),B843*(C843/12)/(1-(1+C843/12)^(-ROUND($B$81*12,0))))),IF(AND(NOT(AND(443&gt;$B$173,$B$78="Refinance",ISNUMBER($B$80),$B$80&gt;=0,$B$80&lt;=1,ROUND($B$81*12,0)&gt;=1,$B$81&lt;=100,SUM($B$82)&gt;=0,SUM($B$82)&lt;=1,SUM($B$83)&gt;=0)),OR(443=1,443=$B$174+1,AND($B$175&gt;0,443=$B$175+1))),IF(AND($B$170=1,$B$66&gt;0,OR($B$175=0,443&lt;=$B$175)),$B$66,IF($B$172-MAX(443-1,$B$174)&gt;0,IF(B843=0,0,IF(C843=0,B843/($B$172-MAX(443-1,$B$174)),B843*(C843/12)/(1-(1+C843/12)^(-($B$172-MAX(443-1,$B$174)))))),"")),D842))))),IF(IF(AND(443&lt;=$B$174,443&lt;=$B$173),B843*C843/12,IF(AND(443=$B$173+1,AND(443&gt;$B$173,$B$78="Refinance",ISNUMBER($B$80),$B$80&gt;=0,$B$80&lt;=1,ROUND($B$81*12,0)&gt;=1,$B$81&lt;=100,SUM($B$82)&gt;=0,SUM($B$82)&lt;=1,SUM($B$83)&gt;=0)),IF(B843=0,0,IF(C843=0,B843/ROUND($B$81*12,0),B843*(C843/12)/(1-(1+C843/12)^(-ROUND($B$81*12,0))))),IF(AND(NOT(AND(443&gt;$B$173,$B$78="Refinance",ISNUMBER($B$80),$B$80&gt;=0,$B$80&lt;=1,ROUND($B$81*12,0)&gt;=1,$B$81&lt;=100,SUM($B$82)&gt;=0,SUM($B$82)&lt;=1,SUM($B$83)&gt;=0)),OR(443=1,443=$B$174+1,AND($B$175&gt;0,443=$B$175+1))),IF(AND($B$170=1,$B$66&gt;0,OR($B$175=0,443&lt;=$B$175)),$B$66,IF($B$172-MAX(443-1,$B$174)&gt;0,IF(B843=0,0,IF(C843=0,B843/($B$172-MAX(443-1,$B$174)),B843*(C843/12)/(1-(1+C843/12)^(-($B$172-MAX(443-1,$B$174)))))),"")),D842)))+0.0000001&gt;=B843*C843/12,MIN(B843*(1+C843/12),IF(AND(443&lt;=$B$174,443&lt;=$B$173),B843*C843/12,IF(AND(443=$B$173+1,AND(443&gt;$B$173,$B$78="Refinance",ISNUMBER($B$80),$B$80&gt;=0,$B$80&lt;=1,ROUND($B$81*12,0)&gt;=1,$B$81&lt;=100,SUM($B$82)&gt;=0,SUM($B$82)&lt;=1,SUM($B$83)&gt;=0)),IF(B843=0,0,IF(C843=0,B843/ROUND($B$81*12,0),B843*(C843/12)/(1-(1+C843/12)^(-ROUND($B$81*12,0))))),IF(AND(NOT(AND(443&gt;$B$173,$B$78="Refinance",ISNUMBER($B$80),$B$80&gt;=0,$B$80&lt;=1,ROUND($B$81*12,0)&gt;=1,$B$81&lt;=100,SUM($B$82)&gt;=0,SUM($B$82)&lt;=1,SUM($B$83)&gt;=0)),OR(443=1,443=$B$174+1,AND($B$175&gt;0,443=$B$175+1))),IF(AND($B$170=1,$B$66&gt;0,OR($B$175=0,443&lt;=$B$175)),$B$66,IF($B$172-MAX(443-1,$B$174)&gt;0,IF(B843=0,0,IF(C843=0,B843/($B$172-MAX(443-1,$B$174)),B843*(C843/12)/(1-(1+C843/12)^(-($B$172-MAX(443-1,$B$174)))))),"")),D842)))),""),""))</x:f>
        <x:v>0</x:v>
      </x:c>
      <x:c r="E843" s="440" t="n">
        <x:f>IF(AND(443=$B$173,ISNUMBER(D843)),IF(MAX(0,B843*(1+C843/12)-D843)&lt;MAX(0.0000001,$E$17*0.00000000001),0,MAX(0,B843*(1+C843/12)-D843)),0)</x:f>
        <x:v>0</x:v>
      </x:c>
      <x:c r="F843" s="440" t="n">
        <x:f>IF($B$78="Cash payoff",E843,0)</x:f>
        <x:v>0</x:v>
      </x:c>
      <x:c r="G843" s="440" t="n">
        <x:f>IF(AND(E843&gt;0,AND($B$78="Refinance",ISNUMBER($B$80),$B$80&gt;=0,$B$80&lt;=1,ROUND($B$81*12,0)&gt;=1,$B$81&lt;=100,SUM($B$82)&gt;=0,SUM($B$82)&lt;=1,SUM($B$83)&gt;=0)),E843*SUM($B$82)+SUM($B$83),0)</x:f>
        <x:v>0</x:v>
      </x:c>
      <x:c r="H843" s="440" t="n">
        <x:f>IF(ISNUMBER(D843),IF(MAX(0,B843*(1+C843/12)-D843-F843)&lt;MAX(0.0000001,$E$17*0.00000000001),0,MAX(0,B843*(1+C843/12)-D843-F843)),IF(AND($B$171=1,I842=1),B843,""))</x:f>
        <x:v>0</x:v>
      </x:c>
      <x:c r="I843" s="444" t="n">
        <x:f>IF(OR(I842=1,AND(E843&gt;0,$B$78&lt;&gt;"Cash payoff",NOT(AND($B$78="Refinance",ISNUMBER($B$80),$B$80&gt;=0,$B$80&lt;=1,ROUND($B$81*12,0)&gt;=1,$B$81&lt;=100,SUM($B$82)&gt;=0,SUM($B$82)&lt;=1,SUM($B$83)&gt;=0))),AND(ISNUMBER(B843),B843&gt;0,$B$171=1,NOT(ISNUMBER(D843)))),1,0)</x:f>
        <x:v>0</x:v>
      </x:c>
      <x:c r="J843" s="440" t="n">
        <x:f>IF(ISNUMBER(L842),L842,"")</x:f>
        <x:v>0</x:v>
      </x:c>
      <x:c r="K843" s="440" t="n">
        <x:f>IF(AND(ISNUMBER(J843),J843=0),0,IF(AND($B$176=1,ISNUMBER(J843)),MIN(J843*(1+$B$87/12),IF($B$86=0,0,IF($B$87=0,$B$86/ROUND($B$88*12,0),$B$86*($B$87/12)/(1-(1+$B$87/12)^(-ROUND($B$88*12,0)))))),""))</x:f>
        <x:v>0</x:v>
      </x:c>
      <x:c r="L843" s="440" t="n">
        <x:f>IF(ISNUMBER(K843),IF(MAX(0,J843*(1+SUM($B$87)/12)-K843)&lt;MAX(0.0000001,$B$86*0.00000000001),0,MAX(0,J843*(1+SUM($B$87)/12)-K843)),"")</x:f>
        <x:v>0</x:v>
      </x:c>
      <x:c r="M843" s="440" t="n">
        <x:f>IF(AND(ISNUMBER(D843),ISNUMBER(K843)),D843+K843,"")</x:f>
        <x:v>0</x:v>
      </x:c>
      <x:c r="N843" s="440" t="n">
        <x:f>IF(AND(ISNUMBER(H843),ISNUMBER(L843)),H843+L843,"")</x:f>
        <x:v>0</x:v>
      </x:c>
    </x:row>
    <x:row r="844" ht="22" customHeight="1">
      <x:c r="A844" s="254" t="n">
        <x:f>444</x:f>
        <x:v>444</x:v>
      </x:c>
      <x:c r="B844" s="440" t="n">
        <x:f>IF(ISNUMBER(H843),H843,"")</x:f>
        <x:v>0</x:v>
      </x:c>
      <x:c r="C844" s="442" t="n">
        <x:f>IF(ISNUMBER(B844),IF(AND(444&gt;$B$173,$B$78="Refinance",ISNUMBER($B$80),$B$80&gt;=0,$B$80&lt;=1,ROUND($B$81*12,0)&gt;=1,$B$81&lt;=100,SUM($B$82)&gt;=0,SUM($B$82)&lt;=1,SUM($B$83)&gt;=0),$B$80,IF(AND($B$175&gt;0,444&gt;$B$175,ISNUMBER($B$75)),$B$75,$B$61)),"")</x:f>
        <x:v>0.0625</x:v>
      </x:c>
      <x:c r="D844" s="440" t="n">
        <x:f>IF(AND(ISNUMBER(B844),B844=0),0,IF(AND($B$171=1,I843=0,ISNUMBER(C844),ISNUMBER(IF(AND(444&lt;=$B$174,444&lt;=$B$173),B844*C844/12,IF(AND(444=$B$173+1,AND(444&gt;$B$173,$B$78="Refinance",ISNUMBER($B$80),$B$80&gt;=0,$B$80&lt;=1,ROUND($B$81*12,0)&gt;=1,$B$81&lt;=100,SUM($B$82)&gt;=0,SUM($B$82)&lt;=1,SUM($B$83)&gt;=0)),IF(B844=0,0,IF(C844=0,B844/ROUND($B$81*12,0),B844*(C844/12)/(1-(1+C844/12)^(-ROUND($B$81*12,0))))),IF(AND(NOT(AND(444&gt;$B$173,$B$78="Refinance",ISNUMBER($B$80),$B$80&gt;=0,$B$80&lt;=1,ROUND($B$81*12,0)&gt;=1,$B$81&lt;=100,SUM($B$82)&gt;=0,SUM($B$82)&lt;=1,SUM($B$83)&gt;=0)),OR(444=1,444=$B$174+1,AND($B$175&gt;0,444=$B$175+1))),IF(AND($B$170=1,$B$66&gt;0,OR($B$175=0,444&lt;=$B$175)),$B$66,IF($B$172-MAX(444-1,$B$174)&gt;0,IF(B844=0,0,IF(C844=0,B844/($B$172-MAX(444-1,$B$174)),B844*(C844/12)/(1-(1+C844/12)^(-($B$172-MAX(444-1,$B$174)))))),"")),D843))))),IF(IF(AND(444&lt;=$B$174,444&lt;=$B$173),B844*C844/12,IF(AND(444=$B$173+1,AND(444&gt;$B$173,$B$78="Refinance",ISNUMBER($B$80),$B$80&gt;=0,$B$80&lt;=1,ROUND($B$81*12,0)&gt;=1,$B$81&lt;=100,SUM($B$82)&gt;=0,SUM($B$82)&lt;=1,SUM($B$83)&gt;=0)),IF(B844=0,0,IF(C844=0,B844/ROUND($B$81*12,0),B844*(C844/12)/(1-(1+C844/12)^(-ROUND($B$81*12,0))))),IF(AND(NOT(AND(444&gt;$B$173,$B$78="Refinance",ISNUMBER($B$80),$B$80&gt;=0,$B$80&lt;=1,ROUND($B$81*12,0)&gt;=1,$B$81&lt;=100,SUM($B$82)&gt;=0,SUM($B$82)&lt;=1,SUM($B$83)&gt;=0)),OR(444=1,444=$B$174+1,AND($B$175&gt;0,444=$B$175+1))),IF(AND($B$170=1,$B$66&gt;0,OR($B$175=0,444&lt;=$B$175)),$B$66,IF($B$172-MAX(444-1,$B$174)&gt;0,IF(B844=0,0,IF(C844=0,B844/($B$172-MAX(444-1,$B$174)),B844*(C844/12)/(1-(1+C844/12)^(-($B$172-MAX(444-1,$B$174)))))),"")),D843)))+0.0000001&gt;=B844*C844/12,MIN(B844*(1+C844/12),IF(AND(444&lt;=$B$174,444&lt;=$B$173),B844*C844/12,IF(AND(444=$B$173+1,AND(444&gt;$B$173,$B$78="Refinance",ISNUMBER($B$80),$B$80&gt;=0,$B$80&lt;=1,ROUND($B$81*12,0)&gt;=1,$B$81&lt;=100,SUM($B$82)&gt;=0,SUM($B$82)&lt;=1,SUM($B$83)&gt;=0)),IF(B844=0,0,IF(C844=0,B844/ROUND($B$81*12,0),B844*(C844/12)/(1-(1+C844/12)^(-ROUND($B$81*12,0))))),IF(AND(NOT(AND(444&gt;$B$173,$B$78="Refinance",ISNUMBER($B$80),$B$80&gt;=0,$B$80&lt;=1,ROUND($B$81*12,0)&gt;=1,$B$81&lt;=100,SUM($B$82)&gt;=0,SUM($B$82)&lt;=1,SUM($B$83)&gt;=0)),OR(444=1,444=$B$174+1,AND($B$175&gt;0,444=$B$175+1))),IF(AND($B$170=1,$B$66&gt;0,OR($B$175=0,444&lt;=$B$175)),$B$66,IF($B$172-MAX(444-1,$B$174)&gt;0,IF(B844=0,0,IF(C844=0,B844/($B$172-MAX(444-1,$B$174)),B844*(C844/12)/(1-(1+C844/12)^(-($B$172-MAX(444-1,$B$174)))))),"")),D843)))),""),""))</x:f>
        <x:v>0</x:v>
      </x:c>
      <x:c r="E844" s="440" t="n">
        <x:f>IF(AND(444=$B$173,ISNUMBER(D844)),IF(MAX(0,B844*(1+C844/12)-D844)&lt;MAX(0.0000001,$E$17*0.00000000001),0,MAX(0,B844*(1+C844/12)-D844)),0)</x:f>
        <x:v>0</x:v>
      </x:c>
      <x:c r="F844" s="440" t="n">
        <x:f>IF($B$78="Cash payoff",E844,0)</x:f>
        <x:v>0</x:v>
      </x:c>
      <x:c r="G844" s="440" t="n">
        <x:f>IF(AND(E844&gt;0,AND($B$78="Refinance",ISNUMBER($B$80),$B$80&gt;=0,$B$80&lt;=1,ROUND($B$81*12,0)&gt;=1,$B$81&lt;=100,SUM($B$82)&gt;=0,SUM($B$82)&lt;=1,SUM($B$83)&gt;=0)),E844*SUM($B$82)+SUM($B$83),0)</x:f>
        <x:v>0</x:v>
      </x:c>
      <x:c r="H844" s="440" t="n">
        <x:f>IF(ISNUMBER(D844),IF(MAX(0,B844*(1+C844/12)-D844-F844)&lt;MAX(0.0000001,$E$17*0.00000000001),0,MAX(0,B844*(1+C844/12)-D844-F844)),IF(AND($B$171=1,I843=1),B844,""))</x:f>
        <x:v>0</x:v>
      </x:c>
      <x:c r="I844" s="444" t="n">
        <x:f>IF(OR(I843=1,AND(E844&gt;0,$B$78&lt;&gt;"Cash payoff",NOT(AND($B$78="Refinance",ISNUMBER($B$80),$B$80&gt;=0,$B$80&lt;=1,ROUND($B$81*12,0)&gt;=1,$B$81&lt;=100,SUM($B$82)&gt;=0,SUM($B$82)&lt;=1,SUM($B$83)&gt;=0))),AND(ISNUMBER(B844),B844&gt;0,$B$171=1,NOT(ISNUMBER(D844)))),1,0)</x:f>
        <x:v>0</x:v>
      </x:c>
      <x:c r="J844" s="440" t="n">
        <x:f>IF(ISNUMBER(L843),L843,"")</x:f>
        <x:v>0</x:v>
      </x:c>
      <x:c r="K844" s="440" t="n">
        <x:f>IF(AND(ISNUMBER(J844),J844=0),0,IF(AND($B$176=1,ISNUMBER(J844)),MIN(J844*(1+$B$87/12),IF($B$86=0,0,IF($B$87=0,$B$86/ROUND($B$88*12,0),$B$86*($B$87/12)/(1-(1+$B$87/12)^(-ROUND($B$88*12,0)))))),""))</x:f>
        <x:v>0</x:v>
      </x:c>
      <x:c r="L844" s="440" t="n">
        <x:f>IF(ISNUMBER(K844),IF(MAX(0,J844*(1+SUM($B$87)/12)-K844)&lt;MAX(0.0000001,$B$86*0.00000000001),0,MAX(0,J844*(1+SUM($B$87)/12)-K844)),"")</x:f>
        <x:v>0</x:v>
      </x:c>
      <x:c r="M844" s="440" t="n">
        <x:f>IF(AND(ISNUMBER(D844),ISNUMBER(K844)),D844+K844,"")</x:f>
        <x:v>0</x:v>
      </x:c>
      <x:c r="N844" s="440" t="n">
        <x:f>IF(AND(ISNUMBER(H844),ISNUMBER(L844)),H844+L844,"")</x:f>
        <x:v>0</x:v>
      </x:c>
    </x:row>
    <x:row r="845" ht="22" customHeight="1">
      <x:c r="A845" s="254" t="n">
        <x:f>445</x:f>
        <x:v>445</x:v>
      </x:c>
      <x:c r="B845" s="440" t="n">
        <x:f>IF(ISNUMBER(H844),H844,"")</x:f>
        <x:v>0</x:v>
      </x:c>
      <x:c r="C845" s="442" t="n">
        <x:f>IF(ISNUMBER(B845),IF(AND(445&gt;$B$173,$B$78="Refinance",ISNUMBER($B$80),$B$80&gt;=0,$B$80&lt;=1,ROUND($B$81*12,0)&gt;=1,$B$81&lt;=100,SUM($B$82)&gt;=0,SUM($B$82)&lt;=1,SUM($B$83)&gt;=0),$B$80,IF(AND($B$175&gt;0,445&gt;$B$175,ISNUMBER($B$75)),$B$75,$B$61)),"")</x:f>
        <x:v>0.0625</x:v>
      </x:c>
      <x:c r="D845" s="440" t="n">
        <x:f>IF(AND(ISNUMBER(B845),B845=0),0,IF(AND($B$171=1,I844=0,ISNUMBER(C845),ISNUMBER(IF(AND(445&lt;=$B$174,445&lt;=$B$173),B845*C845/12,IF(AND(445=$B$173+1,AND(445&gt;$B$173,$B$78="Refinance",ISNUMBER($B$80),$B$80&gt;=0,$B$80&lt;=1,ROUND($B$81*12,0)&gt;=1,$B$81&lt;=100,SUM($B$82)&gt;=0,SUM($B$82)&lt;=1,SUM($B$83)&gt;=0)),IF(B845=0,0,IF(C845=0,B845/ROUND($B$81*12,0),B845*(C845/12)/(1-(1+C845/12)^(-ROUND($B$81*12,0))))),IF(AND(NOT(AND(445&gt;$B$173,$B$78="Refinance",ISNUMBER($B$80),$B$80&gt;=0,$B$80&lt;=1,ROUND($B$81*12,0)&gt;=1,$B$81&lt;=100,SUM($B$82)&gt;=0,SUM($B$82)&lt;=1,SUM($B$83)&gt;=0)),OR(445=1,445=$B$174+1,AND($B$175&gt;0,445=$B$175+1))),IF(AND($B$170=1,$B$66&gt;0,OR($B$175=0,445&lt;=$B$175)),$B$66,IF($B$172-MAX(445-1,$B$174)&gt;0,IF(B845=0,0,IF(C845=0,B845/($B$172-MAX(445-1,$B$174)),B845*(C845/12)/(1-(1+C845/12)^(-($B$172-MAX(445-1,$B$174)))))),"")),D844))))),IF(IF(AND(445&lt;=$B$174,445&lt;=$B$173),B845*C845/12,IF(AND(445=$B$173+1,AND(445&gt;$B$173,$B$78="Refinance",ISNUMBER($B$80),$B$80&gt;=0,$B$80&lt;=1,ROUND($B$81*12,0)&gt;=1,$B$81&lt;=100,SUM($B$82)&gt;=0,SUM($B$82)&lt;=1,SUM($B$83)&gt;=0)),IF(B845=0,0,IF(C845=0,B845/ROUND($B$81*12,0),B845*(C845/12)/(1-(1+C845/12)^(-ROUND($B$81*12,0))))),IF(AND(NOT(AND(445&gt;$B$173,$B$78="Refinance",ISNUMBER($B$80),$B$80&gt;=0,$B$80&lt;=1,ROUND($B$81*12,0)&gt;=1,$B$81&lt;=100,SUM($B$82)&gt;=0,SUM($B$82)&lt;=1,SUM($B$83)&gt;=0)),OR(445=1,445=$B$174+1,AND($B$175&gt;0,445=$B$175+1))),IF(AND($B$170=1,$B$66&gt;0,OR($B$175=0,445&lt;=$B$175)),$B$66,IF($B$172-MAX(445-1,$B$174)&gt;0,IF(B845=0,0,IF(C845=0,B845/($B$172-MAX(445-1,$B$174)),B845*(C845/12)/(1-(1+C845/12)^(-($B$172-MAX(445-1,$B$174)))))),"")),D844)))+0.0000001&gt;=B845*C845/12,MIN(B845*(1+C845/12),IF(AND(445&lt;=$B$174,445&lt;=$B$173),B845*C845/12,IF(AND(445=$B$173+1,AND(445&gt;$B$173,$B$78="Refinance",ISNUMBER($B$80),$B$80&gt;=0,$B$80&lt;=1,ROUND($B$81*12,0)&gt;=1,$B$81&lt;=100,SUM($B$82)&gt;=0,SUM($B$82)&lt;=1,SUM($B$83)&gt;=0)),IF(B845=0,0,IF(C845=0,B845/ROUND($B$81*12,0),B845*(C845/12)/(1-(1+C845/12)^(-ROUND($B$81*12,0))))),IF(AND(NOT(AND(445&gt;$B$173,$B$78="Refinance",ISNUMBER($B$80),$B$80&gt;=0,$B$80&lt;=1,ROUND($B$81*12,0)&gt;=1,$B$81&lt;=100,SUM($B$82)&gt;=0,SUM($B$82)&lt;=1,SUM($B$83)&gt;=0)),OR(445=1,445=$B$174+1,AND($B$175&gt;0,445=$B$175+1))),IF(AND($B$170=1,$B$66&gt;0,OR($B$175=0,445&lt;=$B$175)),$B$66,IF($B$172-MAX(445-1,$B$174)&gt;0,IF(B845=0,0,IF(C845=0,B845/($B$172-MAX(445-1,$B$174)),B845*(C845/12)/(1-(1+C845/12)^(-($B$172-MAX(445-1,$B$174)))))),"")),D844)))),""),""))</x:f>
        <x:v>0</x:v>
      </x:c>
      <x:c r="E845" s="440" t="n">
        <x:f>IF(AND(445=$B$173,ISNUMBER(D845)),IF(MAX(0,B845*(1+C845/12)-D845)&lt;MAX(0.0000001,$E$17*0.00000000001),0,MAX(0,B845*(1+C845/12)-D845)),0)</x:f>
        <x:v>0</x:v>
      </x:c>
      <x:c r="F845" s="440" t="n">
        <x:f>IF($B$78="Cash payoff",E845,0)</x:f>
        <x:v>0</x:v>
      </x:c>
      <x:c r="G845" s="440" t="n">
        <x:f>IF(AND(E845&gt;0,AND($B$78="Refinance",ISNUMBER($B$80),$B$80&gt;=0,$B$80&lt;=1,ROUND($B$81*12,0)&gt;=1,$B$81&lt;=100,SUM($B$82)&gt;=0,SUM($B$82)&lt;=1,SUM($B$83)&gt;=0)),E845*SUM($B$82)+SUM($B$83),0)</x:f>
        <x:v>0</x:v>
      </x:c>
      <x:c r="H845" s="440" t="n">
        <x:f>IF(ISNUMBER(D845),IF(MAX(0,B845*(1+C845/12)-D845-F845)&lt;MAX(0.0000001,$E$17*0.00000000001),0,MAX(0,B845*(1+C845/12)-D845-F845)),IF(AND($B$171=1,I844=1),B845,""))</x:f>
        <x:v>0</x:v>
      </x:c>
      <x:c r="I845" s="444" t="n">
        <x:f>IF(OR(I844=1,AND(E845&gt;0,$B$78&lt;&gt;"Cash payoff",NOT(AND($B$78="Refinance",ISNUMBER($B$80),$B$80&gt;=0,$B$80&lt;=1,ROUND($B$81*12,0)&gt;=1,$B$81&lt;=100,SUM($B$82)&gt;=0,SUM($B$82)&lt;=1,SUM($B$83)&gt;=0))),AND(ISNUMBER(B845),B845&gt;0,$B$171=1,NOT(ISNUMBER(D845)))),1,0)</x:f>
        <x:v>0</x:v>
      </x:c>
      <x:c r="J845" s="440" t="n">
        <x:f>IF(ISNUMBER(L844),L844,"")</x:f>
        <x:v>0</x:v>
      </x:c>
      <x:c r="K845" s="440" t="n">
        <x:f>IF(AND(ISNUMBER(J845),J845=0),0,IF(AND($B$176=1,ISNUMBER(J845)),MIN(J845*(1+$B$87/12),IF($B$86=0,0,IF($B$87=0,$B$86/ROUND($B$88*12,0),$B$86*($B$87/12)/(1-(1+$B$87/12)^(-ROUND($B$88*12,0)))))),""))</x:f>
        <x:v>0</x:v>
      </x:c>
      <x:c r="L845" s="440" t="n">
        <x:f>IF(ISNUMBER(K845),IF(MAX(0,J845*(1+SUM($B$87)/12)-K845)&lt;MAX(0.0000001,$B$86*0.00000000001),0,MAX(0,J845*(1+SUM($B$87)/12)-K845)),"")</x:f>
        <x:v>0</x:v>
      </x:c>
      <x:c r="M845" s="440" t="n">
        <x:f>IF(AND(ISNUMBER(D845),ISNUMBER(K845)),D845+K845,"")</x:f>
        <x:v>0</x:v>
      </x:c>
      <x:c r="N845" s="440" t="n">
        <x:f>IF(AND(ISNUMBER(H845),ISNUMBER(L845)),H845+L845,"")</x:f>
        <x:v>0</x:v>
      </x:c>
    </x:row>
    <x:row r="846" ht="22" customHeight="1">
      <x:c r="A846" s="254" t="n">
        <x:f>446</x:f>
        <x:v>446</x:v>
      </x:c>
      <x:c r="B846" s="440" t="n">
        <x:f>IF(ISNUMBER(H845),H845,"")</x:f>
        <x:v>0</x:v>
      </x:c>
      <x:c r="C846" s="442" t="n">
        <x:f>IF(ISNUMBER(B846),IF(AND(446&gt;$B$173,$B$78="Refinance",ISNUMBER($B$80),$B$80&gt;=0,$B$80&lt;=1,ROUND($B$81*12,0)&gt;=1,$B$81&lt;=100,SUM($B$82)&gt;=0,SUM($B$82)&lt;=1,SUM($B$83)&gt;=0),$B$80,IF(AND($B$175&gt;0,446&gt;$B$175,ISNUMBER($B$75)),$B$75,$B$61)),"")</x:f>
        <x:v>0.0625</x:v>
      </x:c>
      <x:c r="D846" s="440" t="n">
        <x:f>IF(AND(ISNUMBER(B846),B846=0),0,IF(AND($B$171=1,I845=0,ISNUMBER(C846),ISNUMBER(IF(AND(446&lt;=$B$174,446&lt;=$B$173),B846*C846/12,IF(AND(446=$B$173+1,AND(446&gt;$B$173,$B$78="Refinance",ISNUMBER($B$80),$B$80&gt;=0,$B$80&lt;=1,ROUND($B$81*12,0)&gt;=1,$B$81&lt;=100,SUM($B$82)&gt;=0,SUM($B$82)&lt;=1,SUM($B$83)&gt;=0)),IF(B846=0,0,IF(C846=0,B846/ROUND($B$81*12,0),B846*(C846/12)/(1-(1+C846/12)^(-ROUND($B$81*12,0))))),IF(AND(NOT(AND(446&gt;$B$173,$B$78="Refinance",ISNUMBER($B$80),$B$80&gt;=0,$B$80&lt;=1,ROUND($B$81*12,0)&gt;=1,$B$81&lt;=100,SUM($B$82)&gt;=0,SUM($B$82)&lt;=1,SUM($B$83)&gt;=0)),OR(446=1,446=$B$174+1,AND($B$175&gt;0,446=$B$175+1))),IF(AND($B$170=1,$B$66&gt;0,OR($B$175=0,446&lt;=$B$175)),$B$66,IF($B$172-MAX(446-1,$B$174)&gt;0,IF(B846=0,0,IF(C846=0,B846/($B$172-MAX(446-1,$B$174)),B846*(C846/12)/(1-(1+C846/12)^(-($B$172-MAX(446-1,$B$174)))))),"")),D845))))),IF(IF(AND(446&lt;=$B$174,446&lt;=$B$173),B846*C846/12,IF(AND(446=$B$173+1,AND(446&gt;$B$173,$B$78="Refinance",ISNUMBER($B$80),$B$80&gt;=0,$B$80&lt;=1,ROUND($B$81*12,0)&gt;=1,$B$81&lt;=100,SUM($B$82)&gt;=0,SUM($B$82)&lt;=1,SUM($B$83)&gt;=0)),IF(B846=0,0,IF(C846=0,B846/ROUND($B$81*12,0),B846*(C846/12)/(1-(1+C846/12)^(-ROUND($B$81*12,0))))),IF(AND(NOT(AND(446&gt;$B$173,$B$78="Refinance",ISNUMBER($B$80),$B$80&gt;=0,$B$80&lt;=1,ROUND($B$81*12,0)&gt;=1,$B$81&lt;=100,SUM($B$82)&gt;=0,SUM($B$82)&lt;=1,SUM($B$83)&gt;=0)),OR(446=1,446=$B$174+1,AND($B$175&gt;0,446=$B$175+1))),IF(AND($B$170=1,$B$66&gt;0,OR($B$175=0,446&lt;=$B$175)),$B$66,IF($B$172-MAX(446-1,$B$174)&gt;0,IF(B846=0,0,IF(C846=0,B846/($B$172-MAX(446-1,$B$174)),B846*(C846/12)/(1-(1+C846/12)^(-($B$172-MAX(446-1,$B$174)))))),"")),D845)))+0.0000001&gt;=B846*C846/12,MIN(B846*(1+C846/12),IF(AND(446&lt;=$B$174,446&lt;=$B$173),B846*C846/12,IF(AND(446=$B$173+1,AND(446&gt;$B$173,$B$78="Refinance",ISNUMBER($B$80),$B$80&gt;=0,$B$80&lt;=1,ROUND($B$81*12,0)&gt;=1,$B$81&lt;=100,SUM($B$82)&gt;=0,SUM($B$82)&lt;=1,SUM($B$83)&gt;=0)),IF(B846=0,0,IF(C846=0,B846/ROUND($B$81*12,0),B846*(C846/12)/(1-(1+C846/12)^(-ROUND($B$81*12,0))))),IF(AND(NOT(AND(446&gt;$B$173,$B$78="Refinance",ISNUMBER($B$80),$B$80&gt;=0,$B$80&lt;=1,ROUND($B$81*12,0)&gt;=1,$B$81&lt;=100,SUM($B$82)&gt;=0,SUM($B$82)&lt;=1,SUM($B$83)&gt;=0)),OR(446=1,446=$B$174+1,AND($B$175&gt;0,446=$B$175+1))),IF(AND($B$170=1,$B$66&gt;0,OR($B$175=0,446&lt;=$B$175)),$B$66,IF($B$172-MAX(446-1,$B$174)&gt;0,IF(B846=0,0,IF(C846=0,B846/($B$172-MAX(446-1,$B$174)),B846*(C846/12)/(1-(1+C846/12)^(-($B$172-MAX(446-1,$B$174)))))),"")),D845)))),""),""))</x:f>
        <x:v>0</x:v>
      </x:c>
      <x:c r="E846" s="440" t="n">
        <x:f>IF(AND(446=$B$173,ISNUMBER(D846)),IF(MAX(0,B846*(1+C846/12)-D846)&lt;MAX(0.0000001,$E$17*0.00000000001),0,MAX(0,B846*(1+C846/12)-D846)),0)</x:f>
        <x:v>0</x:v>
      </x:c>
      <x:c r="F846" s="440" t="n">
        <x:f>IF($B$78="Cash payoff",E846,0)</x:f>
        <x:v>0</x:v>
      </x:c>
      <x:c r="G846" s="440" t="n">
        <x:f>IF(AND(E846&gt;0,AND($B$78="Refinance",ISNUMBER($B$80),$B$80&gt;=0,$B$80&lt;=1,ROUND($B$81*12,0)&gt;=1,$B$81&lt;=100,SUM($B$82)&gt;=0,SUM($B$82)&lt;=1,SUM($B$83)&gt;=0)),E846*SUM($B$82)+SUM($B$83),0)</x:f>
        <x:v>0</x:v>
      </x:c>
      <x:c r="H846" s="440" t="n">
        <x:f>IF(ISNUMBER(D846),IF(MAX(0,B846*(1+C846/12)-D846-F846)&lt;MAX(0.0000001,$E$17*0.00000000001),0,MAX(0,B846*(1+C846/12)-D846-F846)),IF(AND($B$171=1,I845=1),B846,""))</x:f>
        <x:v>0</x:v>
      </x:c>
      <x:c r="I846" s="444" t="n">
        <x:f>IF(OR(I845=1,AND(E846&gt;0,$B$78&lt;&gt;"Cash payoff",NOT(AND($B$78="Refinance",ISNUMBER($B$80),$B$80&gt;=0,$B$80&lt;=1,ROUND($B$81*12,0)&gt;=1,$B$81&lt;=100,SUM($B$82)&gt;=0,SUM($B$82)&lt;=1,SUM($B$83)&gt;=0))),AND(ISNUMBER(B846),B846&gt;0,$B$171=1,NOT(ISNUMBER(D846)))),1,0)</x:f>
        <x:v>0</x:v>
      </x:c>
      <x:c r="J846" s="440" t="n">
        <x:f>IF(ISNUMBER(L845),L845,"")</x:f>
        <x:v>0</x:v>
      </x:c>
      <x:c r="K846" s="440" t="n">
        <x:f>IF(AND(ISNUMBER(J846),J846=0),0,IF(AND($B$176=1,ISNUMBER(J846)),MIN(J846*(1+$B$87/12),IF($B$86=0,0,IF($B$87=0,$B$86/ROUND($B$88*12,0),$B$86*($B$87/12)/(1-(1+$B$87/12)^(-ROUND($B$88*12,0)))))),""))</x:f>
        <x:v>0</x:v>
      </x:c>
      <x:c r="L846" s="440" t="n">
        <x:f>IF(ISNUMBER(K846),IF(MAX(0,J846*(1+SUM($B$87)/12)-K846)&lt;MAX(0.0000001,$B$86*0.00000000001),0,MAX(0,J846*(1+SUM($B$87)/12)-K846)),"")</x:f>
        <x:v>0</x:v>
      </x:c>
      <x:c r="M846" s="440" t="n">
        <x:f>IF(AND(ISNUMBER(D846),ISNUMBER(K846)),D846+K846,"")</x:f>
        <x:v>0</x:v>
      </x:c>
      <x:c r="N846" s="440" t="n">
        <x:f>IF(AND(ISNUMBER(H846),ISNUMBER(L846)),H846+L846,"")</x:f>
        <x:v>0</x:v>
      </x:c>
    </x:row>
    <x:row r="847" ht="22" customHeight="1">
      <x:c r="A847" s="254" t="n">
        <x:f>447</x:f>
        <x:v>447</x:v>
      </x:c>
      <x:c r="B847" s="440" t="n">
        <x:f>IF(ISNUMBER(H846),H846,"")</x:f>
        <x:v>0</x:v>
      </x:c>
      <x:c r="C847" s="442" t="n">
        <x:f>IF(ISNUMBER(B847),IF(AND(447&gt;$B$173,$B$78="Refinance",ISNUMBER($B$80),$B$80&gt;=0,$B$80&lt;=1,ROUND($B$81*12,0)&gt;=1,$B$81&lt;=100,SUM($B$82)&gt;=0,SUM($B$82)&lt;=1,SUM($B$83)&gt;=0),$B$80,IF(AND($B$175&gt;0,447&gt;$B$175,ISNUMBER($B$75)),$B$75,$B$61)),"")</x:f>
        <x:v>0.0625</x:v>
      </x:c>
      <x:c r="D847" s="440" t="n">
        <x:f>IF(AND(ISNUMBER(B847),B847=0),0,IF(AND($B$171=1,I846=0,ISNUMBER(C847),ISNUMBER(IF(AND(447&lt;=$B$174,447&lt;=$B$173),B847*C847/12,IF(AND(447=$B$173+1,AND(447&gt;$B$173,$B$78="Refinance",ISNUMBER($B$80),$B$80&gt;=0,$B$80&lt;=1,ROUND($B$81*12,0)&gt;=1,$B$81&lt;=100,SUM($B$82)&gt;=0,SUM($B$82)&lt;=1,SUM($B$83)&gt;=0)),IF(B847=0,0,IF(C847=0,B847/ROUND($B$81*12,0),B847*(C847/12)/(1-(1+C847/12)^(-ROUND($B$81*12,0))))),IF(AND(NOT(AND(447&gt;$B$173,$B$78="Refinance",ISNUMBER($B$80),$B$80&gt;=0,$B$80&lt;=1,ROUND($B$81*12,0)&gt;=1,$B$81&lt;=100,SUM($B$82)&gt;=0,SUM($B$82)&lt;=1,SUM($B$83)&gt;=0)),OR(447=1,447=$B$174+1,AND($B$175&gt;0,447=$B$175+1))),IF(AND($B$170=1,$B$66&gt;0,OR($B$175=0,447&lt;=$B$175)),$B$66,IF($B$172-MAX(447-1,$B$174)&gt;0,IF(B847=0,0,IF(C847=0,B847/($B$172-MAX(447-1,$B$174)),B847*(C847/12)/(1-(1+C847/12)^(-($B$172-MAX(447-1,$B$174)))))),"")),D846))))),IF(IF(AND(447&lt;=$B$174,447&lt;=$B$173),B847*C847/12,IF(AND(447=$B$173+1,AND(447&gt;$B$173,$B$78="Refinance",ISNUMBER($B$80),$B$80&gt;=0,$B$80&lt;=1,ROUND($B$81*12,0)&gt;=1,$B$81&lt;=100,SUM($B$82)&gt;=0,SUM($B$82)&lt;=1,SUM($B$83)&gt;=0)),IF(B847=0,0,IF(C847=0,B847/ROUND($B$81*12,0),B847*(C847/12)/(1-(1+C847/12)^(-ROUND($B$81*12,0))))),IF(AND(NOT(AND(447&gt;$B$173,$B$78="Refinance",ISNUMBER($B$80),$B$80&gt;=0,$B$80&lt;=1,ROUND($B$81*12,0)&gt;=1,$B$81&lt;=100,SUM($B$82)&gt;=0,SUM($B$82)&lt;=1,SUM($B$83)&gt;=0)),OR(447=1,447=$B$174+1,AND($B$175&gt;0,447=$B$175+1))),IF(AND($B$170=1,$B$66&gt;0,OR($B$175=0,447&lt;=$B$175)),$B$66,IF($B$172-MAX(447-1,$B$174)&gt;0,IF(B847=0,0,IF(C847=0,B847/($B$172-MAX(447-1,$B$174)),B847*(C847/12)/(1-(1+C847/12)^(-($B$172-MAX(447-1,$B$174)))))),"")),D846)))+0.0000001&gt;=B847*C847/12,MIN(B847*(1+C847/12),IF(AND(447&lt;=$B$174,447&lt;=$B$173),B847*C847/12,IF(AND(447=$B$173+1,AND(447&gt;$B$173,$B$78="Refinance",ISNUMBER($B$80),$B$80&gt;=0,$B$80&lt;=1,ROUND($B$81*12,0)&gt;=1,$B$81&lt;=100,SUM($B$82)&gt;=0,SUM($B$82)&lt;=1,SUM($B$83)&gt;=0)),IF(B847=0,0,IF(C847=0,B847/ROUND($B$81*12,0),B847*(C847/12)/(1-(1+C847/12)^(-ROUND($B$81*12,0))))),IF(AND(NOT(AND(447&gt;$B$173,$B$78="Refinance",ISNUMBER($B$80),$B$80&gt;=0,$B$80&lt;=1,ROUND($B$81*12,0)&gt;=1,$B$81&lt;=100,SUM($B$82)&gt;=0,SUM($B$82)&lt;=1,SUM($B$83)&gt;=0)),OR(447=1,447=$B$174+1,AND($B$175&gt;0,447=$B$175+1))),IF(AND($B$170=1,$B$66&gt;0,OR($B$175=0,447&lt;=$B$175)),$B$66,IF($B$172-MAX(447-1,$B$174)&gt;0,IF(B847=0,0,IF(C847=0,B847/($B$172-MAX(447-1,$B$174)),B847*(C847/12)/(1-(1+C847/12)^(-($B$172-MAX(447-1,$B$174)))))),"")),D846)))),""),""))</x:f>
        <x:v>0</x:v>
      </x:c>
      <x:c r="E847" s="440" t="n">
        <x:f>IF(AND(447=$B$173,ISNUMBER(D847)),IF(MAX(0,B847*(1+C847/12)-D847)&lt;MAX(0.0000001,$E$17*0.00000000001),0,MAX(0,B847*(1+C847/12)-D847)),0)</x:f>
        <x:v>0</x:v>
      </x:c>
      <x:c r="F847" s="440" t="n">
        <x:f>IF($B$78="Cash payoff",E847,0)</x:f>
        <x:v>0</x:v>
      </x:c>
      <x:c r="G847" s="440" t="n">
        <x:f>IF(AND(E847&gt;0,AND($B$78="Refinance",ISNUMBER($B$80),$B$80&gt;=0,$B$80&lt;=1,ROUND($B$81*12,0)&gt;=1,$B$81&lt;=100,SUM($B$82)&gt;=0,SUM($B$82)&lt;=1,SUM($B$83)&gt;=0)),E847*SUM($B$82)+SUM($B$83),0)</x:f>
        <x:v>0</x:v>
      </x:c>
      <x:c r="H847" s="440" t="n">
        <x:f>IF(ISNUMBER(D847),IF(MAX(0,B847*(1+C847/12)-D847-F847)&lt;MAX(0.0000001,$E$17*0.00000000001),0,MAX(0,B847*(1+C847/12)-D847-F847)),IF(AND($B$171=1,I846=1),B847,""))</x:f>
        <x:v>0</x:v>
      </x:c>
      <x:c r="I847" s="444" t="n">
        <x:f>IF(OR(I846=1,AND(E847&gt;0,$B$78&lt;&gt;"Cash payoff",NOT(AND($B$78="Refinance",ISNUMBER($B$80),$B$80&gt;=0,$B$80&lt;=1,ROUND($B$81*12,0)&gt;=1,$B$81&lt;=100,SUM($B$82)&gt;=0,SUM($B$82)&lt;=1,SUM($B$83)&gt;=0))),AND(ISNUMBER(B847),B847&gt;0,$B$171=1,NOT(ISNUMBER(D847)))),1,0)</x:f>
        <x:v>0</x:v>
      </x:c>
      <x:c r="J847" s="440" t="n">
        <x:f>IF(ISNUMBER(L846),L846,"")</x:f>
        <x:v>0</x:v>
      </x:c>
      <x:c r="K847" s="440" t="n">
        <x:f>IF(AND(ISNUMBER(J847),J847=0),0,IF(AND($B$176=1,ISNUMBER(J847)),MIN(J847*(1+$B$87/12),IF($B$86=0,0,IF($B$87=0,$B$86/ROUND($B$88*12,0),$B$86*($B$87/12)/(1-(1+$B$87/12)^(-ROUND($B$88*12,0)))))),""))</x:f>
        <x:v>0</x:v>
      </x:c>
      <x:c r="L847" s="440" t="n">
        <x:f>IF(ISNUMBER(K847),IF(MAX(0,J847*(1+SUM($B$87)/12)-K847)&lt;MAX(0.0000001,$B$86*0.00000000001),0,MAX(0,J847*(1+SUM($B$87)/12)-K847)),"")</x:f>
        <x:v>0</x:v>
      </x:c>
      <x:c r="M847" s="440" t="n">
        <x:f>IF(AND(ISNUMBER(D847),ISNUMBER(K847)),D847+K847,"")</x:f>
        <x:v>0</x:v>
      </x:c>
      <x:c r="N847" s="440" t="n">
        <x:f>IF(AND(ISNUMBER(H847),ISNUMBER(L847)),H847+L847,"")</x:f>
        <x:v>0</x:v>
      </x:c>
    </x:row>
    <x:row r="848" ht="22" customHeight="1">
      <x:c r="A848" s="254" t="n">
        <x:f>448</x:f>
        <x:v>448</x:v>
      </x:c>
      <x:c r="B848" s="440" t="n">
        <x:f>IF(ISNUMBER(H847),H847,"")</x:f>
        <x:v>0</x:v>
      </x:c>
      <x:c r="C848" s="442" t="n">
        <x:f>IF(ISNUMBER(B848),IF(AND(448&gt;$B$173,$B$78="Refinance",ISNUMBER($B$80),$B$80&gt;=0,$B$80&lt;=1,ROUND($B$81*12,0)&gt;=1,$B$81&lt;=100,SUM($B$82)&gt;=0,SUM($B$82)&lt;=1,SUM($B$83)&gt;=0),$B$80,IF(AND($B$175&gt;0,448&gt;$B$175,ISNUMBER($B$75)),$B$75,$B$61)),"")</x:f>
        <x:v>0.0625</x:v>
      </x:c>
      <x:c r="D848" s="440" t="n">
        <x:f>IF(AND(ISNUMBER(B848),B848=0),0,IF(AND($B$171=1,I847=0,ISNUMBER(C848),ISNUMBER(IF(AND(448&lt;=$B$174,448&lt;=$B$173),B848*C848/12,IF(AND(448=$B$173+1,AND(448&gt;$B$173,$B$78="Refinance",ISNUMBER($B$80),$B$80&gt;=0,$B$80&lt;=1,ROUND($B$81*12,0)&gt;=1,$B$81&lt;=100,SUM($B$82)&gt;=0,SUM($B$82)&lt;=1,SUM($B$83)&gt;=0)),IF(B848=0,0,IF(C848=0,B848/ROUND($B$81*12,0),B848*(C848/12)/(1-(1+C848/12)^(-ROUND($B$81*12,0))))),IF(AND(NOT(AND(448&gt;$B$173,$B$78="Refinance",ISNUMBER($B$80),$B$80&gt;=0,$B$80&lt;=1,ROUND($B$81*12,0)&gt;=1,$B$81&lt;=100,SUM($B$82)&gt;=0,SUM($B$82)&lt;=1,SUM($B$83)&gt;=0)),OR(448=1,448=$B$174+1,AND($B$175&gt;0,448=$B$175+1))),IF(AND($B$170=1,$B$66&gt;0,OR($B$175=0,448&lt;=$B$175)),$B$66,IF($B$172-MAX(448-1,$B$174)&gt;0,IF(B848=0,0,IF(C848=0,B848/($B$172-MAX(448-1,$B$174)),B848*(C848/12)/(1-(1+C848/12)^(-($B$172-MAX(448-1,$B$174)))))),"")),D847))))),IF(IF(AND(448&lt;=$B$174,448&lt;=$B$173),B848*C848/12,IF(AND(448=$B$173+1,AND(448&gt;$B$173,$B$78="Refinance",ISNUMBER($B$80),$B$80&gt;=0,$B$80&lt;=1,ROUND($B$81*12,0)&gt;=1,$B$81&lt;=100,SUM($B$82)&gt;=0,SUM($B$82)&lt;=1,SUM($B$83)&gt;=0)),IF(B848=0,0,IF(C848=0,B848/ROUND($B$81*12,0),B848*(C848/12)/(1-(1+C848/12)^(-ROUND($B$81*12,0))))),IF(AND(NOT(AND(448&gt;$B$173,$B$78="Refinance",ISNUMBER($B$80),$B$80&gt;=0,$B$80&lt;=1,ROUND($B$81*12,0)&gt;=1,$B$81&lt;=100,SUM($B$82)&gt;=0,SUM($B$82)&lt;=1,SUM($B$83)&gt;=0)),OR(448=1,448=$B$174+1,AND($B$175&gt;0,448=$B$175+1))),IF(AND($B$170=1,$B$66&gt;0,OR($B$175=0,448&lt;=$B$175)),$B$66,IF($B$172-MAX(448-1,$B$174)&gt;0,IF(B848=0,0,IF(C848=0,B848/($B$172-MAX(448-1,$B$174)),B848*(C848/12)/(1-(1+C848/12)^(-($B$172-MAX(448-1,$B$174)))))),"")),D847)))+0.0000001&gt;=B848*C848/12,MIN(B848*(1+C848/12),IF(AND(448&lt;=$B$174,448&lt;=$B$173),B848*C848/12,IF(AND(448=$B$173+1,AND(448&gt;$B$173,$B$78="Refinance",ISNUMBER($B$80),$B$80&gt;=0,$B$80&lt;=1,ROUND($B$81*12,0)&gt;=1,$B$81&lt;=100,SUM($B$82)&gt;=0,SUM($B$82)&lt;=1,SUM($B$83)&gt;=0)),IF(B848=0,0,IF(C848=0,B848/ROUND($B$81*12,0),B848*(C848/12)/(1-(1+C848/12)^(-ROUND($B$81*12,0))))),IF(AND(NOT(AND(448&gt;$B$173,$B$78="Refinance",ISNUMBER($B$80),$B$80&gt;=0,$B$80&lt;=1,ROUND($B$81*12,0)&gt;=1,$B$81&lt;=100,SUM($B$82)&gt;=0,SUM($B$82)&lt;=1,SUM($B$83)&gt;=0)),OR(448=1,448=$B$174+1,AND($B$175&gt;0,448=$B$175+1))),IF(AND($B$170=1,$B$66&gt;0,OR($B$175=0,448&lt;=$B$175)),$B$66,IF($B$172-MAX(448-1,$B$174)&gt;0,IF(B848=0,0,IF(C848=0,B848/($B$172-MAX(448-1,$B$174)),B848*(C848/12)/(1-(1+C848/12)^(-($B$172-MAX(448-1,$B$174)))))),"")),D847)))),""),""))</x:f>
        <x:v>0</x:v>
      </x:c>
      <x:c r="E848" s="440" t="n">
        <x:f>IF(AND(448=$B$173,ISNUMBER(D848)),IF(MAX(0,B848*(1+C848/12)-D848)&lt;MAX(0.0000001,$E$17*0.00000000001),0,MAX(0,B848*(1+C848/12)-D848)),0)</x:f>
        <x:v>0</x:v>
      </x:c>
      <x:c r="F848" s="440" t="n">
        <x:f>IF($B$78="Cash payoff",E848,0)</x:f>
        <x:v>0</x:v>
      </x:c>
      <x:c r="G848" s="440" t="n">
        <x:f>IF(AND(E848&gt;0,AND($B$78="Refinance",ISNUMBER($B$80),$B$80&gt;=0,$B$80&lt;=1,ROUND($B$81*12,0)&gt;=1,$B$81&lt;=100,SUM($B$82)&gt;=0,SUM($B$82)&lt;=1,SUM($B$83)&gt;=0)),E848*SUM($B$82)+SUM($B$83),0)</x:f>
        <x:v>0</x:v>
      </x:c>
      <x:c r="H848" s="440" t="n">
        <x:f>IF(ISNUMBER(D848),IF(MAX(0,B848*(1+C848/12)-D848-F848)&lt;MAX(0.0000001,$E$17*0.00000000001),0,MAX(0,B848*(1+C848/12)-D848-F848)),IF(AND($B$171=1,I847=1),B848,""))</x:f>
        <x:v>0</x:v>
      </x:c>
      <x:c r="I848" s="444" t="n">
        <x:f>IF(OR(I847=1,AND(E848&gt;0,$B$78&lt;&gt;"Cash payoff",NOT(AND($B$78="Refinance",ISNUMBER($B$80),$B$80&gt;=0,$B$80&lt;=1,ROUND($B$81*12,0)&gt;=1,$B$81&lt;=100,SUM($B$82)&gt;=0,SUM($B$82)&lt;=1,SUM($B$83)&gt;=0))),AND(ISNUMBER(B848),B848&gt;0,$B$171=1,NOT(ISNUMBER(D848)))),1,0)</x:f>
        <x:v>0</x:v>
      </x:c>
      <x:c r="J848" s="440" t="n">
        <x:f>IF(ISNUMBER(L847),L847,"")</x:f>
        <x:v>0</x:v>
      </x:c>
      <x:c r="K848" s="440" t="n">
        <x:f>IF(AND(ISNUMBER(J848),J848=0),0,IF(AND($B$176=1,ISNUMBER(J848)),MIN(J848*(1+$B$87/12),IF($B$86=0,0,IF($B$87=0,$B$86/ROUND($B$88*12,0),$B$86*($B$87/12)/(1-(1+$B$87/12)^(-ROUND($B$88*12,0)))))),""))</x:f>
        <x:v>0</x:v>
      </x:c>
      <x:c r="L848" s="440" t="n">
        <x:f>IF(ISNUMBER(K848),IF(MAX(0,J848*(1+SUM($B$87)/12)-K848)&lt;MAX(0.0000001,$B$86*0.00000000001),0,MAX(0,J848*(1+SUM($B$87)/12)-K848)),"")</x:f>
        <x:v>0</x:v>
      </x:c>
      <x:c r="M848" s="440" t="n">
        <x:f>IF(AND(ISNUMBER(D848),ISNUMBER(K848)),D848+K848,"")</x:f>
        <x:v>0</x:v>
      </x:c>
      <x:c r="N848" s="440" t="n">
        <x:f>IF(AND(ISNUMBER(H848),ISNUMBER(L848)),H848+L848,"")</x:f>
        <x:v>0</x:v>
      </x:c>
    </x:row>
    <x:row r="849" ht="22" customHeight="1">
      <x:c r="A849" s="254" t="n">
        <x:f>449</x:f>
        <x:v>449</x:v>
      </x:c>
      <x:c r="B849" s="440" t="n">
        <x:f>IF(ISNUMBER(H848),H848,"")</x:f>
        <x:v>0</x:v>
      </x:c>
      <x:c r="C849" s="442" t="n">
        <x:f>IF(ISNUMBER(B849),IF(AND(449&gt;$B$173,$B$78="Refinance",ISNUMBER($B$80),$B$80&gt;=0,$B$80&lt;=1,ROUND($B$81*12,0)&gt;=1,$B$81&lt;=100,SUM($B$82)&gt;=0,SUM($B$82)&lt;=1,SUM($B$83)&gt;=0),$B$80,IF(AND($B$175&gt;0,449&gt;$B$175,ISNUMBER($B$75)),$B$75,$B$61)),"")</x:f>
        <x:v>0.0625</x:v>
      </x:c>
      <x:c r="D849" s="440" t="n">
        <x:f>IF(AND(ISNUMBER(B849),B849=0),0,IF(AND($B$171=1,I848=0,ISNUMBER(C849),ISNUMBER(IF(AND(449&lt;=$B$174,449&lt;=$B$173),B849*C849/12,IF(AND(449=$B$173+1,AND(449&gt;$B$173,$B$78="Refinance",ISNUMBER($B$80),$B$80&gt;=0,$B$80&lt;=1,ROUND($B$81*12,0)&gt;=1,$B$81&lt;=100,SUM($B$82)&gt;=0,SUM($B$82)&lt;=1,SUM($B$83)&gt;=0)),IF(B849=0,0,IF(C849=0,B849/ROUND($B$81*12,0),B849*(C849/12)/(1-(1+C849/12)^(-ROUND($B$81*12,0))))),IF(AND(NOT(AND(449&gt;$B$173,$B$78="Refinance",ISNUMBER($B$80),$B$80&gt;=0,$B$80&lt;=1,ROUND($B$81*12,0)&gt;=1,$B$81&lt;=100,SUM($B$82)&gt;=0,SUM($B$82)&lt;=1,SUM($B$83)&gt;=0)),OR(449=1,449=$B$174+1,AND($B$175&gt;0,449=$B$175+1))),IF(AND($B$170=1,$B$66&gt;0,OR($B$175=0,449&lt;=$B$175)),$B$66,IF($B$172-MAX(449-1,$B$174)&gt;0,IF(B849=0,0,IF(C849=0,B849/($B$172-MAX(449-1,$B$174)),B849*(C849/12)/(1-(1+C849/12)^(-($B$172-MAX(449-1,$B$174)))))),"")),D848))))),IF(IF(AND(449&lt;=$B$174,449&lt;=$B$173),B849*C849/12,IF(AND(449=$B$173+1,AND(449&gt;$B$173,$B$78="Refinance",ISNUMBER($B$80),$B$80&gt;=0,$B$80&lt;=1,ROUND($B$81*12,0)&gt;=1,$B$81&lt;=100,SUM($B$82)&gt;=0,SUM($B$82)&lt;=1,SUM($B$83)&gt;=0)),IF(B849=0,0,IF(C849=0,B849/ROUND($B$81*12,0),B849*(C849/12)/(1-(1+C849/12)^(-ROUND($B$81*12,0))))),IF(AND(NOT(AND(449&gt;$B$173,$B$78="Refinance",ISNUMBER($B$80),$B$80&gt;=0,$B$80&lt;=1,ROUND($B$81*12,0)&gt;=1,$B$81&lt;=100,SUM($B$82)&gt;=0,SUM($B$82)&lt;=1,SUM($B$83)&gt;=0)),OR(449=1,449=$B$174+1,AND($B$175&gt;0,449=$B$175+1))),IF(AND($B$170=1,$B$66&gt;0,OR($B$175=0,449&lt;=$B$175)),$B$66,IF($B$172-MAX(449-1,$B$174)&gt;0,IF(B849=0,0,IF(C849=0,B849/($B$172-MAX(449-1,$B$174)),B849*(C849/12)/(1-(1+C849/12)^(-($B$172-MAX(449-1,$B$174)))))),"")),D848)))+0.0000001&gt;=B849*C849/12,MIN(B849*(1+C849/12),IF(AND(449&lt;=$B$174,449&lt;=$B$173),B849*C849/12,IF(AND(449=$B$173+1,AND(449&gt;$B$173,$B$78="Refinance",ISNUMBER($B$80),$B$80&gt;=0,$B$80&lt;=1,ROUND($B$81*12,0)&gt;=1,$B$81&lt;=100,SUM($B$82)&gt;=0,SUM($B$82)&lt;=1,SUM($B$83)&gt;=0)),IF(B849=0,0,IF(C849=0,B849/ROUND($B$81*12,0),B849*(C849/12)/(1-(1+C849/12)^(-ROUND($B$81*12,0))))),IF(AND(NOT(AND(449&gt;$B$173,$B$78="Refinance",ISNUMBER($B$80),$B$80&gt;=0,$B$80&lt;=1,ROUND($B$81*12,0)&gt;=1,$B$81&lt;=100,SUM($B$82)&gt;=0,SUM($B$82)&lt;=1,SUM($B$83)&gt;=0)),OR(449=1,449=$B$174+1,AND($B$175&gt;0,449=$B$175+1))),IF(AND($B$170=1,$B$66&gt;0,OR($B$175=0,449&lt;=$B$175)),$B$66,IF($B$172-MAX(449-1,$B$174)&gt;0,IF(B849=0,0,IF(C849=0,B849/($B$172-MAX(449-1,$B$174)),B849*(C849/12)/(1-(1+C849/12)^(-($B$172-MAX(449-1,$B$174)))))),"")),D848)))),""),""))</x:f>
        <x:v>0</x:v>
      </x:c>
      <x:c r="E849" s="440" t="n">
        <x:f>IF(AND(449=$B$173,ISNUMBER(D849)),IF(MAX(0,B849*(1+C849/12)-D849)&lt;MAX(0.0000001,$E$17*0.00000000001),0,MAX(0,B849*(1+C849/12)-D849)),0)</x:f>
        <x:v>0</x:v>
      </x:c>
      <x:c r="F849" s="440" t="n">
        <x:f>IF($B$78="Cash payoff",E849,0)</x:f>
        <x:v>0</x:v>
      </x:c>
      <x:c r="G849" s="440" t="n">
        <x:f>IF(AND(E849&gt;0,AND($B$78="Refinance",ISNUMBER($B$80),$B$80&gt;=0,$B$80&lt;=1,ROUND($B$81*12,0)&gt;=1,$B$81&lt;=100,SUM($B$82)&gt;=0,SUM($B$82)&lt;=1,SUM($B$83)&gt;=0)),E849*SUM($B$82)+SUM($B$83),0)</x:f>
        <x:v>0</x:v>
      </x:c>
      <x:c r="H849" s="440" t="n">
        <x:f>IF(ISNUMBER(D849),IF(MAX(0,B849*(1+C849/12)-D849-F849)&lt;MAX(0.0000001,$E$17*0.00000000001),0,MAX(0,B849*(1+C849/12)-D849-F849)),IF(AND($B$171=1,I848=1),B849,""))</x:f>
        <x:v>0</x:v>
      </x:c>
      <x:c r="I849" s="444" t="n">
        <x:f>IF(OR(I848=1,AND(E849&gt;0,$B$78&lt;&gt;"Cash payoff",NOT(AND($B$78="Refinance",ISNUMBER($B$80),$B$80&gt;=0,$B$80&lt;=1,ROUND($B$81*12,0)&gt;=1,$B$81&lt;=100,SUM($B$82)&gt;=0,SUM($B$82)&lt;=1,SUM($B$83)&gt;=0))),AND(ISNUMBER(B849),B849&gt;0,$B$171=1,NOT(ISNUMBER(D849)))),1,0)</x:f>
        <x:v>0</x:v>
      </x:c>
      <x:c r="J849" s="440" t="n">
        <x:f>IF(ISNUMBER(L848),L848,"")</x:f>
        <x:v>0</x:v>
      </x:c>
      <x:c r="K849" s="440" t="n">
        <x:f>IF(AND(ISNUMBER(J849),J849=0),0,IF(AND($B$176=1,ISNUMBER(J849)),MIN(J849*(1+$B$87/12),IF($B$86=0,0,IF($B$87=0,$B$86/ROUND($B$88*12,0),$B$86*($B$87/12)/(1-(1+$B$87/12)^(-ROUND($B$88*12,0)))))),""))</x:f>
        <x:v>0</x:v>
      </x:c>
      <x:c r="L849" s="440" t="n">
        <x:f>IF(ISNUMBER(K849),IF(MAX(0,J849*(1+SUM($B$87)/12)-K849)&lt;MAX(0.0000001,$B$86*0.00000000001),0,MAX(0,J849*(1+SUM($B$87)/12)-K849)),"")</x:f>
        <x:v>0</x:v>
      </x:c>
      <x:c r="M849" s="440" t="n">
        <x:f>IF(AND(ISNUMBER(D849),ISNUMBER(K849)),D849+K849,"")</x:f>
        <x:v>0</x:v>
      </x:c>
      <x:c r="N849" s="440" t="n">
        <x:f>IF(AND(ISNUMBER(H849),ISNUMBER(L849)),H849+L849,"")</x:f>
        <x:v>0</x:v>
      </x:c>
    </x:row>
    <x:row r="850" ht="22" customHeight="1">
      <x:c r="A850" s="254" t="n">
        <x:f>450</x:f>
        <x:v>450</x:v>
      </x:c>
      <x:c r="B850" s="440" t="n">
        <x:f>IF(ISNUMBER(H849),H849,"")</x:f>
        <x:v>0</x:v>
      </x:c>
      <x:c r="C850" s="442" t="n">
        <x:f>IF(ISNUMBER(B850),IF(AND(450&gt;$B$173,$B$78="Refinance",ISNUMBER($B$80),$B$80&gt;=0,$B$80&lt;=1,ROUND($B$81*12,0)&gt;=1,$B$81&lt;=100,SUM($B$82)&gt;=0,SUM($B$82)&lt;=1,SUM($B$83)&gt;=0),$B$80,IF(AND($B$175&gt;0,450&gt;$B$175,ISNUMBER($B$75)),$B$75,$B$61)),"")</x:f>
        <x:v>0.0625</x:v>
      </x:c>
      <x:c r="D850" s="440" t="n">
        <x:f>IF(AND(ISNUMBER(B850),B850=0),0,IF(AND($B$171=1,I849=0,ISNUMBER(C850),ISNUMBER(IF(AND(450&lt;=$B$174,450&lt;=$B$173),B850*C850/12,IF(AND(450=$B$173+1,AND(450&gt;$B$173,$B$78="Refinance",ISNUMBER($B$80),$B$80&gt;=0,$B$80&lt;=1,ROUND($B$81*12,0)&gt;=1,$B$81&lt;=100,SUM($B$82)&gt;=0,SUM($B$82)&lt;=1,SUM($B$83)&gt;=0)),IF(B850=0,0,IF(C850=0,B850/ROUND($B$81*12,0),B850*(C850/12)/(1-(1+C850/12)^(-ROUND($B$81*12,0))))),IF(AND(NOT(AND(450&gt;$B$173,$B$78="Refinance",ISNUMBER($B$80),$B$80&gt;=0,$B$80&lt;=1,ROUND($B$81*12,0)&gt;=1,$B$81&lt;=100,SUM($B$82)&gt;=0,SUM($B$82)&lt;=1,SUM($B$83)&gt;=0)),OR(450=1,450=$B$174+1,AND($B$175&gt;0,450=$B$175+1))),IF(AND($B$170=1,$B$66&gt;0,OR($B$175=0,450&lt;=$B$175)),$B$66,IF($B$172-MAX(450-1,$B$174)&gt;0,IF(B850=0,0,IF(C850=0,B850/($B$172-MAX(450-1,$B$174)),B850*(C850/12)/(1-(1+C850/12)^(-($B$172-MAX(450-1,$B$174)))))),"")),D849))))),IF(IF(AND(450&lt;=$B$174,450&lt;=$B$173),B850*C850/12,IF(AND(450=$B$173+1,AND(450&gt;$B$173,$B$78="Refinance",ISNUMBER($B$80),$B$80&gt;=0,$B$80&lt;=1,ROUND($B$81*12,0)&gt;=1,$B$81&lt;=100,SUM($B$82)&gt;=0,SUM($B$82)&lt;=1,SUM($B$83)&gt;=0)),IF(B850=0,0,IF(C850=0,B850/ROUND($B$81*12,0),B850*(C850/12)/(1-(1+C850/12)^(-ROUND($B$81*12,0))))),IF(AND(NOT(AND(450&gt;$B$173,$B$78="Refinance",ISNUMBER($B$80),$B$80&gt;=0,$B$80&lt;=1,ROUND($B$81*12,0)&gt;=1,$B$81&lt;=100,SUM($B$82)&gt;=0,SUM($B$82)&lt;=1,SUM($B$83)&gt;=0)),OR(450=1,450=$B$174+1,AND($B$175&gt;0,450=$B$175+1))),IF(AND($B$170=1,$B$66&gt;0,OR($B$175=0,450&lt;=$B$175)),$B$66,IF($B$172-MAX(450-1,$B$174)&gt;0,IF(B850=0,0,IF(C850=0,B850/($B$172-MAX(450-1,$B$174)),B850*(C850/12)/(1-(1+C850/12)^(-($B$172-MAX(450-1,$B$174)))))),"")),D849)))+0.0000001&gt;=B850*C850/12,MIN(B850*(1+C850/12),IF(AND(450&lt;=$B$174,450&lt;=$B$173),B850*C850/12,IF(AND(450=$B$173+1,AND(450&gt;$B$173,$B$78="Refinance",ISNUMBER($B$80),$B$80&gt;=0,$B$80&lt;=1,ROUND($B$81*12,0)&gt;=1,$B$81&lt;=100,SUM($B$82)&gt;=0,SUM($B$82)&lt;=1,SUM($B$83)&gt;=0)),IF(B850=0,0,IF(C850=0,B850/ROUND($B$81*12,0),B850*(C850/12)/(1-(1+C850/12)^(-ROUND($B$81*12,0))))),IF(AND(NOT(AND(450&gt;$B$173,$B$78="Refinance",ISNUMBER($B$80),$B$80&gt;=0,$B$80&lt;=1,ROUND($B$81*12,0)&gt;=1,$B$81&lt;=100,SUM($B$82)&gt;=0,SUM($B$82)&lt;=1,SUM($B$83)&gt;=0)),OR(450=1,450=$B$174+1,AND($B$175&gt;0,450=$B$175+1))),IF(AND($B$170=1,$B$66&gt;0,OR($B$175=0,450&lt;=$B$175)),$B$66,IF($B$172-MAX(450-1,$B$174)&gt;0,IF(B850=0,0,IF(C850=0,B850/($B$172-MAX(450-1,$B$174)),B850*(C850/12)/(1-(1+C850/12)^(-($B$172-MAX(450-1,$B$174)))))),"")),D849)))),""),""))</x:f>
        <x:v>0</x:v>
      </x:c>
      <x:c r="E850" s="440" t="n">
        <x:f>IF(AND(450=$B$173,ISNUMBER(D850)),IF(MAX(0,B850*(1+C850/12)-D850)&lt;MAX(0.0000001,$E$17*0.00000000001),0,MAX(0,B850*(1+C850/12)-D850)),0)</x:f>
        <x:v>0</x:v>
      </x:c>
      <x:c r="F850" s="440" t="n">
        <x:f>IF($B$78="Cash payoff",E850,0)</x:f>
        <x:v>0</x:v>
      </x:c>
      <x:c r="G850" s="440" t="n">
        <x:f>IF(AND(E850&gt;0,AND($B$78="Refinance",ISNUMBER($B$80),$B$80&gt;=0,$B$80&lt;=1,ROUND($B$81*12,0)&gt;=1,$B$81&lt;=100,SUM($B$82)&gt;=0,SUM($B$82)&lt;=1,SUM($B$83)&gt;=0)),E850*SUM($B$82)+SUM($B$83),0)</x:f>
        <x:v>0</x:v>
      </x:c>
      <x:c r="H850" s="440" t="n">
        <x:f>IF(ISNUMBER(D850),IF(MAX(0,B850*(1+C850/12)-D850-F850)&lt;MAX(0.0000001,$E$17*0.00000000001),0,MAX(0,B850*(1+C850/12)-D850-F850)),IF(AND($B$171=1,I849=1),B850,""))</x:f>
        <x:v>0</x:v>
      </x:c>
      <x:c r="I850" s="444" t="n">
        <x:f>IF(OR(I849=1,AND(E850&gt;0,$B$78&lt;&gt;"Cash payoff",NOT(AND($B$78="Refinance",ISNUMBER($B$80),$B$80&gt;=0,$B$80&lt;=1,ROUND($B$81*12,0)&gt;=1,$B$81&lt;=100,SUM($B$82)&gt;=0,SUM($B$82)&lt;=1,SUM($B$83)&gt;=0))),AND(ISNUMBER(B850),B850&gt;0,$B$171=1,NOT(ISNUMBER(D850)))),1,0)</x:f>
        <x:v>0</x:v>
      </x:c>
      <x:c r="J850" s="440" t="n">
        <x:f>IF(ISNUMBER(L849),L849,"")</x:f>
        <x:v>0</x:v>
      </x:c>
      <x:c r="K850" s="440" t="n">
        <x:f>IF(AND(ISNUMBER(J850),J850=0),0,IF(AND($B$176=1,ISNUMBER(J850)),MIN(J850*(1+$B$87/12),IF($B$86=0,0,IF($B$87=0,$B$86/ROUND($B$88*12,0),$B$86*($B$87/12)/(1-(1+$B$87/12)^(-ROUND($B$88*12,0)))))),""))</x:f>
        <x:v>0</x:v>
      </x:c>
      <x:c r="L850" s="440" t="n">
        <x:f>IF(ISNUMBER(K850),IF(MAX(0,J850*(1+SUM($B$87)/12)-K850)&lt;MAX(0.0000001,$B$86*0.00000000001),0,MAX(0,J850*(1+SUM($B$87)/12)-K850)),"")</x:f>
        <x:v>0</x:v>
      </x:c>
      <x:c r="M850" s="440" t="n">
        <x:f>IF(AND(ISNUMBER(D850),ISNUMBER(K850)),D850+K850,"")</x:f>
        <x:v>0</x:v>
      </x:c>
      <x:c r="N850" s="440" t="n">
        <x:f>IF(AND(ISNUMBER(H850),ISNUMBER(L850)),H850+L850,"")</x:f>
        <x:v>0</x:v>
      </x:c>
    </x:row>
    <x:row r="851" ht="22" customHeight="1">
      <x:c r="A851" s="254" t="n">
        <x:f>451</x:f>
        <x:v>451</x:v>
      </x:c>
      <x:c r="B851" s="440" t="n">
        <x:f>IF(ISNUMBER(H850),H850,"")</x:f>
        <x:v>0</x:v>
      </x:c>
      <x:c r="C851" s="442" t="n">
        <x:f>IF(ISNUMBER(B851),IF(AND(451&gt;$B$173,$B$78="Refinance",ISNUMBER($B$80),$B$80&gt;=0,$B$80&lt;=1,ROUND($B$81*12,0)&gt;=1,$B$81&lt;=100,SUM($B$82)&gt;=0,SUM($B$82)&lt;=1,SUM($B$83)&gt;=0),$B$80,IF(AND($B$175&gt;0,451&gt;$B$175,ISNUMBER($B$75)),$B$75,$B$61)),"")</x:f>
        <x:v>0.0625</x:v>
      </x:c>
      <x:c r="D851" s="440" t="n">
        <x:f>IF(AND(ISNUMBER(B851),B851=0),0,IF(AND($B$171=1,I850=0,ISNUMBER(C851),ISNUMBER(IF(AND(451&lt;=$B$174,451&lt;=$B$173),B851*C851/12,IF(AND(451=$B$173+1,AND(451&gt;$B$173,$B$78="Refinance",ISNUMBER($B$80),$B$80&gt;=0,$B$80&lt;=1,ROUND($B$81*12,0)&gt;=1,$B$81&lt;=100,SUM($B$82)&gt;=0,SUM($B$82)&lt;=1,SUM($B$83)&gt;=0)),IF(B851=0,0,IF(C851=0,B851/ROUND($B$81*12,0),B851*(C851/12)/(1-(1+C851/12)^(-ROUND($B$81*12,0))))),IF(AND(NOT(AND(451&gt;$B$173,$B$78="Refinance",ISNUMBER($B$80),$B$80&gt;=0,$B$80&lt;=1,ROUND($B$81*12,0)&gt;=1,$B$81&lt;=100,SUM($B$82)&gt;=0,SUM($B$82)&lt;=1,SUM($B$83)&gt;=0)),OR(451=1,451=$B$174+1,AND($B$175&gt;0,451=$B$175+1))),IF(AND($B$170=1,$B$66&gt;0,OR($B$175=0,451&lt;=$B$175)),$B$66,IF($B$172-MAX(451-1,$B$174)&gt;0,IF(B851=0,0,IF(C851=0,B851/($B$172-MAX(451-1,$B$174)),B851*(C851/12)/(1-(1+C851/12)^(-($B$172-MAX(451-1,$B$174)))))),"")),D850))))),IF(IF(AND(451&lt;=$B$174,451&lt;=$B$173),B851*C851/12,IF(AND(451=$B$173+1,AND(451&gt;$B$173,$B$78="Refinance",ISNUMBER($B$80),$B$80&gt;=0,$B$80&lt;=1,ROUND($B$81*12,0)&gt;=1,$B$81&lt;=100,SUM($B$82)&gt;=0,SUM($B$82)&lt;=1,SUM($B$83)&gt;=0)),IF(B851=0,0,IF(C851=0,B851/ROUND($B$81*12,0),B851*(C851/12)/(1-(1+C851/12)^(-ROUND($B$81*12,0))))),IF(AND(NOT(AND(451&gt;$B$173,$B$78="Refinance",ISNUMBER($B$80),$B$80&gt;=0,$B$80&lt;=1,ROUND($B$81*12,0)&gt;=1,$B$81&lt;=100,SUM($B$82)&gt;=0,SUM($B$82)&lt;=1,SUM($B$83)&gt;=0)),OR(451=1,451=$B$174+1,AND($B$175&gt;0,451=$B$175+1))),IF(AND($B$170=1,$B$66&gt;0,OR($B$175=0,451&lt;=$B$175)),$B$66,IF($B$172-MAX(451-1,$B$174)&gt;0,IF(B851=0,0,IF(C851=0,B851/($B$172-MAX(451-1,$B$174)),B851*(C851/12)/(1-(1+C851/12)^(-($B$172-MAX(451-1,$B$174)))))),"")),D850)))+0.0000001&gt;=B851*C851/12,MIN(B851*(1+C851/12),IF(AND(451&lt;=$B$174,451&lt;=$B$173),B851*C851/12,IF(AND(451=$B$173+1,AND(451&gt;$B$173,$B$78="Refinance",ISNUMBER($B$80),$B$80&gt;=0,$B$80&lt;=1,ROUND($B$81*12,0)&gt;=1,$B$81&lt;=100,SUM($B$82)&gt;=0,SUM($B$82)&lt;=1,SUM($B$83)&gt;=0)),IF(B851=0,0,IF(C851=0,B851/ROUND($B$81*12,0),B851*(C851/12)/(1-(1+C851/12)^(-ROUND($B$81*12,0))))),IF(AND(NOT(AND(451&gt;$B$173,$B$78="Refinance",ISNUMBER($B$80),$B$80&gt;=0,$B$80&lt;=1,ROUND($B$81*12,0)&gt;=1,$B$81&lt;=100,SUM($B$82)&gt;=0,SUM($B$82)&lt;=1,SUM($B$83)&gt;=0)),OR(451=1,451=$B$174+1,AND($B$175&gt;0,451=$B$175+1))),IF(AND($B$170=1,$B$66&gt;0,OR($B$175=0,451&lt;=$B$175)),$B$66,IF($B$172-MAX(451-1,$B$174)&gt;0,IF(B851=0,0,IF(C851=0,B851/($B$172-MAX(451-1,$B$174)),B851*(C851/12)/(1-(1+C851/12)^(-($B$172-MAX(451-1,$B$174)))))),"")),D850)))),""),""))</x:f>
        <x:v>0</x:v>
      </x:c>
      <x:c r="E851" s="440" t="n">
        <x:f>IF(AND(451=$B$173,ISNUMBER(D851)),IF(MAX(0,B851*(1+C851/12)-D851)&lt;MAX(0.0000001,$E$17*0.00000000001),0,MAX(0,B851*(1+C851/12)-D851)),0)</x:f>
        <x:v>0</x:v>
      </x:c>
      <x:c r="F851" s="440" t="n">
        <x:f>IF($B$78="Cash payoff",E851,0)</x:f>
        <x:v>0</x:v>
      </x:c>
      <x:c r="G851" s="440" t="n">
        <x:f>IF(AND(E851&gt;0,AND($B$78="Refinance",ISNUMBER($B$80),$B$80&gt;=0,$B$80&lt;=1,ROUND($B$81*12,0)&gt;=1,$B$81&lt;=100,SUM($B$82)&gt;=0,SUM($B$82)&lt;=1,SUM($B$83)&gt;=0)),E851*SUM($B$82)+SUM($B$83),0)</x:f>
        <x:v>0</x:v>
      </x:c>
      <x:c r="H851" s="440" t="n">
        <x:f>IF(ISNUMBER(D851),IF(MAX(0,B851*(1+C851/12)-D851-F851)&lt;MAX(0.0000001,$E$17*0.00000000001),0,MAX(0,B851*(1+C851/12)-D851-F851)),IF(AND($B$171=1,I850=1),B851,""))</x:f>
        <x:v>0</x:v>
      </x:c>
      <x:c r="I851" s="444" t="n">
        <x:f>IF(OR(I850=1,AND(E851&gt;0,$B$78&lt;&gt;"Cash payoff",NOT(AND($B$78="Refinance",ISNUMBER($B$80),$B$80&gt;=0,$B$80&lt;=1,ROUND($B$81*12,0)&gt;=1,$B$81&lt;=100,SUM($B$82)&gt;=0,SUM($B$82)&lt;=1,SUM($B$83)&gt;=0))),AND(ISNUMBER(B851),B851&gt;0,$B$171=1,NOT(ISNUMBER(D851)))),1,0)</x:f>
        <x:v>0</x:v>
      </x:c>
      <x:c r="J851" s="440" t="n">
        <x:f>IF(ISNUMBER(L850),L850,"")</x:f>
        <x:v>0</x:v>
      </x:c>
      <x:c r="K851" s="440" t="n">
        <x:f>IF(AND(ISNUMBER(J851),J851=0),0,IF(AND($B$176=1,ISNUMBER(J851)),MIN(J851*(1+$B$87/12),IF($B$86=0,0,IF($B$87=0,$B$86/ROUND($B$88*12,0),$B$86*($B$87/12)/(1-(1+$B$87/12)^(-ROUND($B$88*12,0)))))),""))</x:f>
        <x:v>0</x:v>
      </x:c>
      <x:c r="L851" s="440" t="n">
        <x:f>IF(ISNUMBER(K851),IF(MAX(0,J851*(1+SUM($B$87)/12)-K851)&lt;MAX(0.0000001,$B$86*0.00000000001),0,MAX(0,J851*(1+SUM($B$87)/12)-K851)),"")</x:f>
        <x:v>0</x:v>
      </x:c>
      <x:c r="M851" s="440" t="n">
        <x:f>IF(AND(ISNUMBER(D851),ISNUMBER(K851)),D851+K851,"")</x:f>
        <x:v>0</x:v>
      </x:c>
      <x:c r="N851" s="440" t="n">
        <x:f>IF(AND(ISNUMBER(H851),ISNUMBER(L851)),H851+L851,"")</x:f>
        <x:v>0</x:v>
      </x:c>
    </x:row>
    <x:row r="852" ht="22" customHeight="1">
      <x:c r="A852" s="254" t="n">
        <x:f>452</x:f>
        <x:v>452</x:v>
      </x:c>
      <x:c r="B852" s="440" t="n">
        <x:f>IF(ISNUMBER(H851),H851,"")</x:f>
        <x:v>0</x:v>
      </x:c>
      <x:c r="C852" s="442" t="n">
        <x:f>IF(ISNUMBER(B852),IF(AND(452&gt;$B$173,$B$78="Refinance",ISNUMBER($B$80),$B$80&gt;=0,$B$80&lt;=1,ROUND($B$81*12,0)&gt;=1,$B$81&lt;=100,SUM($B$82)&gt;=0,SUM($B$82)&lt;=1,SUM($B$83)&gt;=0),$B$80,IF(AND($B$175&gt;0,452&gt;$B$175,ISNUMBER($B$75)),$B$75,$B$61)),"")</x:f>
        <x:v>0.0625</x:v>
      </x:c>
      <x:c r="D852" s="440" t="n">
        <x:f>IF(AND(ISNUMBER(B852),B852=0),0,IF(AND($B$171=1,I851=0,ISNUMBER(C852),ISNUMBER(IF(AND(452&lt;=$B$174,452&lt;=$B$173),B852*C852/12,IF(AND(452=$B$173+1,AND(452&gt;$B$173,$B$78="Refinance",ISNUMBER($B$80),$B$80&gt;=0,$B$80&lt;=1,ROUND($B$81*12,0)&gt;=1,$B$81&lt;=100,SUM($B$82)&gt;=0,SUM($B$82)&lt;=1,SUM($B$83)&gt;=0)),IF(B852=0,0,IF(C852=0,B852/ROUND($B$81*12,0),B852*(C852/12)/(1-(1+C852/12)^(-ROUND($B$81*12,0))))),IF(AND(NOT(AND(452&gt;$B$173,$B$78="Refinance",ISNUMBER($B$80),$B$80&gt;=0,$B$80&lt;=1,ROUND($B$81*12,0)&gt;=1,$B$81&lt;=100,SUM($B$82)&gt;=0,SUM($B$82)&lt;=1,SUM($B$83)&gt;=0)),OR(452=1,452=$B$174+1,AND($B$175&gt;0,452=$B$175+1))),IF(AND($B$170=1,$B$66&gt;0,OR($B$175=0,452&lt;=$B$175)),$B$66,IF($B$172-MAX(452-1,$B$174)&gt;0,IF(B852=0,0,IF(C852=0,B852/($B$172-MAX(452-1,$B$174)),B852*(C852/12)/(1-(1+C852/12)^(-($B$172-MAX(452-1,$B$174)))))),"")),D851))))),IF(IF(AND(452&lt;=$B$174,452&lt;=$B$173),B852*C852/12,IF(AND(452=$B$173+1,AND(452&gt;$B$173,$B$78="Refinance",ISNUMBER($B$80),$B$80&gt;=0,$B$80&lt;=1,ROUND($B$81*12,0)&gt;=1,$B$81&lt;=100,SUM($B$82)&gt;=0,SUM($B$82)&lt;=1,SUM($B$83)&gt;=0)),IF(B852=0,0,IF(C852=0,B852/ROUND($B$81*12,0),B852*(C852/12)/(1-(1+C852/12)^(-ROUND($B$81*12,0))))),IF(AND(NOT(AND(452&gt;$B$173,$B$78="Refinance",ISNUMBER($B$80),$B$80&gt;=0,$B$80&lt;=1,ROUND($B$81*12,0)&gt;=1,$B$81&lt;=100,SUM($B$82)&gt;=0,SUM($B$82)&lt;=1,SUM($B$83)&gt;=0)),OR(452=1,452=$B$174+1,AND($B$175&gt;0,452=$B$175+1))),IF(AND($B$170=1,$B$66&gt;0,OR($B$175=0,452&lt;=$B$175)),$B$66,IF($B$172-MAX(452-1,$B$174)&gt;0,IF(B852=0,0,IF(C852=0,B852/($B$172-MAX(452-1,$B$174)),B852*(C852/12)/(1-(1+C852/12)^(-($B$172-MAX(452-1,$B$174)))))),"")),D851)))+0.0000001&gt;=B852*C852/12,MIN(B852*(1+C852/12),IF(AND(452&lt;=$B$174,452&lt;=$B$173),B852*C852/12,IF(AND(452=$B$173+1,AND(452&gt;$B$173,$B$78="Refinance",ISNUMBER($B$80),$B$80&gt;=0,$B$80&lt;=1,ROUND($B$81*12,0)&gt;=1,$B$81&lt;=100,SUM($B$82)&gt;=0,SUM($B$82)&lt;=1,SUM($B$83)&gt;=0)),IF(B852=0,0,IF(C852=0,B852/ROUND($B$81*12,0),B852*(C852/12)/(1-(1+C852/12)^(-ROUND($B$81*12,0))))),IF(AND(NOT(AND(452&gt;$B$173,$B$78="Refinance",ISNUMBER($B$80),$B$80&gt;=0,$B$80&lt;=1,ROUND($B$81*12,0)&gt;=1,$B$81&lt;=100,SUM($B$82)&gt;=0,SUM($B$82)&lt;=1,SUM($B$83)&gt;=0)),OR(452=1,452=$B$174+1,AND($B$175&gt;0,452=$B$175+1))),IF(AND($B$170=1,$B$66&gt;0,OR($B$175=0,452&lt;=$B$175)),$B$66,IF($B$172-MAX(452-1,$B$174)&gt;0,IF(B852=0,0,IF(C852=0,B852/($B$172-MAX(452-1,$B$174)),B852*(C852/12)/(1-(1+C852/12)^(-($B$172-MAX(452-1,$B$174)))))),"")),D851)))),""),""))</x:f>
        <x:v>0</x:v>
      </x:c>
      <x:c r="E852" s="440" t="n">
        <x:f>IF(AND(452=$B$173,ISNUMBER(D852)),IF(MAX(0,B852*(1+C852/12)-D852)&lt;MAX(0.0000001,$E$17*0.00000000001),0,MAX(0,B852*(1+C852/12)-D852)),0)</x:f>
        <x:v>0</x:v>
      </x:c>
      <x:c r="F852" s="440" t="n">
        <x:f>IF($B$78="Cash payoff",E852,0)</x:f>
        <x:v>0</x:v>
      </x:c>
      <x:c r="G852" s="440" t="n">
        <x:f>IF(AND(E852&gt;0,AND($B$78="Refinance",ISNUMBER($B$80),$B$80&gt;=0,$B$80&lt;=1,ROUND($B$81*12,0)&gt;=1,$B$81&lt;=100,SUM($B$82)&gt;=0,SUM($B$82)&lt;=1,SUM($B$83)&gt;=0)),E852*SUM($B$82)+SUM($B$83),0)</x:f>
        <x:v>0</x:v>
      </x:c>
      <x:c r="H852" s="440" t="n">
        <x:f>IF(ISNUMBER(D852),IF(MAX(0,B852*(1+C852/12)-D852-F852)&lt;MAX(0.0000001,$E$17*0.00000000001),0,MAX(0,B852*(1+C852/12)-D852-F852)),IF(AND($B$171=1,I851=1),B852,""))</x:f>
        <x:v>0</x:v>
      </x:c>
      <x:c r="I852" s="444" t="n">
        <x:f>IF(OR(I851=1,AND(E852&gt;0,$B$78&lt;&gt;"Cash payoff",NOT(AND($B$78="Refinance",ISNUMBER($B$80),$B$80&gt;=0,$B$80&lt;=1,ROUND($B$81*12,0)&gt;=1,$B$81&lt;=100,SUM($B$82)&gt;=0,SUM($B$82)&lt;=1,SUM($B$83)&gt;=0))),AND(ISNUMBER(B852),B852&gt;0,$B$171=1,NOT(ISNUMBER(D852)))),1,0)</x:f>
        <x:v>0</x:v>
      </x:c>
      <x:c r="J852" s="440" t="n">
        <x:f>IF(ISNUMBER(L851),L851,"")</x:f>
        <x:v>0</x:v>
      </x:c>
      <x:c r="K852" s="440" t="n">
        <x:f>IF(AND(ISNUMBER(J852),J852=0),0,IF(AND($B$176=1,ISNUMBER(J852)),MIN(J852*(1+$B$87/12),IF($B$86=0,0,IF($B$87=0,$B$86/ROUND($B$88*12,0),$B$86*($B$87/12)/(1-(1+$B$87/12)^(-ROUND($B$88*12,0)))))),""))</x:f>
        <x:v>0</x:v>
      </x:c>
      <x:c r="L852" s="440" t="n">
        <x:f>IF(ISNUMBER(K852),IF(MAX(0,J852*(1+SUM($B$87)/12)-K852)&lt;MAX(0.0000001,$B$86*0.00000000001),0,MAX(0,J852*(1+SUM($B$87)/12)-K852)),"")</x:f>
        <x:v>0</x:v>
      </x:c>
      <x:c r="M852" s="440" t="n">
        <x:f>IF(AND(ISNUMBER(D852),ISNUMBER(K852)),D852+K852,"")</x:f>
        <x:v>0</x:v>
      </x:c>
      <x:c r="N852" s="440" t="n">
        <x:f>IF(AND(ISNUMBER(H852),ISNUMBER(L852)),H852+L852,"")</x:f>
        <x:v>0</x:v>
      </x:c>
    </x:row>
    <x:row r="853" ht="22" customHeight="1">
      <x:c r="A853" s="254" t="n">
        <x:f>453</x:f>
        <x:v>453</x:v>
      </x:c>
      <x:c r="B853" s="440" t="n">
        <x:f>IF(ISNUMBER(H852),H852,"")</x:f>
        <x:v>0</x:v>
      </x:c>
      <x:c r="C853" s="442" t="n">
        <x:f>IF(ISNUMBER(B853),IF(AND(453&gt;$B$173,$B$78="Refinance",ISNUMBER($B$80),$B$80&gt;=0,$B$80&lt;=1,ROUND($B$81*12,0)&gt;=1,$B$81&lt;=100,SUM($B$82)&gt;=0,SUM($B$82)&lt;=1,SUM($B$83)&gt;=0),$B$80,IF(AND($B$175&gt;0,453&gt;$B$175,ISNUMBER($B$75)),$B$75,$B$61)),"")</x:f>
        <x:v>0.0625</x:v>
      </x:c>
      <x:c r="D853" s="440" t="n">
        <x:f>IF(AND(ISNUMBER(B853),B853=0),0,IF(AND($B$171=1,I852=0,ISNUMBER(C853),ISNUMBER(IF(AND(453&lt;=$B$174,453&lt;=$B$173),B853*C853/12,IF(AND(453=$B$173+1,AND(453&gt;$B$173,$B$78="Refinance",ISNUMBER($B$80),$B$80&gt;=0,$B$80&lt;=1,ROUND($B$81*12,0)&gt;=1,$B$81&lt;=100,SUM($B$82)&gt;=0,SUM($B$82)&lt;=1,SUM($B$83)&gt;=0)),IF(B853=0,0,IF(C853=0,B853/ROUND($B$81*12,0),B853*(C853/12)/(1-(1+C853/12)^(-ROUND($B$81*12,0))))),IF(AND(NOT(AND(453&gt;$B$173,$B$78="Refinance",ISNUMBER($B$80),$B$80&gt;=0,$B$80&lt;=1,ROUND($B$81*12,0)&gt;=1,$B$81&lt;=100,SUM($B$82)&gt;=0,SUM($B$82)&lt;=1,SUM($B$83)&gt;=0)),OR(453=1,453=$B$174+1,AND($B$175&gt;0,453=$B$175+1))),IF(AND($B$170=1,$B$66&gt;0,OR($B$175=0,453&lt;=$B$175)),$B$66,IF($B$172-MAX(453-1,$B$174)&gt;0,IF(B853=0,0,IF(C853=0,B853/($B$172-MAX(453-1,$B$174)),B853*(C853/12)/(1-(1+C853/12)^(-($B$172-MAX(453-1,$B$174)))))),"")),D852))))),IF(IF(AND(453&lt;=$B$174,453&lt;=$B$173),B853*C853/12,IF(AND(453=$B$173+1,AND(453&gt;$B$173,$B$78="Refinance",ISNUMBER($B$80),$B$80&gt;=0,$B$80&lt;=1,ROUND($B$81*12,0)&gt;=1,$B$81&lt;=100,SUM($B$82)&gt;=0,SUM($B$82)&lt;=1,SUM($B$83)&gt;=0)),IF(B853=0,0,IF(C853=0,B853/ROUND($B$81*12,0),B853*(C853/12)/(1-(1+C853/12)^(-ROUND($B$81*12,0))))),IF(AND(NOT(AND(453&gt;$B$173,$B$78="Refinance",ISNUMBER($B$80),$B$80&gt;=0,$B$80&lt;=1,ROUND($B$81*12,0)&gt;=1,$B$81&lt;=100,SUM($B$82)&gt;=0,SUM($B$82)&lt;=1,SUM($B$83)&gt;=0)),OR(453=1,453=$B$174+1,AND($B$175&gt;0,453=$B$175+1))),IF(AND($B$170=1,$B$66&gt;0,OR($B$175=0,453&lt;=$B$175)),$B$66,IF($B$172-MAX(453-1,$B$174)&gt;0,IF(B853=0,0,IF(C853=0,B853/($B$172-MAX(453-1,$B$174)),B853*(C853/12)/(1-(1+C853/12)^(-($B$172-MAX(453-1,$B$174)))))),"")),D852)))+0.0000001&gt;=B853*C853/12,MIN(B853*(1+C853/12),IF(AND(453&lt;=$B$174,453&lt;=$B$173),B853*C853/12,IF(AND(453=$B$173+1,AND(453&gt;$B$173,$B$78="Refinance",ISNUMBER($B$80),$B$80&gt;=0,$B$80&lt;=1,ROUND($B$81*12,0)&gt;=1,$B$81&lt;=100,SUM($B$82)&gt;=0,SUM($B$82)&lt;=1,SUM($B$83)&gt;=0)),IF(B853=0,0,IF(C853=0,B853/ROUND($B$81*12,0),B853*(C853/12)/(1-(1+C853/12)^(-ROUND($B$81*12,0))))),IF(AND(NOT(AND(453&gt;$B$173,$B$78="Refinance",ISNUMBER($B$80),$B$80&gt;=0,$B$80&lt;=1,ROUND($B$81*12,0)&gt;=1,$B$81&lt;=100,SUM($B$82)&gt;=0,SUM($B$82)&lt;=1,SUM($B$83)&gt;=0)),OR(453=1,453=$B$174+1,AND($B$175&gt;0,453=$B$175+1))),IF(AND($B$170=1,$B$66&gt;0,OR($B$175=0,453&lt;=$B$175)),$B$66,IF($B$172-MAX(453-1,$B$174)&gt;0,IF(B853=0,0,IF(C853=0,B853/($B$172-MAX(453-1,$B$174)),B853*(C853/12)/(1-(1+C853/12)^(-($B$172-MAX(453-1,$B$174)))))),"")),D852)))),""),""))</x:f>
        <x:v>0</x:v>
      </x:c>
      <x:c r="E853" s="440" t="n">
        <x:f>IF(AND(453=$B$173,ISNUMBER(D853)),IF(MAX(0,B853*(1+C853/12)-D853)&lt;MAX(0.0000001,$E$17*0.00000000001),0,MAX(0,B853*(1+C853/12)-D853)),0)</x:f>
        <x:v>0</x:v>
      </x:c>
      <x:c r="F853" s="440" t="n">
        <x:f>IF($B$78="Cash payoff",E853,0)</x:f>
        <x:v>0</x:v>
      </x:c>
      <x:c r="G853" s="440" t="n">
        <x:f>IF(AND(E853&gt;0,AND($B$78="Refinance",ISNUMBER($B$80),$B$80&gt;=0,$B$80&lt;=1,ROUND($B$81*12,0)&gt;=1,$B$81&lt;=100,SUM($B$82)&gt;=0,SUM($B$82)&lt;=1,SUM($B$83)&gt;=0)),E853*SUM($B$82)+SUM($B$83),0)</x:f>
        <x:v>0</x:v>
      </x:c>
      <x:c r="H853" s="440" t="n">
        <x:f>IF(ISNUMBER(D853),IF(MAX(0,B853*(1+C853/12)-D853-F853)&lt;MAX(0.0000001,$E$17*0.00000000001),0,MAX(0,B853*(1+C853/12)-D853-F853)),IF(AND($B$171=1,I852=1),B853,""))</x:f>
        <x:v>0</x:v>
      </x:c>
      <x:c r="I853" s="444" t="n">
        <x:f>IF(OR(I852=1,AND(E853&gt;0,$B$78&lt;&gt;"Cash payoff",NOT(AND($B$78="Refinance",ISNUMBER($B$80),$B$80&gt;=0,$B$80&lt;=1,ROUND($B$81*12,0)&gt;=1,$B$81&lt;=100,SUM($B$82)&gt;=0,SUM($B$82)&lt;=1,SUM($B$83)&gt;=0))),AND(ISNUMBER(B853),B853&gt;0,$B$171=1,NOT(ISNUMBER(D853)))),1,0)</x:f>
        <x:v>0</x:v>
      </x:c>
      <x:c r="J853" s="440" t="n">
        <x:f>IF(ISNUMBER(L852),L852,"")</x:f>
        <x:v>0</x:v>
      </x:c>
      <x:c r="K853" s="440" t="n">
        <x:f>IF(AND(ISNUMBER(J853),J853=0),0,IF(AND($B$176=1,ISNUMBER(J853)),MIN(J853*(1+$B$87/12),IF($B$86=0,0,IF($B$87=0,$B$86/ROUND($B$88*12,0),$B$86*($B$87/12)/(1-(1+$B$87/12)^(-ROUND($B$88*12,0)))))),""))</x:f>
        <x:v>0</x:v>
      </x:c>
      <x:c r="L853" s="440" t="n">
        <x:f>IF(ISNUMBER(K853),IF(MAX(0,J853*(1+SUM($B$87)/12)-K853)&lt;MAX(0.0000001,$B$86*0.00000000001),0,MAX(0,J853*(1+SUM($B$87)/12)-K853)),"")</x:f>
        <x:v>0</x:v>
      </x:c>
      <x:c r="M853" s="440" t="n">
        <x:f>IF(AND(ISNUMBER(D853),ISNUMBER(K853)),D853+K853,"")</x:f>
        <x:v>0</x:v>
      </x:c>
      <x:c r="N853" s="440" t="n">
        <x:f>IF(AND(ISNUMBER(H853),ISNUMBER(L853)),H853+L853,"")</x:f>
        <x:v>0</x:v>
      </x:c>
    </x:row>
    <x:row r="854" ht="22" customHeight="1">
      <x:c r="A854" s="254" t="n">
        <x:f>454</x:f>
        <x:v>454</x:v>
      </x:c>
      <x:c r="B854" s="440" t="n">
        <x:f>IF(ISNUMBER(H853),H853,"")</x:f>
        <x:v>0</x:v>
      </x:c>
      <x:c r="C854" s="442" t="n">
        <x:f>IF(ISNUMBER(B854),IF(AND(454&gt;$B$173,$B$78="Refinance",ISNUMBER($B$80),$B$80&gt;=0,$B$80&lt;=1,ROUND($B$81*12,0)&gt;=1,$B$81&lt;=100,SUM($B$82)&gt;=0,SUM($B$82)&lt;=1,SUM($B$83)&gt;=0),$B$80,IF(AND($B$175&gt;0,454&gt;$B$175,ISNUMBER($B$75)),$B$75,$B$61)),"")</x:f>
        <x:v>0.0625</x:v>
      </x:c>
      <x:c r="D854" s="440" t="n">
        <x:f>IF(AND(ISNUMBER(B854),B854=0),0,IF(AND($B$171=1,I853=0,ISNUMBER(C854),ISNUMBER(IF(AND(454&lt;=$B$174,454&lt;=$B$173),B854*C854/12,IF(AND(454=$B$173+1,AND(454&gt;$B$173,$B$78="Refinance",ISNUMBER($B$80),$B$80&gt;=0,$B$80&lt;=1,ROUND($B$81*12,0)&gt;=1,$B$81&lt;=100,SUM($B$82)&gt;=0,SUM($B$82)&lt;=1,SUM($B$83)&gt;=0)),IF(B854=0,0,IF(C854=0,B854/ROUND($B$81*12,0),B854*(C854/12)/(1-(1+C854/12)^(-ROUND($B$81*12,0))))),IF(AND(NOT(AND(454&gt;$B$173,$B$78="Refinance",ISNUMBER($B$80),$B$80&gt;=0,$B$80&lt;=1,ROUND($B$81*12,0)&gt;=1,$B$81&lt;=100,SUM($B$82)&gt;=0,SUM($B$82)&lt;=1,SUM($B$83)&gt;=0)),OR(454=1,454=$B$174+1,AND($B$175&gt;0,454=$B$175+1))),IF(AND($B$170=1,$B$66&gt;0,OR($B$175=0,454&lt;=$B$175)),$B$66,IF($B$172-MAX(454-1,$B$174)&gt;0,IF(B854=0,0,IF(C854=0,B854/($B$172-MAX(454-1,$B$174)),B854*(C854/12)/(1-(1+C854/12)^(-($B$172-MAX(454-1,$B$174)))))),"")),D853))))),IF(IF(AND(454&lt;=$B$174,454&lt;=$B$173),B854*C854/12,IF(AND(454=$B$173+1,AND(454&gt;$B$173,$B$78="Refinance",ISNUMBER($B$80),$B$80&gt;=0,$B$80&lt;=1,ROUND($B$81*12,0)&gt;=1,$B$81&lt;=100,SUM($B$82)&gt;=0,SUM($B$82)&lt;=1,SUM($B$83)&gt;=0)),IF(B854=0,0,IF(C854=0,B854/ROUND($B$81*12,0),B854*(C854/12)/(1-(1+C854/12)^(-ROUND($B$81*12,0))))),IF(AND(NOT(AND(454&gt;$B$173,$B$78="Refinance",ISNUMBER($B$80),$B$80&gt;=0,$B$80&lt;=1,ROUND($B$81*12,0)&gt;=1,$B$81&lt;=100,SUM($B$82)&gt;=0,SUM($B$82)&lt;=1,SUM($B$83)&gt;=0)),OR(454=1,454=$B$174+1,AND($B$175&gt;0,454=$B$175+1))),IF(AND($B$170=1,$B$66&gt;0,OR($B$175=0,454&lt;=$B$175)),$B$66,IF($B$172-MAX(454-1,$B$174)&gt;0,IF(B854=0,0,IF(C854=0,B854/($B$172-MAX(454-1,$B$174)),B854*(C854/12)/(1-(1+C854/12)^(-($B$172-MAX(454-1,$B$174)))))),"")),D853)))+0.0000001&gt;=B854*C854/12,MIN(B854*(1+C854/12),IF(AND(454&lt;=$B$174,454&lt;=$B$173),B854*C854/12,IF(AND(454=$B$173+1,AND(454&gt;$B$173,$B$78="Refinance",ISNUMBER($B$80),$B$80&gt;=0,$B$80&lt;=1,ROUND($B$81*12,0)&gt;=1,$B$81&lt;=100,SUM($B$82)&gt;=0,SUM($B$82)&lt;=1,SUM($B$83)&gt;=0)),IF(B854=0,0,IF(C854=0,B854/ROUND($B$81*12,0),B854*(C854/12)/(1-(1+C854/12)^(-ROUND($B$81*12,0))))),IF(AND(NOT(AND(454&gt;$B$173,$B$78="Refinance",ISNUMBER($B$80),$B$80&gt;=0,$B$80&lt;=1,ROUND($B$81*12,0)&gt;=1,$B$81&lt;=100,SUM($B$82)&gt;=0,SUM($B$82)&lt;=1,SUM($B$83)&gt;=0)),OR(454=1,454=$B$174+1,AND($B$175&gt;0,454=$B$175+1))),IF(AND($B$170=1,$B$66&gt;0,OR($B$175=0,454&lt;=$B$175)),$B$66,IF($B$172-MAX(454-1,$B$174)&gt;0,IF(B854=0,0,IF(C854=0,B854/($B$172-MAX(454-1,$B$174)),B854*(C854/12)/(1-(1+C854/12)^(-($B$172-MAX(454-1,$B$174)))))),"")),D853)))),""),""))</x:f>
        <x:v>0</x:v>
      </x:c>
      <x:c r="E854" s="440" t="n">
        <x:f>IF(AND(454=$B$173,ISNUMBER(D854)),IF(MAX(0,B854*(1+C854/12)-D854)&lt;MAX(0.0000001,$E$17*0.00000000001),0,MAX(0,B854*(1+C854/12)-D854)),0)</x:f>
        <x:v>0</x:v>
      </x:c>
      <x:c r="F854" s="440" t="n">
        <x:f>IF($B$78="Cash payoff",E854,0)</x:f>
        <x:v>0</x:v>
      </x:c>
      <x:c r="G854" s="440" t="n">
        <x:f>IF(AND(E854&gt;0,AND($B$78="Refinance",ISNUMBER($B$80),$B$80&gt;=0,$B$80&lt;=1,ROUND($B$81*12,0)&gt;=1,$B$81&lt;=100,SUM($B$82)&gt;=0,SUM($B$82)&lt;=1,SUM($B$83)&gt;=0)),E854*SUM($B$82)+SUM($B$83),0)</x:f>
        <x:v>0</x:v>
      </x:c>
      <x:c r="H854" s="440" t="n">
        <x:f>IF(ISNUMBER(D854),IF(MAX(0,B854*(1+C854/12)-D854-F854)&lt;MAX(0.0000001,$E$17*0.00000000001),0,MAX(0,B854*(1+C854/12)-D854-F854)),IF(AND($B$171=1,I853=1),B854,""))</x:f>
        <x:v>0</x:v>
      </x:c>
      <x:c r="I854" s="444" t="n">
        <x:f>IF(OR(I853=1,AND(E854&gt;0,$B$78&lt;&gt;"Cash payoff",NOT(AND($B$78="Refinance",ISNUMBER($B$80),$B$80&gt;=0,$B$80&lt;=1,ROUND($B$81*12,0)&gt;=1,$B$81&lt;=100,SUM($B$82)&gt;=0,SUM($B$82)&lt;=1,SUM($B$83)&gt;=0))),AND(ISNUMBER(B854),B854&gt;0,$B$171=1,NOT(ISNUMBER(D854)))),1,0)</x:f>
        <x:v>0</x:v>
      </x:c>
      <x:c r="J854" s="440" t="n">
        <x:f>IF(ISNUMBER(L853),L853,"")</x:f>
        <x:v>0</x:v>
      </x:c>
      <x:c r="K854" s="440" t="n">
        <x:f>IF(AND(ISNUMBER(J854),J854=0),0,IF(AND($B$176=1,ISNUMBER(J854)),MIN(J854*(1+$B$87/12),IF($B$86=0,0,IF($B$87=0,$B$86/ROUND($B$88*12,0),$B$86*($B$87/12)/(1-(1+$B$87/12)^(-ROUND($B$88*12,0)))))),""))</x:f>
        <x:v>0</x:v>
      </x:c>
      <x:c r="L854" s="440" t="n">
        <x:f>IF(ISNUMBER(K854),IF(MAX(0,J854*(1+SUM($B$87)/12)-K854)&lt;MAX(0.0000001,$B$86*0.00000000001),0,MAX(0,J854*(1+SUM($B$87)/12)-K854)),"")</x:f>
        <x:v>0</x:v>
      </x:c>
      <x:c r="M854" s="440" t="n">
        <x:f>IF(AND(ISNUMBER(D854),ISNUMBER(K854)),D854+K854,"")</x:f>
        <x:v>0</x:v>
      </x:c>
      <x:c r="N854" s="440" t="n">
        <x:f>IF(AND(ISNUMBER(H854),ISNUMBER(L854)),H854+L854,"")</x:f>
        <x:v>0</x:v>
      </x:c>
    </x:row>
    <x:row r="855" ht="22" customHeight="1">
      <x:c r="A855" s="254" t="n">
        <x:f>455</x:f>
        <x:v>455</x:v>
      </x:c>
      <x:c r="B855" s="440" t="n">
        <x:f>IF(ISNUMBER(H854),H854,"")</x:f>
        <x:v>0</x:v>
      </x:c>
      <x:c r="C855" s="442" t="n">
        <x:f>IF(ISNUMBER(B855),IF(AND(455&gt;$B$173,$B$78="Refinance",ISNUMBER($B$80),$B$80&gt;=0,$B$80&lt;=1,ROUND($B$81*12,0)&gt;=1,$B$81&lt;=100,SUM($B$82)&gt;=0,SUM($B$82)&lt;=1,SUM($B$83)&gt;=0),$B$80,IF(AND($B$175&gt;0,455&gt;$B$175,ISNUMBER($B$75)),$B$75,$B$61)),"")</x:f>
        <x:v>0.0625</x:v>
      </x:c>
      <x:c r="D855" s="440" t="n">
        <x:f>IF(AND(ISNUMBER(B855),B855=0),0,IF(AND($B$171=1,I854=0,ISNUMBER(C855),ISNUMBER(IF(AND(455&lt;=$B$174,455&lt;=$B$173),B855*C855/12,IF(AND(455=$B$173+1,AND(455&gt;$B$173,$B$78="Refinance",ISNUMBER($B$80),$B$80&gt;=0,$B$80&lt;=1,ROUND($B$81*12,0)&gt;=1,$B$81&lt;=100,SUM($B$82)&gt;=0,SUM($B$82)&lt;=1,SUM($B$83)&gt;=0)),IF(B855=0,0,IF(C855=0,B855/ROUND($B$81*12,0),B855*(C855/12)/(1-(1+C855/12)^(-ROUND($B$81*12,0))))),IF(AND(NOT(AND(455&gt;$B$173,$B$78="Refinance",ISNUMBER($B$80),$B$80&gt;=0,$B$80&lt;=1,ROUND($B$81*12,0)&gt;=1,$B$81&lt;=100,SUM($B$82)&gt;=0,SUM($B$82)&lt;=1,SUM($B$83)&gt;=0)),OR(455=1,455=$B$174+1,AND($B$175&gt;0,455=$B$175+1))),IF(AND($B$170=1,$B$66&gt;0,OR($B$175=0,455&lt;=$B$175)),$B$66,IF($B$172-MAX(455-1,$B$174)&gt;0,IF(B855=0,0,IF(C855=0,B855/($B$172-MAX(455-1,$B$174)),B855*(C855/12)/(1-(1+C855/12)^(-($B$172-MAX(455-1,$B$174)))))),"")),D854))))),IF(IF(AND(455&lt;=$B$174,455&lt;=$B$173),B855*C855/12,IF(AND(455=$B$173+1,AND(455&gt;$B$173,$B$78="Refinance",ISNUMBER($B$80),$B$80&gt;=0,$B$80&lt;=1,ROUND($B$81*12,0)&gt;=1,$B$81&lt;=100,SUM($B$82)&gt;=0,SUM($B$82)&lt;=1,SUM($B$83)&gt;=0)),IF(B855=0,0,IF(C855=0,B855/ROUND($B$81*12,0),B855*(C855/12)/(1-(1+C855/12)^(-ROUND($B$81*12,0))))),IF(AND(NOT(AND(455&gt;$B$173,$B$78="Refinance",ISNUMBER($B$80),$B$80&gt;=0,$B$80&lt;=1,ROUND($B$81*12,0)&gt;=1,$B$81&lt;=100,SUM($B$82)&gt;=0,SUM($B$82)&lt;=1,SUM($B$83)&gt;=0)),OR(455=1,455=$B$174+1,AND($B$175&gt;0,455=$B$175+1))),IF(AND($B$170=1,$B$66&gt;0,OR($B$175=0,455&lt;=$B$175)),$B$66,IF($B$172-MAX(455-1,$B$174)&gt;0,IF(B855=0,0,IF(C855=0,B855/($B$172-MAX(455-1,$B$174)),B855*(C855/12)/(1-(1+C855/12)^(-($B$172-MAX(455-1,$B$174)))))),"")),D854)))+0.0000001&gt;=B855*C855/12,MIN(B855*(1+C855/12),IF(AND(455&lt;=$B$174,455&lt;=$B$173),B855*C855/12,IF(AND(455=$B$173+1,AND(455&gt;$B$173,$B$78="Refinance",ISNUMBER($B$80),$B$80&gt;=0,$B$80&lt;=1,ROUND($B$81*12,0)&gt;=1,$B$81&lt;=100,SUM($B$82)&gt;=0,SUM($B$82)&lt;=1,SUM($B$83)&gt;=0)),IF(B855=0,0,IF(C855=0,B855/ROUND($B$81*12,0),B855*(C855/12)/(1-(1+C855/12)^(-ROUND($B$81*12,0))))),IF(AND(NOT(AND(455&gt;$B$173,$B$78="Refinance",ISNUMBER($B$80),$B$80&gt;=0,$B$80&lt;=1,ROUND($B$81*12,0)&gt;=1,$B$81&lt;=100,SUM($B$82)&gt;=0,SUM($B$82)&lt;=1,SUM($B$83)&gt;=0)),OR(455=1,455=$B$174+1,AND($B$175&gt;0,455=$B$175+1))),IF(AND($B$170=1,$B$66&gt;0,OR($B$175=0,455&lt;=$B$175)),$B$66,IF($B$172-MAX(455-1,$B$174)&gt;0,IF(B855=0,0,IF(C855=0,B855/($B$172-MAX(455-1,$B$174)),B855*(C855/12)/(1-(1+C855/12)^(-($B$172-MAX(455-1,$B$174)))))),"")),D854)))),""),""))</x:f>
        <x:v>0</x:v>
      </x:c>
      <x:c r="E855" s="440" t="n">
        <x:f>IF(AND(455=$B$173,ISNUMBER(D855)),IF(MAX(0,B855*(1+C855/12)-D855)&lt;MAX(0.0000001,$E$17*0.00000000001),0,MAX(0,B855*(1+C855/12)-D855)),0)</x:f>
        <x:v>0</x:v>
      </x:c>
      <x:c r="F855" s="440" t="n">
        <x:f>IF($B$78="Cash payoff",E855,0)</x:f>
        <x:v>0</x:v>
      </x:c>
      <x:c r="G855" s="440" t="n">
        <x:f>IF(AND(E855&gt;0,AND($B$78="Refinance",ISNUMBER($B$80),$B$80&gt;=0,$B$80&lt;=1,ROUND($B$81*12,0)&gt;=1,$B$81&lt;=100,SUM($B$82)&gt;=0,SUM($B$82)&lt;=1,SUM($B$83)&gt;=0)),E855*SUM($B$82)+SUM($B$83),0)</x:f>
        <x:v>0</x:v>
      </x:c>
      <x:c r="H855" s="440" t="n">
        <x:f>IF(ISNUMBER(D855),IF(MAX(0,B855*(1+C855/12)-D855-F855)&lt;MAX(0.0000001,$E$17*0.00000000001),0,MAX(0,B855*(1+C855/12)-D855-F855)),IF(AND($B$171=1,I854=1),B855,""))</x:f>
        <x:v>0</x:v>
      </x:c>
      <x:c r="I855" s="444" t="n">
        <x:f>IF(OR(I854=1,AND(E855&gt;0,$B$78&lt;&gt;"Cash payoff",NOT(AND($B$78="Refinance",ISNUMBER($B$80),$B$80&gt;=0,$B$80&lt;=1,ROUND($B$81*12,0)&gt;=1,$B$81&lt;=100,SUM($B$82)&gt;=0,SUM($B$82)&lt;=1,SUM($B$83)&gt;=0))),AND(ISNUMBER(B855),B855&gt;0,$B$171=1,NOT(ISNUMBER(D855)))),1,0)</x:f>
        <x:v>0</x:v>
      </x:c>
      <x:c r="J855" s="440" t="n">
        <x:f>IF(ISNUMBER(L854),L854,"")</x:f>
        <x:v>0</x:v>
      </x:c>
      <x:c r="K855" s="440" t="n">
        <x:f>IF(AND(ISNUMBER(J855),J855=0),0,IF(AND($B$176=1,ISNUMBER(J855)),MIN(J855*(1+$B$87/12),IF($B$86=0,0,IF($B$87=0,$B$86/ROUND($B$88*12,0),$B$86*($B$87/12)/(1-(1+$B$87/12)^(-ROUND($B$88*12,0)))))),""))</x:f>
        <x:v>0</x:v>
      </x:c>
      <x:c r="L855" s="440" t="n">
        <x:f>IF(ISNUMBER(K855),IF(MAX(0,J855*(1+SUM($B$87)/12)-K855)&lt;MAX(0.0000001,$B$86*0.00000000001),0,MAX(0,J855*(1+SUM($B$87)/12)-K855)),"")</x:f>
        <x:v>0</x:v>
      </x:c>
      <x:c r="M855" s="440" t="n">
        <x:f>IF(AND(ISNUMBER(D855),ISNUMBER(K855)),D855+K855,"")</x:f>
        <x:v>0</x:v>
      </x:c>
      <x:c r="N855" s="440" t="n">
        <x:f>IF(AND(ISNUMBER(H855),ISNUMBER(L855)),H855+L855,"")</x:f>
        <x:v>0</x:v>
      </x:c>
    </x:row>
    <x:row r="856" ht="22" customHeight="1">
      <x:c r="A856" s="254" t="n">
        <x:f>456</x:f>
        <x:v>456</x:v>
      </x:c>
      <x:c r="B856" s="440" t="n">
        <x:f>IF(ISNUMBER(H855),H855,"")</x:f>
        <x:v>0</x:v>
      </x:c>
      <x:c r="C856" s="442" t="n">
        <x:f>IF(ISNUMBER(B856),IF(AND(456&gt;$B$173,$B$78="Refinance",ISNUMBER($B$80),$B$80&gt;=0,$B$80&lt;=1,ROUND($B$81*12,0)&gt;=1,$B$81&lt;=100,SUM($B$82)&gt;=0,SUM($B$82)&lt;=1,SUM($B$83)&gt;=0),$B$80,IF(AND($B$175&gt;0,456&gt;$B$175,ISNUMBER($B$75)),$B$75,$B$61)),"")</x:f>
        <x:v>0.0625</x:v>
      </x:c>
      <x:c r="D856" s="440" t="n">
        <x:f>IF(AND(ISNUMBER(B856),B856=0),0,IF(AND($B$171=1,I855=0,ISNUMBER(C856),ISNUMBER(IF(AND(456&lt;=$B$174,456&lt;=$B$173),B856*C856/12,IF(AND(456=$B$173+1,AND(456&gt;$B$173,$B$78="Refinance",ISNUMBER($B$80),$B$80&gt;=0,$B$80&lt;=1,ROUND($B$81*12,0)&gt;=1,$B$81&lt;=100,SUM($B$82)&gt;=0,SUM($B$82)&lt;=1,SUM($B$83)&gt;=0)),IF(B856=0,0,IF(C856=0,B856/ROUND($B$81*12,0),B856*(C856/12)/(1-(1+C856/12)^(-ROUND($B$81*12,0))))),IF(AND(NOT(AND(456&gt;$B$173,$B$78="Refinance",ISNUMBER($B$80),$B$80&gt;=0,$B$80&lt;=1,ROUND($B$81*12,0)&gt;=1,$B$81&lt;=100,SUM($B$82)&gt;=0,SUM($B$82)&lt;=1,SUM($B$83)&gt;=0)),OR(456=1,456=$B$174+1,AND($B$175&gt;0,456=$B$175+1))),IF(AND($B$170=1,$B$66&gt;0,OR($B$175=0,456&lt;=$B$175)),$B$66,IF($B$172-MAX(456-1,$B$174)&gt;0,IF(B856=0,0,IF(C856=0,B856/($B$172-MAX(456-1,$B$174)),B856*(C856/12)/(1-(1+C856/12)^(-($B$172-MAX(456-1,$B$174)))))),"")),D855))))),IF(IF(AND(456&lt;=$B$174,456&lt;=$B$173),B856*C856/12,IF(AND(456=$B$173+1,AND(456&gt;$B$173,$B$78="Refinance",ISNUMBER($B$80),$B$80&gt;=0,$B$80&lt;=1,ROUND($B$81*12,0)&gt;=1,$B$81&lt;=100,SUM($B$82)&gt;=0,SUM($B$82)&lt;=1,SUM($B$83)&gt;=0)),IF(B856=0,0,IF(C856=0,B856/ROUND($B$81*12,0),B856*(C856/12)/(1-(1+C856/12)^(-ROUND($B$81*12,0))))),IF(AND(NOT(AND(456&gt;$B$173,$B$78="Refinance",ISNUMBER($B$80),$B$80&gt;=0,$B$80&lt;=1,ROUND($B$81*12,0)&gt;=1,$B$81&lt;=100,SUM($B$82)&gt;=0,SUM($B$82)&lt;=1,SUM($B$83)&gt;=0)),OR(456=1,456=$B$174+1,AND($B$175&gt;0,456=$B$175+1))),IF(AND($B$170=1,$B$66&gt;0,OR($B$175=0,456&lt;=$B$175)),$B$66,IF($B$172-MAX(456-1,$B$174)&gt;0,IF(B856=0,0,IF(C856=0,B856/($B$172-MAX(456-1,$B$174)),B856*(C856/12)/(1-(1+C856/12)^(-($B$172-MAX(456-1,$B$174)))))),"")),D855)))+0.0000001&gt;=B856*C856/12,MIN(B856*(1+C856/12),IF(AND(456&lt;=$B$174,456&lt;=$B$173),B856*C856/12,IF(AND(456=$B$173+1,AND(456&gt;$B$173,$B$78="Refinance",ISNUMBER($B$80),$B$80&gt;=0,$B$80&lt;=1,ROUND($B$81*12,0)&gt;=1,$B$81&lt;=100,SUM($B$82)&gt;=0,SUM($B$82)&lt;=1,SUM($B$83)&gt;=0)),IF(B856=0,0,IF(C856=0,B856/ROUND($B$81*12,0),B856*(C856/12)/(1-(1+C856/12)^(-ROUND($B$81*12,0))))),IF(AND(NOT(AND(456&gt;$B$173,$B$78="Refinance",ISNUMBER($B$80),$B$80&gt;=0,$B$80&lt;=1,ROUND($B$81*12,0)&gt;=1,$B$81&lt;=100,SUM($B$82)&gt;=0,SUM($B$82)&lt;=1,SUM($B$83)&gt;=0)),OR(456=1,456=$B$174+1,AND($B$175&gt;0,456=$B$175+1))),IF(AND($B$170=1,$B$66&gt;0,OR($B$175=0,456&lt;=$B$175)),$B$66,IF($B$172-MAX(456-1,$B$174)&gt;0,IF(B856=0,0,IF(C856=0,B856/($B$172-MAX(456-1,$B$174)),B856*(C856/12)/(1-(1+C856/12)^(-($B$172-MAX(456-1,$B$174)))))),"")),D855)))),""),""))</x:f>
        <x:v>0</x:v>
      </x:c>
      <x:c r="E856" s="440" t="n">
        <x:f>IF(AND(456=$B$173,ISNUMBER(D856)),IF(MAX(0,B856*(1+C856/12)-D856)&lt;MAX(0.0000001,$E$17*0.00000000001),0,MAX(0,B856*(1+C856/12)-D856)),0)</x:f>
        <x:v>0</x:v>
      </x:c>
      <x:c r="F856" s="440" t="n">
        <x:f>IF($B$78="Cash payoff",E856,0)</x:f>
        <x:v>0</x:v>
      </x:c>
      <x:c r="G856" s="440" t="n">
        <x:f>IF(AND(E856&gt;0,AND($B$78="Refinance",ISNUMBER($B$80),$B$80&gt;=0,$B$80&lt;=1,ROUND($B$81*12,0)&gt;=1,$B$81&lt;=100,SUM($B$82)&gt;=0,SUM($B$82)&lt;=1,SUM($B$83)&gt;=0)),E856*SUM($B$82)+SUM($B$83),0)</x:f>
        <x:v>0</x:v>
      </x:c>
      <x:c r="H856" s="440" t="n">
        <x:f>IF(ISNUMBER(D856),IF(MAX(0,B856*(1+C856/12)-D856-F856)&lt;MAX(0.0000001,$E$17*0.00000000001),0,MAX(0,B856*(1+C856/12)-D856-F856)),IF(AND($B$171=1,I855=1),B856,""))</x:f>
        <x:v>0</x:v>
      </x:c>
      <x:c r="I856" s="444" t="n">
        <x:f>IF(OR(I855=1,AND(E856&gt;0,$B$78&lt;&gt;"Cash payoff",NOT(AND($B$78="Refinance",ISNUMBER($B$80),$B$80&gt;=0,$B$80&lt;=1,ROUND($B$81*12,0)&gt;=1,$B$81&lt;=100,SUM($B$82)&gt;=0,SUM($B$82)&lt;=1,SUM($B$83)&gt;=0))),AND(ISNUMBER(B856),B856&gt;0,$B$171=1,NOT(ISNUMBER(D856)))),1,0)</x:f>
        <x:v>0</x:v>
      </x:c>
      <x:c r="J856" s="440" t="n">
        <x:f>IF(ISNUMBER(L855),L855,"")</x:f>
        <x:v>0</x:v>
      </x:c>
      <x:c r="K856" s="440" t="n">
        <x:f>IF(AND(ISNUMBER(J856),J856=0),0,IF(AND($B$176=1,ISNUMBER(J856)),MIN(J856*(1+$B$87/12),IF($B$86=0,0,IF($B$87=0,$B$86/ROUND($B$88*12,0),$B$86*($B$87/12)/(1-(1+$B$87/12)^(-ROUND($B$88*12,0)))))),""))</x:f>
        <x:v>0</x:v>
      </x:c>
      <x:c r="L856" s="440" t="n">
        <x:f>IF(ISNUMBER(K856),IF(MAX(0,J856*(1+SUM($B$87)/12)-K856)&lt;MAX(0.0000001,$B$86*0.00000000001),0,MAX(0,J856*(1+SUM($B$87)/12)-K856)),"")</x:f>
        <x:v>0</x:v>
      </x:c>
      <x:c r="M856" s="440" t="n">
        <x:f>IF(AND(ISNUMBER(D856),ISNUMBER(K856)),D856+K856,"")</x:f>
        <x:v>0</x:v>
      </x:c>
      <x:c r="N856" s="440" t="n">
        <x:f>IF(AND(ISNUMBER(H856),ISNUMBER(L856)),H856+L856,"")</x:f>
        <x:v>0</x:v>
      </x:c>
    </x:row>
    <x:row r="857" ht="22" customHeight="1">
      <x:c r="A857" s="254" t="n">
        <x:f>457</x:f>
        <x:v>457</x:v>
      </x:c>
      <x:c r="B857" s="440" t="n">
        <x:f>IF(ISNUMBER(H856),H856,"")</x:f>
        <x:v>0</x:v>
      </x:c>
      <x:c r="C857" s="442" t="n">
        <x:f>IF(ISNUMBER(B857),IF(AND(457&gt;$B$173,$B$78="Refinance",ISNUMBER($B$80),$B$80&gt;=0,$B$80&lt;=1,ROUND($B$81*12,0)&gt;=1,$B$81&lt;=100,SUM($B$82)&gt;=0,SUM($B$82)&lt;=1,SUM($B$83)&gt;=0),$B$80,IF(AND($B$175&gt;0,457&gt;$B$175,ISNUMBER($B$75)),$B$75,$B$61)),"")</x:f>
        <x:v>0.0625</x:v>
      </x:c>
      <x:c r="D857" s="440" t="n">
        <x:f>IF(AND(ISNUMBER(B857),B857=0),0,IF(AND($B$171=1,I856=0,ISNUMBER(C857),ISNUMBER(IF(AND(457&lt;=$B$174,457&lt;=$B$173),B857*C857/12,IF(AND(457=$B$173+1,AND(457&gt;$B$173,$B$78="Refinance",ISNUMBER($B$80),$B$80&gt;=0,$B$80&lt;=1,ROUND($B$81*12,0)&gt;=1,$B$81&lt;=100,SUM($B$82)&gt;=0,SUM($B$82)&lt;=1,SUM($B$83)&gt;=0)),IF(B857=0,0,IF(C857=0,B857/ROUND($B$81*12,0),B857*(C857/12)/(1-(1+C857/12)^(-ROUND($B$81*12,0))))),IF(AND(NOT(AND(457&gt;$B$173,$B$78="Refinance",ISNUMBER($B$80),$B$80&gt;=0,$B$80&lt;=1,ROUND($B$81*12,0)&gt;=1,$B$81&lt;=100,SUM($B$82)&gt;=0,SUM($B$82)&lt;=1,SUM($B$83)&gt;=0)),OR(457=1,457=$B$174+1,AND($B$175&gt;0,457=$B$175+1))),IF(AND($B$170=1,$B$66&gt;0,OR($B$175=0,457&lt;=$B$175)),$B$66,IF($B$172-MAX(457-1,$B$174)&gt;0,IF(B857=0,0,IF(C857=0,B857/($B$172-MAX(457-1,$B$174)),B857*(C857/12)/(1-(1+C857/12)^(-($B$172-MAX(457-1,$B$174)))))),"")),D856))))),IF(IF(AND(457&lt;=$B$174,457&lt;=$B$173),B857*C857/12,IF(AND(457=$B$173+1,AND(457&gt;$B$173,$B$78="Refinance",ISNUMBER($B$80),$B$80&gt;=0,$B$80&lt;=1,ROUND($B$81*12,0)&gt;=1,$B$81&lt;=100,SUM($B$82)&gt;=0,SUM($B$82)&lt;=1,SUM($B$83)&gt;=0)),IF(B857=0,0,IF(C857=0,B857/ROUND($B$81*12,0),B857*(C857/12)/(1-(1+C857/12)^(-ROUND($B$81*12,0))))),IF(AND(NOT(AND(457&gt;$B$173,$B$78="Refinance",ISNUMBER($B$80),$B$80&gt;=0,$B$80&lt;=1,ROUND($B$81*12,0)&gt;=1,$B$81&lt;=100,SUM($B$82)&gt;=0,SUM($B$82)&lt;=1,SUM($B$83)&gt;=0)),OR(457=1,457=$B$174+1,AND($B$175&gt;0,457=$B$175+1))),IF(AND($B$170=1,$B$66&gt;0,OR($B$175=0,457&lt;=$B$175)),$B$66,IF($B$172-MAX(457-1,$B$174)&gt;0,IF(B857=0,0,IF(C857=0,B857/($B$172-MAX(457-1,$B$174)),B857*(C857/12)/(1-(1+C857/12)^(-($B$172-MAX(457-1,$B$174)))))),"")),D856)))+0.0000001&gt;=B857*C857/12,MIN(B857*(1+C857/12),IF(AND(457&lt;=$B$174,457&lt;=$B$173),B857*C857/12,IF(AND(457=$B$173+1,AND(457&gt;$B$173,$B$78="Refinance",ISNUMBER($B$80),$B$80&gt;=0,$B$80&lt;=1,ROUND($B$81*12,0)&gt;=1,$B$81&lt;=100,SUM($B$82)&gt;=0,SUM($B$82)&lt;=1,SUM($B$83)&gt;=0)),IF(B857=0,0,IF(C857=0,B857/ROUND($B$81*12,0),B857*(C857/12)/(1-(1+C857/12)^(-ROUND($B$81*12,0))))),IF(AND(NOT(AND(457&gt;$B$173,$B$78="Refinance",ISNUMBER($B$80),$B$80&gt;=0,$B$80&lt;=1,ROUND($B$81*12,0)&gt;=1,$B$81&lt;=100,SUM($B$82)&gt;=0,SUM($B$82)&lt;=1,SUM($B$83)&gt;=0)),OR(457=1,457=$B$174+1,AND($B$175&gt;0,457=$B$175+1))),IF(AND($B$170=1,$B$66&gt;0,OR($B$175=0,457&lt;=$B$175)),$B$66,IF($B$172-MAX(457-1,$B$174)&gt;0,IF(B857=0,0,IF(C857=0,B857/($B$172-MAX(457-1,$B$174)),B857*(C857/12)/(1-(1+C857/12)^(-($B$172-MAX(457-1,$B$174)))))),"")),D856)))),""),""))</x:f>
        <x:v>0</x:v>
      </x:c>
      <x:c r="E857" s="440" t="n">
        <x:f>IF(AND(457=$B$173,ISNUMBER(D857)),IF(MAX(0,B857*(1+C857/12)-D857)&lt;MAX(0.0000001,$E$17*0.00000000001),0,MAX(0,B857*(1+C857/12)-D857)),0)</x:f>
        <x:v>0</x:v>
      </x:c>
      <x:c r="F857" s="440" t="n">
        <x:f>IF($B$78="Cash payoff",E857,0)</x:f>
        <x:v>0</x:v>
      </x:c>
      <x:c r="G857" s="440" t="n">
        <x:f>IF(AND(E857&gt;0,AND($B$78="Refinance",ISNUMBER($B$80),$B$80&gt;=0,$B$80&lt;=1,ROUND($B$81*12,0)&gt;=1,$B$81&lt;=100,SUM($B$82)&gt;=0,SUM($B$82)&lt;=1,SUM($B$83)&gt;=0)),E857*SUM($B$82)+SUM($B$83),0)</x:f>
        <x:v>0</x:v>
      </x:c>
      <x:c r="H857" s="440" t="n">
        <x:f>IF(ISNUMBER(D857),IF(MAX(0,B857*(1+C857/12)-D857-F857)&lt;MAX(0.0000001,$E$17*0.00000000001),0,MAX(0,B857*(1+C857/12)-D857-F857)),IF(AND($B$171=1,I856=1),B857,""))</x:f>
        <x:v>0</x:v>
      </x:c>
      <x:c r="I857" s="444" t="n">
        <x:f>IF(OR(I856=1,AND(E857&gt;0,$B$78&lt;&gt;"Cash payoff",NOT(AND($B$78="Refinance",ISNUMBER($B$80),$B$80&gt;=0,$B$80&lt;=1,ROUND($B$81*12,0)&gt;=1,$B$81&lt;=100,SUM($B$82)&gt;=0,SUM($B$82)&lt;=1,SUM($B$83)&gt;=0))),AND(ISNUMBER(B857),B857&gt;0,$B$171=1,NOT(ISNUMBER(D857)))),1,0)</x:f>
        <x:v>0</x:v>
      </x:c>
      <x:c r="J857" s="440" t="n">
        <x:f>IF(ISNUMBER(L856),L856,"")</x:f>
        <x:v>0</x:v>
      </x:c>
      <x:c r="K857" s="440" t="n">
        <x:f>IF(AND(ISNUMBER(J857),J857=0),0,IF(AND($B$176=1,ISNUMBER(J857)),MIN(J857*(1+$B$87/12),IF($B$86=0,0,IF($B$87=0,$B$86/ROUND($B$88*12,0),$B$86*($B$87/12)/(1-(1+$B$87/12)^(-ROUND($B$88*12,0)))))),""))</x:f>
        <x:v>0</x:v>
      </x:c>
      <x:c r="L857" s="440" t="n">
        <x:f>IF(ISNUMBER(K857),IF(MAX(0,J857*(1+SUM($B$87)/12)-K857)&lt;MAX(0.0000001,$B$86*0.00000000001),0,MAX(0,J857*(1+SUM($B$87)/12)-K857)),"")</x:f>
        <x:v>0</x:v>
      </x:c>
      <x:c r="M857" s="440" t="n">
        <x:f>IF(AND(ISNUMBER(D857),ISNUMBER(K857)),D857+K857,"")</x:f>
        <x:v>0</x:v>
      </x:c>
      <x:c r="N857" s="440" t="n">
        <x:f>IF(AND(ISNUMBER(H857),ISNUMBER(L857)),H857+L857,"")</x:f>
        <x:v>0</x:v>
      </x:c>
    </x:row>
    <x:row r="858" ht="22" customHeight="1">
      <x:c r="A858" s="254" t="n">
        <x:f>458</x:f>
        <x:v>458</x:v>
      </x:c>
      <x:c r="B858" s="440" t="n">
        <x:f>IF(ISNUMBER(H857),H857,"")</x:f>
        <x:v>0</x:v>
      </x:c>
      <x:c r="C858" s="442" t="n">
        <x:f>IF(ISNUMBER(B858),IF(AND(458&gt;$B$173,$B$78="Refinance",ISNUMBER($B$80),$B$80&gt;=0,$B$80&lt;=1,ROUND($B$81*12,0)&gt;=1,$B$81&lt;=100,SUM($B$82)&gt;=0,SUM($B$82)&lt;=1,SUM($B$83)&gt;=0),$B$80,IF(AND($B$175&gt;0,458&gt;$B$175,ISNUMBER($B$75)),$B$75,$B$61)),"")</x:f>
        <x:v>0.0625</x:v>
      </x:c>
      <x:c r="D858" s="440" t="n">
        <x:f>IF(AND(ISNUMBER(B858),B858=0),0,IF(AND($B$171=1,I857=0,ISNUMBER(C858),ISNUMBER(IF(AND(458&lt;=$B$174,458&lt;=$B$173),B858*C858/12,IF(AND(458=$B$173+1,AND(458&gt;$B$173,$B$78="Refinance",ISNUMBER($B$80),$B$80&gt;=0,$B$80&lt;=1,ROUND($B$81*12,0)&gt;=1,$B$81&lt;=100,SUM($B$82)&gt;=0,SUM($B$82)&lt;=1,SUM($B$83)&gt;=0)),IF(B858=0,0,IF(C858=0,B858/ROUND($B$81*12,0),B858*(C858/12)/(1-(1+C858/12)^(-ROUND($B$81*12,0))))),IF(AND(NOT(AND(458&gt;$B$173,$B$78="Refinance",ISNUMBER($B$80),$B$80&gt;=0,$B$80&lt;=1,ROUND($B$81*12,0)&gt;=1,$B$81&lt;=100,SUM($B$82)&gt;=0,SUM($B$82)&lt;=1,SUM($B$83)&gt;=0)),OR(458=1,458=$B$174+1,AND($B$175&gt;0,458=$B$175+1))),IF(AND($B$170=1,$B$66&gt;0,OR($B$175=0,458&lt;=$B$175)),$B$66,IF($B$172-MAX(458-1,$B$174)&gt;0,IF(B858=0,0,IF(C858=0,B858/($B$172-MAX(458-1,$B$174)),B858*(C858/12)/(1-(1+C858/12)^(-($B$172-MAX(458-1,$B$174)))))),"")),D857))))),IF(IF(AND(458&lt;=$B$174,458&lt;=$B$173),B858*C858/12,IF(AND(458=$B$173+1,AND(458&gt;$B$173,$B$78="Refinance",ISNUMBER($B$80),$B$80&gt;=0,$B$80&lt;=1,ROUND($B$81*12,0)&gt;=1,$B$81&lt;=100,SUM($B$82)&gt;=0,SUM($B$82)&lt;=1,SUM($B$83)&gt;=0)),IF(B858=0,0,IF(C858=0,B858/ROUND($B$81*12,0),B858*(C858/12)/(1-(1+C858/12)^(-ROUND($B$81*12,0))))),IF(AND(NOT(AND(458&gt;$B$173,$B$78="Refinance",ISNUMBER($B$80),$B$80&gt;=0,$B$80&lt;=1,ROUND($B$81*12,0)&gt;=1,$B$81&lt;=100,SUM($B$82)&gt;=0,SUM($B$82)&lt;=1,SUM($B$83)&gt;=0)),OR(458=1,458=$B$174+1,AND($B$175&gt;0,458=$B$175+1))),IF(AND($B$170=1,$B$66&gt;0,OR($B$175=0,458&lt;=$B$175)),$B$66,IF($B$172-MAX(458-1,$B$174)&gt;0,IF(B858=0,0,IF(C858=0,B858/($B$172-MAX(458-1,$B$174)),B858*(C858/12)/(1-(1+C858/12)^(-($B$172-MAX(458-1,$B$174)))))),"")),D857)))+0.0000001&gt;=B858*C858/12,MIN(B858*(1+C858/12),IF(AND(458&lt;=$B$174,458&lt;=$B$173),B858*C858/12,IF(AND(458=$B$173+1,AND(458&gt;$B$173,$B$78="Refinance",ISNUMBER($B$80),$B$80&gt;=0,$B$80&lt;=1,ROUND($B$81*12,0)&gt;=1,$B$81&lt;=100,SUM($B$82)&gt;=0,SUM($B$82)&lt;=1,SUM($B$83)&gt;=0)),IF(B858=0,0,IF(C858=0,B858/ROUND($B$81*12,0),B858*(C858/12)/(1-(1+C858/12)^(-ROUND($B$81*12,0))))),IF(AND(NOT(AND(458&gt;$B$173,$B$78="Refinance",ISNUMBER($B$80),$B$80&gt;=0,$B$80&lt;=1,ROUND($B$81*12,0)&gt;=1,$B$81&lt;=100,SUM($B$82)&gt;=0,SUM($B$82)&lt;=1,SUM($B$83)&gt;=0)),OR(458=1,458=$B$174+1,AND($B$175&gt;0,458=$B$175+1))),IF(AND($B$170=1,$B$66&gt;0,OR($B$175=0,458&lt;=$B$175)),$B$66,IF($B$172-MAX(458-1,$B$174)&gt;0,IF(B858=0,0,IF(C858=0,B858/($B$172-MAX(458-1,$B$174)),B858*(C858/12)/(1-(1+C858/12)^(-($B$172-MAX(458-1,$B$174)))))),"")),D857)))),""),""))</x:f>
        <x:v>0</x:v>
      </x:c>
      <x:c r="E858" s="440" t="n">
        <x:f>IF(AND(458=$B$173,ISNUMBER(D858)),IF(MAX(0,B858*(1+C858/12)-D858)&lt;MAX(0.0000001,$E$17*0.00000000001),0,MAX(0,B858*(1+C858/12)-D858)),0)</x:f>
        <x:v>0</x:v>
      </x:c>
      <x:c r="F858" s="440" t="n">
        <x:f>IF($B$78="Cash payoff",E858,0)</x:f>
        <x:v>0</x:v>
      </x:c>
      <x:c r="G858" s="440" t="n">
        <x:f>IF(AND(E858&gt;0,AND($B$78="Refinance",ISNUMBER($B$80),$B$80&gt;=0,$B$80&lt;=1,ROUND($B$81*12,0)&gt;=1,$B$81&lt;=100,SUM($B$82)&gt;=0,SUM($B$82)&lt;=1,SUM($B$83)&gt;=0)),E858*SUM($B$82)+SUM($B$83),0)</x:f>
        <x:v>0</x:v>
      </x:c>
      <x:c r="H858" s="440" t="n">
        <x:f>IF(ISNUMBER(D858),IF(MAX(0,B858*(1+C858/12)-D858-F858)&lt;MAX(0.0000001,$E$17*0.00000000001),0,MAX(0,B858*(1+C858/12)-D858-F858)),IF(AND($B$171=1,I857=1),B858,""))</x:f>
        <x:v>0</x:v>
      </x:c>
      <x:c r="I858" s="444" t="n">
        <x:f>IF(OR(I857=1,AND(E858&gt;0,$B$78&lt;&gt;"Cash payoff",NOT(AND($B$78="Refinance",ISNUMBER($B$80),$B$80&gt;=0,$B$80&lt;=1,ROUND($B$81*12,0)&gt;=1,$B$81&lt;=100,SUM($B$82)&gt;=0,SUM($B$82)&lt;=1,SUM($B$83)&gt;=0))),AND(ISNUMBER(B858),B858&gt;0,$B$171=1,NOT(ISNUMBER(D858)))),1,0)</x:f>
        <x:v>0</x:v>
      </x:c>
      <x:c r="J858" s="440" t="n">
        <x:f>IF(ISNUMBER(L857),L857,"")</x:f>
        <x:v>0</x:v>
      </x:c>
      <x:c r="K858" s="440" t="n">
        <x:f>IF(AND(ISNUMBER(J858),J858=0),0,IF(AND($B$176=1,ISNUMBER(J858)),MIN(J858*(1+$B$87/12),IF($B$86=0,0,IF($B$87=0,$B$86/ROUND($B$88*12,0),$B$86*($B$87/12)/(1-(1+$B$87/12)^(-ROUND($B$88*12,0)))))),""))</x:f>
        <x:v>0</x:v>
      </x:c>
      <x:c r="L858" s="440" t="n">
        <x:f>IF(ISNUMBER(K858),IF(MAX(0,J858*(1+SUM($B$87)/12)-K858)&lt;MAX(0.0000001,$B$86*0.00000000001),0,MAX(0,J858*(1+SUM($B$87)/12)-K858)),"")</x:f>
        <x:v>0</x:v>
      </x:c>
      <x:c r="M858" s="440" t="n">
        <x:f>IF(AND(ISNUMBER(D858),ISNUMBER(K858)),D858+K858,"")</x:f>
        <x:v>0</x:v>
      </x:c>
      <x:c r="N858" s="440" t="n">
        <x:f>IF(AND(ISNUMBER(H858),ISNUMBER(L858)),H858+L858,"")</x:f>
        <x:v>0</x:v>
      </x:c>
    </x:row>
    <x:row r="859" ht="22" customHeight="1">
      <x:c r="A859" s="254" t="n">
        <x:f>459</x:f>
        <x:v>459</x:v>
      </x:c>
      <x:c r="B859" s="440" t="n">
        <x:f>IF(ISNUMBER(H858),H858,"")</x:f>
        <x:v>0</x:v>
      </x:c>
      <x:c r="C859" s="442" t="n">
        <x:f>IF(ISNUMBER(B859),IF(AND(459&gt;$B$173,$B$78="Refinance",ISNUMBER($B$80),$B$80&gt;=0,$B$80&lt;=1,ROUND($B$81*12,0)&gt;=1,$B$81&lt;=100,SUM($B$82)&gt;=0,SUM($B$82)&lt;=1,SUM($B$83)&gt;=0),$B$80,IF(AND($B$175&gt;0,459&gt;$B$175,ISNUMBER($B$75)),$B$75,$B$61)),"")</x:f>
        <x:v>0.0625</x:v>
      </x:c>
      <x:c r="D859" s="440" t="n">
        <x:f>IF(AND(ISNUMBER(B859),B859=0),0,IF(AND($B$171=1,I858=0,ISNUMBER(C859),ISNUMBER(IF(AND(459&lt;=$B$174,459&lt;=$B$173),B859*C859/12,IF(AND(459=$B$173+1,AND(459&gt;$B$173,$B$78="Refinance",ISNUMBER($B$80),$B$80&gt;=0,$B$80&lt;=1,ROUND($B$81*12,0)&gt;=1,$B$81&lt;=100,SUM($B$82)&gt;=0,SUM($B$82)&lt;=1,SUM($B$83)&gt;=0)),IF(B859=0,0,IF(C859=0,B859/ROUND($B$81*12,0),B859*(C859/12)/(1-(1+C859/12)^(-ROUND($B$81*12,0))))),IF(AND(NOT(AND(459&gt;$B$173,$B$78="Refinance",ISNUMBER($B$80),$B$80&gt;=0,$B$80&lt;=1,ROUND($B$81*12,0)&gt;=1,$B$81&lt;=100,SUM($B$82)&gt;=0,SUM($B$82)&lt;=1,SUM($B$83)&gt;=0)),OR(459=1,459=$B$174+1,AND($B$175&gt;0,459=$B$175+1))),IF(AND($B$170=1,$B$66&gt;0,OR($B$175=0,459&lt;=$B$175)),$B$66,IF($B$172-MAX(459-1,$B$174)&gt;0,IF(B859=0,0,IF(C859=0,B859/($B$172-MAX(459-1,$B$174)),B859*(C859/12)/(1-(1+C859/12)^(-($B$172-MAX(459-1,$B$174)))))),"")),D858))))),IF(IF(AND(459&lt;=$B$174,459&lt;=$B$173),B859*C859/12,IF(AND(459=$B$173+1,AND(459&gt;$B$173,$B$78="Refinance",ISNUMBER($B$80),$B$80&gt;=0,$B$80&lt;=1,ROUND($B$81*12,0)&gt;=1,$B$81&lt;=100,SUM($B$82)&gt;=0,SUM($B$82)&lt;=1,SUM($B$83)&gt;=0)),IF(B859=0,0,IF(C859=0,B859/ROUND($B$81*12,0),B859*(C859/12)/(1-(1+C859/12)^(-ROUND($B$81*12,0))))),IF(AND(NOT(AND(459&gt;$B$173,$B$78="Refinance",ISNUMBER($B$80),$B$80&gt;=0,$B$80&lt;=1,ROUND($B$81*12,0)&gt;=1,$B$81&lt;=100,SUM($B$82)&gt;=0,SUM($B$82)&lt;=1,SUM($B$83)&gt;=0)),OR(459=1,459=$B$174+1,AND($B$175&gt;0,459=$B$175+1))),IF(AND($B$170=1,$B$66&gt;0,OR($B$175=0,459&lt;=$B$175)),$B$66,IF($B$172-MAX(459-1,$B$174)&gt;0,IF(B859=0,0,IF(C859=0,B859/($B$172-MAX(459-1,$B$174)),B859*(C859/12)/(1-(1+C859/12)^(-($B$172-MAX(459-1,$B$174)))))),"")),D858)))+0.0000001&gt;=B859*C859/12,MIN(B859*(1+C859/12),IF(AND(459&lt;=$B$174,459&lt;=$B$173),B859*C859/12,IF(AND(459=$B$173+1,AND(459&gt;$B$173,$B$78="Refinance",ISNUMBER($B$80),$B$80&gt;=0,$B$80&lt;=1,ROUND($B$81*12,0)&gt;=1,$B$81&lt;=100,SUM($B$82)&gt;=0,SUM($B$82)&lt;=1,SUM($B$83)&gt;=0)),IF(B859=0,0,IF(C859=0,B859/ROUND($B$81*12,0),B859*(C859/12)/(1-(1+C859/12)^(-ROUND($B$81*12,0))))),IF(AND(NOT(AND(459&gt;$B$173,$B$78="Refinance",ISNUMBER($B$80),$B$80&gt;=0,$B$80&lt;=1,ROUND($B$81*12,0)&gt;=1,$B$81&lt;=100,SUM($B$82)&gt;=0,SUM($B$82)&lt;=1,SUM($B$83)&gt;=0)),OR(459=1,459=$B$174+1,AND($B$175&gt;0,459=$B$175+1))),IF(AND($B$170=1,$B$66&gt;0,OR($B$175=0,459&lt;=$B$175)),$B$66,IF($B$172-MAX(459-1,$B$174)&gt;0,IF(B859=0,0,IF(C859=0,B859/($B$172-MAX(459-1,$B$174)),B859*(C859/12)/(1-(1+C859/12)^(-($B$172-MAX(459-1,$B$174)))))),"")),D858)))),""),""))</x:f>
        <x:v>0</x:v>
      </x:c>
      <x:c r="E859" s="440" t="n">
        <x:f>IF(AND(459=$B$173,ISNUMBER(D859)),IF(MAX(0,B859*(1+C859/12)-D859)&lt;MAX(0.0000001,$E$17*0.00000000001),0,MAX(0,B859*(1+C859/12)-D859)),0)</x:f>
        <x:v>0</x:v>
      </x:c>
      <x:c r="F859" s="440" t="n">
        <x:f>IF($B$78="Cash payoff",E859,0)</x:f>
        <x:v>0</x:v>
      </x:c>
      <x:c r="G859" s="440" t="n">
        <x:f>IF(AND(E859&gt;0,AND($B$78="Refinance",ISNUMBER($B$80),$B$80&gt;=0,$B$80&lt;=1,ROUND($B$81*12,0)&gt;=1,$B$81&lt;=100,SUM($B$82)&gt;=0,SUM($B$82)&lt;=1,SUM($B$83)&gt;=0)),E859*SUM($B$82)+SUM($B$83),0)</x:f>
        <x:v>0</x:v>
      </x:c>
      <x:c r="H859" s="440" t="n">
        <x:f>IF(ISNUMBER(D859),IF(MAX(0,B859*(1+C859/12)-D859-F859)&lt;MAX(0.0000001,$E$17*0.00000000001),0,MAX(0,B859*(1+C859/12)-D859-F859)),IF(AND($B$171=1,I858=1),B859,""))</x:f>
        <x:v>0</x:v>
      </x:c>
      <x:c r="I859" s="444" t="n">
        <x:f>IF(OR(I858=1,AND(E859&gt;0,$B$78&lt;&gt;"Cash payoff",NOT(AND($B$78="Refinance",ISNUMBER($B$80),$B$80&gt;=0,$B$80&lt;=1,ROUND($B$81*12,0)&gt;=1,$B$81&lt;=100,SUM($B$82)&gt;=0,SUM($B$82)&lt;=1,SUM($B$83)&gt;=0))),AND(ISNUMBER(B859),B859&gt;0,$B$171=1,NOT(ISNUMBER(D859)))),1,0)</x:f>
        <x:v>0</x:v>
      </x:c>
      <x:c r="J859" s="440" t="n">
        <x:f>IF(ISNUMBER(L858),L858,"")</x:f>
        <x:v>0</x:v>
      </x:c>
      <x:c r="K859" s="440" t="n">
        <x:f>IF(AND(ISNUMBER(J859),J859=0),0,IF(AND($B$176=1,ISNUMBER(J859)),MIN(J859*(1+$B$87/12),IF($B$86=0,0,IF($B$87=0,$B$86/ROUND($B$88*12,0),$B$86*($B$87/12)/(1-(1+$B$87/12)^(-ROUND($B$88*12,0)))))),""))</x:f>
        <x:v>0</x:v>
      </x:c>
      <x:c r="L859" s="440" t="n">
        <x:f>IF(ISNUMBER(K859),IF(MAX(0,J859*(1+SUM($B$87)/12)-K859)&lt;MAX(0.0000001,$B$86*0.00000000001),0,MAX(0,J859*(1+SUM($B$87)/12)-K859)),"")</x:f>
        <x:v>0</x:v>
      </x:c>
      <x:c r="M859" s="440" t="n">
        <x:f>IF(AND(ISNUMBER(D859),ISNUMBER(K859)),D859+K859,"")</x:f>
        <x:v>0</x:v>
      </x:c>
      <x:c r="N859" s="440" t="n">
        <x:f>IF(AND(ISNUMBER(H859),ISNUMBER(L859)),H859+L859,"")</x:f>
        <x:v>0</x:v>
      </x:c>
    </x:row>
    <x:row r="860" ht="22" customHeight="1">
      <x:c r="A860" s="254" t="n">
        <x:f>460</x:f>
        <x:v>460</x:v>
      </x:c>
      <x:c r="B860" s="440" t="n">
        <x:f>IF(ISNUMBER(H859),H859,"")</x:f>
        <x:v>0</x:v>
      </x:c>
      <x:c r="C860" s="442" t="n">
        <x:f>IF(ISNUMBER(B860),IF(AND(460&gt;$B$173,$B$78="Refinance",ISNUMBER($B$80),$B$80&gt;=0,$B$80&lt;=1,ROUND($B$81*12,0)&gt;=1,$B$81&lt;=100,SUM($B$82)&gt;=0,SUM($B$82)&lt;=1,SUM($B$83)&gt;=0),$B$80,IF(AND($B$175&gt;0,460&gt;$B$175,ISNUMBER($B$75)),$B$75,$B$61)),"")</x:f>
        <x:v>0.0625</x:v>
      </x:c>
      <x:c r="D860" s="440" t="n">
        <x:f>IF(AND(ISNUMBER(B860),B860=0),0,IF(AND($B$171=1,I859=0,ISNUMBER(C860),ISNUMBER(IF(AND(460&lt;=$B$174,460&lt;=$B$173),B860*C860/12,IF(AND(460=$B$173+1,AND(460&gt;$B$173,$B$78="Refinance",ISNUMBER($B$80),$B$80&gt;=0,$B$80&lt;=1,ROUND($B$81*12,0)&gt;=1,$B$81&lt;=100,SUM($B$82)&gt;=0,SUM($B$82)&lt;=1,SUM($B$83)&gt;=0)),IF(B860=0,0,IF(C860=0,B860/ROUND($B$81*12,0),B860*(C860/12)/(1-(1+C860/12)^(-ROUND($B$81*12,0))))),IF(AND(NOT(AND(460&gt;$B$173,$B$78="Refinance",ISNUMBER($B$80),$B$80&gt;=0,$B$80&lt;=1,ROUND($B$81*12,0)&gt;=1,$B$81&lt;=100,SUM($B$82)&gt;=0,SUM($B$82)&lt;=1,SUM($B$83)&gt;=0)),OR(460=1,460=$B$174+1,AND($B$175&gt;0,460=$B$175+1))),IF(AND($B$170=1,$B$66&gt;0,OR($B$175=0,460&lt;=$B$175)),$B$66,IF($B$172-MAX(460-1,$B$174)&gt;0,IF(B860=0,0,IF(C860=0,B860/($B$172-MAX(460-1,$B$174)),B860*(C860/12)/(1-(1+C860/12)^(-($B$172-MAX(460-1,$B$174)))))),"")),D859))))),IF(IF(AND(460&lt;=$B$174,460&lt;=$B$173),B860*C860/12,IF(AND(460=$B$173+1,AND(460&gt;$B$173,$B$78="Refinance",ISNUMBER($B$80),$B$80&gt;=0,$B$80&lt;=1,ROUND($B$81*12,0)&gt;=1,$B$81&lt;=100,SUM($B$82)&gt;=0,SUM($B$82)&lt;=1,SUM($B$83)&gt;=0)),IF(B860=0,0,IF(C860=0,B860/ROUND($B$81*12,0),B860*(C860/12)/(1-(1+C860/12)^(-ROUND($B$81*12,0))))),IF(AND(NOT(AND(460&gt;$B$173,$B$78="Refinance",ISNUMBER($B$80),$B$80&gt;=0,$B$80&lt;=1,ROUND($B$81*12,0)&gt;=1,$B$81&lt;=100,SUM($B$82)&gt;=0,SUM($B$82)&lt;=1,SUM($B$83)&gt;=0)),OR(460=1,460=$B$174+1,AND($B$175&gt;0,460=$B$175+1))),IF(AND($B$170=1,$B$66&gt;0,OR($B$175=0,460&lt;=$B$175)),$B$66,IF($B$172-MAX(460-1,$B$174)&gt;0,IF(B860=0,0,IF(C860=0,B860/($B$172-MAX(460-1,$B$174)),B860*(C860/12)/(1-(1+C860/12)^(-($B$172-MAX(460-1,$B$174)))))),"")),D859)))+0.0000001&gt;=B860*C860/12,MIN(B860*(1+C860/12),IF(AND(460&lt;=$B$174,460&lt;=$B$173),B860*C860/12,IF(AND(460=$B$173+1,AND(460&gt;$B$173,$B$78="Refinance",ISNUMBER($B$80),$B$80&gt;=0,$B$80&lt;=1,ROUND($B$81*12,0)&gt;=1,$B$81&lt;=100,SUM($B$82)&gt;=0,SUM($B$82)&lt;=1,SUM($B$83)&gt;=0)),IF(B860=0,0,IF(C860=0,B860/ROUND($B$81*12,0),B860*(C860/12)/(1-(1+C860/12)^(-ROUND($B$81*12,0))))),IF(AND(NOT(AND(460&gt;$B$173,$B$78="Refinance",ISNUMBER($B$80),$B$80&gt;=0,$B$80&lt;=1,ROUND($B$81*12,0)&gt;=1,$B$81&lt;=100,SUM($B$82)&gt;=0,SUM($B$82)&lt;=1,SUM($B$83)&gt;=0)),OR(460=1,460=$B$174+1,AND($B$175&gt;0,460=$B$175+1))),IF(AND($B$170=1,$B$66&gt;0,OR($B$175=0,460&lt;=$B$175)),$B$66,IF($B$172-MAX(460-1,$B$174)&gt;0,IF(B860=0,0,IF(C860=0,B860/($B$172-MAX(460-1,$B$174)),B860*(C860/12)/(1-(1+C860/12)^(-($B$172-MAX(460-1,$B$174)))))),"")),D859)))),""),""))</x:f>
        <x:v>0</x:v>
      </x:c>
      <x:c r="E860" s="440" t="n">
        <x:f>IF(AND(460=$B$173,ISNUMBER(D860)),IF(MAX(0,B860*(1+C860/12)-D860)&lt;MAX(0.0000001,$E$17*0.00000000001),0,MAX(0,B860*(1+C860/12)-D860)),0)</x:f>
        <x:v>0</x:v>
      </x:c>
      <x:c r="F860" s="440" t="n">
        <x:f>IF($B$78="Cash payoff",E860,0)</x:f>
        <x:v>0</x:v>
      </x:c>
      <x:c r="G860" s="440" t="n">
        <x:f>IF(AND(E860&gt;0,AND($B$78="Refinance",ISNUMBER($B$80),$B$80&gt;=0,$B$80&lt;=1,ROUND($B$81*12,0)&gt;=1,$B$81&lt;=100,SUM($B$82)&gt;=0,SUM($B$82)&lt;=1,SUM($B$83)&gt;=0)),E860*SUM($B$82)+SUM($B$83),0)</x:f>
        <x:v>0</x:v>
      </x:c>
      <x:c r="H860" s="440" t="n">
        <x:f>IF(ISNUMBER(D860),IF(MAX(0,B860*(1+C860/12)-D860-F860)&lt;MAX(0.0000001,$E$17*0.00000000001),0,MAX(0,B860*(1+C860/12)-D860-F860)),IF(AND($B$171=1,I859=1),B860,""))</x:f>
        <x:v>0</x:v>
      </x:c>
      <x:c r="I860" s="444" t="n">
        <x:f>IF(OR(I859=1,AND(E860&gt;0,$B$78&lt;&gt;"Cash payoff",NOT(AND($B$78="Refinance",ISNUMBER($B$80),$B$80&gt;=0,$B$80&lt;=1,ROUND($B$81*12,0)&gt;=1,$B$81&lt;=100,SUM($B$82)&gt;=0,SUM($B$82)&lt;=1,SUM($B$83)&gt;=0))),AND(ISNUMBER(B860),B860&gt;0,$B$171=1,NOT(ISNUMBER(D860)))),1,0)</x:f>
        <x:v>0</x:v>
      </x:c>
      <x:c r="J860" s="440" t="n">
        <x:f>IF(ISNUMBER(L859),L859,"")</x:f>
        <x:v>0</x:v>
      </x:c>
      <x:c r="K860" s="440" t="n">
        <x:f>IF(AND(ISNUMBER(J860),J860=0),0,IF(AND($B$176=1,ISNUMBER(J860)),MIN(J860*(1+$B$87/12),IF($B$86=0,0,IF($B$87=0,$B$86/ROUND($B$88*12,0),$B$86*($B$87/12)/(1-(1+$B$87/12)^(-ROUND($B$88*12,0)))))),""))</x:f>
        <x:v>0</x:v>
      </x:c>
      <x:c r="L860" s="440" t="n">
        <x:f>IF(ISNUMBER(K860),IF(MAX(0,J860*(1+SUM($B$87)/12)-K860)&lt;MAX(0.0000001,$B$86*0.00000000001),0,MAX(0,J860*(1+SUM($B$87)/12)-K860)),"")</x:f>
        <x:v>0</x:v>
      </x:c>
      <x:c r="M860" s="440" t="n">
        <x:f>IF(AND(ISNUMBER(D860),ISNUMBER(K860)),D860+K860,"")</x:f>
        <x:v>0</x:v>
      </x:c>
      <x:c r="N860" s="440" t="n">
        <x:f>IF(AND(ISNUMBER(H860),ISNUMBER(L860)),H860+L860,"")</x:f>
        <x:v>0</x:v>
      </x:c>
    </x:row>
    <x:row r="861" ht="22" customHeight="1">
      <x:c r="A861" s="254" t="n">
        <x:f>461</x:f>
        <x:v>461</x:v>
      </x:c>
      <x:c r="B861" s="440" t="n">
        <x:f>IF(ISNUMBER(H860),H860,"")</x:f>
        <x:v>0</x:v>
      </x:c>
      <x:c r="C861" s="442" t="n">
        <x:f>IF(ISNUMBER(B861),IF(AND(461&gt;$B$173,$B$78="Refinance",ISNUMBER($B$80),$B$80&gt;=0,$B$80&lt;=1,ROUND($B$81*12,0)&gt;=1,$B$81&lt;=100,SUM($B$82)&gt;=0,SUM($B$82)&lt;=1,SUM($B$83)&gt;=0),$B$80,IF(AND($B$175&gt;0,461&gt;$B$175,ISNUMBER($B$75)),$B$75,$B$61)),"")</x:f>
        <x:v>0.0625</x:v>
      </x:c>
      <x:c r="D861" s="440" t="n">
        <x:f>IF(AND(ISNUMBER(B861),B861=0),0,IF(AND($B$171=1,I860=0,ISNUMBER(C861),ISNUMBER(IF(AND(461&lt;=$B$174,461&lt;=$B$173),B861*C861/12,IF(AND(461=$B$173+1,AND(461&gt;$B$173,$B$78="Refinance",ISNUMBER($B$80),$B$80&gt;=0,$B$80&lt;=1,ROUND($B$81*12,0)&gt;=1,$B$81&lt;=100,SUM($B$82)&gt;=0,SUM($B$82)&lt;=1,SUM($B$83)&gt;=0)),IF(B861=0,0,IF(C861=0,B861/ROUND($B$81*12,0),B861*(C861/12)/(1-(1+C861/12)^(-ROUND($B$81*12,0))))),IF(AND(NOT(AND(461&gt;$B$173,$B$78="Refinance",ISNUMBER($B$80),$B$80&gt;=0,$B$80&lt;=1,ROUND($B$81*12,0)&gt;=1,$B$81&lt;=100,SUM($B$82)&gt;=0,SUM($B$82)&lt;=1,SUM($B$83)&gt;=0)),OR(461=1,461=$B$174+1,AND($B$175&gt;0,461=$B$175+1))),IF(AND($B$170=1,$B$66&gt;0,OR($B$175=0,461&lt;=$B$175)),$B$66,IF($B$172-MAX(461-1,$B$174)&gt;0,IF(B861=0,0,IF(C861=0,B861/($B$172-MAX(461-1,$B$174)),B861*(C861/12)/(1-(1+C861/12)^(-($B$172-MAX(461-1,$B$174)))))),"")),D860))))),IF(IF(AND(461&lt;=$B$174,461&lt;=$B$173),B861*C861/12,IF(AND(461=$B$173+1,AND(461&gt;$B$173,$B$78="Refinance",ISNUMBER($B$80),$B$80&gt;=0,$B$80&lt;=1,ROUND($B$81*12,0)&gt;=1,$B$81&lt;=100,SUM($B$82)&gt;=0,SUM($B$82)&lt;=1,SUM($B$83)&gt;=0)),IF(B861=0,0,IF(C861=0,B861/ROUND($B$81*12,0),B861*(C861/12)/(1-(1+C861/12)^(-ROUND($B$81*12,0))))),IF(AND(NOT(AND(461&gt;$B$173,$B$78="Refinance",ISNUMBER($B$80),$B$80&gt;=0,$B$80&lt;=1,ROUND($B$81*12,0)&gt;=1,$B$81&lt;=100,SUM($B$82)&gt;=0,SUM($B$82)&lt;=1,SUM($B$83)&gt;=0)),OR(461=1,461=$B$174+1,AND($B$175&gt;0,461=$B$175+1))),IF(AND($B$170=1,$B$66&gt;0,OR($B$175=0,461&lt;=$B$175)),$B$66,IF($B$172-MAX(461-1,$B$174)&gt;0,IF(B861=0,0,IF(C861=0,B861/($B$172-MAX(461-1,$B$174)),B861*(C861/12)/(1-(1+C861/12)^(-($B$172-MAX(461-1,$B$174)))))),"")),D860)))+0.0000001&gt;=B861*C861/12,MIN(B861*(1+C861/12),IF(AND(461&lt;=$B$174,461&lt;=$B$173),B861*C861/12,IF(AND(461=$B$173+1,AND(461&gt;$B$173,$B$78="Refinance",ISNUMBER($B$80),$B$80&gt;=0,$B$80&lt;=1,ROUND($B$81*12,0)&gt;=1,$B$81&lt;=100,SUM($B$82)&gt;=0,SUM($B$82)&lt;=1,SUM($B$83)&gt;=0)),IF(B861=0,0,IF(C861=0,B861/ROUND($B$81*12,0),B861*(C861/12)/(1-(1+C861/12)^(-ROUND($B$81*12,0))))),IF(AND(NOT(AND(461&gt;$B$173,$B$78="Refinance",ISNUMBER($B$80),$B$80&gt;=0,$B$80&lt;=1,ROUND($B$81*12,0)&gt;=1,$B$81&lt;=100,SUM($B$82)&gt;=0,SUM($B$82)&lt;=1,SUM($B$83)&gt;=0)),OR(461=1,461=$B$174+1,AND($B$175&gt;0,461=$B$175+1))),IF(AND($B$170=1,$B$66&gt;0,OR($B$175=0,461&lt;=$B$175)),$B$66,IF($B$172-MAX(461-1,$B$174)&gt;0,IF(B861=0,0,IF(C861=0,B861/($B$172-MAX(461-1,$B$174)),B861*(C861/12)/(1-(1+C861/12)^(-($B$172-MAX(461-1,$B$174)))))),"")),D860)))),""),""))</x:f>
        <x:v>0</x:v>
      </x:c>
      <x:c r="E861" s="440" t="n">
        <x:f>IF(AND(461=$B$173,ISNUMBER(D861)),IF(MAX(0,B861*(1+C861/12)-D861)&lt;MAX(0.0000001,$E$17*0.00000000001),0,MAX(0,B861*(1+C861/12)-D861)),0)</x:f>
        <x:v>0</x:v>
      </x:c>
      <x:c r="F861" s="440" t="n">
        <x:f>IF($B$78="Cash payoff",E861,0)</x:f>
        <x:v>0</x:v>
      </x:c>
      <x:c r="G861" s="440" t="n">
        <x:f>IF(AND(E861&gt;0,AND($B$78="Refinance",ISNUMBER($B$80),$B$80&gt;=0,$B$80&lt;=1,ROUND($B$81*12,0)&gt;=1,$B$81&lt;=100,SUM($B$82)&gt;=0,SUM($B$82)&lt;=1,SUM($B$83)&gt;=0)),E861*SUM($B$82)+SUM($B$83),0)</x:f>
        <x:v>0</x:v>
      </x:c>
      <x:c r="H861" s="440" t="n">
        <x:f>IF(ISNUMBER(D861),IF(MAX(0,B861*(1+C861/12)-D861-F861)&lt;MAX(0.0000001,$E$17*0.00000000001),0,MAX(0,B861*(1+C861/12)-D861-F861)),IF(AND($B$171=1,I860=1),B861,""))</x:f>
        <x:v>0</x:v>
      </x:c>
      <x:c r="I861" s="444" t="n">
        <x:f>IF(OR(I860=1,AND(E861&gt;0,$B$78&lt;&gt;"Cash payoff",NOT(AND($B$78="Refinance",ISNUMBER($B$80),$B$80&gt;=0,$B$80&lt;=1,ROUND($B$81*12,0)&gt;=1,$B$81&lt;=100,SUM($B$82)&gt;=0,SUM($B$82)&lt;=1,SUM($B$83)&gt;=0))),AND(ISNUMBER(B861),B861&gt;0,$B$171=1,NOT(ISNUMBER(D861)))),1,0)</x:f>
        <x:v>0</x:v>
      </x:c>
      <x:c r="J861" s="440" t="n">
        <x:f>IF(ISNUMBER(L860),L860,"")</x:f>
        <x:v>0</x:v>
      </x:c>
      <x:c r="K861" s="440" t="n">
        <x:f>IF(AND(ISNUMBER(J861),J861=0),0,IF(AND($B$176=1,ISNUMBER(J861)),MIN(J861*(1+$B$87/12),IF($B$86=0,0,IF($B$87=0,$B$86/ROUND($B$88*12,0),$B$86*($B$87/12)/(1-(1+$B$87/12)^(-ROUND($B$88*12,0)))))),""))</x:f>
        <x:v>0</x:v>
      </x:c>
      <x:c r="L861" s="440" t="n">
        <x:f>IF(ISNUMBER(K861),IF(MAX(0,J861*(1+SUM($B$87)/12)-K861)&lt;MAX(0.0000001,$B$86*0.00000000001),0,MAX(0,J861*(1+SUM($B$87)/12)-K861)),"")</x:f>
        <x:v>0</x:v>
      </x:c>
      <x:c r="M861" s="440" t="n">
        <x:f>IF(AND(ISNUMBER(D861),ISNUMBER(K861)),D861+K861,"")</x:f>
        <x:v>0</x:v>
      </x:c>
      <x:c r="N861" s="440" t="n">
        <x:f>IF(AND(ISNUMBER(H861),ISNUMBER(L861)),H861+L861,"")</x:f>
        <x:v>0</x:v>
      </x:c>
    </x:row>
    <x:row r="862" ht="22" customHeight="1">
      <x:c r="A862" s="254" t="n">
        <x:f>462</x:f>
        <x:v>462</x:v>
      </x:c>
      <x:c r="B862" s="440" t="n">
        <x:f>IF(ISNUMBER(H861),H861,"")</x:f>
        <x:v>0</x:v>
      </x:c>
      <x:c r="C862" s="442" t="n">
        <x:f>IF(ISNUMBER(B862),IF(AND(462&gt;$B$173,$B$78="Refinance",ISNUMBER($B$80),$B$80&gt;=0,$B$80&lt;=1,ROUND($B$81*12,0)&gt;=1,$B$81&lt;=100,SUM($B$82)&gt;=0,SUM($B$82)&lt;=1,SUM($B$83)&gt;=0),$B$80,IF(AND($B$175&gt;0,462&gt;$B$175,ISNUMBER($B$75)),$B$75,$B$61)),"")</x:f>
        <x:v>0.0625</x:v>
      </x:c>
      <x:c r="D862" s="440" t="n">
        <x:f>IF(AND(ISNUMBER(B862),B862=0),0,IF(AND($B$171=1,I861=0,ISNUMBER(C862),ISNUMBER(IF(AND(462&lt;=$B$174,462&lt;=$B$173),B862*C862/12,IF(AND(462=$B$173+1,AND(462&gt;$B$173,$B$78="Refinance",ISNUMBER($B$80),$B$80&gt;=0,$B$80&lt;=1,ROUND($B$81*12,0)&gt;=1,$B$81&lt;=100,SUM($B$82)&gt;=0,SUM($B$82)&lt;=1,SUM($B$83)&gt;=0)),IF(B862=0,0,IF(C862=0,B862/ROUND($B$81*12,0),B862*(C862/12)/(1-(1+C862/12)^(-ROUND($B$81*12,0))))),IF(AND(NOT(AND(462&gt;$B$173,$B$78="Refinance",ISNUMBER($B$80),$B$80&gt;=0,$B$80&lt;=1,ROUND($B$81*12,0)&gt;=1,$B$81&lt;=100,SUM($B$82)&gt;=0,SUM($B$82)&lt;=1,SUM($B$83)&gt;=0)),OR(462=1,462=$B$174+1,AND($B$175&gt;0,462=$B$175+1))),IF(AND($B$170=1,$B$66&gt;0,OR($B$175=0,462&lt;=$B$175)),$B$66,IF($B$172-MAX(462-1,$B$174)&gt;0,IF(B862=0,0,IF(C862=0,B862/($B$172-MAX(462-1,$B$174)),B862*(C862/12)/(1-(1+C862/12)^(-($B$172-MAX(462-1,$B$174)))))),"")),D861))))),IF(IF(AND(462&lt;=$B$174,462&lt;=$B$173),B862*C862/12,IF(AND(462=$B$173+1,AND(462&gt;$B$173,$B$78="Refinance",ISNUMBER($B$80),$B$80&gt;=0,$B$80&lt;=1,ROUND($B$81*12,0)&gt;=1,$B$81&lt;=100,SUM($B$82)&gt;=0,SUM($B$82)&lt;=1,SUM($B$83)&gt;=0)),IF(B862=0,0,IF(C862=0,B862/ROUND($B$81*12,0),B862*(C862/12)/(1-(1+C862/12)^(-ROUND($B$81*12,0))))),IF(AND(NOT(AND(462&gt;$B$173,$B$78="Refinance",ISNUMBER($B$80),$B$80&gt;=0,$B$80&lt;=1,ROUND($B$81*12,0)&gt;=1,$B$81&lt;=100,SUM($B$82)&gt;=0,SUM($B$82)&lt;=1,SUM($B$83)&gt;=0)),OR(462=1,462=$B$174+1,AND($B$175&gt;0,462=$B$175+1))),IF(AND($B$170=1,$B$66&gt;0,OR($B$175=0,462&lt;=$B$175)),$B$66,IF($B$172-MAX(462-1,$B$174)&gt;0,IF(B862=0,0,IF(C862=0,B862/($B$172-MAX(462-1,$B$174)),B862*(C862/12)/(1-(1+C862/12)^(-($B$172-MAX(462-1,$B$174)))))),"")),D861)))+0.0000001&gt;=B862*C862/12,MIN(B862*(1+C862/12),IF(AND(462&lt;=$B$174,462&lt;=$B$173),B862*C862/12,IF(AND(462=$B$173+1,AND(462&gt;$B$173,$B$78="Refinance",ISNUMBER($B$80),$B$80&gt;=0,$B$80&lt;=1,ROUND($B$81*12,0)&gt;=1,$B$81&lt;=100,SUM($B$82)&gt;=0,SUM($B$82)&lt;=1,SUM($B$83)&gt;=0)),IF(B862=0,0,IF(C862=0,B862/ROUND($B$81*12,0),B862*(C862/12)/(1-(1+C862/12)^(-ROUND($B$81*12,0))))),IF(AND(NOT(AND(462&gt;$B$173,$B$78="Refinance",ISNUMBER($B$80),$B$80&gt;=0,$B$80&lt;=1,ROUND($B$81*12,0)&gt;=1,$B$81&lt;=100,SUM($B$82)&gt;=0,SUM($B$82)&lt;=1,SUM($B$83)&gt;=0)),OR(462=1,462=$B$174+1,AND($B$175&gt;0,462=$B$175+1))),IF(AND($B$170=1,$B$66&gt;0,OR($B$175=0,462&lt;=$B$175)),$B$66,IF($B$172-MAX(462-1,$B$174)&gt;0,IF(B862=0,0,IF(C862=0,B862/($B$172-MAX(462-1,$B$174)),B862*(C862/12)/(1-(1+C862/12)^(-($B$172-MAX(462-1,$B$174)))))),"")),D861)))),""),""))</x:f>
        <x:v>0</x:v>
      </x:c>
      <x:c r="E862" s="440" t="n">
        <x:f>IF(AND(462=$B$173,ISNUMBER(D862)),IF(MAX(0,B862*(1+C862/12)-D862)&lt;MAX(0.0000001,$E$17*0.00000000001),0,MAX(0,B862*(1+C862/12)-D862)),0)</x:f>
        <x:v>0</x:v>
      </x:c>
      <x:c r="F862" s="440" t="n">
        <x:f>IF($B$78="Cash payoff",E862,0)</x:f>
        <x:v>0</x:v>
      </x:c>
      <x:c r="G862" s="440" t="n">
        <x:f>IF(AND(E862&gt;0,AND($B$78="Refinance",ISNUMBER($B$80),$B$80&gt;=0,$B$80&lt;=1,ROUND($B$81*12,0)&gt;=1,$B$81&lt;=100,SUM($B$82)&gt;=0,SUM($B$82)&lt;=1,SUM($B$83)&gt;=0)),E862*SUM($B$82)+SUM($B$83),0)</x:f>
        <x:v>0</x:v>
      </x:c>
      <x:c r="H862" s="440" t="n">
        <x:f>IF(ISNUMBER(D862),IF(MAX(0,B862*(1+C862/12)-D862-F862)&lt;MAX(0.0000001,$E$17*0.00000000001),0,MAX(0,B862*(1+C862/12)-D862-F862)),IF(AND($B$171=1,I861=1),B862,""))</x:f>
        <x:v>0</x:v>
      </x:c>
      <x:c r="I862" s="444" t="n">
        <x:f>IF(OR(I861=1,AND(E862&gt;0,$B$78&lt;&gt;"Cash payoff",NOT(AND($B$78="Refinance",ISNUMBER($B$80),$B$80&gt;=0,$B$80&lt;=1,ROUND($B$81*12,0)&gt;=1,$B$81&lt;=100,SUM($B$82)&gt;=0,SUM($B$82)&lt;=1,SUM($B$83)&gt;=0))),AND(ISNUMBER(B862),B862&gt;0,$B$171=1,NOT(ISNUMBER(D862)))),1,0)</x:f>
        <x:v>0</x:v>
      </x:c>
      <x:c r="J862" s="440" t="n">
        <x:f>IF(ISNUMBER(L861),L861,"")</x:f>
        <x:v>0</x:v>
      </x:c>
      <x:c r="K862" s="440" t="n">
        <x:f>IF(AND(ISNUMBER(J862),J862=0),0,IF(AND($B$176=1,ISNUMBER(J862)),MIN(J862*(1+$B$87/12),IF($B$86=0,0,IF($B$87=0,$B$86/ROUND($B$88*12,0),$B$86*($B$87/12)/(1-(1+$B$87/12)^(-ROUND($B$88*12,0)))))),""))</x:f>
        <x:v>0</x:v>
      </x:c>
      <x:c r="L862" s="440" t="n">
        <x:f>IF(ISNUMBER(K862),IF(MAX(0,J862*(1+SUM($B$87)/12)-K862)&lt;MAX(0.0000001,$B$86*0.00000000001),0,MAX(0,J862*(1+SUM($B$87)/12)-K862)),"")</x:f>
        <x:v>0</x:v>
      </x:c>
      <x:c r="M862" s="440" t="n">
        <x:f>IF(AND(ISNUMBER(D862),ISNUMBER(K862)),D862+K862,"")</x:f>
        <x:v>0</x:v>
      </x:c>
      <x:c r="N862" s="440" t="n">
        <x:f>IF(AND(ISNUMBER(H862),ISNUMBER(L862)),H862+L862,"")</x:f>
        <x:v>0</x:v>
      </x:c>
    </x:row>
    <x:row r="863" ht="22" customHeight="1">
      <x:c r="A863" s="254" t="n">
        <x:f>463</x:f>
        <x:v>463</x:v>
      </x:c>
      <x:c r="B863" s="440" t="n">
        <x:f>IF(ISNUMBER(H862),H862,"")</x:f>
        <x:v>0</x:v>
      </x:c>
      <x:c r="C863" s="442" t="n">
        <x:f>IF(ISNUMBER(B863),IF(AND(463&gt;$B$173,$B$78="Refinance",ISNUMBER($B$80),$B$80&gt;=0,$B$80&lt;=1,ROUND($B$81*12,0)&gt;=1,$B$81&lt;=100,SUM($B$82)&gt;=0,SUM($B$82)&lt;=1,SUM($B$83)&gt;=0),$B$80,IF(AND($B$175&gt;0,463&gt;$B$175,ISNUMBER($B$75)),$B$75,$B$61)),"")</x:f>
        <x:v>0.0625</x:v>
      </x:c>
      <x:c r="D863" s="440" t="n">
        <x:f>IF(AND(ISNUMBER(B863),B863=0),0,IF(AND($B$171=1,I862=0,ISNUMBER(C863),ISNUMBER(IF(AND(463&lt;=$B$174,463&lt;=$B$173),B863*C863/12,IF(AND(463=$B$173+1,AND(463&gt;$B$173,$B$78="Refinance",ISNUMBER($B$80),$B$80&gt;=0,$B$80&lt;=1,ROUND($B$81*12,0)&gt;=1,$B$81&lt;=100,SUM($B$82)&gt;=0,SUM($B$82)&lt;=1,SUM($B$83)&gt;=0)),IF(B863=0,0,IF(C863=0,B863/ROUND($B$81*12,0),B863*(C863/12)/(1-(1+C863/12)^(-ROUND($B$81*12,0))))),IF(AND(NOT(AND(463&gt;$B$173,$B$78="Refinance",ISNUMBER($B$80),$B$80&gt;=0,$B$80&lt;=1,ROUND($B$81*12,0)&gt;=1,$B$81&lt;=100,SUM($B$82)&gt;=0,SUM($B$82)&lt;=1,SUM($B$83)&gt;=0)),OR(463=1,463=$B$174+1,AND($B$175&gt;0,463=$B$175+1))),IF(AND($B$170=1,$B$66&gt;0,OR($B$175=0,463&lt;=$B$175)),$B$66,IF($B$172-MAX(463-1,$B$174)&gt;0,IF(B863=0,0,IF(C863=0,B863/($B$172-MAX(463-1,$B$174)),B863*(C863/12)/(1-(1+C863/12)^(-($B$172-MAX(463-1,$B$174)))))),"")),D862))))),IF(IF(AND(463&lt;=$B$174,463&lt;=$B$173),B863*C863/12,IF(AND(463=$B$173+1,AND(463&gt;$B$173,$B$78="Refinance",ISNUMBER($B$80),$B$80&gt;=0,$B$80&lt;=1,ROUND($B$81*12,0)&gt;=1,$B$81&lt;=100,SUM($B$82)&gt;=0,SUM($B$82)&lt;=1,SUM($B$83)&gt;=0)),IF(B863=0,0,IF(C863=0,B863/ROUND($B$81*12,0),B863*(C863/12)/(1-(1+C863/12)^(-ROUND($B$81*12,0))))),IF(AND(NOT(AND(463&gt;$B$173,$B$78="Refinance",ISNUMBER($B$80),$B$80&gt;=0,$B$80&lt;=1,ROUND($B$81*12,0)&gt;=1,$B$81&lt;=100,SUM($B$82)&gt;=0,SUM($B$82)&lt;=1,SUM($B$83)&gt;=0)),OR(463=1,463=$B$174+1,AND($B$175&gt;0,463=$B$175+1))),IF(AND($B$170=1,$B$66&gt;0,OR($B$175=0,463&lt;=$B$175)),$B$66,IF($B$172-MAX(463-1,$B$174)&gt;0,IF(B863=0,0,IF(C863=0,B863/($B$172-MAX(463-1,$B$174)),B863*(C863/12)/(1-(1+C863/12)^(-($B$172-MAX(463-1,$B$174)))))),"")),D862)))+0.0000001&gt;=B863*C863/12,MIN(B863*(1+C863/12),IF(AND(463&lt;=$B$174,463&lt;=$B$173),B863*C863/12,IF(AND(463=$B$173+1,AND(463&gt;$B$173,$B$78="Refinance",ISNUMBER($B$80),$B$80&gt;=0,$B$80&lt;=1,ROUND($B$81*12,0)&gt;=1,$B$81&lt;=100,SUM($B$82)&gt;=0,SUM($B$82)&lt;=1,SUM($B$83)&gt;=0)),IF(B863=0,0,IF(C863=0,B863/ROUND($B$81*12,0),B863*(C863/12)/(1-(1+C863/12)^(-ROUND($B$81*12,0))))),IF(AND(NOT(AND(463&gt;$B$173,$B$78="Refinance",ISNUMBER($B$80),$B$80&gt;=0,$B$80&lt;=1,ROUND($B$81*12,0)&gt;=1,$B$81&lt;=100,SUM($B$82)&gt;=0,SUM($B$82)&lt;=1,SUM($B$83)&gt;=0)),OR(463=1,463=$B$174+1,AND($B$175&gt;0,463=$B$175+1))),IF(AND($B$170=1,$B$66&gt;0,OR($B$175=0,463&lt;=$B$175)),$B$66,IF($B$172-MAX(463-1,$B$174)&gt;0,IF(B863=0,0,IF(C863=0,B863/($B$172-MAX(463-1,$B$174)),B863*(C863/12)/(1-(1+C863/12)^(-($B$172-MAX(463-1,$B$174)))))),"")),D862)))),""),""))</x:f>
        <x:v>0</x:v>
      </x:c>
      <x:c r="E863" s="440" t="n">
        <x:f>IF(AND(463=$B$173,ISNUMBER(D863)),IF(MAX(0,B863*(1+C863/12)-D863)&lt;MAX(0.0000001,$E$17*0.00000000001),0,MAX(0,B863*(1+C863/12)-D863)),0)</x:f>
        <x:v>0</x:v>
      </x:c>
      <x:c r="F863" s="440" t="n">
        <x:f>IF($B$78="Cash payoff",E863,0)</x:f>
        <x:v>0</x:v>
      </x:c>
      <x:c r="G863" s="440" t="n">
        <x:f>IF(AND(E863&gt;0,AND($B$78="Refinance",ISNUMBER($B$80),$B$80&gt;=0,$B$80&lt;=1,ROUND($B$81*12,0)&gt;=1,$B$81&lt;=100,SUM($B$82)&gt;=0,SUM($B$82)&lt;=1,SUM($B$83)&gt;=0)),E863*SUM($B$82)+SUM($B$83),0)</x:f>
        <x:v>0</x:v>
      </x:c>
      <x:c r="H863" s="440" t="n">
        <x:f>IF(ISNUMBER(D863),IF(MAX(0,B863*(1+C863/12)-D863-F863)&lt;MAX(0.0000001,$E$17*0.00000000001),0,MAX(0,B863*(1+C863/12)-D863-F863)),IF(AND($B$171=1,I862=1),B863,""))</x:f>
        <x:v>0</x:v>
      </x:c>
      <x:c r="I863" s="444" t="n">
        <x:f>IF(OR(I862=1,AND(E863&gt;0,$B$78&lt;&gt;"Cash payoff",NOT(AND($B$78="Refinance",ISNUMBER($B$80),$B$80&gt;=0,$B$80&lt;=1,ROUND($B$81*12,0)&gt;=1,$B$81&lt;=100,SUM($B$82)&gt;=0,SUM($B$82)&lt;=1,SUM($B$83)&gt;=0))),AND(ISNUMBER(B863),B863&gt;0,$B$171=1,NOT(ISNUMBER(D863)))),1,0)</x:f>
        <x:v>0</x:v>
      </x:c>
      <x:c r="J863" s="440" t="n">
        <x:f>IF(ISNUMBER(L862),L862,"")</x:f>
        <x:v>0</x:v>
      </x:c>
      <x:c r="K863" s="440" t="n">
        <x:f>IF(AND(ISNUMBER(J863),J863=0),0,IF(AND($B$176=1,ISNUMBER(J863)),MIN(J863*(1+$B$87/12),IF($B$86=0,0,IF($B$87=0,$B$86/ROUND($B$88*12,0),$B$86*($B$87/12)/(1-(1+$B$87/12)^(-ROUND($B$88*12,0)))))),""))</x:f>
        <x:v>0</x:v>
      </x:c>
      <x:c r="L863" s="440" t="n">
        <x:f>IF(ISNUMBER(K863),IF(MAX(0,J863*(1+SUM($B$87)/12)-K863)&lt;MAX(0.0000001,$B$86*0.00000000001),0,MAX(0,J863*(1+SUM($B$87)/12)-K863)),"")</x:f>
        <x:v>0</x:v>
      </x:c>
      <x:c r="M863" s="440" t="n">
        <x:f>IF(AND(ISNUMBER(D863),ISNUMBER(K863)),D863+K863,"")</x:f>
        <x:v>0</x:v>
      </x:c>
      <x:c r="N863" s="440" t="n">
        <x:f>IF(AND(ISNUMBER(H863),ISNUMBER(L863)),H863+L863,"")</x:f>
        <x:v>0</x:v>
      </x:c>
    </x:row>
    <x:row r="864" ht="22" customHeight="1">
      <x:c r="A864" s="254" t="n">
        <x:f>464</x:f>
        <x:v>464</x:v>
      </x:c>
      <x:c r="B864" s="440" t="n">
        <x:f>IF(ISNUMBER(H863),H863,"")</x:f>
        <x:v>0</x:v>
      </x:c>
      <x:c r="C864" s="442" t="n">
        <x:f>IF(ISNUMBER(B864),IF(AND(464&gt;$B$173,$B$78="Refinance",ISNUMBER($B$80),$B$80&gt;=0,$B$80&lt;=1,ROUND($B$81*12,0)&gt;=1,$B$81&lt;=100,SUM($B$82)&gt;=0,SUM($B$82)&lt;=1,SUM($B$83)&gt;=0),$B$80,IF(AND($B$175&gt;0,464&gt;$B$175,ISNUMBER($B$75)),$B$75,$B$61)),"")</x:f>
        <x:v>0.0625</x:v>
      </x:c>
      <x:c r="D864" s="440" t="n">
        <x:f>IF(AND(ISNUMBER(B864),B864=0),0,IF(AND($B$171=1,I863=0,ISNUMBER(C864),ISNUMBER(IF(AND(464&lt;=$B$174,464&lt;=$B$173),B864*C864/12,IF(AND(464=$B$173+1,AND(464&gt;$B$173,$B$78="Refinance",ISNUMBER($B$80),$B$80&gt;=0,$B$80&lt;=1,ROUND($B$81*12,0)&gt;=1,$B$81&lt;=100,SUM($B$82)&gt;=0,SUM($B$82)&lt;=1,SUM($B$83)&gt;=0)),IF(B864=0,0,IF(C864=0,B864/ROUND($B$81*12,0),B864*(C864/12)/(1-(1+C864/12)^(-ROUND($B$81*12,0))))),IF(AND(NOT(AND(464&gt;$B$173,$B$78="Refinance",ISNUMBER($B$80),$B$80&gt;=0,$B$80&lt;=1,ROUND($B$81*12,0)&gt;=1,$B$81&lt;=100,SUM($B$82)&gt;=0,SUM($B$82)&lt;=1,SUM($B$83)&gt;=0)),OR(464=1,464=$B$174+1,AND($B$175&gt;0,464=$B$175+1))),IF(AND($B$170=1,$B$66&gt;0,OR($B$175=0,464&lt;=$B$175)),$B$66,IF($B$172-MAX(464-1,$B$174)&gt;0,IF(B864=0,0,IF(C864=0,B864/($B$172-MAX(464-1,$B$174)),B864*(C864/12)/(1-(1+C864/12)^(-($B$172-MAX(464-1,$B$174)))))),"")),D863))))),IF(IF(AND(464&lt;=$B$174,464&lt;=$B$173),B864*C864/12,IF(AND(464=$B$173+1,AND(464&gt;$B$173,$B$78="Refinance",ISNUMBER($B$80),$B$80&gt;=0,$B$80&lt;=1,ROUND($B$81*12,0)&gt;=1,$B$81&lt;=100,SUM($B$82)&gt;=0,SUM($B$82)&lt;=1,SUM($B$83)&gt;=0)),IF(B864=0,0,IF(C864=0,B864/ROUND($B$81*12,0),B864*(C864/12)/(1-(1+C864/12)^(-ROUND($B$81*12,0))))),IF(AND(NOT(AND(464&gt;$B$173,$B$78="Refinance",ISNUMBER($B$80),$B$80&gt;=0,$B$80&lt;=1,ROUND($B$81*12,0)&gt;=1,$B$81&lt;=100,SUM($B$82)&gt;=0,SUM($B$82)&lt;=1,SUM($B$83)&gt;=0)),OR(464=1,464=$B$174+1,AND($B$175&gt;0,464=$B$175+1))),IF(AND($B$170=1,$B$66&gt;0,OR($B$175=0,464&lt;=$B$175)),$B$66,IF($B$172-MAX(464-1,$B$174)&gt;0,IF(B864=0,0,IF(C864=0,B864/($B$172-MAX(464-1,$B$174)),B864*(C864/12)/(1-(1+C864/12)^(-($B$172-MAX(464-1,$B$174)))))),"")),D863)))+0.0000001&gt;=B864*C864/12,MIN(B864*(1+C864/12),IF(AND(464&lt;=$B$174,464&lt;=$B$173),B864*C864/12,IF(AND(464=$B$173+1,AND(464&gt;$B$173,$B$78="Refinance",ISNUMBER($B$80),$B$80&gt;=0,$B$80&lt;=1,ROUND($B$81*12,0)&gt;=1,$B$81&lt;=100,SUM($B$82)&gt;=0,SUM($B$82)&lt;=1,SUM($B$83)&gt;=0)),IF(B864=0,0,IF(C864=0,B864/ROUND($B$81*12,0),B864*(C864/12)/(1-(1+C864/12)^(-ROUND($B$81*12,0))))),IF(AND(NOT(AND(464&gt;$B$173,$B$78="Refinance",ISNUMBER($B$80),$B$80&gt;=0,$B$80&lt;=1,ROUND($B$81*12,0)&gt;=1,$B$81&lt;=100,SUM($B$82)&gt;=0,SUM($B$82)&lt;=1,SUM($B$83)&gt;=0)),OR(464=1,464=$B$174+1,AND($B$175&gt;0,464=$B$175+1))),IF(AND($B$170=1,$B$66&gt;0,OR($B$175=0,464&lt;=$B$175)),$B$66,IF($B$172-MAX(464-1,$B$174)&gt;0,IF(B864=0,0,IF(C864=0,B864/($B$172-MAX(464-1,$B$174)),B864*(C864/12)/(1-(1+C864/12)^(-($B$172-MAX(464-1,$B$174)))))),"")),D863)))),""),""))</x:f>
        <x:v>0</x:v>
      </x:c>
      <x:c r="E864" s="440" t="n">
        <x:f>IF(AND(464=$B$173,ISNUMBER(D864)),IF(MAX(0,B864*(1+C864/12)-D864)&lt;MAX(0.0000001,$E$17*0.00000000001),0,MAX(0,B864*(1+C864/12)-D864)),0)</x:f>
        <x:v>0</x:v>
      </x:c>
      <x:c r="F864" s="440" t="n">
        <x:f>IF($B$78="Cash payoff",E864,0)</x:f>
        <x:v>0</x:v>
      </x:c>
      <x:c r="G864" s="440" t="n">
        <x:f>IF(AND(E864&gt;0,AND($B$78="Refinance",ISNUMBER($B$80),$B$80&gt;=0,$B$80&lt;=1,ROUND($B$81*12,0)&gt;=1,$B$81&lt;=100,SUM($B$82)&gt;=0,SUM($B$82)&lt;=1,SUM($B$83)&gt;=0)),E864*SUM($B$82)+SUM($B$83),0)</x:f>
        <x:v>0</x:v>
      </x:c>
      <x:c r="H864" s="440" t="n">
        <x:f>IF(ISNUMBER(D864),IF(MAX(0,B864*(1+C864/12)-D864-F864)&lt;MAX(0.0000001,$E$17*0.00000000001),0,MAX(0,B864*(1+C864/12)-D864-F864)),IF(AND($B$171=1,I863=1),B864,""))</x:f>
        <x:v>0</x:v>
      </x:c>
      <x:c r="I864" s="444" t="n">
        <x:f>IF(OR(I863=1,AND(E864&gt;0,$B$78&lt;&gt;"Cash payoff",NOT(AND($B$78="Refinance",ISNUMBER($B$80),$B$80&gt;=0,$B$80&lt;=1,ROUND($B$81*12,0)&gt;=1,$B$81&lt;=100,SUM($B$82)&gt;=0,SUM($B$82)&lt;=1,SUM($B$83)&gt;=0))),AND(ISNUMBER(B864),B864&gt;0,$B$171=1,NOT(ISNUMBER(D864)))),1,0)</x:f>
        <x:v>0</x:v>
      </x:c>
      <x:c r="J864" s="440" t="n">
        <x:f>IF(ISNUMBER(L863),L863,"")</x:f>
        <x:v>0</x:v>
      </x:c>
      <x:c r="K864" s="440" t="n">
        <x:f>IF(AND(ISNUMBER(J864),J864=0),0,IF(AND($B$176=1,ISNUMBER(J864)),MIN(J864*(1+$B$87/12),IF($B$86=0,0,IF($B$87=0,$B$86/ROUND($B$88*12,0),$B$86*($B$87/12)/(1-(1+$B$87/12)^(-ROUND($B$88*12,0)))))),""))</x:f>
        <x:v>0</x:v>
      </x:c>
      <x:c r="L864" s="440" t="n">
        <x:f>IF(ISNUMBER(K864),IF(MAX(0,J864*(1+SUM($B$87)/12)-K864)&lt;MAX(0.0000001,$B$86*0.00000000001),0,MAX(0,J864*(1+SUM($B$87)/12)-K864)),"")</x:f>
        <x:v>0</x:v>
      </x:c>
      <x:c r="M864" s="440" t="n">
        <x:f>IF(AND(ISNUMBER(D864),ISNUMBER(K864)),D864+K864,"")</x:f>
        <x:v>0</x:v>
      </x:c>
      <x:c r="N864" s="440" t="n">
        <x:f>IF(AND(ISNUMBER(H864),ISNUMBER(L864)),H864+L864,"")</x:f>
        <x:v>0</x:v>
      </x:c>
    </x:row>
    <x:row r="865" ht="22" customHeight="1">
      <x:c r="A865" s="254" t="n">
        <x:f>465</x:f>
        <x:v>465</x:v>
      </x:c>
      <x:c r="B865" s="440" t="n">
        <x:f>IF(ISNUMBER(H864),H864,"")</x:f>
        <x:v>0</x:v>
      </x:c>
      <x:c r="C865" s="442" t="n">
        <x:f>IF(ISNUMBER(B865),IF(AND(465&gt;$B$173,$B$78="Refinance",ISNUMBER($B$80),$B$80&gt;=0,$B$80&lt;=1,ROUND($B$81*12,0)&gt;=1,$B$81&lt;=100,SUM($B$82)&gt;=0,SUM($B$82)&lt;=1,SUM($B$83)&gt;=0),$B$80,IF(AND($B$175&gt;0,465&gt;$B$175,ISNUMBER($B$75)),$B$75,$B$61)),"")</x:f>
        <x:v>0.0625</x:v>
      </x:c>
      <x:c r="D865" s="440" t="n">
        <x:f>IF(AND(ISNUMBER(B865),B865=0),0,IF(AND($B$171=1,I864=0,ISNUMBER(C865),ISNUMBER(IF(AND(465&lt;=$B$174,465&lt;=$B$173),B865*C865/12,IF(AND(465=$B$173+1,AND(465&gt;$B$173,$B$78="Refinance",ISNUMBER($B$80),$B$80&gt;=0,$B$80&lt;=1,ROUND($B$81*12,0)&gt;=1,$B$81&lt;=100,SUM($B$82)&gt;=0,SUM($B$82)&lt;=1,SUM($B$83)&gt;=0)),IF(B865=0,0,IF(C865=0,B865/ROUND($B$81*12,0),B865*(C865/12)/(1-(1+C865/12)^(-ROUND($B$81*12,0))))),IF(AND(NOT(AND(465&gt;$B$173,$B$78="Refinance",ISNUMBER($B$80),$B$80&gt;=0,$B$80&lt;=1,ROUND($B$81*12,0)&gt;=1,$B$81&lt;=100,SUM($B$82)&gt;=0,SUM($B$82)&lt;=1,SUM($B$83)&gt;=0)),OR(465=1,465=$B$174+1,AND($B$175&gt;0,465=$B$175+1))),IF(AND($B$170=1,$B$66&gt;0,OR($B$175=0,465&lt;=$B$175)),$B$66,IF($B$172-MAX(465-1,$B$174)&gt;0,IF(B865=0,0,IF(C865=0,B865/($B$172-MAX(465-1,$B$174)),B865*(C865/12)/(1-(1+C865/12)^(-($B$172-MAX(465-1,$B$174)))))),"")),D864))))),IF(IF(AND(465&lt;=$B$174,465&lt;=$B$173),B865*C865/12,IF(AND(465=$B$173+1,AND(465&gt;$B$173,$B$78="Refinance",ISNUMBER($B$80),$B$80&gt;=0,$B$80&lt;=1,ROUND($B$81*12,0)&gt;=1,$B$81&lt;=100,SUM($B$82)&gt;=0,SUM($B$82)&lt;=1,SUM($B$83)&gt;=0)),IF(B865=0,0,IF(C865=0,B865/ROUND($B$81*12,0),B865*(C865/12)/(1-(1+C865/12)^(-ROUND($B$81*12,0))))),IF(AND(NOT(AND(465&gt;$B$173,$B$78="Refinance",ISNUMBER($B$80),$B$80&gt;=0,$B$80&lt;=1,ROUND($B$81*12,0)&gt;=1,$B$81&lt;=100,SUM($B$82)&gt;=0,SUM($B$82)&lt;=1,SUM($B$83)&gt;=0)),OR(465=1,465=$B$174+1,AND($B$175&gt;0,465=$B$175+1))),IF(AND($B$170=1,$B$66&gt;0,OR($B$175=0,465&lt;=$B$175)),$B$66,IF($B$172-MAX(465-1,$B$174)&gt;0,IF(B865=0,0,IF(C865=0,B865/($B$172-MAX(465-1,$B$174)),B865*(C865/12)/(1-(1+C865/12)^(-($B$172-MAX(465-1,$B$174)))))),"")),D864)))+0.0000001&gt;=B865*C865/12,MIN(B865*(1+C865/12),IF(AND(465&lt;=$B$174,465&lt;=$B$173),B865*C865/12,IF(AND(465=$B$173+1,AND(465&gt;$B$173,$B$78="Refinance",ISNUMBER($B$80),$B$80&gt;=0,$B$80&lt;=1,ROUND($B$81*12,0)&gt;=1,$B$81&lt;=100,SUM($B$82)&gt;=0,SUM($B$82)&lt;=1,SUM($B$83)&gt;=0)),IF(B865=0,0,IF(C865=0,B865/ROUND($B$81*12,0),B865*(C865/12)/(1-(1+C865/12)^(-ROUND($B$81*12,0))))),IF(AND(NOT(AND(465&gt;$B$173,$B$78="Refinance",ISNUMBER($B$80),$B$80&gt;=0,$B$80&lt;=1,ROUND($B$81*12,0)&gt;=1,$B$81&lt;=100,SUM($B$82)&gt;=0,SUM($B$82)&lt;=1,SUM($B$83)&gt;=0)),OR(465=1,465=$B$174+1,AND($B$175&gt;0,465=$B$175+1))),IF(AND($B$170=1,$B$66&gt;0,OR($B$175=0,465&lt;=$B$175)),$B$66,IF($B$172-MAX(465-1,$B$174)&gt;0,IF(B865=0,0,IF(C865=0,B865/($B$172-MAX(465-1,$B$174)),B865*(C865/12)/(1-(1+C865/12)^(-($B$172-MAX(465-1,$B$174)))))),"")),D864)))),""),""))</x:f>
        <x:v>0</x:v>
      </x:c>
      <x:c r="E865" s="440" t="n">
        <x:f>IF(AND(465=$B$173,ISNUMBER(D865)),IF(MAX(0,B865*(1+C865/12)-D865)&lt;MAX(0.0000001,$E$17*0.00000000001),0,MAX(0,B865*(1+C865/12)-D865)),0)</x:f>
        <x:v>0</x:v>
      </x:c>
      <x:c r="F865" s="440" t="n">
        <x:f>IF($B$78="Cash payoff",E865,0)</x:f>
        <x:v>0</x:v>
      </x:c>
      <x:c r="G865" s="440" t="n">
        <x:f>IF(AND(E865&gt;0,AND($B$78="Refinance",ISNUMBER($B$80),$B$80&gt;=0,$B$80&lt;=1,ROUND($B$81*12,0)&gt;=1,$B$81&lt;=100,SUM($B$82)&gt;=0,SUM($B$82)&lt;=1,SUM($B$83)&gt;=0)),E865*SUM($B$82)+SUM($B$83),0)</x:f>
        <x:v>0</x:v>
      </x:c>
      <x:c r="H865" s="440" t="n">
        <x:f>IF(ISNUMBER(D865),IF(MAX(0,B865*(1+C865/12)-D865-F865)&lt;MAX(0.0000001,$E$17*0.00000000001),0,MAX(0,B865*(1+C865/12)-D865-F865)),IF(AND($B$171=1,I864=1),B865,""))</x:f>
        <x:v>0</x:v>
      </x:c>
      <x:c r="I865" s="444" t="n">
        <x:f>IF(OR(I864=1,AND(E865&gt;0,$B$78&lt;&gt;"Cash payoff",NOT(AND($B$78="Refinance",ISNUMBER($B$80),$B$80&gt;=0,$B$80&lt;=1,ROUND($B$81*12,0)&gt;=1,$B$81&lt;=100,SUM($B$82)&gt;=0,SUM($B$82)&lt;=1,SUM($B$83)&gt;=0))),AND(ISNUMBER(B865),B865&gt;0,$B$171=1,NOT(ISNUMBER(D865)))),1,0)</x:f>
        <x:v>0</x:v>
      </x:c>
      <x:c r="J865" s="440" t="n">
        <x:f>IF(ISNUMBER(L864),L864,"")</x:f>
        <x:v>0</x:v>
      </x:c>
      <x:c r="K865" s="440" t="n">
        <x:f>IF(AND(ISNUMBER(J865),J865=0),0,IF(AND($B$176=1,ISNUMBER(J865)),MIN(J865*(1+$B$87/12),IF($B$86=0,0,IF($B$87=0,$B$86/ROUND($B$88*12,0),$B$86*($B$87/12)/(1-(1+$B$87/12)^(-ROUND($B$88*12,0)))))),""))</x:f>
        <x:v>0</x:v>
      </x:c>
      <x:c r="L865" s="440" t="n">
        <x:f>IF(ISNUMBER(K865),IF(MAX(0,J865*(1+SUM($B$87)/12)-K865)&lt;MAX(0.0000001,$B$86*0.00000000001),0,MAX(0,J865*(1+SUM($B$87)/12)-K865)),"")</x:f>
        <x:v>0</x:v>
      </x:c>
      <x:c r="M865" s="440" t="n">
        <x:f>IF(AND(ISNUMBER(D865),ISNUMBER(K865)),D865+K865,"")</x:f>
        <x:v>0</x:v>
      </x:c>
      <x:c r="N865" s="440" t="n">
        <x:f>IF(AND(ISNUMBER(H865),ISNUMBER(L865)),H865+L865,"")</x:f>
        <x:v>0</x:v>
      </x:c>
    </x:row>
    <x:row r="866" ht="22" customHeight="1">
      <x:c r="A866" s="254" t="n">
        <x:f>466</x:f>
        <x:v>466</x:v>
      </x:c>
      <x:c r="B866" s="440" t="n">
        <x:f>IF(ISNUMBER(H865),H865,"")</x:f>
        <x:v>0</x:v>
      </x:c>
      <x:c r="C866" s="442" t="n">
        <x:f>IF(ISNUMBER(B866),IF(AND(466&gt;$B$173,$B$78="Refinance",ISNUMBER($B$80),$B$80&gt;=0,$B$80&lt;=1,ROUND($B$81*12,0)&gt;=1,$B$81&lt;=100,SUM($B$82)&gt;=0,SUM($B$82)&lt;=1,SUM($B$83)&gt;=0),$B$80,IF(AND($B$175&gt;0,466&gt;$B$175,ISNUMBER($B$75)),$B$75,$B$61)),"")</x:f>
        <x:v>0.0625</x:v>
      </x:c>
      <x:c r="D866" s="440" t="n">
        <x:f>IF(AND(ISNUMBER(B866),B866=0),0,IF(AND($B$171=1,I865=0,ISNUMBER(C866),ISNUMBER(IF(AND(466&lt;=$B$174,466&lt;=$B$173),B866*C866/12,IF(AND(466=$B$173+1,AND(466&gt;$B$173,$B$78="Refinance",ISNUMBER($B$80),$B$80&gt;=0,$B$80&lt;=1,ROUND($B$81*12,0)&gt;=1,$B$81&lt;=100,SUM($B$82)&gt;=0,SUM($B$82)&lt;=1,SUM($B$83)&gt;=0)),IF(B866=0,0,IF(C866=0,B866/ROUND($B$81*12,0),B866*(C866/12)/(1-(1+C866/12)^(-ROUND($B$81*12,0))))),IF(AND(NOT(AND(466&gt;$B$173,$B$78="Refinance",ISNUMBER($B$80),$B$80&gt;=0,$B$80&lt;=1,ROUND($B$81*12,0)&gt;=1,$B$81&lt;=100,SUM($B$82)&gt;=0,SUM($B$82)&lt;=1,SUM($B$83)&gt;=0)),OR(466=1,466=$B$174+1,AND($B$175&gt;0,466=$B$175+1))),IF(AND($B$170=1,$B$66&gt;0,OR($B$175=0,466&lt;=$B$175)),$B$66,IF($B$172-MAX(466-1,$B$174)&gt;0,IF(B866=0,0,IF(C866=0,B866/($B$172-MAX(466-1,$B$174)),B866*(C866/12)/(1-(1+C866/12)^(-($B$172-MAX(466-1,$B$174)))))),"")),D865))))),IF(IF(AND(466&lt;=$B$174,466&lt;=$B$173),B866*C866/12,IF(AND(466=$B$173+1,AND(466&gt;$B$173,$B$78="Refinance",ISNUMBER($B$80),$B$80&gt;=0,$B$80&lt;=1,ROUND($B$81*12,0)&gt;=1,$B$81&lt;=100,SUM($B$82)&gt;=0,SUM($B$82)&lt;=1,SUM($B$83)&gt;=0)),IF(B866=0,0,IF(C866=0,B866/ROUND($B$81*12,0),B866*(C866/12)/(1-(1+C866/12)^(-ROUND($B$81*12,0))))),IF(AND(NOT(AND(466&gt;$B$173,$B$78="Refinance",ISNUMBER($B$80),$B$80&gt;=0,$B$80&lt;=1,ROUND($B$81*12,0)&gt;=1,$B$81&lt;=100,SUM($B$82)&gt;=0,SUM($B$82)&lt;=1,SUM($B$83)&gt;=0)),OR(466=1,466=$B$174+1,AND($B$175&gt;0,466=$B$175+1))),IF(AND($B$170=1,$B$66&gt;0,OR($B$175=0,466&lt;=$B$175)),$B$66,IF($B$172-MAX(466-1,$B$174)&gt;0,IF(B866=0,0,IF(C866=0,B866/($B$172-MAX(466-1,$B$174)),B866*(C866/12)/(1-(1+C866/12)^(-($B$172-MAX(466-1,$B$174)))))),"")),D865)))+0.0000001&gt;=B866*C866/12,MIN(B866*(1+C866/12),IF(AND(466&lt;=$B$174,466&lt;=$B$173),B866*C866/12,IF(AND(466=$B$173+1,AND(466&gt;$B$173,$B$78="Refinance",ISNUMBER($B$80),$B$80&gt;=0,$B$80&lt;=1,ROUND($B$81*12,0)&gt;=1,$B$81&lt;=100,SUM($B$82)&gt;=0,SUM($B$82)&lt;=1,SUM($B$83)&gt;=0)),IF(B866=0,0,IF(C866=0,B866/ROUND($B$81*12,0),B866*(C866/12)/(1-(1+C866/12)^(-ROUND($B$81*12,0))))),IF(AND(NOT(AND(466&gt;$B$173,$B$78="Refinance",ISNUMBER($B$80),$B$80&gt;=0,$B$80&lt;=1,ROUND($B$81*12,0)&gt;=1,$B$81&lt;=100,SUM($B$82)&gt;=0,SUM($B$82)&lt;=1,SUM($B$83)&gt;=0)),OR(466=1,466=$B$174+1,AND($B$175&gt;0,466=$B$175+1))),IF(AND($B$170=1,$B$66&gt;0,OR($B$175=0,466&lt;=$B$175)),$B$66,IF($B$172-MAX(466-1,$B$174)&gt;0,IF(B866=0,0,IF(C866=0,B866/($B$172-MAX(466-1,$B$174)),B866*(C866/12)/(1-(1+C866/12)^(-($B$172-MAX(466-1,$B$174)))))),"")),D865)))),""),""))</x:f>
        <x:v>0</x:v>
      </x:c>
      <x:c r="E866" s="440" t="n">
        <x:f>IF(AND(466=$B$173,ISNUMBER(D866)),IF(MAX(0,B866*(1+C866/12)-D866)&lt;MAX(0.0000001,$E$17*0.00000000001),0,MAX(0,B866*(1+C866/12)-D866)),0)</x:f>
        <x:v>0</x:v>
      </x:c>
      <x:c r="F866" s="440" t="n">
        <x:f>IF($B$78="Cash payoff",E866,0)</x:f>
        <x:v>0</x:v>
      </x:c>
      <x:c r="G866" s="440" t="n">
        <x:f>IF(AND(E866&gt;0,AND($B$78="Refinance",ISNUMBER($B$80),$B$80&gt;=0,$B$80&lt;=1,ROUND($B$81*12,0)&gt;=1,$B$81&lt;=100,SUM($B$82)&gt;=0,SUM($B$82)&lt;=1,SUM($B$83)&gt;=0)),E866*SUM($B$82)+SUM($B$83),0)</x:f>
        <x:v>0</x:v>
      </x:c>
      <x:c r="H866" s="440" t="n">
        <x:f>IF(ISNUMBER(D866),IF(MAX(0,B866*(1+C866/12)-D866-F866)&lt;MAX(0.0000001,$E$17*0.00000000001),0,MAX(0,B866*(1+C866/12)-D866-F866)),IF(AND($B$171=1,I865=1),B866,""))</x:f>
        <x:v>0</x:v>
      </x:c>
      <x:c r="I866" s="444" t="n">
        <x:f>IF(OR(I865=1,AND(E866&gt;0,$B$78&lt;&gt;"Cash payoff",NOT(AND($B$78="Refinance",ISNUMBER($B$80),$B$80&gt;=0,$B$80&lt;=1,ROUND($B$81*12,0)&gt;=1,$B$81&lt;=100,SUM($B$82)&gt;=0,SUM($B$82)&lt;=1,SUM($B$83)&gt;=0))),AND(ISNUMBER(B866),B866&gt;0,$B$171=1,NOT(ISNUMBER(D866)))),1,0)</x:f>
        <x:v>0</x:v>
      </x:c>
      <x:c r="J866" s="440" t="n">
        <x:f>IF(ISNUMBER(L865),L865,"")</x:f>
        <x:v>0</x:v>
      </x:c>
      <x:c r="K866" s="440" t="n">
        <x:f>IF(AND(ISNUMBER(J866),J866=0),0,IF(AND($B$176=1,ISNUMBER(J866)),MIN(J866*(1+$B$87/12),IF($B$86=0,0,IF($B$87=0,$B$86/ROUND($B$88*12,0),$B$86*($B$87/12)/(1-(1+$B$87/12)^(-ROUND($B$88*12,0)))))),""))</x:f>
        <x:v>0</x:v>
      </x:c>
      <x:c r="L866" s="440" t="n">
        <x:f>IF(ISNUMBER(K866),IF(MAX(0,J866*(1+SUM($B$87)/12)-K866)&lt;MAX(0.0000001,$B$86*0.00000000001),0,MAX(0,J866*(1+SUM($B$87)/12)-K866)),"")</x:f>
        <x:v>0</x:v>
      </x:c>
      <x:c r="M866" s="440" t="n">
        <x:f>IF(AND(ISNUMBER(D866),ISNUMBER(K866)),D866+K866,"")</x:f>
        <x:v>0</x:v>
      </x:c>
      <x:c r="N866" s="440" t="n">
        <x:f>IF(AND(ISNUMBER(H866),ISNUMBER(L866)),H866+L866,"")</x:f>
        <x:v>0</x:v>
      </x:c>
    </x:row>
    <x:row r="867" ht="22" customHeight="1">
      <x:c r="A867" s="254" t="n">
        <x:f>467</x:f>
        <x:v>467</x:v>
      </x:c>
      <x:c r="B867" s="440" t="n">
        <x:f>IF(ISNUMBER(H866),H866,"")</x:f>
        <x:v>0</x:v>
      </x:c>
      <x:c r="C867" s="442" t="n">
        <x:f>IF(ISNUMBER(B867),IF(AND(467&gt;$B$173,$B$78="Refinance",ISNUMBER($B$80),$B$80&gt;=0,$B$80&lt;=1,ROUND($B$81*12,0)&gt;=1,$B$81&lt;=100,SUM($B$82)&gt;=0,SUM($B$82)&lt;=1,SUM($B$83)&gt;=0),$B$80,IF(AND($B$175&gt;0,467&gt;$B$175,ISNUMBER($B$75)),$B$75,$B$61)),"")</x:f>
        <x:v>0.0625</x:v>
      </x:c>
      <x:c r="D867" s="440" t="n">
        <x:f>IF(AND(ISNUMBER(B867),B867=0),0,IF(AND($B$171=1,I866=0,ISNUMBER(C867),ISNUMBER(IF(AND(467&lt;=$B$174,467&lt;=$B$173),B867*C867/12,IF(AND(467=$B$173+1,AND(467&gt;$B$173,$B$78="Refinance",ISNUMBER($B$80),$B$80&gt;=0,$B$80&lt;=1,ROUND($B$81*12,0)&gt;=1,$B$81&lt;=100,SUM($B$82)&gt;=0,SUM($B$82)&lt;=1,SUM($B$83)&gt;=0)),IF(B867=0,0,IF(C867=0,B867/ROUND($B$81*12,0),B867*(C867/12)/(1-(1+C867/12)^(-ROUND($B$81*12,0))))),IF(AND(NOT(AND(467&gt;$B$173,$B$78="Refinance",ISNUMBER($B$80),$B$80&gt;=0,$B$80&lt;=1,ROUND($B$81*12,0)&gt;=1,$B$81&lt;=100,SUM($B$82)&gt;=0,SUM($B$82)&lt;=1,SUM($B$83)&gt;=0)),OR(467=1,467=$B$174+1,AND($B$175&gt;0,467=$B$175+1))),IF(AND($B$170=1,$B$66&gt;0,OR($B$175=0,467&lt;=$B$175)),$B$66,IF($B$172-MAX(467-1,$B$174)&gt;0,IF(B867=0,0,IF(C867=0,B867/($B$172-MAX(467-1,$B$174)),B867*(C867/12)/(1-(1+C867/12)^(-($B$172-MAX(467-1,$B$174)))))),"")),D866))))),IF(IF(AND(467&lt;=$B$174,467&lt;=$B$173),B867*C867/12,IF(AND(467=$B$173+1,AND(467&gt;$B$173,$B$78="Refinance",ISNUMBER($B$80),$B$80&gt;=0,$B$80&lt;=1,ROUND($B$81*12,0)&gt;=1,$B$81&lt;=100,SUM($B$82)&gt;=0,SUM($B$82)&lt;=1,SUM($B$83)&gt;=0)),IF(B867=0,0,IF(C867=0,B867/ROUND($B$81*12,0),B867*(C867/12)/(1-(1+C867/12)^(-ROUND($B$81*12,0))))),IF(AND(NOT(AND(467&gt;$B$173,$B$78="Refinance",ISNUMBER($B$80),$B$80&gt;=0,$B$80&lt;=1,ROUND($B$81*12,0)&gt;=1,$B$81&lt;=100,SUM($B$82)&gt;=0,SUM($B$82)&lt;=1,SUM($B$83)&gt;=0)),OR(467=1,467=$B$174+1,AND($B$175&gt;0,467=$B$175+1))),IF(AND($B$170=1,$B$66&gt;0,OR($B$175=0,467&lt;=$B$175)),$B$66,IF($B$172-MAX(467-1,$B$174)&gt;0,IF(B867=0,0,IF(C867=0,B867/($B$172-MAX(467-1,$B$174)),B867*(C867/12)/(1-(1+C867/12)^(-($B$172-MAX(467-1,$B$174)))))),"")),D866)))+0.0000001&gt;=B867*C867/12,MIN(B867*(1+C867/12),IF(AND(467&lt;=$B$174,467&lt;=$B$173),B867*C867/12,IF(AND(467=$B$173+1,AND(467&gt;$B$173,$B$78="Refinance",ISNUMBER($B$80),$B$80&gt;=0,$B$80&lt;=1,ROUND($B$81*12,0)&gt;=1,$B$81&lt;=100,SUM($B$82)&gt;=0,SUM($B$82)&lt;=1,SUM($B$83)&gt;=0)),IF(B867=0,0,IF(C867=0,B867/ROUND($B$81*12,0),B867*(C867/12)/(1-(1+C867/12)^(-ROUND($B$81*12,0))))),IF(AND(NOT(AND(467&gt;$B$173,$B$78="Refinance",ISNUMBER($B$80),$B$80&gt;=0,$B$80&lt;=1,ROUND($B$81*12,0)&gt;=1,$B$81&lt;=100,SUM($B$82)&gt;=0,SUM($B$82)&lt;=1,SUM($B$83)&gt;=0)),OR(467=1,467=$B$174+1,AND($B$175&gt;0,467=$B$175+1))),IF(AND($B$170=1,$B$66&gt;0,OR($B$175=0,467&lt;=$B$175)),$B$66,IF($B$172-MAX(467-1,$B$174)&gt;0,IF(B867=0,0,IF(C867=0,B867/($B$172-MAX(467-1,$B$174)),B867*(C867/12)/(1-(1+C867/12)^(-($B$172-MAX(467-1,$B$174)))))),"")),D866)))),""),""))</x:f>
        <x:v>0</x:v>
      </x:c>
      <x:c r="E867" s="440" t="n">
        <x:f>IF(AND(467=$B$173,ISNUMBER(D867)),IF(MAX(0,B867*(1+C867/12)-D867)&lt;MAX(0.0000001,$E$17*0.00000000001),0,MAX(0,B867*(1+C867/12)-D867)),0)</x:f>
        <x:v>0</x:v>
      </x:c>
      <x:c r="F867" s="440" t="n">
        <x:f>IF($B$78="Cash payoff",E867,0)</x:f>
        <x:v>0</x:v>
      </x:c>
      <x:c r="G867" s="440" t="n">
        <x:f>IF(AND(E867&gt;0,AND($B$78="Refinance",ISNUMBER($B$80),$B$80&gt;=0,$B$80&lt;=1,ROUND($B$81*12,0)&gt;=1,$B$81&lt;=100,SUM($B$82)&gt;=0,SUM($B$82)&lt;=1,SUM($B$83)&gt;=0)),E867*SUM($B$82)+SUM($B$83),0)</x:f>
        <x:v>0</x:v>
      </x:c>
      <x:c r="H867" s="440" t="n">
        <x:f>IF(ISNUMBER(D867),IF(MAX(0,B867*(1+C867/12)-D867-F867)&lt;MAX(0.0000001,$E$17*0.00000000001),0,MAX(0,B867*(1+C867/12)-D867-F867)),IF(AND($B$171=1,I866=1),B867,""))</x:f>
        <x:v>0</x:v>
      </x:c>
      <x:c r="I867" s="444" t="n">
        <x:f>IF(OR(I866=1,AND(E867&gt;0,$B$78&lt;&gt;"Cash payoff",NOT(AND($B$78="Refinance",ISNUMBER($B$80),$B$80&gt;=0,$B$80&lt;=1,ROUND($B$81*12,0)&gt;=1,$B$81&lt;=100,SUM($B$82)&gt;=0,SUM($B$82)&lt;=1,SUM($B$83)&gt;=0))),AND(ISNUMBER(B867),B867&gt;0,$B$171=1,NOT(ISNUMBER(D867)))),1,0)</x:f>
        <x:v>0</x:v>
      </x:c>
      <x:c r="J867" s="440" t="n">
        <x:f>IF(ISNUMBER(L866),L866,"")</x:f>
        <x:v>0</x:v>
      </x:c>
      <x:c r="K867" s="440" t="n">
        <x:f>IF(AND(ISNUMBER(J867),J867=0),0,IF(AND($B$176=1,ISNUMBER(J867)),MIN(J867*(1+$B$87/12),IF($B$86=0,0,IF($B$87=0,$B$86/ROUND($B$88*12,0),$B$86*($B$87/12)/(1-(1+$B$87/12)^(-ROUND($B$88*12,0)))))),""))</x:f>
        <x:v>0</x:v>
      </x:c>
      <x:c r="L867" s="440" t="n">
        <x:f>IF(ISNUMBER(K867),IF(MAX(0,J867*(1+SUM($B$87)/12)-K867)&lt;MAX(0.0000001,$B$86*0.00000000001),0,MAX(0,J867*(1+SUM($B$87)/12)-K867)),"")</x:f>
        <x:v>0</x:v>
      </x:c>
      <x:c r="M867" s="440" t="n">
        <x:f>IF(AND(ISNUMBER(D867),ISNUMBER(K867)),D867+K867,"")</x:f>
        <x:v>0</x:v>
      </x:c>
      <x:c r="N867" s="440" t="n">
        <x:f>IF(AND(ISNUMBER(H867),ISNUMBER(L867)),H867+L867,"")</x:f>
        <x:v>0</x:v>
      </x:c>
    </x:row>
    <x:row r="868" ht="22" customHeight="1">
      <x:c r="A868" s="254" t="n">
        <x:f>468</x:f>
        <x:v>468</x:v>
      </x:c>
      <x:c r="B868" s="440" t="n">
        <x:f>IF(ISNUMBER(H867),H867,"")</x:f>
        <x:v>0</x:v>
      </x:c>
      <x:c r="C868" s="442" t="n">
        <x:f>IF(ISNUMBER(B868),IF(AND(468&gt;$B$173,$B$78="Refinance",ISNUMBER($B$80),$B$80&gt;=0,$B$80&lt;=1,ROUND($B$81*12,0)&gt;=1,$B$81&lt;=100,SUM($B$82)&gt;=0,SUM($B$82)&lt;=1,SUM($B$83)&gt;=0),$B$80,IF(AND($B$175&gt;0,468&gt;$B$175,ISNUMBER($B$75)),$B$75,$B$61)),"")</x:f>
        <x:v>0.0625</x:v>
      </x:c>
      <x:c r="D868" s="440" t="n">
        <x:f>IF(AND(ISNUMBER(B868),B868=0),0,IF(AND($B$171=1,I867=0,ISNUMBER(C868),ISNUMBER(IF(AND(468&lt;=$B$174,468&lt;=$B$173),B868*C868/12,IF(AND(468=$B$173+1,AND(468&gt;$B$173,$B$78="Refinance",ISNUMBER($B$80),$B$80&gt;=0,$B$80&lt;=1,ROUND($B$81*12,0)&gt;=1,$B$81&lt;=100,SUM($B$82)&gt;=0,SUM($B$82)&lt;=1,SUM($B$83)&gt;=0)),IF(B868=0,0,IF(C868=0,B868/ROUND($B$81*12,0),B868*(C868/12)/(1-(1+C868/12)^(-ROUND($B$81*12,0))))),IF(AND(NOT(AND(468&gt;$B$173,$B$78="Refinance",ISNUMBER($B$80),$B$80&gt;=0,$B$80&lt;=1,ROUND($B$81*12,0)&gt;=1,$B$81&lt;=100,SUM($B$82)&gt;=0,SUM($B$82)&lt;=1,SUM($B$83)&gt;=0)),OR(468=1,468=$B$174+1,AND($B$175&gt;0,468=$B$175+1))),IF(AND($B$170=1,$B$66&gt;0,OR($B$175=0,468&lt;=$B$175)),$B$66,IF($B$172-MAX(468-1,$B$174)&gt;0,IF(B868=0,0,IF(C868=0,B868/($B$172-MAX(468-1,$B$174)),B868*(C868/12)/(1-(1+C868/12)^(-($B$172-MAX(468-1,$B$174)))))),"")),D867))))),IF(IF(AND(468&lt;=$B$174,468&lt;=$B$173),B868*C868/12,IF(AND(468=$B$173+1,AND(468&gt;$B$173,$B$78="Refinance",ISNUMBER($B$80),$B$80&gt;=0,$B$80&lt;=1,ROUND($B$81*12,0)&gt;=1,$B$81&lt;=100,SUM($B$82)&gt;=0,SUM($B$82)&lt;=1,SUM($B$83)&gt;=0)),IF(B868=0,0,IF(C868=0,B868/ROUND($B$81*12,0),B868*(C868/12)/(1-(1+C868/12)^(-ROUND($B$81*12,0))))),IF(AND(NOT(AND(468&gt;$B$173,$B$78="Refinance",ISNUMBER($B$80),$B$80&gt;=0,$B$80&lt;=1,ROUND($B$81*12,0)&gt;=1,$B$81&lt;=100,SUM($B$82)&gt;=0,SUM($B$82)&lt;=1,SUM($B$83)&gt;=0)),OR(468=1,468=$B$174+1,AND($B$175&gt;0,468=$B$175+1))),IF(AND($B$170=1,$B$66&gt;0,OR($B$175=0,468&lt;=$B$175)),$B$66,IF($B$172-MAX(468-1,$B$174)&gt;0,IF(B868=0,0,IF(C868=0,B868/($B$172-MAX(468-1,$B$174)),B868*(C868/12)/(1-(1+C868/12)^(-($B$172-MAX(468-1,$B$174)))))),"")),D867)))+0.0000001&gt;=B868*C868/12,MIN(B868*(1+C868/12),IF(AND(468&lt;=$B$174,468&lt;=$B$173),B868*C868/12,IF(AND(468=$B$173+1,AND(468&gt;$B$173,$B$78="Refinance",ISNUMBER($B$80),$B$80&gt;=0,$B$80&lt;=1,ROUND($B$81*12,0)&gt;=1,$B$81&lt;=100,SUM($B$82)&gt;=0,SUM($B$82)&lt;=1,SUM($B$83)&gt;=0)),IF(B868=0,0,IF(C868=0,B868/ROUND($B$81*12,0),B868*(C868/12)/(1-(1+C868/12)^(-ROUND($B$81*12,0))))),IF(AND(NOT(AND(468&gt;$B$173,$B$78="Refinance",ISNUMBER($B$80),$B$80&gt;=0,$B$80&lt;=1,ROUND($B$81*12,0)&gt;=1,$B$81&lt;=100,SUM($B$82)&gt;=0,SUM($B$82)&lt;=1,SUM($B$83)&gt;=0)),OR(468=1,468=$B$174+1,AND($B$175&gt;0,468=$B$175+1))),IF(AND($B$170=1,$B$66&gt;0,OR($B$175=0,468&lt;=$B$175)),$B$66,IF($B$172-MAX(468-1,$B$174)&gt;0,IF(B868=0,0,IF(C868=0,B868/($B$172-MAX(468-1,$B$174)),B868*(C868/12)/(1-(1+C868/12)^(-($B$172-MAX(468-1,$B$174)))))),"")),D867)))),""),""))</x:f>
        <x:v>0</x:v>
      </x:c>
      <x:c r="E868" s="440" t="n">
        <x:f>IF(AND(468=$B$173,ISNUMBER(D868)),IF(MAX(0,B868*(1+C868/12)-D868)&lt;MAX(0.0000001,$E$17*0.00000000001),0,MAX(0,B868*(1+C868/12)-D868)),0)</x:f>
        <x:v>0</x:v>
      </x:c>
      <x:c r="F868" s="440" t="n">
        <x:f>IF($B$78="Cash payoff",E868,0)</x:f>
        <x:v>0</x:v>
      </x:c>
      <x:c r="G868" s="440" t="n">
        <x:f>IF(AND(E868&gt;0,AND($B$78="Refinance",ISNUMBER($B$80),$B$80&gt;=0,$B$80&lt;=1,ROUND($B$81*12,0)&gt;=1,$B$81&lt;=100,SUM($B$82)&gt;=0,SUM($B$82)&lt;=1,SUM($B$83)&gt;=0)),E868*SUM($B$82)+SUM($B$83),0)</x:f>
        <x:v>0</x:v>
      </x:c>
      <x:c r="H868" s="440" t="n">
        <x:f>IF(ISNUMBER(D868),IF(MAX(0,B868*(1+C868/12)-D868-F868)&lt;MAX(0.0000001,$E$17*0.00000000001),0,MAX(0,B868*(1+C868/12)-D868-F868)),IF(AND($B$171=1,I867=1),B868,""))</x:f>
        <x:v>0</x:v>
      </x:c>
      <x:c r="I868" s="444" t="n">
        <x:f>IF(OR(I867=1,AND(E868&gt;0,$B$78&lt;&gt;"Cash payoff",NOT(AND($B$78="Refinance",ISNUMBER($B$80),$B$80&gt;=0,$B$80&lt;=1,ROUND($B$81*12,0)&gt;=1,$B$81&lt;=100,SUM($B$82)&gt;=0,SUM($B$82)&lt;=1,SUM($B$83)&gt;=0))),AND(ISNUMBER(B868),B868&gt;0,$B$171=1,NOT(ISNUMBER(D868)))),1,0)</x:f>
        <x:v>0</x:v>
      </x:c>
      <x:c r="J868" s="440" t="n">
        <x:f>IF(ISNUMBER(L867),L867,"")</x:f>
        <x:v>0</x:v>
      </x:c>
      <x:c r="K868" s="440" t="n">
        <x:f>IF(AND(ISNUMBER(J868),J868=0),0,IF(AND($B$176=1,ISNUMBER(J868)),MIN(J868*(1+$B$87/12),IF($B$86=0,0,IF($B$87=0,$B$86/ROUND($B$88*12,0),$B$86*($B$87/12)/(1-(1+$B$87/12)^(-ROUND($B$88*12,0)))))),""))</x:f>
        <x:v>0</x:v>
      </x:c>
      <x:c r="L868" s="440" t="n">
        <x:f>IF(ISNUMBER(K868),IF(MAX(0,J868*(1+SUM($B$87)/12)-K868)&lt;MAX(0.0000001,$B$86*0.00000000001),0,MAX(0,J868*(1+SUM($B$87)/12)-K868)),"")</x:f>
        <x:v>0</x:v>
      </x:c>
      <x:c r="M868" s="440" t="n">
        <x:f>IF(AND(ISNUMBER(D868),ISNUMBER(K868)),D868+K868,"")</x:f>
        <x:v>0</x:v>
      </x:c>
      <x:c r="N868" s="440" t="n">
        <x:f>IF(AND(ISNUMBER(H868),ISNUMBER(L868)),H868+L868,"")</x:f>
        <x:v>0</x:v>
      </x:c>
    </x:row>
    <x:row r="869" ht="22" customHeight="1">
      <x:c r="A869" s="254" t="n">
        <x:f>469</x:f>
        <x:v>469</x:v>
      </x:c>
      <x:c r="B869" s="440" t="n">
        <x:f>IF(ISNUMBER(H868),H868,"")</x:f>
        <x:v>0</x:v>
      </x:c>
      <x:c r="C869" s="442" t="n">
        <x:f>IF(ISNUMBER(B869),IF(AND(469&gt;$B$173,$B$78="Refinance",ISNUMBER($B$80),$B$80&gt;=0,$B$80&lt;=1,ROUND($B$81*12,0)&gt;=1,$B$81&lt;=100,SUM($B$82)&gt;=0,SUM($B$82)&lt;=1,SUM($B$83)&gt;=0),$B$80,IF(AND($B$175&gt;0,469&gt;$B$175,ISNUMBER($B$75)),$B$75,$B$61)),"")</x:f>
        <x:v>0.0625</x:v>
      </x:c>
      <x:c r="D869" s="440" t="n">
        <x:f>IF(AND(ISNUMBER(B869),B869=0),0,IF(AND($B$171=1,I868=0,ISNUMBER(C869),ISNUMBER(IF(AND(469&lt;=$B$174,469&lt;=$B$173),B869*C869/12,IF(AND(469=$B$173+1,AND(469&gt;$B$173,$B$78="Refinance",ISNUMBER($B$80),$B$80&gt;=0,$B$80&lt;=1,ROUND($B$81*12,0)&gt;=1,$B$81&lt;=100,SUM($B$82)&gt;=0,SUM($B$82)&lt;=1,SUM($B$83)&gt;=0)),IF(B869=0,0,IF(C869=0,B869/ROUND($B$81*12,0),B869*(C869/12)/(1-(1+C869/12)^(-ROUND($B$81*12,0))))),IF(AND(NOT(AND(469&gt;$B$173,$B$78="Refinance",ISNUMBER($B$80),$B$80&gt;=0,$B$80&lt;=1,ROUND($B$81*12,0)&gt;=1,$B$81&lt;=100,SUM($B$82)&gt;=0,SUM($B$82)&lt;=1,SUM($B$83)&gt;=0)),OR(469=1,469=$B$174+1,AND($B$175&gt;0,469=$B$175+1))),IF(AND($B$170=1,$B$66&gt;0,OR($B$175=0,469&lt;=$B$175)),$B$66,IF($B$172-MAX(469-1,$B$174)&gt;0,IF(B869=0,0,IF(C869=0,B869/($B$172-MAX(469-1,$B$174)),B869*(C869/12)/(1-(1+C869/12)^(-($B$172-MAX(469-1,$B$174)))))),"")),D868))))),IF(IF(AND(469&lt;=$B$174,469&lt;=$B$173),B869*C869/12,IF(AND(469=$B$173+1,AND(469&gt;$B$173,$B$78="Refinance",ISNUMBER($B$80),$B$80&gt;=0,$B$80&lt;=1,ROUND($B$81*12,0)&gt;=1,$B$81&lt;=100,SUM($B$82)&gt;=0,SUM($B$82)&lt;=1,SUM($B$83)&gt;=0)),IF(B869=0,0,IF(C869=0,B869/ROUND($B$81*12,0),B869*(C869/12)/(1-(1+C869/12)^(-ROUND($B$81*12,0))))),IF(AND(NOT(AND(469&gt;$B$173,$B$78="Refinance",ISNUMBER($B$80),$B$80&gt;=0,$B$80&lt;=1,ROUND($B$81*12,0)&gt;=1,$B$81&lt;=100,SUM($B$82)&gt;=0,SUM($B$82)&lt;=1,SUM($B$83)&gt;=0)),OR(469=1,469=$B$174+1,AND($B$175&gt;0,469=$B$175+1))),IF(AND($B$170=1,$B$66&gt;0,OR($B$175=0,469&lt;=$B$175)),$B$66,IF($B$172-MAX(469-1,$B$174)&gt;0,IF(B869=0,0,IF(C869=0,B869/($B$172-MAX(469-1,$B$174)),B869*(C869/12)/(1-(1+C869/12)^(-($B$172-MAX(469-1,$B$174)))))),"")),D868)))+0.0000001&gt;=B869*C869/12,MIN(B869*(1+C869/12),IF(AND(469&lt;=$B$174,469&lt;=$B$173),B869*C869/12,IF(AND(469=$B$173+1,AND(469&gt;$B$173,$B$78="Refinance",ISNUMBER($B$80),$B$80&gt;=0,$B$80&lt;=1,ROUND($B$81*12,0)&gt;=1,$B$81&lt;=100,SUM($B$82)&gt;=0,SUM($B$82)&lt;=1,SUM($B$83)&gt;=0)),IF(B869=0,0,IF(C869=0,B869/ROUND($B$81*12,0),B869*(C869/12)/(1-(1+C869/12)^(-ROUND($B$81*12,0))))),IF(AND(NOT(AND(469&gt;$B$173,$B$78="Refinance",ISNUMBER($B$80),$B$80&gt;=0,$B$80&lt;=1,ROUND($B$81*12,0)&gt;=1,$B$81&lt;=100,SUM($B$82)&gt;=0,SUM($B$82)&lt;=1,SUM($B$83)&gt;=0)),OR(469=1,469=$B$174+1,AND($B$175&gt;0,469=$B$175+1))),IF(AND($B$170=1,$B$66&gt;0,OR($B$175=0,469&lt;=$B$175)),$B$66,IF($B$172-MAX(469-1,$B$174)&gt;0,IF(B869=0,0,IF(C869=0,B869/($B$172-MAX(469-1,$B$174)),B869*(C869/12)/(1-(1+C869/12)^(-($B$172-MAX(469-1,$B$174)))))),"")),D868)))),""),""))</x:f>
        <x:v>0</x:v>
      </x:c>
      <x:c r="E869" s="440" t="n">
        <x:f>IF(AND(469=$B$173,ISNUMBER(D869)),IF(MAX(0,B869*(1+C869/12)-D869)&lt;MAX(0.0000001,$E$17*0.00000000001),0,MAX(0,B869*(1+C869/12)-D869)),0)</x:f>
        <x:v>0</x:v>
      </x:c>
      <x:c r="F869" s="440" t="n">
        <x:f>IF($B$78="Cash payoff",E869,0)</x:f>
        <x:v>0</x:v>
      </x:c>
      <x:c r="G869" s="440" t="n">
        <x:f>IF(AND(E869&gt;0,AND($B$78="Refinance",ISNUMBER($B$80),$B$80&gt;=0,$B$80&lt;=1,ROUND($B$81*12,0)&gt;=1,$B$81&lt;=100,SUM($B$82)&gt;=0,SUM($B$82)&lt;=1,SUM($B$83)&gt;=0)),E869*SUM($B$82)+SUM($B$83),0)</x:f>
        <x:v>0</x:v>
      </x:c>
      <x:c r="H869" s="440" t="n">
        <x:f>IF(ISNUMBER(D869),IF(MAX(0,B869*(1+C869/12)-D869-F869)&lt;MAX(0.0000001,$E$17*0.00000000001),0,MAX(0,B869*(1+C869/12)-D869-F869)),IF(AND($B$171=1,I868=1),B869,""))</x:f>
        <x:v>0</x:v>
      </x:c>
      <x:c r="I869" s="444" t="n">
        <x:f>IF(OR(I868=1,AND(E869&gt;0,$B$78&lt;&gt;"Cash payoff",NOT(AND($B$78="Refinance",ISNUMBER($B$80),$B$80&gt;=0,$B$80&lt;=1,ROUND($B$81*12,0)&gt;=1,$B$81&lt;=100,SUM($B$82)&gt;=0,SUM($B$82)&lt;=1,SUM($B$83)&gt;=0))),AND(ISNUMBER(B869),B869&gt;0,$B$171=1,NOT(ISNUMBER(D869)))),1,0)</x:f>
        <x:v>0</x:v>
      </x:c>
      <x:c r="J869" s="440" t="n">
        <x:f>IF(ISNUMBER(L868),L868,"")</x:f>
        <x:v>0</x:v>
      </x:c>
      <x:c r="K869" s="440" t="n">
        <x:f>IF(AND(ISNUMBER(J869),J869=0),0,IF(AND($B$176=1,ISNUMBER(J869)),MIN(J869*(1+$B$87/12),IF($B$86=0,0,IF($B$87=0,$B$86/ROUND($B$88*12,0),$B$86*($B$87/12)/(1-(1+$B$87/12)^(-ROUND($B$88*12,0)))))),""))</x:f>
        <x:v>0</x:v>
      </x:c>
      <x:c r="L869" s="440" t="n">
        <x:f>IF(ISNUMBER(K869),IF(MAX(0,J869*(1+SUM($B$87)/12)-K869)&lt;MAX(0.0000001,$B$86*0.00000000001),0,MAX(0,J869*(1+SUM($B$87)/12)-K869)),"")</x:f>
        <x:v>0</x:v>
      </x:c>
      <x:c r="M869" s="440" t="n">
        <x:f>IF(AND(ISNUMBER(D869),ISNUMBER(K869)),D869+K869,"")</x:f>
        <x:v>0</x:v>
      </x:c>
      <x:c r="N869" s="440" t="n">
        <x:f>IF(AND(ISNUMBER(H869),ISNUMBER(L869)),H869+L869,"")</x:f>
        <x:v>0</x:v>
      </x:c>
    </x:row>
    <x:row r="870" ht="22" customHeight="1">
      <x:c r="A870" s="254" t="n">
        <x:f>470</x:f>
        <x:v>470</x:v>
      </x:c>
      <x:c r="B870" s="440" t="n">
        <x:f>IF(ISNUMBER(H869),H869,"")</x:f>
        <x:v>0</x:v>
      </x:c>
      <x:c r="C870" s="442" t="n">
        <x:f>IF(ISNUMBER(B870),IF(AND(470&gt;$B$173,$B$78="Refinance",ISNUMBER($B$80),$B$80&gt;=0,$B$80&lt;=1,ROUND($B$81*12,0)&gt;=1,$B$81&lt;=100,SUM($B$82)&gt;=0,SUM($B$82)&lt;=1,SUM($B$83)&gt;=0),$B$80,IF(AND($B$175&gt;0,470&gt;$B$175,ISNUMBER($B$75)),$B$75,$B$61)),"")</x:f>
        <x:v>0.0625</x:v>
      </x:c>
      <x:c r="D870" s="440" t="n">
        <x:f>IF(AND(ISNUMBER(B870),B870=0),0,IF(AND($B$171=1,I869=0,ISNUMBER(C870),ISNUMBER(IF(AND(470&lt;=$B$174,470&lt;=$B$173),B870*C870/12,IF(AND(470=$B$173+1,AND(470&gt;$B$173,$B$78="Refinance",ISNUMBER($B$80),$B$80&gt;=0,$B$80&lt;=1,ROUND($B$81*12,0)&gt;=1,$B$81&lt;=100,SUM($B$82)&gt;=0,SUM($B$82)&lt;=1,SUM($B$83)&gt;=0)),IF(B870=0,0,IF(C870=0,B870/ROUND($B$81*12,0),B870*(C870/12)/(1-(1+C870/12)^(-ROUND($B$81*12,0))))),IF(AND(NOT(AND(470&gt;$B$173,$B$78="Refinance",ISNUMBER($B$80),$B$80&gt;=0,$B$80&lt;=1,ROUND($B$81*12,0)&gt;=1,$B$81&lt;=100,SUM($B$82)&gt;=0,SUM($B$82)&lt;=1,SUM($B$83)&gt;=0)),OR(470=1,470=$B$174+1,AND($B$175&gt;0,470=$B$175+1))),IF(AND($B$170=1,$B$66&gt;0,OR($B$175=0,470&lt;=$B$175)),$B$66,IF($B$172-MAX(470-1,$B$174)&gt;0,IF(B870=0,0,IF(C870=0,B870/($B$172-MAX(470-1,$B$174)),B870*(C870/12)/(1-(1+C870/12)^(-($B$172-MAX(470-1,$B$174)))))),"")),D869))))),IF(IF(AND(470&lt;=$B$174,470&lt;=$B$173),B870*C870/12,IF(AND(470=$B$173+1,AND(470&gt;$B$173,$B$78="Refinance",ISNUMBER($B$80),$B$80&gt;=0,$B$80&lt;=1,ROUND($B$81*12,0)&gt;=1,$B$81&lt;=100,SUM($B$82)&gt;=0,SUM($B$82)&lt;=1,SUM($B$83)&gt;=0)),IF(B870=0,0,IF(C870=0,B870/ROUND($B$81*12,0),B870*(C870/12)/(1-(1+C870/12)^(-ROUND($B$81*12,0))))),IF(AND(NOT(AND(470&gt;$B$173,$B$78="Refinance",ISNUMBER($B$80),$B$80&gt;=0,$B$80&lt;=1,ROUND($B$81*12,0)&gt;=1,$B$81&lt;=100,SUM($B$82)&gt;=0,SUM($B$82)&lt;=1,SUM($B$83)&gt;=0)),OR(470=1,470=$B$174+1,AND($B$175&gt;0,470=$B$175+1))),IF(AND($B$170=1,$B$66&gt;0,OR($B$175=0,470&lt;=$B$175)),$B$66,IF($B$172-MAX(470-1,$B$174)&gt;0,IF(B870=0,0,IF(C870=0,B870/($B$172-MAX(470-1,$B$174)),B870*(C870/12)/(1-(1+C870/12)^(-($B$172-MAX(470-1,$B$174)))))),"")),D869)))+0.0000001&gt;=B870*C870/12,MIN(B870*(1+C870/12),IF(AND(470&lt;=$B$174,470&lt;=$B$173),B870*C870/12,IF(AND(470=$B$173+1,AND(470&gt;$B$173,$B$78="Refinance",ISNUMBER($B$80),$B$80&gt;=0,$B$80&lt;=1,ROUND($B$81*12,0)&gt;=1,$B$81&lt;=100,SUM($B$82)&gt;=0,SUM($B$82)&lt;=1,SUM($B$83)&gt;=0)),IF(B870=0,0,IF(C870=0,B870/ROUND($B$81*12,0),B870*(C870/12)/(1-(1+C870/12)^(-ROUND($B$81*12,0))))),IF(AND(NOT(AND(470&gt;$B$173,$B$78="Refinance",ISNUMBER($B$80),$B$80&gt;=0,$B$80&lt;=1,ROUND($B$81*12,0)&gt;=1,$B$81&lt;=100,SUM($B$82)&gt;=0,SUM($B$82)&lt;=1,SUM($B$83)&gt;=0)),OR(470=1,470=$B$174+1,AND($B$175&gt;0,470=$B$175+1))),IF(AND($B$170=1,$B$66&gt;0,OR($B$175=0,470&lt;=$B$175)),$B$66,IF($B$172-MAX(470-1,$B$174)&gt;0,IF(B870=0,0,IF(C870=0,B870/($B$172-MAX(470-1,$B$174)),B870*(C870/12)/(1-(1+C870/12)^(-($B$172-MAX(470-1,$B$174)))))),"")),D869)))),""),""))</x:f>
        <x:v>0</x:v>
      </x:c>
      <x:c r="E870" s="440" t="n">
        <x:f>IF(AND(470=$B$173,ISNUMBER(D870)),IF(MAX(0,B870*(1+C870/12)-D870)&lt;MAX(0.0000001,$E$17*0.00000000001),0,MAX(0,B870*(1+C870/12)-D870)),0)</x:f>
        <x:v>0</x:v>
      </x:c>
      <x:c r="F870" s="440" t="n">
        <x:f>IF($B$78="Cash payoff",E870,0)</x:f>
        <x:v>0</x:v>
      </x:c>
      <x:c r="G870" s="440" t="n">
        <x:f>IF(AND(E870&gt;0,AND($B$78="Refinance",ISNUMBER($B$80),$B$80&gt;=0,$B$80&lt;=1,ROUND($B$81*12,0)&gt;=1,$B$81&lt;=100,SUM($B$82)&gt;=0,SUM($B$82)&lt;=1,SUM($B$83)&gt;=0)),E870*SUM($B$82)+SUM($B$83),0)</x:f>
        <x:v>0</x:v>
      </x:c>
      <x:c r="H870" s="440" t="n">
        <x:f>IF(ISNUMBER(D870),IF(MAX(0,B870*(1+C870/12)-D870-F870)&lt;MAX(0.0000001,$E$17*0.00000000001),0,MAX(0,B870*(1+C870/12)-D870-F870)),IF(AND($B$171=1,I869=1),B870,""))</x:f>
        <x:v>0</x:v>
      </x:c>
      <x:c r="I870" s="444" t="n">
        <x:f>IF(OR(I869=1,AND(E870&gt;0,$B$78&lt;&gt;"Cash payoff",NOT(AND($B$78="Refinance",ISNUMBER($B$80),$B$80&gt;=0,$B$80&lt;=1,ROUND($B$81*12,0)&gt;=1,$B$81&lt;=100,SUM($B$82)&gt;=0,SUM($B$82)&lt;=1,SUM($B$83)&gt;=0))),AND(ISNUMBER(B870),B870&gt;0,$B$171=1,NOT(ISNUMBER(D870)))),1,0)</x:f>
        <x:v>0</x:v>
      </x:c>
      <x:c r="J870" s="440" t="n">
        <x:f>IF(ISNUMBER(L869),L869,"")</x:f>
        <x:v>0</x:v>
      </x:c>
      <x:c r="K870" s="440" t="n">
        <x:f>IF(AND(ISNUMBER(J870),J870=0),0,IF(AND($B$176=1,ISNUMBER(J870)),MIN(J870*(1+$B$87/12),IF($B$86=0,0,IF($B$87=0,$B$86/ROUND($B$88*12,0),$B$86*($B$87/12)/(1-(1+$B$87/12)^(-ROUND($B$88*12,0)))))),""))</x:f>
        <x:v>0</x:v>
      </x:c>
      <x:c r="L870" s="440" t="n">
        <x:f>IF(ISNUMBER(K870),IF(MAX(0,J870*(1+SUM($B$87)/12)-K870)&lt;MAX(0.0000001,$B$86*0.00000000001),0,MAX(0,J870*(1+SUM($B$87)/12)-K870)),"")</x:f>
        <x:v>0</x:v>
      </x:c>
      <x:c r="M870" s="440" t="n">
        <x:f>IF(AND(ISNUMBER(D870),ISNUMBER(K870)),D870+K870,"")</x:f>
        <x:v>0</x:v>
      </x:c>
      <x:c r="N870" s="440" t="n">
        <x:f>IF(AND(ISNUMBER(H870),ISNUMBER(L870)),H870+L870,"")</x:f>
        <x:v>0</x:v>
      </x:c>
    </x:row>
    <x:row r="871" ht="22" customHeight="1">
      <x:c r="A871" s="254" t="n">
        <x:f>471</x:f>
        <x:v>471</x:v>
      </x:c>
      <x:c r="B871" s="440" t="n">
        <x:f>IF(ISNUMBER(H870),H870,"")</x:f>
        <x:v>0</x:v>
      </x:c>
      <x:c r="C871" s="442" t="n">
        <x:f>IF(ISNUMBER(B871),IF(AND(471&gt;$B$173,$B$78="Refinance",ISNUMBER($B$80),$B$80&gt;=0,$B$80&lt;=1,ROUND($B$81*12,0)&gt;=1,$B$81&lt;=100,SUM($B$82)&gt;=0,SUM($B$82)&lt;=1,SUM($B$83)&gt;=0),$B$80,IF(AND($B$175&gt;0,471&gt;$B$175,ISNUMBER($B$75)),$B$75,$B$61)),"")</x:f>
        <x:v>0.0625</x:v>
      </x:c>
      <x:c r="D871" s="440" t="n">
        <x:f>IF(AND(ISNUMBER(B871),B871=0),0,IF(AND($B$171=1,I870=0,ISNUMBER(C871),ISNUMBER(IF(AND(471&lt;=$B$174,471&lt;=$B$173),B871*C871/12,IF(AND(471=$B$173+1,AND(471&gt;$B$173,$B$78="Refinance",ISNUMBER($B$80),$B$80&gt;=0,$B$80&lt;=1,ROUND($B$81*12,0)&gt;=1,$B$81&lt;=100,SUM($B$82)&gt;=0,SUM($B$82)&lt;=1,SUM($B$83)&gt;=0)),IF(B871=0,0,IF(C871=0,B871/ROUND($B$81*12,0),B871*(C871/12)/(1-(1+C871/12)^(-ROUND($B$81*12,0))))),IF(AND(NOT(AND(471&gt;$B$173,$B$78="Refinance",ISNUMBER($B$80),$B$80&gt;=0,$B$80&lt;=1,ROUND($B$81*12,0)&gt;=1,$B$81&lt;=100,SUM($B$82)&gt;=0,SUM($B$82)&lt;=1,SUM($B$83)&gt;=0)),OR(471=1,471=$B$174+1,AND($B$175&gt;0,471=$B$175+1))),IF(AND($B$170=1,$B$66&gt;0,OR($B$175=0,471&lt;=$B$175)),$B$66,IF($B$172-MAX(471-1,$B$174)&gt;0,IF(B871=0,0,IF(C871=0,B871/($B$172-MAX(471-1,$B$174)),B871*(C871/12)/(1-(1+C871/12)^(-($B$172-MAX(471-1,$B$174)))))),"")),D870))))),IF(IF(AND(471&lt;=$B$174,471&lt;=$B$173),B871*C871/12,IF(AND(471=$B$173+1,AND(471&gt;$B$173,$B$78="Refinance",ISNUMBER($B$80),$B$80&gt;=0,$B$80&lt;=1,ROUND($B$81*12,0)&gt;=1,$B$81&lt;=100,SUM($B$82)&gt;=0,SUM($B$82)&lt;=1,SUM($B$83)&gt;=0)),IF(B871=0,0,IF(C871=0,B871/ROUND($B$81*12,0),B871*(C871/12)/(1-(1+C871/12)^(-ROUND($B$81*12,0))))),IF(AND(NOT(AND(471&gt;$B$173,$B$78="Refinance",ISNUMBER($B$80),$B$80&gt;=0,$B$80&lt;=1,ROUND($B$81*12,0)&gt;=1,$B$81&lt;=100,SUM($B$82)&gt;=0,SUM($B$82)&lt;=1,SUM($B$83)&gt;=0)),OR(471=1,471=$B$174+1,AND($B$175&gt;0,471=$B$175+1))),IF(AND($B$170=1,$B$66&gt;0,OR($B$175=0,471&lt;=$B$175)),$B$66,IF($B$172-MAX(471-1,$B$174)&gt;0,IF(B871=0,0,IF(C871=0,B871/($B$172-MAX(471-1,$B$174)),B871*(C871/12)/(1-(1+C871/12)^(-($B$172-MAX(471-1,$B$174)))))),"")),D870)))+0.0000001&gt;=B871*C871/12,MIN(B871*(1+C871/12),IF(AND(471&lt;=$B$174,471&lt;=$B$173),B871*C871/12,IF(AND(471=$B$173+1,AND(471&gt;$B$173,$B$78="Refinance",ISNUMBER($B$80),$B$80&gt;=0,$B$80&lt;=1,ROUND($B$81*12,0)&gt;=1,$B$81&lt;=100,SUM($B$82)&gt;=0,SUM($B$82)&lt;=1,SUM($B$83)&gt;=0)),IF(B871=0,0,IF(C871=0,B871/ROUND($B$81*12,0),B871*(C871/12)/(1-(1+C871/12)^(-ROUND($B$81*12,0))))),IF(AND(NOT(AND(471&gt;$B$173,$B$78="Refinance",ISNUMBER($B$80),$B$80&gt;=0,$B$80&lt;=1,ROUND($B$81*12,0)&gt;=1,$B$81&lt;=100,SUM($B$82)&gt;=0,SUM($B$82)&lt;=1,SUM($B$83)&gt;=0)),OR(471=1,471=$B$174+1,AND($B$175&gt;0,471=$B$175+1))),IF(AND($B$170=1,$B$66&gt;0,OR($B$175=0,471&lt;=$B$175)),$B$66,IF($B$172-MAX(471-1,$B$174)&gt;0,IF(B871=0,0,IF(C871=0,B871/($B$172-MAX(471-1,$B$174)),B871*(C871/12)/(1-(1+C871/12)^(-($B$172-MAX(471-1,$B$174)))))),"")),D870)))),""),""))</x:f>
        <x:v>0</x:v>
      </x:c>
      <x:c r="E871" s="440" t="n">
        <x:f>IF(AND(471=$B$173,ISNUMBER(D871)),IF(MAX(0,B871*(1+C871/12)-D871)&lt;MAX(0.0000001,$E$17*0.00000000001),0,MAX(0,B871*(1+C871/12)-D871)),0)</x:f>
        <x:v>0</x:v>
      </x:c>
      <x:c r="F871" s="440" t="n">
        <x:f>IF($B$78="Cash payoff",E871,0)</x:f>
        <x:v>0</x:v>
      </x:c>
      <x:c r="G871" s="440" t="n">
        <x:f>IF(AND(E871&gt;0,AND($B$78="Refinance",ISNUMBER($B$80),$B$80&gt;=0,$B$80&lt;=1,ROUND($B$81*12,0)&gt;=1,$B$81&lt;=100,SUM($B$82)&gt;=0,SUM($B$82)&lt;=1,SUM($B$83)&gt;=0)),E871*SUM($B$82)+SUM($B$83),0)</x:f>
        <x:v>0</x:v>
      </x:c>
      <x:c r="H871" s="440" t="n">
        <x:f>IF(ISNUMBER(D871),IF(MAX(0,B871*(1+C871/12)-D871-F871)&lt;MAX(0.0000001,$E$17*0.00000000001),0,MAX(0,B871*(1+C871/12)-D871-F871)),IF(AND($B$171=1,I870=1),B871,""))</x:f>
        <x:v>0</x:v>
      </x:c>
      <x:c r="I871" s="444" t="n">
        <x:f>IF(OR(I870=1,AND(E871&gt;0,$B$78&lt;&gt;"Cash payoff",NOT(AND($B$78="Refinance",ISNUMBER($B$80),$B$80&gt;=0,$B$80&lt;=1,ROUND($B$81*12,0)&gt;=1,$B$81&lt;=100,SUM($B$82)&gt;=0,SUM($B$82)&lt;=1,SUM($B$83)&gt;=0))),AND(ISNUMBER(B871),B871&gt;0,$B$171=1,NOT(ISNUMBER(D871)))),1,0)</x:f>
        <x:v>0</x:v>
      </x:c>
      <x:c r="J871" s="440" t="n">
        <x:f>IF(ISNUMBER(L870),L870,"")</x:f>
        <x:v>0</x:v>
      </x:c>
      <x:c r="K871" s="440" t="n">
        <x:f>IF(AND(ISNUMBER(J871),J871=0),0,IF(AND($B$176=1,ISNUMBER(J871)),MIN(J871*(1+$B$87/12),IF($B$86=0,0,IF($B$87=0,$B$86/ROUND($B$88*12,0),$B$86*($B$87/12)/(1-(1+$B$87/12)^(-ROUND($B$88*12,0)))))),""))</x:f>
        <x:v>0</x:v>
      </x:c>
      <x:c r="L871" s="440" t="n">
        <x:f>IF(ISNUMBER(K871),IF(MAX(0,J871*(1+SUM($B$87)/12)-K871)&lt;MAX(0.0000001,$B$86*0.00000000001),0,MAX(0,J871*(1+SUM($B$87)/12)-K871)),"")</x:f>
        <x:v>0</x:v>
      </x:c>
      <x:c r="M871" s="440" t="n">
        <x:f>IF(AND(ISNUMBER(D871),ISNUMBER(K871)),D871+K871,"")</x:f>
        <x:v>0</x:v>
      </x:c>
      <x:c r="N871" s="440" t="n">
        <x:f>IF(AND(ISNUMBER(H871),ISNUMBER(L871)),H871+L871,"")</x:f>
        <x:v>0</x:v>
      </x:c>
    </x:row>
    <x:row r="872" ht="22" customHeight="1">
      <x:c r="A872" s="254" t="n">
        <x:f>472</x:f>
        <x:v>472</x:v>
      </x:c>
      <x:c r="B872" s="440" t="n">
        <x:f>IF(ISNUMBER(H871),H871,"")</x:f>
        <x:v>0</x:v>
      </x:c>
      <x:c r="C872" s="442" t="n">
        <x:f>IF(ISNUMBER(B872),IF(AND(472&gt;$B$173,$B$78="Refinance",ISNUMBER($B$80),$B$80&gt;=0,$B$80&lt;=1,ROUND($B$81*12,0)&gt;=1,$B$81&lt;=100,SUM($B$82)&gt;=0,SUM($B$82)&lt;=1,SUM($B$83)&gt;=0),$B$80,IF(AND($B$175&gt;0,472&gt;$B$175,ISNUMBER($B$75)),$B$75,$B$61)),"")</x:f>
        <x:v>0.0625</x:v>
      </x:c>
      <x:c r="D872" s="440" t="n">
        <x:f>IF(AND(ISNUMBER(B872),B872=0),0,IF(AND($B$171=1,I871=0,ISNUMBER(C872),ISNUMBER(IF(AND(472&lt;=$B$174,472&lt;=$B$173),B872*C872/12,IF(AND(472=$B$173+1,AND(472&gt;$B$173,$B$78="Refinance",ISNUMBER($B$80),$B$80&gt;=0,$B$80&lt;=1,ROUND($B$81*12,0)&gt;=1,$B$81&lt;=100,SUM($B$82)&gt;=0,SUM($B$82)&lt;=1,SUM($B$83)&gt;=0)),IF(B872=0,0,IF(C872=0,B872/ROUND($B$81*12,0),B872*(C872/12)/(1-(1+C872/12)^(-ROUND($B$81*12,0))))),IF(AND(NOT(AND(472&gt;$B$173,$B$78="Refinance",ISNUMBER($B$80),$B$80&gt;=0,$B$80&lt;=1,ROUND($B$81*12,0)&gt;=1,$B$81&lt;=100,SUM($B$82)&gt;=0,SUM($B$82)&lt;=1,SUM($B$83)&gt;=0)),OR(472=1,472=$B$174+1,AND($B$175&gt;0,472=$B$175+1))),IF(AND($B$170=1,$B$66&gt;0,OR($B$175=0,472&lt;=$B$175)),$B$66,IF($B$172-MAX(472-1,$B$174)&gt;0,IF(B872=0,0,IF(C872=0,B872/($B$172-MAX(472-1,$B$174)),B872*(C872/12)/(1-(1+C872/12)^(-($B$172-MAX(472-1,$B$174)))))),"")),D871))))),IF(IF(AND(472&lt;=$B$174,472&lt;=$B$173),B872*C872/12,IF(AND(472=$B$173+1,AND(472&gt;$B$173,$B$78="Refinance",ISNUMBER($B$80),$B$80&gt;=0,$B$80&lt;=1,ROUND($B$81*12,0)&gt;=1,$B$81&lt;=100,SUM($B$82)&gt;=0,SUM($B$82)&lt;=1,SUM($B$83)&gt;=0)),IF(B872=0,0,IF(C872=0,B872/ROUND($B$81*12,0),B872*(C872/12)/(1-(1+C872/12)^(-ROUND($B$81*12,0))))),IF(AND(NOT(AND(472&gt;$B$173,$B$78="Refinance",ISNUMBER($B$80),$B$80&gt;=0,$B$80&lt;=1,ROUND($B$81*12,0)&gt;=1,$B$81&lt;=100,SUM($B$82)&gt;=0,SUM($B$82)&lt;=1,SUM($B$83)&gt;=0)),OR(472=1,472=$B$174+1,AND($B$175&gt;0,472=$B$175+1))),IF(AND($B$170=1,$B$66&gt;0,OR($B$175=0,472&lt;=$B$175)),$B$66,IF($B$172-MAX(472-1,$B$174)&gt;0,IF(B872=0,0,IF(C872=0,B872/($B$172-MAX(472-1,$B$174)),B872*(C872/12)/(1-(1+C872/12)^(-($B$172-MAX(472-1,$B$174)))))),"")),D871)))+0.0000001&gt;=B872*C872/12,MIN(B872*(1+C872/12),IF(AND(472&lt;=$B$174,472&lt;=$B$173),B872*C872/12,IF(AND(472=$B$173+1,AND(472&gt;$B$173,$B$78="Refinance",ISNUMBER($B$80),$B$80&gt;=0,$B$80&lt;=1,ROUND($B$81*12,0)&gt;=1,$B$81&lt;=100,SUM($B$82)&gt;=0,SUM($B$82)&lt;=1,SUM($B$83)&gt;=0)),IF(B872=0,0,IF(C872=0,B872/ROUND($B$81*12,0),B872*(C872/12)/(1-(1+C872/12)^(-ROUND($B$81*12,0))))),IF(AND(NOT(AND(472&gt;$B$173,$B$78="Refinance",ISNUMBER($B$80),$B$80&gt;=0,$B$80&lt;=1,ROUND($B$81*12,0)&gt;=1,$B$81&lt;=100,SUM($B$82)&gt;=0,SUM($B$82)&lt;=1,SUM($B$83)&gt;=0)),OR(472=1,472=$B$174+1,AND($B$175&gt;0,472=$B$175+1))),IF(AND($B$170=1,$B$66&gt;0,OR($B$175=0,472&lt;=$B$175)),$B$66,IF($B$172-MAX(472-1,$B$174)&gt;0,IF(B872=0,0,IF(C872=0,B872/($B$172-MAX(472-1,$B$174)),B872*(C872/12)/(1-(1+C872/12)^(-($B$172-MAX(472-1,$B$174)))))),"")),D871)))),""),""))</x:f>
        <x:v>0</x:v>
      </x:c>
      <x:c r="E872" s="440" t="n">
        <x:f>IF(AND(472=$B$173,ISNUMBER(D872)),IF(MAX(0,B872*(1+C872/12)-D872)&lt;MAX(0.0000001,$E$17*0.00000000001),0,MAX(0,B872*(1+C872/12)-D872)),0)</x:f>
        <x:v>0</x:v>
      </x:c>
      <x:c r="F872" s="440" t="n">
        <x:f>IF($B$78="Cash payoff",E872,0)</x:f>
        <x:v>0</x:v>
      </x:c>
      <x:c r="G872" s="440" t="n">
        <x:f>IF(AND(E872&gt;0,AND($B$78="Refinance",ISNUMBER($B$80),$B$80&gt;=0,$B$80&lt;=1,ROUND($B$81*12,0)&gt;=1,$B$81&lt;=100,SUM($B$82)&gt;=0,SUM($B$82)&lt;=1,SUM($B$83)&gt;=0)),E872*SUM($B$82)+SUM($B$83),0)</x:f>
        <x:v>0</x:v>
      </x:c>
      <x:c r="H872" s="440" t="n">
        <x:f>IF(ISNUMBER(D872),IF(MAX(0,B872*(1+C872/12)-D872-F872)&lt;MAX(0.0000001,$E$17*0.00000000001),0,MAX(0,B872*(1+C872/12)-D872-F872)),IF(AND($B$171=1,I871=1),B872,""))</x:f>
        <x:v>0</x:v>
      </x:c>
      <x:c r="I872" s="444" t="n">
        <x:f>IF(OR(I871=1,AND(E872&gt;0,$B$78&lt;&gt;"Cash payoff",NOT(AND($B$78="Refinance",ISNUMBER($B$80),$B$80&gt;=0,$B$80&lt;=1,ROUND($B$81*12,0)&gt;=1,$B$81&lt;=100,SUM($B$82)&gt;=0,SUM($B$82)&lt;=1,SUM($B$83)&gt;=0))),AND(ISNUMBER(B872),B872&gt;0,$B$171=1,NOT(ISNUMBER(D872)))),1,0)</x:f>
        <x:v>0</x:v>
      </x:c>
      <x:c r="J872" s="440" t="n">
        <x:f>IF(ISNUMBER(L871),L871,"")</x:f>
        <x:v>0</x:v>
      </x:c>
      <x:c r="K872" s="440" t="n">
        <x:f>IF(AND(ISNUMBER(J872),J872=0),0,IF(AND($B$176=1,ISNUMBER(J872)),MIN(J872*(1+$B$87/12),IF($B$86=0,0,IF($B$87=0,$B$86/ROUND($B$88*12,0),$B$86*($B$87/12)/(1-(1+$B$87/12)^(-ROUND($B$88*12,0)))))),""))</x:f>
        <x:v>0</x:v>
      </x:c>
      <x:c r="L872" s="440" t="n">
        <x:f>IF(ISNUMBER(K872),IF(MAX(0,J872*(1+SUM($B$87)/12)-K872)&lt;MAX(0.0000001,$B$86*0.00000000001),0,MAX(0,J872*(1+SUM($B$87)/12)-K872)),"")</x:f>
        <x:v>0</x:v>
      </x:c>
      <x:c r="M872" s="440" t="n">
        <x:f>IF(AND(ISNUMBER(D872),ISNUMBER(K872)),D872+K872,"")</x:f>
        <x:v>0</x:v>
      </x:c>
      <x:c r="N872" s="440" t="n">
        <x:f>IF(AND(ISNUMBER(H872),ISNUMBER(L872)),H872+L872,"")</x:f>
        <x:v>0</x:v>
      </x:c>
    </x:row>
    <x:row r="873" ht="22" customHeight="1">
      <x:c r="A873" s="254" t="n">
        <x:f>473</x:f>
        <x:v>473</x:v>
      </x:c>
      <x:c r="B873" s="440" t="n">
        <x:f>IF(ISNUMBER(H872),H872,"")</x:f>
        <x:v>0</x:v>
      </x:c>
      <x:c r="C873" s="442" t="n">
        <x:f>IF(ISNUMBER(B873),IF(AND(473&gt;$B$173,$B$78="Refinance",ISNUMBER($B$80),$B$80&gt;=0,$B$80&lt;=1,ROUND($B$81*12,0)&gt;=1,$B$81&lt;=100,SUM($B$82)&gt;=0,SUM($B$82)&lt;=1,SUM($B$83)&gt;=0),$B$80,IF(AND($B$175&gt;0,473&gt;$B$175,ISNUMBER($B$75)),$B$75,$B$61)),"")</x:f>
        <x:v>0.0625</x:v>
      </x:c>
      <x:c r="D873" s="440" t="n">
        <x:f>IF(AND(ISNUMBER(B873),B873=0),0,IF(AND($B$171=1,I872=0,ISNUMBER(C873),ISNUMBER(IF(AND(473&lt;=$B$174,473&lt;=$B$173),B873*C873/12,IF(AND(473=$B$173+1,AND(473&gt;$B$173,$B$78="Refinance",ISNUMBER($B$80),$B$80&gt;=0,$B$80&lt;=1,ROUND($B$81*12,0)&gt;=1,$B$81&lt;=100,SUM($B$82)&gt;=0,SUM($B$82)&lt;=1,SUM($B$83)&gt;=0)),IF(B873=0,0,IF(C873=0,B873/ROUND($B$81*12,0),B873*(C873/12)/(1-(1+C873/12)^(-ROUND($B$81*12,0))))),IF(AND(NOT(AND(473&gt;$B$173,$B$78="Refinance",ISNUMBER($B$80),$B$80&gt;=0,$B$80&lt;=1,ROUND($B$81*12,0)&gt;=1,$B$81&lt;=100,SUM($B$82)&gt;=0,SUM($B$82)&lt;=1,SUM($B$83)&gt;=0)),OR(473=1,473=$B$174+1,AND($B$175&gt;0,473=$B$175+1))),IF(AND($B$170=1,$B$66&gt;0,OR($B$175=0,473&lt;=$B$175)),$B$66,IF($B$172-MAX(473-1,$B$174)&gt;0,IF(B873=0,0,IF(C873=0,B873/($B$172-MAX(473-1,$B$174)),B873*(C873/12)/(1-(1+C873/12)^(-($B$172-MAX(473-1,$B$174)))))),"")),D872))))),IF(IF(AND(473&lt;=$B$174,473&lt;=$B$173),B873*C873/12,IF(AND(473=$B$173+1,AND(473&gt;$B$173,$B$78="Refinance",ISNUMBER($B$80),$B$80&gt;=0,$B$80&lt;=1,ROUND($B$81*12,0)&gt;=1,$B$81&lt;=100,SUM($B$82)&gt;=0,SUM($B$82)&lt;=1,SUM($B$83)&gt;=0)),IF(B873=0,0,IF(C873=0,B873/ROUND($B$81*12,0),B873*(C873/12)/(1-(1+C873/12)^(-ROUND($B$81*12,0))))),IF(AND(NOT(AND(473&gt;$B$173,$B$78="Refinance",ISNUMBER($B$80),$B$80&gt;=0,$B$80&lt;=1,ROUND($B$81*12,0)&gt;=1,$B$81&lt;=100,SUM($B$82)&gt;=0,SUM($B$82)&lt;=1,SUM($B$83)&gt;=0)),OR(473=1,473=$B$174+1,AND($B$175&gt;0,473=$B$175+1))),IF(AND($B$170=1,$B$66&gt;0,OR($B$175=0,473&lt;=$B$175)),$B$66,IF($B$172-MAX(473-1,$B$174)&gt;0,IF(B873=0,0,IF(C873=0,B873/($B$172-MAX(473-1,$B$174)),B873*(C873/12)/(1-(1+C873/12)^(-($B$172-MAX(473-1,$B$174)))))),"")),D872)))+0.0000001&gt;=B873*C873/12,MIN(B873*(1+C873/12),IF(AND(473&lt;=$B$174,473&lt;=$B$173),B873*C873/12,IF(AND(473=$B$173+1,AND(473&gt;$B$173,$B$78="Refinance",ISNUMBER($B$80),$B$80&gt;=0,$B$80&lt;=1,ROUND($B$81*12,0)&gt;=1,$B$81&lt;=100,SUM($B$82)&gt;=0,SUM($B$82)&lt;=1,SUM($B$83)&gt;=0)),IF(B873=0,0,IF(C873=0,B873/ROUND($B$81*12,0),B873*(C873/12)/(1-(1+C873/12)^(-ROUND($B$81*12,0))))),IF(AND(NOT(AND(473&gt;$B$173,$B$78="Refinance",ISNUMBER($B$80),$B$80&gt;=0,$B$80&lt;=1,ROUND($B$81*12,0)&gt;=1,$B$81&lt;=100,SUM($B$82)&gt;=0,SUM($B$82)&lt;=1,SUM($B$83)&gt;=0)),OR(473=1,473=$B$174+1,AND($B$175&gt;0,473=$B$175+1))),IF(AND($B$170=1,$B$66&gt;0,OR($B$175=0,473&lt;=$B$175)),$B$66,IF($B$172-MAX(473-1,$B$174)&gt;0,IF(B873=0,0,IF(C873=0,B873/($B$172-MAX(473-1,$B$174)),B873*(C873/12)/(1-(1+C873/12)^(-($B$172-MAX(473-1,$B$174)))))),"")),D872)))),""),""))</x:f>
        <x:v>0</x:v>
      </x:c>
      <x:c r="E873" s="440" t="n">
        <x:f>IF(AND(473=$B$173,ISNUMBER(D873)),IF(MAX(0,B873*(1+C873/12)-D873)&lt;MAX(0.0000001,$E$17*0.00000000001),0,MAX(0,B873*(1+C873/12)-D873)),0)</x:f>
        <x:v>0</x:v>
      </x:c>
      <x:c r="F873" s="440" t="n">
        <x:f>IF($B$78="Cash payoff",E873,0)</x:f>
        <x:v>0</x:v>
      </x:c>
      <x:c r="G873" s="440" t="n">
        <x:f>IF(AND(E873&gt;0,AND($B$78="Refinance",ISNUMBER($B$80),$B$80&gt;=0,$B$80&lt;=1,ROUND($B$81*12,0)&gt;=1,$B$81&lt;=100,SUM($B$82)&gt;=0,SUM($B$82)&lt;=1,SUM($B$83)&gt;=0)),E873*SUM($B$82)+SUM($B$83),0)</x:f>
        <x:v>0</x:v>
      </x:c>
      <x:c r="H873" s="440" t="n">
        <x:f>IF(ISNUMBER(D873),IF(MAX(0,B873*(1+C873/12)-D873-F873)&lt;MAX(0.0000001,$E$17*0.00000000001),0,MAX(0,B873*(1+C873/12)-D873-F873)),IF(AND($B$171=1,I872=1),B873,""))</x:f>
        <x:v>0</x:v>
      </x:c>
      <x:c r="I873" s="444" t="n">
        <x:f>IF(OR(I872=1,AND(E873&gt;0,$B$78&lt;&gt;"Cash payoff",NOT(AND($B$78="Refinance",ISNUMBER($B$80),$B$80&gt;=0,$B$80&lt;=1,ROUND($B$81*12,0)&gt;=1,$B$81&lt;=100,SUM($B$82)&gt;=0,SUM($B$82)&lt;=1,SUM($B$83)&gt;=0))),AND(ISNUMBER(B873),B873&gt;0,$B$171=1,NOT(ISNUMBER(D873)))),1,0)</x:f>
        <x:v>0</x:v>
      </x:c>
      <x:c r="J873" s="440" t="n">
        <x:f>IF(ISNUMBER(L872),L872,"")</x:f>
        <x:v>0</x:v>
      </x:c>
      <x:c r="K873" s="440" t="n">
        <x:f>IF(AND(ISNUMBER(J873),J873=0),0,IF(AND($B$176=1,ISNUMBER(J873)),MIN(J873*(1+$B$87/12),IF($B$86=0,0,IF($B$87=0,$B$86/ROUND($B$88*12,0),$B$86*($B$87/12)/(1-(1+$B$87/12)^(-ROUND($B$88*12,0)))))),""))</x:f>
        <x:v>0</x:v>
      </x:c>
      <x:c r="L873" s="440" t="n">
        <x:f>IF(ISNUMBER(K873),IF(MAX(0,J873*(1+SUM($B$87)/12)-K873)&lt;MAX(0.0000001,$B$86*0.00000000001),0,MAX(0,J873*(1+SUM($B$87)/12)-K873)),"")</x:f>
        <x:v>0</x:v>
      </x:c>
      <x:c r="M873" s="440" t="n">
        <x:f>IF(AND(ISNUMBER(D873),ISNUMBER(K873)),D873+K873,"")</x:f>
        <x:v>0</x:v>
      </x:c>
      <x:c r="N873" s="440" t="n">
        <x:f>IF(AND(ISNUMBER(H873),ISNUMBER(L873)),H873+L873,"")</x:f>
        <x:v>0</x:v>
      </x:c>
    </x:row>
    <x:row r="874" ht="22" customHeight="1">
      <x:c r="A874" s="254" t="n">
        <x:f>474</x:f>
        <x:v>474</x:v>
      </x:c>
      <x:c r="B874" s="440" t="n">
        <x:f>IF(ISNUMBER(H873),H873,"")</x:f>
        <x:v>0</x:v>
      </x:c>
      <x:c r="C874" s="442" t="n">
        <x:f>IF(ISNUMBER(B874),IF(AND(474&gt;$B$173,$B$78="Refinance",ISNUMBER($B$80),$B$80&gt;=0,$B$80&lt;=1,ROUND($B$81*12,0)&gt;=1,$B$81&lt;=100,SUM($B$82)&gt;=0,SUM($B$82)&lt;=1,SUM($B$83)&gt;=0),$B$80,IF(AND($B$175&gt;0,474&gt;$B$175,ISNUMBER($B$75)),$B$75,$B$61)),"")</x:f>
        <x:v>0.0625</x:v>
      </x:c>
      <x:c r="D874" s="440" t="n">
        <x:f>IF(AND(ISNUMBER(B874),B874=0),0,IF(AND($B$171=1,I873=0,ISNUMBER(C874),ISNUMBER(IF(AND(474&lt;=$B$174,474&lt;=$B$173),B874*C874/12,IF(AND(474=$B$173+1,AND(474&gt;$B$173,$B$78="Refinance",ISNUMBER($B$80),$B$80&gt;=0,$B$80&lt;=1,ROUND($B$81*12,0)&gt;=1,$B$81&lt;=100,SUM($B$82)&gt;=0,SUM($B$82)&lt;=1,SUM($B$83)&gt;=0)),IF(B874=0,0,IF(C874=0,B874/ROUND($B$81*12,0),B874*(C874/12)/(1-(1+C874/12)^(-ROUND($B$81*12,0))))),IF(AND(NOT(AND(474&gt;$B$173,$B$78="Refinance",ISNUMBER($B$80),$B$80&gt;=0,$B$80&lt;=1,ROUND($B$81*12,0)&gt;=1,$B$81&lt;=100,SUM($B$82)&gt;=0,SUM($B$82)&lt;=1,SUM($B$83)&gt;=0)),OR(474=1,474=$B$174+1,AND($B$175&gt;0,474=$B$175+1))),IF(AND($B$170=1,$B$66&gt;0,OR($B$175=0,474&lt;=$B$175)),$B$66,IF($B$172-MAX(474-1,$B$174)&gt;0,IF(B874=0,0,IF(C874=0,B874/($B$172-MAX(474-1,$B$174)),B874*(C874/12)/(1-(1+C874/12)^(-($B$172-MAX(474-1,$B$174)))))),"")),D873))))),IF(IF(AND(474&lt;=$B$174,474&lt;=$B$173),B874*C874/12,IF(AND(474=$B$173+1,AND(474&gt;$B$173,$B$78="Refinance",ISNUMBER($B$80),$B$80&gt;=0,$B$80&lt;=1,ROUND($B$81*12,0)&gt;=1,$B$81&lt;=100,SUM($B$82)&gt;=0,SUM($B$82)&lt;=1,SUM($B$83)&gt;=0)),IF(B874=0,0,IF(C874=0,B874/ROUND($B$81*12,0),B874*(C874/12)/(1-(1+C874/12)^(-ROUND($B$81*12,0))))),IF(AND(NOT(AND(474&gt;$B$173,$B$78="Refinance",ISNUMBER($B$80),$B$80&gt;=0,$B$80&lt;=1,ROUND($B$81*12,0)&gt;=1,$B$81&lt;=100,SUM($B$82)&gt;=0,SUM($B$82)&lt;=1,SUM($B$83)&gt;=0)),OR(474=1,474=$B$174+1,AND($B$175&gt;0,474=$B$175+1))),IF(AND($B$170=1,$B$66&gt;0,OR($B$175=0,474&lt;=$B$175)),$B$66,IF($B$172-MAX(474-1,$B$174)&gt;0,IF(B874=0,0,IF(C874=0,B874/($B$172-MAX(474-1,$B$174)),B874*(C874/12)/(1-(1+C874/12)^(-($B$172-MAX(474-1,$B$174)))))),"")),D873)))+0.0000001&gt;=B874*C874/12,MIN(B874*(1+C874/12),IF(AND(474&lt;=$B$174,474&lt;=$B$173),B874*C874/12,IF(AND(474=$B$173+1,AND(474&gt;$B$173,$B$78="Refinance",ISNUMBER($B$80),$B$80&gt;=0,$B$80&lt;=1,ROUND($B$81*12,0)&gt;=1,$B$81&lt;=100,SUM($B$82)&gt;=0,SUM($B$82)&lt;=1,SUM($B$83)&gt;=0)),IF(B874=0,0,IF(C874=0,B874/ROUND($B$81*12,0),B874*(C874/12)/(1-(1+C874/12)^(-ROUND($B$81*12,0))))),IF(AND(NOT(AND(474&gt;$B$173,$B$78="Refinance",ISNUMBER($B$80),$B$80&gt;=0,$B$80&lt;=1,ROUND($B$81*12,0)&gt;=1,$B$81&lt;=100,SUM($B$82)&gt;=0,SUM($B$82)&lt;=1,SUM($B$83)&gt;=0)),OR(474=1,474=$B$174+1,AND($B$175&gt;0,474=$B$175+1))),IF(AND($B$170=1,$B$66&gt;0,OR($B$175=0,474&lt;=$B$175)),$B$66,IF($B$172-MAX(474-1,$B$174)&gt;0,IF(B874=0,0,IF(C874=0,B874/($B$172-MAX(474-1,$B$174)),B874*(C874/12)/(1-(1+C874/12)^(-($B$172-MAX(474-1,$B$174)))))),"")),D873)))),""),""))</x:f>
        <x:v>0</x:v>
      </x:c>
      <x:c r="E874" s="440" t="n">
        <x:f>IF(AND(474=$B$173,ISNUMBER(D874)),IF(MAX(0,B874*(1+C874/12)-D874)&lt;MAX(0.0000001,$E$17*0.00000000001),0,MAX(0,B874*(1+C874/12)-D874)),0)</x:f>
        <x:v>0</x:v>
      </x:c>
      <x:c r="F874" s="440" t="n">
        <x:f>IF($B$78="Cash payoff",E874,0)</x:f>
        <x:v>0</x:v>
      </x:c>
      <x:c r="G874" s="440" t="n">
        <x:f>IF(AND(E874&gt;0,AND($B$78="Refinance",ISNUMBER($B$80),$B$80&gt;=0,$B$80&lt;=1,ROUND($B$81*12,0)&gt;=1,$B$81&lt;=100,SUM($B$82)&gt;=0,SUM($B$82)&lt;=1,SUM($B$83)&gt;=0)),E874*SUM($B$82)+SUM($B$83),0)</x:f>
        <x:v>0</x:v>
      </x:c>
      <x:c r="H874" s="440" t="n">
        <x:f>IF(ISNUMBER(D874),IF(MAX(0,B874*(1+C874/12)-D874-F874)&lt;MAX(0.0000001,$E$17*0.00000000001),0,MAX(0,B874*(1+C874/12)-D874-F874)),IF(AND($B$171=1,I873=1),B874,""))</x:f>
        <x:v>0</x:v>
      </x:c>
      <x:c r="I874" s="444" t="n">
        <x:f>IF(OR(I873=1,AND(E874&gt;0,$B$78&lt;&gt;"Cash payoff",NOT(AND($B$78="Refinance",ISNUMBER($B$80),$B$80&gt;=0,$B$80&lt;=1,ROUND($B$81*12,0)&gt;=1,$B$81&lt;=100,SUM($B$82)&gt;=0,SUM($B$82)&lt;=1,SUM($B$83)&gt;=0))),AND(ISNUMBER(B874),B874&gt;0,$B$171=1,NOT(ISNUMBER(D874)))),1,0)</x:f>
        <x:v>0</x:v>
      </x:c>
      <x:c r="J874" s="440" t="n">
        <x:f>IF(ISNUMBER(L873),L873,"")</x:f>
        <x:v>0</x:v>
      </x:c>
      <x:c r="K874" s="440" t="n">
        <x:f>IF(AND(ISNUMBER(J874),J874=0),0,IF(AND($B$176=1,ISNUMBER(J874)),MIN(J874*(1+$B$87/12),IF($B$86=0,0,IF($B$87=0,$B$86/ROUND($B$88*12,0),$B$86*($B$87/12)/(1-(1+$B$87/12)^(-ROUND($B$88*12,0)))))),""))</x:f>
        <x:v>0</x:v>
      </x:c>
      <x:c r="L874" s="440" t="n">
        <x:f>IF(ISNUMBER(K874),IF(MAX(0,J874*(1+SUM($B$87)/12)-K874)&lt;MAX(0.0000001,$B$86*0.00000000001),0,MAX(0,J874*(1+SUM($B$87)/12)-K874)),"")</x:f>
        <x:v>0</x:v>
      </x:c>
      <x:c r="M874" s="440" t="n">
        <x:f>IF(AND(ISNUMBER(D874),ISNUMBER(K874)),D874+K874,"")</x:f>
        <x:v>0</x:v>
      </x:c>
      <x:c r="N874" s="440" t="n">
        <x:f>IF(AND(ISNUMBER(H874),ISNUMBER(L874)),H874+L874,"")</x:f>
        <x:v>0</x:v>
      </x:c>
    </x:row>
    <x:row r="875" ht="22" customHeight="1">
      <x:c r="A875" s="254" t="n">
        <x:f>475</x:f>
        <x:v>475</x:v>
      </x:c>
      <x:c r="B875" s="440" t="n">
        <x:f>IF(ISNUMBER(H874),H874,"")</x:f>
        <x:v>0</x:v>
      </x:c>
      <x:c r="C875" s="442" t="n">
        <x:f>IF(ISNUMBER(B875),IF(AND(475&gt;$B$173,$B$78="Refinance",ISNUMBER($B$80),$B$80&gt;=0,$B$80&lt;=1,ROUND($B$81*12,0)&gt;=1,$B$81&lt;=100,SUM($B$82)&gt;=0,SUM($B$82)&lt;=1,SUM($B$83)&gt;=0),$B$80,IF(AND($B$175&gt;0,475&gt;$B$175,ISNUMBER($B$75)),$B$75,$B$61)),"")</x:f>
        <x:v>0.0625</x:v>
      </x:c>
      <x:c r="D875" s="440" t="n">
        <x:f>IF(AND(ISNUMBER(B875),B875=0),0,IF(AND($B$171=1,I874=0,ISNUMBER(C875),ISNUMBER(IF(AND(475&lt;=$B$174,475&lt;=$B$173),B875*C875/12,IF(AND(475=$B$173+1,AND(475&gt;$B$173,$B$78="Refinance",ISNUMBER($B$80),$B$80&gt;=0,$B$80&lt;=1,ROUND($B$81*12,0)&gt;=1,$B$81&lt;=100,SUM($B$82)&gt;=0,SUM($B$82)&lt;=1,SUM($B$83)&gt;=0)),IF(B875=0,0,IF(C875=0,B875/ROUND($B$81*12,0),B875*(C875/12)/(1-(1+C875/12)^(-ROUND($B$81*12,0))))),IF(AND(NOT(AND(475&gt;$B$173,$B$78="Refinance",ISNUMBER($B$80),$B$80&gt;=0,$B$80&lt;=1,ROUND($B$81*12,0)&gt;=1,$B$81&lt;=100,SUM($B$82)&gt;=0,SUM($B$82)&lt;=1,SUM($B$83)&gt;=0)),OR(475=1,475=$B$174+1,AND($B$175&gt;0,475=$B$175+1))),IF(AND($B$170=1,$B$66&gt;0,OR($B$175=0,475&lt;=$B$175)),$B$66,IF($B$172-MAX(475-1,$B$174)&gt;0,IF(B875=0,0,IF(C875=0,B875/($B$172-MAX(475-1,$B$174)),B875*(C875/12)/(1-(1+C875/12)^(-($B$172-MAX(475-1,$B$174)))))),"")),D874))))),IF(IF(AND(475&lt;=$B$174,475&lt;=$B$173),B875*C875/12,IF(AND(475=$B$173+1,AND(475&gt;$B$173,$B$78="Refinance",ISNUMBER($B$80),$B$80&gt;=0,$B$80&lt;=1,ROUND($B$81*12,0)&gt;=1,$B$81&lt;=100,SUM($B$82)&gt;=0,SUM($B$82)&lt;=1,SUM($B$83)&gt;=0)),IF(B875=0,0,IF(C875=0,B875/ROUND($B$81*12,0),B875*(C875/12)/(1-(1+C875/12)^(-ROUND($B$81*12,0))))),IF(AND(NOT(AND(475&gt;$B$173,$B$78="Refinance",ISNUMBER($B$80),$B$80&gt;=0,$B$80&lt;=1,ROUND($B$81*12,0)&gt;=1,$B$81&lt;=100,SUM($B$82)&gt;=0,SUM($B$82)&lt;=1,SUM($B$83)&gt;=0)),OR(475=1,475=$B$174+1,AND($B$175&gt;0,475=$B$175+1))),IF(AND($B$170=1,$B$66&gt;0,OR($B$175=0,475&lt;=$B$175)),$B$66,IF($B$172-MAX(475-1,$B$174)&gt;0,IF(B875=0,0,IF(C875=0,B875/($B$172-MAX(475-1,$B$174)),B875*(C875/12)/(1-(1+C875/12)^(-($B$172-MAX(475-1,$B$174)))))),"")),D874)))+0.0000001&gt;=B875*C875/12,MIN(B875*(1+C875/12),IF(AND(475&lt;=$B$174,475&lt;=$B$173),B875*C875/12,IF(AND(475=$B$173+1,AND(475&gt;$B$173,$B$78="Refinance",ISNUMBER($B$80),$B$80&gt;=0,$B$80&lt;=1,ROUND($B$81*12,0)&gt;=1,$B$81&lt;=100,SUM($B$82)&gt;=0,SUM($B$82)&lt;=1,SUM($B$83)&gt;=0)),IF(B875=0,0,IF(C875=0,B875/ROUND($B$81*12,0),B875*(C875/12)/(1-(1+C875/12)^(-ROUND($B$81*12,0))))),IF(AND(NOT(AND(475&gt;$B$173,$B$78="Refinance",ISNUMBER($B$80),$B$80&gt;=0,$B$80&lt;=1,ROUND($B$81*12,0)&gt;=1,$B$81&lt;=100,SUM($B$82)&gt;=0,SUM($B$82)&lt;=1,SUM($B$83)&gt;=0)),OR(475=1,475=$B$174+1,AND($B$175&gt;0,475=$B$175+1))),IF(AND($B$170=1,$B$66&gt;0,OR($B$175=0,475&lt;=$B$175)),$B$66,IF($B$172-MAX(475-1,$B$174)&gt;0,IF(B875=0,0,IF(C875=0,B875/($B$172-MAX(475-1,$B$174)),B875*(C875/12)/(1-(1+C875/12)^(-($B$172-MAX(475-1,$B$174)))))),"")),D874)))),""),""))</x:f>
        <x:v>0</x:v>
      </x:c>
      <x:c r="E875" s="440" t="n">
        <x:f>IF(AND(475=$B$173,ISNUMBER(D875)),IF(MAX(0,B875*(1+C875/12)-D875)&lt;MAX(0.0000001,$E$17*0.00000000001),0,MAX(0,B875*(1+C875/12)-D875)),0)</x:f>
        <x:v>0</x:v>
      </x:c>
      <x:c r="F875" s="440" t="n">
        <x:f>IF($B$78="Cash payoff",E875,0)</x:f>
        <x:v>0</x:v>
      </x:c>
      <x:c r="G875" s="440" t="n">
        <x:f>IF(AND(E875&gt;0,AND($B$78="Refinance",ISNUMBER($B$80),$B$80&gt;=0,$B$80&lt;=1,ROUND($B$81*12,0)&gt;=1,$B$81&lt;=100,SUM($B$82)&gt;=0,SUM($B$82)&lt;=1,SUM($B$83)&gt;=0)),E875*SUM($B$82)+SUM($B$83),0)</x:f>
        <x:v>0</x:v>
      </x:c>
      <x:c r="H875" s="440" t="n">
        <x:f>IF(ISNUMBER(D875),IF(MAX(0,B875*(1+C875/12)-D875-F875)&lt;MAX(0.0000001,$E$17*0.00000000001),0,MAX(0,B875*(1+C875/12)-D875-F875)),IF(AND($B$171=1,I874=1),B875,""))</x:f>
        <x:v>0</x:v>
      </x:c>
      <x:c r="I875" s="444" t="n">
        <x:f>IF(OR(I874=1,AND(E875&gt;0,$B$78&lt;&gt;"Cash payoff",NOT(AND($B$78="Refinance",ISNUMBER($B$80),$B$80&gt;=0,$B$80&lt;=1,ROUND($B$81*12,0)&gt;=1,$B$81&lt;=100,SUM($B$82)&gt;=0,SUM($B$82)&lt;=1,SUM($B$83)&gt;=0))),AND(ISNUMBER(B875),B875&gt;0,$B$171=1,NOT(ISNUMBER(D875)))),1,0)</x:f>
        <x:v>0</x:v>
      </x:c>
      <x:c r="J875" s="440" t="n">
        <x:f>IF(ISNUMBER(L874),L874,"")</x:f>
        <x:v>0</x:v>
      </x:c>
      <x:c r="K875" s="440" t="n">
        <x:f>IF(AND(ISNUMBER(J875),J875=0),0,IF(AND($B$176=1,ISNUMBER(J875)),MIN(J875*(1+$B$87/12),IF($B$86=0,0,IF($B$87=0,$B$86/ROUND($B$88*12,0),$B$86*($B$87/12)/(1-(1+$B$87/12)^(-ROUND($B$88*12,0)))))),""))</x:f>
        <x:v>0</x:v>
      </x:c>
      <x:c r="L875" s="440" t="n">
        <x:f>IF(ISNUMBER(K875),IF(MAX(0,J875*(1+SUM($B$87)/12)-K875)&lt;MAX(0.0000001,$B$86*0.00000000001),0,MAX(0,J875*(1+SUM($B$87)/12)-K875)),"")</x:f>
        <x:v>0</x:v>
      </x:c>
      <x:c r="M875" s="440" t="n">
        <x:f>IF(AND(ISNUMBER(D875),ISNUMBER(K875)),D875+K875,"")</x:f>
        <x:v>0</x:v>
      </x:c>
      <x:c r="N875" s="440" t="n">
        <x:f>IF(AND(ISNUMBER(H875),ISNUMBER(L875)),H875+L875,"")</x:f>
        <x:v>0</x:v>
      </x:c>
    </x:row>
    <x:row r="876" ht="22" customHeight="1">
      <x:c r="A876" s="254" t="n">
        <x:f>476</x:f>
        <x:v>476</x:v>
      </x:c>
      <x:c r="B876" s="440" t="n">
        <x:f>IF(ISNUMBER(H875),H875,"")</x:f>
        <x:v>0</x:v>
      </x:c>
      <x:c r="C876" s="442" t="n">
        <x:f>IF(ISNUMBER(B876),IF(AND(476&gt;$B$173,$B$78="Refinance",ISNUMBER($B$80),$B$80&gt;=0,$B$80&lt;=1,ROUND($B$81*12,0)&gt;=1,$B$81&lt;=100,SUM($B$82)&gt;=0,SUM($B$82)&lt;=1,SUM($B$83)&gt;=0),$B$80,IF(AND($B$175&gt;0,476&gt;$B$175,ISNUMBER($B$75)),$B$75,$B$61)),"")</x:f>
        <x:v>0.0625</x:v>
      </x:c>
      <x:c r="D876" s="440" t="n">
        <x:f>IF(AND(ISNUMBER(B876),B876=0),0,IF(AND($B$171=1,I875=0,ISNUMBER(C876),ISNUMBER(IF(AND(476&lt;=$B$174,476&lt;=$B$173),B876*C876/12,IF(AND(476=$B$173+1,AND(476&gt;$B$173,$B$78="Refinance",ISNUMBER($B$80),$B$80&gt;=0,$B$80&lt;=1,ROUND($B$81*12,0)&gt;=1,$B$81&lt;=100,SUM($B$82)&gt;=0,SUM($B$82)&lt;=1,SUM($B$83)&gt;=0)),IF(B876=0,0,IF(C876=0,B876/ROUND($B$81*12,0),B876*(C876/12)/(1-(1+C876/12)^(-ROUND($B$81*12,0))))),IF(AND(NOT(AND(476&gt;$B$173,$B$78="Refinance",ISNUMBER($B$80),$B$80&gt;=0,$B$80&lt;=1,ROUND($B$81*12,0)&gt;=1,$B$81&lt;=100,SUM($B$82)&gt;=0,SUM($B$82)&lt;=1,SUM($B$83)&gt;=0)),OR(476=1,476=$B$174+1,AND($B$175&gt;0,476=$B$175+1))),IF(AND($B$170=1,$B$66&gt;0,OR($B$175=0,476&lt;=$B$175)),$B$66,IF($B$172-MAX(476-1,$B$174)&gt;0,IF(B876=0,0,IF(C876=0,B876/($B$172-MAX(476-1,$B$174)),B876*(C876/12)/(1-(1+C876/12)^(-($B$172-MAX(476-1,$B$174)))))),"")),D875))))),IF(IF(AND(476&lt;=$B$174,476&lt;=$B$173),B876*C876/12,IF(AND(476=$B$173+1,AND(476&gt;$B$173,$B$78="Refinance",ISNUMBER($B$80),$B$80&gt;=0,$B$80&lt;=1,ROUND($B$81*12,0)&gt;=1,$B$81&lt;=100,SUM($B$82)&gt;=0,SUM($B$82)&lt;=1,SUM($B$83)&gt;=0)),IF(B876=0,0,IF(C876=0,B876/ROUND($B$81*12,0),B876*(C876/12)/(1-(1+C876/12)^(-ROUND($B$81*12,0))))),IF(AND(NOT(AND(476&gt;$B$173,$B$78="Refinance",ISNUMBER($B$80),$B$80&gt;=0,$B$80&lt;=1,ROUND($B$81*12,0)&gt;=1,$B$81&lt;=100,SUM($B$82)&gt;=0,SUM($B$82)&lt;=1,SUM($B$83)&gt;=0)),OR(476=1,476=$B$174+1,AND($B$175&gt;0,476=$B$175+1))),IF(AND($B$170=1,$B$66&gt;0,OR($B$175=0,476&lt;=$B$175)),$B$66,IF($B$172-MAX(476-1,$B$174)&gt;0,IF(B876=0,0,IF(C876=0,B876/($B$172-MAX(476-1,$B$174)),B876*(C876/12)/(1-(1+C876/12)^(-($B$172-MAX(476-1,$B$174)))))),"")),D875)))+0.0000001&gt;=B876*C876/12,MIN(B876*(1+C876/12),IF(AND(476&lt;=$B$174,476&lt;=$B$173),B876*C876/12,IF(AND(476=$B$173+1,AND(476&gt;$B$173,$B$78="Refinance",ISNUMBER($B$80),$B$80&gt;=0,$B$80&lt;=1,ROUND($B$81*12,0)&gt;=1,$B$81&lt;=100,SUM($B$82)&gt;=0,SUM($B$82)&lt;=1,SUM($B$83)&gt;=0)),IF(B876=0,0,IF(C876=0,B876/ROUND($B$81*12,0),B876*(C876/12)/(1-(1+C876/12)^(-ROUND($B$81*12,0))))),IF(AND(NOT(AND(476&gt;$B$173,$B$78="Refinance",ISNUMBER($B$80),$B$80&gt;=0,$B$80&lt;=1,ROUND($B$81*12,0)&gt;=1,$B$81&lt;=100,SUM($B$82)&gt;=0,SUM($B$82)&lt;=1,SUM($B$83)&gt;=0)),OR(476=1,476=$B$174+1,AND($B$175&gt;0,476=$B$175+1))),IF(AND($B$170=1,$B$66&gt;0,OR($B$175=0,476&lt;=$B$175)),$B$66,IF($B$172-MAX(476-1,$B$174)&gt;0,IF(B876=0,0,IF(C876=0,B876/($B$172-MAX(476-1,$B$174)),B876*(C876/12)/(1-(1+C876/12)^(-($B$172-MAX(476-1,$B$174)))))),"")),D875)))),""),""))</x:f>
        <x:v>0</x:v>
      </x:c>
      <x:c r="E876" s="440" t="n">
        <x:f>IF(AND(476=$B$173,ISNUMBER(D876)),IF(MAX(0,B876*(1+C876/12)-D876)&lt;MAX(0.0000001,$E$17*0.00000000001),0,MAX(0,B876*(1+C876/12)-D876)),0)</x:f>
        <x:v>0</x:v>
      </x:c>
      <x:c r="F876" s="440" t="n">
        <x:f>IF($B$78="Cash payoff",E876,0)</x:f>
        <x:v>0</x:v>
      </x:c>
      <x:c r="G876" s="440" t="n">
        <x:f>IF(AND(E876&gt;0,AND($B$78="Refinance",ISNUMBER($B$80),$B$80&gt;=0,$B$80&lt;=1,ROUND($B$81*12,0)&gt;=1,$B$81&lt;=100,SUM($B$82)&gt;=0,SUM($B$82)&lt;=1,SUM($B$83)&gt;=0)),E876*SUM($B$82)+SUM($B$83),0)</x:f>
        <x:v>0</x:v>
      </x:c>
      <x:c r="H876" s="440" t="n">
        <x:f>IF(ISNUMBER(D876),IF(MAX(0,B876*(1+C876/12)-D876-F876)&lt;MAX(0.0000001,$E$17*0.00000000001),0,MAX(0,B876*(1+C876/12)-D876-F876)),IF(AND($B$171=1,I875=1),B876,""))</x:f>
        <x:v>0</x:v>
      </x:c>
      <x:c r="I876" s="444" t="n">
        <x:f>IF(OR(I875=1,AND(E876&gt;0,$B$78&lt;&gt;"Cash payoff",NOT(AND($B$78="Refinance",ISNUMBER($B$80),$B$80&gt;=0,$B$80&lt;=1,ROUND($B$81*12,0)&gt;=1,$B$81&lt;=100,SUM($B$82)&gt;=0,SUM($B$82)&lt;=1,SUM($B$83)&gt;=0))),AND(ISNUMBER(B876),B876&gt;0,$B$171=1,NOT(ISNUMBER(D876)))),1,0)</x:f>
        <x:v>0</x:v>
      </x:c>
      <x:c r="J876" s="440" t="n">
        <x:f>IF(ISNUMBER(L875),L875,"")</x:f>
        <x:v>0</x:v>
      </x:c>
      <x:c r="K876" s="440" t="n">
        <x:f>IF(AND(ISNUMBER(J876),J876=0),0,IF(AND($B$176=1,ISNUMBER(J876)),MIN(J876*(1+$B$87/12),IF($B$86=0,0,IF($B$87=0,$B$86/ROUND($B$88*12,0),$B$86*($B$87/12)/(1-(1+$B$87/12)^(-ROUND($B$88*12,0)))))),""))</x:f>
        <x:v>0</x:v>
      </x:c>
      <x:c r="L876" s="440" t="n">
        <x:f>IF(ISNUMBER(K876),IF(MAX(0,J876*(1+SUM($B$87)/12)-K876)&lt;MAX(0.0000001,$B$86*0.00000000001),0,MAX(0,J876*(1+SUM($B$87)/12)-K876)),"")</x:f>
        <x:v>0</x:v>
      </x:c>
      <x:c r="M876" s="440" t="n">
        <x:f>IF(AND(ISNUMBER(D876),ISNUMBER(K876)),D876+K876,"")</x:f>
        <x:v>0</x:v>
      </x:c>
      <x:c r="N876" s="440" t="n">
        <x:f>IF(AND(ISNUMBER(H876),ISNUMBER(L876)),H876+L876,"")</x:f>
        <x:v>0</x:v>
      </x:c>
    </x:row>
    <x:row r="877" ht="22" customHeight="1">
      <x:c r="A877" s="254" t="n">
        <x:f>477</x:f>
        <x:v>477</x:v>
      </x:c>
      <x:c r="B877" s="440" t="n">
        <x:f>IF(ISNUMBER(H876),H876,"")</x:f>
        <x:v>0</x:v>
      </x:c>
      <x:c r="C877" s="442" t="n">
        <x:f>IF(ISNUMBER(B877),IF(AND(477&gt;$B$173,$B$78="Refinance",ISNUMBER($B$80),$B$80&gt;=0,$B$80&lt;=1,ROUND($B$81*12,0)&gt;=1,$B$81&lt;=100,SUM($B$82)&gt;=0,SUM($B$82)&lt;=1,SUM($B$83)&gt;=0),$B$80,IF(AND($B$175&gt;0,477&gt;$B$175,ISNUMBER($B$75)),$B$75,$B$61)),"")</x:f>
        <x:v>0.0625</x:v>
      </x:c>
      <x:c r="D877" s="440" t="n">
        <x:f>IF(AND(ISNUMBER(B877),B877=0),0,IF(AND($B$171=1,I876=0,ISNUMBER(C877),ISNUMBER(IF(AND(477&lt;=$B$174,477&lt;=$B$173),B877*C877/12,IF(AND(477=$B$173+1,AND(477&gt;$B$173,$B$78="Refinance",ISNUMBER($B$80),$B$80&gt;=0,$B$80&lt;=1,ROUND($B$81*12,0)&gt;=1,$B$81&lt;=100,SUM($B$82)&gt;=0,SUM($B$82)&lt;=1,SUM($B$83)&gt;=0)),IF(B877=0,0,IF(C877=0,B877/ROUND($B$81*12,0),B877*(C877/12)/(1-(1+C877/12)^(-ROUND($B$81*12,0))))),IF(AND(NOT(AND(477&gt;$B$173,$B$78="Refinance",ISNUMBER($B$80),$B$80&gt;=0,$B$80&lt;=1,ROUND($B$81*12,0)&gt;=1,$B$81&lt;=100,SUM($B$82)&gt;=0,SUM($B$82)&lt;=1,SUM($B$83)&gt;=0)),OR(477=1,477=$B$174+1,AND($B$175&gt;0,477=$B$175+1))),IF(AND($B$170=1,$B$66&gt;0,OR($B$175=0,477&lt;=$B$175)),$B$66,IF($B$172-MAX(477-1,$B$174)&gt;0,IF(B877=0,0,IF(C877=0,B877/($B$172-MAX(477-1,$B$174)),B877*(C877/12)/(1-(1+C877/12)^(-($B$172-MAX(477-1,$B$174)))))),"")),D876))))),IF(IF(AND(477&lt;=$B$174,477&lt;=$B$173),B877*C877/12,IF(AND(477=$B$173+1,AND(477&gt;$B$173,$B$78="Refinance",ISNUMBER($B$80),$B$80&gt;=0,$B$80&lt;=1,ROUND($B$81*12,0)&gt;=1,$B$81&lt;=100,SUM($B$82)&gt;=0,SUM($B$82)&lt;=1,SUM($B$83)&gt;=0)),IF(B877=0,0,IF(C877=0,B877/ROUND($B$81*12,0),B877*(C877/12)/(1-(1+C877/12)^(-ROUND($B$81*12,0))))),IF(AND(NOT(AND(477&gt;$B$173,$B$78="Refinance",ISNUMBER($B$80),$B$80&gt;=0,$B$80&lt;=1,ROUND($B$81*12,0)&gt;=1,$B$81&lt;=100,SUM($B$82)&gt;=0,SUM($B$82)&lt;=1,SUM($B$83)&gt;=0)),OR(477=1,477=$B$174+1,AND($B$175&gt;0,477=$B$175+1))),IF(AND($B$170=1,$B$66&gt;0,OR($B$175=0,477&lt;=$B$175)),$B$66,IF($B$172-MAX(477-1,$B$174)&gt;0,IF(B877=0,0,IF(C877=0,B877/($B$172-MAX(477-1,$B$174)),B877*(C877/12)/(1-(1+C877/12)^(-($B$172-MAX(477-1,$B$174)))))),"")),D876)))+0.0000001&gt;=B877*C877/12,MIN(B877*(1+C877/12),IF(AND(477&lt;=$B$174,477&lt;=$B$173),B877*C877/12,IF(AND(477=$B$173+1,AND(477&gt;$B$173,$B$78="Refinance",ISNUMBER($B$80),$B$80&gt;=0,$B$80&lt;=1,ROUND($B$81*12,0)&gt;=1,$B$81&lt;=100,SUM($B$82)&gt;=0,SUM($B$82)&lt;=1,SUM($B$83)&gt;=0)),IF(B877=0,0,IF(C877=0,B877/ROUND($B$81*12,0),B877*(C877/12)/(1-(1+C877/12)^(-ROUND($B$81*12,0))))),IF(AND(NOT(AND(477&gt;$B$173,$B$78="Refinance",ISNUMBER($B$80),$B$80&gt;=0,$B$80&lt;=1,ROUND($B$81*12,0)&gt;=1,$B$81&lt;=100,SUM($B$82)&gt;=0,SUM($B$82)&lt;=1,SUM($B$83)&gt;=0)),OR(477=1,477=$B$174+1,AND($B$175&gt;0,477=$B$175+1))),IF(AND($B$170=1,$B$66&gt;0,OR($B$175=0,477&lt;=$B$175)),$B$66,IF($B$172-MAX(477-1,$B$174)&gt;0,IF(B877=0,0,IF(C877=0,B877/($B$172-MAX(477-1,$B$174)),B877*(C877/12)/(1-(1+C877/12)^(-($B$172-MAX(477-1,$B$174)))))),"")),D876)))),""),""))</x:f>
        <x:v>0</x:v>
      </x:c>
      <x:c r="E877" s="440" t="n">
        <x:f>IF(AND(477=$B$173,ISNUMBER(D877)),IF(MAX(0,B877*(1+C877/12)-D877)&lt;MAX(0.0000001,$E$17*0.00000000001),0,MAX(0,B877*(1+C877/12)-D877)),0)</x:f>
        <x:v>0</x:v>
      </x:c>
      <x:c r="F877" s="440" t="n">
        <x:f>IF($B$78="Cash payoff",E877,0)</x:f>
        <x:v>0</x:v>
      </x:c>
      <x:c r="G877" s="440" t="n">
        <x:f>IF(AND(E877&gt;0,AND($B$78="Refinance",ISNUMBER($B$80),$B$80&gt;=0,$B$80&lt;=1,ROUND($B$81*12,0)&gt;=1,$B$81&lt;=100,SUM($B$82)&gt;=0,SUM($B$82)&lt;=1,SUM($B$83)&gt;=0)),E877*SUM($B$82)+SUM($B$83),0)</x:f>
        <x:v>0</x:v>
      </x:c>
      <x:c r="H877" s="440" t="n">
        <x:f>IF(ISNUMBER(D877),IF(MAX(0,B877*(1+C877/12)-D877-F877)&lt;MAX(0.0000001,$E$17*0.00000000001),0,MAX(0,B877*(1+C877/12)-D877-F877)),IF(AND($B$171=1,I876=1),B877,""))</x:f>
        <x:v>0</x:v>
      </x:c>
      <x:c r="I877" s="444" t="n">
        <x:f>IF(OR(I876=1,AND(E877&gt;0,$B$78&lt;&gt;"Cash payoff",NOT(AND($B$78="Refinance",ISNUMBER($B$80),$B$80&gt;=0,$B$80&lt;=1,ROUND($B$81*12,0)&gt;=1,$B$81&lt;=100,SUM($B$82)&gt;=0,SUM($B$82)&lt;=1,SUM($B$83)&gt;=0))),AND(ISNUMBER(B877),B877&gt;0,$B$171=1,NOT(ISNUMBER(D877)))),1,0)</x:f>
        <x:v>0</x:v>
      </x:c>
      <x:c r="J877" s="440" t="n">
        <x:f>IF(ISNUMBER(L876),L876,"")</x:f>
        <x:v>0</x:v>
      </x:c>
      <x:c r="K877" s="440" t="n">
        <x:f>IF(AND(ISNUMBER(J877),J877=0),0,IF(AND($B$176=1,ISNUMBER(J877)),MIN(J877*(1+$B$87/12),IF($B$86=0,0,IF($B$87=0,$B$86/ROUND($B$88*12,0),$B$86*($B$87/12)/(1-(1+$B$87/12)^(-ROUND($B$88*12,0)))))),""))</x:f>
        <x:v>0</x:v>
      </x:c>
      <x:c r="L877" s="440" t="n">
        <x:f>IF(ISNUMBER(K877),IF(MAX(0,J877*(1+SUM($B$87)/12)-K877)&lt;MAX(0.0000001,$B$86*0.00000000001),0,MAX(0,J877*(1+SUM($B$87)/12)-K877)),"")</x:f>
        <x:v>0</x:v>
      </x:c>
      <x:c r="M877" s="440" t="n">
        <x:f>IF(AND(ISNUMBER(D877),ISNUMBER(K877)),D877+K877,"")</x:f>
        <x:v>0</x:v>
      </x:c>
      <x:c r="N877" s="440" t="n">
        <x:f>IF(AND(ISNUMBER(H877),ISNUMBER(L877)),H877+L877,"")</x:f>
        <x:v>0</x:v>
      </x:c>
    </x:row>
    <x:row r="878" ht="22" customHeight="1">
      <x:c r="A878" s="254" t="n">
        <x:f>478</x:f>
        <x:v>478</x:v>
      </x:c>
      <x:c r="B878" s="440" t="n">
        <x:f>IF(ISNUMBER(H877),H877,"")</x:f>
        <x:v>0</x:v>
      </x:c>
      <x:c r="C878" s="442" t="n">
        <x:f>IF(ISNUMBER(B878),IF(AND(478&gt;$B$173,$B$78="Refinance",ISNUMBER($B$80),$B$80&gt;=0,$B$80&lt;=1,ROUND($B$81*12,0)&gt;=1,$B$81&lt;=100,SUM($B$82)&gt;=0,SUM($B$82)&lt;=1,SUM($B$83)&gt;=0),$B$80,IF(AND($B$175&gt;0,478&gt;$B$175,ISNUMBER($B$75)),$B$75,$B$61)),"")</x:f>
        <x:v>0.0625</x:v>
      </x:c>
      <x:c r="D878" s="440" t="n">
        <x:f>IF(AND(ISNUMBER(B878),B878=0),0,IF(AND($B$171=1,I877=0,ISNUMBER(C878),ISNUMBER(IF(AND(478&lt;=$B$174,478&lt;=$B$173),B878*C878/12,IF(AND(478=$B$173+1,AND(478&gt;$B$173,$B$78="Refinance",ISNUMBER($B$80),$B$80&gt;=0,$B$80&lt;=1,ROUND($B$81*12,0)&gt;=1,$B$81&lt;=100,SUM($B$82)&gt;=0,SUM($B$82)&lt;=1,SUM($B$83)&gt;=0)),IF(B878=0,0,IF(C878=0,B878/ROUND($B$81*12,0),B878*(C878/12)/(1-(1+C878/12)^(-ROUND($B$81*12,0))))),IF(AND(NOT(AND(478&gt;$B$173,$B$78="Refinance",ISNUMBER($B$80),$B$80&gt;=0,$B$80&lt;=1,ROUND($B$81*12,0)&gt;=1,$B$81&lt;=100,SUM($B$82)&gt;=0,SUM($B$82)&lt;=1,SUM($B$83)&gt;=0)),OR(478=1,478=$B$174+1,AND($B$175&gt;0,478=$B$175+1))),IF(AND($B$170=1,$B$66&gt;0,OR($B$175=0,478&lt;=$B$175)),$B$66,IF($B$172-MAX(478-1,$B$174)&gt;0,IF(B878=0,0,IF(C878=0,B878/($B$172-MAX(478-1,$B$174)),B878*(C878/12)/(1-(1+C878/12)^(-($B$172-MAX(478-1,$B$174)))))),"")),D877))))),IF(IF(AND(478&lt;=$B$174,478&lt;=$B$173),B878*C878/12,IF(AND(478=$B$173+1,AND(478&gt;$B$173,$B$78="Refinance",ISNUMBER($B$80),$B$80&gt;=0,$B$80&lt;=1,ROUND($B$81*12,0)&gt;=1,$B$81&lt;=100,SUM($B$82)&gt;=0,SUM($B$82)&lt;=1,SUM($B$83)&gt;=0)),IF(B878=0,0,IF(C878=0,B878/ROUND($B$81*12,0),B878*(C878/12)/(1-(1+C878/12)^(-ROUND($B$81*12,0))))),IF(AND(NOT(AND(478&gt;$B$173,$B$78="Refinance",ISNUMBER($B$80),$B$80&gt;=0,$B$80&lt;=1,ROUND($B$81*12,0)&gt;=1,$B$81&lt;=100,SUM($B$82)&gt;=0,SUM($B$82)&lt;=1,SUM($B$83)&gt;=0)),OR(478=1,478=$B$174+1,AND($B$175&gt;0,478=$B$175+1))),IF(AND($B$170=1,$B$66&gt;0,OR($B$175=0,478&lt;=$B$175)),$B$66,IF($B$172-MAX(478-1,$B$174)&gt;0,IF(B878=0,0,IF(C878=0,B878/($B$172-MAX(478-1,$B$174)),B878*(C878/12)/(1-(1+C878/12)^(-($B$172-MAX(478-1,$B$174)))))),"")),D877)))+0.0000001&gt;=B878*C878/12,MIN(B878*(1+C878/12),IF(AND(478&lt;=$B$174,478&lt;=$B$173),B878*C878/12,IF(AND(478=$B$173+1,AND(478&gt;$B$173,$B$78="Refinance",ISNUMBER($B$80),$B$80&gt;=0,$B$80&lt;=1,ROUND($B$81*12,0)&gt;=1,$B$81&lt;=100,SUM($B$82)&gt;=0,SUM($B$82)&lt;=1,SUM($B$83)&gt;=0)),IF(B878=0,0,IF(C878=0,B878/ROUND($B$81*12,0),B878*(C878/12)/(1-(1+C878/12)^(-ROUND($B$81*12,0))))),IF(AND(NOT(AND(478&gt;$B$173,$B$78="Refinance",ISNUMBER($B$80),$B$80&gt;=0,$B$80&lt;=1,ROUND($B$81*12,0)&gt;=1,$B$81&lt;=100,SUM($B$82)&gt;=0,SUM($B$82)&lt;=1,SUM($B$83)&gt;=0)),OR(478=1,478=$B$174+1,AND($B$175&gt;0,478=$B$175+1))),IF(AND($B$170=1,$B$66&gt;0,OR($B$175=0,478&lt;=$B$175)),$B$66,IF($B$172-MAX(478-1,$B$174)&gt;0,IF(B878=0,0,IF(C878=0,B878/($B$172-MAX(478-1,$B$174)),B878*(C878/12)/(1-(1+C878/12)^(-($B$172-MAX(478-1,$B$174)))))),"")),D877)))),""),""))</x:f>
        <x:v>0</x:v>
      </x:c>
      <x:c r="E878" s="440" t="n">
        <x:f>IF(AND(478=$B$173,ISNUMBER(D878)),IF(MAX(0,B878*(1+C878/12)-D878)&lt;MAX(0.0000001,$E$17*0.00000000001),0,MAX(0,B878*(1+C878/12)-D878)),0)</x:f>
        <x:v>0</x:v>
      </x:c>
      <x:c r="F878" s="440" t="n">
        <x:f>IF($B$78="Cash payoff",E878,0)</x:f>
        <x:v>0</x:v>
      </x:c>
      <x:c r="G878" s="440" t="n">
        <x:f>IF(AND(E878&gt;0,AND($B$78="Refinance",ISNUMBER($B$80),$B$80&gt;=0,$B$80&lt;=1,ROUND($B$81*12,0)&gt;=1,$B$81&lt;=100,SUM($B$82)&gt;=0,SUM($B$82)&lt;=1,SUM($B$83)&gt;=0)),E878*SUM($B$82)+SUM($B$83),0)</x:f>
        <x:v>0</x:v>
      </x:c>
      <x:c r="H878" s="440" t="n">
        <x:f>IF(ISNUMBER(D878),IF(MAX(0,B878*(1+C878/12)-D878-F878)&lt;MAX(0.0000001,$E$17*0.00000000001),0,MAX(0,B878*(1+C878/12)-D878-F878)),IF(AND($B$171=1,I877=1),B878,""))</x:f>
        <x:v>0</x:v>
      </x:c>
      <x:c r="I878" s="444" t="n">
        <x:f>IF(OR(I877=1,AND(E878&gt;0,$B$78&lt;&gt;"Cash payoff",NOT(AND($B$78="Refinance",ISNUMBER($B$80),$B$80&gt;=0,$B$80&lt;=1,ROUND($B$81*12,0)&gt;=1,$B$81&lt;=100,SUM($B$82)&gt;=0,SUM($B$82)&lt;=1,SUM($B$83)&gt;=0))),AND(ISNUMBER(B878),B878&gt;0,$B$171=1,NOT(ISNUMBER(D878)))),1,0)</x:f>
        <x:v>0</x:v>
      </x:c>
      <x:c r="J878" s="440" t="n">
        <x:f>IF(ISNUMBER(L877),L877,"")</x:f>
        <x:v>0</x:v>
      </x:c>
      <x:c r="K878" s="440" t="n">
        <x:f>IF(AND(ISNUMBER(J878),J878=0),0,IF(AND($B$176=1,ISNUMBER(J878)),MIN(J878*(1+$B$87/12),IF($B$86=0,0,IF($B$87=0,$B$86/ROUND($B$88*12,0),$B$86*($B$87/12)/(1-(1+$B$87/12)^(-ROUND($B$88*12,0)))))),""))</x:f>
        <x:v>0</x:v>
      </x:c>
      <x:c r="L878" s="440" t="n">
        <x:f>IF(ISNUMBER(K878),IF(MAX(0,J878*(1+SUM($B$87)/12)-K878)&lt;MAX(0.0000001,$B$86*0.00000000001),0,MAX(0,J878*(1+SUM($B$87)/12)-K878)),"")</x:f>
        <x:v>0</x:v>
      </x:c>
      <x:c r="M878" s="440" t="n">
        <x:f>IF(AND(ISNUMBER(D878),ISNUMBER(K878)),D878+K878,"")</x:f>
        <x:v>0</x:v>
      </x:c>
      <x:c r="N878" s="440" t="n">
        <x:f>IF(AND(ISNUMBER(H878),ISNUMBER(L878)),H878+L878,"")</x:f>
        <x:v>0</x:v>
      </x:c>
    </x:row>
    <x:row r="879" ht="22" customHeight="1">
      <x:c r="A879" s="254" t="n">
        <x:f>479</x:f>
        <x:v>479</x:v>
      </x:c>
      <x:c r="B879" s="440" t="n">
        <x:f>IF(ISNUMBER(H878),H878,"")</x:f>
        <x:v>0</x:v>
      </x:c>
      <x:c r="C879" s="442" t="n">
        <x:f>IF(ISNUMBER(B879),IF(AND(479&gt;$B$173,$B$78="Refinance",ISNUMBER($B$80),$B$80&gt;=0,$B$80&lt;=1,ROUND($B$81*12,0)&gt;=1,$B$81&lt;=100,SUM($B$82)&gt;=0,SUM($B$82)&lt;=1,SUM($B$83)&gt;=0),$B$80,IF(AND($B$175&gt;0,479&gt;$B$175,ISNUMBER($B$75)),$B$75,$B$61)),"")</x:f>
        <x:v>0.0625</x:v>
      </x:c>
      <x:c r="D879" s="440" t="n">
        <x:f>IF(AND(ISNUMBER(B879),B879=0),0,IF(AND($B$171=1,I878=0,ISNUMBER(C879),ISNUMBER(IF(AND(479&lt;=$B$174,479&lt;=$B$173),B879*C879/12,IF(AND(479=$B$173+1,AND(479&gt;$B$173,$B$78="Refinance",ISNUMBER($B$80),$B$80&gt;=0,$B$80&lt;=1,ROUND($B$81*12,0)&gt;=1,$B$81&lt;=100,SUM($B$82)&gt;=0,SUM($B$82)&lt;=1,SUM($B$83)&gt;=0)),IF(B879=0,0,IF(C879=0,B879/ROUND($B$81*12,0),B879*(C879/12)/(1-(1+C879/12)^(-ROUND($B$81*12,0))))),IF(AND(NOT(AND(479&gt;$B$173,$B$78="Refinance",ISNUMBER($B$80),$B$80&gt;=0,$B$80&lt;=1,ROUND($B$81*12,0)&gt;=1,$B$81&lt;=100,SUM($B$82)&gt;=0,SUM($B$82)&lt;=1,SUM($B$83)&gt;=0)),OR(479=1,479=$B$174+1,AND($B$175&gt;0,479=$B$175+1))),IF(AND($B$170=1,$B$66&gt;0,OR($B$175=0,479&lt;=$B$175)),$B$66,IF($B$172-MAX(479-1,$B$174)&gt;0,IF(B879=0,0,IF(C879=0,B879/($B$172-MAX(479-1,$B$174)),B879*(C879/12)/(1-(1+C879/12)^(-($B$172-MAX(479-1,$B$174)))))),"")),D878))))),IF(IF(AND(479&lt;=$B$174,479&lt;=$B$173),B879*C879/12,IF(AND(479=$B$173+1,AND(479&gt;$B$173,$B$78="Refinance",ISNUMBER($B$80),$B$80&gt;=0,$B$80&lt;=1,ROUND($B$81*12,0)&gt;=1,$B$81&lt;=100,SUM($B$82)&gt;=0,SUM($B$82)&lt;=1,SUM($B$83)&gt;=0)),IF(B879=0,0,IF(C879=0,B879/ROUND($B$81*12,0),B879*(C879/12)/(1-(1+C879/12)^(-ROUND($B$81*12,0))))),IF(AND(NOT(AND(479&gt;$B$173,$B$78="Refinance",ISNUMBER($B$80),$B$80&gt;=0,$B$80&lt;=1,ROUND($B$81*12,0)&gt;=1,$B$81&lt;=100,SUM($B$82)&gt;=0,SUM($B$82)&lt;=1,SUM($B$83)&gt;=0)),OR(479=1,479=$B$174+1,AND($B$175&gt;0,479=$B$175+1))),IF(AND($B$170=1,$B$66&gt;0,OR($B$175=0,479&lt;=$B$175)),$B$66,IF($B$172-MAX(479-1,$B$174)&gt;0,IF(B879=0,0,IF(C879=0,B879/($B$172-MAX(479-1,$B$174)),B879*(C879/12)/(1-(1+C879/12)^(-($B$172-MAX(479-1,$B$174)))))),"")),D878)))+0.0000001&gt;=B879*C879/12,MIN(B879*(1+C879/12),IF(AND(479&lt;=$B$174,479&lt;=$B$173),B879*C879/12,IF(AND(479=$B$173+1,AND(479&gt;$B$173,$B$78="Refinance",ISNUMBER($B$80),$B$80&gt;=0,$B$80&lt;=1,ROUND($B$81*12,0)&gt;=1,$B$81&lt;=100,SUM($B$82)&gt;=0,SUM($B$82)&lt;=1,SUM($B$83)&gt;=0)),IF(B879=0,0,IF(C879=0,B879/ROUND($B$81*12,0),B879*(C879/12)/(1-(1+C879/12)^(-ROUND($B$81*12,0))))),IF(AND(NOT(AND(479&gt;$B$173,$B$78="Refinance",ISNUMBER($B$80),$B$80&gt;=0,$B$80&lt;=1,ROUND($B$81*12,0)&gt;=1,$B$81&lt;=100,SUM($B$82)&gt;=0,SUM($B$82)&lt;=1,SUM($B$83)&gt;=0)),OR(479=1,479=$B$174+1,AND($B$175&gt;0,479=$B$175+1))),IF(AND($B$170=1,$B$66&gt;0,OR($B$175=0,479&lt;=$B$175)),$B$66,IF($B$172-MAX(479-1,$B$174)&gt;0,IF(B879=0,0,IF(C879=0,B879/($B$172-MAX(479-1,$B$174)),B879*(C879/12)/(1-(1+C879/12)^(-($B$172-MAX(479-1,$B$174)))))),"")),D878)))),""),""))</x:f>
        <x:v>0</x:v>
      </x:c>
      <x:c r="E879" s="440" t="n">
        <x:f>IF(AND(479=$B$173,ISNUMBER(D879)),IF(MAX(0,B879*(1+C879/12)-D879)&lt;MAX(0.0000001,$E$17*0.00000000001),0,MAX(0,B879*(1+C879/12)-D879)),0)</x:f>
        <x:v>0</x:v>
      </x:c>
      <x:c r="F879" s="440" t="n">
        <x:f>IF($B$78="Cash payoff",E879,0)</x:f>
        <x:v>0</x:v>
      </x:c>
      <x:c r="G879" s="440" t="n">
        <x:f>IF(AND(E879&gt;0,AND($B$78="Refinance",ISNUMBER($B$80),$B$80&gt;=0,$B$80&lt;=1,ROUND($B$81*12,0)&gt;=1,$B$81&lt;=100,SUM($B$82)&gt;=0,SUM($B$82)&lt;=1,SUM($B$83)&gt;=0)),E879*SUM($B$82)+SUM($B$83),0)</x:f>
        <x:v>0</x:v>
      </x:c>
      <x:c r="H879" s="440" t="n">
        <x:f>IF(ISNUMBER(D879),IF(MAX(0,B879*(1+C879/12)-D879-F879)&lt;MAX(0.0000001,$E$17*0.00000000001),0,MAX(0,B879*(1+C879/12)-D879-F879)),IF(AND($B$171=1,I878=1),B879,""))</x:f>
        <x:v>0</x:v>
      </x:c>
      <x:c r="I879" s="444" t="n">
        <x:f>IF(OR(I878=1,AND(E879&gt;0,$B$78&lt;&gt;"Cash payoff",NOT(AND($B$78="Refinance",ISNUMBER($B$80),$B$80&gt;=0,$B$80&lt;=1,ROUND($B$81*12,0)&gt;=1,$B$81&lt;=100,SUM($B$82)&gt;=0,SUM($B$82)&lt;=1,SUM($B$83)&gt;=0))),AND(ISNUMBER(B879),B879&gt;0,$B$171=1,NOT(ISNUMBER(D879)))),1,0)</x:f>
        <x:v>0</x:v>
      </x:c>
      <x:c r="J879" s="440" t="n">
        <x:f>IF(ISNUMBER(L878),L878,"")</x:f>
        <x:v>0</x:v>
      </x:c>
      <x:c r="K879" s="440" t="n">
        <x:f>IF(AND(ISNUMBER(J879),J879=0),0,IF(AND($B$176=1,ISNUMBER(J879)),MIN(J879*(1+$B$87/12),IF($B$86=0,0,IF($B$87=0,$B$86/ROUND($B$88*12,0),$B$86*($B$87/12)/(1-(1+$B$87/12)^(-ROUND($B$88*12,0)))))),""))</x:f>
        <x:v>0</x:v>
      </x:c>
      <x:c r="L879" s="440" t="n">
        <x:f>IF(ISNUMBER(K879),IF(MAX(0,J879*(1+SUM($B$87)/12)-K879)&lt;MAX(0.0000001,$B$86*0.00000000001),0,MAX(0,J879*(1+SUM($B$87)/12)-K879)),"")</x:f>
        <x:v>0</x:v>
      </x:c>
      <x:c r="M879" s="440" t="n">
        <x:f>IF(AND(ISNUMBER(D879),ISNUMBER(K879)),D879+K879,"")</x:f>
        <x:v>0</x:v>
      </x:c>
      <x:c r="N879" s="440" t="n">
        <x:f>IF(AND(ISNUMBER(H879),ISNUMBER(L879)),H879+L879,"")</x:f>
        <x:v>0</x:v>
      </x:c>
    </x:row>
    <x:row r="880" ht="22" customHeight="1">
      <x:c r="A880" s="254" t="n">
        <x:f>480</x:f>
        <x:v>480</x:v>
      </x:c>
      <x:c r="B880" s="440" t="n">
        <x:f>IF(ISNUMBER(H879),H879,"")</x:f>
        <x:v>0</x:v>
      </x:c>
      <x:c r="C880" s="442" t="n">
        <x:f>IF(ISNUMBER(B880),IF(AND(480&gt;$B$173,$B$78="Refinance",ISNUMBER($B$80),$B$80&gt;=0,$B$80&lt;=1,ROUND($B$81*12,0)&gt;=1,$B$81&lt;=100,SUM($B$82)&gt;=0,SUM($B$82)&lt;=1,SUM($B$83)&gt;=0),$B$80,IF(AND($B$175&gt;0,480&gt;$B$175,ISNUMBER($B$75)),$B$75,$B$61)),"")</x:f>
        <x:v>0.0625</x:v>
      </x:c>
      <x:c r="D880" s="440" t="n">
        <x:f>IF(AND(ISNUMBER(B880),B880=0),0,IF(AND($B$171=1,I879=0,ISNUMBER(C880),ISNUMBER(IF(AND(480&lt;=$B$174,480&lt;=$B$173),B880*C880/12,IF(AND(480=$B$173+1,AND(480&gt;$B$173,$B$78="Refinance",ISNUMBER($B$80),$B$80&gt;=0,$B$80&lt;=1,ROUND($B$81*12,0)&gt;=1,$B$81&lt;=100,SUM($B$82)&gt;=0,SUM($B$82)&lt;=1,SUM($B$83)&gt;=0)),IF(B880=0,0,IF(C880=0,B880/ROUND($B$81*12,0),B880*(C880/12)/(1-(1+C880/12)^(-ROUND($B$81*12,0))))),IF(AND(NOT(AND(480&gt;$B$173,$B$78="Refinance",ISNUMBER($B$80),$B$80&gt;=0,$B$80&lt;=1,ROUND($B$81*12,0)&gt;=1,$B$81&lt;=100,SUM($B$82)&gt;=0,SUM($B$82)&lt;=1,SUM($B$83)&gt;=0)),OR(480=1,480=$B$174+1,AND($B$175&gt;0,480=$B$175+1))),IF(AND($B$170=1,$B$66&gt;0,OR($B$175=0,480&lt;=$B$175)),$B$66,IF($B$172-MAX(480-1,$B$174)&gt;0,IF(B880=0,0,IF(C880=0,B880/($B$172-MAX(480-1,$B$174)),B880*(C880/12)/(1-(1+C880/12)^(-($B$172-MAX(480-1,$B$174)))))),"")),D879))))),IF(IF(AND(480&lt;=$B$174,480&lt;=$B$173),B880*C880/12,IF(AND(480=$B$173+1,AND(480&gt;$B$173,$B$78="Refinance",ISNUMBER($B$80),$B$80&gt;=0,$B$80&lt;=1,ROUND($B$81*12,0)&gt;=1,$B$81&lt;=100,SUM($B$82)&gt;=0,SUM($B$82)&lt;=1,SUM($B$83)&gt;=0)),IF(B880=0,0,IF(C880=0,B880/ROUND($B$81*12,0),B880*(C880/12)/(1-(1+C880/12)^(-ROUND($B$81*12,0))))),IF(AND(NOT(AND(480&gt;$B$173,$B$78="Refinance",ISNUMBER($B$80),$B$80&gt;=0,$B$80&lt;=1,ROUND($B$81*12,0)&gt;=1,$B$81&lt;=100,SUM($B$82)&gt;=0,SUM($B$82)&lt;=1,SUM($B$83)&gt;=0)),OR(480=1,480=$B$174+1,AND($B$175&gt;0,480=$B$175+1))),IF(AND($B$170=1,$B$66&gt;0,OR($B$175=0,480&lt;=$B$175)),$B$66,IF($B$172-MAX(480-1,$B$174)&gt;0,IF(B880=0,0,IF(C880=0,B880/($B$172-MAX(480-1,$B$174)),B880*(C880/12)/(1-(1+C880/12)^(-($B$172-MAX(480-1,$B$174)))))),"")),D879)))+0.0000001&gt;=B880*C880/12,MIN(B880*(1+C880/12),IF(AND(480&lt;=$B$174,480&lt;=$B$173),B880*C880/12,IF(AND(480=$B$173+1,AND(480&gt;$B$173,$B$78="Refinance",ISNUMBER($B$80),$B$80&gt;=0,$B$80&lt;=1,ROUND($B$81*12,0)&gt;=1,$B$81&lt;=100,SUM($B$82)&gt;=0,SUM($B$82)&lt;=1,SUM($B$83)&gt;=0)),IF(B880=0,0,IF(C880=0,B880/ROUND($B$81*12,0),B880*(C880/12)/(1-(1+C880/12)^(-ROUND($B$81*12,0))))),IF(AND(NOT(AND(480&gt;$B$173,$B$78="Refinance",ISNUMBER($B$80),$B$80&gt;=0,$B$80&lt;=1,ROUND($B$81*12,0)&gt;=1,$B$81&lt;=100,SUM($B$82)&gt;=0,SUM($B$82)&lt;=1,SUM($B$83)&gt;=0)),OR(480=1,480=$B$174+1,AND($B$175&gt;0,480=$B$175+1))),IF(AND($B$170=1,$B$66&gt;0,OR($B$175=0,480&lt;=$B$175)),$B$66,IF($B$172-MAX(480-1,$B$174)&gt;0,IF(B880=0,0,IF(C880=0,B880/($B$172-MAX(480-1,$B$174)),B880*(C880/12)/(1-(1+C880/12)^(-($B$172-MAX(480-1,$B$174)))))),"")),D879)))),""),""))</x:f>
        <x:v>0</x:v>
      </x:c>
      <x:c r="E880" s="440" t="n">
        <x:f>IF(AND(480=$B$173,ISNUMBER(D880)),IF(MAX(0,B880*(1+C880/12)-D880)&lt;MAX(0.0000001,$E$17*0.00000000001),0,MAX(0,B880*(1+C880/12)-D880)),0)</x:f>
        <x:v>0</x:v>
      </x:c>
      <x:c r="F880" s="440" t="n">
        <x:f>IF($B$78="Cash payoff",E880,0)</x:f>
        <x:v>0</x:v>
      </x:c>
      <x:c r="G880" s="440" t="n">
        <x:f>IF(AND(E880&gt;0,AND($B$78="Refinance",ISNUMBER($B$80),$B$80&gt;=0,$B$80&lt;=1,ROUND($B$81*12,0)&gt;=1,$B$81&lt;=100,SUM($B$82)&gt;=0,SUM($B$82)&lt;=1,SUM($B$83)&gt;=0)),E880*SUM($B$82)+SUM($B$83),0)</x:f>
        <x:v>0</x:v>
      </x:c>
      <x:c r="H880" s="440" t="n">
        <x:f>IF(ISNUMBER(D880),IF(MAX(0,B880*(1+C880/12)-D880-F880)&lt;MAX(0.0000001,$E$17*0.00000000001),0,MAX(0,B880*(1+C880/12)-D880-F880)),IF(AND($B$171=1,I879=1),B880,""))</x:f>
        <x:v>0</x:v>
      </x:c>
      <x:c r="I880" s="444" t="n">
        <x:f>IF(OR(I879=1,AND(E880&gt;0,$B$78&lt;&gt;"Cash payoff",NOT(AND($B$78="Refinance",ISNUMBER($B$80),$B$80&gt;=0,$B$80&lt;=1,ROUND($B$81*12,0)&gt;=1,$B$81&lt;=100,SUM($B$82)&gt;=0,SUM($B$82)&lt;=1,SUM($B$83)&gt;=0))),AND(ISNUMBER(B880),B880&gt;0,$B$171=1,NOT(ISNUMBER(D880)))),1,0)</x:f>
        <x:v>0</x:v>
      </x:c>
      <x:c r="J880" s="440" t="n">
        <x:f>IF(ISNUMBER(L879),L879,"")</x:f>
        <x:v>0</x:v>
      </x:c>
      <x:c r="K880" s="440" t="n">
        <x:f>IF(AND(ISNUMBER(J880),J880=0),0,IF(AND($B$176=1,ISNUMBER(J880)),MIN(J880*(1+$B$87/12),IF($B$86=0,0,IF($B$87=0,$B$86/ROUND($B$88*12,0),$B$86*($B$87/12)/(1-(1+$B$87/12)^(-ROUND($B$88*12,0)))))),""))</x:f>
        <x:v>0</x:v>
      </x:c>
      <x:c r="L880" s="440" t="n">
        <x:f>IF(ISNUMBER(K880),IF(MAX(0,J880*(1+SUM($B$87)/12)-K880)&lt;MAX(0.0000001,$B$86*0.00000000001),0,MAX(0,J880*(1+SUM($B$87)/12)-K880)),"")</x:f>
        <x:v>0</x:v>
      </x:c>
      <x:c r="M880" s="440" t="n">
        <x:f>IF(AND(ISNUMBER(D880),ISNUMBER(K880)),D880+K880,"")</x:f>
        <x:v>0</x:v>
      </x:c>
      <x:c r="N880" s="440" t="n">
        <x:f>IF(AND(ISNUMBER(H880),ISNUMBER(L880)),H880+L880,"")</x:f>
        <x:v>0</x:v>
      </x:c>
    </x:row>
    <x:row r="881" ht="22" customHeight="1">
      <x:c r="A881" s="254" t="n">
        <x:f>481</x:f>
        <x:v>481</x:v>
      </x:c>
      <x:c r="B881" s="440" t="n">
        <x:f>IF(ISNUMBER(H880),H880,"")</x:f>
        <x:v>0</x:v>
      </x:c>
      <x:c r="C881" s="442" t="n">
        <x:f>IF(ISNUMBER(B881),IF(AND(481&gt;$B$173,$B$78="Refinance",ISNUMBER($B$80),$B$80&gt;=0,$B$80&lt;=1,ROUND($B$81*12,0)&gt;=1,$B$81&lt;=100,SUM($B$82)&gt;=0,SUM($B$82)&lt;=1,SUM($B$83)&gt;=0),$B$80,IF(AND($B$175&gt;0,481&gt;$B$175,ISNUMBER($B$75)),$B$75,$B$61)),"")</x:f>
        <x:v>0.0625</x:v>
      </x:c>
      <x:c r="D881" s="440" t="n">
        <x:f>IF(AND(ISNUMBER(B881),B881=0),0,IF(AND($B$171=1,I880=0,ISNUMBER(C881),ISNUMBER(IF(AND(481&lt;=$B$174,481&lt;=$B$173),B881*C881/12,IF(AND(481=$B$173+1,AND(481&gt;$B$173,$B$78="Refinance",ISNUMBER($B$80),$B$80&gt;=0,$B$80&lt;=1,ROUND($B$81*12,0)&gt;=1,$B$81&lt;=100,SUM($B$82)&gt;=0,SUM($B$82)&lt;=1,SUM($B$83)&gt;=0)),IF(B881=0,0,IF(C881=0,B881/ROUND($B$81*12,0),B881*(C881/12)/(1-(1+C881/12)^(-ROUND($B$81*12,0))))),IF(AND(NOT(AND(481&gt;$B$173,$B$78="Refinance",ISNUMBER($B$80),$B$80&gt;=0,$B$80&lt;=1,ROUND($B$81*12,0)&gt;=1,$B$81&lt;=100,SUM($B$82)&gt;=0,SUM($B$82)&lt;=1,SUM($B$83)&gt;=0)),OR(481=1,481=$B$174+1,AND($B$175&gt;0,481=$B$175+1))),IF(AND($B$170=1,$B$66&gt;0,OR($B$175=0,481&lt;=$B$175)),$B$66,IF($B$172-MAX(481-1,$B$174)&gt;0,IF(B881=0,0,IF(C881=0,B881/($B$172-MAX(481-1,$B$174)),B881*(C881/12)/(1-(1+C881/12)^(-($B$172-MAX(481-1,$B$174)))))),"")),D880))))),IF(IF(AND(481&lt;=$B$174,481&lt;=$B$173),B881*C881/12,IF(AND(481=$B$173+1,AND(481&gt;$B$173,$B$78="Refinance",ISNUMBER($B$80),$B$80&gt;=0,$B$80&lt;=1,ROUND($B$81*12,0)&gt;=1,$B$81&lt;=100,SUM($B$82)&gt;=0,SUM($B$82)&lt;=1,SUM($B$83)&gt;=0)),IF(B881=0,0,IF(C881=0,B881/ROUND($B$81*12,0),B881*(C881/12)/(1-(1+C881/12)^(-ROUND($B$81*12,0))))),IF(AND(NOT(AND(481&gt;$B$173,$B$78="Refinance",ISNUMBER($B$80),$B$80&gt;=0,$B$80&lt;=1,ROUND($B$81*12,0)&gt;=1,$B$81&lt;=100,SUM($B$82)&gt;=0,SUM($B$82)&lt;=1,SUM($B$83)&gt;=0)),OR(481=1,481=$B$174+1,AND($B$175&gt;0,481=$B$175+1))),IF(AND($B$170=1,$B$66&gt;0,OR($B$175=0,481&lt;=$B$175)),$B$66,IF($B$172-MAX(481-1,$B$174)&gt;0,IF(B881=0,0,IF(C881=0,B881/($B$172-MAX(481-1,$B$174)),B881*(C881/12)/(1-(1+C881/12)^(-($B$172-MAX(481-1,$B$174)))))),"")),D880)))+0.0000001&gt;=B881*C881/12,MIN(B881*(1+C881/12),IF(AND(481&lt;=$B$174,481&lt;=$B$173),B881*C881/12,IF(AND(481=$B$173+1,AND(481&gt;$B$173,$B$78="Refinance",ISNUMBER($B$80),$B$80&gt;=0,$B$80&lt;=1,ROUND($B$81*12,0)&gt;=1,$B$81&lt;=100,SUM($B$82)&gt;=0,SUM($B$82)&lt;=1,SUM($B$83)&gt;=0)),IF(B881=0,0,IF(C881=0,B881/ROUND($B$81*12,0),B881*(C881/12)/(1-(1+C881/12)^(-ROUND($B$81*12,0))))),IF(AND(NOT(AND(481&gt;$B$173,$B$78="Refinance",ISNUMBER($B$80),$B$80&gt;=0,$B$80&lt;=1,ROUND($B$81*12,0)&gt;=1,$B$81&lt;=100,SUM($B$82)&gt;=0,SUM($B$82)&lt;=1,SUM($B$83)&gt;=0)),OR(481=1,481=$B$174+1,AND($B$175&gt;0,481=$B$175+1))),IF(AND($B$170=1,$B$66&gt;0,OR($B$175=0,481&lt;=$B$175)),$B$66,IF($B$172-MAX(481-1,$B$174)&gt;0,IF(B881=0,0,IF(C881=0,B881/($B$172-MAX(481-1,$B$174)),B881*(C881/12)/(1-(1+C881/12)^(-($B$172-MAX(481-1,$B$174)))))),"")),D880)))),""),""))</x:f>
        <x:v>0</x:v>
      </x:c>
      <x:c r="E881" s="440" t="n">
        <x:f>IF(AND(481=$B$173,ISNUMBER(D881)),IF(MAX(0,B881*(1+C881/12)-D881)&lt;MAX(0.0000001,$E$17*0.00000000001),0,MAX(0,B881*(1+C881/12)-D881)),0)</x:f>
        <x:v>0</x:v>
      </x:c>
      <x:c r="F881" s="440" t="n">
        <x:f>IF($B$78="Cash payoff",E881,0)</x:f>
        <x:v>0</x:v>
      </x:c>
      <x:c r="G881" s="440" t="n">
        <x:f>IF(AND(E881&gt;0,AND($B$78="Refinance",ISNUMBER($B$80),$B$80&gt;=0,$B$80&lt;=1,ROUND($B$81*12,0)&gt;=1,$B$81&lt;=100,SUM($B$82)&gt;=0,SUM($B$82)&lt;=1,SUM($B$83)&gt;=0)),E881*SUM($B$82)+SUM($B$83),0)</x:f>
        <x:v>0</x:v>
      </x:c>
      <x:c r="H881" s="440" t="n">
        <x:f>IF(ISNUMBER(D881),IF(MAX(0,B881*(1+C881/12)-D881-F881)&lt;MAX(0.0000001,$E$17*0.00000000001),0,MAX(0,B881*(1+C881/12)-D881-F881)),IF(AND($B$171=1,I880=1),B881,""))</x:f>
        <x:v>0</x:v>
      </x:c>
      <x:c r="I881" s="444" t="n">
        <x:f>IF(OR(I880=1,AND(E881&gt;0,$B$78&lt;&gt;"Cash payoff",NOT(AND($B$78="Refinance",ISNUMBER($B$80),$B$80&gt;=0,$B$80&lt;=1,ROUND($B$81*12,0)&gt;=1,$B$81&lt;=100,SUM($B$82)&gt;=0,SUM($B$82)&lt;=1,SUM($B$83)&gt;=0))),AND(ISNUMBER(B881),B881&gt;0,$B$171=1,NOT(ISNUMBER(D881)))),1,0)</x:f>
        <x:v>0</x:v>
      </x:c>
      <x:c r="J881" s="440" t="n">
        <x:f>IF(ISNUMBER(L880),L880,"")</x:f>
        <x:v>0</x:v>
      </x:c>
      <x:c r="K881" s="440" t="n">
        <x:f>IF(AND(ISNUMBER(J881),J881=0),0,IF(AND($B$176=1,ISNUMBER(J881)),MIN(J881*(1+$B$87/12),IF($B$86=0,0,IF($B$87=0,$B$86/ROUND($B$88*12,0),$B$86*($B$87/12)/(1-(1+$B$87/12)^(-ROUND($B$88*12,0)))))),""))</x:f>
        <x:v>0</x:v>
      </x:c>
      <x:c r="L881" s="440" t="n">
        <x:f>IF(ISNUMBER(K881),IF(MAX(0,J881*(1+SUM($B$87)/12)-K881)&lt;MAX(0.0000001,$B$86*0.00000000001),0,MAX(0,J881*(1+SUM($B$87)/12)-K881)),"")</x:f>
        <x:v>0</x:v>
      </x:c>
      <x:c r="M881" s="440" t="n">
        <x:f>IF(AND(ISNUMBER(D881),ISNUMBER(K881)),D881+K881,"")</x:f>
        <x:v>0</x:v>
      </x:c>
      <x:c r="N881" s="440" t="n">
        <x:f>IF(AND(ISNUMBER(H881),ISNUMBER(L881)),H881+L881,"")</x:f>
        <x:v>0</x:v>
      </x:c>
    </x:row>
    <x:row r="882" ht="22" customHeight="1">
      <x:c r="A882" s="254" t="n">
        <x:f>482</x:f>
        <x:v>482</x:v>
      </x:c>
      <x:c r="B882" s="440" t="n">
        <x:f>IF(ISNUMBER(H881),H881,"")</x:f>
        <x:v>0</x:v>
      </x:c>
      <x:c r="C882" s="442" t="n">
        <x:f>IF(ISNUMBER(B882),IF(AND(482&gt;$B$173,$B$78="Refinance",ISNUMBER($B$80),$B$80&gt;=0,$B$80&lt;=1,ROUND($B$81*12,0)&gt;=1,$B$81&lt;=100,SUM($B$82)&gt;=0,SUM($B$82)&lt;=1,SUM($B$83)&gt;=0),$B$80,IF(AND($B$175&gt;0,482&gt;$B$175,ISNUMBER($B$75)),$B$75,$B$61)),"")</x:f>
        <x:v>0.0625</x:v>
      </x:c>
      <x:c r="D882" s="440" t="n">
        <x:f>IF(AND(ISNUMBER(B882),B882=0),0,IF(AND($B$171=1,I881=0,ISNUMBER(C882),ISNUMBER(IF(AND(482&lt;=$B$174,482&lt;=$B$173),B882*C882/12,IF(AND(482=$B$173+1,AND(482&gt;$B$173,$B$78="Refinance",ISNUMBER($B$80),$B$80&gt;=0,$B$80&lt;=1,ROUND($B$81*12,0)&gt;=1,$B$81&lt;=100,SUM($B$82)&gt;=0,SUM($B$82)&lt;=1,SUM($B$83)&gt;=0)),IF(B882=0,0,IF(C882=0,B882/ROUND($B$81*12,0),B882*(C882/12)/(1-(1+C882/12)^(-ROUND($B$81*12,0))))),IF(AND(NOT(AND(482&gt;$B$173,$B$78="Refinance",ISNUMBER($B$80),$B$80&gt;=0,$B$80&lt;=1,ROUND($B$81*12,0)&gt;=1,$B$81&lt;=100,SUM($B$82)&gt;=0,SUM($B$82)&lt;=1,SUM($B$83)&gt;=0)),OR(482=1,482=$B$174+1,AND($B$175&gt;0,482=$B$175+1))),IF(AND($B$170=1,$B$66&gt;0,OR($B$175=0,482&lt;=$B$175)),$B$66,IF($B$172-MAX(482-1,$B$174)&gt;0,IF(B882=0,0,IF(C882=0,B882/($B$172-MAX(482-1,$B$174)),B882*(C882/12)/(1-(1+C882/12)^(-($B$172-MAX(482-1,$B$174)))))),"")),D881))))),IF(IF(AND(482&lt;=$B$174,482&lt;=$B$173),B882*C882/12,IF(AND(482=$B$173+1,AND(482&gt;$B$173,$B$78="Refinance",ISNUMBER($B$80),$B$80&gt;=0,$B$80&lt;=1,ROUND($B$81*12,0)&gt;=1,$B$81&lt;=100,SUM($B$82)&gt;=0,SUM($B$82)&lt;=1,SUM($B$83)&gt;=0)),IF(B882=0,0,IF(C882=0,B882/ROUND($B$81*12,0),B882*(C882/12)/(1-(1+C882/12)^(-ROUND($B$81*12,0))))),IF(AND(NOT(AND(482&gt;$B$173,$B$78="Refinance",ISNUMBER($B$80),$B$80&gt;=0,$B$80&lt;=1,ROUND($B$81*12,0)&gt;=1,$B$81&lt;=100,SUM($B$82)&gt;=0,SUM($B$82)&lt;=1,SUM($B$83)&gt;=0)),OR(482=1,482=$B$174+1,AND($B$175&gt;0,482=$B$175+1))),IF(AND($B$170=1,$B$66&gt;0,OR($B$175=0,482&lt;=$B$175)),$B$66,IF($B$172-MAX(482-1,$B$174)&gt;0,IF(B882=0,0,IF(C882=0,B882/($B$172-MAX(482-1,$B$174)),B882*(C882/12)/(1-(1+C882/12)^(-($B$172-MAX(482-1,$B$174)))))),"")),D881)))+0.0000001&gt;=B882*C882/12,MIN(B882*(1+C882/12),IF(AND(482&lt;=$B$174,482&lt;=$B$173),B882*C882/12,IF(AND(482=$B$173+1,AND(482&gt;$B$173,$B$78="Refinance",ISNUMBER($B$80),$B$80&gt;=0,$B$80&lt;=1,ROUND($B$81*12,0)&gt;=1,$B$81&lt;=100,SUM($B$82)&gt;=0,SUM($B$82)&lt;=1,SUM($B$83)&gt;=0)),IF(B882=0,0,IF(C882=0,B882/ROUND($B$81*12,0),B882*(C882/12)/(1-(1+C882/12)^(-ROUND($B$81*12,0))))),IF(AND(NOT(AND(482&gt;$B$173,$B$78="Refinance",ISNUMBER($B$80),$B$80&gt;=0,$B$80&lt;=1,ROUND($B$81*12,0)&gt;=1,$B$81&lt;=100,SUM($B$82)&gt;=0,SUM($B$82)&lt;=1,SUM($B$83)&gt;=0)),OR(482=1,482=$B$174+1,AND($B$175&gt;0,482=$B$175+1))),IF(AND($B$170=1,$B$66&gt;0,OR($B$175=0,482&lt;=$B$175)),$B$66,IF($B$172-MAX(482-1,$B$174)&gt;0,IF(B882=0,0,IF(C882=0,B882/($B$172-MAX(482-1,$B$174)),B882*(C882/12)/(1-(1+C882/12)^(-($B$172-MAX(482-1,$B$174)))))),"")),D881)))),""),""))</x:f>
        <x:v>0</x:v>
      </x:c>
      <x:c r="E882" s="440" t="n">
        <x:f>IF(AND(482=$B$173,ISNUMBER(D882)),IF(MAX(0,B882*(1+C882/12)-D882)&lt;MAX(0.0000001,$E$17*0.00000000001),0,MAX(0,B882*(1+C882/12)-D882)),0)</x:f>
        <x:v>0</x:v>
      </x:c>
      <x:c r="F882" s="440" t="n">
        <x:f>IF($B$78="Cash payoff",E882,0)</x:f>
        <x:v>0</x:v>
      </x:c>
      <x:c r="G882" s="440" t="n">
        <x:f>IF(AND(E882&gt;0,AND($B$78="Refinance",ISNUMBER($B$80),$B$80&gt;=0,$B$80&lt;=1,ROUND($B$81*12,0)&gt;=1,$B$81&lt;=100,SUM($B$82)&gt;=0,SUM($B$82)&lt;=1,SUM($B$83)&gt;=0)),E882*SUM($B$82)+SUM($B$83),0)</x:f>
        <x:v>0</x:v>
      </x:c>
      <x:c r="H882" s="440" t="n">
        <x:f>IF(ISNUMBER(D882),IF(MAX(0,B882*(1+C882/12)-D882-F882)&lt;MAX(0.0000001,$E$17*0.00000000001),0,MAX(0,B882*(1+C882/12)-D882-F882)),IF(AND($B$171=1,I881=1),B882,""))</x:f>
        <x:v>0</x:v>
      </x:c>
      <x:c r="I882" s="444" t="n">
        <x:f>IF(OR(I881=1,AND(E882&gt;0,$B$78&lt;&gt;"Cash payoff",NOT(AND($B$78="Refinance",ISNUMBER($B$80),$B$80&gt;=0,$B$80&lt;=1,ROUND($B$81*12,0)&gt;=1,$B$81&lt;=100,SUM($B$82)&gt;=0,SUM($B$82)&lt;=1,SUM($B$83)&gt;=0))),AND(ISNUMBER(B882),B882&gt;0,$B$171=1,NOT(ISNUMBER(D882)))),1,0)</x:f>
        <x:v>0</x:v>
      </x:c>
      <x:c r="J882" s="440" t="n">
        <x:f>IF(ISNUMBER(L881),L881,"")</x:f>
        <x:v>0</x:v>
      </x:c>
      <x:c r="K882" s="440" t="n">
        <x:f>IF(AND(ISNUMBER(J882),J882=0),0,IF(AND($B$176=1,ISNUMBER(J882)),MIN(J882*(1+$B$87/12),IF($B$86=0,0,IF($B$87=0,$B$86/ROUND($B$88*12,0),$B$86*($B$87/12)/(1-(1+$B$87/12)^(-ROUND($B$88*12,0)))))),""))</x:f>
        <x:v>0</x:v>
      </x:c>
      <x:c r="L882" s="440" t="n">
        <x:f>IF(ISNUMBER(K882),IF(MAX(0,J882*(1+SUM($B$87)/12)-K882)&lt;MAX(0.0000001,$B$86*0.00000000001),0,MAX(0,J882*(1+SUM($B$87)/12)-K882)),"")</x:f>
        <x:v>0</x:v>
      </x:c>
      <x:c r="M882" s="440" t="n">
        <x:f>IF(AND(ISNUMBER(D882),ISNUMBER(K882)),D882+K882,"")</x:f>
        <x:v>0</x:v>
      </x:c>
      <x:c r="N882" s="440" t="n">
        <x:f>IF(AND(ISNUMBER(H882),ISNUMBER(L882)),H882+L882,"")</x:f>
        <x:v>0</x:v>
      </x:c>
    </x:row>
    <x:row r="883" ht="22" customHeight="1">
      <x:c r="A883" s="254" t="n">
        <x:f>483</x:f>
        <x:v>483</x:v>
      </x:c>
      <x:c r="B883" s="440" t="n">
        <x:f>IF(ISNUMBER(H882),H882,"")</x:f>
        <x:v>0</x:v>
      </x:c>
      <x:c r="C883" s="442" t="n">
        <x:f>IF(ISNUMBER(B883),IF(AND(483&gt;$B$173,$B$78="Refinance",ISNUMBER($B$80),$B$80&gt;=0,$B$80&lt;=1,ROUND($B$81*12,0)&gt;=1,$B$81&lt;=100,SUM($B$82)&gt;=0,SUM($B$82)&lt;=1,SUM($B$83)&gt;=0),$B$80,IF(AND($B$175&gt;0,483&gt;$B$175,ISNUMBER($B$75)),$B$75,$B$61)),"")</x:f>
        <x:v>0.0625</x:v>
      </x:c>
      <x:c r="D883" s="440" t="n">
        <x:f>IF(AND(ISNUMBER(B883),B883=0),0,IF(AND($B$171=1,I882=0,ISNUMBER(C883),ISNUMBER(IF(AND(483&lt;=$B$174,483&lt;=$B$173),B883*C883/12,IF(AND(483=$B$173+1,AND(483&gt;$B$173,$B$78="Refinance",ISNUMBER($B$80),$B$80&gt;=0,$B$80&lt;=1,ROUND($B$81*12,0)&gt;=1,$B$81&lt;=100,SUM($B$82)&gt;=0,SUM($B$82)&lt;=1,SUM($B$83)&gt;=0)),IF(B883=0,0,IF(C883=0,B883/ROUND($B$81*12,0),B883*(C883/12)/(1-(1+C883/12)^(-ROUND($B$81*12,0))))),IF(AND(NOT(AND(483&gt;$B$173,$B$78="Refinance",ISNUMBER($B$80),$B$80&gt;=0,$B$80&lt;=1,ROUND($B$81*12,0)&gt;=1,$B$81&lt;=100,SUM($B$82)&gt;=0,SUM($B$82)&lt;=1,SUM($B$83)&gt;=0)),OR(483=1,483=$B$174+1,AND($B$175&gt;0,483=$B$175+1))),IF(AND($B$170=1,$B$66&gt;0,OR($B$175=0,483&lt;=$B$175)),$B$66,IF($B$172-MAX(483-1,$B$174)&gt;0,IF(B883=0,0,IF(C883=0,B883/($B$172-MAX(483-1,$B$174)),B883*(C883/12)/(1-(1+C883/12)^(-($B$172-MAX(483-1,$B$174)))))),"")),D882))))),IF(IF(AND(483&lt;=$B$174,483&lt;=$B$173),B883*C883/12,IF(AND(483=$B$173+1,AND(483&gt;$B$173,$B$78="Refinance",ISNUMBER($B$80),$B$80&gt;=0,$B$80&lt;=1,ROUND($B$81*12,0)&gt;=1,$B$81&lt;=100,SUM($B$82)&gt;=0,SUM($B$82)&lt;=1,SUM($B$83)&gt;=0)),IF(B883=0,0,IF(C883=0,B883/ROUND($B$81*12,0),B883*(C883/12)/(1-(1+C883/12)^(-ROUND($B$81*12,0))))),IF(AND(NOT(AND(483&gt;$B$173,$B$78="Refinance",ISNUMBER($B$80),$B$80&gt;=0,$B$80&lt;=1,ROUND($B$81*12,0)&gt;=1,$B$81&lt;=100,SUM($B$82)&gt;=0,SUM($B$82)&lt;=1,SUM($B$83)&gt;=0)),OR(483=1,483=$B$174+1,AND($B$175&gt;0,483=$B$175+1))),IF(AND($B$170=1,$B$66&gt;0,OR($B$175=0,483&lt;=$B$175)),$B$66,IF($B$172-MAX(483-1,$B$174)&gt;0,IF(B883=0,0,IF(C883=0,B883/($B$172-MAX(483-1,$B$174)),B883*(C883/12)/(1-(1+C883/12)^(-($B$172-MAX(483-1,$B$174)))))),"")),D882)))+0.0000001&gt;=B883*C883/12,MIN(B883*(1+C883/12),IF(AND(483&lt;=$B$174,483&lt;=$B$173),B883*C883/12,IF(AND(483=$B$173+1,AND(483&gt;$B$173,$B$78="Refinance",ISNUMBER($B$80),$B$80&gt;=0,$B$80&lt;=1,ROUND($B$81*12,0)&gt;=1,$B$81&lt;=100,SUM($B$82)&gt;=0,SUM($B$82)&lt;=1,SUM($B$83)&gt;=0)),IF(B883=0,0,IF(C883=0,B883/ROUND($B$81*12,0),B883*(C883/12)/(1-(1+C883/12)^(-ROUND($B$81*12,0))))),IF(AND(NOT(AND(483&gt;$B$173,$B$78="Refinance",ISNUMBER($B$80),$B$80&gt;=0,$B$80&lt;=1,ROUND($B$81*12,0)&gt;=1,$B$81&lt;=100,SUM($B$82)&gt;=0,SUM($B$82)&lt;=1,SUM($B$83)&gt;=0)),OR(483=1,483=$B$174+1,AND($B$175&gt;0,483=$B$175+1))),IF(AND($B$170=1,$B$66&gt;0,OR($B$175=0,483&lt;=$B$175)),$B$66,IF($B$172-MAX(483-1,$B$174)&gt;0,IF(B883=0,0,IF(C883=0,B883/($B$172-MAX(483-1,$B$174)),B883*(C883/12)/(1-(1+C883/12)^(-($B$172-MAX(483-1,$B$174)))))),"")),D882)))),""),""))</x:f>
        <x:v>0</x:v>
      </x:c>
      <x:c r="E883" s="440" t="n">
        <x:f>IF(AND(483=$B$173,ISNUMBER(D883)),IF(MAX(0,B883*(1+C883/12)-D883)&lt;MAX(0.0000001,$E$17*0.00000000001),0,MAX(0,B883*(1+C883/12)-D883)),0)</x:f>
        <x:v>0</x:v>
      </x:c>
      <x:c r="F883" s="440" t="n">
        <x:f>IF($B$78="Cash payoff",E883,0)</x:f>
        <x:v>0</x:v>
      </x:c>
      <x:c r="G883" s="440" t="n">
        <x:f>IF(AND(E883&gt;0,AND($B$78="Refinance",ISNUMBER($B$80),$B$80&gt;=0,$B$80&lt;=1,ROUND($B$81*12,0)&gt;=1,$B$81&lt;=100,SUM($B$82)&gt;=0,SUM($B$82)&lt;=1,SUM($B$83)&gt;=0)),E883*SUM($B$82)+SUM($B$83),0)</x:f>
        <x:v>0</x:v>
      </x:c>
      <x:c r="H883" s="440" t="n">
        <x:f>IF(ISNUMBER(D883),IF(MAX(0,B883*(1+C883/12)-D883-F883)&lt;MAX(0.0000001,$E$17*0.00000000001),0,MAX(0,B883*(1+C883/12)-D883-F883)),IF(AND($B$171=1,I882=1),B883,""))</x:f>
        <x:v>0</x:v>
      </x:c>
      <x:c r="I883" s="444" t="n">
        <x:f>IF(OR(I882=1,AND(E883&gt;0,$B$78&lt;&gt;"Cash payoff",NOT(AND($B$78="Refinance",ISNUMBER($B$80),$B$80&gt;=0,$B$80&lt;=1,ROUND($B$81*12,0)&gt;=1,$B$81&lt;=100,SUM($B$82)&gt;=0,SUM($B$82)&lt;=1,SUM($B$83)&gt;=0))),AND(ISNUMBER(B883),B883&gt;0,$B$171=1,NOT(ISNUMBER(D883)))),1,0)</x:f>
        <x:v>0</x:v>
      </x:c>
      <x:c r="J883" s="440" t="n">
        <x:f>IF(ISNUMBER(L882),L882,"")</x:f>
        <x:v>0</x:v>
      </x:c>
      <x:c r="K883" s="440" t="n">
        <x:f>IF(AND(ISNUMBER(J883),J883=0),0,IF(AND($B$176=1,ISNUMBER(J883)),MIN(J883*(1+$B$87/12),IF($B$86=0,0,IF($B$87=0,$B$86/ROUND($B$88*12,0),$B$86*($B$87/12)/(1-(1+$B$87/12)^(-ROUND($B$88*12,0)))))),""))</x:f>
        <x:v>0</x:v>
      </x:c>
      <x:c r="L883" s="440" t="n">
        <x:f>IF(ISNUMBER(K883),IF(MAX(0,J883*(1+SUM($B$87)/12)-K883)&lt;MAX(0.0000001,$B$86*0.00000000001),0,MAX(0,J883*(1+SUM($B$87)/12)-K883)),"")</x:f>
        <x:v>0</x:v>
      </x:c>
      <x:c r="M883" s="440" t="n">
        <x:f>IF(AND(ISNUMBER(D883),ISNUMBER(K883)),D883+K883,"")</x:f>
        <x:v>0</x:v>
      </x:c>
      <x:c r="N883" s="440" t="n">
        <x:f>IF(AND(ISNUMBER(H883),ISNUMBER(L883)),H883+L883,"")</x:f>
        <x:v>0</x:v>
      </x:c>
    </x:row>
    <x:row r="884" ht="22" customHeight="1">
      <x:c r="A884" s="254" t="n">
        <x:f>484</x:f>
        <x:v>484</x:v>
      </x:c>
      <x:c r="B884" s="440" t="n">
        <x:f>IF(ISNUMBER(H883),H883,"")</x:f>
        <x:v>0</x:v>
      </x:c>
      <x:c r="C884" s="442" t="n">
        <x:f>IF(ISNUMBER(B884),IF(AND(484&gt;$B$173,$B$78="Refinance",ISNUMBER($B$80),$B$80&gt;=0,$B$80&lt;=1,ROUND($B$81*12,0)&gt;=1,$B$81&lt;=100,SUM($B$82)&gt;=0,SUM($B$82)&lt;=1,SUM($B$83)&gt;=0),$B$80,IF(AND($B$175&gt;0,484&gt;$B$175,ISNUMBER($B$75)),$B$75,$B$61)),"")</x:f>
        <x:v>0.0625</x:v>
      </x:c>
      <x:c r="D884" s="440" t="n">
        <x:f>IF(AND(ISNUMBER(B884),B884=0),0,IF(AND($B$171=1,I883=0,ISNUMBER(C884),ISNUMBER(IF(AND(484&lt;=$B$174,484&lt;=$B$173),B884*C884/12,IF(AND(484=$B$173+1,AND(484&gt;$B$173,$B$78="Refinance",ISNUMBER($B$80),$B$80&gt;=0,$B$80&lt;=1,ROUND($B$81*12,0)&gt;=1,$B$81&lt;=100,SUM($B$82)&gt;=0,SUM($B$82)&lt;=1,SUM($B$83)&gt;=0)),IF(B884=0,0,IF(C884=0,B884/ROUND($B$81*12,0),B884*(C884/12)/(1-(1+C884/12)^(-ROUND($B$81*12,0))))),IF(AND(NOT(AND(484&gt;$B$173,$B$78="Refinance",ISNUMBER($B$80),$B$80&gt;=0,$B$80&lt;=1,ROUND($B$81*12,0)&gt;=1,$B$81&lt;=100,SUM($B$82)&gt;=0,SUM($B$82)&lt;=1,SUM($B$83)&gt;=0)),OR(484=1,484=$B$174+1,AND($B$175&gt;0,484=$B$175+1))),IF(AND($B$170=1,$B$66&gt;0,OR($B$175=0,484&lt;=$B$175)),$B$66,IF($B$172-MAX(484-1,$B$174)&gt;0,IF(B884=0,0,IF(C884=0,B884/($B$172-MAX(484-1,$B$174)),B884*(C884/12)/(1-(1+C884/12)^(-($B$172-MAX(484-1,$B$174)))))),"")),D883))))),IF(IF(AND(484&lt;=$B$174,484&lt;=$B$173),B884*C884/12,IF(AND(484=$B$173+1,AND(484&gt;$B$173,$B$78="Refinance",ISNUMBER($B$80),$B$80&gt;=0,$B$80&lt;=1,ROUND($B$81*12,0)&gt;=1,$B$81&lt;=100,SUM($B$82)&gt;=0,SUM($B$82)&lt;=1,SUM($B$83)&gt;=0)),IF(B884=0,0,IF(C884=0,B884/ROUND($B$81*12,0),B884*(C884/12)/(1-(1+C884/12)^(-ROUND($B$81*12,0))))),IF(AND(NOT(AND(484&gt;$B$173,$B$78="Refinance",ISNUMBER($B$80),$B$80&gt;=0,$B$80&lt;=1,ROUND($B$81*12,0)&gt;=1,$B$81&lt;=100,SUM($B$82)&gt;=0,SUM($B$82)&lt;=1,SUM($B$83)&gt;=0)),OR(484=1,484=$B$174+1,AND($B$175&gt;0,484=$B$175+1))),IF(AND($B$170=1,$B$66&gt;0,OR($B$175=0,484&lt;=$B$175)),$B$66,IF($B$172-MAX(484-1,$B$174)&gt;0,IF(B884=0,0,IF(C884=0,B884/($B$172-MAX(484-1,$B$174)),B884*(C884/12)/(1-(1+C884/12)^(-($B$172-MAX(484-1,$B$174)))))),"")),D883)))+0.0000001&gt;=B884*C884/12,MIN(B884*(1+C884/12),IF(AND(484&lt;=$B$174,484&lt;=$B$173),B884*C884/12,IF(AND(484=$B$173+1,AND(484&gt;$B$173,$B$78="Refinance",ISNUMBER($B$80),$B$80&gt;=0,$B$80&lt;=1,ROUND($B$81*12,0)&gt;=1,$B$81&lt;=100,SUM($B$82)&gt;=0,SUM($B$82)&lt;=1,SUM($B$83)&gt;=0)),IF(B884=0,0,IF(C884=0,B884/ROUND($B$81*12,0),B884*(C884/12)/(1-(1+C884/12)^(-ROUND($B$81*12,0))))),IF(AND(NOT(AND(484&gt;$B$173,$B$78="Refinance",ISNUMBER($B$80),$B$80&gt;=0,$B$80&lt;=1,ROUND($B$81*12,0)&gt;=1,$B$81&lt;=100,SUM($B$82)&gt;=0,SUM($B$82)&lt;=1,SUM($B$83)&gt;=0)),OR(484=1,484=$B$174+1,AND($B$175&gt;0,484=$B$175+1))),IF(AND($B$170=1,$B$66&gt;0,OR($B$175=0,484&lt;=$B$175)),$B$66,IF($B$172-MAX(484-1,$B$174)&gt;0,IF(B884=0,0,IF(C884=0,B884/($B$172-MAX(484-1,$B$174)),B884*(C884/12)/(1-(1+C884/12)^(-($B$172-MAX(484-1,$B$174)))))),"")),D883)))),""),""))</x:f>
        <x:v>0</x:v>
      </x:c>
      <x:c r="E884" s="440" t="n">
        <x:f>IF(AND(484=$B$173,ISNUMBER(D884)),IF(MAX(0,B884*(1+C884/12)-D884)&lt;MAX(0.0000001,$E$17*0.00000000001),0,MAX(0,B884*(1+C884/12)-D884)),0)</x:f>
        <x:v>0</x:v>
      </x:c>
      <x:c r="F884" s="440" t="n">
        <x:f>IF($B$78="Cash payoff",E884,0)</x:f>
        <x:v>0</x:v>
      </x:c>
      <x:c r="G884" s="440" t="n">
        <x:f>IF(AND(E884&gt;0,AND($B$78="Refinance",ISNUMBER($B$80),$B$80&gt;=0,$B$80&lt;=1,ROUND($B$81*12,0)&gt;=1,$B$81&lt;=100,SUM($B$82)&gt;=0,SUM($B$82)&lt;=1,SUM($B$83)&gt;=0)),E884*SUM($B$82)+SUM($B$83),0)</x:f>
        <x:v>0</x:v>
      </x:c>
      <x:c r="H884" s="440" t="n">
        <x:f>IF(ISNUMBER(D884),IF(MAX(0,B884*(1+C884/12)-D884-F884)&lt;MAX(0.0000001,$E$17*0.00000000001),0,MAX(0,B884*(1+C884/12)-D884-F884)),IF(AND($B$171=1,I883=1),B884,""))</x:f>
        <x:v>0</x:v>
      </x:c>
      <x:c r="I884" s="444" t="n">
        <x:f>IF(OR(I883=1,AND(E884&gt;0,$B$78&lt;&gt;"Cash payoff",NOT(AND($B$78="Refinance",ISNUMBER($B$80),$B$80&gt;=0,$B$80&lt;=1,ROUND($B$81*12,0)&gt;=1,$B$81&lt;=100,SUM($B$82)&gt;=0,SUM($B$82)&lt;=1,SUM($B$83)&gt;=0))),AND(ISNUMBER(B884),B884&gt;0,$B$171=1,NOT(ISNUMBER(D884)))),1,0)</x:f>
        <x:v>0</x:v>
      </x:c>
      <x:c r="J884" s="440" t="n">
        <x:f>IF(ISNUMBER(L883),L883,"")</x:f>
        <x:v>0</x:v>
      </x:c>
      <x:c r="K884" s="440" t="n">
        <x:f>IF(AND(ISNUMBER(J884),J884=0),0,IF(AND($B$176=1,ISNUMBER(J884)),MIN(J884*(1+$B$87/12),IF($B$86=0,0,IF($B$87=0,$B$86/ROUND($B$88*12,0),$B$86*($B$87/12)/(1-(1+$B$87/12)^(-ROUND($B$88*12,0)))))),""))</x:f>
        <x:v>0</x:v>
      </x:c>
      <x:c r="L884" s="440" t="n">
        <x:f>IF(ISNUMBER(K884),IF(MAX(0,J884*(1+SUM($B$87)/12)-K884)&lt;MAX(0.0000001,$B$86*0.00000000001),0,MAX(0,J884*(1+SUM($B$87)/12)-K884)),"")</x:f>
        <x:v>0</x:v>
      </x:c>
      <x:c r="M884" s="440" t="n">
        <x:f>IF(AND(ISNUMBER(D884),ISNUMBER(K884)),D884+K884,"")</x:f>
        <x:v>0</x:v>
      </x:c>
      <x:c r="N884" s="440" t="n">
        <x:f>IF(AND(ISNUMBER(H884),ISNUMBER(L884)),H884+L884,"")</x:f>
        <x:v>0</x:v>
      </x:c>
    </x:row>
    <x:row r="885" ht="22" customHeight="1">
      <x:c r="A885" s="254" t="n">
        <x:f>485</x:f>
        <x:v>485</x:v>
      </x:c>
      <x:c r="B885" s="440" t="n">
        <x:f>IF(ISNUMBER(H884),H884,"")</x:f>
        <x:v>0</x:v>
      </x:c>
      <x:c r="C885" s="442" t="n">
        <x:f>IF(ISNUMBER(B885),IF(AND(485&gt;$B$173,$B$78="Refinance",ISNUMBER($B$80),$B$80&gt;=0,$B$80&lt;=1,ROUND($B$81*12,0)&gt;=1,$B$81&lt;=100,SUM($B$82)&gt;=0,SUM($B$82)&lt;=1,SUM($B$83)&gt;=0),$B$80,IF(AND($B$175&gt;0,485&gt;$B$175,ISNUMBER($B$75)),$B$75,$B$61)),"")</x:f>
        <x:v>0.0625</x:v>
      </x:c>
      <x:c r="D885" s="440" t="n">
        <x:f>IF(AND(ISNUMBER(B885),B885=0),0,IF(AND($B$171=1,I884=0,ISNUMBER(C885),ISNUMBER(IF(AND(485&lt;=$B$174,485&lt;=$B$173),B885*C885/12,IF(AND(485=$B$173+1,AND(485&gt;$B$173,$B$78="Refinance",ISNUMBER($B$80),$B$80&gt;=0,$B$80&lt;=1,ROUND($B$81*12,0)&gt;=1,$B$81&lt;=100,SUM($B$82)&gt;=0,SUM($B$82)&lt;=1,SUM($B$83)&gt;=0)),IF(B885=0,0,IF(C885=0,B885/ROUND($B$81*12,0),B885*(C885/12)/(1-(1+C885/12)^(-ROUND($B$81*12,0))))),IF(AND(NOT(AND(485&gt;$B$173,$B$78="Refinance",ISNUMBER($B$80),$B$80&gt;=0,$B$80&lt;=1,ROUND($B$81*12,0)&gt;=1,$B$81&lt;=100,SUM($B$82)&gt;=0,SUM($B$82)&lt;=1,SUM($B$83)&gt;=0)),OR(485=1,485=$B$174+1,AND($B$175&gt;0,485=$B$175+1))),IF(AND($B$170=1,$B$66&gt;0,OR($B$175=0,485&lt;=$B$175)),$B$66,IF($B$172-MAX(485-1,$B$174)&gt;0,IF(B885=0,0,IF(C885=0,B885/($B$172-MAX(485-1,$B$174)),B885*(C885/12)/(1-(1+C885/12)^(-($B$172-MAX(485-1,$B$174)))))),"")),D884))))),IF(IF(AND(485&lt;=$B$174,485&lt;=$B$173),B885*C885/12,IF(AND(485=$B$173+1,AND(485&gt;$B$173,$B$78="Refinance",ISNUMBER($B$80),$B$80&gt;=0,$B$80&lt;=1,ROUND($B$81*12,0)&gt;=1,$B$81&lt;=100,SUM($B$82)&gt;=0,SUM($B$82)&lt;=1,SUM($B$83)&gt;=0)),IF(B885=0,0,IF(C885=0,B885/ROUND($B$81*12,0),B885*(C885/12)/(1-(1+C885/12)^(-ROUND($B$81*12,0))))),IF(AND(NOT(AND(485&gt;$B$173,$B$78="Refinance",ISNUMBER($B$80),$B$80&gt;=0,$B$80&lt;=1,ROUND($B$81*12,0)&gt;=1,$B$81&lt;=100,SUM($B$82)&gt;=0,SUM($B$82)&lt;=1,SUM($B$83)&gt;=0)),OR(485=1,485=$B$174+1,AND($B$175&gt;0,485=$B$175+1))),IF(AND($B$170=1,$B$66&gt;0,OR($B$175=0,485&lt;=$B$175)),$B$66,IF($B$172-MAX(485-1,$B$174)&gt;0,IF(B885=0,0,IF(C885=0,B885/($B$172-MAX(485-1,$B$174)),B885*(C885/12)/(1-(1+C885/12)^(-($B$172-MAX(485-1,$B$174)))))),"")),D884)))+0.0000001&gt;=B885*C885/12,MIN(B885*(1+C885/12),IF(AND(485&lt;=$B$174,485&lt;=$B$173),B885*C885/12,IF(AND(485=$B$173+1,AND(485&gt;$B$173,$B$78="Refinance",ISNUMBER($B$80),$B$80&gt;=0,$B$80&lt;=1,ROUND($B$81*12,0)&gt;=1,$B$81&lt;=100,SUM($B$82)&gt;=0,SUM($B$82)&lt;=1,SUM($B$83)&gt;=0)),IF(B885=0,0,IF(C885=0,B885/ROUND($B$81*12,0),B885*(C885/12)/(1-(1+C885/12)^(-ROUND($B$81*12,0))))),IF(AND(NOT(AND(485&gt;$B$173,$B$78="Refinance",ISNUMBER($B$80),$B$80&gt;=0,$B$80&lt;=1,ROUND($B$81*12,0)&gt;=1,$B$81&lt;=100,SUM($B$82)&gt;=0,SUM($B$82)&lt;=1,SUM($B$83)&gt;=0)),OR(485=1,485=$B$174+1,AND($B$175&gt;0,485=$B$175+1))),IF(AND($B$170=1,$B$66&gt;0,OR($B$175=0,485&lt;=$B$175)),$B$66,IF($B$172-MAX(485-1,$B$174)&gt;0,IF(B885=0,0,IF(C885=0,B885/($B$172-MAX(485-1,$B$174)),B885*(C885/12)/(1-(1+C885/12)^(-($B$172-MAX(485-1,$B$174)))))),"")),D884)))),""),""))</x:f>
        <x:v>0</x:v>
      </x:c>
      <x:c r="E885" s="440" t="n">
        <x:f>IF(AND(485=$B$173,ISNUMBER(D885)),IF(MAX(0,B885*(1+C885/12)-D885)&lt;MAX(0.0000001,$E$17*0.00000000001),0,MAX(0,B885*(1+C885/12)-D885)),0)</x:f>
        <x:v>0</x:v>
      </x:c>
      <x:c r="F885" s="440" t="n">
        <x:f>IF($B$78="Cash payoff",E885,0)</x:f>
        <x:v>0</x:v>
      </x:c>
      <x:c r="G885" s="440" t="n">
        <x:f>IF(AND(E885&gt;0,AND($B$78="Refinance",ISNUMBER($B$80),$B$80&gt;=0,$B$80&lt;=1,ROUND($B$81*12,0)&gt;=1,$B$81&lt;=100,SUM($B$82)&gt;=0,SUM($B$82)&lt;=1,SUM($B$83)&gt;=0)),E885*SUM($B$82)+SUM($B$83),0)</x:f>
        <x:v>0</x:v>
      </x:c>
      <x:c r="H885" s="440" t="n">
        <x:f>IF(ISNUMBER(D885),IF(MAX(0,B885*(1+C885/12)-D885-F885)&lt;MAX(0.0000001,$E$17*0.00000000001),0,MAX(0,B885*(1+C885/12)-D885-F885)),IF(AND($B$171=1,I884=1),B885,""))</x:f>
        <x:v>0</x:v>
      </x:c>
      <x:c r="I885" s="444" t="n">
        <x:f>IF(OR(I884=1,AND(E885&gt;0,$B$78&lt;&gt;"Cash payoff",NOT(AND($B$78="Refinance",ISNUMBER($B$80),$B$80&gt;=0,$B$80&lt;=1,ROUND($B$81*12,0)&gt;=1,$B$81&lt;=100,SUM($B$82)&gt;=0,SUM($B$82)&lt;=1,SUM($B$83)&gt;=0))),AND(ISNUMBER(B885),B885&gt;0,$B$171=1,NOT(ISNUMBER(D885)))),1,0)</x:f>
        <x:v>0</x:v>
      </x:c>
      <x:c r="J885" s="440" t="n">
        <x:f>IF(ISNUMBER(L884),L884,"")</x:f>
        <x:v>0</x:v>
      </x:c>
      <x:c r="K885" s="440" t="n">
        <x:f>IF(AND(ISNUMBER(J885),J885=0),0,IF(AND($B$176=1,ISNUMBER(J885)),MIN(J885*(1+$B$87/12),IF($B$86=0,0,IF($B$87=0,$B$86/ROUND($B$88*12,0),$B$86*($B$87/12)/(1-(1+$B$87/12)^(-ROUND($B$88*12,0)))))),""))</x:f>
        <x:v>0</x:v>
      </x:c>
      <x:c r="L885" s="440" t="n">
        <x:f>IF(ISNUMBER(K885),IF(MAX(0,J885*(1+SUM($B$87)/12)-K885)&lt;MAX(0.0000001,$B$86*0.00000000001),0,MAX(0,J885*(1+SUM($B$87)/12)-K885)),"")</x:f>
        <x:v>0</x:v>
      </x:c>
      <x:c r="M885" s="440" t="n">
        <x:f>IF(AND(ISNUMBER(D885),ISNUMBER(K885)),D885+K885,"")</x:f>
        <x:v>0</x:v>
      </x:c>
      <x:c r="N885" s="440" t="n">
        <x:f>IF(AND(ISNUMBER(H885),ISNUMBER(L885)),H885+L885,"")</x:f>
        <x:v>0</x:v>
      </x:c>
    </x:row>
    <x:row r="886" ht="22" customHeight="1">
      <x:c r="A886" s="254" t="n">
        <x:f>486</x:f>
        <x:v>486</x:v>
      </x:c>
      <x:c r="B886" s="440" t="n">
        <x:f>IF(ISNUMBER(H885),H885,"")</x:f>
        <x:v>0</x:v>
      </x:c>
      <x:c r="C886" s="442" t="n">
        <x:f>IF(ISNUMBER(B886),IF(AND(486&gt;$B$173,$B$78="Refinance",ISNUMBER($B$80),$B$80&gt;=0,$B$80&lt;=1,ROUND($B$81*12,0)&gt;=1,$B$81&lt;=100,SUM($B$82)&gt;=0,SUM($B$82)&lt;=1,SUM($B$83)&gt;=0),$B$80,IF(AND($B$175&gt;0,486&gt;$B$175,ISNUMBER($B$75)),$B$75,$B$61)),"")</x:f>
        <x:v>0.0625</x:v>
      </x:c>
      <x:c r="D886" s="440" t="n">
        <x:f>IF(AND(ISNUMBER(B886),B886=0),0,IF(AND($B$171=1,I885=0,ISNUMBER(C886),ISNUMBER(IF(AND(486&lt;=$B$174,486&lt;=$B$173),B886*C886/12,IF(AND(486=$B$173+1,AND(486&gt;$B$173,$B$78="Refinance",ISNUMBER($B$80),$B$80&gt;=0,$B$80&lt;=1,ROUND($B$81*12,0)&gt;=1,$B$81&lt;=100,SUM($B$82)&gt;=0,SUM($B$82)&lt;=1,SUM($B$83)&gt;=0)),IF(B886=0,0,IF(C886=0,B886/ROUND($B$81*12,0),B886*(C886/12)/(1-(1+C886/12)^(-ROUND($B$81*12,0))))),IF(AND(NOT(AND(486&gt;$B$173,$B$78="Refinance",ISNUMBER($B$80),$B$80&gt;=0,$B$80&lt;=1,ROUND($B$81*12,0)&gt;=1,$B$81&lt;=100,SUM($B$82)&gt;=0,SUM($B$82)&lt;=1,SUM($B$83)&gt;=0)),OR(486=1,486=$B$174+1,AND($B$175&gt;0,486=$B$175+1))),IF(AND($B$170=1,$B$66&gt;0,OR($B$175=0,486&lt;=$B$175)),$B$66,IF($B$172-MAX(486-1,$B$174)&gt;0,IF(B886=0,0,IF(C886=0,B886/($B$172-MAX(486-1,$B$174)),B886*(C886/12)/(1-(1+C886/12)^(-($B$172-MAX(486-1,$B$174)))))),"")),D885))))),IF(IF(AND(486&lt;=$B$174,486&lt;=$B$173),B886*C886/12,IF(AND(486=$B$173+1,AND(486&gt;$B$173,$B$78="Refinance",ISNUMBER($B$80),$B$80&gt;=0,$B$80&lt;=1,ROUND($B$81*12,0)&gt;=1,$B$81&lt;=100,SUM($B$82)&gt;=0,SUM($B$82)&lt;=1,SUM($B$83)&gt;=0)),IF(B886=0,0,IF(C886=0,B886/ROUND($B$81*12,0),B886*(C886/12)/(1-(1+C886/12)^(-ROUND($B$81*12,0))))),IF(AND(NOT(AND(486&gt;$B$173,$B$78="Refinance",ISNUMBER($B$80),$B$80&gt;=0,$B$80&lt;=1,ROUND($B$81*12,0)&gt;=1,$B$81&lt;=100,SUM($B$82)&gt;=0,SUM($B$82)&lt;=1,SUM($B$83)&gt;=0)),OR(486=1,486=$B$174+1,AND($B$175&gt;0,486=$B$175+1))),IF(AND($B$170=1,$B$66&gt;0,OR($B$175=0,486&lt;=$B$175)),$B$66,IF($B$172-MAX(486-1,$B$174)&gt;0,IF(B886=0,0,IF(C886=0,B886/($B$172-MAX(486-1,$B$174)),B886*(C886/12)/(1-(1+C886/12)^(-($B$172-MAX(486-1,$B$174)))))),"")),D885)))+0.0000001&gt;=B886*C886/12,MIN(B886*(1+C886/12),IF(AND(486&lt;=$B$174,486&lt;=$B$173),B886*C886/12,IF(AND(486=$B$173+1,AND(486&gt;$B$173,$B$78="Refinance",ISNUMBER($B$80),$B$80&gt;=0,$B$80&lt;=1,ROUND($B$81*12,0)&gt;=1,$B$81&lt;=100,SUM($B$82)&gt;=0,SUM($B$82)&lt;=1,SUM($B$83)&gt;=0)),IF(B886=0,0,IF(C886=0,B886/ROUND($B$81*12,0),B886*(C886/12)/(1-(1+C886/12)^(-ROUND($B$81*12,0))))),IF(AND(NOT(AND(486&gt;$B$173,$B$78="Refinance",ISNUMBER($B$80),$B$80&gt;=0,$B$80&lt;=1,ROUND($B$81*12,0)&gt;=1,$B$81&lt;=100,SUM($B$82)&gt;=0,SUM($B$82)&lt;=1,SUM($B$83)&gt;=0)),OR(486=1,486=$B$174+1,AND($B$175&gt;0,486=$B$175+1))),IF(AND($B$170=1,$B$66&gt;0,OR($B$175=0,486&lt;=$B$175)),$B$66,IF($B$172-MAX(486-1,$B$174)&gt;0,IF(B886=0,0,IF(C886=0,B886/($B$172-MAX(486-1,$B$174)),B886*(C886/12)/(1-(1+C886/12)^(-($B$172-MAX(486-1,$B$174)))))),"")),D885)))),""),""))</x:f>
        <x:v>0</x:v>
      </x:c>
      <x:c r="E886" s="440" t="n">
        <x:f>IF(AND(486=$B$173,ISNUMBER(D886)),IF(MAX(0,B886*(1+C886/12)-D886)&lt;MAX(0.0000001,$E$17*0.00000000001),0,MAX(0,B886*(1+C886/12)-D886)),0)</x:f>
        <x:v>0</x:v>
      </x:c>
      <x:c r="F886" s="440" t="n">
        <x:f>IF($B$78="Cash payoff",E886,0)</x:f>
        <x:v>0</x:v>
      </x:c>
      <x:c r="G886" s="440" t="n">
        <x:f>IF(AND(E886&gt;0,AND($B$78="Refinance",ISNUMBER($B$80),$B$80&gt;=0,$B$80&lt;=1,ROUND($B$81*12,0)&gt;=1,$B$81&lt;=100,SUM($B$82)&gt;=0,SUM($B$82)&lt;=1,SUM($B$83)&gt;=0)),E886*SUM($B$82)+SUM($B$83),0)</x:f>
        <x:v>0</x:v>
      </x:c>
      <x:c r="H886" s="440" t="n">
        <x:f>IF(ISNUMBER(D886),IF(MAX(0,B886*(1+C886/12)-D886-F886)&lt;MAX(0.0000001,$E$17*0.00000000001),0,MAX(0,B886*(1+C886/12)-D886-F886)),IF(AND($B$171=1,I885=1),B886,""))</x:f>
        <x:v>0</x:v>
      </x:c>
      <x:c r="I886" s="444" t="n">
        <x:f>IF(OR(I885=1,AND(E886&gt;0,$B$78&lt;&gt;"Cash payoff",NOT(AND($B$78="Refinance",ISNUMBER($B$80),$B$80&gt;=0,$B$80&lt;=1,ROUND($B$81*12,0)&gt;=1,$B$81&lt;=100,SUM($B$82)&gt;=0,SUM($B$82)&lt;=1,SUM($B$83)&gt;=0))),AND(ISNUMBER(B886),B886&gt;0,$B$171=1,NOT(ISNUMBER(D886)))),1,0)</x:f>
        <x:v>0</x:v>
      </x:c>
      <x:c r="J886" s="440" t="n">
        <x:f>IF(ISNUMBER(L885),L885,"")</x:f>
        <x:v>0</x:v>
      </x:c>
      <x:c r="K886" s="440" t="n">
        <x:f>IF(AND(ISNUMBER(J886),J886=0),0,IF(AND($B$176=1,ISNUMBER(J886)),MIN(J886*(1+$B$87/12),IF($B$86=0,0,IF($B$87=0,$B$86/ROUND($B$88*12,0),$B$86*($B$87/12)/(1-(1+$B$87/12)^(-ROUND($B$88*12,0)))))),""))</x:f>
        <x:v>0</x:v>
      </x:c>
      <x:c r="L886" s="440" t="n">
        <x:f>IF(ISNUMBER(K886),IF(MAX(0,J886*(1+SUM($B$87)/12)-K886)&lt;MAX(0.0000001,$B$86*0.00000000001),0,MAX(0,J886*(1+SUM($B$87)/12)-K886)),"")</x:f>
        <x:v>0</x:v>
      </x:c>
      <x:c r="M886" s="440" t="n">
        <x:f>IF(AND(ISNUMBER(D886),ISNUMBER(K886)),D886+K886,"")</x:f>
        <x:v>0</x:v>
      </x:c>
      <x:c r="N886" s="440" t="n">
        <x:f>IF(AND(ISNUMBER(H886),ISNUMBER(L886)),H886+L886,"")</x:f>
        <x:v>0</x:v>
      </x:c>
    </x:row>
    <x:row r="887" ht="22" customHeight="1">
      <x:c r="A887" s="254" t="n">
        <x:f>487</x:f>
        <x:v>487</x:v>
      </x:c>
      <x:c r="B887" s="440" t="n">
        <x:f>IF(ISNUMBER(H886),H886,"")</x:f>
        <x:v>0</x:v>
      </x:c>
      <x:c r="C887" s="442" t="n">
        <x:f>IF(ISNUMBER(B887),IF(AND(487&gt;$B$173,$B$78="Refinance",ISNUMBER($B$80),$B$80&gt;=0,$B$80&lt;=1,ROUND($B$81*12,0)&gt;=1,$B$81&lt;=100,SUM($B$82)&gt;=0,SUM($B$82)&lt;=1,SUM($B$83)&gt;=0),$B$80,IF(AND($B$175&gt;0,487&gt;$B$175,ISNUMBER($B$75)),$B$75,$B$61)),"")</x:f>
        <x:v>0.0625</x:v>
      </x:c>
      <x:c r="D887" s="440" t="n">
        <x:f>IF(AND(ISNUMBER(B887),B887=0),0,IF(AND($B$171=1,I886=0,ISNUMBER(C887),ISNUMBER(IF(AND(487&lt;=$B$174,487&lt;=$B$173),B887*C887/12,IF(AND(487=$B$173+1,AND(487&gt;$B$173,$B$78="Refinance",ISNUMBER($B$80),$B$80&gt;=0,$B$80&lt;=1,ROUND($B$81*12,0)&gt;=1,$B$81&lt;=100,SUM($B$82)&gt;=0,SUM($B$82)&lt;=1,SUM($B$83)&gt;=0)),IF(B887=0,0,IF(C887=0,B887/ROUND($B$81*12,0),B887*(C887/12)/(1-(1+C887/12)^(-ROUND($B$81*12,0))))),IF(AND(NOT(AND(487&gt;$B$173,$B$78="Refinance",ISNUMBER($B$80),$B$80&gt;=0,$B$80&lt;=1,ROUND($B$81*12,0)&gt;=1,$B$81&lt;=100,SUM($B$82)&gt;=0,SUM($B$82)&lt;=1,SUM($B$83)&gt;=0)),OR(487=1,487=$B$174+1,AND($B$175&gt;0,487=$B$175+1))),IF(AND($B$170=1,$B$66&gt;0,OR($B$175=0,487&lt;=$B$175)),$B$66,IF($B$172-MAX(487-1,$B$174)&gt;0,IF(B887=0,0,IF(C887=0,B887/($B$172-MAX(487-1,$B$174)),B887*(C887/12)/(1-(1+C887/12)^(-($B$172-MAX(487-1,$B$174)))))),"")),D886))))),IF(IF(AND(487&lt;=$B$174,487&lt;=$B$173),B887*C887/12,IF(AND(487=$B$173+1,AND(487&gt;$B$173,$B$78="Refinance",ISNUMBER($B$80),$B$80&gt;=0,$B$80&lt;=1,ROUND($B$81*12,0)&gt;=1,$B$81&lt;=100,SUM($B$82)&gt;=0,SUM($B$82)&lt;=1,SUM($B$83)&gt;=0)),IF(B887=0,0,IF(C887=0,B887/ROUND($B$81*12,0),B887*(C887/12)/(1-(1+C887/12)^(-ROUND($B$81*12,0))))),IF(AND(NOT(AND(487&gt;$B$173,$B$78="Refinance",ISNUMBER($B$80),$B$80&gt;=0,$B$80&lt;=1,ROUND($B$81*12,0)&gt;=1,$B$81&lt;=100,SUM($B$82)&gt;=0,SUM($B$82)&lt;=1,SUM($B$83)&gt;=0)),OR(487=1,487=$B$174+1,AND($B$175&gt;0,487=$B$175+1))),IF(AND($B$170=1,$B$66&gt;0,OR($B$175=0,487&lt;=$B$175)),$B$66,IF($B$172-MAX(487-1,$B$174)&gt;0,IF(B887=0,0,IF(C887=0,B887/($B$172-MAX(487-1,$B$174)),B887*(C887/12)/(1-(1+C887/12)^(-($B$172-MAX(487-1,$B$174)))))),"")),D886)))+0.0000001&gt;=B887*C887/12,MIN(B887*(1+C887/12),IF(AND(487&lt;=$B$174,487&lt;=$B$173),B887*C887/12,IF(AND(487=$B$173+1,AND(487&gt;$B$173,$B$78="Refinance",ISNUMBER($B$80),$B$80&gt;=0,$B$80&lt;=1,ROUND($B$81*12,0)&gt;=1,$B$81&lt;=100,SUM($B$82)&gt;=0,SUM($B$82)&lt;=1,SUM($B$83)&gt;=0)),IF(B887=0,0,IF(C887=0,B887/ROUND($B$81*12,0),B887*(C887/12)/(1-(1+C887/12)^(-ROUND($B$81*12,0))))),IF(AND(NOT(AND(487&gt;$B$173,$B$78="Refinance",ISNUMBER($B$80),$B$80&gt;=0,$B$80&lt;=1,ROUND($B$81*12,0)&gt;=1,$B$81&lt;=100,SUM($B$82)&gt;=0,SUM($B$82)&lt;=1,SUM($B$83)&gt;=0)),OR(487=1,487=$B$174+1,AND($B$175&gt;0,487=$B$175+1))),IF(AND($B$170=1,$B$66&gt;0,OR($B$175=0,487&lt;=$B$175)),$B$66,IF($B$172-MAX(487-1,$B$174)&gt;0,IF(B887=0,0,IF(C887=0,B887/($B$172-MAX(487-1,$B$174)),B887*(C887/12)/(1-(1+C887/12)^(-($B$172-MAX(487-1,$B$174)))))),"")),D886)))),""),""))</x:f>
        <x:v>0</x:v>
      </x:c>
      <x:c r="E887" s="440" t="n">
        <x:f>IF(AND(487=$B$173,ISNUMBER(D887)),IF(MAX(0,B887*(1+C887/12)-D887)&lt;MAX(0.0000001,$E$17*0.00000000001),0,MAX(0,B887*(1+C887/12)-D887)),0)</x:f>
        <x:v>0</x:v>
      </x:c>
      <x:c r="F887" s="440" t="n">
        <x:f>IF($B$78="Cash payoff",E887,0)</x:f>
        <x:v>0</x:v>
      </x:c>
      <x:c r="G887" s="440" t="n">
        <x:f>IF(AND(E887&gt;0,AND($B$78="Refinance",ISNUMBER($B$80),$B$80&gt;=0,$B$80&lt;=1,ROUND($B$81*12,0)&gt;=1,$B$81&lt;=100,SUM($B$82)&gt;=0,SUM($B$82)&lt;=1,SUM($B$83)&gt;=0)),E887*SUM($B$82)+SUM($B$83),0)</x:f>
        <x:v>0</x:v>
      </x:c>
      <x:c r="H887" s="440" t="n">
        <x:f>IF(ISNUMBER(D887),IF(MAX(0,B887*(1+C887/12)-D887-F887)&lt;MAX(0.0000001,$E$17*0.00000000001),0,MAX(0,B887*(1+C887/12)-D887-F887)),IF(AND($B$171=1,I886=1),B887,""))</x:f>
        <x:v>0</x:v>
      </x:c>
      <x:c r="I887" s="444" t="n">
        <x:f>IF(OR(I886=1,AND(E887&gt;0,$B$78&lt;&gt;"Cash payoff",NOT(AND($B$78="Refinance",ISNUMBER($B$80),$B$80&gt;=0,$B$80&lt;=1,ROUND($B$81*12,0)&gt;=1,$B$81&lt;=100,SUM($B$82)&gt;=0,SUM($B$82)&lt;=1,SUM($B$83)&gt;=0))),AND(ISNUMBER(B887),B887&gt;0,$B$171=1,NOT(ISNUMBER(D887)))),1,0)</x:f>
        <x:v>0</x:v>
      </x:c>
      <x:c r="J887" s="440" t="n">
        <x:f>IF(ISNUMBER(L886),L886,"")</x:f>
        <x:v>0</x:v>
      </x:c>
      <x:c r="K887" s="440" t="n">
        <x:f>IF(AND(ISNUMBER(J887),J887=0),0,IF(AND($B$176=1,ISNUMBER(J887)),MIN(J887*(1+$B$87/12),IF($B$86=0,0,IF($B$87=0,$B$86/ROUND($B$88*12,0),$B$86*($B$87/12)/(1-(1+$B$87/12)^(-ROUND($B$88*12,0)))))),""))</x:f>
        <x:v>0</x:v>
      </x:c>
      <x:c r="L887" s="440" t="n">
        <x:f>IF(ISNUMBER(K887),IF(MAX(0,J887*(1+SUM($B$87)/12)-K887)&lt;MAX(0.0000001,$B$86*0.00000000001),0,MAX(0,J887*(1+SUM($B$87)/12)-K887)),"")</x:f>
        <x:v>0</x:v>
      </x:c>
      <x:c r="M887" s="440" t="n">
        <x:f>IF(AND(ISNUMBER(D887),ISNUMBER(K887)),D887+K887,"")</x:f>
        <x:v>0</x:v>
      </x:c>
      <x:c r="N887" s="440" t="n">
        <x:f>IF(AND(ISNUMBER(H887),ISNUMBER(L887)),H887+L887,"")</x:f>
        <x:v>0</x:v>
      </x:c>
    </x:row>
    <x:row r="888" ht="22" customHeight="1">
      <x:c r="A888" s="254" t="n">
        <x:f>488</x:f>
        <x:v>488</x:v>
      </x:c>
      <x:c r="B888" s="440" t="n">
        <x:f>IF(ISNUMBER(H887),H887,"")</x:f>
        <x:v>0</x:v>
      </x:c>
      <x:c r="C888" s="442" t="n">
        <x:f>IF(ISNUMBER(B888),IF(AND(488&gt;$B$173,$B$78="Refinance",ISNUMBER($B$80),$B$80&gt;=0,$B$80&lt;=1,ROUND($B$81*12,0)&gt;=1,$B$81&lt;=100,SUM($B$82)&gt;=0,SUM($B$82)&lt;=1,SUM($B$83)&gt;=0),$B$80,IF(AND($B$175&gt;0,488&gt;$B$175,ISNUMBER($B$75)),$B$75,$B$61)),"")</x:f>
        <x:v>0.0625</x:v>
      </x:c>
      <x:c r="D888" s="440" t="n">
        <x:f>IF(AND(ISNUMBER(B888),B888=0),0,IF(AND($B$171=1,I887=0,ISNUMBER(C888),ISNUMBER(IF(AND(488&lt;=$B$174,488&lt;=$B$173),B888*C888/12,IF(AND(488=$B$173+1,AND(488&gt;$B$173,$B$78="Refinance",ISNUMBER($B$80),$B$80&gt;=0,$B$80&lt;=1,ROUND($B$81*12,0)&gt;=1,$B$81&lt;=100,SUM($B$82)&gt;=0,SUM($B$82)&lt;=1,SUM($B$83)&gt;=0)),IF(B888=0,0,IF(C888=0,B888/ROUND($B$81*12,0),B888*(C888/12)/(1-(1+C888/12)^(-ROUND($B$81*12,0))))),IF(AND(NOT(AND(488&gt;$B$173,$B$78="Refinance",ISNUMBER($B$80),$B$80&gt;=0,$B$80&lt;=1,ROUND($B$81*12,0)&gt;=1,$B$81&lt;=100,SUM($B$82)&gt;=0,SUM($B$82)&lt;=1,SUM($B$83)&gt;=0)),OR(488=1,488=$B$174+1,AND($B$175&gt;0,488=$B$175+1))),IF(AND($B$170=1,$B$66&gt;0,OR($B$175=0,488&lt;=$B$175)),$B$66,IF($B$172-MAX(488-1,$B$174)&gt;0,IF(B888=0,0,IF(C888=0,B888/($B$172-MAX(488-1,$B$174)),B888*(C888/12)/(1-(1+C888/12)^(-($B$172-MAX(488-1,$B$174)))))),"")),D887))))),IF(IF(AND(488&lt;=$B$174,488&lt;=$B$173),B888*C888/12,IF(AND(488=$B$173+1,AND(488&gt;$B$173,$B$78="Refinance",ISNUMBER($B$80),$B$80&gt;=0,$B$80&lt;=1,ROUND($B$81*12,0)&gt;=1,$B$81&lt;=100,SUM($B$82)&gt;=0,SUM($B$82)&lt;=1,SUM($B$83)&gt;=0)),IF(B888=0,0,IF(C888=0,B888/ROUND($B$81*12,0),B888*(C888/12)/(1-(1+C888/12)^(-ROUND($B$81*12,0))))),IF(AND(NOT(AND(488&gt;$B$173,$B$78="Refinance",ISNUMBER($B$80),$B$80&gt;=0,$B$80&lt;=1,ROUND($B$81*12,0)&gt;=1,$B$81&lt;=100,SUM($B$82)&gt;=0,SUM($B$82)&lt;=1,SUM($B$83)&gt;=0)),OR(488=1,488=$B$174+1,AND($B$175&gt;0,488=$B$175+1))),IF(AND($B$170=1,$B$66&gt;0,OR($B$175=0,488&lt;=$B$175)),$B$66,IF($B$172-MAX(488-1,$B$174)&gt;0,IF(B888=0,0,IF(C888=0,B888/($B$172-MAX(488-1,$B$174)),B888*(C888/12)/(1-(1+C888/12)^(-($B$172-MAX(488-1,$B$174)))))),"")),D887)))+0.0000001&gt;=B888*C888/12,MIN(B888*(1+C888/12),IF(AND(488&lt;=$B$174,488&lt;=$B$173),B888*C888/12,IF(AND(488=$B$173+1,AND(488&gt;$B$173,$B$78="Refinance",ISNUMBER($B$80),$B$80&gt;=0,$B$80&lt;=1,ROUND($B$81*12,0)&gt;=1,$B$81&lt;=100,SUM($B$82)&gt;=0,SUM($B$82)&lt;=1,SUM($B$83)&gt;=0)),IF(B888=0,0,IF(C888=0,B888/ROUND($B$81*12,0),B888*(C888/12)/(1-(1+C888/12)^(-ROUND($B$81*12,0))))),IF(AND(NOT(AND(488&gt;$B$173,$B$78="Refinance",ISNUMBER($B$80),$B$80&gt;=0,$B$80&lt;=1,ROUND($B$81*12,0)&gt;=1,$B$81&lt;=100,SUM($B$82)&gt;=0,SUM($B$82)&lt;=1,SUM($B$83)&gt;=0)),OR(488=1,488=$B$174+1,AND($B$175&gt;0,488=$B$175+1))),IF(AND($B$170=1,$B$66&gt;0,OR($B$175=0,488&lt;=$B$175)),$B$66,IF($B$172-MAX(488-1,$B$174)&gt;0,IF(B888=0,0,IF(C888=0,B888/($B$172-MAX(488-1,$B$174)),B888*(C888/12)/(1-(1+C888/12)^(-($B$172-MAX(488-1,$B$174)))))),"")),D887)))),""),""))</x:f>
        <x:v>0</x:v>
      </x:c>
      <x:c r="E888" s="440" t="n">
        <x:f>IF(AND(488=$B$173,ISNUMBER(D888)),IF(MAX(0,B888*(1+C888/12)-D888)&lt;MAX(0.0000001,$E$17*0.00000000001),0,MAX(0,B888*(1+C888/12)-D888)),0)</x:f>
        <x:v>0</x:v>
      </x:c>
      <x:c r="F888" s="440" t="n">
        <x:f>IF($B$78="Cash payoff",E888,0)</x:f>
        <x:v>0</x:v>
      </x:c>
      <x:c r="G888" s="440" t="n">
        <x:f>IF(AND(E888&gt;0,AND($B$78="Refinance",ISNUMBER($B$80),$B$80&gt;=0,$B$80&lt;=1,ROUND($B$81*12,0)&gt;=1,$B$81&lt;=100,SUM($B$82)&gt;=0,SUM($B$82)&lt;=1,SUM($B$83)&gt;=0)),E888*SUM($B$82)+SUM($B$83),0)</x:f>
        <x:v>0</x:v>
      </x:c>
      <x:c r="H888" s="440" t="n">
        <x:f>IF(ISNUMBER(D888),IF(MAX(0,B888*(1+C888/12)-D888-F888)&lt;MAX(0.0000001,$E$17*0.00000000001),0,MAX(0,B888*(1+C888/12)-D888-F888)),IF(AND($B$171=1,I887=1),B888,""))</x:f>
        <x:v>0</x:v>
      </x:c>
      <x:c r="I888" s="444" t="n">
        <x:f>IF(OR(I887=1,AND(E888&gt;0,$B$78&lt;&gt;"Cash payoff",NOT(AND($B$78="Refinance",ISNUMBER($B$80),$B$80&gt;=0,$B$80&lt;=1,ROUND($B$81*12,0)&gt;=1,$B$81&lt;=100,SUM($B$82)&gt;=0,SUM($B$82)&lt;=1,SUM($B$83)&gt;=0))),AND(ISNUMBER(B888),B888&gt;0,$B$171=1,NOT(ISNUMBER(D888)))),1,0)</x:f>
        <x:v>0</x:v>
      </x:c>
      <x:c r="J888" s="440" t="n">
        <x:f>IF(ISNUMBER(L887),L887,"")</x:f>
        <x:v>0</x:v>
      </x:c>
      <x:c r="K888" s="440" t="n">
        <x:f>IF(AND(ISNUMBER(J888),J888=0),0,IF(AND($B$176=1,ISNUMBER(J888)),MIN(J888*(1+$B$87/12),IF($B$86=0,0,IF($B$87=0,$B$86/ROUND($B$88*12,0),$B$86*($B$87/12)/(1-(1+$B$87/12)^(-ROUND($B$88*12,0)))))),""))</x:f>
        <x:v>0</x:v>
      </x:c>
      <x:c r="L888" s="440" t="n">
        <x:f>IF(ISNUMBER(K888),IF(MAX(0,J888*(1+SUM($B$87)/12)-K888)&lt;MAX(0.0000001,$B$86*0.00000000001),0,MAX(0,J888*(1+SUM($B$87)/12)-K888)),"")</x:f>
        <x:v>0</x:v>
      </x:c>
      <x:c r="M888" s="440" t="n">
        <x:f>IF(AND(ISNUMBER(D888),ISNUMBER(K888)),D888+K888,"")</x:f>
        <x:v>0</x:v>
      </x:c>
      <x:c r="N888" s="440" t="n">
        <x:f>IF(AND(ISNUMBER(H888),ISNUMBER(L888)),H888+L888,"")</x:f>
        <x:v>0</x:v>
      </x:c>
    </x:row>
    <x:row r="889" ht="22" customHeight="1">
      <x:c r="A889" s="254" t="n">
        <x:f>489</x:f>
        <x:v>489</x:v>
      </x:c>
      <x:c r="B889" s="440" t="n">
        <x:f>IF(ISNUMBER(H888),H888,"")</x:f>
        <x:v>0</x:v>
      </x:c>
      <x:c r="C889" s="442" t="n">
        <x:f>IF(ISNUMBER(B889),IF(AND(489&gt;$B$173,$B$78="Refinance",ISNUMBER($B$80),$B$80&gt;=0,$B$80&lt;=1,ROUND($B$81*12,0)&gt;=1,$B$81&lt;=100,SUM($B$82)&gt;=0,SUM($B$82)&lt;=1,SUM($B$83)&gt;=0),$B$80,IF(AND($B$175&gt;0,489&gt;$B$175,ISNUMBER($B$75)),$B$75,$B$61)),"")</x:f>
        <x:v>0.0625</x:v>
      </x:c>
      <x:c r="D889" s="440" t="n">
        <x:f>IF(AND(ISNUMBER(B889),B889=0),0,IF(AND($B$171=1,I888=0,ISNUMBER(C889),ISNUMBER(IF(AND(489&lt;=$B$174,489&lt;=$B$173),B889*C889/12,IF(AND(489=$B$173+1,AND(489&gt;$B$173,$B$78="Refinance",ISNUMBER($B$80),$B$80&gt;=0,$B$80&lt;=1,ROUND($B$81*12,0)&gt;=1,$B$81&lt;=100,SUM($B$82)&gt;=0,SUM($B$82)&lt;=1,SUM($B$83)&gt;=0)),IF(B889=0,0,IF(C889=0,B889/ROUND($B$81*12,0),B889*(C889/12)/(1-(1+C889/12)^(-ROUND($B$81*12,0))))),IF(AND(NOT(AND(489&gt;$B$173,$B$78="Refinance",ISNUMBER($B$80),$B$80&gt;=0,$B$80&lt;=1,ROUND($B$81*12,0)&gt;=1,$B$81&lt;=100,SUM($B$82)&gt;=0,SUM($B$82)&lt;=1,SUM($B$83)&gt;=0)),OR(489=1,489=$B$174+1,AND($B$175&gt;0,489=$B$175+1))),IF(AND($B$170=1,$B$66&gt;0,OR($B$175=0,489&lt;=$B$175)),$B$66,IF($B$172-MAX(489-1,$B$174)&gt;0,IF(B889=0,0,IF(C889=0,B889/($B$172-MAX(489-1,$B$174)),B889*(C889/12)/(1-(1+C889/12)^(-($B$172-MAX(489-1,$B$174)))))),"")),D888))))),IF(IF(AND(489&lt;=$B$174,489&lt;=$B$173),B889*C889/12,IF(AND(489=$B$173+1,AND(489&gt;$B$173,$B$78="Refinance",ISNUMBER($B$80),$B$80&gt;=0,$B$80&lt;=1,ROUND($B$81*12,0)&gt;=1,$B$81&lt;=100,SUM($B$82)&gt;=0,SUM($B$82)&lt;=1,SUM($B$83)&gt;=0)),IF(B889=0,0,IF(C889=0,B889/ROUND($B$81*12,0),B889*(C889/12)/(1-(1+C889/12)^(-ROUND($B$81*12,0))))),IF(AND(NOT(AND(489&gt;$B$173,$B$78="Refinance",ISNUMBER($B$80),$B$80&gt;=0,$B$80&lt;=1,ROUND($B$81*12,0)&gt;=1,$B$81&lt;=100,SUM($B$82)&gt;=0,SUM($B$82)&lt;=1,SUM($B$83)&gt;=0)),OR(489=1,489=$B$174+1,AND($B$175&gt;0,489=$B$175+1))),IF(AND($B$170=1,$B$66&gt;0,OR($B$175=0,489&lt;=$B$175)),$B$66,IF($B$172-MAX(489-1,$B$174)&gt;0,IF(B889=0,0,IF(C889=0,B889/($B$172-MAX(489-1,$B$174)),B889*(C889/12)/(1-(1+C889/12)^(-($B$172-MAX(489-1,$B$174)))))),"")),D888)))+0.0000001&gt;=B889*C889/12,MIN(B889*(1+C889/12),IF(AND(489&lt;=$B$174,489&lt;=$B$173),B889*C889/12,IF(AND(489=$B$173+1,AND(489&gt;$B$173,$B$78="Refinance",ISNUMBER($B$80),$B$80&gt;=0,$B$80&lt;=1,ROUND($B$81*12,0)&gt;=1,$B$81&lt;=100,SUM($B$82)&gt;=0,SUM($B$82)&lt;=1,SUM($B$83)&gt;=0)),IF(B889=0,0,IF(C889=0,B889/ROUND($B$81*12,0),B889*(C889/12)/(1-(1+C889/12)^(-ROUND($B$81*12,0))))),IF(AND(NOT(AND(489&gt;$B$173,$B$78="Refinance",ISNUMBER($B$80),$B$80&gt;=0,$B$80&lt;=1,ROUND($B$81*12,0)&gt;=1,$B$81&lt;=100,SUM($B$82)&gt;=0,SUM($B$82)&lt;=1,SUM($B$83)&gt;=0)),OR(489=1,489=$B$174+1,AND($B$175&gt;0,489=$B$175+1))),IF(AND($B$170=1,$B$66&gt;0,OR($B$175=0,489&lt;=$B$175)),$B$66,IF($B$172-MAX(489-1,$B$174)&gt;0,IF(B889=0,0,IF(C889=0,B889/($B$172-MAX(489-1,$B$174)),B889*(C889/12)/(1-(1+C889/12)^(-($B$172-MAX(489-1,$B$174)))))),"")),D888)))),""),""))</x:f>
        <x:v>0</x:v>
      </x:c>
      <x:c r="E889" s="440" t="n">
        <x:f>IF(AND(489=$B$173,ISNUMBER(D889)),IF(MAX(0,B889*(1+C889/12)-D889)&lt;MAX(0.0000001,$E$17*0.00000000001),0,MAX(0,B889*(1+C889/12)-D889)),0)</x:f>
        <x:v>0</x:v>
      </x:c>
      <x:c r="F889" s="440" t="n">
        <x:f>IF($B$78="Cash payoff",E889,0)</x:f>
        <x:v>0</x:v>
      </x:c>
      <x:c r="G889" s="440" t="n">
        <x:f>IF(AND(E889&gt;0,AND($B$78="Refinance",ISNUMBER($B$80),$B$80&gt;=0,$B$80&lt;=1,ROUND($B$81*12,0)&gt;=1,$B$81&lt;=100,SUM($B$82)&gt;=0,SUM($B$82)&lt;=1,SUM($B$83)&gt;=0)),E889*SUM($B$82)+SUM($B$83),0)</x:f>
        <x:v>0</x:v>
      </x:c>
      <x:c r="H889" s="440" t="n">
        <x:f>IF(ISNUMBER(D889),IF(MAX(0,B889*(1+C889/12)-D889-F889)&lt;MAX(0.0000001,$E$17*0.00000000001),0,MAX(0,B889*(1+C889/12)-D889-F889)),IF(AND($B$171=1,I888=1),B889,""))</x:f>
        <x:v>0</x:v>
      </x:c>
      <x:c r="I889" s="444" t="n">
        <x:f>IF(OR(I888=1,AND(E889&gt;0,$B$78&lt;&gt;"Cash payoff",NOT(AND($B$78="Refinance",ISNUMBER($B$80),$B$80&gt;=0,$B$80&lt;=1,ROUND($B$81*12,0)&gt;=1,$B$81&lt;=100,SUM($B$82)&gt;=0,SUM($B$82)&lt;=1,SUM($B$83)&gt;=0))),AND(ISNUMBER(B889),B889&gt;0,$B$171=1,NOT(ISNUMBER(D889)))),1,0)</x:f>
        <x:v>0</x:v>
      </x:c>
      <x:c r="J889" s="440" t="n">
        <x:f>IF(ISNUMBER(L888),L888,"")</x:f>
        <x:v>0</x:v>
      </x:c>
      <x:c r="K889" s="440" t="n">
        <x:f>IF(AND(ISNUMBER(J889),J889=0),0,IF(AND($B$176=1,ISNUMBER(J889)),MIN(J889*(1+$B$87/12),IF($B$86=0,0,IF($B$87=0,$B$86/ROUND($B$88*12,0),$B$86*($B$87/12)/(1-(1+$B$87/12)^(-ROUND($B$88*12,0)))))),""))</x:f>
        <x:v>0</x:v>
      </x:c>
      <x:c r="L889" s="440" t="n">
        <x:f>IF(ISNUMBER(K889),IF(MAX(0,J889*(1+SUM($B$87)/12)-K889)&lt;MAX(0.0000001,$B$86*0.00000000001),0,MAX(0,J889*(1+SUM($B$87)/12)-K889)),"")</x:f>
        <x:v>0</x:v>
      </x:c>
      <x:c r="M889" s="440" t="n">
        <x:f>IF(AND(ISNUMBER(D889),ISNUMBER(K889)),D889+K889,"")</x:f>
        <x:v>0</x:v>
      </x:c>
      <x:c r="N889" s="440" t="n">
        <x:f>IF(AND(ISNUMBER(H889),ISNUMBER(L889)),H889+L889,"")</x:f>
        <x:v>0</x:v>
      </x:c>
    </x:row>
    <x:row r="890" ht="22" customHeight="1">
      <x:c r="A890" s="254" t="n">
        <x:f>490</x:f>
        <x:v>490</x:v>
      </x:c>
      <x:c r="B890" s="440" t="n">
        <x:f>IF(ISNUMBER(H889),H889,"")</x:f>
        <x:v>0</x:v>
      </x:c>
      <x:c r="C890" s="442" t="n">
        <x:f>IF(ISNUMBER(B890),IF(AND(490&gt;$B$173,$B$78="Refinance",ISNUMBER($B$80),$B$80&gt;=0,$B$80&lt;=1,ROUND($B$81*12,0)&gt;=1,$B$81&lt;=100,SUM($B$82)&gt;=0,SUM($B$82)&lt;=1,SUM($B$83)&gt;=0),$B$80,IF(AND($B$175&gt;0,490&gt;$B$175,ISNUMBER($B$75)),$B$75,$B$61)),"")</x:f>
        <x:v>0.0625</x:v>
      </x:c>
      <x:c r="D890" s="440" t="n">
        <x:f>IF(AND(ISNUMBER(B890),B890=0),0,IF(AND($B$171=1,I889=0,ISNUMBER(C890),ISNUMBER(IF(AND(490&lt;=$B$174,490&lt;=$B$173),B890*C890/12,IF(AND(490=$B$173+1,AND(490&gt;$B$173,$B$78="Refinance",ISNUMBER($B$80),$B$80&gt;=0,$B$80&lt;=1,ROUND($B$81*12,0)&gt;=1,$B$81&lt;=100,SUM($B$82)&gt;=0,SUM($B$82)&lt;=1,SUM($B$83)&gt;=0)),IF(B890=0,0,IF(C890=0,B890/ROUND($B$81*12,0),B890*(C890/12)/(1-(1+C890/12)^(-ROUND($B$81*12,0))))),IF(AND(NOT(AND(490&gt;$B$173,$B$78="Refinance",ISNUMBER($B$80),$B$80&gt;=0,$B$80&lt;=1,ROUND($B$81*12,0)&gt;=1,$B$81&lt;=100,SUM($B$82)&gt;=0,SUM($B$82)&lt;=1,SUM($B$83)&gt;=0)),OR(490=1,490=$B$174+1,AND($B$175&gt;0,490=$B$175+1))),IF(AND($B$170=1,$B$66&gt;0,OR($B$175=0,490&lt;=$B$175)),$B$66,IF($B$172-MAX(490-1,$B$174)&gt;0,IF(B890=0,0,IF(C890=0,B890/($B$172-MAX(490-1,$B$174)),B890*(C890/12)/(1-(1+C890/12)^(-($B$172-MAX(490-1,$B$174)))))),"")),D889))))),IF(IF(AND(490&lt;=$B$174,490&lt;=$B$173),B890*C890/12,IF(AND(490=$B$173+1,AND(490&gt;$B$173,$B$78="Refinance",ISNUMBER($B$80),$B$80&gt;=0,$B$80&lt;=1,ROUND($B$81*12,0)&gt;=1,$B$81&lt;=100,SUM($B$82)&gt;=0,SUM($B$82)&lt;=1,SUM($B$83)&gt;=0)),IF(B890=0,0,IF(C890=0,B890/ROUND($B$81*12,0),B890*(C890/12)/(1-(1+C890/12)^(-ROUND($B$81*12,0))))),IF(AND(NOT(AND(490&gt;$B$173,$B$78="Refinance",ISNUMBER($B$80),$B$80&gt;=0,$B$80&lt;=1,ROUND($B$81*12,0)&gt;=1,$B$81&lt;=100,SUM($B$82)&gt;=0,SUM($B$82)&lt;=1,SUM($B$83)&gt;=0)),OR(490=1,490=$B$174+1,AND($B$175&gt;0,490=$B$175+1))),IF(AND($B$170=1,$B$66&gt;0,OR($B$175=0,490&lt;=$B$175)),$B$66,IF($B$172-MAX(490-1,$B$174)&gt;0,IF(B890=0,0,IF(C890=0,B890/($B$172-MAX(490-1,$B$174)),B890*(C890/12)/(1-(1+C890/12)^(-($B$172-MAX(490-1,$B$174)))))),"")),D889)))+0.0000001&gt;=B890*C890/12,MIN(B890*(1+C890/12),IF(AND(490&lt;=$B$174,490&lt;=$B$173),B890*C890/12,IF(AND(490=$B$173+1,AND(490&gt;$B$173,$B$78="Refinance",ISNUMBER($B$80),$B$80&gt;=0,$B$80&lt;=1,ROUND($B$81*12,0)&gt;=1,$B$81&lt;=100,SUM($B$82)&gt;=0,SUM($B$82)&lt;=1,SUM($B$83)&gt;=0)),IF(B890=0,0,IF(C890=0,B890/ROUND($B$81*12,0),B890*(C890/12)/(1-(1+C890/12)^(-ROUND($B$81*12,0))))),IF(AND(NOT(AND(490&gt;$B$173,$B$78="Refinance",ISNUMBER($B$80),$B$80&gt;=0,$B$80&lt;=1,ROUND($B$81*12,0)&gt;=1,$B$81&lt;=100,SUM($B$82)&gt;=0,SUM($B$82)&lt;=1,SUM($B$83)&gt;=0)),OR(490=1,490=$B$174+1,AND($B$175&gt;0,490=$B$175+1))),IF(AND($B$170=1,$B$66&gt;0,OR($B$175=0,490&lt;=$B$175)),$B$66,IF($B$172-MAX(490-1,$B$174)&gt;0,IF(B890=0,0,IF(C890=0,B890/($B$172-MAX(490-1,$B$174)),B890*(C890/12)/(1-(1+C890/12)^(-($B$172-MAX(490-1,$B$174)))))),"")),D889)))),""),""))</x:f>
        <x:v>0</x:v>
      </x:c>
      <x:c r="E890" s="440" t="n">
        <x:f>IF(AND(490=$B$173,ISNUMBER(D890)),IF(MAX(0,B890*(1+C890/12)-D890)&lt;MAX(0.0000001,$E$17*0.00000000001),0,MAX(0,B890*(1+C890/12)-D890)),0)</x:f>
        <x:v>0</x:v>
      </x:c>
      <x:c r="F890" s="440" t="n">
        <x:f>IF($B$78="Cash payoff",E890,0)</x:f>
        <x:v>0</x:v>
      </x:c>
      <x:c r="G890" s="440" t="n">
        <x:f>IF(AND(E890&gt;0,AND($B$78="Refinance",ISNUMBER($B$80),$B$80&gt;=0,$B$80&lt;=1,ROUND($B$81*12,0)&gt;=1,$B$81&lt;=100,SUM($B$82)&gt;=0,SUM($B$82)&lt;=1,SUM($B$83)&gt;=0)),E890*SUM($B$82)+SUM($B$83),0)</x:f>
        <x:v>0</x:v>
      </x:c>
      <x:c r="H890" s="440" t="n">
        <x:f>IF(ISNUMBER(D890),IF(MAX(0,B890*(1+C890/12)-D890-F890)&lt;MAX(0.0000001,$E$17*0.00000000001),0,MAX(0,B890*(1+C890/12)-D890-F890)),IF(AND($B$171=1,I889=1),B890,""))</x:f>
        <x:v>0</x:v>
      </x:c>
      <x:c r="I890" s="444" t="n">
        <x:f>IF(OR(I889=1,AND(E890&gt;0,$B$78&lt;&gt;"Cash payoff",NOT(AND($B$78="Refinance",ISNUMBER($B$80),$B$80&gt;=0,$B$80&lt;=1,ROUND($B$81*12,0)&gt;=1,$B$81&lt;=100,SUM($B$82)&gt;=0,SUM($B$82)&lt;=1,SUM($B$83)&gt;=0))),AND(ISNUMBER(B890),B890&gt;0,$B$171=1,NOT(ISNUMBER(D890)))),1,0)</x:f>
        <x:v>0</x:v>
      </x:c>
      <x:c r="J890" s="440" t="n">
        <x:f>IF(ISNUMBER(L889),L889,"")</x:f>
        <x:v>0</x:v>
      </x:c>
      <x:c r="K890" s="440" t="n">
        <x:f>IF(AND(ISNUMBER(J890),J890=0),0,IF(AND($B$176=1,ISNUMBER(J890)),MIN(J890*(1+$B$87/12),IF($B$86=0,0,IF($B$87=0,$B$86/ROUND($B$88*12,0),$B$86*($B$87/12)/(1-(1+$B$87/12)^(-ROUND($B$88*12,0)))))),""))</x:f>
        <x:v>0</x:v>
      </x:c>
      <x:c r="L890" s="440" t="n">
        <x:f>IF(ISNUMBER(K890),IF(MAX(0,J890*(1+SUM($B$87)/12)-K890)&lt;MAX(0.0000001,$B$86*0.00000000001),0,MAX(0,J890*(1+SUM($B$87)/12)-K890)),"")</x:f>
        <x:v>0</x:v>
      </x:c>
      <x:c r="M890" s="440" t="n">
        <x:f>IF(AND(ISNUMBER(D890),ISNUMBER(K890)),D890+K890,"")</x:f>
        <x:v>0</x:v>
      </x:c>
      <x:c r="N890" s="440" t="n">
        <x:f>IF(AND(ISNUMBER(H890),ISNUMBER(L890)),H890+L890,"")</x:f>
        <x:v>0</x:v>
      </x:c>
    </x:row>
    <x:row r="891" ht="22" customHeight="1">
      <x:c r="A891" s="254" t="n">
        <x:f>491</x:f>
        <x:v>491</x:v>
      </x:c>
      <x:c r="B891" s="440" t="n">
        <x:f>IF(ISNUMBER(H890),H890,"")</x:f>
        <x:v>0</x:v>
      </x:c>
      <x:c r="C891" s="442" t="n">
        <x:f>IF(ISNUMBER(B891),IF(AND(491&gt;$B$173,$B$78="Refinance",ISNUMBER($B$80),$B$80&gt;=0,$B$80&lt;=1,ROUND($B$81*12,0)&gt;=1,$B$81&lt;=100,SUM($B$82)&gt;=0,SUM($B$82)&lt;=1,SUM($B$83)&gt;=0),$B$80,IF(AND($B$175&gt;0,491&gt;$B$175,ISNUMBER($B$75)),$B$75,$B$61)),"")</x:f>
        <x:v>0.0625</x:v>
      </x:c>
      <x:c r="D891" s="440" t="n">
        <x:f>IF(AND(ISNUMBER(B891),B891=0),0,IF(AND($B$171=1,I890=0,ISNUMBER(C891),ISNUMBER(IF(AND(491&lt;=$B$174,491&lt;=$B$173),B891*C891/12,IF(AND(491=$B$173+1,AND(491&gt;$B$173,$B$78="Refinance",ISNUMBER($B$80),$B$80&gt;=0,$B$80&lt;=1,ROUND($B$81*12,0)&gt;=1,$B$81&lt;=100,SUM($B$82)&gt;=0,SUM($B$82)&lt;=1,SUM($B$83)&gt;=0)),IF(B891=0,0,IF(C891=0,B891/ROUND($B$81*12,0),B891*(C891/12)/(1-(1+C891/12)^(-ROUND($B$81*12,0))))),IF(AND(NOT(AND(491&gt;$B$173,$B$78="Refinance",ISNUMBER($B$80),$B$80&gt;=0,$B$80&lt;=1,ROUND($B$81*12,0)&gt;=1,$B$81&lt;=100,SUM($B$82)&gt;=0,SUM($B$82)&lt;=1,SUM($B$83)&gt;=0)),OR(491=1,491=$B$174+1,AND($B$175&gt;0,491=$B$175+1))),IF(AND($B$170=1,$B$66&gt;0,OR($B$175=0,491&lt;=$B$175)),$B$66,IF($B$172-MAX(491-1,$B$174)&gt;0,IF(B891=0,0,IF(C891=0,B891/($B$172-MAX(491-1,$B$174)),B891*(C891/12)/(1-(1+C891/12)^(-($B$172-MAX(491-1,$B$174)))))),"")),D890))))),IF(IF(AND(491&lt;=$B$174,491&lt;=$B$173),B891*C891/12,IF(AND(491=$B$173+1,AND(491&gt;$B$173,$B$78="Refinance",ISNUMBER($B$80),$B$80&gt;=0,$B$80&lt;=1,ROUND($B$81*12,0)&gt;=1,$B$81&lt;=100,SUM($B$82)&gt;=0,SUM($B$82)&lt;=1,SUM($B$83)&gt;=0)),IF(B891=0,0,IF(C891=0,B891/ROUND($B$81*12,0),B891*(C891/12)/(1-(1+C891/12)^(-ROUND($B$81*12,0))))),IF(AND(NOT(AND(491&gt;$B$173,$B$78="Refinance",ISNUMBER($B$80),$B$80&gt;=0,$B$80&lt;=1,ROUND($B$81*12,0)&gt;=1,$B$81&lt;=100,SUM($B$82)&gt;=0,SUM($B$82)&lt;=1,SUM($B$83)&gt;=0)),OR(491=1,491=$B$174+1,AND($B$175&gt;0,491=$B$175+1))),IF(AND($B$170=1,$B$66&gt;0,OR($B$175=0,491&lt;=$B$175)),$B$66,IF($B$172-MAX(491-1,$B$174)&gt;0,IF(B891=0,0,IF(C891=0,B891/($B$172-MAX(491-1,$B$174)),B891*(C891/12)/(1-(1+C891/12)^(-($B$172-MAX(491-1,$B$174)))))),"")),D890)))+0.0000001&gt;=B891*C891/12,MIN(B891*(1+C891/12),IF(AND(491&lt;=$B$174,491&lt;=$B$173),B891*C891/12,IF(AND(491=$B$173+1,AND(491&gt;$B$173,$B$78="Refinance",ISNUMBER($B$80),$B$80&gt;=0,$B$80&lt;=1,ROUND($B$81*12,0)&gt;=1,$B$81&lt;=100,SUM($B$82)&gt;=0,SUM($B$82)&lt;=1,SUM($B$83)&gt;=0)),IF(B891=0,0,IF(C891=0,B891/ROUND($B$81*12,0),B891*(C891/12)/(1-(1+C891/12)^(-ROUND($B$81*12,0))))),IF(AND(NOT(AND(491&gt;$B$173,$B$78="Refinance",ISNUMBER($B$80),$B$80&gt;=0,$B$80&lt;=1,ROUND($B$81*12,0)&gt;=1,$B$81&lt;=100,SUM($B$82)&gt;=0,SUM($B$82)&lt;=1,SUM($B$83)&gt;=0)),OR(491=1,491=$B$174+1,AND($B$175&gt;0,491=$B$175+1))),IF(AND($B$170=1,$B$66&gt;0,OR($B$175=0,491&lt;=$B$175)),$B$66,IF($B$172-MAX(491-1,$B$174)&gt;0,IF(B891=0,0,IF(C891=0,B891/($B$172-MAX(491-1,$B$174)),B891*(C891/12)/(1-(1+C891/12)^(-($B$172-MAX(491-1,$B$174)))))),"")),D890)))),""),""))</x:f>
        <x:v>0</x:v>
      </x:c>
      <x:c r="E891" s="440" t="n">
        <x:f>IF(AND(491=$B$173,ISNUMBER(D891)),IF(MAX(0,B891*(1+C891/12)-D891)&lt;MAX(0.0000001,$E$17*0.00000000001),0,MAX(0,B891*(1+C891/12)-D891)),0)</x:f>
        <x:v>0</x:v>
      </x:c>
      <x:c r="F891" s="440" t="n">
        <x:f>IF($B$78="Cash payoff",E891,0)</x:f>
        <x:v>0</x:v>
      </x:c>
      <x:c r="G891" s="440" t="n">
        <x:f>IF(AND(E891&gt;0,AND($B$78="Refinance",ISNUMBER($B$80),$B$80&gt;=0,$B$80&lt;=1,ROUND($B$81*12,0)&gt;=1,$B$81&lt;=100,SUM($B$82)&gt;=0,SUM($B$82)&lt;=1,SUM($B$83)&gt;=0)),E891*SUM($B$82)+SUM($B$83),0)</x:f>
        <x:v>0</x:v>
      </x:c>
      <x:c r="H891" s="440" t="n">
        <x:f>IF(ISNUMBER(D891),IF(MAX(0,B891*(1+C891/12)-D891-F891)&lt;MAX(0.0000001,$E$17*0.00000000001),0,MAX(0,B891*(1+C891/12)-D891-F891)),IF(AND($B$171=1,I890=1),B891,""))</x:f>
        <x:v>0</x:v>
      </x:c>
      <x:c r="I891" s="444" t="n">
        <x:f>IF(OR(I890=1,AND(E891&gt;0,$B$78&lt;&gt;"Cash payoff",NOT(AND($B$78="Refinance",ISNUMBER($B$80),$B$80&gt;=0,$B$80&lt;=1,ROUND($B$81*12,0)&gt;=1,$B$81&lt;=100,SUM($B$82)&gt;=0,SUM($B$82)&lt;=1,SUM($B$83)&gt;=0))),AND(ISNUMBER(B891),B891&gt;0,$B$171=1,NOT(ISNUMBER(D891)))),1,0)</x:f>
        <x:v>0</x:v>
      </x:c>
      <x:c r="J891" s="440" t="n">
        <x:f>IF(ISNUMBER(L890),L890,"")</x:f>
        <x:v>0</x:v>
      </x:c>
      <x:c r="K891" s="440" t="n">
        <x:f>IF(AND(ISNUMBER(J891),J891=0),0,IF(AND($B$176=1,ISNUMBER(J891)),MIN(J891*(1+$B$87/12),IF($B$86=0,0,IF($B$87=0,$B$86/ROUND($B$88*12,0),$B$86*($B$87/12)/(1-(1+$B$87/12)^(-ROUND($B$88*12,0)))))),""))</x:f>
        <x:v>0</x:v>
      </x:c>
      <x:c r="L891" s="440" t="n">
        <x:f>IF(ISNUMBER(K891),IF(MAX(0,J891*(1+SUM($B$87)/12)-K891)&lt;MAX(0.0000001,$B$86*0.00000000001),0,MAX(0,J891*(1+SUM($B$87)/12)-K891)),"")</x:f>
        <x:v>0</x:v>
      </x:c>
      <x:c r="M891" s="440" t="n">
        <x:f>IF(AND(ISNUMBER(D891),ISNUMBER(K891)),D891+K891,"")</x:f>
        <x:v>0</x:v>
      </x:c>
      <x:c r="N891" s="440" t="n">
        <x:f>IF(AND(ISNUMBER(H891),ISNUMBER(L891)),H891+L891,"")</x:f>
        <x:v>0</x:v>
      </x:c>
    </x:row>
    <x:row r="892" ht="22" customHeight="1">
      <x:c r="A892" s="254" t="n">
        <x:f>492</x:f>
        <x:v>492</x:v>
      </x:c>
      <x:c r="B892" s="440" t="n">
        <x:f>IF(ISNUMBER(H891),H891,"")</x:f>
        <x:v>0</x:v>
      </x:c>
      <x:c r="C892" s="442" t="n">
        <x:f>IF(ISNUMBER(B892),IF(AND(492&gt;$B$173,$B$78="Refinance",ISNUMBER($B$80),$B$80&gt;=0,$B$80&lt;=1,ROUND($B$81*12,0)&gt;=1,$B$81&lt;=100,SUM($B$82)&gt;=0,SUM($B$82)&lt;=1,SUM($B$83)&gt;=0),$B$80,IF(AND($B$175&gt;0,492&gt;$B$175,ISNUMBER($B$75)),$B$75,$B$61)),"")</x:f>
        <x:v>0.0625</x:v>
      </x:c>
      <x:c r="D892" s="440" t="n">
        <x:f>IF(AND(ISNUMBER(B892),B892=0),0,IF(AND($B$171=1,I891=0,ISNUMBER(C892),ISNUMBER(IF(AND(492&lt;=$B$174,492&lt;=$B$173),B892*C892/12,IF(AND(492=$B$173+1,AND(492&gt;$B$173,$B$78="Refinance",ISNUMBER($B$80),$B$80&gt;=0,$B$80&lt;=1,ROUND($B$81*12,0)&gt;=1,$B$81&lt;=100,SUM($B$82)&gt;=0,SUM($B$82)&lt;=1,SUM($B$83)&gt;=0)),IF(B892=0,0,IF(C892=0,B892/ROUND($B$81*12,0),B892*(C892/12)/(1-(1+C892/12)^(-ROUND($B$81*12,0))))),IF(AND(NOT(AND(492&gt;$B$173,$B$78="Refinance",ISNUMBER($B$80),$B$80&gt;=0,$B$80&lt;=1,ROUND($B$81*12,0)&gt;=1,$B$81&lt;=100,SUM($B$82)&gt;=0,SUM($B$82)&lt;=1,SUM($B$83)&gt;=0)),OR(492=1,492=$B$174+1,AND($B$175&gt;0,492=$B$175+1))),IF(AND($B$170=1,$B$66&gt;0,OR($B$175=0,492&lt;=$B$175)),$B$66,IF($B$172-MAX(492-1,$B$174)&gt;0,IF(B892=0,0,IF(C892=0,B892/($B$172-MAX(492-1,$B$174)),B892*(C892/12)/(1-(1+C892/12)^(-($B$172-MAX(492-1,$B$174)))))),"")),D891))))),IF(IF(AND(492&lt;=$B$174,492&lt;=$B$173),B892*C892/12,IF(AND(492=$B$173+1,AND(492&gt;$B$173,$B$78="Refinance",ISNUMBER($B$80),$B$80&gt;=0,$B$80&lt;=1,ROUND($B$81*12,0)&gt;=1,$B$81&lt;=100,SUM($B$82)&gt;=0,SUM($B$82)&lt;=1,SUM($B$83)&gt;=0)),IF(B892=0,0,IF(C892=0,B892/ROUND($B$81*12,0),B892*(C892/12)/(1-(1+C892/12)^(-ROUND($B$81*12,0))))),IF(AND(NOT(AND(492&gt;$B$173,$B$78="Refinance",ISNUMBER($B$80),$B$80&gt;=0,$B$80&lt;=1,ROUND($B$81*12,0)&gt;=1,$B$81&lt;=100,SUM($B$82)&gt;=0,SUM($B$82)&lt;=1,SUM($B$83)&gt;=0)),OR(492=1,492=$B$174+1,AND($B$175&gt;0,492=$B$175+1))),IF(AND($B$170=1,$B$66&gt;0,OR($B$175=0,492&lt;=$B$175)),$B$66,IF($B$172-MAX(492-1,$B$174)&gt;0,IF(B892=0,0,IF(C892=0,B892/($B$172-MAX(492-1,$B$174)),B892*(C892/12)/(1-(1+C892/12)^(-($B$172-MAX(492-1,$B$174)))))),"")),D891)))+0.0000001&gt;=B892*C892/12,MIN(B892*(1+C892/12),IF(AND(492&lt;=$B$174,492&lt;=$B$173),B892*C892/12,IF(AND(492=$B$173+1,AND(492&gt;$B$173,$B$78="Refinance",ISNUMBER($B$80),$B$80&gt;=0,$B$80&lt;=1,ROUND($B$81*12,0)&gt;=1,$B$81&lt;=100,SUM($B$82)&gt;=0,SUM($B$82)&lt;=1,SUM($B$83)&gt;=0)),IF(B892=0,0,IF(C892=0,B892/ROUND($B$81*12,0),B892*(C892/12)/(1-(1+C892/12)^(-ROUND($B$81*12,0))))),IF(AND(NOT(AND(492&gt;$B$173,$B$78="Refinance",ISNUMBER($B$80),$B$80&gt;=0,$B$80&lt;=1,ROUND($B$81*12,0)&gt;=1,$B$81&lt;=100,SUM($B$82)&gt;=0,SUM($B$82)&lt;=1,SUM($B$83)&gt;=0)),OR(492=1,492=$B$174+1,AND($B$175&gt;0,492=$B$175+1))),IF(AND($B$170=1,$B$66&gt;0,OR($B$175=0,492&lt;=$B$175)),$B$66,IF($B$172-MAX(492-1,$B$174)&gt;0,IF(B892=0,0,IF(C892=0,B892/($B$172-MAX(492-1,$B$174)),B892*(C892/12)/(1-(1+C892/12)^(-($B$172-MAX(492-1,$B$174)))))),"")),D891)))),""),""))</x:f>
        <x:v>0</x:v>
      </x:c>
      <x:c r="E892" s="440" t="n">
        <x:f>IF(AND(492=$B$173,ISNUMBER(D892)),IF(MAX(0,B892*(1+C892/12)-D892)&lt;MAX(0.0000001,$E$17*0.00000000001),0,MAX(0,B892*(1+C892/12)-D892)),0)</x:f>
        <x:v>0</x:v>
      </x:c>
      <x:c r="F892" s="440" t="n">
        <x:f>IF($B$78="Cash payoff",E892,0)</x:f>
        <x:v>0</x:v>
      </x:c>
      <x:c r="G892" s="440" t="n">
        <x:f>IF(AND(E892&gt;0,AND($B$78="Refinance",ISNUMBER($B$80),$B$80&gt;=0,$B$80&lt;=1,ROUND($B$81*12,0)&gt;=1,$B$81&lt;=100,SUM($B$82)&gt;=0,SUM($B$82)&lt;=1,SUM($B$83)&gt;=0)),E892*SUM($B$82)+SUM($B$83),0)</x:f>
        <x:v>0</x:v>
      </x:c>
      <x:c r="H892" s="440" t="n">
        <x:f>IF(ISNUMBER(D892),IF(MAX(0,B892*(1+C892/12)-D892-F892)&lt;MAX(0.0000001,$E$17*0.00000000001),0,MAX(0,B892*(1+C892/12)-D892-F892)),IF(AND($B$171=1,I891=1),B892,""))</x:f>
        <x:v>0</x:v>
      </x:c>
      <x:c r="I892" s="444" t="n">
        <x:f>IF(OR(I891=1,AND(E892&gt;0,$B$78&lt;&gt;"Cash payoff",NOT(AND($B$78="Refinance",ISNUMBER($B$80),$B$80&gt;=0,$B$80&lt;=1,ROUND($B$81*12,0)&gt;=1,$B$81&lt;=100,SUM($B$82)&gt;=0,SUM($B$82)&lt;=1,SUM($B$83)&gt;=0))),AND(ISNUMBER(B892),B892&gt;0,$B$171=1,NOT(ISNUMBER(D892)))),1,0)</x:f>
        <x:v>0</x:v>
      </x:c>
      <x:c r="J892" s="440" t="n">
        <x:f>IF(ISNUMBER(L891),L891,"")</x:f>
        <x:v>0</x:v>
      </x:c>
      <x:c r="K892" s="440" t="n">
        <x:f>IF(AND(ISNUMBER(J892),J892=0),0,IF(AND($B$176=1,ISNUMBER(J892)),MIN(J892*(1+$B$87/12),IF($B$86=0,0,IF($B$87=0,$B$86/ROUND($B$88*12,0),$B$86*($B$87/12)/(1-(1+$B$87/12)^(-ROUND($B$88*12,0)))))),""))</x:f>
        <x:v>0</x:v>
      </x:c>
      <x:c r="L892" s="440" t="n">
        <x:f>IF(ISNUMBER(K892),IF(MAX(0,J892*(1+SUM($B$87)/12)-K892)&lt;MAX(0.0000001,$B$86*0.00000000001),0,MAX(0,J892*(1+SUM($B$87)/12)-K892)),"")</x:f>
        <x:v>0</x:v>
      </x:c>
      <x:c r="M892" s="440" t="n">
        <x:f>IF(AND(ISNUMBER(D892),ISNUMBER(K892)),D892+K892,"")</x:f>
        <x:v>0</x:v>
      </x:c>
      <x:c r="N892" s="440" t="n">
        <x:f>IF(AND(ISNUMBER(H892),ISNUMBER(L892)),H892+L892,"")</x:f>
        <x:v>0</x:v>
      </x:c>
    </x:row>
    <x:row r="893" ht="22" customHeight="1">
      <x:c r="A893" s="254" t="n">
        <x:f>493</x:f>
        <x:v>493</x:v>
      </x:c>
      <x:c r="B893" s="440" t="n">
        <x:f>IF(ISNUMBER(H892),H892,"")</x:f>
        <x:v>0</x:v>
      </x:c>
      <x:c r="C893" s="442" t="n">
        <x:f>IF(ISNUMBER(B893),IF(AND(493&gt;$B$173,$B$78="Refinance",ISNUMBER($B$80),$B$80&gt;=0,$B$80&lt;=1,ROUND($B$81*12,0)&gt;=1,$B$81&lt;=100,SUM($B$82)&gt;=0,SUM($B$82)&lt;=1,SUM($B$83)&gt;=0),$B$80,IF(AND($B$175&gt;0,493&gt;$B$175,ISNUMBER($B$75)),$B$75,$B$61)),"")</x:f>
        <x:v>0.0625</x:v>
      </x:c>
      <x:c r="D893" s="440" t="n">
        <x:f>IF(AND(ISNUMBER(B893),B893=0),0,IF(AND($B$171=1,I892=0,ISNUMBER(C893),ISNUMBER(IF(AND(493&lt;=$B$174,493&lt;=$B$173),B893*C893/12,IF(AND(493=$B$173+1,AND(493&gt;$B$173,$B$78="Refinance",ISNUMBER($B$80),$B$80&gt;=0,$B$80&lt;=1,ROUND($B$81*12,0)&gt;=1,$B$81&lt;=100,SUM($B$82)&gt;=0,SUM($B$82)&lt;=1,SUM($B$83)&gt;=0)),IF(B893=0,0,IF(C893=0,B893/ROUND($B$81*12,0),B893*(C893/12)/(1-(1+C893/12)^(-ROUND($B$81*12,0))))),IF(AND(NOT(AND(493&gt;$B$173,$B$78="Refinance",ISNUMBER($B$80),$B$80&gt;=0,$B$80&lt;=1,ROUND($B$81*12,0)&gt;=1,$B$81&lt;=100,SUM($B$82)&gt;=0,SUM($B$82)&lt;=1,SUM($B$83)&gt;=0)),OR(493=1,493=$B$174+1,AND($B$175&gt;0,493=$B$175+1))),IF(AND($B$170=1,$B$66&gt;0,OR($B$175=0,493&lt;=$B$175)),$B$66,IF($B$172-MAX(493-1,$B$174)&gt;0,IF(B893=0,0,IF(C893=0,B893/($B$172-MAX(493-1,$B$174)),B893*(C893/12)/(1-(1+C893/12)^(-($B$172-MAX(493-1,$B$174)))))),"")),D892))))),IF(IF(AND(493&lt;=$B$174,493&lt;=$B$173),B893*C893/12,IF(AND(493=$B$173+1,AND(493&gt;$B$173,$B$78="Refinance",ISNUMBER($B$80),$B$80&gt;=0,$B$80&lt;=1,ROUND($B$81*12,0)&gt;=1,$B$81&lt;=100,SUM($B$82)&gt;=0,SUM($B$82)&lt;=1,SUM($B$83)&gt;=0)),IF(B893=0,0,IF(C893=0,B893/ROUND($B$81*12,0),B893*(C893/12)/(1-(1+C893/12)^(-ROUND($B$81*12,0))))),IF(AND(NOT(AND(493&gt;$B$173,$B$78="Refinance",ISNUMBER($B$80),$B$80&gt;=0,$B$80&lt;=1,ROUND($B$81*12,0)&gt;=1,$B$81&lt;=100,SUM($B$82)&gt;=0,SUM($B$82)&lt;=1,SUM($B$83)&gt;=0)),OR(493=1,493=$B$174+1,AND($B$175&gt;0,493=$B$175+1))),IF(AND($B$170=1,$B$66&gt;0,OR($B$175=0,493&lt;=$B$175)),$B$66,IF($B$172-MAX(493-1,$B$174)&gt;0,IF(B893=0,0,IF(C893=0,B893/($B$172-MAX(493-1,$B$174)),B893*(C893/12)/(1-(1+C893/12)^(-($B$172-MAX(493-1,$B$174)))))),"")),D892)))+0.0000001&gt;=B893*C893/12,MIN(B893*(1+C893/12),IF(AND(493&lt;=$B$174,493&lt;=$B$173),B893*C893/12,IF(AND(493=$B$173+1,AND(493&gt;$B$173,$B$78="Refinance",ISNUMBER($B$80),$B$80&gt;=0,$B$80&lt;=1,ROUND($B$81*12,0)&gt;=1,$B$81&lt;=100,SUM($B$82)&gt;=0,SUM($B$82)&lt;=1,SUM($B$83)&gt;=0)),IF(B893=0,0,IF(C893=0,B893/ROUND($B$81*12,0),B893*(C893/12)/(1-(1+C893/12)^(-ROUND($B$81*12,0))))),IF(AND(NOT(AND(493&gt;$B$173,$B$78="Refinance",ISNUMBER($B$80),$B$80&gt;=0,$B$80&lt;=1,ROUND($B$81*12,0)&gt;=1,$B$81&lt;=100,SUM($B$82)&gt;=0,SUM($B$82)&lt;=1,SUM($B$83)&gt;=0)),OR(493=1,493=$B$174+1,AND($B$175&gt;0,493=$B$175+1))),IF(AND($B$170=1,$B$66&gt;0,OR($B$175=0,493&lt;=$B$175)),$B$66,IF($B$172-MAX(493-1,$B$174)&gt;0,IF(B893=0,0,IF(C893=0,B893/($B$172-MAX(493-1,$B$174)),B893*(C893/12)/(1-(1+C893/12)^(-($B$172-MAX(493-1,$B$174)))))),"")),D892)))),""),""))</x:f>
        <x:v>0</x:v>
      </x:c>
      <x:c r="E893" s="440" t="n">
        <x:f>IF(AND(493=$B$173,ISNUMBER(D893)),IF(MAX(0,B893*(1+C893/12)-D893)&lt;MAX(0.0000001,$E$17*0.00000000001),0,MAX(0,B893*(1+C893/12)-D893)),0)</x:f>
        <x:v>0</x:v>
      </x:c>
      <x:c r="F893" s="440" t="n">
        <x:f>IF($B$78="Cash payoff",E893,0)</x:f>
        <x:v>0</x:v>
      </x:c>
      <x:c r="G893" s="440" t="n">
        <x:f>IF(AND(E893&gt;0,AND($B$78="Refinance",ISNUMBER($B$80),$B$80&gt;=0,$B$80&lt;=1,ROUND($B$81*12,0)&gt;=1,$B$81&lt;=100,SUM($B$82)&gt;=0,SUM($B$82)&lt;=1,SUM($B$83)&gt;=0)),E893*SUM($B$82)+SUM($B$83),0)</x:f>
        <x:v>0</x:v>
      </x:c>
      <x:c r="H893" s="440" t="n">
        <x:f>IF(ISNUMBER(D893),IF(MAX(0,B893*(1+C893/12)-D893-F893)&lt;MAX(0.0000001,$E$17*0.00000000001),0,MAX(0,B893*(1+C893/12)-D893-F893)),IF(AND($B$171=1,I892=1),B893,""))</x:f>
        <x:v>0</x:v>
      </x:c>
      <x:c r="I893" s="444" t="n">
        <x:f>IF(OR(I892=1,AND(E893&gt;0,$B$78&lt;&gt;"Cash payoff",NOT(AND($B$78="Refinance",ISNUMBER($B$80),$B$80&gt;=0,$B$80&lt;=1,ROUND($B$81*12,0)&gt;=1,$B$81&lt;=100,SUM($B$82)&gt;=0,SUM($B$82)&lt;=1,SUM($B$83)&gt;=0))),AND(ISNUMBER(B893),B893&gt;0,$B$171=1,NOT(ISNUMBER(D893)))),1,0)</x:f>
        <x:v>0</x:v>
      </x:c>
      <x:c r="J893" s="440" t="n">
        <x:f>IF(ISNUMBER(L892),L892,"")</x:f>
        <x:v>0</x:v>
      </x:c>
      <x:c r="K893" s="440" t="n">
        <x:f>IF(AND(ISNUMBER(J893),J893=0),0,IF(AND($B$176=1,ISNUMBER(J893)),MIN(J893*(1+$B$87/12),IF($B$86=0,0,IF($B$87=0,$B$86/ROUND($B$88*12,0),$B$86*($B$87/12)/(1-(1+$B$87/12)^(-ROUND($B$88*12,0)))))),""))</x:f>
        <x:v>0</x:v>
      </x:c>
      <x:c r="L893" s="440" t="n">
        <x:f>IF(ISNUMBER(K893),IF(MAX(0,J893*(1+SUM($B$87)/12)-K893)&lt;MAX(0.0000001,$B$86*0.00000000001),0,MAX(0,J893*(1+SUM($B$87)/12)-K893)),"")</x:f>
        <x:v>0</x:v>
      </x:c>
      <x:c r="M893" s="440" t="n">
        <x:f>IF(AND(ISNUMBER(D893),ISNUMBER(K893)),D893+K893,"")</x:f>
        <x:v>0</x:v>
      </x:c>
      <x:c r="N893" s="440" t="n">
        <x:f>IF(AND(ISNUMBER(H893),ISNUMBER(L893)),H893+L893,"")</x:f>
        <x:v>0</x:v>
      </x:c>
    </x:row>
    <x:row r="894" ht="22" customHeight="1">
      <x:c r="A894" s="254" t="n">
        <x:f>494</x:f>
        <x:v>494</x:v>
      </x:c>
      <x:c r="B894" s="440" t="n">
        <x:f>IF(ISNUMBER(H893),H893,"")</x:f>
        <x:v>0</x:v>
      </x:c>
      <x:c r="C894" s="442" t="n">
        <x:f>IF(ISNUMBER(B894),IF(AND(494&gt;$B$173,$B$78="Refinance",ISNUMBER($B$80),$B$80&gt;=0,$B$80&lt;=1,ROUND($B$81*12,0)&gt;=1,$B$81&lt;=100,SUM($B$82)&gt;=0,SUM($B$82)&lt;=1,SUM($B$83)&gt;=0),$B$80,IF(AND($B$175&gt;0,494&gt;$B$175,ISNUMBER($B$75)),$B$75,$B$61)),"")</x:f>
        <x:v>0.0625</x:v>
      </x:c>
      <x:c r="D894" s="440" t="n">
        <x:f>IF(AND(ISNUMBER(B894),B894=0),0,IF(AND($B$171=1,I893=0,ISNUMBER(C894),ISNUMBER(IF(AND(494&lt;=$B$174,494&lt;=$B$173),B894*C894/12,IF(AND(494=$B$173+1,AND(494&gt;$B$173,$B$78="Refinance",ISNUMBER($B$80),$B$80&gt;=0,$B$80&lt;=1,ROUND($B$81*12,0)&gt;=1,$B$81&lt;=100,SUM($B$82)&gt;=0,SUM($B$82)&lt;=1,SUM($B$83)&gt;=0)),IF(B894=0,0,IF(C894=0,B894/ROUND($B$81*12,0),B894*(C894/12)/(1-(1+C894/12)^(-ROUND($B$81*12,0))))),IF(AND(NOT(AND(494&gt;$B$173,$B$78="Refinance",ISNUMBER($B$80),$B$80&gt;=0,$B$80&lt;=1,ROUND($B$81*12,0)&gt;=1,$B$81&lt;=100,SUM($B$82)&gt;=0,SUM($B$82)&lt;=1,SUM($B$83)&gt;=0)),OR(494=1,494=$B$174+1,AND($B$175&gt;0,494=$B$175+1))),IF(AND($B$170=1,$B$66&gt;0,OR($B$175=0,494&lt;=$B$175)),$B$66,IF($B$172-MAX(494-1,$B$174)&gt;0,IF(B894=0,0,IF(C894=0,B894/($B$172-MAX(494-1,$B$174)),B894*(C894/12)/(1-(1+C894/12)^(-($B$172-MAX(494-1,$B$174)))))),"")),D893))))),IF(IF(AND(494&lt;=$B$174,494&lt;=$B$173),B894*C894/12,IF(AND(494=$B$173+1,AND(494&gt;$B$173,$B$78="Refinance",ISNUMBER($B$80),$B$80&gt;=0,$B$80&lt;=1,ROUND($B$81*12,0)&gt;=1,$B$81&lt;=100,SUM($B$82)&gt;=0,SUM($B$82)&lt;=1,SUM($B$83)&gt;=0)),IF(B894=0,0,IF(C894=0,B894/ROUND($B$81*12,0),B894*(C894/12)/(1-(1+C894/12)^(-ROUND($B$81*12,0))))),IF(AND(NOT(AND(494&gt;$B$173,$B$78="Refinance",ISNUMBER($B$80),$B$80&gt;=0,$B$80&lt;=1,ROUND($B$81*12,0)&gt;=1,$B$81&lt;=100,SUM($B$82)&gt;=0,SUM($B$82)&lt;=1,SUM($B$83)&gt;=0)),OR(494=1,494=$B$174+1,AND($B$175&gt;0,494=$B$175+1))),IF(AND($B$170=1,$B$66&gt;0,OR($B$175=0,494&lt;=$B$175)),$B$66,IF($B$172-MAX(494-1,$B$174)&gt;0,IF(B894=0,0,IF(C894=0,B894/($B$172-MAX(494-1,$B$174)),B894*(C894/12)/(1-(1+C894/12)^(-($B$172-MAX(494-1,$B$174)))))),"")),D893)))+0.0000001&gt;=B894*C894/12,MIN(B894*(1+C894/12),IF(AND(494&lt;=$B$174,494&lt;=$B$173),B894*C894/12,IF(AND(494=$B$173+1,AND(494&gt;$B$173,$B$78="Refinance",ISNUMBER($B$80),$B$80&gt;=0,$B$80&lt;=1,ROUND($B$81*12,0)&gt;=1,$B$81&lt;=100,SUM($B$82)&gt;=0,SUM($B$82)&lt;=1,SUM($B$83)&gt;=0)),IF(B894=0,0,IF(C894=0,B894/ROUND($B$81*12,0),B894*(C894/12)/(1-(1+C894/12)^(-ROUND($B$81*12,0))))),IF(AND(NOT(AND(494&gt;$B$173,$B$78="Refinance",ISNUMBER($B$80),$B$80&gt;=0,$B$80&lt;=1,ROUND($B$81*12,0)&gt;=1,$B$81&lt;=100,SUM($B$82)&gt;=0,SUM($B$82)&lt;=1,SUM($B$83)&gt;=0)),OR(494=1,494=$B$174+1,AND($B$175&gt;0,494=$B$175+1))),IF(AND($B$170=1,$B$66&gt;0,OR($B$175=0,494&lt;=$B$175)),$B$66,IF($B$172-MAX(494-1,$B$174)&gt;0,IF(B894=0,0,IF(C894=0,B894/($B$172-MAX(494-1,$B$174)),B894*(C894/12)/(1-(1+C894/12)^(-($B$172-MAX(494-1,$B$174)))))),"")),D893)))),""),""))</x:f>
        <x:v>0</x:v>
      </x:c>
      <x:c r="E894" s="440" t="n">
        <x:f>IF(AND(494=$B$173,ISNUMBER(D894)),IF(MAX(0,B894*(1+C894/12)-D894)&lt;MAX(0.0000001,$E$17*0.00000000001),0,MAX(0,B894*(1+C894/12)-D894)),0)</x:f>
        <x:v>0</x:v>
      </x:c>
      <x:c r="F894" s="440" t="n">
        <x:f>IF($B$78="Cash payoff",E894,0)</x:f>
        <x:v>0</x:v>
      </x:c>
      <x:c r="G894" s="440" t="n">
        <x:f>IF(AND(E894&gt;0,AND($B$78="Refinance",ISNUMBER($B$80),$B$80&gt;=0,$B$80&lt;=1,ROUND($B$81*12,0)&gt;=1,$B$81&lt;=100,SUM($B$82)&gt;=0,SUM($B$82)&lt;=1,SUM($B$83)&gt;=0)),E894*SUM($B$82)+SUM($B$83),0)</x:f>
        <x:v>0</x:v>
      </x:c>
      <x:c r="H894" s="440" t="n">
        <x:f>IF(ISNUMBER(D894),IF(MAX(0,B894*(1+C894/12)-D894-F894)&lt;MAX(0.0000001,$E$17*0.00000000001),0,MAX(0,B894*(1+C894/12)-D894-F894)),IF(AND($B$171=1,I893=1),B894,""))</x:f>
        <x:v>0</x:v>
      </x:c>
      <x:c r="I894" s="444" t="n">
        <x:f>IF(OR(I893=1,AND(E894&gt;0,$B$78&lt;&gt;"Cash payoff",NOT(AND($B$78="Refinance",ISNUMBER($B$80),$B$80&gt;=0,$B$80&lt;=1,ROUND($B$81*12,0)&gt;=1,$B$81&lt;=100,SUM($B$82)&gt;=0,SUM($B$82)&lt;=1,SUM($B$83)&gt;=0))),AND(ISNUMBER(B894),B894&gt;0,$B$171=1,NOT(ISNUMBER(D894)))),1,0)</x:f>
        <x:v>0</x:v>
      </x:c>
      <x:c r="J894" s="440" t="n">
        <x:f>IF(ISNUMBER(L893),L893,"")</x:f>
        <x:v>0</x:v>
      </x:c>
      <x:c r="K894" s="440" t="n">
        <x:f>IF(AND(ISNUMBER(J894),J894=0),0,IF(AND($B$176=1,ISNUMBER(J894)),MIN(J894*(1+$B$87/12),IF($B$86=0,0,IF($B$87=0,$B$86/ROUND($B$88*12,0),$B$86*($B$87/12)/(1-(1+$B$87/12)^(-ROUND($B$88*12,0)))))),""))</x:f>
        <x:v>0</x:v>
      </x:c>
      <x:c r="L894" s="440" t="n">
        <x:f>IF(ISNUMBER(K894),IF(MAX(0,J894*(1+SUM($B$87)/12)-K894)&lt;MAX(0.0000001,$B$86*0.00000000001),0,MAX(0,J894*(1+SUM($B$87)/12)-K894)),"")</x:f>
        <x:v>0</x:v>
      </x:c>
      <x:c r="M894" s="440" t="n">
        <x:f>IF(AND(ISNUMBER(D894),ISNUMBER(K894)),D894+K894,"")</x:f>
        <x:v>0</x:v>
      </x:c>
      <x:c r="N894" s="440" t="n">
        <x:f>IF(AND(ISNUMBER(H894),ISNUMBER(L894)),H894+L894,"")</x:f>
        <x:v>0</x:v>
      </x:c>
    </x:row>
    <x:row r="895" ht="22" customHeight="1">
      <x:c r="A895" s="254" t="n">
        <x:f>495</x:f>
        <x:v>495</x:v>
      </x:c>
      <x:c r="B895" s="440" t="n">
        <x:f>IF(ISNUMBER(H894),H894,"")</x:f>
        <x:v>0</x:v>
      </x:c>
      <x:c r="C895" s="442" t="n">
        <x:f>IF(ISNUMBER(B895),IF(AND(495&gt;$B$173,$B$78="Refinance",ISNUMBER($B$80),$B$80&gt;=0,$B$80&lt;=1,ROUND($B$81*12,0)&gt;=1,$B$81&lt;=100,SUM($B$82)&gt;=0,SUM($B$82)&lt;=1,SUM($B$83)&gt;=0),$B$80,IF(AND($B$175&gt;0,495&gt;$B$175,ISNUMBER($B$75)),$B$75,$B$61)),"")</x:f>
        <x:v>0.0625</x:v>
      </x:c>
      <x:c r="D895" s="440" t="n">
        <x:f>IF(AND(ISNUMBER(B895),B895=0),0,IF(AND($B$171=1,I894=0,ISNUMBER(C895),ISNUMBER(IF(AND(495&lt;=$B$174,495&lt;=$B$173),B895*C895/12,IF(AND(495=$B$173+1,AND(495&gt;$B$173,$B$78="Refinance",ISNUMBER($B$80),$B$80&gt;=0,$B$80&lt;=1,ROUND($B$81*12,0)&gt;=1,$B$81&lt;=100,SUM($B$82)&gt;=0,SUM($B$82)&lt;=1,SUM($B$83)&gt;=0)),IF(B895=0,0,IF(C895=0,B895/ROUND($B$81*12,0),B895*(C895/12)/(1-(1+C895/12)^(-ROUND($B$81*12,0))))),IF(AND(NOT(AND(495&gt;$B$173,$B$78="Refinance",ISNUMBER($B$80),$B$80&gt;=0,$B$80&lt;=1,ROUND($B$81*12,0)&gt;=1,$B$81&lt;=100,SUM($B$82)&gt;=0,SUM($B$82)&lt;=1,SUM($B$83)&gt;=0)),OR(495=1,495=$B$174+1,AND($B$175&gt;0,495=$B$175+1))),IF(AND($B$170=1,$B$66&gt;0,OR($B$175=0,495&lt;=$B$175)),$B$66,IF($B$172-MAX(495-1,$B$174)&gt;0,IF(B895=0,0,IF(C895=0,B895/($B$172-MAX(495-1,$B$174)),B895*(C895/12)/(1-(1+C895/12)^(-($B$172-MAX(495-1,$B$174)))))),"")),D894))))),IF(IF(AND(495&lt;=$B$174,495&lt;=$B$173),B895*C895/12,IF(AND(495=$B$173+1,AND(495&gt;$B$173,$B$78="Refinance",ISNUMBER($B$80),$B$80&gt;=0,$B$80&lt;=1,ROUND($B$81*12,0)&gt;=1,$B$81&lt;=100,SUM($B$82)&gt;=0,SUM($B$82)&lt;=1,SUM($B$83)&gt;=0)),IF(B895=0,0,IF(C895=0,B895/ROUND($B$81*12,0),B895*(C895/12)/(1-(1+C895/12)^(-ROUND($B$81*12,0))))),IF(AND(NOT(AND(495&gt;$B$173,$B$78="Refinance",ISNUMBER($B$80),$B$80&gt;=0,$B$80&lt;=1,ROUND($B$81*12,0)&gt;=1,$B$81&lt;=100,SUM($B$82)&gt;=0,SUM($B$82)&lt;=1,SUM($B$83)&gt;=0)),OR(495=1,495=$B$174+1,AND($B$175&gt;0,495=$B$175+1))),IF(AND($B$170=1,$B$66&gt;0,OR($B$175=0,495&lt;=$B$175)),$B$66,IF($B$172-MAX(495-1,$B$174)&gt;0,IF(B895=0,0,IF(C895=0,B895/($B$172-MAX(495-1,$B$174)),B895*(C895/12)/(1-(1+C895/12)^(-($B$172-MAX(495-1,$B$174)))))),"")),D894)))+0.0000001&gt;=B895*C895/12,MIN(B895*(1+C895/12),IF(AND(495&lt;=$B$174,495&lt;=$B$173),B895*C895/12,IF(AND(495=$B$173+1,AND(495&gt;$B$173,$B$78="Refinance",ISNUMBER($B$80),$B$80&gt;=0,$B$80&lt;=1,ROUND($B$81*12,0)&gt;=1,$B$81&lt;=100,SUM($B$82)&gt;=0,SUM($B$82)&lt;=1,SUM($B$83)&gt;=0)),IF(B895=0,0,IF(C895=0,B895/ROUND($B$81*12,0),B895*(C895/12)/(1-(1+C895/12)^(-ROUND($B$81*12,0))))),IF(AND(NOT(AND(495&gt;$B$173,$B$78="Refinance",ISNUMBER($B$80),$B$80&gt;=0,$B$80&lt;=1,ROUND($B$81*12,0)&gt;=1,$B$81&lt;=100,SUM($B$82)&gt;=0,SUM($B$82)&lt;=1,SUM($B$83)&gt;=0)),OR(495=1,495=$B$174+1,AND($B$175&gt;0,495=$B$175+1))),IF(AND($B$170=1,$B$66&gt;0,OR($B$175=0,495&lt;=$B$175)),$B$66,IF($B$172-MAX(495-1,$B$174)&gt;0,IF(B895=0,0,IF(C895=0,B895/($B$172-MAX(495-1,$B$174)),B895*(C895/12)/(1-(1+C895/12)^(-($B$172-MAX(495-1,$B$174)))))),"")),D894)))),""),""))</x:f>
        <x:v>0</x:v>
      </x:c>
      <x:c r="E895" s="440" t="n">
        <x:f>IF(AND(495=$B$173,ISNUMBER(D895)),IF(MAX(0,B895*(1+C895/12)-D895)&lt;MAX(0.0000001,$E$17*0.00000000001),0,MAX(0,B895*(1+C895/12)-D895)),0)</x:f>
        <x:v>0</x:v>
      </x:c>
      <x:c r="F895" s="440" t="n">
        <x:f>IF($B$78="Cash payoff",E895,0)</x:f>
        <x:v>0</x:v>
      </x:c>
      <x:c r="G895" s="440" t="n">
        <x:f>IF(AND(E895&gt;0,AND($B$78="Refinance",ISNUMBER($B$80),$B$80&gt;=0,$B$80&lt;=1,ROUND($B$81*12,0)&gt;=1,$B$81&lt;=100,SUM($B$82)&gt;=0,SUM($B$82)&lt;=1,SUM($B$83)&gt;=0)),E895*SUM($B$82)+SUM($B$83),0)</x:f>
        <x:v>0</x:v>
      </x:c>
      <x:c r="H895" s="440" t="n">
        <x:f>IF(ISNUMBER(D895),IF(MAX(0,B895*(1+C895/12)-D895-F895)&lt;MAX(0.0000001,$E$17*0.00000000001),0,MAX(0,B895*(1+C895/12)-D895-F895)),IF(AND($B$171=1,I894=1),B895,""))</x:f>
        <x:v>0</x:v>
      </x:c>
      <x:c r="I895" s="444" t="n">
        <x:f>IF(OR(I894=1,AND(E895&gt;0,$B$78&lt;&gt;"Cash payoff",NOT(AND($B$78="Refinance",ISNUMBER($B$80),$B$80&gt;=0,$B$80&lt;=1,ROUND($B$81*12,0)&gt;=1,$B$81&lt;=100,SUM($B$82)&gt;=0,SUM($B$82)&lt;=1,SUM($B$83)&gt;=0))),AND(ISNUMBER(B895),B895&gt;0,$B$171=1,NOT(ISNUMBER(D895)))),1,0)</x:f>
        <x:v>0</x:v>
      </x:c>
      <x:c r="J895" s="440" t="n">
        <x:f>IF(ISNUMBER(L894),L894,"")</x:f>
        <x:v>0</x:v>
      </x:c>
      <x:c r="K895" s="440" t="n">
        <x:f>IF(AND(ISNUMBER(J895),J895=0),0,IF(AND($B$176=1,ISNUMBER(J895)),MIN(J895*(1+$B$87/12),IF($B$86=0,0,IF($B$87=0,$B$86/ROUND($B$88*12,0),$B$86*($B$87/12)/(1-(1+$B$87/12)^(-ROUND($B$88*12,0)))))),""))</x:f>
        <x:v>0</x:v>
      </x:c>
      <x:c r="L895" s="440" t="n">
        <x:f>IF(ISNUMBER(K895),IF(MAX(0,J895*(1+SUM($B$87)/12)-K895)&lt;MAX(0.0000001,$B$86*0.00000000001),0,MAX(0,J895*(1+SUM($B$87)/12)-K895)),"")</x:f>
        <x:v>0</x:v>
      </x:c>
      <x:c r="M895" s="440" t="n">
        <x:f>IF(AND(ISNUMBER(D895),ISNUMBER(K895)),D895+K895,"")</x:f>
        <x:v>0</x:v>
      </x:c>
      <x:c r="N895" s="440" t="n">
        <x:f>IF(AND(ISNUMBER(H895),ISNUMBER(L895)),H895+L895,"")</x:f>
        <x:v>0</x:v>
      </x:c>
    </x:row>
    <x:row r="896" ht="22" customHeight="1">
      <x:c r="A896" s="254" t="n">
        <x:f>496</x:f>
        <x:v>496</x:v>
      </x:c>
      <x:c r="B896" s="440" t="n">
        <x:f>IF(ISNUMBER(H895),H895,"")</x:f>
        <x:v>0</x:v>
      </x:c>
      <x:c r="C896" s="442" t="n">
        <x:f>IF(ISNUMBER(B896),IF(AND(496&gt;$B$173,$B$78="Refinance",ISNUMBER($B$80),$B$80&gt;=0,$B$80&lt;=1,ROUND($B$81*12,0)&gt;=1,$B$81&lt;=100,SUM($B$82)&gt;=0,SUM($B$82)&lt;=1,SUM($B$83)&gt;=0),$B$80,IF(AND($B$175&gt;0,496&gt;$B$175,ISNUMBER($B$75)),$B$75,$B$61)),"")</x:f>
        <x:v>0.0625</x:v>
      </x:c>
      <x:c r="D896" s="440" t="n">
        <x:f>IF(AND(ISNUMBER(B896),B896=0),0,IF(AND($B$171=1,I895=0,ISNUMBER(C896),ISNUMBER(IF(AND(496&lt;=$B$174,496&lt;=$B$173),B896*C896/12,IF(AND(496=$B$173+1,AND(496&gt;$B$173,$B$78="Refinance",ISNUMBER($B$80),$B$80&gt;=0,$B$80&lt;=1,ROUND($B$81*12,0)&gt;=1,$B$81&lt;=100,SUM($B$82)&gt;=0,SUM($B$82)&lt;=1,SUM($B$83)&gt;=0)),IF(B896=0,0,IF(C896=0,B896/ROUND($B$81*12,0),B896*(C896/12)/(1-(1+C896/12)^(-ROUND($B$81*12,0))))),IF(AND(NOT(AND(496&gt;$B$173,$B$78="Refinance",ISNUMBER($B$80),$B$80&gt;=0,$B$80&lt;=1,ROUND($B$81*12,0)&gt;=1,$B$81&lt;=100,SUM($B$82)&gt;=0,SUM($B$82)&lt;=1,SUM($B$83)&gt;=0)),OR(496=1,496=$B$174+1,AND($B$175&gt;0,496=$B$175+1))),IF(AND($B$170=1,$B$66&gt;0,OR($B$175=0,496&lt;=$B$175)),$B$66,IF($B$172-MAX(496-1,$B$174)&gt;0,IF(B896=0,0,IF(C896=0,B896/($B$172-MAX(496-1,$B$174)),B896*(C896/12)/(1-(1+C896/12)^(-($B$172-MAX(496-1,$B$174)))))),"")),D895))))),IF(IF(AND(496&lt;=$B$174,496&lt;=$B$173),B896*C896/12,IF(AND(496=$B$173+1,AND(496&gt;$B$173,$B$78="Refinance",ISNUMBER($B$80),$B$80&gt;=0,$B$80&lt;=1,ROUND($B$81*12,0)&gt;=1,$B$81&lt;=100,SUM($B$82)&gt;=0,SUM($B$82)&lt;=1,SUM($B$83)&gt;=0)),IF(B896=0,0,IF(C896=0,B896/ROUND($B$81*12,0),B896*(C896/12)/(1-(1+C896/12)^(-ROUND($B$81*12,0))))),IF(AND(NOT(AND(496&gt;$B$173,$B$78="Refinance",ISNUMBER($B$80),$B$80&gt;=0,$B$80&lt;=1,ROUND($B$81*12,0)&gt;=1,$B$81&lt;=100,SUM($B$82)&gt;=0,SUM($B$82)&lt;=1,SUM($B$83)&gt;=0)),OR(496=1,496=$B$174+1,AND($B$175&gt;0,496=$B$175+1))),IF(AND($B$170=1,$B$66&gt;0,OR($B$175=0,496&lt;=$B$175)),$B$66,IF($B$172-MAX(496-1,$B$174)&gt;0,IF(B896=0,0,IF(C896=0,B896/($B$172-MAX(496-1,$B$174)),B896*(C896/12)/(1-(1+C896/12)^(-($B$172-MAX(496-1,$B$174)))))),"")),D895)))+0.0000001&gt;=B896*C896/12,MIN(B896*(1+C896/12),IF(AND(496&lt;=$B$174,496&lt;=$B$173),B896*C896/12,IF(AND(496=$B$173+1,AND(496&gt;$B$173,$B$78="Refinance",ISNUMBER($B$80),$B$80&gt;=0,$B$80&lt;=1,ROUND($B$81*12,0)&gt;=1,$B$81&lt;=100,SUM($B$82)&gt;=0,SUM($B$82)&lt;=1,SUM($B$83)&gt;=0)),IF(B896=0,0,IF(C896=0,B896/ROUND($B$81*12,0),B896*(C896/12)/(1-(1+C896/12)^(-ROUND($B$81*12,0))))),IF(AND(NOT(AND(496&gt;$B$173,$B$78="Refinance",ISNUMBER($B$80),$B$80&gt;=0,$B$80&lt;=1,ROUND($B$81*12,0)&gt;=1,$B$81&lt;=100,SUM($B$82)&gt;=0,SUM($B$82)&lt;=1,SUM($B$83)&gt;=0)),OR(496=1,496=$B$174+1,AND($B$175&gt;0,496=$B$175+1))),IF(AND($B$170=1,$B$66&gt;0,OR($B$175=0,496&lt;=$B$175)),$B$66,IF($B$172-MAX(496-1,$B$174)&gt;0,IF(B896=0,0,IF(C896=0,B896/($B$172-MAX(496-1,$B$174)),B896*(C896/12)/(1-(1+C896/12)^(-($B$172-MAX(496-1,$B$174)))))),"")),D895)))),""),""))</x:f>
        <x:v>0</x:v>
      </x:c>
      <x:c r="E896" s="440" t="n">
        <x:f>IF(AND(496=$B$173,ISNUMBER(D896)),IF(MAX(0,B896*(1+C896/12)-D896)&lt;MAX(0.0000001,$E$17*0.00000000001),0,MAX(0,B896*(1+C896/12)-D896)),0)</x:f>
        <x:v>0</x:v>
      </x:c>
      <x:c r="F896" s="440" t="n">
        <x:f>IF($B$78="Cash payoff",E896,0)</x:f>
        <x:v>0</x:v>
      </x:c>
      <x:c r="G896" s="440" t="n">
        <x:f>IF(AND(E896&gt;0,AND($B$78="Refinance",ISNUMBER($B$80),$B$80&gt;=0,$B$80&lt;=1,ROUND($B$81*12,0)&gt;=1,$B$81&lt;=100,SUM($B$82)&gt;=0,SUM($B$82)&lt;=1,SUM($B$83)&gt;=0)),E896*SUM($B$82)+SUM($B$83),0)</x:f>
        <x:v>0</x:v>
      </x:c>
      <x:c r="H896" s="440" t="n">
        <x:f>IF(ISNUMBER(D896),IF(MAX(0,B896*(1+C896/12)-D896-F896)&lt;MAX(0.0000001,$E$17*0.00000000001),0,MAX(0,B896*(1+C896/12)-D896-F896)),IF(AND($B$171=1,I895=1),B896,""))</x:f>
        <x:v>0</x:v>
      </x:c>
      <x:c r="I896" s="444" t="n">
        <x:f>IF(OR(I895=1,AND(E896&gt;0,$B$78&lt;&gt;"Cash payoff",NOT(AND($B$78="Refinance",ISNUMBER($B$80),$B$80&gt;=0,$B$80&lt;=1,ROUND($B$81*12,0)&gt;=1,$B$81&lt;=100,SUM($B$82)&gt;=0,SUM($B$82)&lt;=1,SUM($B$83)&gt;=0))),AND(ISNUMBER(B896),B896&gt;0,$B$171=1,NOT(ISNUMBER(D896)))),1,0)</x:f>
        <x:v>0</x:v>
      </x:c>
      <x:c r="J896" s="440" t="n">
        <x:f>IF(ISNUMBER(L895),L895,"")</x:f>
        <x:v>0</x:v>
      </x:c>
      <x:c r="K896" s="440" t="n">
        <x:f>IF(AND(ISNUMBER(J896),J896=0),0,IF(AND($B$176=1,ISNUMBER(J896)),MIN(J896*(1+$B$87/12),IF($B$86=0,0,IF($B$87=0,$B$86/ROUND($B$88*12,0),$B$86*($B$87/12)/(1-(1+$B$87/12)^(-ROUND($B$88*12,0)))))),""))</x:f>
        <x:v>0</x:v>
      </x:c>
      <x:c r="L896" s="440" t="n">
        <x:f>IF(ISNUMBER(K896),IF(MAX(0,J896*(1+SUM($B$87)/12)-K896)&lt;MAX(0.0000001,$B$86*0.00000000001),0,MAX(0,J896*(1+SUM($B$87)/12)-K896)),"")</x:f>
        <x:v>0</x:v>
      </x:c>
      <x:c r="M896" s="440" t="n">
        <x:f>IF(AND(ISNUMBER(D896),ISNUMBER(K896)),D896+K896,"")</x:f>
        <x:v>0</x:v>
      </x:c>
      <x:c r="N896" s="440" t="n">
        <x:f>IF(AND(ISNUMBER(H896),ISNUMBER(L896)),H896+L896,"")</x:f>
        <x:v>0</x:v>
      </x:c>
    </x:row>
    <x:row r="897" ht="22" customHeight="1">
      <x:c r="A897" s="254" t="n">
        <x:f>497</x:f>
        <x:v>497</x:v>
      </x:c>
      <x:c r="B897" s="440" t="n">
        <x:f>IF(ISNUMBER(H896),H896,"")</x:f>
        <x:v>0</x:v>
      </x:c>
      <x:c r="C897" s="442" t="n">
        <x:f>IF(ISNUMBER(B897),IF(AND(497&gt;$B$173,$B$78="Refinance",ISNUMBER($B$80),$B$80&gt;=0,$B$80&lt;=1,ROUND($B$81*12,0)&gt;=1,$B$81&lt;=100,SUM($B$82)&gt;=0,SUM($B$82)&lt;=1,SUM($B$83)&gt;=0),$B$80,IF(AND($B$175&gt;0,497&gt;$B$175,ISNUMBER($B$75)),$B$75,$B$61)),"")</x:f>
        <x:v>0.0625</x:v>
      </x:c>
      <x:c r="D897" s="440" t="n">
        <x:f>IF(AND(ISNUMBER(B897),B897=0),0,IF(AND($B$171=1,I896=0,ISNUMBER(C897),ISNUMBER(IF(AND(497&lt;=$B$174,497&lt;=$B$173),B897*C897/12,IF(AND(497=$B$173+1,AND(497&gt;$B$173,$B$78="Refinance",ISNUMBER($B$80),$B$80&gt;=0,$B$80&lt;=1,ROUND($B$81*12,0)&gt;=1,$B$81&lt;=100,SUM($B$82)&gt;=0,SUM($B$82)&lt;=1,SUM($B$83)&gt;=0)),IF(B897=0,0,IF(C897=0,B897/ROUND($B$81*12,0),B897*(C897/12)/(1-(1+C897/12)^(-ROUND($B$81*12,0))))),IF(AND(NOT(AND(497&gt;$B$173,$B$78="Refinance",ISNUMBER($B$80),$B$80&gt;=0,$B$80&lt;=1,ROUND($B$81*12,0)&gt;=1,$B$81&lt;=100,SUM($B$82)&gt;=0,SUM($B$82)&lt;=1,SUM($B$83)&gt;=0)),OR(497=1,497=$B$174+1,AND($B$175&gt;0,497=$B$175+1))),IF(AND($B$170=1,$B$66&gt;0,OR($B$175=0,497&lt;=$B$175)),$B$66,IF($B$172-MAX(497-1,$B$174)&gt;0,IF(B897=0,0,IF(C897=0,B897/($B$172-MAX(497-1,$B$174)),B897*(C897/12)/(1-(1+C897/12)^(-($B$172-MAX(497-1,$B$174)))))),"")),D896))))),IF(IF(AND(497&lt;=$B$174,497&lt;=$B$173),B897*C897/12,IF(AND(497=$B$173+1,AND(497&gt;$B$173,$B$78="Refinance",ISNUMBER($B$80),$B$80&gt;=0,$B$80&lt;=1,ROUND($B$81*12,0)&gt;=1,$B$81&lt;=100,SUM($B$82)&gt;=0,SUM($B$82)&lt;=1,SUM($B$83)&gt;=0)),IF(B897=0,0,IF(C897=0,B897/ROUND($B$81*12,0),B897*(C897/12)/(1-(1+C897/12)^(-ROUND($B$81*12,0))))),IF(AND(NOT(AND(497&gt;$B$173,$B$78="Refinance",ISNUMBER($B$80),$B$80&gt;=0,$B$80&lt;=1,ROUND($B$81*12,0)&gt;=1,$B$81&lt;=100,SUM($B$82)&gt;=0,SUM($B$82)&lt;=1,SUM($B$83)&gt;=0)),OR(497=1,497=$B$174+1,AND($B$175&gt;0,497=$B$175+1))),IF(AND($B$170=1,$B$66&gt;0,OR($B$175=0,497&lt;=$B$175)),$B$66,IF($B$172-MAX(497-1,$B$174)&gt;0,IF(B897=0,0,IF(C897=0,B897/($B$172-MAX(497-1,$B$174)),B897*(C897/12)/(1-(1+C897/12)^(-($B$172-MAX(497-1,$B$174)))))),"")),D896)))+0.0000001&gt;=B897*C897/12,MIN(B897*(1+C897/12),IF(AND(497&lt;=$B$174,497&lt;=$B$173),B897*C897/12,IF(AND(497=$B$173+1,AND(497&gt;$B$173,$B$78="Refinance",ISNUMBER($B$80),$B$80&gt;=0,$B$80&lt;=1,ROUND($B$81*12,0)&gt;=1,$B$81&lt;=100,SUM($B$82)&gt;=0,SUM($B$82)&lt;=1,SUM($B$83)&gt;=0)),IF(B897=0,0,IF(C897=0,B897/ROUND($B$81*12,0),B897*(C897/12)/(1-(1+C897/12)^(-ROUND($B$81*12,0))))),IF(AND(NOT(AND(497&gt;$B$173,$B$78="Refinance",ISNUMBER($B$80),$B$80&gt;=0,$B$80&lt;=1,ROUND($B$81*12,0)&gt;=1,$B$81&lt;=100,SUM($B$82)&gt;=0,SUM($B$82)&lt;=1,SUM($B$83)&gt;=0)),OR(497=1,497=$B$174+1,AND($B$175&gt;0,497=$B$175+1))),IF(AND($B$170=1,$B$66&gt;0,OR($B$175=0,497&lt;=$B$175)),$B$66,IF($B$172-MAX(497-1,$B$174)&gt;0,IF(B897=0,0,IF(C897=0,B897/($B$172-MAX(497-1,$B$174)),B897*(C897/12)/(1-(1+C897/12)^(-($B$172-MAX(497-1,$B$174)))))),"")),D896)))),""),""))</x:f>
        <x:v>0</x:v>
      </x:c>
      <x:c r="E897" s="440" t="n">
        <x:f>IF(AND(497=$B$173,ISNUMBER(D897)),IF(MAX(0,B897*(1+C897/12)-D897)&lt;MAX(0.0000001,$E$17*0.00000000001),0,MAX(0,B897*(1+C897/12)-D897)),0)</x:f>
        <x:v>0</x:v>
      </x:c>
      <x:c r="F897" s="440" t="n">
        <x:f>IF($B$78="Cash payoff",E897,0)</x:f>
        <x:v>0</x:v>
      </x:c>
      <x:c r="G897" s="440" t="n">
        <x:f>IF(AND(E897&gt;0,AND($B$78="Refinance",ISNUMBER($B$80),$B$80&gt;=0,$B$80&lt;=1,ROUND($B$81*12,0)&gt;=1,$B$81&lt;=100,SUM($B$82)&gt;=0,SUM($B$82)&lt;=1,SUM($B$83)&gt;=0)),E897*SUM($B$82)+SUM($B$83),0)</x:f>
        <x:v>0</x:v>
      </x:c>
      <x:c r="H897" s="440" t="n">
        <x:f>IF(ISNUMBER(D897),IF(MAX(0,B897*(1+C897/12)-D897-F897)&lt;MAX(0.0000001,$E$17*0.00000000001),0,MAX(0,B897*(1+C897/12)-D897-F897)),IF(AND($B$171=1,I896=1),B897,""))</x:f>
        <x:v>0</x:v>
      </x:c>
      <x:c r="I897" s="444" t="n">
        <x:f>IF(OR(I896=1,AND(E897&gt;0,$B$78&lt;&gt;"Cash payoff",NOT(AND($B$78="Refinance",ISNUMBER($B$80),$B$80&gt;=0,$B$80&lt;=1,ROUND($B$81*12,0)&gt;=1,$B$81&lt;=100,SUM($B$82)&gt;=0,SUM($B$82)&lt;=1,SUM($B$83)&gt;=0))),AND(ISNUMBER(B897),B897&gt;0,$B$171=1,NOT(ISNUMBER(D897)))),1,0)</x:f>
        <x:v>0</x:v>
      </x:c>
      <x:c r="J897" s="440" t="n">
        <x:f>IF(ISNUMBER(L896),L896,"")</x:f>
        <x:v>0</x:v>
      </x:c>
      <x:c r="K897" s="440" t="n">
        <x:f>IF(AND(ISNUMBER(J897),J897=0),0,IF(AND($B$176=1,ISNUMBER(J897)),MIN(J897*(1+$B$87/12),IF($B$86=0,0,IF($B$87=0,$B$86/ROUND($B$88*12,0),$B$86*($B$87/12)/(1-(1+$B$87/12)^(-ROUND($B$88*12,0)))))),""))</x:f>
        <x:v>0</x:v>
      </x:c>
      <x:c r="L897" s="440" t="n">
        <x:f>IF(ISNUMBER(K897),IF(MAX(0,J897*(1+SUM($B$87)/12)-K897)&lt;MAX(0.0000001,$B$86*0.00000000001),0,MAX(0,J897*(1+SUM($B$87)/12)-K897)),"")</x:f>
        <x:v>0</x:v>
      </x:c>
      <x:c r="M897" s="440" t="n">
        <x:f>IF(AND(ISNUMBER(D897),ISNUMBER(K897)),D897+K897,"")</x:f>
        <x:v>0</x:v>
      </x:c>
      <x:c r="N897" s="440" t="n">
        <x:f>IF(AND(ISNUMBER(H897),ISNUMBER(L897)),H897+L897,"")</x:f>
        <x:v>0</x:v>
      </x:c>
    </x:row>
    <x:row r="898" ht="22" customHeight="1">
      <x:c r="A898" s="254" t="n">
        <x:f>498</x:f>
        <x:v>498</x:v>
      </x:c>
      <x:c r="B898" s="440" t="n">
        <x:f>IF(ISNUMBER(H897),H897,"")</x:f>
        <x:v>0</x:v>
      </x:c>
      <x:c r="C898" s="442" t="n">
        <x:f>IF(ISNUMBER(B898),IF(AND(498&gt;$B$173,$B$78="Refinance",ISNUMBER($B$80),$B$80&gt;=0,$B$80&lt;=1,ROUND($B$81*12,0)&gt;=1,$B$81&lt;=100,SUM($B$82)&gt;=0,SUM($B$82)&lt;=1,SUM($B$83)&gt;=0),$B$80,IF(AND($B$175&gt;0,498&gt;$B$175,ISNUMBER($B$75)),$B$75,$B$61)),"")</x:f>
        <x:v>0.0625</x:v>
      </x:c>
      <x:c r="D898" s="440" t="n">
        <x:f>IF(AND(ISNUMBER(B898),B898=0),0,IF(AND($B$171=1,I897=0,ISNUMBER(C898),ISNUMBER(IF(AND(498&lt;=$B$174,498&lt;=$B$173),B898*C898/12,IF(AND(498=$B$173+1,AND(498&gt;$B$173,$B$78="Refinance",ISNUMBER($B$80),$B$80&gt;=0,$B$80&lt;=1,ROUND($B$81*12,0)&gt;=1,$B$81&lt;=100,SUM($B$82)&gt;=0,SUM($B$82)&lt;=1,SUM($B$83)&gt;=0)),IF(B898=0,0,IF(C898=0,B898/ROUND($B$81*12,0),B898*(C898/12)/(1-(1+C898/12)^(-ROUND($B$81*12,0))))),IF(AND(NOT(AND(498&gt;$B$173,$B$78="Refinance",ISNUMBER($B$80),$B$80&gt;=0,$B$80&lt;=1,ROUND($B$81*12,0)&gt;=1,$B$81&lt;=100,SUM($B$82)&gt;=0,SUM($B$82)&lt;=1,SUM($B$83)&gt;=0)),OR(498=1,498=$B$174+1,AND($B$175&gt;0,498=$B$175+1))),IF(AND($B$170=1,$B$66&gt;0,OR($B$175=0,498&lt;=$B$175)),$B$66,IF($B$172-MAX(498-1,$B$174)&gt;0,IF(B898=0,0,IF(C898=0,B898/($B$172-MAX(498-1,$B$174)),B898*(C898/12)/(1-(1+C898/12)^(-($B$172-MAX(498-1,$B$174)))))),"")),D897))))),IF(IF(AND(498&lt;=$B$174,498&lt;=$B$173),B898*C898/12,IF(AND(498=$B$173+1,AND(498&gt;$B$173,$B$78="Refinance",ISNUMBER($B$80),$B$80&gt;=0,$B$80&lt;=1,ROUND($B$81*12,0)&gt;=1,$B$81&lt;=100,SUM($B$82)&gt;=0,SUM($B$82)&lt;=1,SUM($B$83)&gt;=0)),IF(B898=0,0,IF(C898=0,B898/ROUND($B$81*12,0),B898*(C898/12)/(1-(1+C898/12)^(-ROUND($B$81*12,0))))),IF(AND(NOT(AND(498&gt;$B$173,$B$78="Refinance",ISNUMBER($B$80),$B$80&gt;=0,$B$80&lt;=1,ROUND($B$81*12,0)&gt;=1,$B$81&lt;=100,SUM($B$82)&gt;=0,SUM($B$82)&lt;=1,SUM($B$83)&gt;=0)),OR(498=1,498=$B$174+1,AND($B$175&gt;0,498=$B$175+1))),IF(AND($B$170=1,$B$66&gt;0,OR($B$175=0,498&lt;=$B$175)),$B$66,IF($B$172-MAX(498-1,$B$174)&gt;0,IF(B898=0,0,IF(C898=0,B898/($B$172-MAX(498-1,$B$174)),B898*(C898/12)/(1-(1+C898/12)^(-($B$172-MAX(498-1,$B$174)))))),"")),D897)))+0.0000001&gt;=B898*C898/12,MIN(B898*(1+C898/12),IF(AND(498&lt;=$B$174,498&lt;=$B$173),B898*C898/12,IF(AND(498=$B$173+1,AND(498&gt;$B$173,$B$78="Refinance",ISNUMBER($B$80),$B$80&gt;=0,$B$80&lt;=1,ROUND($B$81*12,0)&gt;=1,$B$81&lt;=100,SUM($B$82)&gt;=0,SUM($B$82)&lt;=1,SUM($B$83)&gt;=0)),IF(B898=0,0,IF(C898=0,B898/ROUND($B$81*12,0),B898*(C898/12)/(1-(1+C898/12)^(-ROUND($B$81*12,0))))),IF(AND(NOT(AND(498&gt;$B$173,$B$78="Refinance",ISNUMBER($B$80),$B$80&gt;=0,$B$80&lt;=1,ROUND($B$81*12,0)&gt;=1,$B$81&lt;=100,SUM($B$82)&gt;=0,SUM($B$82)&lt;=1,SUM($B$83)&gt;=0)),OR(498=1,498=$B$174+1,AND($B$175&gt;0,498=$B$175+1))),IF(AND($B$170=1,$B$66&gt;0,OR($B$175=0,498&lt;=$B$175)),$B$66,IF($B$172-MAX(498-1,$B$174)&gt;0,IF(B898=0,0,IF(C898=0,B898/($B$172-MAX(498-1,$B$174)),B898*(C898/12)/(1-(1+C898/12)^(-($B$172-MAX(498-1,$B$174)))))),"")),D897)))),""),""))</x:f>
        <x:v>0</x:v>
      </x:c>
      <x:c r="E898" s="440" t="n">
        <x:f>IF(AND(498=$B$173,ISNUMBER(D898)),IF(MAX(0,B898*(1+C898/12)-D898)&lt;MAX(0.0000001,$E$17*0.00000000001),0,MAX(0,B898*(1+C898/12)-D898)),0)</x:f>
        <x:v>0</x:v>
      </x:c>
      <x:c r="F898" s="440" t="n">
        <x:f>IF($B$78="Cash payoff",E898,0)</x:f>
        <x:v>0</x:v>
      </x:c>
      <x:c r="G898" s="440" t="n">
        <x:f>IF(AND(E898&gt;0,AND($B$78="Refinance",ISNUMBER($B$80),$B$80&gt;=0,$B$80&lt;=1,ROUND($B$81*12,0)&gt;=1,$B$81&lt;=100,SUM($B$82)&gt;=0,SUM($B$82)&lt;=1,SUM($B$83)&gt;=0)),E898*SUM($B$82)+SUM($B$83),0)</x:f>
        <x:v>0</x:v>
      </x:c>
      <x:c r="H898" s="440" t="n">
        <x:f>IF(ISNUMBER(D898),IF(MAX(0,B898*(1+C898/12)-D898-F898)&lt;MAX(0.0000001,$E$17*0.00000000001),0,MAX(0,B898*(1+C898/12)-D898-F898)),IF(AND($B$171=1,I897=1),B898,""))</x:f>
        <x:v>0</x:v>
      </x:c>
      <x:c r="I898" s="444" t="n">
        <x:f>IF(OR(I897=1,AND(E898&gt;0,$B$78&lt;&gt;"Cash payoff",NOT(AND($B$78="Refinance",ISNUMBER($B$80),$B$80&gt;=0,$B$80&lt;=1,ROUND($B$81*12,0)&gt;=1,$B$81&lt;=100,SUM($B$82)&gt;=0,SUM($B$82)&lt;=1,SUM($B$83)&gt;=0))),AND(ISNUMBER(B898),B898&gt;0,$B$171=1,NOT(ISNUMBER(D898)))),1,0)</x:f>
        <x:v>0</x:v>
      </x:c>
      <x:c r="J898" s="440" t="n">
        <x:f>IF(ISNUMBER(L897),L897,"")</x:f>
        <x:v>0</x:v>
      </x:c>
      <x:c r="K898" s="440" t="n">
        <x:f>IF(AND(ISNUMBER(J898),J898=0),0,IF(AND($B$176=1,ISNUMBER(J898)),MIN(J898*(1+$B$87/12),IF($B$86=0,0,IF($B$87=0,$B$86/ROUND($B$88*12,0),$B$86*($B$87/12)/(1-(1+$B$87/12)^(-ROUND($B$88*12,0)))))),""))</x:f>
        <x:v>0</x:v>
      </x:c>
      <x:c r="L898" s="440" t="n">
        <x:f>IF(ISNUMBER(K898),IF(MAX(0,J898*(1+SUM($B$87)/12)-K898)&lt;MAX(0.0000001,$B$86*0.00000000001),0,MAX(0,J898*(1+SUM($B$87)/12)-K898)),"")</x:f>
        <x:v>0</x:v>
      </x:c>
      <x:c r="M898" s="440" t="n">
        <x:f>IF(AND(ISNUMBER(D898),ISNUMBER(K898)),D898+K898,"")</x:f>
        <x:v>0</x:v>
      </x:c>
      <x:c r="N898" s="440" t="n">
        <x:f>IF(AND(ISNUMBER(H898),ISNUMBER(L898)),H898+L898,"")</x:f>
        <x:v>0</x:v>
      </x:c>
    </x:row>
    <x:row r="899" ht="22" customHeight="1">
      <x:c r="A899" s="254" t="n">
        <x:f>499</x:f>
        <x:v>499</x:v>
      </x:c>
      <x:c r="B899" s="440" t="n">
        <x:f>IF(ISNUMBER(H898),H898,"")</x:f>
        <x:v>0</x:v>
      </x:c>
      <x:c r="C899" s="442" t="n">
        <x:f>IF(ISNUMBER(B899),IF(AND(499&gt;$B$173,$B$78="Refinance",ISNUMBER($B$80),$B$80&gt;=0,$B$80&lt;=1,ROUND($B$81*12,0)&gt;=1,$B$81&lt;=100,SUM($B$82)&gt;=0,SUM($B$82)&lt;=1,SUM($B$83)&gt;=0),$B$80,IF(AND($B$175&gt;0,499&gt;$B$175,ISNUMBER($B$75)),$B$75,$B$61)),"")</x:f>
        <x:v>0.0625</x:v>
      </x:c>
      <x:c r="D899" s="440" t="n">
        <x:f>IF(AND(ISNUMBER(B899),B899=0),0,IF(AND($B$171=1,I898=0,ISNUMBER(C899),ISNUMBER(IF(AND(499&lt;=$B$174,499&lt;=$B$173),B899*C899/12,IF(AND(499=$B$173+1,AND(499&gt;$B$173,$B$78="Refinance",ISNUMBER($B$80),$B$80&gt;=0,$B$80&lt;=1,ROUND($B$81*12,0)&gt;=1,$B$81&lt;=100,SUM($B$82)&gt;=0,SUM($B$82)&lt;=1,SUM($B$83)&gt;=0)),IF(B899=0,0,IF(C899=0,B899/ROUND($B$81*12,0),B899*(C899/12)/(1-(1+C899/12)^(-ROUND($B$81*12,0))))),IF(AND(NOT(AND(499&gt;$B$173,$B$78="Refinance",ISNUMBER($B$80),$B$80&gt;=0,$B$80&lt;=1,ROUND($B$81*12,0)&gt;=1,$B$81&lt;=100,SUM($B$82)&gt;=0,SUM($B$82)&lt;=1,SUM($B$83)&gt;=0)),OR(499=1,499=$B$174+1,AND($B$175&gt;0,499=$B$175+1))),IF(AND($B$170=1,$B$66&gt;0,OR($B$175=0,499&lt;=$B$175)),$B$66,IF($B$172-MAX(499-1,$B$174)&gt;0,IF(B899=0,0,IF(C899=0,B899/($B$172-MAX(499-1,$B$174)),B899*(C899/12)/(1-(1+C899/12)^(-($B$172-MAX(499-1,$B$174)))))),"")),D898))))),IF(IF(AND(499&lt;=$B$174,499&lt;=$B$173),B899*C899/12,IF(AND(499=$B$173+1,AND(499&gt;$B$173,$B$78="Refinance",ISNUMBER($B$80),$B$80&gt;=0,$B$80&lt;=1,ROUND($B$81*12,0)&gt;=1,$B$81&lt;=100,SUM($B$82)&gt;=0,SUM($B$82)&lt;=1,SUM($B$83)&gt;=0)),IF(B899=0,0,IF(C899=0,B899/ROUND($B$81*12,0),B899*(C899/12)/(1-(1+C899/12)^(-ROUND($B$81*12,0))))),IF(AND(NOT(AND(499&gt;$B$173,$B$78="Refinance",ISNUMBER($B$80),$B$80&gt;=0,$B$80&lt;=1,ROUND($B$81*12,0)&gt;=1,$B$81&lt;=100,SUM($B$82)&gt;=0,SUM($B$82)&lt;=1,SUM($B$83)&gt;=0)),OR(499=1,499=$B$174+1,AND($B$175&gt;0,499=$B$175+1))),IF(AND($B$170=1,$B$66&gt;0,OR($B$175=0,499&lt;=$B$175)),$B$66,IF($B$172-MAX(499-1,$B$174)&gt;0,IF(B899=0,0,IF(C899=0,B899/($B$172-MAX(499-1,$B$174)),B899*(C899/12)/(1-(1+C899/12)^(-($B$172-MAX(499-1,$B$174)))))),"")),D898)))+0.0000001&gt;=B899*C899/12,MIN(B899*(1+C899/12),IF(AND(499&lt;=$B$174,499&lt;=$B$173),B899*C899/12,IF(AND(499=$B$173+1,AND(499&gt;$B$173,$B$78="Refinance",ISNUMBER($B$80),$B$80&gt;=0,$B$80&lt;=1,ROUND($B$81*12,0)&gt;=1,$B$81&lt;=100,SUM($B$82)&gt;=0,SUM($B$82)&lt;=1,SUM($B$83)&gt;=0)),IF(B899=0,0,IF(C899=0,B899/ROUND($B$81*12,0),B899*(C899/12)/(1-(1+C899/12)^(-ROUND($B$81*12,0))))),IF(AND(NOT(AND(499&gt;$B$173,$B$78="Refinance",ISNUMBER($B$80),$B$80&gt;=0,$B$80&lt;=1,ROUND($B$81*12,0)&gt;=1,$B$81&lt;=100,SUM($B$82)&gt;=0,SUM($B$82)&lt;=1,SUM($B$83)&gt;=0)),OR(499=1,499=$B$174+1,AND($B$175&gt;0,499=$B$175+1))),IF(AND($B$170=1,$B$66&gt;0,OR($B$175=0,499&lt;=$B$175)),$B$66,IF($B$172-MAX(499-1,$B$174)&gt;0,IF(B899=0,0,IF(C899=0,B899/($B$172-MAX(499-1,$B$174)),B899*(C899/12)/(1-(1+C899/12)^(-($B$172-MAX(499-1,$B$174)))))),"")),D898)))),""),""))</x:f>
        <x:v>0</x:v>
      </x:c>
      <x:c r="E899" s="440" t="n">
        <x:f>IF(AND(499=$B$173,ISNUMBER(D899)),IF(MAX(0,B899*(1+C899/12)-D899)&lt;MAX(0.0000001,$E$17*0.00000000001),0,MAX(0,B899*(1+C899/12)-D899)),0)</x:f>
        <x:v>0</x:v>
      </x:c>
      <x:c r="F899" s="440" t="n">
        <x:f>IF($B$78="Cash payoff",E899,0)</x:f>
        <x:v>0</x:v>
      </x:c>
      <x:c r="G899" s="440" t="n">
        <x:f>IF(AND(E899&gt;0,AND($B$78="Refinance",ISNUMBER($B$80),$B$80&gt;=0,$B$80&lt;=1,ROUND($B$81*12,0)&gt;=1,$B$81&lt;=100,SUM($B$82)&gt;=0,SUM($B$82)&lt;=1,SUM($B$83)&gt;=0)),E899*SUM($B$82)+SUM($B$83),0)</x:f>
        <x:v>0</x:v>
      </x:c>
      <x:c r="H899" s="440" t="n">
        <x:f>IF(ISNUMBER(D899),IF(MAX(0,B899*(1+C899/12)-D899-F899)&lt;MAX(0.0000001,$E$17*0.00000000001),0,MAX(0,B899*(1+C899/12)-D899-F899)),IF(AND($B$171=1,I898=1),B899,""))</x:f>
        <x:v>0</x:v>
      </x:c>
      <x:c r="I899" s="444" t="n">
        <x:f>IF(OR(I898=1,AND(E899&gt;0,$B$78&lt;&gt;"Cash payoff",NOT(AND($B$78="Refinance",ISNUMBER($B$80),$B$80&gt;=0,$B$80&lt;=1,ROUND($B$81*12,0)&gt;=1,$B$81&lt;=100,SUM($B$82)&gt;=0,SUM($B$82)&lt;=1,SUM($B$83)&gt;=0))),AND(ISNUMBER(B899),B899&gt;0,$B$171=1,NOT(ISNUMBER(D899)))),1,0)</x:f>
        <x:v>0</x:v>
      </x:c>
      <x:c r="J899" s="440" t="n">
        <x:f>IF(ISNUMBER(L898),L898,"")</x:f>
        <x:v>0</x:v>
      </x:c>
      <x:c r="K899" s="440" t="n">
        <x:f>IF(AND(ISNUMBER(J899),J899=0),0,IF(AND($B$176=1,ISNUMBER(J899)),MIN(J899*(1+$B$87/12),IF($B$86=0,0,IF($B$87=0,$B$86/ROUND($B$88*12,0),$B$86*($B$87/12)/(1-(1+$B$87/12)^(-ROUND($B$88*12,0)))))),""))</x:f>
        <x:v>0</x:v>
      </x:c>
      <x:c r="L899" s="440" t="n">
        <x:f>IF(ISNUMBER(K899),IF(MAX(0,J899*(1+SUM($B$87)/12)-K899)&lt;MAX(0.0000001,$B$86*0.00000000001),0,MAX(0,J899*(1+SUM($B$87)/12)-K899)),"")</x:f>
        <x:v>0</x:v>
      </x:c>
      <x:c r="M899" s="440" t="n">
        <x:f>IF(AND(ISNUMBER(D899),ISNUMBER(K899)),D899+K899,"")</x:f>
        <x:v>0</x:v>
      </x:c>
      <x:c r="N899" s="440" t="n">
        <x:f>IF(AND(ISNUMBER(H899),ISNUMBER(L899)),H899+L899,"")</x:f>
        <x:v>0</x:v>
      </x:c>
    </x:row>
    <x:row r="900" ht="22" customHeight="1">
      <x:c r="A900" s="254" t="n">
        <x:f>500</x:f>
        <x:v>500</x:v>
      </x:c>
      <x:c r="B900" s="440" t="n">
        <x:f>IF(ISNUMBER(H899),H899,"")</x:f>
        <x:v>0</x:v>
      </x:c>
      <x:c r="C900" s="442" t="n">
        <x:f>IF(ISNUMBER(B900),IF(AND(500&gt;$B$173,$B$78="Refinance",ISNUMBER($B$80),$B$80&gt;=0,$B$80&lt;=1,ROUND($B$81*12,0)&gt;=1,$B$81&lt;=100,SUM($B$82)&gt;=0,SUM($B$82)&lt;=1,SUM($B$83)&gt;=0),$B$80,IF(AND($B$175&gt;0,500&gt;$B$175,ISNUMBER($B$75)),$B$75,$B$61)),"")</x:f>
        <x:v>0.0625</x:v>
      </x:c>
      <x:c r="D900" s="440" t="n">
        <x:f>IF(AND(ISNUMBER(B900),B900=0),0,IF(AND($B$171=1,I899=0,ISNUMBER(C900),ISNUMBER(IF(AND(500&lt;=$B$174,500&lt;=$B$173),B900*C900/12,IF(AND(500=$B$173+1,AND(500&gt;$B$173,$B$78="Refinance",ISNUMBER($B$80),$B$80&gt;=0,$B$80&lt;=1,ROUND($B$81*12,0)&gt;=1,$B$81&lt;=100,SUM($B$82)&gt;=0,SUM($B$82)&lt;=1,SUM($B$83)&gt;=0)),IF(B900=0,0,IF(C900=0,B900/ROUND($B$81*12,0),B900*(C900/12)/(1-(1+C900/12)^(-ROUND($B$81*12,0))))),IF(AND(NOT(AND(500&gt;$B$173,$B$78="Refinance",ISNUMBER($B$80),$B$80&gt;=0,$B$80&lt;=1,ROUND($B$81*12,0)&gt;=1,$B$81&lt;=100,SUM($B$82)&gt;=0,SUM($B$82)&lt;=1,SUM($B$83)&gt;=0)),OR(500=1,500=$B$174+1,AND($B$175&gt;0,500=$B$175+1))),IF(AND($B$170=1,$B$66&gt;0,OR($B$175=0,500&lt;=$B$175)),$B$66,IF($B$172-MAX(500-1,$B$174)&gt;0,IF(B900=0,0,IF(C900=0,B900/($B$172-MAX(500-1,$B$174)),B900*(C900/12)/(1-(1+C900/12)^(-($B$172-MAX(500-1,$B$174)))))),"")),D899))))),IF(IF(AND(500&lt;=$B$174,500&lt;=$B$173),B900*C900/12,IF(AND(500=$B$173+1,AND(500&gt;$B$173,$B$78="Refinance",ISNUMBER($B$80),$B$80&gt;=0,$B$80&lt;=1,ROUND($B$81*12,0)&gt;=1,$B$81&lt;=100,SUM($B$82)&gt;=0,SUM($B$82)&lt;=1,SUM($B$83)&gt;=0)),IF(B900=0,0,IF(C900=0,B900/ROUND($B$81*12,0),B900*(C900/12)/(1-(1+C900/12)^(-ROUND($B$81*12,0))))),IF(AND(NOT(AND(500&gt;$B$173,$B$78="Refinance",ISNUMBER($B$80),$B$80&gt;=0,$B$80&lt;=1,ROUND($B$81*12,0)&gt;=1,$B$81&lt;=100,SUM($B$82)&gt;=0,SUM($B$82)&lt;=1,SUM($B$83)&gt;=0)),OR(500=1,500=$B$174+1,AND($B$175&gt;0,500=$B$175+1))),IF(AND($B$170=1,$B$66&gt;0,OR($B$175=0,500&lt;=$B$175)),$B$66,IF($B$172-MAX(500-1,$B$174)&gt;0,IF(B900=0,0,IF(C900=0,B900/($B$172-MAX(500-1,$B$174)),B900*(C900/12)/(1-(1+C900/12)^(-($B$172-MAX(500-1,$B$174)))))),"")),D899)))+0.0000001&gt;=B900*C900/12,MIN(B900*(1+C900/12),IF(AND(500&lt;=$B$174,500&lt;=$B$173),B900*C900/12,IF(AND(500=$B$173+1,AND(500&gt;$B$173,$B$78="Refinance",ISNUMBER($B$80),$B$80&gt;=0,$B$80&lt;=1,ROUND($B$81*12,0)&gt;=1,$B$81&lt;=100,SUM($B$82)&gt;=0,SUM($B$82)&lt;=1,SUM($B$83)&gt;=0)),IF(B900=0,0,IF(C900=0,B900/ROUND($B$81*12,0),B900*(C900/12)/(1-(1+C900/12)^(-ROUND($B$81*12,0))))),IF(AND(NOT(AND(500&gt;$B$173,$B$78="Refinance",ISNUMBER($B$80),$B$80&gt;=0,$B$80&lt;=1,ROUND($B$81*12,0)&gt;=1,$B$81&lt;=100,SUM($B$82)&gt;=0,SUM($B$82)&lt;=1,SUM($B$83)&gt;=0)),OR(500=1,500=$B$174+1,AND($B$175&gt;0,500=$B$175+1))),IF(AND($B$170=1,$B$66&gt;0,OR($B$175=0,500&lt;=$B$175)),$B$66,IF($B$172-MAX(500-1,$B$174)&gt;0,IF(B900=0,0,IF(C900=0,B900/($B$172-MAX(500-1,$B$174)),B900*(C900/12)/(1-(1+C900/12)^(-($B$172-MAX(500-1,$B$174)))))),"")),D899)))),""),""))</x:f>
        <x:v>0</x:v>
      </x:c>
      <x:c r="E900" s="440" t="n">
        <x:f>IF(AND(500=$B$173,ISNUMBER(D900)),IF(MAX(0,B900*(1+C900/12)-D900)&lt;MAX(0.0000001,$E$17*0.00000000001),0,MAX(0,B900*(1+C900/12)-D900)),0)</x:f>
        <x:v>0</x:v>
      </x:c>
      <x:c r="F900" s="440" t="n">
        <x:f>IF($B$78="Cash payoff",E900,0)</x:f>
        <x:v>0</x:v>
      </x:c>
      <x:c r="G900" s="440" t="n">
        <x:f>IF(AND(E900&gt;0,AND($B$78="Refinance",ISNUMBER($B$80),$B$80&gt;=0,$B$80&lt;=1,ROUND($B$81*12,0)&gt;=1,$B$81&lt;=100,SUM($B$82)&gt;=0,SUM($B$82)&lt;=1,SUM($B$83)&gt;=0)),E900*SUM($B$82)+SUM($B$83),0)</x:f>
        <x:v>0</x:v>
      </x:c>
      <x:c r="H900" s="440" t="n">
        <x:f>IF(ISNUMBER(D900),IF(MAX(0,B900*(1+C900/12)-D900-F900)&lt;MAX(0.0000001,$E$17*0.00000000001),0,MAX(0,B900*(1+C900/12)-D900-F900)),IF(AND($B$171=1,I899=1),B900,""))</x:f>
        <x:v>0</x:v>
      </x:c>
      <x:c r="I900" s="444" t="n">
        <x:f>IF(OR(I899=1,AND(E900&gt;0,$B$78&lt;&gt;"Cash payoff",NOT(AND($B$78="Refinance",ISNUMBER($B$80),$B$80&gt;=0,$B$80&lt;=1,ROUND($B$81*12,0)&gt;=1,$B$81&lt;=100,SUM($B$82)&gt;=0,SUM($B$82)&lt;=1,SUM($B$83)&gt;=0))),AND(ISNUMBER(B900),B900&gt;0,$B$171=1,NOT(ISNUMBER(D900)))),1,0)</x:f>
        <x:v>0</x:v>
      </x:c>
      <x:c r="J900" s="440" t="n">
        <x:f>IF(ISNUMBER(L899),L899,"")</x:f>
        <x:v>0</x:v>
      </x:c>
      <x:c r="K900" s="440" t="n">
        <x:f>IF(AND(ISNUMBER(J900),J900=0),0,IF(AND($B$176=1,ISNUMBER(J900)),MIN(J900*(1+$B$87/12),IF($B$86=0,0,IF($B$87=0,$B$86/ROUND($B$88*12,0),$B$86*($B$87/12)/(1-(1+$B$87/12)^(-ROUND($B$88*12,0)))))),""))</x:f>
        <x:v>0</x:v>
      </x:c>
      <x:c r="L900" s="440" t="n">
        <x:f>IF(ISNUMBER(K900),IF(MAX(0,J900*(1+SUM($B$87)/12)-K900)&lt;MAX(0.0000001,$B$86*0.00000000001),0,MAX(0,J900*(1+SUM($B$87)/12)-K900)),"")</x:f>
        <x:v>0</x:v>
      </x:c>
      <x:c r="M900" s="440" t="n">
        <x:f>IF(AND(ISNUMBER(D900),ISNUMBER(K900)),D900+K900,"")</x:f>
        <x:v>0</x:v>
      </x:c>
      <x:c r="N900" s="440" t="n">
        <x:f>IF(AND(ISNUMBER(H900),ISNUMBER(L900)),H900+L900,"")</x:f>
        <x:v>0</x:v>
      </x:c>
    </x:row>
    <x:row r="901" ht="22" customHeight="1">
      <x:c r="A901" s="254" t="n">
        <x:f>501</x:f>
        <x:v>501</x:v>
      </x:c>
      <x:c r="B901" s="440" t="n">
        <x:f>IF(ISNUMBER(H900),H900,"")</x:f>
        <x:v>0</x:v>
      </x:c>
      <x:c r="C901" s="442" t="n">
        <x:f>IF(ISNUMBER(B901),IF(AND(501&gt;$B$173,$B$78="Refinance",ISNUMBER($B$80),$B$80&gt;=0,$B$80&lt;=1,ROUND($B$81*12,0)&gt;=1,$B$81&lt;=100,SUM($B$82)&gt;=0,SUM($B$82)&lt;=1,SUM($B$83)&gt;=0),$B$80,IF(AND($B$175&gt;0,501&gt;$B$175,ISNUMBER($B$75)),$B$75,$B$61)),"")</x:f>
        <x:v>0.0625</x:v>
      </x:c>
      <x:c r="D901" s="440" t="n">
        <x:f>IF(AND(ISNUMBER(B901),B901=0),0,IF(AND($B$171=1,I900=0,ISNUMBER(C901),ISNUMBER(IF(AND(501&lt;=$B$174,501&lt;=$B$173),B901*C901/12,IF(AND(501=$B$173+1,AND(501&gt;$B$173,$B$78="Refinance",ISNUMBER($B$80),$B$80&gt;=0,$B$80&lt;=1,ROUND($B$81*12,0)&gt;=1,$B$81&lt;=100,SUM($B$82)&gt;=0,SUM($B$82)&lt;=1,SUM($B$83)&gt;=0)),IF(B901=0,0,IF(C901=0,B901/ROUND($B$81*12,0),B901*(C901/12)/(1-(1+C901/12)^(-ROUND($B$81*12,0))))),IF(AND(NOT(AND(501&gt;$B$173,$B$78="Refinance",ISNUMBER($B$80),$B$80&gt;=0,$B$80&lt;=1,ROUND($B$81*12,0)&gt;=1,$B$81&lt;=100,SUM($B$82)&gt;=0,SUM($B$82)&lt;=1,SUM($B$83)&gt;=0)),OR(501=1,501=$B$174+1,AND($B$175&gt;0,501=$B$175+1))),IF(AND($B$170=1,$B$66&gt;0,OR($B$175=0,501&lt;=$B$175)),$B$66,IF($B$172-MAX(501-1,$B$174)&gt;0,IF(B901=0,0,IF(C901=0,B901/($B$172-MAX(501-1,$B$174)),B901*(C901/12)/(1-(1+C901/12)^(-($B$172-MAX(501-1,$B$174)))))),"")),D900))))),IF(IF(AND(501&lt;=$B$174,501&lt;=$B$173),B901*C901/12,IF(AND(501=$B$173+1,AND(501&gt;$B$173,$B$78="Refinance",ISNUMBER($B$80),$B$80&gt;=0,$B$80&lt;=1,ROUND($B$81*12,0)&gt;=1,$B$81&lt;=100,SUM($B$82)&gt;=0,SUM($B$82)&lt;=1,SUM($B$83)&gt;=0)),IF(B901=0,0,IF(C901=0,B901/ROUND($B$81*12,0),B901*(C901/12)/(1-(1+C901/12)^(-ROUND($B$81*12,0))))),IF(AND(NOT(AND(501&gt;$B$173,$B$78="Refinance",ISNUMBER($B$80),$B$80&gt;=0,$B$80&lt;=1,ROUND($B$81*12,0)&gt;=1,$B$81&lt;=100,SUM($B$82)&gt;=0,SUM($B$82)&lt;=1,SUM($B$83)&gt;=0)),OR(501=1,501=$B$174+1,AND($B$175&gt;0,501=$B$175+1))),IF(AND($B$170=1,$B$66&gt;0,OR($B$175=0,501&lt;=$B$175)),$B$66,IF($B$172-MAX(501-1,$B$174)&gt;0,IF(B901=0,0,IF(C901=0,B901/($B$172-MAX(501-1,$B$174)),B901*(C901/12)/(1-(1+C901/12)^(-($B$172-MAX(501-1,$B$174)))))),"")),D900)))+0.0000001&gt;=B901*C901/12,MIN(B901*(1+C901/12),IF(AND(501&lt;=$B$174,501&lt;=$B$173),B901*C901/12,IF(AND(501=$B$173+1,AND(501&gt;$B$173,$B$78="Refinance",ISNUMBER($B$80),$B$80&gt;=0,$B$80&lt;=1,ROUND($B$81*12,0)&gt;=1,$B$81&lt;=100,SUM($B$82)&gt;=0,SUM($B$82)&lt;=1,SUM($B$83)&gt;=0)),IF(B901=0,0,IF(C901=0,B901/ROUND($B$81*12,0),B901*(C901/12)/(1-(1+C901/12)^(-ROUND($B$81*12,0))))),IF(AND(NOT(AND(501&gt;$B$173,$B$78="Refinance",ISNUMBER($B$80),$B$80&gt;=0,$B$80&lt;=1,ROUND($B$81*12,0)&gt;=1,$B$81&lt;=100,SUM($B$82)&gt;=0,SUM($B$82)&lt;=1,SUM($B$83)&gt;=0)),OR(501=1,501=$B$174+1,AND($B$175&gt;0,501=$B$175+1))),IF(AND($B$170=1,$B$66&gt;0,OR($B$175=0,501&lt;=$B$175)),$B$66,IF($B$172-MAX(501-1,$B$174)&gt;0,IF(B901=0,0,IF(C901=0,B901/($B$172-MAX(501-1,$B$174)),B901*(C901/12)/(1-(1+C901/12)^(-($B$172-MAX(501-1,$B$174)))))),"")),D900)))),""),""))</x:f>
        <x:v>0</x:v>
      </x:c>
      <x:c r="E901" s="440" t="n">
        <x:f>IF(AND(501=$B$173,ISNUMBER(D901)),IF(MAX(0,B901*(1+C901/12)-D901)&lt;MAX(0.0000001,$E$17*0.00000000001),0,MAX(0,B901*(1+C901/12)-D901)),0)</x:f>
        <x:v>0</x:v>
      </x:c>
      <x:c r="F901" s="440" t="n">
        <x:f>IF($B$78="Cash payoff",E901,0)</x:f>
        <x:v>0</x:v>
      </x:c>
      <x:c r="G901" s="440" t="n">
        <x:f>IF(AND(E901&gt;0,AND($B$78="Refinance",ISNUMBER($B$80),$B$80&gt;=0,$B$80&lt;=1,ROUND($B$81*12,0)&gt;=1,$B$81&lt;=100,SUM($B$82)&gt;=0,SUM($B$82)&lt;=1,SUM($B$83)&gt;=0)),E901*SUM($B$82)+SUM($B$83),0)</x:f>
        <x:v>0</x:v>
      </x:c>
      <x:c r="H901" s="440" t="n">
        <x:f>IF(ISNUMBER(D901),IF(MAX(0,B901*(1+C901/12)-D901-F901)&lt;MAX(0.0000001,$E$17*0.00000000001),0,MAX(0,B901*(1+C901/12)-D901-F901)),IF(AND($B$171=1,I900=1),B901,""))</x:f>
        <x:v>0</x:v>
      </x:c>
      <x:c r="I901" s="444" t="n">
        <x:f>IF(OR(I900=1,AND(E901&gt;0,$B$78&lt;&gt;"Cash payoff",NOT(AND($B$78="Refinance",ISNUMBER($B$80),$B$80&gt;=0,$B$80&lt;=1,ROUND($B$81*12,0)&gt;=1,$B$81&lt;=100,SUM($B$82)&gt;=0,SUM($B$82)&lt;=1,SUM($B$83)&gt;=0))),AND(ISNUMBER(B901),B901&gt;0,$B$171=1,NOT(ISNUMBER(D901)))),1,0)</x:f>
        <x:v>0</x:v>
      </x:c>
      <x:c r="J901" s="440" t="n">
        <x:f>IF(ISNUMBER(L900),L900,"")</x:f>
        <x:v>0</x:v>
      </x:c>
      <x:c r="K901" s="440" t="n">
        <x:f>IF(AND(ISNUMBER(J901),J901=0),0,IF(AND($B$176=1,ISNUMBER(J901)),MIN(J901*(1+$B$87/12),IF($B$86=0,0,IF($B$87=0,$B$86/ROUND($B$88*12,0),$B$86*($B$87/12)/(1-(1+$B$87/12)^(-ROUND($B$88*12,0)))))),""))</x:f>
        <x:v>0</x:v>
      </x:c>
      <x:c r="L901" s="440" t="n">
        <x:f>IF(ISNUMBER(K901),IF(MAX(0,J901*(1+SUM($B$87)/12)-K901)&lt;MAX(0.0000001,$B$86*0.00000000001),0,MAX(0,J901*(1+SUM($B$87)/12)-K901)),"")</x:f>
        <x:v>0</x:v>
      </x:c>
      <x:c r="M901" s="440" t="n">
        <x:f>IF(AND(ISNUMBER(D901),ISNUMBER(K901)),D901+K901,"")</x:f>
        <x:v>0</x:v>
      </x:c>
      <x:c r="N901" s="440" t="n">
        <x:f>IF(AND(ISNUMBER(H901),ISNUMBER(L901)),H901+L901,"")</x:f>
        <x:v>0</x:v>
      </x:c>
    </x:row>
    <x:row r="902" ht="22" customHeight="1">
      <x:c r="A902" s="254" t="n">
        <x:f>502</x:f>
        <x:v>502</x:v>
      </x:c>
      <x:c r="B902" s="440" t="n">
        <x:f>IF(ISNUMBER(H901),H901,"")</x:f>
        <x:v>0</x:v>
      </x:c>
      <x:c r="C902" s="442" t="n">
        <x:f>IF(ISNUMBER(B902),IF(AND(502&gt;$B$173,$B$78="Refinance",ISNUMBER($B$80),$B$80&gt;=0,$B$80&lt;=1,ROUND($B$81*12,0)&gt;=1,$B$81&lt;=100,SUM($B$82)&gt;=0,SUM($B$82)&lt;=1,SUM($B$83)&gt;=0),$B$80,IF(AND($B$175&gt;0,502&gt;$B$175,ISNUMBER($B$75)),$B$75,$B$61)),"")</x:f>
        <x:v>0.0625</x:v>
      </x:c>
      <x:c r="D902" s="440" t="n">
        <x:f>IF(AND(ISNUMBER(B902),B902=0),0,IF(AND($B$171=1,I901=0,ISNUMBER(C902),ISNUMBER(IF(AND(502&lt;=$B$174,502&lt;=$B$173),B902*C902/12,IF(AND(502=$B$173+1,AND(502&gt;$B$173,$B$78="Refinance",ISNUMBER($B$80),$B$80&gt;=0,$B$80&lt;=1,ROUND($B$81*12,0)&gt;=1,$B$81&lt;=100,SUM($B$82)&gt;=0,SUM($B$82)&lt;=1,SUM($B$83)&gt;=0)),IF(B902=0,0,IF(C902=0,B902/ROUND($B$81*12,0),B902*(C902/12)/(1-(1+C902/12)^(-ROUND($B$81*12,0))))),IF(AND(NOT(AND(502&gt;$B$173,$B$78="Refinance",ISNUMBER($B$80),$B$80&gt;=0,$B$80&lt;=1,ROUND($B$81*12,0)&gt;=1,$B$81&lt;=100,SUM($B$82)&gt;=0,SUM($B$82)&lt;=1,SUM($B$83)&gt;=0)),OR(502=1,502=$B$174+1,AND($B$175&gt;0,502=$B$175+1))),IF(AND($B$170=1,$B$66&gt;0,OR($B$175=0,502&lt;=$B$175)),$B$66,IF($B$172-MAX(502-1,$B$174)&gt;0,IF(B902=0,0,IF(C902=0,B902/($B$172-MAX(502-1,$B$174)),B902*(C902/12)/(1-(1+C902/12)^(-($B$172-MAX(502-1,$B$174)))))),"")),D901))))),IF(IF(AND(502&lt;=$B$174,502&lt;=$B$173),B902*C902/12,IF(AND(502=$B$173+1,AND(502&gt;$B$173,$B$78="Refinance",ISNUMBER($B$80),$B$80&gt;=0,$B$80&lt;=1,ROUND($B$81*12,0)&gt;=1,$B$81&lt;=100,SUM($B$82)&gt;=0,SUM($B$82)&lt;=1,SUM($B$83)&gt;=0)),IF(B902=0,0,IF(C902=0,B902/ROUND($B$81*12,0),B902*(C902/12)/(1-(1+C902/12)^(-ROUND($B$81*12,0))))),IF(AND(NOT(AND(502&gt;$B$173,$B$78="Refinance",ISNUMBER($B$80),$B$80&gt;=0,$B$80&lt;=1,ROUND($B$81*12,0)&gt;=1,$B$81&lt;=100,SUM($B$82)&gt;=0,SUM($B$82)&lt;=1,SUM($B$83)&gt;=0)),OR(502=1,502=$B$174+1,AND($B$175&gt;0,502=$B$175+1))),IF(AND($B$170=1,$B$66&gt;0,OR($B$175=0,502&lt;=$B$175)),$B$66,IF($B$172-MAX(502-1,$B$174)&gt;0,IF(B902=0,0,IF(C902=0,B902/($B$172-MAX(502-1,$B$174)),B902*(C902/12)/(1-(1+C902/12)^(-($B$172-MAX(502-1,$B$174)))))),"")),D901)))+0.0000001&gt;=B902*C902/12,MIN(B902*(1+C902/12),IF(AND(502&lt;=$B$174,502&lt;=$B$173),B902*C902/12,IF(AND(502=$B$173+1,AND(502&gt;$B$173,$B$78="Refinance",ISNUMBER($B$80),$B$80&gt;=0,$B$80&lt;=1,ROUND($B$81*12,0)&gt;=1,$B$81&lt;=100,SUM($B$82)&gt;=0,SUM($B$82)&lt;=1,SUM($B$83)&gt;=0)),IF(B902=0,0,IF(C902=0,B902/ROUND($B$81*12,0),B902*(C902/12)/(1-(1+C902/12)^(-ROUND($B$81*12,0))))),IF(AND(NOT(AND(502&gt;$B$173,$B$78="Refinance",ISNUMBER($B$80),$B$80&gt;=0,$B$80&lt;=1,ROUND($B$81*12,0)&gt;=1,$B$81&lt;=100,SUM($B$82)&gt;=0,SUM($B$82)&lt;=1,SUM($B$83)&gt;=0)),OR(502=1,502=$B$174+1,AND($B$175&gt;0,502=$B$175+1))),IF(AND($B$170=1,$B$66&gt;0,OR($B$175=0,502&lt;=$B$175)),$B$66,IF($B$172-MAX(502-1,$B$174)&gt;0,IF(B902=0,0,IF(C902=0,B902/($B$172-MAX(502-1,$B$174)),B902*(C902/12)/(1-(1+C902/12)^(-($B$172-MAX(502-1,$B$174)))))),"")),D901)))),""),""))</x:f>
        <x:v>0</x:v>
      </x:c>
      <x:c r="E902" s="440" t="n">
        <x:f>IF(AND(502=$B$173,ISNUMBER(D902)),IF(MAX(0,B902*(1+C902/12)-D902)&lt;MAX(0.0000001,$E$17*0.00000000001),0,MAX(0,B902*(1+C902/12)-D902)),0)</x:f>
        <x:v>0</x:v>
      </x:c>
      <x:c r="F902" s="440" t="n">
        <x:f>IF($B$78="Cash payoff",E902,0)</x:f>
        <x:v>0</x:v>
      </x:c>
      <x:c r="G902" s="440" t="n">
        <x:f>IF(AND(E902&gt;0,AND($B$78="Refinance",ISNUMBER($B$80),$B$80&gt;=0,$B$80&lt;=1,ROUND($B$81*12,0)&gt;=1,$B$81&lt;=100,SUM($B$82)&gt;=0,SUM($B$82)&lt;=1,SUM($B$83)&gt;=0)),E902*SUM($B$82)+SUM($B$83),0)</x:f>
        <x:v>0</x:v>
      </x:c>
      <x:c r="H902" s="440" t="n">
        <x:f>IF(ISNUMBER(D902),IF(MAX(0,B902*(1+C902/12)-D902-F902)&lt;MAX(0.0000001,$E$17*0.00000000001),0,MAX(0,B902*(1+C902/12)-D902-F902)),IF(AND($B$171=1,I901=1),B902,""))</x:f>
        <x:v>0</x:v>
      </x:c>
      <x:c r="I902" s="444" t="n">
        <x:f>IF(OR(I901=1,AND(E902&gt;0,$B$78&lt;&gt;"Cash payoff",NOT(AND($B$78="Refinance",ISNUMBER($B$80),$B$80&gt;=0,$B$80&lt;=1,ROUND($B$81*12,0)&gt;=1,$B$81&lt;=100,SUM($B$82)&gt;=0,SUM($B$82)&lt;=1,SUM($B$83)&gt;=0))),AND(ISNUMBER(B902),B902&gt;0,$B$171=1,NOT(ISNUMBER(D902)))),1,0)</x:f>
        <x:v>0</x:v>
      </x:c>
      <x:c r="J902" s="440" t="n">
        <x:f>IF(ISNUMBER(L901),L901,"")</x:f>
        <x:v>0</x:v>
      </x:c>
      <x:c r="K902" s="440" t="n">
        <x:f>IF(AND(ISNUMBER(J902),J902=0),0,IF(AND($B$176=1,ISNUMBER(J902)),MIN(J902*(1+$B$87/12),IF($B$86=0,0,IF($B$87=0,$B$86/ROUND($B$88*12,0),$B$86*($B$87/12)/(1-(1+$B$87/12)^(-ROUND($B$88*12,0)))))),""))</x:f>
        <x:v>0</x:v>
      </x:c>
      <x:c r="L902" s="440" t="n">
        <x:f>IF(ISNUMBER(K902),IF(MAX(0,J902*(1+SUM($B$87)/12)-K902)&lt;MAX(0.0000001,$B$86*0.00000000001),0,MAX(0,J902*(1+SUM($B$87)/12)-K902)),"")</x:f>
        <x:v>0</x:v>
      </x:c>
      <x:c r="M902" s="440" t="n">
        <x:f>IF(AND(ISNUMBER(D902),ISNUMBER(K902)),D902+K902,"")</x:f>
        <x:v>0</x:v>
      </x:c>
      <x:c r="N902" s="440" t="n">
        <x:f>IF(AND(ISNUMBER(H902),ISNUMBER(L902)),H902+L902,"")</x:f>
        <x:v>0</x:v>
      </x:c>
    </x:row>
    <x:row r="903" ht="22" customHeight="1">
      <x:c r="A903" s="254" t="n">
        <x:f>503</x:f>
        <x:v>503</x:v>
      </x:c>
      <x:c r="B903" s="440" t="n">
        <x:f>IF(ISNUMBER(H902),H902,"")</x:f>
        <x:v>0</x:v>
      </x:c>
      <x:c r="C903" s="442" t="n">
        <x:f>IF(ISNUMBER(B903),IF(AND(503&gt;$B$173,$B$78="Refinance",ISNUMBER($B$80),$B$80&gt;=0,$B$80&lt;=1,ROUND($B$81*12,0)&gt;=1,$B$81&lt;=100,SUM($B$82)&gt;=0,SUM($B$82)&lt;=1,SUM($B$83)&gt;=0),$B$80,IF(AND($B$175&gt;0,503&gt;$B$175,ISNUMBER($B$75)),$B$75,$B$61)),"")</x:f>
        <x:v>0.0625</x:v>
      </x:c>
      <x:c r="D903" s="440" t="n">
        <x:f>IF(AND(ISNUMBER(B903),B903=0),0,IF(AND($B$171=1,I902=0,ISNUMBER(C903),ISNUMBER(IF(AND(503&lt;=$B$174,503&lt;=$B$173),B903*C903/12,IF(AND(503=$B$173+1,AND(503&gt;$B$173,$B$78="Refinance",ISNUMBER($B$80),$B$80&gt;=0,$B$80&lt;=1,ROUND($B$81*12,0)&gt;=1,$B$81&lt;=100,SUM($B$82)&gt;=0,SUM($B$82)&lt;=1,SUM($B$83)&gt;=0)),IF(B903=0,0,IF(C903=0,B903/ROUND($B$81*12,0),B903*(C903/12)/(1-(1+C903/12)^(-ROUND($B$81*12,0))))),IF(AND(NOT(AND(503&gt;$B$173,$B$78="Refinance",ISNUMBER($B$80),$B$80&gt;=0,$B$80&lt;=1,ROUND($B$81*12,0)&gt;=1,$B$81&lt;=100,SUM($B$82)&gt;=0,SUM($B$82)&lt;=1,SUM($B$83)&gt;=0)),OR(503=1,503=$B$174+1,AND($B$175&gt;0,503=$B$175+1))),IF(AND($B$170=1,$B$66&gt;0,OR($B$175=0,503&lt;=$B$175)),$B$66,IF($B$172-MAX(503-1,$B$174)&gt;0,IF(B903=0,0,IF(C903=0,B903/($B$172-MAX(503-1,$B$174)),B903*(C903/12)/(1-(1+C903/12)^(-($B$172-MAX(503-1,$B$174)))))),"")),D902))))),IF(IF(AND(503&lt;=$B$174,503&lt;=$B$173),B903*C903/12,IF(AND(503=$B$173+1,AND(503&gt;$B$173,$B$78="Refinance",ISNUMBER($B$80),$B$80&gt;=0,$B$80&lt;=1,ROUND($B$81*12,0)&gt;=1,$B$81&lt;=100,SUM($B$82)&gt;=0,SUM($B$82)&lt;=1,SUM($B$83)&gt;=0)),IF(B903=0,0,IF(C903=0,B903/ROUND($B$81*12,0),B903*(C903/12)/(1-(1+C903/12)^(-ROUND($B$81*12,0))))),IF(AND(NOT(AND(503&gt;$B$173,$B$78="Refinance",ISNUMBER($B$80),$B$80&gt;=0,$B$80&lt;=1,ROUND($B$81*12,0)&gt;=1,$B$81&lt;=100,SUM($B$82)&gt;=0,SUM($B$82)&lt;=1,SUM($B$83)&gt;=0)),OR(503=1,503=$B$174+1,AND($B$175&gt;0,503=$B$175+1))),IF(AND($B$170=1,$B$66&gt;0,OR($B$175=0,503&lt;=$B$175)),$B$66,IF($B$172-MAX(503-1,$B$174)&gt;0,IF(B903=0,0,IF(C903=0,B903/($B$172-MAX(503-1,$B$174)),B903*(C903/12)/(1-(1+C903/12)^(-($B$172-MAX(503-1,$B$174)))))),"")),D902)))+0.0000001&gt;=B903*C903/12,MIN(B903*(1+C903/12),IF(AND(503&lt;=$B$174,503&lt;=$B$173),B903*C903/12,IF(AND(503=$B$173+1,AND(503&gt;$B$173,$B$78="Refinance",ISNUMBER($B$80),$B$80&gt;=0,$B$80&lt;=1,ROUND($B$81*12,0)&gt;=1,$B$81&lt;=100,SUM($B$82)&gt;=0,SUM($B$82)&lt;=1,SUM($B$83)&gt;=0)),IF(B903=0,0,IF(C903=0,B903/ROUND($B$81*12,0),B903*(C903/12)/(1-(1+C903/12)^(-ROUND($B$81*12,0))))),IF(AND(NOT(AND(503&gt;$B$173,$B$78="Refinance",ISNUMBER($B$80),$B$80&gt;=0,$B$80&lt;=1,ROUND($B$81*12,0)&gt;=1,$B$81&lt;=100,SUM($B$82)&gt;=0,SUM($B$82)&lt;=1,SUM($B$83)&gt;=0)),OR(503=1,503=$B$174+1,AND($B$175&gt;0,503=$B$175+1))),IF(AND($B$170=1,$B$66&gt;0,OR($B$175=0,503&lt;=$B$175)),$B$66,IF($B$172-MAX(503-1,$B$174)&gt;0,IF(B903=0,0,IF(C903=0,B903/($B$172-MAX(503-1,$B$174)),B903*(C903/12)/(1-(1+C903/12)^(-($B$172-MAX(503-1,$B$174)))))),"")),D902)))),""),""))</x:f>
        <x:v>0</x:v>
      </x:c>
      <x:c r="E903" s="440" t="n">
        <x:f>IF(AND(503=$B$173,ISNUMBER(D903)),IF(MAX(0,B903*(1+C903/12)-D903)&lt;MAX(0.0000001,$E$17*0.00000000001),0,MAX(0,B903*(1+C903/12)-D903)),0)</x:f>
        <x:v>0</x:v>
      </x:c>
      <x:c r="F903" s="440" t="n">
        <x:f>IF($B$78="Cash payoff",E903,0)</x:f>
        <x:v>0</x:v>
      </x:c>
      <x:c r="G903" s="440" t="n">
        <x:f>IF(AND(E903&gt;0,AND($B$78="Refinance",ISNUMBER($B$80),$B$80&gt;=0,$B$80&lt;=1,ROUND($B$81*12,0)&gt;=1,$B$81&lt;=100,SUM($B$82)&gt;=0,SUM($B$82)&lt;=1,SUM($B$83)&gt;=0)),E903*SUM($B$82)+SUM($B$83),0)</x:f>
        <x:v>0</x:v>
      </x:c>
      <x:c r="H903" s="440" t="n">
        <x:f>IF(ISNUMBER(D903),IF(MAX(0,B903*(1+C903/12)-D903-F903)&lt;MAX(0.0000001,$E$17*0.00000000001),0,MAX(0,B903*(1+C903/12)-D903-F903)),IF(AND($B$171=1,I902=1),B903,""))</x:f>
        <x:v>0</x:v>
      </x:c>
      <x:c r="I903" s="444" t="n">
        <x:f>IF(OR(I902=1,AND(E903&gt;0,$B$78&lt;&gt;"Cash payoff",NOT(AND($B$78="Refinance",ISNUMBER($B$80),$B$80&gt;=0,$B$80&lt;=1,ROUND($B$81*12,0)&gt;=1,$B$81&lt;=100,SUM($B$82)&gt;=0,SUM($B$82)&lt;=1,SUM($B$83)&gt;=0))),AND(ISNUMBER(B903),B903&gt;0,$B$171=1,NOT(ISNUMBER(D903)))),1,0)</x:f>
        <x:v>0</x:v>
      </x:c>
      <x:c r="J903" s="440" t="n">
        <x:f>IF(ISNUMBER(L902),L902,"")</x:f>
        <x:v>0</x:v>
      </x:c>
      <x:c r="K903" s="440" t="n">
        <x:f>IF(AND(ISNUMBER(J903),J903=0),0,IF(AND($B$176=1,ISNUMBER(J903)),MIN(J903*(1+$B$87/12),IF($B$86=0,0,IF($B$87=0,$B$86/ROUND($B$88*12,0),$B$86*($B$87/12)/(1-(1+$B$87/12)^(-ROUND($B$88*12,0)))))),""))</x:f>
        <x:v>0</x:v>
      </x:c>
      <x:c r="L903" s="440" t="n">
        <x:f>IF(ISNUMBER(K903),IF(MAX(0,J903*(1+SUM($B$87)/12)-K903)&lt;MAX(0.0000001,$B$86*0.00000000001),0,MAX(0,J903*(1+SUM($B$87)/12)-K903)),"")</x:f>
        <x:v>0</x:v>
      </x:c>
      <x:c r="M903" s="440" t="n">
        <x:f>IF(AND(ISNUMBER(D903),ISNUMBER(K903)),D903+K903,"")</x:f>
        <x:v>0</x:v>
      </x:c>
      <x:c r="N903" s="440" t="n">
        <x:f>IF(AND(ISNUMBER(H903),ISNUMBER(L903)),H903+L903,"")</x:f>
        <x:v>0</x:v>
      </x:c>
    </x:row>
    <x:row r="904" ht="22" customHeight="1">
      <x:c r="A904" s="254" t="n">
        <x:f>504</x:f>
        <x:v>504</x:v>
      </x:c>
      <x:c r="B904" s="440" t="n">
        <x:f>IF(ISNUMBER(H903),H903,"")</x:f>
        <x:v>0</x:v>
      </x:c>
      <x:c r="C904" s="442" t="n">
        <x:f>IF(ISNUMBER(B904),IF(AND(504&gt;$B$173,$B$78="Refinance",ISNUMBER($B$80),$B$80&gt;=0,$B$80&lt;=1,ROUND($B$81*12,0)&gt;=1,$B$81&lt;=100,SUM($B$82)&gt;=0,SUM($B$82)&lt;=1,SUM($B$83)&gt;=0),$B$80,IF(AND($B$175&gt;0,504&gt;$B$175,ISNUMBER($B$75)),$B$75,$B$61)),"")</x:f>
        <x:v>0.0625</x:v>
      </x:c>
      <x:c r="D904" s="440" t="n">
        <x:f>IF(AND(ISNUMBER(B904),B904=0),0,IF(AND($B$171=1,I903=0,ISNUMBER(C904),ISNUMBER(IF(AND(504&lt;=$B$174,504&lt;=$B$173),B904*C904/12,IF(AND(504=$B$173+1,AND(504&gt;$B$173,$B$78="Refinance",ISNUMBER($B$80),$B$80&gt;=0,$B$80&lt;=1,ROUND($B$81*12,0)&gt;=1,$B$81&lt;=100,SUM($B$82)&gt;=0,SUM($B$82)&lt;=1,SUM($B$83)&gt;=0)),IF(B904=0,0,IF(C904=0,B904/ROUND($B$81*12,0),B904*(C904/12)/(1-(1+C904/12)^(-ROUND($B$81*12,0))))),IF(AND(NOT(AND(504&gt;$B$173,$B$78="Refinance",ISNUMBER($B$80),$B$80&gt;=0,$B$80&lt;=1,ROUND($B$81*12,0)&gt;=1,$B$81&lt;=100,SUM($B$82)&gt;=0,SUM($B$82)&lt;=1,SUM($B$83)&gt;=0)),OR(504=1,504=$B$174+1,AND($B$175&gt;0,504=$B$175+1))),IF(AND($B$170=1,$B$66&gt;0,OR($B$175=0,504&lt;=$B$175)),$B$66,IF($B$172-MAX(504-1,$B$174)&gt;0,IF(B904=0,0,IF(C904=0,B904/($B$172-MAX(504-1,$B$174)),B904*(C904/12)/(1-(1+C904/12)^(-($B$172-MAX(504-1,$B$174)))))),"")),D903))))),IF(IF(AND(504&lt;=$B$174,504&lt;=$B$173),B904*C904/12,IF(AND(504=$B$173+1,AND(504&gt;$B$173,$B$78="Refinance",ISNUMBER($B$80),$B$80&gt;=0,$B$80&lt;=1,ROUND($B$81*12,0)&gt;=1,$B$81&lt;=100,SUM($B$82)&gt;=0,SUM($B$82)&lt;=1,SUM($B$83)&gt;=0)),IF(B904=0,0,IF(C904=0,B904/ROUND($B$81*12,0),B904*(C904/12)/(1-(1+C904/12)^(-ROUND($B$81*12,0))))),IF(AND(NOT(AND(504&gt;$B$173,$B$78="Refinance",ISNUMBER($B$80),$B$80&gt;=0,$B$80&lt;=1,ROUND($B$81*12,0)&gt;=1,$B$81&lt;=100,SUM($B$82)&gt;=0,SUM($B$82)&lt;=1,SUM($B$83)&gt;=0)),OR(504=1,504=$B$174+1,AND($B$175&gt;0,504=$B$175+1))),IF(AND($B$170=1,$B$66&gt;0,OR($B$175=0,504&lt;=$B$175)),$B$66,IF($B$172-MAX(504-1,$B$174)&gt;0,IF(B904=0,0,IF(C904=0,B904/($B$172-MAX(504-1,$B$174)),B904*(C904/12)/(1-(1+C904/12)^(-($B$172-MAX(504-1,$B$174)))))),"")),D903)))+0.0000001&gt;=B904*C904/12,MIN(B904*(1+C904/12),IF(AND(504&lt;=$B$174,504&lt;=$B$173),B904*C904/12,IF(AND(504=$B$173+1,AND(504&gt;$B$173,$B$78="Refinance",ISNUMBER($B$80),$B$80&gt;=0,$B$80&lt;=1,ROUND($B$81*12,0)&gt;=1,$B$81&lt;=100,SUM($B$82)&gt;=0,SUM($B$82)&lt;=1,SUM($B$83)&gt;=0)),IF(B904=0,0,IF(C904=0,B904/ROUND($B$81*12,0),B904*(C904/12)/(1-(1+C904/12)^(-ROUND($B$81*12,0))))),IF(AND(NOT(AND(504&gt;$B$173,$B$78="Refinance",ISNUMBER($B$80),$B$80&gt;=0,$B$80&lt;=1,ROUND($B$81*12,0)&gt;=1,$B$81&lt;=100,SUM($B$82)&gt;=0,SUM($B$82)&lt;=1,SUM($B$83)&gt;=0)),OR(504=1,504=$B$174+1,AND($B$175&gt;0,504=$B$175+1))),IF(AND($B$170=1,$B$66&gt;0,OR($B$175=0,504&lt;=$B$175)),$B$66,IF($B$172-MAX(504-1,$B$174)&gt;0,IF(B904=0,0,IF(C904=0,B904/($B$172-MAX(504-1,$B$174)),B904*(C904/12)/(1-(1+C904/12)^(-($B$172-MAX(504-1,$B$174)))))),"")),D903)))),""),""))</x:f>
        <x:v>0</x:v>
      </x:c>
      <x:c r="E904" s="440" t="n">
        <x:f>IF(AND(504=$B$173,ISNUMBER(D904)),IF(MAX(0,B904*(1+C904/12)-D904)&lt;MAX(0.0000001,$E$17*0.00000000001),0,MAX(0,B904*(1+C904/12)-D904)),0)</x:f>
        <x:v>0</x:v>
      </x:c>
      <x:c r="F904" s="440" t="n">
        <x:f>IF($B$78="Cash payoff",E904,0)</x:f>
        <x:v>0</x:v>
      </x:c>
      <x:c r="G904" s="440" t="n">
        <x:f>IF(AND(E904&gt;0,AND($B$78="Refinance",ISNUMBER($B$80),$B$80&gt;=0,$B$80&lt;=1,ROUND($B$81*12,0)&gt;=1,$B$81&lt;=100,SUM($B$82)&gt;=0,SUM($B$82)&lt;=1,SUM($B$83)&gt;=0)),E904*SUM($B$82)+SUM($B$83),0)</x:f>
        <x:v>0</x:v>
      </x:c>
      <x:c r="H904" s="440" t="n">
        <x:f>IF(ISNUMBER(D904),IF(MAX(0,B904*(1+C904/12)-D904-F904)&lt;MAX(0.0000001,$E$17*0.00000000001),0,MAX(0,B904*(1+C904/12)-D904-F904)),IF(AND($B$171=1,I903=1),B904,""))</x:f>
        <x:v>0</x:v>
      </x:c>
      <x:c r="I904" s="444" t="n">
        <x:f>IF(OR(I903=1,AND(E904&gt;0,$B$78&lt;&gt;"Cash payoff",NOT(AND($B$78="Refinance",ISNUMBER($B$80),$B$80&gt;=0,$B$80&lt;=1,ROUND($B$81*12,0)&gt;=1,$B$81&lt;=100,SUM($B$82)&gt;=0,SUM($B$82)&lt;=1,SUM($B$83)&gt;=0))),AND(ISNUMBER(B904),B904&gt;0,$B$171=1,NOT(ISNUMBER(D904)))),1,0)</x:f>
        <x:v>0</x:v>
      </x:c>
      <x:c r="J904" s="440" t="n">
        <x:f>IF(ISNUMBER(L903),L903,"")</x:f>
        <x:v>0</x:v>
      </x:c>
      <x:c r="K904" s="440" t="n">
        <x:f>IF(AND(ISNUMBER(J904),J904=0),0,IF(AND($B$176=1,ISNUMBER(J904)),MIN(J904*(1+$B$87/12),IF($B$86=0,0,IF($B$87=0,$B$86/ROUND($B$88*12,0),$B$86*($B$87/12)/(1-(1+$B$87/12)^(-ROUND($B$88*12,0)))))),""))</x:f>
        <x:v>0</x:v>
      </x:c>
      <x:c r="L904" s="440" t="n">
        <x:f>IF(ISNUMBER(K904),IF(MAX(0,J904*(1+SUM($B$87)/12)-K904)&lt;MAX(0.0000001,$B$86*0.00000000001),0,MAX(0,J904*(1+SUM($B$87)/12)-K904)),"")</x:f>
        <x:v>0</x:v>
      </x:c>
      <x:c r="M904" s="440" t="n">
        <x:f>IF(AND(ISNUMBER(D904),ISNUMBER(K904)),D904+K904,"")</x:f>
        <x:v>0</x:v>
      </x:c>
      <x:c r="N904" s="440" t="n">
        <x:f>IF(AND(ISNUMBER(H904),ISNUMBER(L904)),H904+L904,"")</x:f>
        <x:v>0</x:v>
      </x:c>
    </x:row>
    <x:row r="905" ht="22" customHeight="1">
      <x:c r="A905" s="254" t="n">
        <x:f>505</x:f>
        <x:v>505</x:v>
      </x:c>
      <x:c r="B905" s="440" t="n">
        <x:f>IF(ISNUMBER(H904),H904,"")</x:f>
        <x:v>0</x:v>
      </x:c>
      <x:c r="C905" s="442" t="n">
        <x:f>IF(ISNUMBER(B905),IF(AND(505&gt;$B$173,$B$78="Refinance",ISNUMBER($B$80),$B$80&gt;=0,$B$80&lt;=1,ROUND($B$81*12,0)&gt;=1,$B$81&lt;=100,SUM($B$82)&gt;=0,SUM($B$82)&lt;=1,SUM($B$83)&gt;=0),$B$80,IF(AND($B$175&gt;0,505&gt;$B$175,ISNUMBER($B$75)),$B$75,$B$61)),"")</x:f>
        <x:v>0.0625</x:v>
      </x:c>
      <x:c r="D905" s="440" t="n">
        <x:f>IF(AND(ISNUMBER(B905),B905=0),0,IF(AND($B$171=1,I904=0,ISNUMBER(C905),ISNUMBER(IF(AND(505&lt;=$B$174,505&lt;=$B$173),B905*C905/12,IF(AND(505=$B$173+1,AND(505&gt;$B$173,$B$78="Refinance",ISNUMBER($B$80),$B$80&gt;=0,$B$80&lt;=1,ROUND($B$81*12,0)&gt;=1,$B$81&lt;=100,SUM($B$82)&gt;=0,SUM($B$82)&lt;=1,SUM($B$83)&gt;=0)),IF(B905=0,0,IF(C905=0,B905/ROUND($B$81*12,0),B905*(C905/12)/(1-(1+C905/12)^(-ROUND($B$81*12,0))))),IF(AND(NOT(AND(505&gt;$B$173,$B$78="Refinance",ISNUMBER($B$80),$B$80&gt;=0,$B$80&lt;=1,ROUND($B$81*12,0)&gt;=1,$B$81&lt;=100,SUM($B$82)&gt;=0,SUM($B$82)&lt;=1,SUM($B$83)&gt;=0)),OR(505=1,505=$B$174+1,AND($B$175&gt;0,505=$B$175+1))),IF(AND($B$170=1,$B$66&gt;0,OR($B$175=0,505&lt;=$B$175)),$B$66,IF($B$172-MAX(505-1,$B$174)&gt;0,IF(B905=0,0,IF(C905=0,B905/($B$172-MAX(505-1,$B$174)),B905*(C905/12)/(1-(1+C905/12)^(-($B$172-MAX(505-1,$B$174)))))),"")),D904))))),IF(IF(AND(505&lt;=$B$174,505&lt;=$B$173),B905*C905/12,IF(AND(505=$B$173+1,AND(505&gt;$B$173,$B$78="Refinance",ISNUMBER($B$80),$B$80&gt;=0,$B$80&lt;=1,ROUND($B$81*12,0)&gt;=1,$B$81&lt;=100,SUM($B$82)&gt;=0,SUM($B$82)&lt;=1,SUM($B$83)&gt;=0)),IF(B905=0,0,IF(C905=0,B905/ROUND($B$81*12,0),B905*(C905/12)/(1-(1+C905/12)^(-ROUND($B$81*12,0))))),IF(AND(NOT(AND(505&gt;$B$173,$B$78="Refinance",ISNUMBER($B$80),$B$80&gt;=0,$B$80&lt;=1,ROUND($B$81*12,0)&gt;=1,$B$81&lt;=100,SUM($B$82)&gt;=0,SUM($B$82)&lt;=1,SUM($B$83)&gt;=0)),OR(505=1,505=$B$174+1,AND($B$175&gt;0,505=$B$175+1))),IF(AND($B$170=1,$B$66&gt;0,OR($B$175=0,505&lt;=$B$175)),$B$66,IF($B$172-MAX(505-1,$B$174)&gt;0,IF(B905=0,0,IF(C905=0,B905/($B$172-MAX(505-1,$B$174)),B905*(C905/12)/(1-(1+C905/12)^(-($B$172-MAX(505-1,$B$174)))))),"")),D904)))+0.0000001&gt;=B905*C905/12,MIN(B905*(1+C905/12),IF(AND(505&lt;=$B$174,505&lt;=$B$173),B905*C905/12,IF(AND(505=$B$173+1,AND(505&gt;$B$173,$B$78="Refinance",ISNUMBER($B$80),$B$80&gt;=0,$B$80&lt;=1,ROUND($B$81*12,0)&gt;=1,$B$81&lt;=100,SUM($B$82)&gt;=0,SUM($B$82)&lt;=1,SUM($B$83)&gt;=0)),IF(B905=0,0,IF(C905=0,B905/ROUND($B$81*12,0),B905*(C905/12)/(1-(1+C905/12)^(-ROUND($B$81*12,0))))),IF(AND(NOT(AND(505&gt;$B$173,$B$78="Refinance",ISNUMBER($B$80),$B$80&gt;=0,$B$80&lt;=1,ROUND($B$81*12,0)&gt;=1,$B$81&lt;=100,SUM($B$82)&gt;=0,SUM($B$82)&lt;=1,SUM($B$83)&gt;=0)),OR(505=1,505=$B$174+1,AND($B$175&gt;0,505=$B$175+1))),IF(AND($B$170=1,$B$66&gt;0,OR($B$175=0,505&lt;=$B$175)),$B$66,IF($B$172-MAX(505-1,$B$174)&gt;0,IF(B905=0,0,IF(C905=0,B905/($B$172-MAX(505-1,$B$174)),B905*(C905/12)/(1-(1+C905/12)^(-($B$172-MAX(505-1,$B$174)))))),"")),D904)))),""),""))</x:f>
        <x:v>0</x:v>
      </x:c>
      <x:c r="E905" s="440" t="n">
        <x:f>IF(AND(505=$B$173,ISNUMBER(D905)),IF(MAX(0,B905*(1+C905/12)-D905)&lt;MAX(0.0000001,$E$17*0.00000000001),0,MAX(0,B905*(1+C905/12)-D905)),0)</x:f>
        <x:v>0</x:v>
      </x:c>
      <x:c r="F905" s="440" t="n">
        <x:f>IF($B$78="Cash payoff",E905,0)</x:f>
        <x:v>0</x:v>
      </x:c>
      <x:c r="G905" s="440" t="n">
        <x:f>IF(AND(E905&gt;0,AND($B$78="Refinance",ISNUMBER($B$80),$B$80&gt;=0,$B$80&lt;=1,ROUND($B$81*12,0)&gt;=1,$B$81&lt;=100,SUM($B$82)&gt;=0,SUM($B$82)&lt;=1,SUM($B$83)&gt;=0)),E905*SUM($B$82)+SUM($B$83),0)</x:f>
        <x:v>0</x:v>
      </x:c>
      <x:c r="H905" s="440" t="n">
        <x:f>IF(ISNUMBER(D905),IF(MAX(0,B905*(1+C905/12)-D905-F905)&lt;MAX(0.0000001,$E$17*0.00000000001),0,MAX(0,B905*(1+C905/12)-D905-F905)),IF(AND($B$171=1,I904=1),B905,""))</x:f>
        <x:v>0</x:v>
      </x:c>
      <x:c r="I905" s="444" t="n">
        <x:f>IF(OR(I904=1,AND(E905&gt;0,$B$78&lt;&gt;"Cash payoff",NOT(AND($B$78="Refinance",ISNUMBER($B$80),$B$80&gt;=0,$B$80&lt;=1,ROUND($B$81*12,0)&gt;=1,$B$81&lt;=100,SUM($B$82)&gt;=0,SUM($B$82)&lt;=1,SUM($B$83)&gt;=0))),AND(ISNUMBER(B905),B905&gt;0,$B$171=1,NOT(ISNUMBER(D905)))),1,0)</x:f>
        <x:v>0</x:v>
      </x:c>
      <x:c r="J905" s="440" t="n">
        <x:f>IF(ISNUMBER(L904),L904,"")</x:f>
        <x:v>0</x:v>
      </x:c>
      <x:c r="K905" s="440" t="n">
        <x:f>IF(AND(ISNUMBER(J905),J905=0),0,IF(AND($B$176=1,ISNUMBER(J905)),MIN(J905*(1+$B$87/12),IF($B$86=0,0,IF($B$87=0,$B$86/ROUND($B$88*12,0),$B$86*($B$87/12)/(1-(1+$B$87/12)^(-ROUND($B$88*12,0)))))),""))</x:f>
        <x:v>0</x:v>
      </x:c>
      <x:c r="L905" s="440" t="n">
        <x:f>IF(ISNUMBER(K905),IF(MAX(0,J905*(1+SUM($B$87)/12)-K905)&lt;MAX(0.0000001,$B$86*0.00000000001),0,MAX(0,J905*(1+SUM($B$87)/12)-K905)),"")</x:f>
        <x:v>0</x:v>
      </x:c>
      <x:c r="M905" s="440" t="n">
        <x:f>IF(AND(ISNUMBER(D905),ISNUMBER(K905)),D905+K905,"")</x:f>
        <x:v>0</x:v>
      </x:c>
      <x:c r="N905" s="440" t="n">
        <x:f>IF(AND(ISNUMBER(H905),ISNUMBER(L905)),H905+L905,"")</x:f>
        <x:v>0</x:v>
      </x:c>
    </x:row>
    <x:row r="906" ht="22" customHeight="1">
      <x:c r="A906" s="254" t="n">
        <x:f>506</x:f>
        <x:v>506</x:v>
      </x:c>
      <x:c r="B906" s="440" t="n">
        <x:f>IF(ISNUMBER(H905),H905,"")</x:f>
        <x:v>0</x:v>
      </x:c>
      <x:c r="C906" s="442" t="n">
        <x:f>IF(ISNUMBER(B906),IF(AND(506&gt;$B$173,$B$78="Refinance",ISNUMBER($B$80),$B$80&gt;=0,$B$80&lt;=1,ROUND($B$81*12,0)&gt;=1,$B$81&lt;=100,SUM($B$82)&gt;=0,SUM($B$82)&lt;=1,SUM($B$83)&gt;=0),$B$80,IF(AND($B$175&gt;0,506&gt;$B$175,ISNUMBER($B$75)),$B$75,$B$61)),"")</x:f>
        <x:v>0.0625</x:v>
      </x:c>
      <x:c r="D906" s="440" t="n">
        <x:f>IF(AND(ISNUMBER(B906),B906=0),0,IF(AND($B$171=1,I905=0,ISNUMBER(C906),ISNUMBER(IF(AND(506&lt;=$B$174,506&lt;=$B$173),B906*C906/12,IF(AND(506=$B$173+1,AND(506&gt;$B$173,$B$78="Refinance",ISNUMBER($B$80),$B$80&gt;=0,$B$80&lt;=1,ROUND($B$81*12,0)&gt;=1,$B$81&lt;=100,SUM($B$82)&gt;=0,SUM($B$82)&lt;=1,SUM($B$83)&gt;=0)),IF(B906=0,0,IF(C906=0,B906/ROUND($B$81*12,0),B906*(C906/12)/(1-(1+C906/12)^(-ROUND($B$81*12,0))))),IF(AND(NOT(AND(506&gt;$B$173,$B$78="Refinance",ISNUMBER($B$80),$B$80&gt;=0,$B$80&lt;=1,ROUND($B$81*12,0)&gt;=1,$B$81&lt;=100,SUM($B$82)&gt;=0,SUM($B$82)&lt;=1,SUM($B$83)&gt;=0)),OR(506=1,506=$B$174+1,AND($B$175&gt;0,506=$B$175+1))),IF(AND($B$170=1,$B$66&gt;0,OR($B$175=0,506&lt;=$B$175)),$B$66,IF($B$172-MAX(506-1,$B$174)&gt;0,IF(B906=0,0,IF(C906=0,B906/($B$172-MAX(506-1,$B$174)),B906*(C906/12)/(1-(1+C906/12)^(-($B$172-MAX(506-1,$B$174)))))),"")),D905))))),IF(IF(AND(506&lt;=$B$174,506&lt;=$B$173),B906*C906/12,IF(AND(506=$B$173+1,AND(506&gt;$B$173,$B$78="Refinance",ISNUMBER($B$80),$B$80&gt;=0,$B$80&lt;=1,ROUND($B$81*12,0)&gt;=1,$B$81&lt;=100,SUM($B$82)&gt;=0,SUM($B$82)&lt;=1,SUM($B$83)&gt;=0)),IF(B906=0,0,IF(C906=0,B906/ROUND($B$81*12,0),B906*(C906/12)/(1-(1+C906/12)^(-ROUND($B$81*12,0))))),IF(AND(NOT(AND(506&gt;$B$173,$B$78="Refinance",ISNUMBER($B$80),$B$80&gt;=0,$B$80&lt;=1,ROUND($B$81*12,0)&gt;=1,$B$81&lt;=100,SUM($B$82)&gt;=0,SUM($B$82)&lt;=1,SUM($B$83)&gt;=0)),OR(506=1,506=$B$174+1,AND($B$175&gt;0,506=$B$175+1))),IF(AND($B$170=1,$B$66&gt;0,OR($B$175=0,506&lt;=$B$175)),$B$66,IF($B$172-MAX(506-1,$B$174)&gt;0,IF(B906=0,0,IF(C906=0,B906/($B$172-MAX(506-1,$B$174)),B906*(C906/12)/(1-(1+C906/12)^(-($B$172-MAX(506-1,$B$174)))))),"")),D905)))+0.0000001&gt;=B906*C906/12,MIN(B906*(1+C906/12),IF(AND(506&lt;=$B$174,506&lt;=$B$173),B906*C906/12,IF(AND(506=$B$173+1,AND(506&gt;$B$173,$B$78="Refinance",ISNUMBER($B$80),$B$80&gt;=0,$B$80&lt;=1,ROUND($B$81*12,0)&gt;=1,$B$81&lt;=100,SUM($B$82)&gt;=0,SUM($B$82)&lt;=1,SUM($B$83)&gt;=0)),IF(B906=0,0,IF(C906=0,B906/ROUND($B$81*12,0),B906*(C906/12)/(1-(1+C906/12)^(-ROUND($B$81*12,0))))),IF(AND(NOT(AND(506&gt;$B$173,$B$78="Refinance",ISNUMBER($B$80),$B$80&gt;=0,$B$80&lt;=1,ROUND($B$81*12,0)&gt;=1,$B$81&lt;=100,SUM($B$82)&gt;=0,SUM($B$82)&lt;=1,SUM($B$83)&gt;=0)),OR(506=1,506=$B$174+1,AND($B$175&gt;0,506=$B$175+1))),IF(AND($B$170=1,$B$66&gt;0,OR($B$175=0,506&lt;=$B$175)),$B$66,IF($B$172-MAX(506-1,$B$174)&gt;0,IF(B906=0,0,IF(C906=0,B906/($B$172-MAX(506-1,$B$174)),B906*(C906/12)/(1-(1+C906/12)^(-($B$172-MAX(506-1,$B$174)))))),"")),D905)))),""),""))</x:f>
        <x:v>0</x:v>
      </x:c>
      <x:c r="E906" s="440" t="n">
        <x:f>IF(AND(506=$B$173,ISNUMBER(D906)),IF(MAX(0,B906*(1+C906/12)-D906)&lt;MAX(0.0000001,$E$17*0.00000000001),0,MAX(0,B906*(1+C906/12)-D906)),0)</x:f>
        <x:v>0</x:v>
      </x:c>
      <x:c r="F906" s="440" t="n">
        <x:f>IF($B$78="Cash payoff",E906,0)</x:f>
        <x:v>0</x:v>
      </x:c>
      <x:c r="G906" s="440" t="n">
        <x:f>IF(AND(E906&gt;0,AND($B$78="Refinance",ISNUMBER($B$80),$B$80&gt;=0,$B$80&lt;=1,ROUND($B$81*12,0)&gt;=1,$B$81&lt;=100,SUM($B$82)&gt;=0,SUM($B$82)&lt;=1,SUM($B$83)&gt;=0)),E906*SUM($B$82)+SUM($B$83),0)</x:f>
        <x:v>0</x:v>
      </x:c>
      <x:c r="H906" s="440" t="n">
        <x:f>IF(ISNUMBER(D906),IF(MAX(0,B906*(1+C906/12)-D906-F906)&lt;MAX(0.0000001,$E$17*0.00000000001),0,MAX(0,B906*(1+C906/12)-D906-F906)),IF(AND($B$171=1,I905=1),B906,""))</x:f>
        <x:v>0</x:v>
      </x:c>
      <x:c r="I906" s="444" t="n">
        <x:f>IF(OR(I905=1,AND(E906&gt;0,$B$78&lt;&gt;"Cash payoff",NOT(AND($B$78="Refinance",ISNUMBER($B$80),$B$80&gt;=0,$B$80&lt;=1,ROUND($B$81*12,0)&gt;=1,$B$81&lt;=100,SUM($B$82)&gt;=0,SUM($B$82)&lt;=1,SUM($B$83)&gt;=0))),AND(ISNUMBER(B906),B906&gt;0,$B$171=1,NOT(ISNUMBER(D906)))),1,0)</x:f>
        <x:v>0</x:v>
      </x:c>
      <x:c r="J906" s="440" t="n">
        <x:f>IF(ISNUMBER(L905),L905,"")</x:f>
        <x:v>0</x:v>
      </x:c>
      <x:c r="K906" s="440" t="n">
        <x:f>IF(AND(ISNUMBER(J906),J906=0),0,IF(AND($B$176=1,ISNUMBER(J906)),MIN(J906*(1+$B$87/12),IF($B$86=0,0,IF($B$87=0,$B$86/ROUND($B$88*12,0),$B$86*($B$87/12)/(1-(1+$B$87/12)^(-ROUND($B$88*12,0)))))),""))</x:f>
        <x:v>0</x:v>
      </x:c>
      <x:c r="L906" s="440" t="n">
        <x:f>IF(ISNUMBER(K906),IF(MAX(0,J906*(1+SUM($B$87)/12)-K906)&lt;MAX(0.0000001,$B$86*0.00000000001),0,MAX(0,J906*(1+SUM($B$87)/12)-K906)),"")</x:f>
        <x:v>0</x:v>
      </x:c>
      <x:c r="M906" s="440" t="n">
        <x:f>IF(AND(ISNUMBER(D906),ISNUMBER(K906)),D906+K906,"")</x:f>
        <x:v>0</x:v>
      </x:c>
      <x:c r="N906" s="440" t="n">
        <x:f>IF(AND(ISNUMBER(H906),ISNUMBER(L906)),H906+L906,"")</x:f>
        <x:v>0</x:v>
      </x:c>
    </x:row>
    <x:row r="907" ht="22" customHeight="1">
      <x:c r="A907" s="254" t="n">
        <x:f>507</x:f>
        <x:v>507</x:v>
      </x:c>
      <x:c r="B907" s="440" t="n">
        <x:f>IF(ISNUMBER(H906),H906,"")</x:f>
        <x:v>0</x:v>
      </x:c>
      <x:c r="C907" s="442" t="n">
        <x:f>IF(ISNUMBER(B907),IF(AND(507&gt;$B$173,$B$78="Refinance",ISNUMBER($B$80),$B$80&gt;=0,$B$80&lt;=1,ROUND($B$81*12,0)&gt;=1,$B$81&lt;=100,SUM($B$82)&gt;=0,SUM($B$82)&lt;=1,SUM($B$83)&gt;=0),$B$80,IF(AND($B$175&gt;0,507&gt;$B$175,ISNUMBER($B$75)),$B$75,$B$61)),"")</x:f>
        <x:v>0.0625</x:v>
      </x:c>
      <x:c r="D907" s="440" t="n">
        <x:f>IF(AND(ISNUMBER(B907),B907=0),0,IF(AND($B$171=1,I906=0,ISNUMBER(C907),ISNUMBER(IF(AND(507&lt;=$B$174,507&lt;=$B$173),B907*C907/12,IF(AND(507=$B$173+1,AND(507&gt;$B$173,$B$78="Refinance",ISNUMBER($B$80),$B$80&gt;=0,$B$80&lt;=1,ROUND($B$81*12,0)&gt;=1,$B$81&lt;=100,SUM($B$82)&gt;=0,SUM($B$82)&lt;=1,SUM($B$83)&gt;=0)),IF(B907=0,0,IF(C907=0,B907/ROUND($B$81*12,0),B907*(C907/12)/(1-(1+C907/12)^(-ROUND($B$81*12,0))))),IF(AND(NOT(AND(507&gt;$B$173,$B$78="Refinance",ISNUMBER($B$80),$B$80&gt;=0,$B$80&lt;=1,ROUND($B$81*12,0)&gt;=1,$B$81&lt;=100,SUM($B$82)&gt;=0,SUM($B$82)&lt;=1,SUM($B$83)&gt;=0)),OR(507=1,507=$B$174+1,AND($B$175&gt;0,507=$B$175+1))),IF(AND($B$170=1,$B$66&gt;0,OR($B$175=0,507&lt;=$B$175)),$B$66,IF($B$172-MAX(507-1,$B$174)&gt;0,IF(B907=0,0,IF(C907=0,B907/($B$172-MAX(507-1,$B$174)),B907*(C907/12)/(1-(1+C907/12)^(-($B$172-MAX(507-1,$B$174)))))),"")),D906))))),IF(IF(AND(507&lt;=$B$174,507&lt;=$B$173),B907*C907/12,IF(AND(507=$B$173+1,AND(507&gt;$B$173,$B$78="Refinance",ISNUMBER($B$80),$B$80&gt;=0,$B$80&lt;=1,ROUND($B$81*12,0)&gt;=1,$B$81&lt;=100,SUM($B$82)&gt;=0,SUM($B$82)&lt;=1,SUM($B$83)&gt;=0)),IF(B907=0,0,IF(C907=0,B907/ROUND($B$81*12,0),B907*(C907/12)/(1-(1+C907/12)^(-ROUND($B$81*12,0))))),IF(AND(NOT(AND(507&gt;$B$173,$B$78="Refinance",ISNUMBER($B$80),$B$80&gt;=0,$B$80&lt;=1,ROUND($B$81*12,0)&gt;=1,$B$81&lt;=100,SUM($B$82)&gt;=0,SUM($B$82)&lt;=1,SUM($B$83)&gt;=0)),OR(507=1,507=$B$174+1,AND($B$175&gt;0,507=$B$175+1))),IF(AND($B$170=1,$B$66&gt;0,OR($B$175=0,507&lt;=$B$175)),$B$66,IF($B$172-MAX(507-1,$B$174)&gt;0,IF(B907=0,0,IF(C907=0,B907/($B$172-MAX(507-1,$B$174)),B907*(C907/12)/(1-(1+C907/12)^(-($B$172-MAX(507-1,$B$174)))))),"")),D906)))+0.0000001&gt;=B907*C907/12,MIN(B907*(1+C907/12),IF(AND(507&lt;=$B$174,507&lt;=$B$173),B907*C907/12,IF(AND(507=$B$173+1,AND(507&gt;$B$173,$B$78="Refinance",ISNUMBER($B$80),$B$80&gt;=0,$B$80&lt;=1,ROUND($B$81*12,0)&gt;=1,$B$81&lt;=100,SUM($B$82)&gt;=0,SUM($B$82)&lt;=1,SUM($B$83)&gt;=0)),IF(B907=0,0,IF(C907=0,B907/ROUND($B$81*12,0),B907*(C907/12)/(1-(1+C907/12)^(-ROUND($B$81*12,0))))),IF(AND(NOT(AND(507&gt;$B$173,$B$78="Refinance",ISNUMBER($B$80),$B$80&gt;=0,$B$80&lt;=1,ROUND($B$81*12,0)&gt;=1,$B$81&lt;=100,SUM($B$82)&gt;=0,SUM($B$82)&lt;=1,SUM($B$83)&gt;=0)),OR(507=1,507=$B$174+1,AND($B$175&gt;0,507=$B$175+1))),IF(AND($B$170=1,$B$66&gt;0,OR($B$175=0,507&lt;=$B$175)),$B$66,IF($B$172-MAX(507-1,$B$174)&gt;0,IF(B907=0,0,IF(C907=0,B907/($B$172-MAX(507-1,$B$174)),B907*(C907/12)/(1-(1+C907/12)^(-($B$172-MAX(507-1,$B$174)))))),"")),D906)))),""),""))</x:f>
        <x:v>0</x:v>
      </x:c>
      <x:c r="E907" s="440" t="n">
        <x:f>IF(AND(507=$B$173,ISNUMBER(D907)),IF(MAX(0,B907*(1+C907/12)-D907)&lt;MAX(0.0000001,$E$17*0.00000000001),0,MAX(0,B907*(1+C907/12)-D907)),0)</x:f>
        <x:v>0</x:v>
      </x:c>
      <x:c r="F907" s="440" t="n">
        <x:f>IF($B$78="Cash payoff",E907,0)</x:f>
        <x:v>0</x:v>
      </x:c>
      <x:c r="G907" s="440" t="n">
        <x:f>IF(AND(E907&gt;0,AND($B$78="Refinance",ISNUMBER($B$80),$B$80&gt;=0,$B$80&lt;=1,ROUND($B$81*12,0)&gt;=1,$B$81&lt;=100,SUM($B$82)&gt;=0,SUM($B$82)&lt;=1,SUM($B$83)&gt;=0)),E907*SUM($B$82)+SUM($B$83),0)</x:f>
        <x:v>0</x:v>
      </x:c>
      <x:c r="H907" s="440" t="n">
        <x:f>IF(ISNUMBER(D907),IF(MAX(0,B907*(1+C907/12)-D907-F907)&lt;MAX(0.0000001,$E$17*0.00000000001),0,MAX(0,B907*(1+C907/12)-D907-F907)),IF(AND($B$171=1,I906=1),B907,""))</x:f>
        <x:v>0</x:v>
      </x:c>
      <x:c r="I907" s="444" t="n">
        <x:f>IF(OR(I906=1,AND(E907&gt;0,$B$78&lt;&gt;"Cash payoff",NOT(AND($B$78="Refinance",ISNUMBER($B$80),$B$80&gt;=0,$B$80&lt;=1,ROUND($B$81*12,0)&gt;=1,$B$81&lt;=100,SUM($B$82)&gt;=0,SUM($B$82)&lt;=1,SUM($B$83)&gt;=0))),AND(ISNUMBER(B907),B907&gt;0,$B$171=1,NOT(ISNUMBER(D907)))),1,0)</x:f>
        <x:v>0</x:v>
      </x:c>
      <x:c r="J907" s="440" t="n">
        <x:f>IF(ISNUMBER(L906),L906,"")</x:f>
        <x:v>0</x:v>
      </x:c>
      <x:c r="K907" s="440" t="n">
        <x:f>IF(AND(ISNUMBER(J907),J907=0),0,IF(AND($B$176=1,ISNUMBER(J907)),MIN(J907*(1+$B$87/12),IF($B$86=0,0,IF($B$87=0,$B$86/ROUND($B$88*12,0),$B$86*($B$87/12)/(1-(1+$B$87/12)^(-ROUND($B$88*12,0)))))),""))</x:f>
        <x:v>0</x:v>
      </x:c>
      <x:c r="L907" s="440" t="n">
        <x:f>IF(ISNUMBER(K907),IF(MAX(0,J907*(1+SUM($B$87)/12)-K907)&lt;MAX(0.0000001,$B$86*0.00000000001),0,MAX(0,J907*(1+SUM($B$87)/12)-K907)),"")</x:f>
        <x:v>0</x:v>
      </x:c>
      <x:c r="M907" s="440" t="n">
        <x:f>IF(AND(ISNUMBER(D907),ISNUMBER(K907)),D907+K907,"")</x:f>
        <x:v>0</x:v>
      </x:c>
      <x:c r="N907" s="440" t="n">
        <x:f>IF(AND(ISNUMBER(H907),ISNUMBER(L907)),H907+L907,"")</x:f>
        <x:v>0</x:v>
      </x:c>
    </x:row>
    <x:row r="908" ht="22" customHeight="1">
      <x:c r="A908" s="254" t="n">
        <x:f>508</x:f>
        <x:v>508</x:v>
      </x:c>
      <x:c r="B908" s="440" t="n">
        <x:f>IF(ISNUMBER(H907),H907,"")</x:f>
        <x:v>0</x:v>
      </x:c>
      <x:c r="C908" s="442" t="n">
        <x:f>IF(ISNUMBER(B908),IF(AND(508&gt;$B$173,$B$78="Refinance",ISNUMBER($B$80),$B$80&gt;=0,$B$80&lt;=1,ROUND($B$81*12,0)&gt;=1,$B$81&lt;=100,SUM($B$82)&gt;=0,SUM($B$82)&lt;=1,SUM($B$83)&gt;=0),$B$80,IF(AND($B$175&gt;0,508&gt;$B$175,ISNUMBER($B$75)),$B$75,$B$61)),"")</x:f>
        <x:v>0.0625</x:v>
      </x:c>
      <x:c r="D908" s="440" t="n">
        <x:f>IF(AND(ISNUMBER(B908),B908=0),0,IF(AND($B$171=1,I907=0,ISNUMBER(C908),ISNUMBER(IF(AND(508&lt;=$B$174,508&lt;=$B$173),B908*C908/12,IF(AND(508=$B$173+1,AND(508&gt;$B$173,$B$78="Refinance",ISNUMBER($B$80),$B$80&gt;=0,$B$80&lt;=1,ROUND($B$81*12,0)&gt;=1,$B$81&lt;=100,SUM($B$82)&gt;=0,SUM($B$82)&lt;=1,SUM($B$83)&gt;=0)),IF(B908=0,0,IF(C908=0,B908/ROUND($B$81*12,0),B908*(C908/12)/(1-(1+C908/12)^(-ROUND($B$81*12,0))))),IF(AND(NOT(AND(508&gt;$B$173,$B$78="Refinance",ISNUMBER($B$80),$B$80&gt;=0,$B$80&lt;=1,ROUND($B$81*12,0)&gt;=1,$B$81&lt;=100,SUM($B$82)&gt;=0,SUM($B$82)&lt;=1,SUM($B$83)&gt;=0)),OR(508=1,508=$B$174+1,AND($B$175&gt;0,508=$B$175+1))),IF(AND($B$170=1,$B$66&gt;0,OR($B$175=0,508&lt;=$B$175)),$B$66,IF($B$172-MAX(508-1,$B$174)&gt;0,IF(B908=0,0,IF(C908=0,B908/($B$172-MAX(508-1,$B$174)),B908*(C908/12)/(1-(1+C908/12)^(-($B$172-MAX(508-1,$B$174)))))),"")),D907))))),IF(IF(AND(508&lt;=$B$174,508&lt;=$B$173),B908*C908/12,IF(AND(508=$B$173+1,AND(508&gt;$B$173,$B$78="Refinance",ISNUMBER($B$80),$B$80&gt;=0,$B$80&lt;=1,ROUND($B$81*12,0)&gt;=1,$B$81&lt;=100,SUM($B$82)&gt;=0,SUM($B$82)&lt;=1,SUM($B$83)&gt;=0)),IF(B908=0,0,IF(C908=0,B908/ROUND($B$81*12,0),B908*(C908/12)/(1-(1+C908/12)^(-ROUND($B$81*12,0))))),IF(AND(NOT(AND(508&gt;$B$173,$B$78="Refinance",ISNUMBER($B$80),$B$80&gt;=0,$B$80&lt;=1,ROUND($B$81*12,0)&gt;=1,$B$81&lt;=100,SUM($B$82)&gt;=0,SUM($B$82)&lt;=1,SUM($B$83)&gt;=0)),OR(508=1,508=$B$174+1,AND($B$175&gt;0,508=$B$175+1))),IF(AND($B$170=1,$B$66&gt;0,OR($B$175=0,508&lt;=$B$175)),$B$66,IF($B$172-MAX(508-1,$B$174)&gt;0,IF(B908=0,0,IF(C908=0,B908/($B$172-MAX(508-1,$B$174)),B908*(C908/12)/(1-(1+C908/12)^(-($B$172-MAX(508-1,$B$174)))))),"")),D907)))+0.0000001&gt;=B908*C908/12,MIN(B908*(1+C908/12),IF(AND(508&lt;=$B$174,508&lt;=$B$173),B908*C908/12,IF(AND(508=$B$173+1,AND(508&gt;$B$173,$B$78="Refinance",ISNUMBER($B$80),$B$80&gt;=0,$B$80&lt;=1,ROUND($B$81*12,0)&gt;=1,$B$81&lt;=100,SUM($B$82)&gt;=0,SUM($B$82)&lt;=1,SUM($B$83)&gt;=0)),IF(B908=0,0,IF(C908=0,B908/ROUND($B$81*12,0),B908*(C908/12)/(1-(1+C908/12)^(-ROUND($B$81*12,0))))),IF(AND(NOT(AND(508&gt;$B$173,$B$78="Refinance",ISNUMBER($B$80),$B$80&gt;=0,$B$80&lt;=1,ROUND($B$81*12,0)&gt;=1,$B$81&lt;=100,SUM($B$82)&gt;=0,SUM($B$82)&lt;=1,SUM($B$83)&gt;=0)),OR(508=1,508=$B$174+1,AND($B$175&gt;0,508=$B$175+1))),IF(AND($B$170=1,$B$66&gt;0,OR($B$175=0,508&lt;=$B$175)),$B$66,IF($B$172-MAX(508-1,$B$174)&gt;0,IF(B908=0,0,IF(C908=0,B908/($B$172-MAX(508-1,$B$174)),B908*(C908/12)/(1-(1+C908/12)^(-($B$172-MAX(508-1,$B$174)))))),"")),D907)))),""),""))</x:f>
        <x:v>0</x:v>
      </x:c>
      <x:c r="E908" s="440" t="n">
        <x:f>IF(AND(508=$B$173,ISNUMBER(D908)),IF(MAX(0,B908*(1+C908/12)-D908)&lt;MAX(0.0000001,$E$17*0.00000000001),0,MAX(0,B908*(1+C908/12)-D908)),0)</x:f>
        <x:v>0</x:v>
      </x:c>
      <x:c r="F908" s="440" t="n">
        <x:f>IF($B$78="Cash payoff",E908,0)</x:f>
        <x:v>0</x:v>
      </x:c>
      <x:c r="G908" s="440" t="n">
        <x:f>IF(AND(E908&gt;0,AND($B$78="Refinance",ISNUMBER($B$80),$B$80&gt;=0,$B$80&lt;=1,ROUND($B$81*12,0)&gt;=1,$B$81&lt;=100,SUM($B$82)&gt;=0,SUM($B$82)&lt;=1,SUM($B$83)&gt;=0)),E908*SUM($B$82)+SUM($B$83),0)</x:f>
        <x:v>0</x:v>
      </x:c>
      <x:c r="H908" s="440" t="n">
        <x:f>IF(ISNUMBER(D908),IF(MAX(0,B908*(1+C908/12)-D908-F908)&lt;MAX(0.0000001,$E$17*0.00000000001),0,MAX(0,B908*(1+C908/12)-D908-F908)),IF(AND($B$171=1,I907=1),B908,""))</x:f>
        <x:v>0</x:v>
      </x:c>
      <x:c r="I908" s="444" t="n">
        <x:f>IF(OR(I907=1,AND(E908&gt;0,$B$78&lt;&gt;"Cash payoff",NOT(AND($B$78="Refinance",ISNUMBER($B$80),$B$80&gt;=0,$B$80&lt;=1,ROUND($B$81*12,0)&gt;=1,$B$81&lt;=100,SUM($B$82)&gt;=0,SUM($B$82)&lt;=1,SUM($B$83)&gt;=0))),AND(ISNUMBER(B908),B908&gt;0,$B$171=1,NOT(ISNUMBER(D908)))),1,0)</x:f>
        <x:v>0</x:v>
      </x:c>
      <x:c r="J908" s="440" t="n">
        <x:f>IF(ISNUMBER(L907),L907,"")</x:f>
        <x:v>0</x:v>
      </x:c>
      <x:c r="K908" s="440" t="n">
        <x:f>IF(AND(ISNUMBER(J908),J908=0),0,IF(AND($B$176=1,ISNUMBER(J908)),MIN(J908*(1+$B$87/12),IF($B$86=0,0,IF($B$87=0,$B$86/ROUND($B$88*12,0),$B$86*($B$87/12)/(1-(1+$B$87/12)^(-ROUND($B$88*12,0)))))),""))</x:f>
        <x:v>0</x:v>
      </x:c>
      <x:c r="L908" s="440" t="n">
        <x:f>IF(ISNUMBER(K908),IF(MAX(0,J908*(1+SUM($B$87)/12)-K908)&lt;MAX(0.0000001,$B$86*0.00000000001),0,MAX(0,J908*(1+SUM($B$87)/12)-K908)),"")</x:f>
        <x:v>0</x:v>
      </x:c>
      <x:c r="M908" s="440" t="n">
        <x:f>IF(AND(ISNUMBER(D908),ISNUMBER(K908)),D908+K908,"")</x:f>
        <x:v>0</x:v>
      </x:c>
      <x:c r="N908" s="440" t="n">
        <x:f>IF(AND(ISNUMBER(H908),ISNUMBER(L908)),H908+L908,"")</x:f>
        <x:v>0</x:v>
      </x:c>
    </x:row>
    <x:row r="909" ht="22" customHeight="1">
      <x:c r="A909" s="254" t="n">
        <x:f>509</x:f>
        <x:v>509</x:v>
      </x:c>
      <x:c r="B909" s="440" t="n">
        <x:f>IF(ISNUMBER(H908),H908,"")</x:f>
        <x:v>0</x:v>
      </x:c>
      <x:c r="C909" s="442" t="n">
        <x:f>IF(ISNUMBER(B909),IF(AND(509&gt;$B$173,$B$78="Refinance",ISNUMBER($B$80),$B$80&gt;=0,$B$80&lt;=1,ROUND($B$81*12,0)&gt;=1,$B$81&lt;=100,SUM($B$82)&gt;=0,SUM($B$82)&lt;=1,SUM($B$83)&gt;=0),$B$80,IF(AND($B$175&gt;0,509&gt;$B$175,ISNUMBER($B$75)),$B$75,$B$61)),"")</x:f>
        <x:v>0.0625</x:v>
      </x:c>
      <x:c r="D909" s="440" t="n">
        <x:f>IF(AND(ISNUMBER(B909),B909=0),0,IF(AND($B$171=1,I908=0,ISNUMBER(C909),ISNUMBER(IF(AND(509&lt;=$B$174,509&lt;=$B$173),B909*C909/12,IF(AND(509=$B$173+1,AND(509&gt;$B$173,$B$78="Refinance",ISNUMBER($B$80),$B$80&gt;=0,$B$80&lt;=1,ROUND($B$81*12,0)&gt;=1,$B$81&lt;=100,SUM($B$82)&gt;=0,SUM($B$82)&lt;=1,SUM($B$83)&gt;=0)),IF(B909=0,0,IF(C909=0,B909/ROUND($B$81*12,0),B909*(C909/12)/(1-(1+C909/12)^(-ROUND($B$81*12,0))))),IF(AND(NOT(AND(509&gt;$B$173,$B$78="Refinance",ISNUMBER($B$80),$B$80&gt;=0,$B$80&lt;=1,ROUND($B$81*12,0)&gt;=1,$B$81&lt;=100,SUM($B$82)&gt;=0,SUM($B$82)&lt;=1,SUM($B$83)&gt;=0)),OR(509=1,509=$B$174+1,AND($B$175&gt;0,509=$B$175+1))),IF(AND($B$170=1,$B$66&gt;0,OR($B$175=0,509&lt;=$B$175)),$B$66,IF($B$172-MAX(509-1,$B$174)&gt;0,IF(B909=0,0,IF(C909=0,B909/($B$172-MAX(509-1,$B$174)),B909*(C909/12)/(1-(1+C909/12)^(-($B$172-MAX(509-1,$B$174)))))),"")),D908))))),IF(IF(AND(509&lt;=$B$174,509&lt;=$B$173),B909*C909/12,IF(AND(509=$B$173+1,AND(509&gt;$B$173,$B$78="Refinance",ISNUMBER($B$80),$B$80&gt;=0,$B$80&lt;=1,ROUND($B$81*12,0)&gt;=1,$B$81&lt;=100,SUM($B$82)&gt;=0,SUM($B$82)&lt;=1,SUM($B$83)&gt;=0)),IF(B909=0,0,IF(C909=0,B909/ROUND($B$81*12,0),B909*(C909/12)/(1-(1+C909/12)^(-ROUND($B$81*12,0))))),IF(AND(NOT(AND(509&gt;$B$173,$B$78="Refinance",ISNUMBER($B$80),$B$80&gt;=0,$B$80&lt;=1,ROUND($B$81*12,0)&gt;=1,$B$81&lt;=100,SUM($B$82)&gt;=0,SUM($B$82)&lt;=1,SUM($B$83)&gt;=0)),OR(509=1,509=$B$174+1,AND($B$175&gt;0,509=$B$175+1))),IF(AND($B$170=1,$B$66&gt;0,OR($B$175=0,509&lt;=$B$175)),$B$66,IF($B$172-MAX(509-1,$B$174)&gt;0,IF(B909=0,0,IF(C909=0,B909/($B$172-MAX(509-1,$B$174)),B909*(C909/12)/(1-(1+C909/12)^(-($B$172-MAX(509-1,$B$174)))))),"")),D908)))+0.0000001&gt;=B909*C909/12,MIN(B909*(1+C909/12),IF(AND(509&lt;=$B$174,509&lt;=$B$173),B909*C909/12,IF(AND(509=$B$173+1,AND(509&gt;$B$173,$B$78="Refinance",ISNUMBER($B$80),$B$80&gt;=0,$B$80&lt;=1,ROUND($B$81*12,0)&gt;=1,$B$81&lt;=100,SUM($B$82)&gt;=0,SUM($B$82)&lt;=1,SUM($B$83)&gt;=0)),IF(B909=0,0,IF(C909=0,B909/ROUND($B$81*12,0),B909*(C909/12)/(1-(1+C909/12)^(-ROUND($B$81*12,0))))),IF(AND(NOT(AND(509&gt;$B$173,$B$78="Refinance",ISNUMBER($B$80),$B$80&gt;=0,$B$80&lt;=1,ROUND($B$81*12,0)&gt;=1,$B$81&lt;=100,SUM($B$82)&gt;=0,SUM($B$82)&lt;=1,SUM($B$83)&gt;=0)),OR(509=1,509=$B$174+1,AND($B$175&gt;0,509=$B$175+1))),IF(AND($B$170=1,$B$66&gt;0,OR($B$175=0,509&lt;=$B$175)),$B$66,IF($B$172-MAX(509-1,$B$174)&gt;0,IF(B909=0,0,IF(C909=0,B909/($B$172-MAX(509-1,$B$174)),B909*(C909/12)/(1-(1+C909/12)^(-($B$172-MAX(509-1,$B$174)))))),"")),D908)))),""),""))</x:f>
        <x:v>0</x:v>
      </x:c>
      <x:c r="E909" s="440" t="n">
        <x:f>IF(AND(509=$B$173,ISNUMBER(D909)),IF(MAX(0,B909*(1+C909/12)-D909)&lt;MAX(0.0000001,$E$17*0.00000000001),0,MAX(0,B909*(1+C909/12)-D909)),0)</x:f>
        <x:v>0</x:v>
      </x:c>
      <x:c r="F909" s="440" t="n">
        <x:f>IF($B$78="Cash payoff",E909,0)</x:f>
        <x:v>0</x:v>
      </x:c>
      <x:c r="G909" s="440" t="n">
        <x:f>IF(AND(E909&gt;0,AND($B$78="Refinance",ISNUMBER($B$80),$B$80&gt;=0,$B$80&lt;=1,ROUND($B$81*12,0)&gt;=1,$B$81&lt;=100,SUM($B$82)&gt;=0,SUM($B$82)&lt;=1,SUM($B$83)&gt;=0)),E909*SUM($B$82)+SUM($B$83),0)</x:f>
        <x:v>0</x:v>
      </x:c>
      <x:c r="H909" s="440" t="n">
        <x:f>IF(ISNUMBER(D909),IF(MAX(0,B909*(1+C909/12)-D909-F909)&lt;MAX(0.0000001,$E$17*0.00000000001),0,MAX(0,B909*(1+C909/12)-D909-F909)),IF(AND($B$171=1,I908=1),B909,""))</x:f>
        <x:v>0</x:v>
      </x:c>
      <x:c r="I909" s="444" t="n">
        <x:f>IF(OR(I908=1,AND(E909&gt;0,$B$78&lt;&gt;"Cash payoff",NOT(AND($B$78="Refinance",ISNUMBER($B$80),$B$80&gt;=0,$B$80&lt;=1,ROUND($B$81*12,0)&gt;=1,$B$81&lt;=100,SUM($B$82)&gt;=0,SUM($B$82)&lt;=1,SUM($B$83)&gt;=0))),AND(ISNUMBER(B909),B909&gt;0,$B$171=1,NOT(ISNUMBER(D909)))),1,0)</x:f>
        <x:v>0</x:v>
      </x:c>
      <x:c r="J909" s="440" t="n">
        <x:f>IF(ISNUMBER(L908),L908,"")</x:f>
        <x:v>0</x:v>
      </x:c>
      <x:c r="K909" s="440" t="n">
        <x:f>IF(AND(ISNUMBER(J909),J909=0),0,IF(AND($B$176=1,ISNUMBER(J909)),MIN(J909*(1+$B$87/12),IF($B$86=0,0,IF($B$87=0,$B$86/ROUND($B$88*12,0),$B$86*($B$87/12)/(1-(1+$B$87/12)^(-ROUND($B$88*12,0)))))),""))</x:f>
        <x:v>0</x:v>
      </x:c>
      <x:c r="L909" s="440" t="n">
        <x:f>IF(ISNUMBER(K909),IF(MAX(0,J909*(1+SUM($B$87)/12)-K909)&lt;MAX(0.0000001,$B$86*0.00000000001),0,MAX(0,J909*(1+SUM($B$87)/12)-K909)),"")</x:f>
        <x:v>0</x:v>
      </x:c>
      <x:c r="M909" s="440" t="n">
        <x:f>IF(AND(ISNUMBER(D909),ISNUMBER(K909)),D909+K909,"")</x:f>
        <x:v>0</x:v>
      </x:c>
      <x:c r="N909" s="440" t="n">
        <x:f>IF(AND(ISNUMBER(H909),ISNUMBER(L909)),H909+L909,"")</x:f>
        <x:v>0</x:v>
      </x:c>
    </x:row>
    <x:row r="910" ht="22" customHeight="1">
      <x:c r="A910" s="254" t="n">
        <x:f>510</x:f>
        <x:v>510</x:v>
      </x:c>
      <x:c r="B910" s="440" t="n">
        <x:f>IF(ISNUMBER(H909),H909,"")</x:f>
        <x:v>0</x:v>
      </x:c>
      <x:c r="C910" s="442" t="n">
        <x:f>IF(ISNUMBER(B910),IF(AND(510&gt;$B$173,$B$78="Refinance",ISNUMBER($B$80),$B$80&gt;=0,$B$80&lt;=1,ROUND($B$81*12,0)&gt;=1,$B$81&lt;=100,SUM($B$82)&gt;=0,SUM($B$82)&lt;=1,SUM($B$83)&gt;=0),$B$80,IF(AND($B$175&gt;0,510&gt;$B$175,ISNUMBER($B$75)),$B$75,$B$61)),"")</x:f>
        <x:v>0.0625</x:v>
      </x:c>
      <x:c r="D910" s="440" t="n">
        <x:f>IF(AND(ISNUMBER(B910),B910=0),0,IF(AND($B$171=1,I909=0,ISNUMBER(C910),ISNUMBER(IF(AND(510&lt;=$B$174,510&lt;=$B$173),B910*C910/12,IF(AND(510=$B$173+1,AND(510&gt;$B$173,$B$78="Refinance",ISNUMBER($B$80),$B$80&gt;=0,$B$80&lt;=1,ROUND($B$81*12,0)&gt;=1,$B$81&lt;=100,SUM($B$82)&gt;=0,SUM($B$82)&lt;=1,SUM($B$83)&gt;=0)),IF(B910=0,0,IF(C910=0,B910/ROUND($B$81*12,0),B910*(C910/12)/(1-(1+C910/12)^(-ROUND($B$81*12,0))))),IF(AND(NOT(AND(510&gt;$B$173,$B$78="Refinance",ISNUMBER($B$80),$B$80&gt;=0,$B$80&lt;=1,ROUND($B$81*12,0)&gt;=1,$B$81&lt;=100,SUM($B$82)&gt;=0,SUM($B$82)&lt;=1,SUM($B$83)&gt;=0)),OR(510=1,510=$B$174+1,AND($B$175&gt;0,510=$B$175+1))),IF(AND($B$170=1,$B$66&gt;0,OR($B$175=0,510&lt;=$B$175)),$B$66,IF($B$172-MAX(510-1,$B$174)&gt;0,IF(B910=0,0,IF(C910=0,B910/($B$172-MAX(510-1,$B$174)),B910*(C910/12)/(1-(1+C910/12)^(-($B$172-MAX(510-1,$B$174)))))),"")),D909))))),IF(IF(AND(510&lt;=$B$174,510&lt;=$B$173),B910*C910/12,IF(AND(510=$B$173+1,AND(510&gt;$B$173,$B$78="Refinance",ISNUMBER($B$80),$B$80&gt;=0,$B$80&lt;=1,ROUND($B$81*12,0)&gt;=1,$B$81&lt;=100,SUM($B$82)&gt;=0,SUM($B$82)&lt;=1,SUM($B$83)&gt;=0)),IF(B910=0,0,IF(C910=0,B910/ROUND($B$81*12,0),B910*(C910/12)/(1-(1+C910/12)^(-ROUND($B$81*12,0))))),IF(AND(NOT(AND(510&gt;$B$173,$B$78="Refinance",ISNUMBER($B$80),$B$80&gt;=0,$B$80&lt;=1,ROUND($B$81*12,0)&gt;=1,$B$81&lt;=100,SUM($B$82)&gt;=0,SUM($B$82)&lt;=1,SUM($B$83)&gt;=0)),OR(510=1,510=$B$174+1,AND($B$175&gt;0,510=$B$175+1))),IF(AND($B$170=1,$B$66&gt;0,OR($B$175=0,510&lt;=$B$175)),$B$66,IF($B$172-MAX(510-1,$B$174)&gt;0,IF(B910=0,0,IF(C910=0,B910/($B$172-MAX(510-1,$B$174)),B910*(C910/12)/(1-(1+C910/12)^(-($B$172-MAX(510-1,$B$174)))))),"")),D909)))+0.0000001&gt;=B910*C910/12,MIN(B910*(1+C910/12),IF(AND(510&lt;=$B$174,510&lt;=$B$173),B910*C910/12,IF(AND(510=$B$173+1,AND(510&gt;$B$173,$B$78="Refinance",ISNUMBER($B$80),$B$80&gt;=0,$B$80&lt;=1,ROUND($B$81*12,0)&gt;=1,$B$81&lt;=100,SUM($B$82)&gt;=0,SUM($B$82)&lt;=1,SUM($B$83)&gt;=0)),IF(B910=0,0,IF(C910=0,B910/ROUND($B$81*12,0),B910*(C910/12)/(1-(1+C910/12)^(-ROUND($B$81*12,0))))),IF(AND(NOT(AND(510&gt;$B$173,$B$78="Refinance",ISNUMBER($B$80),$B$80&gt;=0,$B$80&lt;=1,ROUND($B$81*12,0)&gt;=1,$B$81&lt;=100,SUM($B$82)&gt;=0,SUM($B$82)&lt;=1,SUM($B$83)&gt;=0)),OR(510=1,510=$B$174+1,AND($B$175&gt;0,510=$B$175+1))),IF(AND($B$170=1,$B$66&gt;0,OR($B$175=0,510&lt;=$B$175)),$B$66,IF($B$172-MAX(510-1,$B$174)&gt;0,IF(B910=0,0,IF(C910=0,B910/($B$172-MAX(510-1,$B$174)),B910*(C910/12)/(1-(1+C910/12)^(-($B$172-MAX(510-1,$B$174)))))),"")),D909)))),""),""))</x:f>
        <x:v>0</x:v>
      </x:c>
      <x:c r="E910" s="440" t="n">
        <x:f>IF(AND(510=$B$173,ISNUMBER(D910)),IF(MAX(0,B910*(1+C910/12)-D910)&lt;MAX(0.0000001,$E$17*0.00000000001),0,MAX(0,B910*(1+C910/12)-D910)),0)</x:f>
        <x:v>0</x:v>
      </x:c>
      <x:c r="F910" s="440" t="n">
        <x:f>IF($B$78="Cash payoff",E910,0)</x:f>
        <x:v>0</x:v>
      </x:c>
      <x:c r="G910" s="440" t="n">
        <x:f>IF(AND(E910&gt;0,AND($B$78="Refinance",ISNUMBER($B$80),$B$80&gt;=0,$B$80&lt;=1,ROUND($B$81*12,0)&gt;=1,$B$81&lt;=100,SUM($B$82)&gt;=0,SUM($B$82)&lt;=1,SUM($B$83)&gt;=0)),E910*SUM($B$82)+SUM($B$83),0)</x:f>
        <x:v>0</x:v>
      </x:c>
      <x:c r="H910" s="440" t="n">
        <x:f>IF(ISNUMBER(D910),IF(MAX(0,B910*(1+C910/12)-D910-F910)&lt;MAX(0.0000001,$E$17*0.00000000001),0,MAX(0,B910*(1+C910/12)-D910-F910)),IF(AND($B$171=1,I909=1),B910,""))</x:f>
        <x:v>0</x:v>
      </x:c>
      <x:c r="I910" s="444" t="n">
        <x:f>IF(OR(I909=1,AND(E910&gt;0,$B$78&lt;&gt;"Cash payoff",NOT(AND($B$78="Refinance",ISNUMBER($B$80),$B$80&gt;=0,$B$80&lt;=1,ROUND($B$81*12,0)&gt;=1,$B$81&lt;=100,SUM($B$82)&gt;=0,SUM($B$82)&lt;=1,SUM($B$83)&gt;=0))),AND(ISNUMBER(B910),B910&gt;0,$B$171=1,NOT(ISNUMBER(D910)))),1,0)</x:f>
        <x:v>0</x:v>
      </x:c>
      <x:c r="J910" s="440" t="n">
        <x:f>IF(ISNUMBER(L909),L909,"")</x:f>
        <x:v>0</x:v>
      </x:c>
      <x:c r="K910" s="440" t="n">
        <x:f>IF(AND(ISNUMBER(J910),J910=0),0,IF(AND($B$176=1,ISNUMBER(J910)),MIN(J910*(1+$B$87/12),IF($B$86=0,0,IF($B$87=0,$B$86/ROUND($B$88*12,0),$B$86*($B$87/12)/(1-(1+$B$87/12)^(-ROUND($B$88*12,0)))))),""))</x:f>
        <x:v>0</x:v>
      </x:c>
      <x:c r="L910" s="440" t="n">
        <x:f>IF(ISNUMBER(K910),IF(MAX(0,J910*(1+SUM($B$87)/12)-K910)&lt;MAX(0.0000001,$B$86*0.00000000001),0,MAX(0,J910*(1+SUM($B$87)/12)-K910)),"")</x:f>
        <x:v>0</x:v>
      </x:c>
      <x:c r="M910" s="440" t="n">
        <x:f>IF(AND(ISNUMBER(D910),ISNUMBER(K910)),D910+K910,"")</x:f>
        <x:v>0</x:v>
      </x:c>
      <x:c r="N910" s="440" t="n">
        <x:f>IF(AND(ISNUMBER(H910),ISNUMBER(L910)),H910+L910,"")</x:f>
        <x:v>0</x:v>
      </x:c>
    </x:row>
    <x:row r="911" ht="22" customHeight="1">
      <x:c r="A911" s="254" t="n">
        <x:f>511</x:f>
        <x:v>511</x:v>
      </x:c>
      <x:c r="B911" s="440" t="n">
        <x:f>IF(ISNUMBER(H910),H910,"")</x:f>
        <x:v>0</x:v>
      </x:c>
      <x:c r="C911" s="442" t="n">
        <x:f>IF(ISNUMBER(B911),IF(AND(511&gt;$B$173,$B$78="Refinance",ISNUMBER($B$80),$B$80&gt;=0,$B$80&lt;=1,ROUND($B$81*12,0)&gt;=1,$B$81&lt;=100,SUM($B$82)&gt;=0,SUM($B$82)&lt;=1,SUM($B$83)&gt;=0),$B$80,IF(AND($B$175&gt;0,511&gt;$B$175,ISNUMBER($B$75)),$B$75,$B$61)),"")</x:f>
        <x:v>0.0625</x:v>
      </x:c>
      <x:c r="D911" s="440" t="n">
        <x:f>IF(AND(ISNUMBER(B911),B911=0),0,IF(AND($B$171=1,I910=0,ISNUMBER(C911),ISNUMBER(IF(AND(511&lt;=$B$174,511&lt;=$B$173),B911*C911/12,IF(AND(511=$B$173+1,AND(511&gt;$B$173,$B$78="Refinance",ISNUMBER($B$80),$B$80&gt;=0,$B$80&lt;=1,ROUND($B$81*12,0)&gt;=1,$B$81&lt;=100,SUM($B$82)&gt;=0,SUM($B$82)&lt;=1,SUM($B$83)&gt;=0)),IF(B911=0,0,IF(C911=0,B911/ROUND($B$81*12,0),B911*(C911/12)/(1-(1+C911/12)^(-ROUND($B$81*12,0))))),IF(AND(NOT(AND(511&gt;$B$173,$B$78="Refinance",ISNUMBER($B$80),$B$80&gt;=0,$B$80&lt;=1,ROUND($B$81*12,0)&gt;=1,$B$81&lt;=100,SUM($B$82)&gt;=0,SUM($B$82)&lt;=1,SUM($B$83)&gt;=0)),OR(511=1,511=$B$174+1,AND($B$175&gt;0,511=$B$175+1))),IF(AND($B$170=1,$B$66&gt;0,OR($B$175=0,511&lt;=$B$175)),$B$66,IF($B$172-MAX(511-1,$B$174)&gt;0,IF(B911=0,0,IF(C911=0,B911/($B$172-MAX(511-1,$B$174)),B911*(C911/12)/(1-(1+C911/12)^(-($B$172-MAX(511-1,$B$174)))))),"")),D910))))),IF(IF(AND(511&lt;=$B$174,511&lt;=$B$173),B911*C911/12,IF(AND(511=$B$173+1,AND(511&gt;$B$173,$B$78="Refinance",ISNUMBER($B$80),$B$80&gt;=0,$B$80&lt;=1,ROUND($B$81*12,0)&gt;=1,$B$81&lt;=100,SUM($B$82)&gt;=0,SUM($B$82)&lt;=1,SUM($B$83)&gt;=0)),IF(B911=0,0,IF(C911=0,B911/ROUND($B$81*12,0),B911*(C911/12)/(1-(1+C911/12)^(-ROUND($B$81*12,0))))),IF(AND(NOT(AND(511&gt;$B$173,$B$78="Refinance",ISNUMBER($B$80),$B$80&gt;=0,$B$80&lt;=1,ROUND($B$81*12,0)&gt;=1,$B$81&lt;=100,SUM($B$82)&gt;=0,SUM($B$82)&lt;=1,SUM($B$83)&gt;=0)),OR(511=1,511=$B$174+1,AND($B$175&gt;0,511=$B$175+1))),IF(AND($B$170=1,$B$66&gt;0,OR($B$175=0,511&lt;=$B$175)),$B$66,IF($B$172-MAX(511-1,$B$174)&gt;0,IF(B911=0,0,IF(C911=0,B911/($B$172-MAX(511-1,$B$174)),B911*(C911/12)/(1-(1+C911/12)^(-($B$172-MAX(511-1,$B$174)))))),"")),D910)))+0.0000001&gt;=B911*C911/12,MIN(B911*(1+C911/12),IF(AND(511&lt;=$B$174,511&lt;=$B$173),B911*C911/12,IF(AND(511=$B$173+1,AND(511&gt;$B$173,$B$78="Refinance",ISNUMBER($B$80),$B$80&gt;=0,$B$80&lt;=1,ROUND($B$81*12,0)&gt;=1,$B$81&lt;=100,SUM($B$82)&gt;=0,SUM($B$82)&lt;=1,SUM($B$83)&gt;=0)),IF(B911=0,0,IF(C911=0,B911/ROUND($B$81*12,0),B911*(C911/12)/(1-(1+C911/12)^(-ROUND($B$81*12,0))))),IF(AND(NOT(AND(511&gt;$B$173,$B$78="Refinance",ISNUMBER($B$80),$B$80&gt;=0,$B$80&lt;=1,ROUND($B$81*12,0)&gt;=1,$B$81&lt;=100,SUM($B$82)&gt;=0,SUM($B$82)&lt;=1,SUM($B$83)&gt;=0)),OR(511=1,511=$B$174+1,AND($B$175&gt;0,511=$B$175+1))),IF(AND($B$170=1,$B$66&gt;0,OR($B$175=0,511&lt;=$B$175)),$B$66,IF($B$172-MAX(511-1,$B$174)&gt;0,IF(B911=0,0,IF(C911=0,B911/($B$172-MAX(511-1,$B$174)),B911*(C911/12)/(1-(1+C911/12)^(-($B$172-MAX(511-1,$B$174)))))),"")),D910)))),""),""))</x:f>
        <x:v>0</x:v>
      </x:c>
      <x:c r="E911" s="440" t="n">
        <x:f>IF(AND(511=$B$173,ISNUMBER(D911)),IF(MAX(0,B911*(1+C911/12)-D911)&lt;MAX(0.0000001,$E$17*0.00000000001),0,MAX(0,B911*(1+C911/12)-D911)),0)</x:f>
        <x:v>0</x:v>
      </x:c>
      <x:c r="F911" s="440" t="n">
        <x:f>IF($B$78="Cash payoff",E911,0)</x:f>
        <x:v>0</x:v>
      </x:c>
      <x:c r="G911" s="440" t="n">
        <x:f>IF(AND(E911&gt;0,AND($B$78="Refinance",ISNUMBER($B$80),$B$80&gt;=0,$B$80&lt;=1,ROUND($B$81*12,0)&gt;=1,$B$81&lt;=100,SUM($B$82)&gt;=0,SUM($B$82)&lt;=1,SUM($B$83)&gt;=0)),E911*SUM($B$82)+SUM($B$83),0)</x:f>
        <x:v>0</x:v>
      </x:c>
      <x:c r="H911" s="440" t="n">
        <x:f>IF(ISNUMBER(D911),IF(MAX(0,B911*(1+C911/12)-D911-F911)&lt;MAX(0.0000001,$E$17*0.00000000001),0,MAX(0,B911*(1+C911/12)-D911-F911)),IF(AND($B$171=1,I910=1),B911,""))</x:f>
        <x:v>0</x:v>
      </x:c>
      <x:c r="I911" s="444" t="n">
        <x:f>IF(OR(I910=1,AND(E911&gt;0,$B$78&lt;&gt;"Cash payoff",NOT(AND($B$78="Refinance",ISNUMBER($B$80),$B$80&gt;=0,$B$80&lt;=1,ROUND($B$81*12,0)&gt;=1,$B$81&lt;=100,SUM($B$82)&gt;=0,SUM($B$82)&lt;=1,SUM($B$83)&gt;=0))),AND(ISNUMBER(B911),B911&gt;0,$B$171=1,NOT(ISNUMBER(D911)))),1,0)</x:f>
        <x:v>0</x:v>
      </x:c>
      <x:c r="J911" s="440" t="n">
        <x:f>IF(ISNUMBER(L910),L910,"")</x:f>
        <x:v>0</x:v>
      </x:c>
      <x:c r="K911" s="440" t="n">
        <x:f>IF(AND(ISNUMBER(J911),J911=0),0,IF(AND($B$176=1,ISNUMBER(J911)),MIN(J911*(1+$B$87/12),IF($B$86=0,0,IF($B$87=0,$B$86/ROUND($B$88*12,0),$B$86*($B$87/12)/(1-(1+$B$87/12)^(-ROUND($B$88*12,0)))))),""))</x:f>
        <x:v>0</x:v>
      </x:c>
      <x:c r="L911" s="440" t="n">
        <x:f>IF(ISNUMBER(K911),IF(MAX(0,J911*(1+SUM($B$87)/12)-K911)&lt;MAX(0.0000001,$B$86*0.00000000001),0,MAX(0,J911*(1+SUM($B$87)/12)-K911)),"")</x:f>
        <x:v>0</x:v>
      </x:c>
      <x:c r="M911" s="440" t="n">
        <x:f>IF(AND(ISNUMBER(D911),ISNUMBER(K911)),D911+K911,"")</x:f>
        <x:v>0</x:v>
      </x:c>
      <x:c r="N911" s="440" t="n">
        <x:f>IF(AND(ISNUMBER(H911),ISNUMBER(L911)),H911+L911,"")</x:f>
        <x:v>0</x:v>
      </x:c>
    </x:row>
    <x:row r="912" ht="22" customHeight="1">
      <x:c r="A912" s="254" t="n">
        <x:f>512</x:f>
        <x:v>512</x:v>
      </x:c>
      <x:c r="B912" s="440" t="n">
        <x:f>IF(ISNUMBER(H911),H911,"")</x:f>
        <x:v>0</x:v>
      </x:c>
      <x:c r="C912" s="442" t="n">
        <x:f>IF(ISNUMBER(B912),IF(AND(512&gt;$B$173,$B$78="Refinance",ISNUMBER($B$80),$B$80&gt;=0,$B$80&lt;=1,ROUND($B$81*12,0)&gt;=1,$B$81&lt;=100,SUM($B$82)&gt;=0,SUM($B$82)&lt;=1,SUM($B$83)&gt;=0),$B$80,IF(AND($B$175&gt;0,512&gt;$B$175,ISNUMBER($B$75)),$B$75,$B$61)),"")</x:f>
        <x:v>0.0625</x:v>
      </x:c>
      <x:c r="D912" s="440" t="n">
        <x:f>IF(AND(ISNUMBER(B912),B912=0),0,IF(AND($B$171=1,I911=0,ISNUMBER(C912),ISNUMBER(IF(AND(512&lt;=$B$174,512&lt;=$B$173),B912*C912/12,IF(AND(512=$B$173+1,AND(512&gt;$B$173,$B$78="Refinance",ISNUMBER($B$80),$B$80&gt;=0,$B$80&lt;=1,ROUND($B$81*12,0)&gt;=1,$B$81&lt;=100,SUM($B$82)&gt;=0,SUM($B$82)&lt;=1,SUM($B$83)&gt;=0)),IF(B912=0,0,IF(C912=0,B912/ROUND($B$81*12,0),B912*(C912/12)/(1-(1+C912/12)^(-ROUND($B$81*12,0))))),IF(AND(NOT(AND(512&gt;$B$173,$B$78="Refinance",ISNUMBER($B$80),$B$80&gt;=0,$B$80&lt;=1,ROUND($B$81*12,0)&gt;=1,$B$81&lt;=100,SUM($B$82)&gt;=0,SUM($B$82)&lt;=1,SUM($B$83)&gt;=0)),OR(512=1,512=$B$174+1,AND($B$175&gt;0,512=$B$175+1))),IF(AND($B$170=1,$B$66&gt;0,OR($B$175=0,512&lt;=$B$175)),$B$66,IF($B$172-MAX(512-1,$B$174)&gt;0,IF(B912=0,0,IF(C912=0,B912/($B$172-MAX(512-1,$B$174)),B912*(C912/12)/(1-(1+C912/12)^(-($B$172-MAX(512-1,$B$174)))))),"")),D911))))),IF(IF(AND(512&lt;=$B$174,512&lt;=$B$173),B912*C912/12,IF(AND(512=$B$173+1,AND(512&gt;$B$173,$B$78="Refinance",ISNUMBER($B$80),$B$80&gt;=0,$B$80&lt;=1,ROUND($B$81*12,0)&gt;=1,$B$81&lt;=100,SUM($B$82)&gt;=0,SUM($B$82)&lt;=1,SUM($B$83)&gt;=0)),IF(B912=0,0,IF(C912=0,B912/ROUND($B$81*12,0),B912*(C912/12)/(1-(1+C912/12)^(-ROUND($B$81*12,0))))),IF(AND(NOT(AND(512&gt;$B$173,$B$78="Refinance",ISNUMBER($B$80),$B$80&gt;=0,$B$80&lt;=1,ROUND($B$81*12,0)&gt;=1,$B$81&lt;=100,SUM($B$82)&gt;=0,SUM($B$82)&lt;=1,SUM($B$83)&gt;=0)),OR(512=1,512=$B$174+1,AND($B$175&gt;0,512=$B$175+1))),IF(AND($B$170=1,$B$66&gt;0,OR($B$175=0,512&lt;=$B$175)),$B$66,IF($B$172-MAX(512-1,$B$174)&gt;0,IF(B912=0,0,IF(C912=0,B912/($B$172-MAX(512-1,$B$174)),B912*(C912/12)/(1-(1+C912/12)^(-($B$172-MAX(512-1,$B$174)))))),"")),D911)))+0.0000001&gt;=B912*C912/12,MIN(B912*(1+C912/12),IF(AND(512&lt;=$B$174,512&lt;=$B$173),B912*C912/12,IF(AND(512=$B$173+1,AND(512&gt;$B$173,$B$78="Refinance",ISNUMBER($B$80),$B$80&gt;=0,$B$80&lt;=1,ROUND($B$81*12,0)&gt;=1,$B$81&lt;=100,SUM($B$82)&gt;=0,SUM($B$82)&lt;=1,SUM($B$83)&gt;=0)),IF(B912=0,0,IF(C912=0,B912/ROUND($B$81*12,0),B912*(C912/12)/(1-(1+C912/12)^(-ROUND($B$81*12,0))))),IF(AND(NOT(AND(512&gt;$B$173,$B$78="Refinance",ISNUMBER($B$80),$B$80&gt;=0,$B$80&lt;=1,ROUND($B$81*12,0)&gt;=1,$B$81&lt;=100,SUM($B$82)&gt;=0,SUM($B$82)&lt;=1,SUM($B$83)&gt;=0)),OR(512=1,512=$B$174+1,AND($B$175&gt;0,512=$B$175+1))),IF(AND($B$170=1,$B$66&gt;0,OR($B$175=0,512&lt;=$B$175)),$B$66,IF($B$172-MAX(512-1,$B$174)&gt;0,IF(B912=0,0,IF(C912=0,B912/($B$172-MAX(512-1,$B$174)),B912*(C912/12)/(1-(1+C912/12)^(-($B$172-MAX(512-1,$B$174)))))),"")),D911)))),""),""))</x:f>
        <x:v>0</x:v>
      </x:c>
      <x:c r="E912" s="440" t="n">
        <x:f>IF(AND(512=$B$173,ISNUMBER(D912)),IF(MAX(0,B912*(1+C912/12)-D912)&lt;MAX(0.0000001,$E$17*0.00000000001),0,MAX(0,B912*(1+C912/12)-D912)),0)</x:f>
        <x:v>0</x:v>
      </x:c>
      <x:c r="F912" s="440" t="n">
        <x:f>IF($B$78="Cash payoff",E912,0)</x:f>
        <x:v>0</x:v>
      </x:c>
      <x:c r="G912" s="440" t="n">
        <x:f>IF(AND(E912&gt;0,AND($B$78="Refinance",ISNUMBER($B$80),$B$80&gt;=0,$B$80&lt;=1,ROUND($B$81*12,0)&gt;=1,$B$81&lt;=100,SUM($B$82)&gt;=0,SUM($B$82)&lt;=1,SUM($B$83)&gt;=0)),E912*SUM($B$82)+SUM($B$83),0)</x:f>
        <x:v>0</x:v>
      </x:c>
      <x:c r="H912" s="440" t="n">
        <x:f>IF(ISNUMBER(D912),IF(MAX(0,B912*(1+C912/12)-D912-F912)&lt;MAX(0.0000001,$E$17*0.00000000001),0,MAX(0,B912*(1+C912/12)-D912-F912)),IF(AND($B$171=1,I911=1),B912,""))</x:f>
        <x:v>0</x:v>
      </x:c>
      <x:c r="I912" s="444" t="n">
        <x:f>IF(OR(I911=1,AND(E912&gt;0,$B$78&lt;&gt;"Cash payoff",NOT(AND($B$78="Refinance",ISNUMBER($B$80),$B$80&gt;=0,$B$80&lt;=1,ROUND($B$81*12,0)&gt;=1,$B$81&lt;=100,SUM($B$82)&gt;=0,SUM($B$82)&lt;=1,SUM($B$83)&gt;=0))),AND(ISNUMBER(B912),B912&gt;0,$B$171=1,NOT(ISNUMBER(D912)))),1,0)</x:f>
        <x:v>0</x:v>
      </x:c>
      <x:c r="J912" s="440" t="n">
        <x:f>IF(ISNUMBER(L911),L911,"")</x:f>
        <x:v>0</x:v>
      </x:c>
      <x:c r="K912" s="440" t="n">
        <x:f>IF(AND(ISNUMBER(J912),J912=0),0,IF(AND($B$176=1,ISNUMBER(J912)),MIN(J912*(1+$B$87/12),IF($B$86=0,0,IF($B$87=0,$B$86/ROUND($B$88*12,0),$B$86*($B$87/12)/(1-(1+$B$87/12)^(-ROUND($B$88*12,0)))))),""))</x:f>
        <x:v>0</x:v>
      </x:c>
      <x:c r="L912" s="440" t="n">
        <x:f>IF(ISNUMBER(K912),IF(MAX(0,J912*(1+SUM($B$87)/12)-K912)&lt;MAX(0.0000001,$B$86*0.00000000001),0,MAX(0,J912*(1+SUM($B$87)/12)-K912)),"")</x:f>
        <x:v>0</x:v>
      </x:c>
      <x:c r="M912" s="440" t="n">
        <x:f>IF(AND(ISNUMBER(D912),ISNUMBER(K912)),D912+K912,"")</x:f>
        <x:v>0</x:v>
      </x:c>
      <x:c r="N912" s="440" t="n">
        <x:f>IF(AND(ISNUMBER(H912),ISNUMBER(L912)),H912+L912,"")</x:f>
        <x:v>0</x:v>
      </x:c>
    </x:row>
    <x:row r="913" ht="22" customHeight="1">
      <x:c r="A913" s="254" t="n">
        <x:f>513</x:f>
        <x:v>513</x:v>
      </x:c>
      <x:c r="B913" s="440" t="n">
        <x:f>IF(ISNUMBER(H912),H912,"")</x:f>
        <x:v>0</x:v>
      </x:c>
      <x:c r="C913" s="442" t="n">
        <x:f>IF(ISNUMBER(B913),IF(AND(513&gt;$B$173,$B$78="Refinance",ISNUMBER($B$80),$B$80&gt;=0,$B$80&lt;=1,ROUND($B$81*12,0)&gt;=1,$B$81&lt;=100,SUM($B$82)&gt;=0,SUM($B$82)&lt;=1,SUM($B$83)&gt;=0),$B$80,IF(AND($B$175&gt;0,513&gt;$B$175,ISNUMBER($B$75)),$B$75,$B$61)),"")</x:f>
        <x:v>0.0625</x:v>
      </x:c>
      <x:c r="D913" s="440" t="n">
        <x:f>IF(AND(ISNUMBER(B913),B913=0),0,IF(AND($B$171=1,I912=0,ISNUMBER(C913),ISNUMBER(IF(AND(513&lt;=$B$174,513&lt;=$B$173),B913*C913/12,IF(AND(513=$B$173+1,AND(513&gt;$B$173,$B$78="Refinance",ISNUMBER($B$80),$B$80&gt;=0,$B$80&lt;=1,ROUND($B$81*12,0)&gt;=1,$B$81&lt;=100,SUM($B$82)&gt;=0,SUM($B$82)&lt;=1,SUM($B$83)&gt;=0)),IF(B913=0,0,IF(C913=0,B913/ROUND($B$81*12,0),B913*(C913/12)/(1-(1+C913/12)^(-ROUND($B$81*12,0))))),IF(AND(NOT(AND(513&gt;$B$173,$B$78="Refinance",ISNUMBER($B$80),$B$80&gt;=0,$B$80&lt;=1,ROUND($B$81*12,0)&gt;=1,$B$81&lt;=100,SUM($B$82)&gt;=0,SUM($B$82)&lt;=1,SUM($B$83)&gt;=0)),OR(513=1,513=$B$174+1,AND($B$175&gt;0,513=$B$175+1))),IF(AND($B$170=1,$B$66&gt;0,OR($B$175=0,513&lt;=$B$175)),$B$66,IF($B$172-MAX(513-1,$B$174)&gt;0,IF(B913=0,0,IF(C913=0,B913/($B$172-MAX(513-1,$B$174)),B913*(C913/12)/(1-(1+C913/12)^(-($B$172-MAX(513-1,$B$174)))))),"")),D912))))),IF(IF(AND(513&lt;=$B$174,513&lt;=$B$173),B913*C913/12,IF(AND(513=$B$173+1,AND(513&gt;$B$173,$B$78="Refinance",ISNUMBER($B$80),$B$80&gt;=0,$B$80&lt;=1,ROUND($B$81*12,0)&gt;=1,$B$81&lt;=100,SUM($B$82)&gt;=0,SUM($B$82)&lt;=1,SUM($B$83)&gt;=0)),IF(B913=0,0,IF(C913=0,B913/ROUND($B$81*12,0),B913*(C913/12)/(1-(1+C913/12)^(-ROUND($B$81*12,0))))),IF(AND(NOT(AND(513&gt;$B$173,$B$78="Refinance",ISNUMBER($B$80),$B$80&gt;=0,$B$80&lt;=1,ROUND($B$81*12,0)&gt;=1,$B$81&lt;=100,SUM($B$82)&gt;=0,SUM($B$82)&lt;=1,SUM($B$83)&gt;=0)),OR(513=1,513=$B$174+1,AND($B$175&gt;0,513=$B$175+1))),IF(AND($B$170=1,$B$66&gt;0,OR($B$175=0,513&lt;=$B$175)),$B$66,IF($B$172-MAX(513-1,$B$174)&gt;0,IF(B913=0,0,IF(C913=0,B913/($B$172-MAX(513-1,$B$174)),B913*(C913/12)/(1-(1+C913/12)^(-($B$172-MAX(513-1,$B$174)))))),"")),D912)))+0.0000001&gt;=B913*C913/12,MIN(B913*(1+C913/12),IF(AND(513&lt;=$B$174,513&lt;=$B$173),B913*C913/12,IF(AND(513=$B$173+1,AND(513&gt;$B$173,$B$78="Refinance",ISNUMBER($B$80),$B$80&gt;=0,$B$80&lt;=1,ROUND($B$81*12,0)&gt;=1,$B$81&lt;=100,SUM($B$82)&gt;=0,SUM($B$82)&lt;=1,SUM($B$83)&gt;=0)),IF(B913=0,0,IF(C913=0,B913/ROUND($B$81*12,0),B913*(C913/12)/(1-(1+C913/12)^(-ROUND($B$81*12,0))))),IF(AND(NOT(AND(513&gt;$B$173,$B$78="Refinance",ISNUMBER($B$80),$B$80&gt;=0,$B$80&lt;=1,ROUND($B$81*12,0)&gt;=1,$B$81&lt;=100,SUM($B$82)&gt;=0,SUM($B$82)&lt;=1,SUM($B$83)&gt;=0)),OR(513=1,513=$B$174+1,AND($B$175&gt;0,513=$B$175+1))),IF(AND($B$170=1,$B$66&gt;0,OR($B$175=0,513&lt;=$B$175)),$B$66,IF($B$172-MAX(513-1,$B$174)&gt;0,IF(B913=0,0,IF(C913=0,B913/($B$172-MAX(513-1,$B$174)),B913*(C913/12)/(1-(1+C913/12)^(-($B$172-MAX(513-1,$B$174)))))),"")),D912)))),""),""))</x:f>
        <x:v>0</x:v>
      </x:c>
      <x:c r="E913" s="440" t="n">
        <x:f>IF(AND(513=$B$173,ISNUMBER(D913)),IF(MAX(0,B913*(1+C913/12)-D913)&lt;MAX(0.0000001,$E$17*0.00000000001),0,MAX(0,B913*(1+C913/12)-D913)),0)</x:f>
        <x:v>0</x:v>
      </x:c>
      <x:c r="F913" s="440" t="n">
        <x:f>IF($B$78="Cash payoff",E913,0)</x:f>
        <x:v>0</x:v>
      </x:c>
      <x:c r="G913" s="440" t="n">
        <x:f>IF(AND(E913&gt;0,AND($B$78="Refinance",ISNUMBER($B$80),$B$80&gt;=0,$B$80&lt;=1,ROUND($B$81*12,0)&gt;=1,$B$81&lt;=100,SUM($B$82)&gt;=0,SUM($B$82)&lt;=1,SUM($B$83)&gt;=0)),E913*SUM($B$82)+SUM($B$83),0)</x:f>
        <x:v>0</x:v>
      </x:c>
      <x:c r="H913" s="440" t="n">
        <x:f>IF(ISNUMBER(D913),IF(MAX(0,B913*(1+C913/12)-D913-F913)&lt;MAX(0.0000001,$E$17*0.00000000001),0,MAX(0,B913*(1+C913/12)-D913-F913)),IF(AND($B$171=1,I912=1),B913,""))</x:f>
        <x:v>0</x:v>
      </x:c>
      <x:c r="I913" s="444" t="n">
        <x:f>IF(OR(I912=1,AND(E913&gt;0,$B$78&lt;&gt;"Cash payoff",NOT(AND($B$78="Refinance",ISNUMBER($B$80),$B$80&gt;=0,$B$80&lt;=1,ROUND($B$81*12,0)&gt;=1,$B$81&lt;=100,SUM($B$82)&gt;=0,SUM($B$82)&lt;=1,SUM($B$83)&gt;=0))),AND(ISNUMBER(B913),B913&gt;0,$B$171=1,NOT(ISNUMBER(D913)))),1,0)</x:f>
        <x:v>0</x:v>
      </x:c>
      <x:c r="J913" s="440" t="n">
        <x:f>IF(ISNUMBER(L912),L912,"")</x:f>
        <x:v>0</x:v>
      </x:c>
      <x:c r="K913" s="440" t="n">
        <x:f>IF(AND(ISNUMBER(J913),J913=0),0,IF(AND($B$176=1,ISNUMBER(J913)),MIN(J913*(1+$B$87/12),IF($B$86=0,0,IF($B$87=0,$B$86/ROUND($B$88*12,0),$B$86*($B$87/12)/(1-(1+$B$87/12)^(-ROUND($B$88*12,0)))))),""))</x:f>
        <x:v>0</x:v>
      </x:c>
      <x:c r="L913" s="440" t="n">
        <x:f>IF(ISNUMBER(K913),IF(MAX(0,J913*(1+SUM($B$87)/12)-K913)&lt;MAX(0.0000001,$B$86*0.00000000001),0,MAX(0,J913*(1+SUM($B$87)/12)-K913)),"")</x:f>
        <x:v>0</x:v>
      </x:c>
      <x:c r="M913" s="440" t="n">
        <x:f>IF(AND(ISNUMBER(D913),ISNUMBER(K913)),D913+K913,"")</x:f>
        <x:v>0</x:v>
      </x:c>
      <x:c r="N913" s="440" t="n">
        <x:f>IF(AND(ISNUMBER(H913),ISNUMBER(L913)),H913+L913,"")</x:f>
        <x:v>0</x:v>
      </x:c>
    </x:row>
    <x:row r="914" ht="22" customHeight="1">
      <x:c r="A914" s="254" t="n">
        <x:f>514</x:f>
        <x:v>514</x:v>
      </x:c>
      <x:c r="B914" s="440" t="n">
        <x:f>IF(ISNUMBER(H913),H913,"")</x:f>
        <x:v>0</x:v>
      </x:c>
      <x:c r="C914" s="442" t="n">
        <x:f>IF(ISNUMBER(B914),IF(AND(514&gt;$B$173,$B$78="Refinance",ISNUMBER($B$80),$B$80&gt;=0,$B$80&lt;=1,ROUND($B$81*12,0)&gt;=1,$B$81&lt;=100,SUM($B$82)&gt;=0,SUM($B$82)&lt;=1,SUM($B$83)&gt;=0),$B$80,IF(AND($B$175&gt;0,514&gt;$B$175,ISNUMBER($B$75)),$B$75,$B$61)),"")</x:f>
        <x:v>0.0625</x:v>
      </x:c>
      <x:c r="D914" s="440" t="n">
        <x:f>IF(AND(ISNUMBER(B914),B914=0),0,IF(AND($B$171=1,I913=0,ISNUMBER(C914),ISNUMBER(IF(AND(514&lt;=$B$174,514&lt;=$B$173),B914*C914/12,IF(AND(514=$B$173+1,AND(514&gt;$B$173,$B$78="Refinance",ISNUMBER($B$80),$B$80&gt;=0,$B$80&lt;=1,ROUND($B$81*12,0)&gt;=1,$B$81&lt;=100,SUM($B$82)&gt;=0,SUM($B$82)&lt;=1,SUM($B$83)&gt;=0)),IF(B914=0,0,IF(C914=0,B914/ROUND($B$81*12,0),B914*(C914/12)/(1-(1+C914/12)^(-ROUND($B$81*12,0))))),IF(AND(NOT(AND(514&gt;$B$173,$B$78="Refinance",ISNUMBER($B$80),$B$80&gt;=0,$B$80&lt;=1,ROUND($B$81*12,0)&gt;=1,$B$81&lt;=100,SUM($B$82)&gt;=0,SUM($B$82)&lt;=1,SUM($B$83)&gt;=0)),OR(514=1,514=$B$174+1,AND($B$175&gt;0,514=$B$175+1))),IF(AND($B$170=1,$B$66&gt;0,OR($B$175=0,514&lt;=$B$175)),$B$66,IF($B$172-MAX(514-1,$B$174)&gt;0,IF(B914=0,0,IF(C914=0,B914/($B$172-MAX(514-1,$B$174)),B914*(C914/12)/(1-(1+C914/12)^(-($B$172-MAX(514-1,$B$174)))))),"")),D913))))),IF(IF(AND(514&lt;=$B$174,514&lt;=$B$173),B914*C914/12,IF(AND(514=$B$173+1,AND(514&gt;$B$173,$B$78="Refinance",ISNUMBER($B$80),$B$80&gt;=0,$B$80&lt;=1,ROUND($B$81*12,0)&gt;=1,$B$81&lt;=100,SUM($B$82)&gt;=0,SUM($B$82)&lt;=1,SUM($B$83)&gt;=0)),IF(B914=0,0,IF(C914=0,B914/ROUND($B$81*12,0),B914*(C914/12)/(1-(1+C914/12)^(-ROUND($B$81*12,0))))),IF(AND(NOT(AND(514&gt;$B$173,$B$78="Refinance",ISNUMBER($B$80),$B$80&gt;=0,$B$80&lt;=1,ROUND($B$81*12,0)&gt;=1,$B$81&lt;=100,SUM($B$82)&gt;=0,SUM($B$82)&lt;=1,SUM($B$83)&gt;=0)),OR(514=1,514=$B$174+1,AND($B$175&gt;0,514=$B$175+1))),IF(AND($B$170=1,$B$66&gt;0,OR($B$175=0,514&lt;=$B$175)),$B$66,IF($B$172-MAX(514-1,$B$174)&gt;0,IF(B914=0,0,IF(C914=0,B914/($B$172-MAX(514-1,$B$174)),B914*(C914/12)/(1-(1+C914/12)^(-($B$172-MAX(514-1,$B$174)))))),"")),D913)))+0.0000001&gt;=B914*C914/12,MIN(B914*(1+C914/12),IF(AND(514&lt;=$B$174,514&lt;=$B$173),B914*C914/12,IF(AND(514=$B$173+1,AND(514&gt;$B$173,$B$78="Refinance",ISNUMBER($B$80),$B$80&gt;=0,$B$80&lt;=1,ROUND($B$81*12,0)&gt;=1,$B$81&lt;=100,SUM($B$82)&gt;=0,SUM($B$82)&lt;=1,SUM($B$83)&gt;=0)),IF(B914=0,0,IF(C914=0,B914/ROUND($B$81*12,0),B914*(C914/12)/(1-(1+C914/12)^(-ROUND($B$81*12,0))))),IF(AND(NOT(AND(514&gt;$B$173,$B$78="Refinance",ISNUMBER($B$80),$B$80&gt;=0,$B$80&lt;=1,ROUND($B$81*12,0)&gt;=1,$B$81&lt;=100,SUM($B$82)&gt;=0,SUM($B$82)&lt;=1,SUM($B$83)&gt;=0)),OR(514=1,514=$B$174+1,AND($B$175&gt;0,514=$B$175+1))),IF(AND($B$170=1,$B$66&gt;0,OR($B$175=0,514&lt;=$B$175)),$B$66,IF($B$172-MAX(514-1,$B$174)&gt;0,IF(B914=0,0,IF(C914=0,B914/($B$172-MAX(514-1,$B$174)),B914*(C914/12)/(1-(1+C914/12)^(-($B$172-MAX(514-1,$B$174)))))),"")),D913)))),""),""))</x:f>
        <x:v>0</x:v>
      </x:c>
      <x:c r="E914" s="440" t="n">
        <x:f>IF(AND(514=$B$173,ISNUMBER(D914)),IF(MAX(0,B914*(1+C914/12)-D914)&lt;MAX(0.0000001,$E$17*0.00000000001),0,MAX(0,B914*(1+C914/12)-D914)),0)</x:f>
        <x:v>0</x:v>
      </x:c>
      <x:c r="F914" s="440" t="n">
        <x:f>IF($B$78="Cash payoff",E914,0)</x:f>
        <x:v>0</x:v>
      </x:c>
      <x:c r="G914" s="440" t="n">
        <x:f>IF(AND(E914&gt;0,AND($B$78="Refinance",ISNUMBER($B$80),$B$80&gt;=0,$B$80&lt;=1,ROUND($B$81*12,0)&gt;=1,$B$81&lt;=100,SUM($B$82)&gt;=0,SUM($B$82)&lt;=1,SUM($B$83)&gt;=0)),E914*SUM($B$82)+SUM($B$83),0)</x:f>
        <x:v>0</x:v>
      </x:c>
      <x:c r="H914" s="440" t="n">
        <x:f>IF(ISNUMBER(D914),IF(MAX(0,B914*(1+C914/12)-D914-F914)&lt;MAX(0.0000001,$E$17*0.00000000001),0,MAX(0,B914*(1+C914/12)-D914-F914)),IF(AND($B$171=1,I913=1),B914,""))</x:f>
        <x:v>0</x:v>
      </x:c>
      <x:c r="I914" s="444" t="n">
        <x:f>IF(OR(I913=1,AND(E914&gt;0,$B$78&lt;&gt;"Cash payoff",NOT(AND($B$78="Refinance",ISNUMBER($B$80),$B$80&gt;=0,$B$80&lt;=1,ROUND($B$81*12,0)&gt;=1,$B$81&lt;=100,SUM($B$82)&gt;=0,SUM($B$82)&lt;=1,SUM($B$83)&gt;=0))),AND(ISNUMBER(B914),B914&gt;0,$B$171=1,NOT(ISNUMBER(D914)))),1,0)</x:f>
        <x:v>0</x:v>
      </x:c>
      <x:c r="J914" s="440" t="n">
        <x:f>IF(ISNUMBER(L913),L913,"")</x:f>
        <x:v>0</x:v>
      </x:c>
      <x:c r="K914" s="440" t="n">
        <x:f>IF(AND(ISNUMBER(J914),J914=0),0,IF(AND($B$176=1,ISNUMBER(J914)),MIN(J914*(1+$B$87/12),IF($B$86=0,0,IF($B$87=0,$B$86/ROUND($B$88*12,0),$B$86*($B$87/12)/(1-(1+$B$87/12)^(-ROUND($B$88*12,0)))))),""))</x:f>
        <x:v>0</x:v>
      </x:c>
      <x:c r="L914" s="440" t="n">
        <x:f>IF(ISNUMBER(K914),IF(MAX(0,J914*(1+SUM($B$87)/12)-K914)&lt;MAX(0.0000001,$B$86*0.00000000001),0,MAX(0,J914*(1+SUM($B$87)/12)-K914)),"")</x:f>
        <x:v>0</x:v>
      </x:c>
      <x:c r="M914" s="440" t="n">
        <x:f>IF(AND(ISNUMBER(D914),ISNUMBER(K914)),D914+K914,"")</x:f>
        <x:v>0</x:v>
      </x:c>
      <x:c r="N914" s="440" t="n">
        <x:f>IF(AND(ISNUMBER(H914),ISNUMBER(L914)),H914+L914,"")</x:f>
        <x:v>0</x:v>
      </x:c>
    </x:row>
    <x:row r="915" ht="22" customHeight="1">
      <x:c r="A915" s="254" t="n">
        <x:f>515</x:f>
        <x:v>515</x:v>
      </x:c>
      <x:c r="B915" s="440" t="n">
        <x:f>IF(ISNUMBER(H914),H914,"")</x:f>
        <x:v>0</x:v>
      </x:c>
      <x:c r="C915" s="442" t="n">
        <x:f>IF(ISNUMBER(B915),IF(AND(515&gt;$B$173,$B$78="Refinance",ISNUMBER($B$80),$B$80&gt;=0,$B$80&lt;=1,ROUND($B$81*12,0)&gt;=1,$B$81&lt;=100,SUM($B$82)&gt;=0,SUM($B$82)&lt;=1,SUM($B$83)&gt;=0),$B$80,IF(AND($B$175&gt;0,515&gt;$B$175,ISNUMBER($B$75)),$B$75,$B$61)),"")</x:f>
        <x:v>0.0625</x:v>
      </x:c>
      <x:c r="D915" s="440" t="n">
        <x:f>IF(AND(ISNUMBER(B915),B915=0),0,IF(AND($B$171=1,I914=0,ISNUMBER(C915),ISNUMBER(IF(AND(515&lt;=$B$174,515&lt;=$B$173),B915*C915/12,IF(AND(515=$B$173+1,AND(515&gt;$B$173,$B$78="Refinance",ISNUMBER($B$80),$B$80&gt;=0,$B$80&lt;=1,ROUND($B$81*12,0)&gt;=1,$B$81&lt;=100,SUM($B$82)&gt;=0,SUM($B$82)&lt;=1,SUM($B$83)&gt;=0)),IF(B915=0,0,IF(C915=0,B915/ROUND($B$81*12,0),B915*(C915/12)/(1-(1+C915/12)^(-ROUND($B$81*12,0))))),IF(AND(NOT(AND(515&gt;$B$173,$B$78="Refinance",ISNUMBER($B$80),$B$80&gt;=0,$B$80&lt;=1,ROUND($B$81*12,0)&gt;=1,$B$81&lt;=100,SUM($B$82)&gt;=0,SUM($B$82)&lt;=1,SUM($B$83)&gt;=0)),OR(515=1,515=$B$174+1,AND($B$175&gt;0,515=$B$175+1))),IF(AND($B$170=1,$B$66&gt;0,OR($B$175=0,515&lt;=$B$175)),$B$66,IF($B$172-MAX(515-1,$B$174)&gt;0,IF(B915=0,0,IF(C915=0,B915/($B$172-MAX(515-1,$B$174)),B915*(C915/12)/(1-(1+C915/12)^(-($B$172-MAX(515-1,$B$174)))))),"")),D914))))),IF(IF(AND(515&lt;=$B$174,515&lt;=$B$173),B915*C915/12,IF(AND(515=$B$173+1,AND(515&gt;$B$173,$B$78="Refinance",ISNUMBER($B$80),$B$80&gt;=0,$B$80&lt;=1,ROUND($B$81*12,0)&gt;=1,$B$81&lt;=100,SUM($B$82)&gt;=0,SUM($B$82)&lt;=1,SUM($B$83)&gt;=0)),IF(B915=0,0,IF(C915=0,B915/ROUND($B$81*12,0),B915*(C915/12)/(1-(1+C915/12)^(-ROUND($B$81*12,0))))),IF(AND(NOT(AND(515&gt;$B$173,$B$78="Refinance",ISNUMBER($B$80),$B$80&gt;=0,$B$80&lt;=1,ROUND($B$81*12,0)&gt;=1,$B$81&lt;=100,SUM($B$82)&gt;=0,SUM($B$82)&lt;=1,SUM($B$83)&gt;=0)),OR(515=1,515=$B$174+1,AND($B$175&gt;0,515=$B$175+1))),IF(AND($B$170=1,$B$66&gt;0,OR($B$175=0,515&lt;=$B$175)),$B$66,IF($B$172-MAX(515-1,$B$174)&gt;0,IF(B915=0,0,IF(C915=0,B915/($B$172-MAX(515-1,$B$174)),B915*(C915/12)/(1-(1+C915/12)^(-($B$172-MAX(515-1,$B$174)))))),"")),D914)))+0.0000001&gt;=B915*C915/12,MIN(B915*(1+C915/12),IF(AND(515&lt;=$B$174,515&lt;=$B$173),B915*C915/12,IF(AND(515=$B$173+1,AND(515&gt;$B$173,$B$78="Refinance",ISNUMBER($B$80),$B$80&gt;=0,$B$80&lt;=1,ROUND($B$81*12,0)&gt;=1,$B$81&lt;=100,SUM($B$82)&gt;=0,SUM($B$82)&lt;=1,SUM($B$83)&gt;=0)),IF(B915=0,0,IF(C915=0,B915/ROUND($B$81*12,0),B915*(C915/12)/(1-(1+C915/12)^(-ROUND($B$81*12,0))))),IF(AND(NOT(AND(515&gt;$B$173,$B$78="Refinance",ISNUMBER($B$80),$B$80&gt;=0,$B$80&lt;=1,ROUND($B$81*12,0)&gt;=1,$B$81&lt;=100,SUM($B$82)&gt;=0,SUM($B$82)&lt;=1,SUM($B$83)&gt;=0)),OR(515=1,515=$B$174+1,AND($B$175&gt;0,515=$B$175+1))),IF(AND($B$170=1,$B$66&gt;0,OR($B$175=0,515&lt;=$B$175)),$B$66,IF($B$172-MAX(515-1,$B$174)&gt;0,IF(B915=0,0,IF(C915=0,B915/($B$172-MAX(515-1,$B$174)),B915*(C915/12)/(1-(1+C915/12)^(-($B$172-MAX(515-1,$B$174)))))),"")),D914)))),""),""))</x:f>
        <x:v>0</x:v>
      </x:c>
      <x:c r="E915" s="440" t="n">
        <x:f>IF(AND(515=$B$173,ISNUMBER(D915)),IF(MAX(0,B915*(1+C915/12)-D915)&lt;MAX(0.0000001,$E$17*0.00000000001),0,MAX(0,B915*(1+C915/12)-D915)),0)</x:f>
        <x:v>0</x:v>
      </x:c>
      <x:c r="F915" s="440" t="n">
        <x:f>IF($B$78="Cash payoff",E915,0)</x:f>
        <x:v>0</x:v>
      </x:c>
      <x:c r="G915" s="440" t="n">
        <x:f>IF(AND(E915&gt;0,AND($B$78="Refinance",ISNUMBER($B$80),$B$80&gt;=0,$B$80&lt;=1,ROUND($B$81*12,0)&gt;=1,$B$81&lt;=100,SUM($B$82)&gt;=0,SUM($B$82)&lt;=1,SUM($B$83)&gt;=0)),E915*SUM($B$82)+SUM($B$83),0)</x:f>
        <x:v>0</x:v>
      </x:c>
      <x:c r="H915" s="440" t="n">
        <x:f>IF(ISNUMBER(D915),IF(MAX(0,B915*(1+C915/12)-D915-F915)&lt;MAX(0.0000001,$E$17*0.00000000001),0,MAX(0,B915*(1+C915/12)-D915-F915)),IF(AND($B$171=1,I914=1),B915,""))</x:f>
        <x:v>0</x:v>
      </x:c>
      <x:c r="I915" s="444" t="n">
        <x:f>IF(OR(I914=1,AND(E915&gt;0,$B$78&lt;&gt;"Cash payoff",NOT(AND($B$78="Refinance",ISNUMBER($B$80),$B$80&gt;=0,$B$80&lt;=1,ROUND($B$81*12,0)&gt;=1,$B$81&lt;=100,SUM($B$82)&gt;=0,SUM($B$82)&lt;=1,SUM($B$83)&gt;=0))),AND(ISNUMBER(B915),B915&gt;0,$B$171=1,NOT(ISNUMBER(D915)))),1,0)</x:f>
        <x:v>0</x:v>
      </x:c>
      <x:c r="J915" s="440" t="n">
        <x:f>IF(ISNUMBER(L914),L914,"")</x:f>
        <x:v>0</x:v>
      </x:c>
      <x:c r="K915" s="440" t="n">
        <x:f>IF(AND(ISNUMBER(J915),J915=0),0,IF(AND($B$176=1,ISNUMBER(J915)),MIN(J915*(1+$B$87/12),IF($B$86=0,0,IF($B$87=0,$B$86/ROUND($B$88*12,0),$B$86*($B$87/12)/(1-(1+$B$87/12)^(-ROUND($B$88*12,0)))))),""))</x:f>
        <x:v>0</x:v>
      </x:c>
      <x:c r="L915" s="440" t="n">
        <x:f>IF(ISNUMBER(K915),IF(MAX(0,J915*(1+SUM($B$87)/12)-K915)&lt;MAX(0.0000001,$B$86*0.00000000001),0,MAX(0,J915*(1+SUM($B$87)/12)-K915)),"")</x:f>
        <x:v>0</x:v>
      </x:c>
      <x:c r="M915" s="440" t="n">
        <x:f>IF(AND(ISNUMBER(D915),ISNUMBER(K915)),D915+K915,"")</x:f>
        <x:v>0</x:v>
      </x:c>
      <x:c r="N915" s="440" t="n">
        <x:f>IF(AND(ISNUMBER(H915),ISNUMBER(L915)),H915+L915,"")</x:f>
        <x:v>0</x:v>
      </x:c>
    </x:row>
    <x:row r="916" ht="22" customHeight="1">
      <x:c r="A916" s="254" t="n">
        <x:f>516</x:f>
        <x:v>516</x:v>
      </x:c>
      <x:c r="B916" s="440" t="n">
        <x:f>IF(ISNUMBER(H915),H915,"")</x:f>
        <x:v>0</x:v>
      </x:c>
      <x:c r="C916" s="442" t="n">
        <x:f>IF(ISNUMBER(B916),IF(AND(516&gt;$B$173,$B$78="Refinance",ISNUMBER($B$80),$B$80&gt;=0,$B$80&lt;=1,ROUND($B$81*12,0)&gt;=1,$B$81&lt;=100,SUM($B$82)&gt;=0,SUM($B$82)&lt;=1,SUM($B$83)&gt;=0),$B$80,IF(AND($B$175&gt;0,516&gt;$B$175,ISNUMBER($B$75)),$B$75,$B$61)),"")</x:f>
        <x:v>0.0625</x:v>
      </x:c>
      <x:c r="D916" s="440" t="n">
        <x:f>IF(AND(ISNUMBER(B916),B916=0),0,IF(AND($B$171=1,I915=0,ISNUMBER(C916),ISNUMBER(IF(AND(516&lt;=$B$174,516&lt;=$B$173),B916*C916/12,IF(AND(516=$B$173+1,AND(516&gt;$B$173,$B$78="Refinance",ISNUMBER($B$80),$B$80&gt;=0,$B$80&lt;=1,ROUND($B$81*12,0)&gt;=1,$B$81&lt;=100,SUM($B$82)&gt;=0,SUM($B$82)&lt;=1,SUM($B$83)&gt;=0)),IF(B916=0,0,IF(C916=0,B916/ROUND($B$81*12,0),B916*(C916/12)/(1-(1+C916/12)^(-ROUND($B$81*12,0))))),IF(AND(NOT(AND(516&gt;$B$173,$B$78="Refinance",ISNUMBER($B$80),$B$80&gt;=0,$B$80&lt;=1,ROUND($B$81*12,0)&gt;=1,$B$81&lt;=100,SUM($B$82)&gt;=0,SUM($B$82)&lt;=1,SUM($B$83)&gt;=0)),OR(516=1,516=$B$174+1,AND($B$175&gt;0,516=$B$175+1))),IF(AND($B$170=1,$B$66&gt;0,OR($B$175=0,516&lt;=$B$175)),$B$66,IF($B$172-MAX(516-1,$B$174)&gt;0,IF(B916=0,0,IF(C916=0,B916/($B$172-MAX(516-1,$B$174)),B916*(C916/12)/(1-(1+C916/12)^(-($B$172-MAX(516-1,$B$174)))))),"")),D915))))),IF(IF(AND(516&lt;=$B$174,516&lt;=$B$173),B916*C916/12,IF(AND(516=$B$173+1,AND(516&gt;$B$173,$B$78="Refinance",ISNUMBER($B$80),$B$80&gt;=0,$B$80&lt;=1,ROUND($B$81*12,0)&gt;=1,$B$81&lt;=100,SUM($B$82)&gt;=0,SUM($B$82)&lt;=1,SUM($B$83)&gt;=0)),IF(B916=0,0,IF(C916=0,B916/ROUND($B$81*12,0),B916*(C916/12)/(1-(1+C916/12)^(-ROUND($B$81*12,0))))),IF(AND(NOT(AND(516&gt;$B$173,$B$78="Refinance",ISNUMBER($B$80),$B$80&gt;=0,$B$80&lt;=1,ROUND($B$81*12,0)&gt;=1,$B$81&lt;=100,SUM($B$82)&gt;=0,SUM($B$82)&lt;=1,SUM($B$83)&gt;=0)),OR(516=1,516=$B$174+1,AND($B$175&gt;0,516=$B$175+1))),IF(AND($B$170=1,$B$66&gt;0,OR($B$175=0,516&lt;=$B$175)),$B$66,IF($B$172-MAX(516-1,$B$174)&gt;0,IF(B916=0,0,IF(C916=0,B916/($B$172-MAX(516-1,$B$174)),B916*(C916/12)/(1-(1+C916/12)^(-($B$172-MAX(516-1,$B$174)))))),"")),D915)))+0.0000001&gt;=B916*C916/12,MIN(B916*(1+C916/12),IF(AND(516&lt;=$B$174,516&lt;=$B$173),B916*C916/12,IF(AND(516=$B$173+1,AND(516&gt;$B$173,$B$78="Refinance",ISNUMBER($B$80),$B$80&gt;=0,$B$80&lt;=1,ROUND($B$81*12,0)&gt;=1,$B$81&lt;=100,SUM($B$82)&gt;=0,SUM($B$82)&lt;=1,SUM($B$83)&gt;=0)),IF(B916=0,0,IF(C916=0,B916/ROUND($B$81*12,0),B916*(C916/12)/(1-(1+C916/12)^(-ROUND($B$81*12,0))))),IF(AND(NOT(AND(516&gt;$B$173,$B$78="Refinance",ISNUMBER($B$80),$B$80&gt;=0,$B$80&lt;=1,ROUND($B$81*12,0)&gt;=1,$B$81&lt;=100,SUM($B$82)&gt;=0,SUM($B$82)&lt;=1,SUM($B$83)&gt;=0)),OR(516=1,516=$B$174+1,AND($B$175&gt;0,516=$B$175+1))),IF(AND($B$170=1,$B$66&gt;0,OR($B$175=0,516&lt;=$B$175)),$B$66,IF($B$172-MAX(516-1,$B$174)&gt;0,IF(B916=0,0,IF(C916=0,B916/($B$172-MAX(516-1,$B$174)),B916*(C916/12)/(1-(1+C916/12)^(-($B$172-MAX(516-1,$B$174)))))),"")),D915)))),""),""))</x:f>
        <x:v>0</x:v>
      </x:c>
      <x:c r="E916" s="440" t="n">
        <x:f>IF(AND(516=$B$173,ISNUMBER(D916)),IF(MAX(0,B916*(1+C916/12)-D916)&lt;MAX(0.0000001,$E$17*0.00000000001),0,MAX(0,B916*(1+C916/12)-D916)),0)</x:f>
        <x:v>0</x:v>
      </x:c>
      <x:c r="F916" s="440" t="n">
        <x:f>IF($B$78="Cash payoff",E916,0)</x:f>
        <x:v>0</x:v>
      </x:c>
      <x:c r="G916" s="440" t="n">
        <x:f>IF(AND(E916&gt;0,AND($B$78="Refinance",ISNUMBER($B$80),$B$80&gt;=0,$B$80&lt;=1,ROUND($B$81*12,0)&gt;=1,$B$81&lt;=100,SUM($B$82)&gt;=0,SUM($B$82)&lt;=1,SUM($B$83)&gt;=0)),E916*SUM($B$82)+SUM($B$83),0)</x:f>
        <x:v>0</x:v>
      </x:c>
      <x:c r="H916" s="440" t="n">
        <x:f>IF(ISNUMBER(D916),IF(MAX(0,B916*(1+C916/12)-D916-F916)&lt;MAX(0.0000001,$E$17*0.00000000001),0,MAX(0,B916*(1+C916/12)-D916-F916)),IF(AND($B$171=1,I915=1),B916,""))</x:f>
        <x:v>0</x:v>
      </x:c>
      <x:c r="I916" s="444" t="n">
        <x:f>IF(OR(I915=1,AND(E916&gt;0,$B$78&lt;&gt;"Cash payoff",NOT(AND($B$78="Refinance",ISNUMBER($B$80),$B$80&gt;=0,$B$80&lt;=1,ROUND($B$81*12,0)&gt;=1,$B$81&lt;=100,SUM($B$82)&gt;=0,SUM($B$82)&lt;=1,SUM($B$83)&gt;=0))),AND(ISNUMBER(B916),B916&gt;0,$B$171=1,NOT(ISNUMBER(D916)))),1,0)</x:f>
        <x:v>0</x:v>
      </x:c>
      <x:c r="J916" s="440" t="n">
        <x:f>IF(ISNUMBER(L915),L915,"")</x:f>
        <x:v>0</x:v>
      </x:c>
      <x:c r="K916" s="440" t="n">
        <x:f>IF(AND(ISNUMBER(J916),J916=0),0,IF(AND($B$176=1,ISNUMBER(J916)),MIN(J916*(1+$B$87/12),IF($B$86=0,0,IF($B$87=0,$B$86/ROUND($B$88*12,0),$B$86*($B$87/12)/(1-(1+$B$87/12)^(-ROUND($B$88*12,0)))))),""))</x:f>
        <x:v>0</x:v>
      </x:c>
      <x:c r="L916" s="440" t="n">
        <x:f>IF(ISNUMBER(K916),IF(MAX(0,J916*(1+SUM($B$87)/12)-K916)&lt;MAX(0.0000001,$B$86*0.00000000001),0,MAX(0,J916*(1+SUM($B$87)/12)-K916)),"")</x:f>
        <x:v>0</x:v>
      </x:c>
      <x:c r="M916" s="440" t="n">
        <x:f>IF(AND(ISNUMBER(D916),ISNUMBER(K916)),D916+K916,"")</x:f>
        <x:v>0</x:v>
      </x:c>
      <x:c r="N916" s="440" t="n">
        <x:f>IF(AND(ISNUMBER(H916),ISNUMBER(L916)),H916+L916,"")</x:f>
        <x:v>0</x:v>
      </x:c>
    </x:row>
    <x:row r="917" ht="22" customHeight="1">
      <x:c r="A917" s="254" t="n">
        <x:f>517</x:f>
        <x:v>517</x:v>
      </x:c>
      <x:c r="B917" s="440" t="n">
        <x:f>IF(ISNUMBER(H916),H916,"")</x:f>
        <x:v>0</x:v>
      </x:c>
      <x:c r="C917" s="442" t="n">
        <x:f>IF(ISNUMBER(B917),IF(AND(517&gt;$B$173,$B$78="Refinance",ISNUMBER($B$80),$B$80&gt;=0,$B$80&lt;=1,ROUND($B$81*12,0)&gt;=1,$B$81&lt;=100,SUM($B$82)&gt;=0,SUM($B$82)&lt;=1,SUM($B$83)&gt;=0),$B$80,IF(AND($B$175&gt;0,517&gt;$B$175,ISNUMBER($B$75)),$B$75,$B$61)),"")</x:f>
        <x:v>0.0625</x:v>
      </x:c>
      <x:c r="D917" s="440" t="n">
        <x:f>IF(AND(ISNUMBER(B917),B917=0),0,IF(AND($B$171=1,I916=0,ISNUMBER(C917),ISNUMBER(IF(AND(517&lt;=$B$174,517&lt;=$B$173),B917*C917/12,IF(AND(517=$B$173+1,AND(517&gt;$B$173,$B$78="Refinance",ISNUMBER($B$80),$B$80&gt;=0,$B$80&lt;=1,ROUND($B$81*12,0)&gt;=1,$B$81&lt;=100,SUM($B$82)&gt;=0,SUM($B$82)&lt;=1,SUM($B$83)&gt;=0)),IF(B917=0,0,IF(C917=0,B917/ROUND($B$81*12,0),B917*(C917/12)/(1-(1+C917/12)^(-ROUND($B$81*12,0))))),IF(AND(NOT(AND(517&gt;$B$173,$B$78="Refinance",ISNUMBER($B$80),$B$80&gt;=0,$B$80&lt;=1,ROUND($B$81*12,0)&gt;=1,$B$81&lt;=100,SUM($B$82)&gt;=0,SUM($B$82)&lt;=1,SUM($B$83)&gt;=0)),OR(517=1,517=$B$174+1,AND($B$175&gt;0,517=$B$175+1))),IF(AND($B$170=1,$B$66&gt;0,OR($B$175=0,517&lt;=$B$175)),$B$66,IF($B$172-MAX(517-1,$B$174)&gt;0,IF(B917=0,0,IF(C917=0,B917/($B$172-MAX(517-1,$B$174)),B917*(C917/12)/(1-(1+C917/12)^(-($B$172-MAX(517-1,$B$174)))))),"")),D916))))),IF(IF(AND(517&lt;=$B$174,517&lt;=$B$173),B917*C917/12,IF(AND(517=$B$173+1,AND(517&gt;$B$173,$B$78="Refinance",ISNUMBER($B$80),$B$80&gt;=0,$B$80&lt;=1,ROUND($B$81*12,0)&gt;=1,$B$81&lt;=100,SUM($B$82)&gt;=0,SUM($B$82)&lt;=1,SUM($B$83)&gt;=0)),IF(B917=0,0,IF(C917=0,B917/ROUND($B$81*12,0),B917*(C917/12)/(1-(1+C917/12)^(-ROUND($B$81*12,0))))),IF(AND(NOT(AND(517&gt;$B$173,$B$78="Refinance",ISNUMBER($B$80),$B$80&gt;=0,$B$80&lt;=1,ROUND($B$81*12,0)&gt;=1,$B$81&lt;=100,SUM($B$82)&gt;=0,SUM($B$82)&lt;=1,SUM($B$83)&gt;=0)),OR(517=1,517=$B$174+1,AND($B$175&gt;0,517=$B$175+1))),IF(AND($B$170=1,$B$66&gt;0,OR($B$175=0,517&lt;=$B$175)),$B$66,IF($B$172-MAX(517-1,$B$174)&gt;0,IF(B917=0,0,IF(C917=0,B917/($B$172-MAX(517-1,$B$174)),B917*(C917/12)/(1-(1+C917/12)^(-($B$172-MAX(517-1,$B$174)))))),"")),D916)))+0.0000001&gt;=B917*C917/12,MIN(B917*(1+C917/12),IF(AND(517&lt;=$B$174,517&lt;=$B$173),B917*C917/12,IF(AND(517=$B$173+1,AND(517&gt;$B$173,$B$78="Refinance",ISNUMBER($B$80),$B$80&gt;=0,$B$80&lt;=1,ROUND($B$81*12,0)&gt;=1,$B$81&lt;=100,SUM($B$82)&gt;=0,SUM($B$82)&lt;=1,SUM($B$83)&gt;=0)),IF(B917=0,0,IF(C917=0,B917/ROUND($B$81*12,0),B917*(C917/12)/(1-(1+C917/12)^(-ROUND($B$81*12,0))))),IF(AND(NOT(AND(517&gt;$B$173,$B$78="Refinance",ISNUMBER($B$80),$B$80&gt;=0,$B$80&lt;=1,ROUND($B$81*12,0)&gt;=1,$B$81&lt;=100,SUM($B$82)&gt;=0,SUM($B$82)&lt;=1,SUM($B$83)&gt;=0)),OR(517=1,517=$B$174+1,AND($B$175&gt;0,517=$B$175+1))),IF(AND($B$170=1,$B$66&gt;0,OR($B$175=0,517&lt;=$B$175)),$B$66,IF($B$172-MAX(517-1,$B$174)&gt;0,IF(B917=0,0,IF(C917=0,B917/($B$172-MAX(517-1,$B$174)),B917*(C917/12)/(1-(1+C917/12)^(-($B$172-MAX(517-1,$B$174)))))),"")),D916)))),""),""))</x:f>
        <x:v>0</x:v>
      </x:c>
      <x:c r="E917" s="440" t="n">
        <x:f>IF(AND(517=$B$173,ISNUMBER(D917)),IF(MAX(0,B917*(1+C917/12)-D917)&lt;MAX(0.0000001,$E$17*0.00000000001),0,MAX(0,B917*(1+C917/12)-D917)),0)</x:f>
        <x:v>0</x:v>
      </x:c>
      <x:c r="F917" s="440" t="n">
        <x:f>IF($B$78="Cash payoff",E917,0)</x:f>
        <x:v>0</x:v>
      </x:c>
      <x:c r="G917" s="440" t="n">
        <x:f>IF(AND(E917&gt;0,AND($B$78="Refinance",ISNUMBER($B$80),$B$80&gt;=0,$B$80&lt;=1,ROUND($B$81*12,0)&gt;=1,$B$81&lt;=100,SUM($B$82)&gt;=0,SUM($B$82)&lt;=1,SUM($B$83)&gt;=0)),E917*SUM($B$82)+SUM($B$83),0)</x:f>
        <x:v>0</x:v>
      </x:c>
      <x:c r="H917" s="440" t="n">
        <x:f>IF(ISNUMBER(D917),IF(MAX(0,B917*(1+C917/12)-D917-F917)&lt;MAX(0.0000001,$E$17*0.00000000001),0,MAX(0,B917*(1+C917/12)-D917-F917)),IF(AND($B$171=1,I916=1),B917,""))</x:f>
        <x:v>0</x:v>
      </x:c>
      <x:c r="I917" s="444" t="n">
        <x:f>IF(OR(I916=1,AND(E917&gt;0,$B$78&lt;&gt;"Cash payoff",NOT(AND($B$78="Refinance",ISNUMBER($B$80),$B$80&gt;=0,$B$80&lt;=1,ROUND($B$81*12,0)&gt;=1,$B$81&lt;=100,SUM($B$82)&gt;=0,SUM($B$82)&lt;=1,SUM($B$83)&gt;=0))),AND(ISNUMBER(B917),B917&gt;0,$B$171=1,NOT(ISNUMBER(D917)))),1,0)</x:f>
        <x:v>0</x:v>
      </x:c>
      <x:c r="J917" s="440" t="n">
        <x:f>IF(ISNUMBER(L916),L916,"")</x:f>
        <x:v>0</x:v>
      </x:c>
      <x:c r="K917" s="440" t="n">
        <x:f>IF(AND(ISNUMBER(J917),J917=0),0,IF(AND($B$176=1,ISNUMBER(J917)),MIN(J917*(1+$B$87/12),IF($B$86=0,0,IF($B$87=0,$B$86/ROUND($B$88*12,0),$B$86*($B$87/12)/(1-(1+$B$87/12)^(-ROUND($B$88*12,0)))))),""))</x:f>
        <x:v>0</x:v>
      </x:c>
      <x:c r="L917" s="440" t="n">
        <x:f>IF(ISNUMBER(K917),IF(MAX(0,J917*(1+SUM($B$87)/12)-K917)&lt;MAX(0.0000001,$B$86*0.00000000001),0,MAX(0,J917*(1+SUM($B$87)/12)-K917)),"")</x:f>
        <x:v>0</x:v>
      </x:c>
      <x:c r="M917" s="440" t="n">
        <x:f>IF(AND(ISNUMBER(D917),ISNUMBER(K917)),D917+K917,"")</x:f>
        <x:v>0</x:v>
      </x:c>
      <x:c r="N917" s="440" t="n">
        <x:f>IF(AND(ISNUMBER(H917),ISNUMBER(L917)),H917+L917,"")</x:f>
        <x:v>0</x:v>
      </x:c>
    </x:row>
    <x:row r="918" ht="22" customHeight="1">
      <x:c r="A918" s="254" t="n">
        <x:f>518</x:f>
        <x:v>518</x:v>
      </x:c>
      <x:c r="B918" s="440" t="n">
        <x:f>IF(ISNUMBER(H917),H917,"")</x:f>
        <x:v>0</x:v>
      </x:c>
      <x:c r="C918" s="442" t="n">
        <x:f>IF(ISNUMBER(B918),IF(AND(518&gt;$B$173,$B$78="Refinance",ISNUMBER($B$80),$B$80&gt;=0,$B$80&lt;=1,ROUND($B$81*12,0)&gt;=1,$B$81&lt;=100,SUM($B$82)&gt;=0,SUM($B$82)&lt;=1,SUM($B$83)&gt;=0),$B$80,IF(AND($B$175&gt;0,518&gt;$B$175,ISNUMBER($B$75)),$B$75,$B$61)),"")</x:f>
        <x:v>0.0625</x:v>
      </x:c>
      <x:c r="D918" s="440" t="n">
        <x:f>IF(AND(ISNUMBER(B918),B918=0),0,IF(AND($B$171=1,I917=0,ISNUMBER(C918),ISNUMBER(IF(AND(518&lt;=$B$174,518&lt;=$B$173),B918*C918/12,IF(AND(518=$B$173+1,AND(518&gt;$B$173,$B$78="Refinance",ISNUMBER($B$80),$B$80&gt;=0,$B$80&lt;=1,ROUND($B$81*12,0)&gt;=1,$B$81&lt;=100,SUM($B$82)&gt;=0,SUM($B$82)&lt;=1,SUM($B$83)&gt;=0)),IF(B918=0,0,IF(C918=0,B918/ROUND($B$81*12,0),B918*(C918/12)/(1-(1+C918/12)^(-ROUND($B$81*12,0))))),IF(AND(NOT(AND(518&gt;$B$173,$B$78="Refinance",ISNUMBER($B$80),$B$80&gt;=0,$B$80&lt;=1,ROUND($B$81*12,0)&gt;=1,$B$81&lt;=100,SUM($B$82)&gt;=0,SUM($B$82)&lt;=1,SUM($B$83)&gt;=0)),OR(518=1,518=$B$174+1,AND($B$175&gt;0,518=$B$175+1))),IF(AND($B$170=1,$B$66&gt;0,OR($B$175=0,518&lt;=$B$175)),$B$66,IF($B$172-MAX(518-1,$B$174)&gt;0,IF(B918=0,0,IF(C918=0,B918/($B$172-MAX(518-1,$B$174)),B918*(C918/12)/(1-(1+C918/12)^(-($B$172-MAX(518-1,$B$174)))))),"")),D917))))),IF(IF(AND(518&lt;=$B$174,518&lt;=$B$173),B918*C918/12,IF(AND(518=$B$173+1,AND(518&gt;$B$173,$B$78="Refinance",ISNUMBER($B$80),$B$80&gt;=0,$B$80&lt;=1,ROUND($B$81*12,0)&gt;=1,$B$81&lt;=100,SUM($B$82)&gt;=0,SUM($B$82)&lt;=1,SUM($B$83)&gt;=0)),IF(B918=0,0,IF(C918=0,B918/ROUND($B$81*12,0),B918*(C918/12)/(1-(1+C918/12)^(-ROUND($B$81*12,0))))),IF(AND(NOT(AND(518&gt;$B$173,$B$78="Refinance",ISNUMBER($B$80),$B$80&gt;=0,$B$80&lt;=1,ROUND($B$81*12,0)&gt;=1,$B$81&lt;=100,SUM($B$82)&gt;=0,SUM($B$82)&lt;=1,SUM($B$83)&gt;=0)),OR(518=1,518=$B$174+1,AND($B$175&gt;0,518=$B$175+1))),IF(AND($B$170=1,$B$66&gt;0,OR($B$175=0,518&lt;=$B$175)),$B$66,IF($B$172-MAX(518-1,$B$174)&gt;0,IF(B918=0,0,IF(C918=0,B918/($B$172-MAX(518-1,$B$174)),B918*(C918/12)/(1-(1+C918/12)^(-($B$172-MAX(518-1,$B$174)))))),"")),D917)))+0.0000001&gt;=B918*C918/12,MIN(B918*(1+C918/12),IF(AND(518&lt;=$B$174,518&lt;=$B$173),B918*C918/12,IF(AND(518=$B$173+1,AND(518&gt;$B$173,$B$78="Refinance",ISNUMBER($B$80),$B$80&gt;=0,$B$80&lt;=1,ROUND($B$81*12,0)&gt;=1,$B$81&lt;=100,SUM($B$82)&gt;=0,SUM($B$82)&lt;=1,SUM($B$83)&gt;=0)),IF(B918=0,0,IF(C918=0,B918/ROUND($B$81*12,0),B918*(C918/12)/(1-(1+C918/12)^(-ROUND($B$81*12,0))))),IF(AND(NOT(AND(518&gt;$B$173,$B$78="Refinance",ISNUMBER($B$80),$B$80&gt;=0,$B$80&lt;=1,ROUND($B$81*12,0)&gt;=1,$B$81&lt;=100,SUM($B$82)&gt;=0,SUM($B$82)&lt;=1,SUM($B$83)&gt;=0)),OR(518=1,518=$B$174+1,AND($B$175&gt;0,518=$B$175+1))),IF(AND($B$170=1,$B$66&gt;0,OR($B$175=0,518&lt;=$B$175)),$B$66,IF($B$172-MAX(518-1,$B$174)&gt;0,IF(B918=0,0,IF(C918=0,B918/($B$172-MAX(518-1,$B$174)),B918*(C918/12)/(1-(1+C918/12)^(-($B$172-MAX(518-1,$B$174)))))),"")),D917)))),""),""))</x:f>
        <x:v>0</x:v>
      </x:c>
      <x:c r="E918" s="440" t="n">
        <x:f>IF(AND(518=$B$173,ISNUMBER(D918)),IF(MAX(0,B918*(1+C918/12)-D918)&lt;MAX(0.0000001,$E$17*0.00000000001),0,MAX(0,B918*(1+C918/12)-D918)),0)</x:f>
        <x:v>0</x:v>
      </x:c>
      <x:c r="F918" s="440" t="n">
        <x:f>IF($B$78="Cash payoff",E918,0)</x:f>
        <x:v>0</x:v>
      </x:c>
      <x:c r="G918" s="440" t="n">
        <x:f>IF(AND(E918&gt;0,AND($B$78="Refinance",ISNUMBER($B$80),$B$80&gt;=0,$B$80&lt;=1,ROUND($B$81*12,0)&gt;=1,$B$81&lt;=100,SUM($B$82)&gt;=0,SUM($B$82)&lt;=1,SUM($B$83)&gt;=0)),E918*SUM($B$82)+SUM($B$83),0)</x:f>
        <x:v>0</x:v>
      </x:c>
      <x:c r="H918" s="440" t="n">
        <x:f>IF(ISNUMBER(D918),IF(MAX(0,B918*(1+C918/12)-D918-F918)&lt;MAX(0.0000001,$E$17*0.00000000001),0,MAX(0,B918*(1+C918/12)-D918-F918)),IF(AND($B$171=1,I917=1),B918,""))</x:f>
        <x:v>0</x:v>
      </x:c>
      <x:c r="I918" s="444" t="n">
        <x:f>IF(OR(I917=1,AND(E918&gt;0,$B$78&lt;&gt;"Cash payoff",NOT(AND($B$78="Refinance",ISNUMBER($B$80),$B$80&gt;=0,$B$80&lt;=1,ROUND($B$81*12,0)&gt;=1,$B$81&lt;=100,SUM($B$82)&gt;=0,SUM($B$82)&lt;=1,SUM($B$83)&gt;=0))),AND(ISNUMBER(B918),B918&gt;0,$B$171=1,NOT(ISNUMBER(D918)))),1,0)</x:f>
        <x:v>0</x:v>
      </x:c>
      <x:c r="J918" s="440" t="n">
        <x:f>IF(ISNUMBER(L917),L917,"")</x:f>
        <x:v>0</x:v>
      </x:c>
      <x:c r="K918" s="440" t="n">
        <x:f>IF(AND(ISNUMBER(J918),J918=0),0,IF(AND($B$176=1,ISNUMBER(J918)),MIN(J918*(1+$B$87/12),IF($B$86=0,0,IF($B$87=0,$B$86/ROUND($B$88*12,0),$B$86*($B$87/12)/(1-(1+$B$87/12)^(-ROUND($B$88*12,0)))))),""))</x:f>
        <x:v>0</x:v>
      </x:c>
      <x:c r="L918" s="440" t="n">
        <x:f>IF(ISNUMBER(K918),IF(MAX(0,J918*(1+SUM($B$87)/12)-K918)&lt;MAX(0.0000001,$B$86*0.00000000001),0,MAX(0,J918*(1+SUM($B$87)/12)-K918)),"")</x:f>
        <x:v>0</x:v>
      </x:c>
      <x:c r="M918" s="440" t="n">
        <x:f>IF(AND(ISNUMBER(D918),ISNUMBER(K918)),D918+K918,"")</x:f>
        <x:v>0</x:v>
      </x:c>
      <x:c r="N918" s="440" t="n">
        <x:f>IF(AND(ISNUMBER(H918),ISNUMBER(L918)),H918+L918,"")</x:f>
        <x:v>0</x:v>
      </x:c>
    </x:row>
    <x:row r="919" ht="22" customHeight="1">
      <x:c r="A919" s="254" t="n">
        <x:f>519</x:f>
        <x:v>519</x:v>
      </x:c>
      <x:c r="B919" s="440" t="n">
        <x:f>IF(ISNUMBER(H918),H918,"")</x:f>
        <x:v>0</x:v>
      </x:c>
      <x:c r="C919" s="442" t="n">
        <x:f>IF(ISNUMBER(B919),IF(AND(519&gt;$B$173,$B$78="Refinance",ISNUMBER($B$80),$B$80&gt;=0,$B$80&lt;=1,ROUND($B$81*12,0)&gt;=1,$B$81&lt;=100,SUM($B$82)&gt;=0,SUM($B$82)&lt;=1,SUM($B$83)&gt;=0),$B$80,IF(AND($B$175&gt;0,519&gt;$B$175,ISNUMBER($B$75)),$B$75,$B$61)),"")</x:f>
        <x:v>0.0625</x:v>
      </x:c>
      <x:c r="D919" s="440" t="n">
        <x:f>IF(AND(ISNUMBER(B919),B919=0),0,IF(AND($B$171=1,I918=0,ISNUMBER(C919),ISNUMBER(IF(AND(519&lt;=$B$174,519&lt;=$B$173),B919*C919/12,IF(AND(519=$B$173+1,AND(519&gt;$B$173,$B$78="Refinance",ISNUMBER($B$80),$B$80&gt;=0,$B$80&lt;=1,ROUND($B$81*12,0)&gt;=1,$B$81&lt;=100,SUM($B$82)&gt;=0,SUM($B$82)&lt;=1,SUM($B$83)&gt;=0)),IF(B919=0,0,IF(C919=0,B919/ROUND($B$81*12,0),B919*(C919/12)/(1-(1+C919/12)^(-ROUND($B$81*12,0))))),IF(AND(NOT(AND(519&gt;$B$173,$B$78="Refinance",ISNUMBER($B$80),$B$80&gt;=0,$B$80&lt;=1,ROUND($B$81*12,0)&gt;=1,$B$81&lt;=100,SUM($B$82)&gt;=0,SUM($B$82)&lt;=1,SUM($B$83)&gt;=0)),OR(519=1,519=$B$174+1,AND($B$175&gt;0,519=$B$175+1))),IF(AND($B$170=1,$B$66&gt;0,OR($B$175=0,519&lt;=$B$175)),$B$66,IF($B$172-MAX(519-1,$B$174)&gt;0,IF(B919=0,0,IF(C919=0,B919/($B$172-MAX(519-1,$B$174)),B919*(C919/12)/(1-(1+C919/12)^(-($B$172-MAX(519-1,$B$174)))))),"")),D918))))),IF(IF(AND(519&lt;=$B$174,519&lt;=$B$173),B919*C919/12,IF(AND(519=$B$173+1,AND(519&gt;$B$173,$B$78="Refinance",ISNUMBER($B$80),$B$80&gt;=0,$B$80&lt;=1,ROUND($B$81*12,0)&gt;=1,$B$81&lt;=100,SUM($B$82)&gt;=0,SUM($B$82)&lt;=1,SUM($B$83)&gt;=0)),IF(B919=0,0,IF(C919=0,B919/ROUND($B$81*12,0),B919*(C919/12)/(1-(1+C919/12)^(-ROUND($B$81*12,0))))),IF(AND(NOT(AND(519&gt;$B$173,$B$78="Refinance",ISNUMBER($B$80),$B$80&gt;=0,$B$80&lt;=1,ROUND($B$81*12,0)&gt;=1,$B$81&lt;=100,SUM($B$82)&gt;=0,SUM($B$82)&lt;=1,SUM($B$83)&gt;=0)),OR(519=1,519=$B$174+1,AND($B$175&gt;0,519=$B$175+1))),IF(AND($B$170=1,$B$66&gt;0,OR($B$175=0,519&lt;=$B$175)),$B$66,IF($B$172-MAX(519-1,$B$174)&gt;0,IF(B919=0,0,IF(C919=0,B919/($B$172-MAX(519-1,$B$174)),B919*(C919/12)/(1-(1+C919/12)^(-($B$172-MAX(519-1,$B$174)))))),"")),D918)))+0.0000001&gt;=B919*C919/12,MIN(B919*(1+C919/12),IF(AND(519&lt;=$B$174,519&lt;=$B$173),B919*C919/12,IF(AND(519=$B$173+1,AND(519&gt;$B$173,$B$78="Refinance",ISNUMBER($B$80),$B$80&gt;=0,$B$80&lt;=1,ROUND($B$81*12,0)&gt;=1,$B$81&lt;=100,SUM($B$82)&gt;=0,SUM($B$82)&lt;=1,SUM($B$83)&gt;=0)),IF(B919=0,0,IF(C919=0,B919/ROUND($B$81*12,0),B919*(C919/12)/(1-(1+C919/12)^(-ROUND($B$81*12,0))))),IF(AND(NOT(AND(519&gt;$B$173,$B$78="Refinance",ISNUMBER($B$80),$B$80&gt;=0,$B$80&lt;=1,ROUND($B$81*12,0)&gt;=1,$B$81&lt;=100,SUM($B$82)&gt;=0,SUM($B$82)&lt;=1,SUM($B$83)&gt;=0)),OR(519=1,519=$B$174+1,AND($B$175&gt;0,519=$B$175+1))),IF(AND($B$170=1,$B$66&gt;0,OR($B$175=0,519&lt;=$B$175)),$B$66,IF($B$172-MAX(519-1,$B$174)&gt;0,IF(B919=0,0,IF(C919=0,B919/($B$172-MAX(519-1,$B$174)),B919*(C919/12)/(1-(1+C919/12)^(-($B$172-MAX(519-1,$B$174)))))),"")),D918)))),""),""))</x:f>
        <x:v>0</x:v>
      </x:c>
      <x:c r="E919" s="440" t="n">
        <x:f>IF(AND(519=$B$173,ISNUMBER(D919)),IF(MAX(0,B919*(1+C919/12)-D919)&lt;MAX(0.0000001,$E$17*0.00000000001),0,MAX(0,B919*(1+C919/12)-D919)),0)</x:f>
        <x:v>0</x:v>
      </x:c>
      <x:c r="F919" s="440" t="n">
        <x:f>IF($B$78="Cash payoff",E919,0)</x:f>
        <x:v>0</x:v>
      </x:c>
      <x:c r="G919" s="440" t="n">
        <x:f>IF(AND(E919&gt;0,AND($B$78="Refinance",ISNUMBER($B$80),$B$80&gt;=0,$B$80&lt;=1,ROUND($B$81*12,0)&gt;=1,$B$81&lt;=100,SUM($B$82)&gt;=0,SUM($B$82)&lt;=1,SUM($B$83)&gt;=0)),E919*SUM($B$82)+SUM($B$83),0)</x:f>
        <x:v>0</x:v>
      </x:c>
      <x:c r="H919" s="440" t="n">
        <x:f>IF(ISNUMBER(D919),IF(MAX(0,B919*(1+C919/12)-D919-F919)&lt;MAX(0.0000001,$E$17*0.00000000001),0,MAX(0,B919*(1+C919/12)-D919-F919)),IF(AND($B$171=1,I918=1),B919,""))</x:f>
        <x:v>0</x:v>
      </x:c>
      <x:c r="I919" s="444" t="n">
        <x:f>IF(OR(I918=1,AND(E919&gt;0,$B$78&lt;&gt;"Cash payoff",NOT(AND($B$78="Refinance",ISNUMBER($B$80),$B$80&gt;=0,$B$80&lt;=1,ROUND($B$81*12,0)&gt;=1,$B$81&lt;=100,SUM($B$82)&gt;=0,SUM($B$82)&lt;=1,SUM($B$83)&gt;=0))),AND(ISNUMBER(B919),B919&gt;0,$B$171=1,NOT(ISNUMBER(D919)))),1,0)</x:f>
        <x:v>0</x:v>
      </x:c>
      <x:c r="J919" s="440" t="n">
        <x:f>IF(ISNUMBER(L918),L918,"")</x:f>
        <x:v>0</x:v>
      </x:c>
      <x:c r="K919" s="440" t="n">
        <x:f>IF(AND(ISNUMBER(J919),J919=0),0,IF(AND($B$176=1,ISNUMBER(J919)),MIN(J919*(1+$B$87/12),IF($B$86=0,0,IF($B$87=0,$B$86/ROUND($B$88*12,0),$B$86*($B$87/12)/(1-(1+$B$87/12)^(-ROUND($B$88*12,0)))))),""))</x:f>
        <x:v>0</x:v>
      </x:c>
      <x:c r="L919" s="440" t="n">
        <x:f>IF(ISNUMBER(K919),IF(MAX(0,J919*(1+SUM($B$87)/12)-K919)&lt;MAX(0.0000001,$B$86*0.00000000001),0,MAX(0,J919*(1+SUM($B$87)/12)-K919)),"")</x:f>
        <x:v>0</x:v>
      </x:c>
      <x:c r="M919" s="440" t="n">
        <x:f>IF(AND(ISNUMBER(D919),ISNUMBER(K919)),D919+K919,"")</x:f>
        <x:v>0</x:v>
      </x:c>
      <x:c r="N919" s="440" t="n">
        <x:f>IF(AND(ISNUMBER(H919),ISNUMBER(L919)),H919+L919,"")</x:f>
        <x:v>0</x:v>
      </x:c>
    </x:row>
    <x:row r="920" ht="22" customHeight="1">
      <x:c r="A920" s="254" t="n">
        <x:f>520</x:f>
        <x:v>520</x:v>
      </x:c>
      <x:c r="B920" s="440" t="n">
        <x:f>IF(ISNUMBER(H919),H919,"")</x:f>
        <x:v>0</x:v>
      </x:c>
      <x:c r="C920" s="442" t="n">
        <x:f>IF(ISNUMBER(B920),IF(AND(520&gt;$B$173,$B$78="Refinance",ISNUMBER($B$80),$B$80&gt;=0,$B$80&lt;=1,ROUND($B$81*12,0)&gt;=1,$B$81&lt;=100,SUM($B$82)&gt;=0,SUM($B$82)&lt;=1,SUM($B$83)&gt;=0),$B$80,IF(AND($B$175&gt;0,520&gt;$B$175,ISNUMBER($B$75)),$B$75,$B$61)),"")</x:f>
        <x:v>0.0625</x:v>
      </x:c>
      <x:c r="D920" s="440" t="n">
        <x:f>IF(AND(ISNUMBER(B920),B920=0),0,IF(AND($B$171=1,I919=0,ISNUMBER(C920),ISNUMBER(IF(AND(520&lt;=$B$174,520&lt;=$B$173),B920*C920/12,IF(AND(520=$B$173+1,AND(520&gt;$B$173,$B$78="Refinance",ISNUMBER($B$80),$B$80&gt;=0,$B$80&lt;=1,ROUND($B$81*12,0)&gt;=1,$B$81&lt;=100,SUM($B$82)&gt;=0,SUM($B$82)&lt;=1,SUM($B$83)&gt;=0)),IF(B920=0,0,IF(C920=0,B920/ROUND($B$81*12,0),B920*(C920/12)/(1-(1+C920/12)^(-ROUND($B$81*12,0))))),IF(AND(NOT(AND(520&gt;$B$173,$B$78="Refinance",ISNUMBER($B$80),$B$80&gt;=0,$B$80&lt;=1,ROUND($B$81*12,0)&gt;=1,$B$81&lt;=100,SUM($B$82)&gt;=0,SUM($B$82)&lt;=1,SUM($B$83)&gt;=0)),OR(520=1,520=$B$174+1,AND($B$175&gt;0,520=$B$175+1))),IF(AND($B$170=1,$B$66&gt;0,OR($B$175=0,520&lt;=$B$175)),$B$66,IF($B$172-MAX(520-1,$B$174)&gt;0,IF(B920=0,0,IF(C920=0,B920/($B$172-MAX(520-1,$B$174)),B920*(C920/12)/(1-(1+C920/12)^(-($B$172-MAX(520-1,$B$174)))))),"")),D919))))),IF(IF(AND(520&lt;=$B$174,520&lt;=$B$173),B920*C920/12,IF(AND(520=$B$173+1,AND(520&gt;$B$173,$B$78="Refinance",ISNUMBER($B$80),$B$80&gt;=0,$B$80&lt;=1,ROUND($B$81*12,0)&gt;=1,$B$81&lt;=100,SUM($B$82)&gt;=0,SUM($B$82)&lt;=1,SUM($B$83)&gt;=0)),IF(B920=0,0,IF(C920=0,B920/ROUND($B$81*12,0),B920*(C920/12)/(1-(1+C920/12)^(-ROUND($B$81*12,0))))),IF(AND(NOT(AND(520&gt;$B$173,$B$78="Refinance",ISNUMBER($B$80),$B$80&gt;=0,$B$80&lt;=1,ROUND($B$81*12,0)&gt;=1,$B$81&lt;=100,SUM($B$82)&gt;=0,SUM($B$82)&lt;=1,SUM($B$83)&gt;=0)),OR(520=1,520=$B$174+1,AND($B$175&gt;0,520=$B$175+1))),IF(AND($B$170=1,$B$66&gt;0,OR($B$175=0,520&lt;=$B$175)),$B$66,IF($B$172-MAX(520-1,$B$174)&gt;0,IF(B920=0,0,IF(C920=0,B920/($B$172-MAX(520-1,$B$174)),B920*(C920/12)/(1-(1+C920/12)^(-($B$172-MAX(520-1,$B$174)))))),"")),D919)))+0.0000001&gt;=B920*C920/12,MIN(B920*(1+C920/12),IF(AND(520&lt;=$B$174,520&lt;=$B$173),B920*C920/12,IF(AND(520=$B$173+1,AND(520&gt;$B$173,$B$78="Refinance",ISNUMBER($B$80),$B$80&gt;=0,$B$80&lt;=1,ROUND($B$81*12,0)&gt;=1,$B$81&lt;=100,SUM($B$82)&gt;=0,SUM($B$82)&lt;=1,SUM($B$83)&gt;=0)),IF(B920=0,0,IF(C920=0,B920/ROUND($B$81*12,0),B920*(C920/12)/(1-(1+C920/12)^(-ROUND($B$81*12,0))))),IF(AND(NOT(AND(520&gt;$B$173,$B$78="Refinance",ISNUMBER($B$80),$B$80&gt;=0,$B$80&lt;=1,ROUND($B$81*12,0)&gt;=1,$B$81&lt;=100,SUM($B$82)&gt;=0,SUM($B$82)&lt;=1,SUM($B$83)&gt;=0)),OR(520=1,520=$B$174+1,AND($B$175&gt;0,520=$B$175+1))),IF(AND($B$170=1,$B$66&gt;0,OR($B$175=0,520&lt;=$B$175)),$B$66,IF($B$172-MAX(520-1,$B$174)&gt;0,IF(B920=0,0,IF(C920=0,B920/($B$172-MAX(520-1,$B$174)),B920*(C920/12)/(1-(1+C920/12)^(-($B$172-MAX(520-1,$B$174)))))),"")),D919)))),""),""))</x:f>
        <x:v>0</x:v>
      </x:c>
      <x:c r="E920" s="440" t="n">
        <x:f>IF(AND(520=$B$173,ISNUMBER(D920)),IF(MAX(0,B920*(1+C920/12)-D920)&lt;MAX(0.0000001,$E$17*0.00000000001),0,MAX(0,B920*(1+C920/12)-D920)),0)</x:f>
        <x:v>0</x:v>
      </x:c>
      <x:c r="F920" s="440" t="n">
        <x:f>IF($B$78="Cash payoff",E920,0)</x:f>
        <x:v>0</x:v>
      </x:c>
      <x:c r="G920" s="440" t="n">
        <x:f>IF(AND(E920&gt;0,AND($B$78="Refinance",ISNUMBER($B$80),$B$80&gt;=0,$B$80&lt;=1,ROUND($B$81*12,0)&gt;=1,$B$81&lt;=100,SUM($B$82)&gt;=0,SUM($B$82)&lt;=1,SUM($B$83)&gt;=0)),E920*SUM($B$82)+SUM($B$83),0)</x:f>
        <x:v>0</x:v>
      </x:c>
      <x:c r="H920" s="440" t="n">
        <x:f>IF(ISNUMBER(D920),IF(MAX(0,B920*(1+C920/12)-D920-F920)&lt;MAX(0.0000001,$E$17*0.00000000001),0,MAX(0,B920*(1+C920/12)-D920-F920)),IF(AND($B$171=1,I919=1),B920,""))</x:f>
        <x:v>0</x:v>
      </x:c>
      <x:c r="I920" s="444" t="n">
        <x:f>IF(OR(I919=1,AND(E920&gt;0,$B$78&lt;&gt;"Cash payoff",NOT(AND($B$78="Refinance",ISNUMBER($B$80),$B$80&gt;=0,$B$80&lt;=1,ROUND($B$81*12,0)&gt;=1,$B$81&lt;=100,SUM($B$82)&gt;=0,SUM($B$82)&lt;=1,SUM($B$83)&gt;=0))),AND(ISNUMBER(B920),B920&gt;0,$B$171=1,NOT(ISNUMBER(D920)))),1,0)</x:f>
        <x:v>0</x:v>
      </x:c>
      <x:c r="J920" s="440" t="n">
        <x:f>IF(ISNUMBER(L919),L919,"")</x:f>
        <x:v>0</x:v>
      </x:c>
      <x:c r="K920" s="440" t="n">
        <x:f>IF(AND(ISNUMBER(J920),J920=0),0,IF(AND($B$176=1,ISNUMBER(J920)),MIN(J920*(1+$B$87/12),IF($B$86=0,0,IF($B$87=0,$B$86/ROUND($B$88*12,0),$B$86*($B$87/12)/(1-(1+$B$87/12)^(-ROUND($B$88*12,0)))))),""))</x:f>
        <x:v>0</x:v>
      </x:c>
      <x:c r="L920" s="440" t="n">
        <x:f>IF(ISNUMBER(K920),IF(MAX(0,J920*(1+SUM($B$87)/12)-K920)&lt;MAX(0.0000001,$B$86*0.00000000001),0,MAX(0,J920*(1+SUM($B$87)/12)-K920)),"")</x:f>
        <x:v>0</x:v>
      </x:c>
      <x:c r="M920" s="440" t="n">
        <x:f>IF(AND(ISNUMBER(D920),ISNUMBER(K920)),D920+K920,"")</x:f>
        <x:v>0</x:v>
      </x:c>
      <x:c r="N920" s="440" t="n">
        <x:f>IF(AND(ISNUMBER(H920),ISNUMBER(L920)),H920+L920,"")</x:f>
        <x:v>0</x:v>
      </x:c>
    </x:row>
    <x:row r="921" ht="22" customHeight="1">
      <x:c r="A921" s="254" t="n">
        <x:f>521</x:f>
        <x:v>521</x:v>
      </x:c>
      <x:c r="B921" s="440" t="n">
        <x:f>IF(ISNUMBER(H920),H920,"")</x:f>
        <x:v>0</x:v>
      </x:c>
      <x:c r="C921" s="442" t="n">
        <x:f>IF(ISNUMBER(B921),IF(AND(521&gt;$B$173,$B$78="Refinance",ISNUMBER($B$80),$B$80&gt;=0,$B$80&lt;=1,ROUND($B$81*12,0)&gt;=1,$B$81&lt;=100,SUM($B$82)&gt;=0,SUM($B$82)&lt;=1,SUM($B$83)&gt;=0),$B$80,IF(AND($B$175&gt;0,521&gt;$B$175,ISNUMBER($B$75)),$B$75,$B$61)),"")</x:f>
        <x:v>0.0625</x:v>
      </x:c>
      <x:c r="D921" s="440" t="n">
        <x:f>IF(AND(ISNUMBER(B921),B921=0),0,IF(AND($B$171=1,I920=0,ISNUMBER(C921),ISNUMBER(IF(AND(521&lt;=$B$174,521&lt;=$B$173),B921*C921/12,IF(AND(521=$B$173+1,AND(521&gt;$B$173,$B$78="Refinance",ISNUMBER($B$80),$B$80&gt;=0,$B$80&lt;=1,ROUND($B$81*12,0)&gt;=1,$B$81&lt;=100,SUM($B$82)&gt;=0,SUM($B$82)&lt;=1,SUM($B$83)&gt;=0)),IF(B921=0,0,IF(C921=0,B921/ROUND($B$81*12,0),B921*(C921/12)/(1-(1+C921/12)^(-ROUND($B$81*12,0))))),IF(AND(NOT(AND(521&gt;$B$173,$B$78="Refinance",ISNUMBER($B$80),$B$80&gt;=0,$B$80&lt;=1,ROUND($B$81*12,0)&gt;=1,$B$81&lt;=100,SUM($B$82)&gt;=0,SUM($B$82)&lt;=1,SUM($B$83)&gt;=0)),OR(521=1,521=$B$174+1,AND($B$175&gt;0,521=$B$175+1))),IF(AND($B$170=1,$B$66&gt;0,OR($B$175=0,521&lt;=$B$175)),$B$66,IF($B$172-MAX(521-1,$B$174)&gt;0,IF(B921=0,0,IF(C921=0,B921/($B$172-MAX(521-1,$B$174)),B921*(C921/12)/(1-(1+C921/12)^(-($B$172-MAX(521-1,$B$174)))))),"")),D920))))),IF(IF(AND(521&lt;=$B$174,521&lt;=$B$173),B921*C921/12,IF(AND(521=$B$173+1,AND(521&gt;$B$173,$B$78="Refinance",ISNUMBER($B$80),$B$80&gt;=0,$B$80&lt;=1,ROUND($B$81*12,0)&gt;=1,$B$81&lt;=100,SUM($B$82)&gt;=0,SUM($B$82)&lt;=1,SUM($B$83)&gt;=0)),IF(B921=0,0,IF(C921=0,B921/ROUND($B$81*12,0),B921*(C921/12)/(1-(1+C921/12)^(-ROUND($B$81*12,0))))),IF(AND(NOT(AND(521&gt;$B$173,$B$78="Refinance",ISNUMBER($B$80),$B$80&gt;=0,$B$80&lt;=1,ROUND($B$81*12,0)&gt;=1,$B$81&lt;=100,SUM($B$82)&gt;=0,SUM($B$82)&lt;=1,SUM($B$83)&gt;=0)),OR(521=1,521=$B$174+1,AND($B$175&gt;0,521=$B$175+1))),IF(AND($B$170=1,$B$66&gt;0,OR($B$175=0,521&lt;=$B$175)),$B$66,IF($B$172-MAX(521-1,$B$174)&gt;0,IF(B921=0,0,IF(C921=0,B921/($B$172-MAX(521-1,$B$174)),B921*(C921/12)/(1-(1+C921/12)^(-($B$172-MAX(521-1,$B$174)))))),"")),D920)))+0.0000001&gt;=B921*C921/12,MIN(B921*(1+C921/12),IF(AND(521&lt;=$B$174,521&lt;=$B$173),B921*C921/12,IF(AND(521=$B$173+1,AND(521&gt;$B$173,$B$78="Refinance",ISNUMBER($B$80),$B$80&gt;=0,$B$80&lt;=1,ROUND($B$81*12,0)&gt;=1,$B$81&lt;=100,SUM($B$82)&gt;=0,SUM($B$82)&lt;=1,SUM($B$83)&gt;=0)),IF(B921=0,0,IF(C921=0,B921/ROUND($B$81*12,0),B921*(C921/12)/(1-(1+C921/12)^(-ROUND($B$81*12,0))))),IF(AND(NOT(AND(521&gt;$B$173,$B$78="Refinance",ISNUMBER($B$80),$B$80&gt;=0,$B$80&lt;=1,ROUND($B$81*12,0)&gt;=1,$B$81&lt;=100,SUM($B$82)&gt;=0,SUM($B$82)&lt;=1,SUM($B$83)&gt;=0)),OR(521=1,521=$B$174+1,AND($B$175&gt;0,521=$B$175+1))),IF(AND($B$170=1,$B$66&gt;0,OR($B$175=0,521&lt;=$B$175)),$B$66,IF($B$172-MAX(521-1,$B$174)&gt;0,IF(B921=0,0,IF(C921=0,B921/($B$172-MAX(521-1,$B$174)),B921*(C921/12)/(1-(1+C921/12)^(-($B$172-MAX(521-1,$B$174)))))),"")),D920)))),""),""))</x:f>
        <x:v>0</x:v>
      </x:c>
      <x:c r="E921" s="440" t="n">
        <x:f>IF(AND(521=$B$173,ISNUMBER(D921)),IF(MAX(0,B921*(1+C921/12)-D921)&lt;MAX(0.0000001,$E$17*0.00000000001),0,MAX(0,B921*(1+C921/12)-D921)),0)</x:f>
        <x:v>0</x:v>
      </x:c>
      <x:c r="F921" s="440" t="n">
        <x:f>IF($B$78="Cash payoff",E921,0)</x:f>
        <x:v>0</x:v>
      </x:c>
      <x:c r="G921" s="440" t="n">
        <x:f>IF(AND(E921&gt;0,AND($B$78="Refinance",ISNUMBER($B$80),$B$80&gt;=0,$B$80&lt;=1,ROUND($B$81*12,0)&gt;=1,$B$81&lt;=100,SUM($B$82)&gt;=0,SUM($B$82)&lt;=1,SUM($B$83)&gt;=0)),E921*SUM($B$82)+SUM($B$83),0)</x:f>
        <x:v>0</x:v>
      </x:c>
      <x:c r="H921" s="440" t="n">
        <x:f>IF(ISNUMBER(D921),IF(MAX(0,B921*(1+C921/12)-D921-F921)&lt;MAX(0.0000001,$E$17*0.00000000001),0,MAX(0,B921*(1+C921/12)-D921-F921)),IF(AND($B$171=1,I920=1),B921,""))</x:f>
        <x:v>0</x:v>
      </x:c>
      <x:c r="I921" s="444" t="n">
        <x:f>IF(OR(I920=1,AND(E921&gt;0,$B$78&lt;&gt;"Cash payoff",NOT(AND($B$78="Refinance",ISNUMBER($B$80),$B$80&gt;=0,$B$80&lt;=1,ROUND($B$81*12,0)&gt;=1,$B$81&lt;=100,SUM($B$82)&gt;=0,SUM($B$82)&lt;=1,SUM($B$83)&gt;=0))),AND(ISNUMBER(B921),B921&gt;0,$B$171=1,NOT(ISNUMBER(D921)))),1,0)</x:f>
        <x:v>0</x:v>
      </x:c>
      <x:c r="J921" s="440" t="n">
        <x:f>IF(ISNUMBER(L920),L920,"")</x:f>
        <x:v>0</x:v>
      </x:c>
      <x:c r="K921" s="440" t="n">
        <x:f>IF(AND(ISNUMBER(J921),J921=0),0,IF(AND($B$176=1,ISNUMBER(J921)),MIN(J921*(1+$B$87/12),IF($B$86=0,0,IF($B$87=0,$B$86/ROUND($B$88*12,0),$B$86*($B$87/12)/(1-(1+$B$87/12)^(-ROUND($B$88*12,0)))))),""))</x:f>
        <x:v>0</x:v>
      </x:c>
      <x:c r="L921" s="440" t="n">
        <x:f>IF(ISNUMBER(K921),IF(MAX(0,J921*(1+SUM($B$87)/12)-K921)&lt;MAX(0.0000001,$B$86*0.00000000001),0,MAX(0,J921*(1+SUM($B$87)/12)-K921)),"")</x:f>
        <x:v>0</x:v>
      </x:c>
      <x:c r="M921" s="440" t="n">
        <x:f>IF(AND(ISNUMBER(D921),ISNUMBER(K921)),D921+K921,"")</x:f>
        <x:v>0</x:v>
      </x:c>
      <x:c r="N921" s="440" t="n">
        <x:f>IF(AND(ISNUMBER(H921),ISNUMBER(L921)),H921+L921,"")</x:f>
        <x:v>0</x:v>
      </x:c>
    </x:row>
    <x:row r="922" ht="22" customHeight="1">
      <x:c r="A922" s="254" t="n">
        <x:f>522</x:f>
        <x:v>522</x:v>
      </x:c>
      <x:c r="B922" s="440" t="n">
        <x:f>IF(ISNUMBER(H921),H921,"")</x:f>
        <x:v>0</x:v>
      </x:c>
      <x:c r="C922" s="442" t="n">
        <x:f>IF(ISNUMBER(B922),IF(AND(522&gt;$B$173,$B$78="Refinance",ISNUMBER($B$80),$B$80&gt;=0,$B$80&lt;=1,ROUND($B$81*12,0)&gt;=1,$B$81&lt;=100,SUM($B$82)&gt;=0,SUM($B$82)&lt;=1,SUM($B$83)&gt;=0),$B$80,IF(AND($B$175&gt;0,522&gt;$B$175,ISNUMBER($B$75)),$B$75,$B$61)),"")</x:f>
        <x:v>0.0625</x:v>
      </x:c>
      <x:c r="D922" s="440" t="n">
        <x:f>IF(AND(ISNUMBER(B922),B922=0),0,IF(AND($B$171=1,I921=0,ISNUMBER(C922),ISNUMBER(IF(AND(522&lt;=$B$174,522&lt;=$B$173),B922*C922/12,IF(AND(522=$B$173+1,AND(522&gt;$B$173,$B$78="Refinance",ISNUMBER($B$80),$B$80&gt;=0,$B$80&lt;=1,ROUND($B$81*12,0)&gt;=1,$B$81&lt;=100,SUM($B$82)&gt;=0,SUM($B$82)&lt;=1,SUM($B$83)&gt;=0)),IF(B922=0,0,IF(C922=0,B922/ROUND($B$81*12,0),B922*(C922/12)/(1-(1+C922/12)^(-ROUND($B$81*12,0))))),IF(AND(NOT(AND(522&gt;$B$173,$B$78="Refinance",ISNUMBER($B$80),$B$80&gt;=0,$B$80&lt;=1,ROUND($B$81*12,0)&gt;=1,$B$81&lt;=100,SUM($B$82)&gt;=0,SUM($B$82)&lt;=1,SUM($B$83)&gt;=0)),OR(522=1,522=$B$174+1,AND($B$175&gt;0,522=$B$175+1))),IF(AND($B$170=1,$B$66&gt;0,OR($B$175=0,522&lt;=$B$175)),$B$66,IF($B$172-MAX(522-1,$B$174)&gt;0,IF(B922=0,0,IF(C922=0,B922/($B$172-MAX(522-1,$B$174)),B922*(C922/12)/(1-(1+C922/12)^(-($B$172-MAX(522-1,$B$174)))))),"")),D921))))),IF(IF(AND(522&lt;=$B$174,522&lt;=$B$173),B922*C922/12,IF(AND(522=$B$173+1,AND(522&gt;$B$173,$B$78="Refinance",ISNUMBER($B$80),$B$80&gt;=0,$B$80&lt;=1,ROUND($B$81*12,0)&gt;=1,$B$81&lt;=100,SUM($B$82)&gt;=0,SUM($B$82)&lt;=1,SUM($B$83)&gt;=0)),IF(B922=0,0,IF(C922=0,B922/ROUND($B$81*12,0),B922*(C922/12)/(1-(1+C922/12)^(-ROUND($B$81*12,0))))),IF(AND(NOT(AND(522&gt;$B$173,$B$78="Refinance",ISNUMBER($B$80),$B$80&gt;=0,$B$80&lt;=1,ROUND($B$81*12,0)&gt;=1,$B$81&lt;=100,SUM($B$82)&gt;=0,SUM($B$82)&lt;=1,SUM($B$83)&gt;=0)),OR(522=1,522=$B$174+1,AND($B$175&gt;0,522=$B$175+1))),IF(AND($B$170=1,$B$66&gt;0,OR($B$175=0,522&lt;=$B$175)),$B$66,IF($B$172-MAX(522-1,$B$174)&gt;0,IF(B922=0,0,IF(C922=0,B922/($B$172-MAX(522-1,$B$174)),B922*(C922/12)/(1-(1+C922/12)^(-($B$172-MAX(522-1,$B$174)))))),"")),D921)))+0.0000001&gt;=B922*C922/12,MIN(B922*(1+C922/12),IF(AND(522&lt;=$B$174,522&lt;=$B$173),B922*C922/12,IF(AND(522=$B$173+1,AND(522&gt;$B$173,$B$78="Refinance",ISNUMBER($B$80),$B$80&gt;=0,$B$80&lt;=1,ROUND($B$81*12,0)&gt;=1,$B$81&lt;=100,SUM($B$82)&gt;=0,SUM($B$82)&lt;=1,SUM($B$83)&gt;=0)),IF(B922=0,0,IF(C922=0,B922/ROUND($B$81*12,0),B922*(C922/12)/(1-(1+C922/12)^(-ROUND($B$81*12,0))))),IF(AND(NOT(AND(522&gt;$B$173,$B$78="Refinance",ISNUMBER($B$80),$B$80&gt;=0,$B$80&lt;=1,ROUND($B$81*12,0)&gt;=1,$B$81&lt;=100,SUM($B$82)&gt;=0,SUM($B$82)&lt;=1,SUM($B$83)&gt;=0)),OR(522=1,522=$B$174+1,AND($B$175&gt;0,522=$B$175+1))),IF(AND($B$170=1,$B$66&gt;0,OR($B$175=0,522&lt;=$B$175)),$B$66,IF($B$172-MAX(522-1,$B$174)&gt;0,IF(B922=0,0,IF(C922=0,B922/($B$172-MAX(522-1,$B$174)),B922*(C922/12)/(1-(1+C922/12)^(-($B$172-MAX(522-1,$B$174)))))),"")),D921)))),""),""))</x:f>
        <x:v>0</x:v>
      </x:c>
      <x:c r="E922" s="440" t="n">
        <x:f>IF(AND(522=$B$173,ISNUMBER(D922)),IF(MAX(0,B922*(1+C922/12)-D922)&lt;MAX(0.0000001,$E$17*0.00000000001),0,MAX(0,B922*(1+C922/12)-D922)),0)</x:f>
        <x:v>0</x:v>
      </x:c>
      <x:c r="F922" s="440" t="n">
        <x:f>IF($B$78="Cash payoff",E922,0)</x:f>
        <x:v>0</x:v>
      </x:c>
      <x:c r="G922" s="440" t="n">
        <x:f>IF(AND(E922&gt;0,AND($B$78="Refinance",ISNUMBER($B$80),$B$80&gt;=0,$B$80&lt;=1,ROUND($B$81*12,0)&gt;=1,$B$81&lt;=100,SUM($B$82)&gt;=0,SUM($B$82)&lt;=1,SUM($B$83)&gt;=0)),E922*SUM($B$82)+SUM($B$83),0)</x:f>
        <x:v>0</x:v>
      </x:c>
      <x:c r="H922" s="440" t="n">
        <x:f>IF(ISNUMBER(D922),IF(MAX(0,B922*(1+C922/12)-D922-F922)&lt;MAX(0.0000001,$E$17*0.00000000001),0,MAX(0,B922*(1+C922/12)-D922-F922)),IF(AND($B$171=1,I921=1),B922,""))</x:f>
        <x:v>0</x:v>
      </x:c>
      <x:c r="I922" s="444" t="n">
        <x:f>IF(OR(I921=1,AND(E922&gt;0,$B$78&lt;&gt;"Cash payoff",NOT(AND($B$78="Refinance",ISNUMBER($B$80),$B$80&gt;=0,$B$80&lt;=1,ROUND($B$81*12,0)&gt;=1,$B$81&lt;=100,SUM($B$82)&gt;=0,SUM($B$82)&lt;=1,SUM($B$83)&gt;=0))),AND(ISNUMBER(B922),B922&gt;0,$B$171=1,NOT(ISNUMBER(D922)))),1,0)</x:f>
        <x:v>0</x:v>
      </x:c>
      <x:c r="J922" s="440" t="n">
        <x:f>IF(ISNUMBER(L921),L921,"")</x:f>
        <x:v>0</x:v>
      </x:c>
      <x:c r="K922" s="440" t="n">
        <x:f>IF(AND(ISNUMBER(J922),J922=0),0,IF(AND($B$176=1,ISNUMBER(J922)),MIN(J922*(1+$B$87/12),IF($B$86=0,0,IF($B$87=0,$B$86/ROUND($B$88*12,0),$B$86*($B$87/12)/(1-(1+$B$87/12)^(-ROUND($B$88*12,0)))))),""))</x:f>
        <x:v>0</x:v>
      </x:c>
      <x:c r="L922" s="440" t="n">
        <x:f>IF(ISNUMBER(K922),IF(MAX(0,J922*(1+SUM($B$87)/12)-K922)&lt;MAX(0.0000001,$B$86*0.00000000001),0,MAX(0,J922*(1+SUM($B$87)/12)-K922)),"")</x:f>
        <x:v>0</x:v>
      </x:c>
      <x:c r="M922" s="440" t="n">
        <x:f>IF(AND(ISNUMBER(D922),ISNUMBER(K922)),D922+K922,"")</x:f>
        <x:v>0</x:v>
      </x:c>
      <x:c r="N922" s="440" t="n">
        <x:f>IF(AND(ISNUMBER(H922),ISNUMBER(L922)),H922+L922,"")</x:f>
        <x:v>0</x:v>
      </x:c>
    </x:row>
    <x:row r="923" ht="22" customHeight="1">
      <x:c r="A923" s="254" t="n">
        <x:f>523</x:f>
        <x:v>523</x:v>
      </x:c>
      <x:c r="B923" s="440" t="n">
        <x:f>IF(ISNUMBER(H922),H922,"")</x:f>
        <x:v>0</x:v>
      </x:c>
      <x:c r="C923" s="442" t="n">
        <x:f>IF(ISNUMBER(B923),IF(AND(523&gt;$B$173,$B$78="Refinance",ISNUMBER($B$80),$B$80&gt;=0,$B$80&lt;=1,ROUND($B$81*12,0)&gt;=1,$B$81&lt;=100,SUM($B$82)&gt;=0,SUM($B$82)&lt;=1,SUM($B$83)&gt;=0),$B$80,IF(AND($B$175&gt;0,523&gt;$B$175,ISNUMBER($B$75)),$B$75,$B$61)),"")</x:f>
        <x:v>0.0625</x:v>
      </x:c>
      <x:c r="D923" s="440" t="n">
        <x:f>IF(AND(ISNUMBER(B923),B923=0),0,IF(AND($B$171=1,I922=0,ISNUMBER(C923),ISNUMBER(IF(AND(523&lt;=$B$174,523&lt;=$B$173),B923*C923/12,IF(AND(523=$B$173+1,AND(523&gt;$B$173,$B$78="Refinance",ISNUMBER($B$80),$B$80&gt;=0,$B$80&lt;=1,ROUND($B$81*12,0)&gt;=1,$B$81&lt;=100,SUM($B$82)&gt;=0,SUM($B$82)&lt;=1,SUM($B$83)&gt;=0)),IF(B923=0,0,IF(C923=0,B923/ROUND($B$81*12,0),B923*(C923/12)/(1-(1+C923/12)^(-ROUND($B$81*12,0))))),IF(AND(NOT(AND(523&gt;$B$173,$B$78="Refinance",ISNUMBER($B$80),$B$80&gt;=0,$B$80&lt;=1,ROUND($B$81*12,0)&gt;=1,$B$81&lt;=100,SUM($B$82)&gt;=0,SUM($B$82)&lt;=1,SUM($B$83)&gt;=0)),OR(523=1,523=$B$174+1,AND($B$175&gt;0,523=$B$175+1))),IF(AND($B$170=1,$B$66&gt;0,OR($B$175=0,523&lt;=$B$175)),$B$66,IF($B$172-MAX(523-1,$B$174)&gt;0,IF(B923=0,0,IF(C923=0,B923/($B$172-MAX(523-1,$B$174)),B923*(C923/12)/(1-(1+C923/12)^(-($B$172-MAX(523-1,$B$174)))))),"")),D922))))),IF(IF(AND(523&lt;=$B$174,523&lt;=$B$173),B923*C923/12,IF(AND(523=$B$173+1,AND(523&gt;$B$173,$B$78="Refinance",ISNUMBER($B$80),$B$80&gt;=0,$B$80&lt;=1,ROUND($B$81*12,0)&gt;=1,$B$81&lt;=100,SUM($B$82)&gt;=0,SUM($B$82)&lt;=1,SUM($B$83)&gt;=0)),IF(B923=0,0,IF(C923=0,B923/ROUND($B$81*12,0),B923*(C923/12)/(1-(1+C923/12)^(-ROUND($B$81*12,0))))),IF(AND(NOT(AND(523&gt;$B$173,$B$78="Refinance",ISNUMBER($B$80),$B$80&gt;=0,$B$80&lt;=1,ROUND($B$81*12,0)&gt;=1,$B$81&lt;=100,SUM($B$82)&gt;=0,SUM($B$82)&lt;=1,SUM($B$83)&gt;=0)),OR(523=1,523=$B$174+1,AND($B$175&gt;0,523=$B$175+1))),IF(AND($B$170=1,$B$66&gt;0,OR($B$175=0,523&lt;=$B$175)),$B$66,IF($B$172-MAX(523-1,$B$174)&gt;0,IF(B923=0,0,IF(C923=0,B923/($B$172-MAX(523-1,$B$174)),B923*(C923/12)/(1-(1+C923/12)^(-($B$172-MAX(523-1,$B$174)))))),"")),D922)))+0.0000001&gt;=B923*C923/12,MIN(B923*(1+C923/12),IF(AND(523&lt;=$B$174,523&lt;=$B$173),B923*C923/12,IF(AND(523=$B$173+1,AND(523&gt;$B$173,$B$78="Refinance",ISNUMBER($B$80),$B$80&gt;=0,$B$80&lt;=1,ROUND($B$81*12,0)&gt;=1,$B$81&lt;=100,SUM($B$82)&gt;=0,SUM($B$82)&lt;=1,SUM($B$83)&gt;=0)),IF(B923=0,0,IF(C923=0,B923/ROUND($B$81*12,0),B923*(C923/12)/(1-(1+C923/12)^(-ROUND($B$81*12,0))))),IF(AND(NOT(AND(523&gt;$B$173,$B$78="Refinance",ISNUMBER($B$80),$B$80&gt;=0,$B$80&lt;=1,ROUND($B$81*12,0)&gt;=1,$B$81&lt;=100,SUM($B$82)&gt;=0,SUM($B$82)&lt;=1,SUM($B$83)&gt;=0)),OR(523=1,523=$B$174+1,AND($B$175&gt;0,523=$B$175+1))),IF(AND($B$170=1,$B$66&gt;0,OR($B$175=0,523&lt;=$B$175)),$B$66,IF($B$172-MAX(523-1,$B$174)&gt;0,IF(B923=0,0,IF(C923=0,B923/($B$172-MAX(523-1,$B$174)),B923*(C923/12)/(1-(1+C923/12)^(-($B$172-MAX(523-1,$B$174)))))),"")),D922)))),""),""))</x:f>
        <x:v>0</x:v>
      </x:c>
      <x:c r="E923" s="440" t="n">
        <x:f>IF(AND(523=$B$173,ISNUMBER(D923)),IF(MAX(0,B923*(1+C923/12)-D923)&lt;MAX(0.0000001,$E$17*0.00000000001),0,MAX(0,B923*(1+C923/12)-D923)),0)</x:f>
        <x:v>0</x:v>
      </x:c>
      <x:c r="F923" s="440" t="n">
        <x:f>IF($B$78="Cash payoff",E923,0)</x:f>
        <x:v>0</x:v>
      </x:c>
      <x:c r="G923" s="440" t="n">
        <x:f>IF(AND(E923&gt;0,AND($B$78="Refinance",ISNUMBER($B$80),$B$80&gt;=0,$B$80&lt;=1,ROUND($B$81*12,0)&gt;=1,$B$81&lt;=100,SUM($B$82)&gt;=0,SUM($B$82)&lt;=1,SUM($B$83)&gt;=0)),E923*SUM($B$82)+SUM($B$83),0)</x:f>
        <x:v>0</x:v>
      </x:c>
      <x:c r="H923" s="440" t="n">
        <x:f>IF(ISNUMBER(D923),IF(MAX(0,B923*(1+C923/12)-D923-F923)&lt;MAX(0.0000001,$E$17*0.00000000001),0,MAX(0,B923*(1+C923/12)-D923-F923)),IF(AND($B$171=1,I922=1),B923,""))</x:f>
        <x:v>0</x:v>
      </x:c>
      <x:c r="I923" s="444" t="n">
        <x:f>IF(OR(I922=1,AND(E923&gt;0,$B$78&lt;&gt;"Cash payoff",NOT(AND($B$78="Refinance",ISNUMBER($B$80),$B$80&gt;=0,$B$80&lt;=1,ROUND($B$81*12,0)&gt;=1,$B$81&lt;=100,SUM($B$82)&gt;=0,SUM($B$82)&lt;=1,SUM($B$83)&gt;=0))),AND(ISNUMBER(B923),B923&gt;0,$B$171=1,NOT(ISNUMBER(D923)))),1,0)</x:f>
        <x:v>0</x:v>
      </x:c>
      <x:c r="J923" s="440" t="n">
        <x:f>IF(ISNUMBER(L922),L922,"")</x:f>
        <x:v>0</x:v>
      </x:c>
      <x:c r="K923" s="440" t="n">
        <x:f>IF(AND(ISNUMBER(J923),J923=0),0,IF(AND($B$176=1,ISNUMBER(J923)),MIN(J923*(1+$B$87/12),IF($B$86=0,0,IF($B$87=0,$B$86/ROUND($B$88*12,0),$B$86*($B$87/12)/(1-(1+$B$87/12)^(-ROUND($B$88*12,0)))))),""))</x:f>
        <x:v>0</x:v>
      </x:c>
      <x:c r="L923" s="440" t="n">
        <x:f>IF(ISNUMBER(K923),IF(MAX(0,J923*(1+SUM($B$87)/12)-K923)&lt;MAX(0.0000001,$B$86*0.00000000001),0,MAX(0,J923*(1+SUM($B$87)/12)-K923)),"")</x:f>
        <x:v>0</x:v>
      </x:c>
      <x:c r="M923" s="440" t="n">
        <x:f>IF(AND(ISNUMBER(D923),ISNUMBER(K923)),D923+K923,"")</x:f>
        <x:v>0</x:v>
      </x:c>
      <x:c r="N923" s="440" t="n">
        <x:f>IF(AND(ISNUMBER(H923),ISNUMBER(L923)),H923+L923,"")</x:f>
        <x:v>0</x:v>
      </x:c>
    </x:row>
    <x:row r="924" ht="22" customHeight="1">
      <x:c r="A924" s="254" t="n">
        <x:f>524</x:f>
        <x:v>524</x:v>
      </x:c>
      <x:c r="B924" s="440" t="n">
        <x:f>IF(ISNUMBER(H923),H923,"")</x:f>
        <x:v>0</x:v>
      </x:c>
      <x:c r="C924" s="442" t="n">
        <x:f>IF(ISNUMBER(B924),IF(AND(524&gt;$B$173,$B$78="Refinance",ISNUMBER($B$80),$B$80&gt;=0,$B$80&lt;=1,ROUND($B$81*12,0)&gt;=1,$B$81&lt;=100,SUM($B$82)&gt;=0,SUM($B$82)&lt;=1,SUM($B$83)&gt;=0),$B$80,IF(AND($B$175&gt;0,524&gt;$B$175,ISNUMBER($B$75)),$B$75,$B$61)),"")</x:f>
        <x:v>0.0625</x:v>
      </x:c>
      <x:c r="D924" s="440" t="n">
        <x:f>IF(AND(ISNUMBER(B924),B924=0),0,IF(AND($B$171=1,I923=0,ISNUMBER(C924),ISNUMBER(IF(AND(524&lt;=$B$174,524&lt;=$B$173),B924*C924/12,IF(AND(524=$B$173+1,AND(524&gt;$B$173,$B$78="Refinance",ISNUMBER($B$80),$B$80&gt;=0,$B$80&lt;=1,ROUND($B$81*12,0)&gt;=1,$B$81&lt;=100,SUM($B$82)&gt;=0,SUM($B$82)&lt;=1,SUM($B$83)&gt;=0)),IF(B924=0,0,IF(C924=0,B924/ROUND($B$81*12,0),B924*(C924/12)/(1-(1+C924/12)^(-ROUND($B$81*12,0))))),IF(AND(NOT(AND(524&gt;$B$173,$B$78="Refinance",ISNUMBER($B$80),$B$80&gt;=0,$B$80&lt;=1,ROUND($B$81*12,0)&gt;=1,$B$81&lt;=100,SUM($B$82)&gt;=0,SUM($B$82)&lt;=1,SUM($B$83)&gt;=0)),OR(524=1,524=$B$174+1,AND($B$175&gt;0,524=$B$175+1))),IF(AND($B$170=1,$B$66&gt;0,OR($B$175=0,524&lt;=$B$175)),$B$66,IF($B$172-MAX(524-1,$B$174)&gt;0,IF(B924=0,0,IF(C924=0,B924/($B$172-MAX(524-1,$B$174)),B924*(C924/12)/(1-(1+C924/12)^(-($B$172-MAX(524-1,$B$174)))))),"")),D923))))),IF(IF(AND(524&lt;=$B$174,524&lt;=$B$173),B924*C924/12,IF(AND(524=$B$173+1,AND(524&gt;$B$173,$B$78="Refinance",ISNUMBER($B$80),$B$80&gt;=0,$B$80&lt;=1,ROUND($B$81*12,0)&gt;=1,$B$81&lt;=100,SUM($B$82)&gt;=0,SUM($B$82)&lt;=1,SUM($B$83)&gt;=0)),IF(B924=0,0,IF(C924=0,B924/ROUND($B$81*12,0),B924*(C924/12)/(1-(1+C924/12)^(-ROUND($B$81*12,0))))),IF(AND(NOT(AND(524&gt;$B$173,$B$78="Refinance",ISNUMBER($B$80),$B$80&gt;=0,$B$80&lt;=1,ROUND($B$81*12,0)&gt;=1,$B$81&lt;=100,SUM($B$82)&gt;=0,SUM($B$82)&lt;=1,SUM($B$83)&gt;=0)),OR(524=1,524=$B$174+1,AND($B$175&gt;0,524=$B$175+1))),IF(AND($B$170=1,$B$66&gt;0,OR($B$175=0,524&lt;=$B$175)),$B$66,IF($B$172-MAX(524-1,$B$174)&gt;0,IF(B924=0,0,IF(C924=0,B924/($B$172-MAX(524-1,$B$174)),B924*(C924/12)/(1-(1+C924/12)^(-($B$172-MAX(524-1,$B$174)))))),"")),D923)))+0.0000001&gt;=B924*C924/12,MIN(B924*(1+C924/12),IF(AND(524&lt;=$B$174,524&lt;=$B$173),B924*C924/12,IF(AND(524=$B$173+1,AND(524&gt;$B$173,$B$78="Refinance",ISNUMBER($B$80),$B$80&gt;=0,$B$80&lt;=1,ROUND($B$81*12,0)&gt;=1,$B$81&lt;=100,SUM($B$82)&gt;=0,SUM($B$82)&lt;=1,SUM($B$83)&gt;=0)),IF(B924=0,0,IF(C924=0,B924/ROUND($B$81*12,0),B924*(C924/12)/(1-(1+C924/12)^(-ROUND($B$81*12,0))))),IF(AND(NOT(AND(524&gt;$B$173,$B$78="Refinance",ISNUMBER($B$80),$B$80&gt;=0,$B$80&lt;=1,ROUND($B$81*12,0)&gt;=1,$B$81&lt;=100,SUM($B$82)&gt;=0,SUM($B$82)&lt;=1,SUM($B$83)&gt;=0)),OR(524=1,524=$B$174+1,AND($B$175&gt;0,524=$B$175+1))),IF(AND($B$170=1,$B$66&gt;0,OR($B$175=0,524&lt;=$B$175)),$B$66,IF($B$172-MAX(524-1,$B$174)&gt;0,IF(B924=0,0,IF(C924=0,B924/($B$172-MAX(524-1,$B$174)),B924*(C924/12)/(1-(1+C924/12)^(-($B$172-MAX(524-1,$B$174)))))),"")),D923)))),""),""))</x:f>
        <x:v>0</x:v>
      </x:c>
      <x:c r="E924" s="440" t="n">
        <x:f>IF(AND(524=$B$173,ISNUMBER(D924)),IF(MAX(0,B924*(1+C924/12)-D924)&lt;MAX(0.0000001,$E$17*0.00000000001),0,MAX(0,B924*(1+C924/12)-D924)),0)</x:f>
        <x:v>0</x:v>
      </x:c>
      <x:c r="F924" s="440" t="n">
        <x:f>IF($B$78="Cash payoff",E924,0)</x:f>
        <x:v>0</x:v>
      </x:c>
      <x:c r="G924" s="440" t="n">
        <x:f>IF(AND(E924&gt;0,AND($B$78="Refinance",ISNUMBER($B$80),$B$80&gt;=0,$B$80&lt;=1,ROUND($B$81*12,0)&gt;=1,$B$81&lt;=100,SUM($B$82)&gt;=0,SUM($B$82)&lt;=1,SUM($B$83)&gt;=0)),E924*SUM($B$82)+SUM($B$83),0)</x:f>
        <x:v>0</x:v>
      </x:c>
      <x:c r="H924" s="440" t="n">
        <x:f>IF(ISNUMBER(D924),IF(MAX(0,B924*(1+C924/12)-D924-F924)&lt;MAX(0.0000001,$E$17*0.00000000001),0,MAX(0,B924*(1+C924/12)-D924-F924)),IF(AND($B$171=1,I923=1),B924,""))</x:f>
        <x:v>0</x:v>
      </x:c>
      <x:c r="I924" s="444" t="n">
        <x:f>IF(OR(I923=1,AND(E924&gt;0,$B$78&lt;&gt;"Cash payoff",NOT(AND($B$78="Refinance",ISNUMBER($B$80),$B$80&gt;=0,$B$80&lt;=1,ROUND($B$81*12,0)&gt;=1,$B$81&lt;=100,SUM($B$82)&gt;=0,SUM($B$82)&lt;=1,SUM($B$83)&gt;=0))),AND(ISNUMBER(B924),B924&gt;0,$B$171=1,NOT(ISNUMBER(D924)))),1,0)</x:f>
        <x:v>0</x:v>
      </x:c>
      <x:c r="J924" s="440" t="n">
        <x:f>IF(ISNUMBER(L923),L923,"")</x:f>
        <x:v>0</x:v>
      </x:c>
      <x:c r="K924" s="440" t="n">
        <x:f>IF(AND(ISNUMBER(J924),J924=0),0,IF(AND($B$176=1,ISNUMBER(J924)),MIN(J924*(1+$B$87/12),IF($B$86=0,0,IF($B$87=0,$B$86/ROUND($B$88*12,0),$B$86*($B$87/12)/(1-(1+$B$87/12)^(-ROUND($B$88*12,0)))))),""))</x:f>
        <x:v>0</x:v>
      </x:c>
      <x:c r="L924" s="440" t="n">
        <x:f>IF(ISNUMBER(K924),IF(MAX(0,J924*(1+SUM($B$87)/12)-K924)&lt;MAX(0.0000001,$B$86*0.00000000001),0,MAX(0,J924*(1+SUM($B$87)/12)-K924)),"")</x:f>
        <x:v>0</x:v>
      </x:c>
      <x:c r="M924" s="440" t="n">
        <x:f>IF(AND(ISNUMBER(D924),ISNUMBER(K924)),D924+K924,"")</x:f>
        <x:v>0</x:v>
      </x:c>
      <x:c r="N924" s="440" t="n">
        <x:f>IF(AND(ISNUMBER(H924),ISNUMBER(L924)),H924+L924,"")</x:f>
        <x:v>0</x:v>
      </x:c>
    </x:row>
    <x:row r="925" ht="22" customHeight="1">
      <x:c r="A925" s="254" t="n">
        <x:f>525</x:f>
        <x:v>525</x:v>
      </x:c>
      <x:c r="B925" s="440" t="n">
        <x:f>IF(ISNUMBER(H924),H924,"")</x:f>
        <x:v>0</x:v>
      </x:c>
      <x:c r="C925" s="442" t="n">
        <x:f>IF(ISNUMBER(B925),IF(AND(525&gt;$B$173,$B$78="Refinance",ISNUMBER($B$80),$B$80&gt;=0,$B$80&lt;=1,ROUND($B$81*12,0)&gt;=1,$B$81&lt;=100,SUM($B$82)&gt;=0,SUM($B$82)&lt;=1,SUM($B$83)&gt;=0),$B$80,IF(AND($B$175&gt;0,525&gt;$B$175,ISNUMBER($B$75)),$B$75,$B$61)),"")</x:f>
        <x:v>0.0625</x:v>
      </x:c>
      <x:c r="D925" s="440" t="n">
        <x:f>IF(AND(ISNUMBER(B925),B925=0),0,IF(AND($B$171=1,I924=0,ISNUMBER(C925),ISNUMBER(IF(AND(525&lt;=$B$174,525&lt;=$B$173),B925*C925/12,IF(AND(525=$B$173+1,AND(525&gt;$B$173,$B$78="Refinance",ISNUMBER($B$80),$B$80&gt;=0,$B$80&lt;=1,ROUND($B$81*12,0)&gt;=1,$B$81&lt;=100,SUM($B$82)&gt;=0,SUM($B$82)&lt;=1,SUM($B$83)&gt;=0)),IF(B925=0,0,IF(C925=0,B925/ROUND($B$81*12,0),B925*(C925/12)/(1-(1+C925/12)^(-ROUND($B$81*12,0))))),IF(AND(NOT(AND(525&gt;$B$173,$B$78="Refinance",ISNUMBER($B$80),$B$80&gt;=0,$B$80&lt;=1,ROUND($B$81*12,0)&gt;=1,$B$81&lt;=100,SUM($B$82)&gt;=0,SUM($B$82)&lt;=1,SUM($B$83)&gt;=0)),OR(525=1,525=$B$174+1,AND($B$175&gt;0,525=$B$175+1))),IF(AND($B$170=1,$B$66&gt;0,OR($B$175=0,525&lt;=$B$175)),$B$66,IF($B$172-MAX(525-1,$B$174)&gt;0,IF(B925=0,0,IF(C925=0,B925/($B$172-MAX(525-1,$B$174)),B925*(C925/12)/(1-(1+C925/12)^(-($B$172-MAX(525-1,$B$174)))))),"")),D924))))),IF(IF(AND(525&lt;=$B$174,525&lt;=$B$173),B925*C925/12,IF(AND(525=$B$173+1,AND(525&gt;$B$173,$B$78="Refinance",ISNUMBER($B$80),$B$80&gt;=0,$B$80&lt;=1,ROUND($B$81*12,0)&gt;=1,$B$81&lt;=100,SUM($B$82)&gt;=0,SUM($B$82)&lt;=1,SUM($B$83)&gt;=0)),IF(B925=0,0,IF(C925=0,B925/ROUND($B$81*12,0),B925*(C925/12)/(1-(1+C925/12)^(-ROUND($B$81*12,0))))),IF(AND(NOT(AND(525&gt;$B$173,$B$78="Refinance",ISNUMBER($B$80),$B$80&gt;=0,$B$80&lt;=1,ROUND($B$81*12,0)&gt;=1,$B$81&lt;=100,SUM($B$82)&gt;=0,SUM($B$82)&lt;=1,SUM($B$83)&gt;=0)),OR(525=1,525=$B$174+1,AND($B$175&gt;0,525=$B$175+1))),IF(AND($B$170=1,$B$66&gt;0,OR($B$175=0,525&lt;=$B$175)),$B$66,IF($B$172-MAX(525-1,$B$174)&gt;0,IF(B925=0,0,IF(C925=0,B925/($B$172-MAX(525-1,$B$174)),B925*(C925/12)/(1-(1+C925/12)^(-($B$172-MAX(525-1,$B$174)))))),"")),D924)))+0.0000001&gt;=B925*C925/12,MIN(B925*(1+C925/12),IF(AND(525&lt;=$B$174,525&lt;=$B$173),B925*C925/12,IF(AND(525=$B$173+1,AND(525&gt;$B$173,$B$78="Refinance",ISNUMBER($B$80),$B$80&gt;=0,$B$80&lt;=1,ROUND($B$81*12,0)&gt;=1,$B$81&lt;=100,SUM($B$82)&gt;=0,SUM($B$82)&lt;=1,SUM($B$83)&gt;=0)),IF(B925=0,0,IF(C925=0,B925/ROUND($B$81*12,0),B925*(C925/12)/(1-(1+C925/12)^(-ROUND($B$81*12,0))))),IF(AND(NOT(AND(525&gt;$B$173,$B$78="Refinance",ISNUMBER($B$80),$B$80&gt;=0,$B$80&lt;=1,ROUND($B$81*12,0)&gt;=1,$B$81&lt;=100,SUM($B$82)&gt;=0,SUM($B$82)&lt;=1,SUM($B$83)&gt;=0)),OR(525=1,525=$B$174+1,AND($B$175&gt;0,525=$B$175+1))),IF(AND($B$170=1,$B$66&gt;0,OR($B$175=0,525&lt;=$B$175)),$B$66,IF($B$172-MAX(525-1,$B$174)&gt;0,IF(B925=0,0,IF(C925=0,B925/($B$172-MAX(525-1,$B$174)),B925*(C925/12)/(1-(1+C925/12)^(-($B$172-MAX(525-1,$B$174)))))),"")),D924)))),""),""))</x:f>
        <x:v>0</x:v>
      </x:c>
      <x:c r="E925" s="440" t="n">
        <x:f>IF(AND(525=$B$173,ISNUMBER(D925)),IF(MAX(0,B925*(1+C925/12)-D925)&lt;MAX(0.0000001,$E$17*0.00000000001),0,MAX(0,B925*(1+C925/12)-D925)),0)</x:f>
        <x:v>0</x:v>
      </x:c>
      <x:c r="F925" s="440" t="n">
        <x:f>IF($B$78="Cash payoff",E925,0)</x:f>
        <x:v>0</x:v>
      </x:c>
      <x:c r="G925" s="440" t="n">
        <x:f>IF(AND(E925&gt;0,AND($B$78="Refinance",ISNUMBER($B$80),$B$80&gt;=0,$B$80&lt;=1,ROUND($B$81*12,0)&gt;=1,$B$81&lt;=100,SUM($B$82)&gt;=0,SUM($B$82)&lt;=1,SUM($B$83)&gt;=0)),E925*SUM($B$82)+SUM($B$83),0)</x:f>
        <x:v>0</x:v>
      </x:c>
      <x:c r="H925" s="440" t="n">
        <x:f>IF(ISNUMBER(D925),IF(MAX(0,B925*(1+C925/12)-D925-F925)&lt;MAX(0.0000001,$E$17*0.00000000001),0,MAX(0,B925*(1+C925/12)-D925-F925)),IF(AND($B$171=1,I924=1),B925,""))</x:f>
        <x:v>0</x:v>
      </x:c>
      <x:c r="I925" s="444" t="n">
        <x:f>IF(OR(I924=1,AND(E925&gt;0,$B$78&lt;&gt;"Cash payoff",NOT(AND($B$78="Refinance",ISNUMBER($B$80),$B$80&gt;=0,$B$80&lt;=1,ROUND($B$81*12,0)&gt;=1,$B$81&lt;=100,SUM($B$82)&gt;=0,SUM($B$82)&lt;=1,SUM($B$83)&gt;=0))),AND(ISNUMBER(B925),B925&gt;0,$B$171=1,NOT(ISNUMBER(D925)))),1,0)</x:f>
        <x:v>0</x:v>
      </x:c>
      <x:c r="J925" s="440" t="n">
        <x:f>IF(ISNUMBER(L924),L924,"")</x:f>
        <x:v>0</x:v>
      </x:c>
      <x:c r="K925" s="440" t="n">
        <x:f>IF(AND(ISNUMBER(J925),J925=0),0,IF(AND($B$176=1,ISNUMBER(J925)),MIN(J925*(1+$B$87/12),IF($B$86=0,0,IF($B$87=0,$B$86/ROUND($B$88*12,0),$B$86*($B$87/12)/(1-(1+$B$87/12)^(-ROUND($B$88*12,0)))))),""))</x:f>
        <x:v>0</x:v>
      </x:c>
      <x:c r="L925" s="440" t="n">
        <x:f>IF(ISNUMBER(K925),IF(MAX(0,J925*(1+SUM($B$87)/12)-K925)&lt;MAX(0.0000001,$B$86*0.00000000001),0,MAX(0,J925*(1+SUM($B$87)/12)-K925)),"")</x:f>
        <x:v>0</x:v>
      </x:c>
      <x:c r="M925" s="440" t="n">
        <x:f>IF(AND(ISNUMBER(D925),ISNUMBER(K925)),D925+K925,"")</x:f>
        <x:v>0</x:v>
      </x:c>
      <x:c r="N925" s="440" t="n">
        <x:f>IF(AND(ISNUMBER(H925),ISNUMBER(L925)),H925+L925,"")</x:f>
        <x:v>0</x:v>
      </x:c>
    </x:row>
    <x:row r="926" ht="22" customHeight="1">
      <x:c r="A926" s="254" t="n">
        <x:f>526</x:f>
        <x:v>526</x:v>
      </x:c>
      <x:c r="B926" s="440" t="n">
        <x:f>IF(ISNUMBER(H925),H925,"")</x:f>
        <x:v>0</x:v>
      </x:c>
      <x:c r="C926" s="442" t="n">
        <x:f>IF(ISNUMBER(B926),IF(AND(526&gt;$B$173,$B$78="Refinance",ISNUMBER($B$80),$B$80&gt;=0,$B$80&lt;=1,ROUND($B$81*12,0)&gt;=1,$B$81&lt;=100,SUM($B$82)&gt;=0,SUM($B$82)&lt;=1,SUM($B$83)&gt;=0),$B$80,IF(AND($B$175&gt;0,526&gt;$B$175,ISNUMBER($B$75)),$B$75,$B$61)),"")</x:f>
        <x:v>0.0625</x:v>
      </x:c>
      <x:c r="D926" s="440" t="n">
        <x:f>IF(AND(ISNUMBER(B926),B926=0),0,IF(AND($B$171=1,I925=0,ISNUMBER(C926),ISNUMBER(IF(AND(526&lt;=$B$174,526&lt;=$B$173),B926*C926/12,IF(AND(526=$B$173+1,AND(526&gt;$B$173,$B$78="Refinance",ISNUMBER($B$80),$B$80&gt;=0,$B$80&lt;=1,ROUND($B$81*12,0)&gt;=1,$B$81&lt;=100,SUM($B$82)&gt;=0,SUM($B$82)&lt;=1,SUM($B$83)&gt;=0)),IF(B926=0,0,IF(C926=0,B926/ROUND($B$81*12,0),B926*(C926/12)/(1-(1+C926/12)^(-ROUND($B$81*12,0))))),IF(AND(NOT(AND(526&gt;$B$173,$B$78="Refinance",ISNUMBER($B$80),$B$80&gt;=0,$B$80&lt;=1,ROUND($B$81*12,0)&gt;=1,$B$81&lt;=100,SUM($B$82)&gt;=0,SUM($B$82)&lt;=1,SUM($B$83)&gt;=0)),OR(526=1,526=$B$174+1,AND($B$175&gt;0,526=$B$175+1))),IF(AND($B$170=1,$B$66&gt;0,OR($B$175=0,526&lt;=$B$175)),$B$66,IF($B$172-MAX(526-1,$B$174)&gt;0,IF(B926=0,0,IF(C926=0,B926/($B$172-MAX(526-1,$B$174)),B926*(C926/12)/(1-(1+C926/12)^(-($B$172-MAX(526-1,$B$174)))))),"")),D925))))),IF(IF(AND(526&lt;=$B$174,526&lt;=$B$173),B926*C926/12,IF(AND(526=$B$173+1,AND(526&gt;$B$173,$B$78="Refinance",ISNUMBER($B$80),$B$80&gt;=0,$B$80&lt;=1,ROUND($B$81*12,0)&gt;=1,$B$81&lt;=100,SUM($B$82)&gt;=0,SUM($B$82)&lt;=1,SUM($B$83)&gt;=0)),IF(B926=0,0,IF(C926=0,B926/ROUND($B$81*12,0),B926*(C926/12)/(1-(1+C926/12)^(-ROUND($B$81*12,0))))),IF(AND(NOT(AND(526&gt;$B$173,$B$78="Refinance",ISNUMBER($B$80),$B$80&gt;=0,$B$80&lt;=1,ROUND($B$81*12,0)&gt;=1,$B$81&lt;=100,SUM($B$82)&gt;=0,SUM($B$82)&lt;=1,SUM($B$83)&gt;=0)),OR(526=1,526=$B$174+1,AND($B$175&gt;0,526=$B$175+1))),IF(AND($B$170=1,$B$66&gt;0,OR($B$175=0,526&lt;=$B$175)),$B$66,IF($B$172-MAX(526-1,$B$174)&gt;0,IF(B926=0,0,IF(C926=0,B926/($B$172-MAX(526-1,$B$174)),B926*(C926/12)/(1-(1+C926/12)^(-($B$172-MAX(526-1,$B$174)))))),"")),D925)))+0.0000001&gt;=B926*C926/12,MIN(B926*(1+C926/12),IF(AND(526&lt;=$B$174,526&lt;=$B$173),B926*C926/12,IF(AND(526=$B$173+1,AND(526&gt;$B$173,$B$78="Refinance",ISNUMBER($B$80),$B$80&gt;=0,$B$80&lt;=1,ROUND($B$81*12,0)&gt;=1,$B$81&lt;=100,SUM($B$82)&gt;=0,SUM($B$82)&lt;=1,SUM($B$83)&gt;=0)),IF(B926=0,0,IF(C926=0,B926/ROUND($B$81*12,0),B926*(C926/12)/(1-(1+C926/12)^(-ROUND($B$81*12,0))))),IF(AND(NOT(AND(526&gt;$B$173,$B$78="Refinance",ISNUMBER($B$80),$B$80&gt;=0,$B$80&lt;=1,ROUND($B$81*12,0)&gt;=1,$B$81&lt;=100,SUM($B$82)&gt;=0,SUM($B$82)&lt;=1,SUM($B$83)&gt;=0)),OR(526=1,526=$B$174+1,AND($B$175&gt;0,526=$B$175+1))),IF(AND($B$170=1,$B$66&gt;0,OR($B$175=0,526&lt;=$B$175)),$B$66,IF($B$172-MAX(526-1,$B$174)&gt;0,IF(B926=0,0,IF(C926=0,B926/($B$172-MAX(526-1,$B$174)),B926*(C926/12)/(1-(1+C926/12)^(-($B$172-MAX(526-1,$B$174)))))),"")),D925)))),""),""))</x:f>
        <x:v>0</x:v>
      </x:c>
      <x:c r="E926" s="440" t="n">
        <x:f>IF(AND(526=$B$173,ISNUMBER(D926)),IF(MAX(0,B926*(1+C926/12)-D926)&lt;MAX(0.0000001,$E$17*0.00000000001),0,MAX(0,B926*(1+C926/12)-D926)),0)</x:f>
        <x:v>0</x:v>
      </x:c>
      <x:c r="F926" s="440" t="n">
        <x:f>IF($B$78="Cash payoff",E926,0)</x:f>
        <x:v>0</x:v>
      </x:c>
      <x:c r="G926" s="440" t="n">
        <x:f>IF(AND(E926&gt;0,AND($B$78="Refinance",ISNUMBER($B$80),$B$80&gt;=0,$B$80&lt;=1,ROUND($B$81*12,0)&gt;=1,$B$81&lt;=100,SUM($B$82)&gt;=0,SUM($B$82)&lt;=1,SUM($B$83)&gt;=0)),E926*SUM($B$82)+SUM($B$83),0)</x:f>
        <x:v>0</x:v>
      </x:c>
      <x:c r="H926" s="440" t="n">
        <x:f>IF(ISNUMBER(D926),IF(MAX(0,B926*(1+C926/12)-D926-F926)&lt;MAX(0.0000001,$E$17*0.00000000001),0,MAX(0,B926*(1+C926/12)-D926-F926)),IF(AND($B$171=1,I925=1),B926,""))</x:f>
        <x:v>0</x:v>
      </x:c>
      <x:c r="I926" s="444" t="n">
        <x:f>IF(OR(I925=1,AND(E926&gt;0,$B$78&lt;&gt;"Cash payoff",NOT(AND($B$78="Refinance",ISNUMBER($B$80),$B$80&gt;=0,$B$80&lt;=1,ROUND($B$81*12,0)&gt;=1,$B$81&lt;=100,SUM($B$82)&gt;=0,SUM($B$82)&lt;=1,SUM($B$83)&gt;=0))),AND(ISNUMBER(B926),B926&gt;0,$B$171=1,NOT(ISNUMBER(D926)))),1,0)</x:f>
        <x:v>0</x:v>
      </x:c>
      <x:c r="J926" s="440" t="n">
        <x:f>IF(ISNUMBER(L925),L925,"")</x:f>
        <x:v>0</x:v>
      </x:c>
      <x:c r="K926" s="440" t="n">
        <x:f>IF(AND(ISNUMBER(J926),J926=0),0,IF(AND($B$176=1,ISNUMBER(J926)),MIN(J926*(1+$B$87/12),IF($B$86=0,0,IF($B$87=0,$B$86/ROUND($B$88*12,0),$B$86*($B$87/12)/(1-(1+$B$87/12)^(-ROUND($B$88*12,0)))))),""))</x:f>
        <x:v>0</x:v>
      </x:c>
      <x:c r="L926" s="440" t="n">
        <x:f>IF(ISNUMBER(K926),IF(MAX(0,J926*(1+SUM($B$87)/12)-K926)&lt;MAX(0.0000001,$B$86*0.00000000001),0,MAX(0,J926*(1+SUM($B$87)/12)-K926)),"")</x:f>
        <x:v>0</x:v>
      </x:c>
      <x:c r="M926" s="440" t="n">
        <x:f>IF(AND(ISNUMBER(D926),ISNUMBER(K926)),D926+K926,"")</x:f>
        <x:v>0</x:v>
      </x:c>
      <x:c r="N926" s="440" t="n">
        <x:f>IF(AND(ISNUMBER(H926),ISNUMBER(L926)),H926+L926,"")</x:f>
        <x:v>0</x:v>
      </x:c>
    </x:row>
    <x:row r="927" ht="22" customHeight="1">
      <x:c r="A927" s="254" t="n">
        <x:f>527</x:f>
        <x:v>527</x:v>
      </x:c>
      <x:c r="B927" s="440" t="n">
        <x:f>IF(ISNUMBER(H926),H926,"")</x:f>
        <x:v>0</x:v>
      </x:c>
      <x:c r="C927" s="442" t="n">
        <x:f>IF(ISNUMBER(B927),IF(AND(527&gt;$B$173,$B$78="Refinance",ISNUMBER($B$80),$B$80&gt;=0,$B$80&lt;=1,ROUND($B$81*12,0)&gt;=1,$B$81&lt;=100,SUM($B$82)&gt;=0,SUM($B$82)&lt;=1,SUM($B$83)&gt;=0),$B$80,IF(AND($B$175&gt;0,527&gt;$B$175,ISNUMBER($B$75)),$B$75,$B$61)),"")</x:f>
        <x:v>0.0625</x:v>
      </x:c>
      <x:c r="D927" s="440" t="n">
        <x:f>IF(AND(ISNUMBER(B927),B927=0),0,IF(AND($B$171=1,I926=0,ISNUMBER(C927),ISNUMBER(IF(AND(527&lt;=$B$174,527&lt;=$B$173),B927*C927/12,IF(AND(527=$B$173+1,AND(527&gt;$B$173,$B$78="Refinance",ISNUMBER($B$80),$B$80&gt;=0,$B$80&lt;=1,ROUND($B$81*12,0)&gt;=1,$B$81&lt;=100,SUM($B$82)&gt;=0,SUM($B$82)&lt;=1,SUM($B$83)&gt;=0)),IF(B927=0,0,IF(C927=0,B927/ROUND($B$81*12,0),B927*(C927/12)/(1-(1+C927/12)^(-ROUND($B$81*12,0))))),IF(AND(NOT(AND(527&gt;$B$173,$B$78="Refinance",ISNUMBER($B$80),$B$80&gt;=0,$B$80&lt;=1,ROUND($B$81*12,0)&gt;=1,$B$81&lt;=100,SUM($B$82)&gt;=0,SUM($B$82)&lt;=1,SUM($B$83)&gt;=0)),OR(527=1,527=$B$174+1,AND($B$175&gt;0,527=$B$175+1))),IF(AND($B$170=1,$B$66&gt;0,OR($B$175=0,527&lt;=$B$175)),$B$66,IF($B$172-MAX(527-1,$B$174)&gt;0,IF(B927=0,0,IF(C927=0,B927/($B$172-MAX(527-1,$B$174)),B927*(C927/12)/(1-(1+C927/12)^(-($B$172-MAX(527-1,$B$174)))))),"")),D926))))),IF(IF(AND(527&lt;=$B$174,527&lt;=$B$173),B927*C927/12,IF(AND(527=$B$173+1,AND(527&gt;$B$173,$B$78="Refinance",ISNUMBER($B$80),$B$80&gt;=0,$B$80&lt;=1,ROUND($B$81*12,0)&gt;=1,$B$81&lt;=100,SUM($B$82)&gt;=0,SUM($B$82)&lt;=1,SUM($B$83)&gt;=0)),IF(B927=0,0,IF(C927=0,B927/ROUND($B$81*12,0),B927*(C927/12)/(1-(1+C927/12)^(-ROUND($B$81*12,0))))),IF(AND(NOT(AND(527&gt;$B$173,$B$78="Refinance",ISNUMBER($B$80),$B$80&gt;=0,$B$80&lt;=1,ROUND($B$81*12,0)&gt;=1,$B$81&lt;=100,SUM($B$82)&gt;=0,SUM($B$82)&lt;=1,SUM($B$83)&gt;=0)),OR(527=1,527=$B$174+1,AND($B$175&gt;0,527=$B$175+1))),IF(AND($B$170=1,$B$66&gt;0,OR($B$175=0,527&lt;=$B$175)),$B$66,IF($B$172-MAX(527-1,$B$174)&gt;0,IF(B927=0,0,IF(C927=0,B927/($B$172-MAX(527-1,$B$174)),B927*(C927/12)/(1-(1+C927/12)^(-($B$172-MAX(527-1,$B$174)))))),"")),D926)))+0.0000001&gt;=B927*C927/12,MIN(B927*(1+C927/12),IF(AND(527&lt;=$B$174,527&lt;=$B$173),B927*C927/12,IF(AND(527=$B$173+1,AND(527&gt;$B$173,$B$78="Refinance",ISNUMBER($B$80),$B$80&gt;=0,$B$80&lt;=1,ROUND($B$81*12,0)&gt;=1,$B$81&lt;=100,SUM($B$82)&gt;=0,SUM($B$82)&lt;=1,SUM($B$83)&gt;=0)),IF(B927=0,0,IF(C927=0,B927/ROUND($B$81*12,0),B927*(C927/12)/(1-(1+C927/12)^(-ROUND($B$81*12,0))))),IF(AND(NOT(AND(527&gt;$B$173,$B$78="Refinance",ISNUMBER($B$80),$B$80&gt;=0,$B$80&lt;=1,ROUND($B$81*12,0)&gt;=1,$B$81&lt;=100,SUM($B$82)&gt;=0,SUM($B$82)&lt;=1,SUM($B$83)&gt;=0)),OR(527=1,527=$B$174+1,AND($B$175&gt;0,527=$B$175+1))),IF(AND($B$170=1,$B$66&gt;0,OR($B$175=0,527&lt;=$B$175)),$B$66,IF($B$172-MAX(527-1,$B$174)&gt;0,IF(B927=0,0,IF(C927=0,B927/($B$172-MAX(527-1,$B$174)),B927*(C927/12)/(1-(1+C927/12)^(-($B$172-MAX(527-1,$B$174)))))),"")),D926)))),""),""))</x:f>
        <x:v>0</x:v>
      </x:c>
      <x:c r="E927" s="440" t="n">
        <x:f>IF(AND(527=$B$173,ISNUMBER(D927)),IF(MAX(0,B927*(1+C927/12)-D927)&lt;MAX(0.0000001,$E$17*0.00000000001),0,MAX(0,B927*(1+C927/12)-D927)),0)</x:f>
        <x:v>0</x:v>
      </x:c>
      <x:c r="F927" s="440" t="n">
        <x:f>IF($B$78="Cash payoff",E927,0)</x:f>
        <x:v>0</x:v>
      </x:c>
      <x:c r="G927" s="440" t="n">
        <x:f>IF(AND(E927&gt;0,AND($B$78="Refinance",ISNUMBER($B$80),$B$80&gt;=0,$B$80&lt;=1,ROUND($B$81*12,0)&gt;=1,$B$81&lt;=100,SUM($B$82)&gt;=0,SUM($B$82)&lt;=1,SUM($B$83)&gt;=0)),E927*SUM($B$82)+SUM($B$83),0)</x:f>
        <x:v>0</x:v>
      </x:c>
      <x:c r="H927" s="440" t="n">
        <x:f>IF(ISNUMBER(D927),IF(MAX(0,B927*(1+C927/12)-D927-F927)&lt;MAX(0.0000001,$E$17*0.00000000001),0,MAX(0,B927*(1+C927/12)-D927-F927)),IF(AND($B$171=1,I926=1),B927,""))</x:f>
        <x:v>0</x:v>
      </x:c>
      <x:c r="I927" s="444" t="n">
        <x:f>IF(OR(I926=1,AND(E927&gt;0,$B$78&lt;&gt;"Cash payoff",NOT(AND($B$78="Refinance",ISNUMBER($B$80),$B$80&gt;=0,$B$80&lt;=1,ROUND($B$81*12,0)&gt;=1,$B$81&lt;=100,SUM($B$82)&gt;=0,SUM($B$82)&lt;=1,SUM($B$83)&gt;=0))),AND(ISNUMBER(B927),B927&gt;0,$B$171=1,NOT(ISNUMBER(D927)))),1,0)</x:f>
        <x:v>0</x:v>
      </x:c>
      <x:c r="J927" s="440" t="n">
        <x:f>IF(ISNUMBER(L926),L926,"")</x:f>
        <x:v>0</x:v>
      </x:c>
      <x:c r="K927" s="440" t="n">
        <x:f>IF(AND(ISNUMBER(J927),J927=0),0,IF(AND($B$176=1,ISNUMBER(J927)),MIN(J927*(1+$B$87/12),IF($B$86=0,0,IF($B$87=0,$B$86/ROUND($B$88*12,0),$B$86*($B$87/12)/(1-(1+$B$87/12)^(-ROUND($B$88*12,0)))))),""))</x:f>
        <x:v>0</x:v>
      </x:c>
      <x:c r="L927" s="440" t="n">
        <x:f>IF(ISNUMBER(K927),IF(MAX(0,J927*(1+SUM($B$87)/12)-K927)&lt;MAX(0.0000001,$B$86*0.00000000001),0,MAX(0,J927*(1+SUM($B$87)/12)-K927)),"")</x:f>
        <x:v>0</x:v>
      </x:c>
      <x:c r="M927" s="440" t="n">
        <x:f>IF(AND(ISNUMBER(D927),ISNUMBER(K927)),D927+K927,"")</x:f>
        <x:v>0</x:v>
      </x:c>
      <x:c r="N927" s="440" t="n">
        <x:f>IF(AND(ISNUMBER(H927),ISNUMBER(L927)),H927+L927,"")</x:f>
        <x:v>0</x:v>
      </x:c>
    </x:row>
    <x:row r="928" ht="22" customHeight="1">
      <x:c r="A928" s="254" t="n">
        <x:f>528</x:f>
        <x:v>528</x:v>
      </x:c>
      <x:c r="B928" s="440" t="n">
        <x:f>IF(ISNUMBER(H927),H927,"")</x:f>
        <x:v>0</x:v>
      </x:c>
      <x:c r="C928" s="442" t="n">
        <x:f>IF(ISNUMBER(B928),IF(AND(528&gt;$B$173,$B$78="Refinance",ISNUMBER($B$80),$B$80&gt;=0,$B$80&lt;=1,ROUND($B$81*12,0)&gt;=1,$B$81&lt;=100,SUM($B$82)&gt;=0,SUM($B$82)&lt;=1,SUM($B$83)&gt;=0),$B$80,IF(AND($B$175&gt;0,528&gt;$B$175,ISNUMBER($B$75)),$B$75,$B$61)),"")</x:f>
        <x:v>0.0625</x:v>
      </x:c>
      <x:c r="D928" s="440" t="n">
        <x:f>IF(AND(ISNUMBER(B928),B928=0),0,IF(AND($B$171=1,I927=0,ISNUMBER(C928),ISNUMBER(IF(AND(528&lt;=$B$174,528&lt;=$B$173),B928*C928/12,IF(AND(528=$B$173+1,AND(528&gt;$B$173,$B$78="Refinance",ISNUMBER($B$80),$B$80&gt;=0,$B$80&lt;=1,ROUND($B$81*12,0)&gt;=1,$B$81&lt;=100,SUM($B$82)&gt;=0,SUM($B$82)&lt;=1,SUM($B$83)&gt;=0)),IF(B928=0,0,IF(C928=0,B928/ROUND($B$81*12,0),B928*(C928/12)/(1-(1+C928/12)^(-ROUND($B$81*12,0))))),IF(AND(NOT(AND(528&gt;$B$173,$B$78="Refinance",ISNUMBER($B$80),$B$80&gt;=0,$B$80&lt;=1,ROUND($B$81*12,0)&gt;=1,$B$81&lt;=100,SUM($B$82)&gt;=0,SUM($B$82)&lt;=1,SUM($B$83)&gt;=0)),OR(528=1,528=$B$174+1,AND($B$175&gt;0,528=$B$175+1))),IF(AND($B$170=1,$B$66&gt;0,OR($B$175=0,528&lt;=$B$175)),$B$66,IF($B$172-MAX(528-1,$B$174)&gt;0,IF(B928=0,0,IF(C928=0,B928/($B$172-MAX(528-1,$B$174)),B928*(C928/12)/(1-(1+C928/12)^(-($B$172-MAX(528-1,$B$174)))))),"")),D927))))),IF(IF(AND(528&lt;=$B$174,528&lt;=$B$173),B928*C928/12,IF(AND(528=$B$173+1,AND(528&gt;$B$173,$B$78="Refinance",ISNUMBER($B$80),$B$80&gt;=0,$B$80&lt;=1,ROUND($B$81*12,0)&gt;=1,$B$81&lt;=100,SUM($B$82)&gt;=0,SUM($B$82)&lt;=1,SUM($B$83)&gt;=0)),IF(B928=0,0,IF(C928=0,B928/ROUND($B$81*12,0),B928*(C928/12)/(1-(1+C928/12)^(-ROUND($B$81*12,0))))),IF(AND(NOT(AND(528&gt;$B$173,$B$78="Refinance",ISNUMBER($B$80),$B$80&gt;=0,$B$80&lt;=1,ROUND($B$81*12,0)&gt;=1,$B$81&lt;=100,SUM($B$82)&gt;=0,SUM($B$82)&lt;=1,SUM($B$83)&gt;=0)),OR(528=1,528=$B$174+1,AND($B$175&gt;0,528=$B$175+1))),IF(AND($B$170=1,$B$66&gt;0,OR($B$175=0,528&lt;=$B$175)),$B$66,IF($B$172-MAX(528-1,$B$174)&gt;0,IF(B928=0,0,IF(C928=0,B928/($B$172-MAX(528-1,$B$174)),B928*(C928/12)/(1-(1+C928/12)^(-($B$172-MAX(528-1,$B$174)))))),"")),D927)))+0.0000001&gt;=B928*C928/12,MIN(B928*(1+C928/12),IF(AND(528&lt;=$B$174,528&lt;=$B$173),B928*C928/12,IF(AND(528=$B$173+1,AND(528&gt;$B$173,$B$78="Refinance",ISNUMBER($B$80),$B$80&gt;=0,$B$80&lt;=1,ROUND($B$81*12,0)&gt;=1,$B$81&lt;=100,SUM($B$82)&gt;=0,SUM($B$82)&lt;=1,SUM($B$83)&gt;=0)),IF(B928=0,0,IF(C928=0,B928/ROUND($B$81*12,0),B928*(C928/12)/(1-(1+C928/12)^(-ROUND($B$81*12,0))))),IF(AND(NOT(AND(528&gt;$B$173,$B$78="Refinance",ISNUMBER($B$80),$B$80&gt;=0,$B$80&lt;=1,ROUND($B$81*12,0)&gt;=1,$B$81&lt;=100,SUM($B$82)&gt;=0,SUM($B$82)&lt;=1,SUM($B$83)&gt;=0)),OR(528=1,528=$B$174+1,AND($B$175&gt;0,528=$B$175+1))),IF(AND($B$170=1,$B$66&gt;0,OR($B$175=0,528&lt;=$B$175)),$B$66,IF($B$172-MAX(528-1,$B$174)&gt;0,IF(B928=0,0,IF(C928=0,B928/($B$172-MAX(528-1,$B$174)),B928*(C928/12)/(1-(1+C928/12)^(-($B$172-MAX(528-1,$B$174)))))),"")),D927)))),""),""))</x:f>
        <x:v>0</x:v>
      </x:c>
      <x:c r="E928" s="440" t="n">
        <x:f>IF(AND(528=$B$173,ISNUMBER(D928)),IF(MAX(0,B928*(1+C928/12)-D928)&lt;MAX(0.0000001,$E$17*0.00000000001),0,MAX(0,B928*(1+C928/12)-D928)),0)</x:f>
        <x:v>0</x:v>
      </x:c>
      <x:c r="F928" s="440" t="n">
        <x:f>IF($B$78="Cash payoff",E928,0)</x:f>
        <x:v>0</x:v>
      </x:c>
      <x:c r="G928" s="440" t="n">
        <x:f>IF(AND(E928&gt;0,AND($B$78="Refinance",ISNUMBER($B$80),$B$80&gt;=0,$B$80&lt;=1,ROUND($B$81*12,0)&gt;=1,$B$81&lt;=100,SUM($B$82)&gt;=0,SUM($B$82)&lt;=1,SUM($B$83)&gt;=0)),E928*SUM($B$82)+SUM($B$83),0)</x:f>
        <x:v>0</x:v>
      </x:c>
      <x:c r="H928" s="440" t="n">
        <x:f>IF(ISNUMBER(D928),IF(MAX(0,B928*(1+C928/12)-D928-F928)&lt;MAX(0.0000001,$E$17*0.00000000001),0,MAX(0,B928*(1+C928/12)-D928-F928)),IF(AND($B$171=1,I927=1),B928,""))</x:f>
        <x:v>0</x:v>
      </x:c>
      <x:c r="I928" s="444" t="n">
        <x:f>IF(OR(I927=1,AND(E928&gt;0,$B$78&lt;&gt;"Cash payoff",NOT(AND($B$78="Refinance",ISNUMBER($B$80),$B$80&gt;=0,$B$80&lt;=1,ROUND($B$81*12,0)&gt;=1,$B$81&lt;=100,SUM($B$82)&gt;=0,SUM($B$82)&lt;=1,SUM($B$83)&gt;=0))),AND(ISNUMBER(B928),B928&gt;0,$B$171=1,NOT(ISNUMBER(D928)))),1,0)</x:f>
        <x:v>0</x:v>
      </x:c>
      <x:c r="J928" s="440" t="n">
        <x:f>IF(ISNUMBER(L927),L927,"")</x:f>
        <x:v>0</x:v>
      </x:c>
      <x:c r="K928" s="440" t="n">
        <x:f>IF(AND(ISNUMBER(J928),J928=0),0,IF(AND($B$176=1,ISNUMBER(J928)),MIN(J928*(1+$B$87/12),IF($B$86=0,0,IF($B$87=0,$B$86/ROUND($B$88*12,0),$B$86*($B$87/12)/(1-(1+$B$87/12)^(-ROUND($B$88*12,0)))))),""))</x:f>
        <x:v>0</x:v>
      </x:c>
      <x:c r="L928" s="440" t="n">
        <x:f>IF(ISNUMBER(K928),IF(MAX(0,J928*(1+SUM($B$87)/12)-K928)&lt;MAX(0.0000001,$B$86*0.00000000001),0,MAX(0,J928*(1+SUM($B$87)/12)-K928)),"")</x:f>
        <x:v>0</x:v>
      </x:c>
      <x:c r="M928" s="440" t="n">
        <x:f>IF(AND(ISNUMBER(D928),ISNUMBER(K928)),D928+K928,"")</x:f>
        <x:v>0</x:v>
      </x:c>
      <x:c r="N928" s="440" t="n">
        <x:f>IF(AND(ISNUMBER(H928),ISNUMBER(L928)),H928+L928,"")</x:f>
        <x:v>0</x:v>
      </x:c>
    </x:row>
    <x:row r="929" ht="22" customHeight="1">
      <x:c r="A929" s="254" t="n">
        <x:f>529</x:f>
        <x:v>529</x:v>
      </x:c>
      <x:c r="B929" s="440" t="n">
        <x:f>IF(ISNUMBER(H928),H928,"")</x:f>
        <x:v>0</x:v>
      </x:c>
      <x:c r="C929" s="442" t="n">
        <x:f>IF(ISNUMBER(B929),IF(AND(529&gt;$B$173,$B$78="Refinance",ISNUMBER($B$80),$B$80&gt;=0,$B$80&lt;=1,ROUND($B$81*12,0)&gt;=1,$B$81&lt;=100,SUM($B$82)&gt;=0,SUM($B$82)&lt;=1,SUM($B$83)&gt;=0),$B$80,IF(AND($B$175&gt;0,529&gt;$B$175,ISNUMBER($B$75)),$B$75,$B$61)),"")</x:f>
        <x:v>0.0625</x:v>
      </x:c>
      <x:c r="D929" s="440" t="n">
        <x:f>IF(AND(ISNUMBER(B929),B929=0),0,IF(AND($B$171=1,I928=0,ISNUMBER(C929),ISNUMBER(IF(AND(529&lt;=$B$174,529&lt;=$B$173),B929*C929/12,IF(AND(529=$B$173+1,AND(529&gt;$B$173,$B$78="Refinance",ISNUMBER($B$80),$B$80&gt;=0,$B$80&lt;=1,ROUND($B$81*12,0)&gt;=1,$B$81&lt;=100,SUM($B$82)&gt;=0,SUM($B$82)&lt;=1,SUM($B$83)&gt;=0)),IF(B929=0,0,IF(C929=0,B929/ROUND($B$81*12,0),B929*(C929/12)/(1-(1+C929/12)^(-ROUND($B$81*12,0))))),IF(AND(NOT(AND(529&gt;$B$173,$B$78="Refinance",ISNUMBER($B$80),$B$80&gt;=0,$B$80&lt;=1,ROUND($B$81*12,0)&gt;=1,$B$81&lt;=100,SUM($B$82)&gt;=0,SUM($B$82)&lt;=1,SUM($B$83)&gt;=0)),OR(529=1,529=$B$174+1,AND($B$175&gt;0,529=$B$175+1))),IF(AND($B$170=1,$B$66&gt;0,OR($B$175=0,529&lt;=$B$175)),$B$66,IF($B$172-MAX(529-1,$B$174)&gt;0,IF(B929=0,0,IF(C929=0,B929/($B$172-MAX(529-1,$B$174)),B929*(C929/12)/(1-(1+C929/12)^(-($B$172-MAX(529-1,$B$174)))))),"")),D928))))),IF(IF(AND(529&lt;=$B$174,529&lt;=$B$173),B929*C929/12,IF(AND(529=$B$173+1,AND(529&gt;$B$173,$B$78="Refinance",ISNUMBER($B$80),$B$80&gt;=0,$B$80&lt;=1,ROUND($B$81*12,0)&gt;=1,$B$81&lt;=100,SUM($B$82)&gt;=0,SUM($B$82)&lt;=1,SUM($B$83)&gt;=0)),IF(B929=0,0,IF(C929=0,B929/ROUND($B$81*12,0),B929*(C929/12)/(1-(1+C929/12)^(-ROUND($B$81*12,0))))),IF(AND(NOT(AND(529&gt;$B$173,$B$78="Refinance",ISNUMBER($B$80),$B$80&gt;=0,$B$80&lt;=1,ROUND($B$81*12,0)&gt;=1,$B$81&lt;=100,SUM($B$82)&gt;=0,SUM($B$82)&lt;=1,SUM($B$83)&gt;=0)),OR(529=1,529=$B$174+1,AND($B$175&gt;0,529=$B$175+1))),IF(AND($B$170=1,$B$66&gt;0,OR($B$175=0,529&lt;=$B$175)),$B$66,IF($B$172-MAX(529-1,$B$174)&gt;0,IF(B929=0,0,IF(C929=0,B929/($B$172-MAX(529-1,$B$174)),B929*(C929/12)/(1-(1+C929/12)^(-($B$172-MAX(529-1,$B$174)))))),"")),D928)))+0.0000001&gt;=B929*C929/12,MIN(B929*(1+C929/12),IF(AND(529&lt;=$B$174,529&lt;=$B$173),B929*C929/12,IF(AND(529=$B$173+1,AND(529&gt;$B$173,$B$78="Refinance",ISNUMBER($B$80),$B$80&gt;=0,$B$80&lt;=1,ROUND($B$81*12,0)&gt;=1,$B$81&lt;=100,SUM($B$82)&gt;=0,SUM($B$82)&lt;=1,SUM($B$83)&gt;=0)),IF(B929=0,0,IF(C929=0,B929/ROUND($B$81*12,0),B929*(C929/12)/(1-(1+C929/12)^(-ROUND($B$81*12,0))))),IF(AND(NOT(AND(529&gt;$B$173,$B$78="Refinance",ISNUMBER($B$80),$B$80&gt;=0,$B$80&lt;=1,ROUND($B$81*12,0)&gt;=1,$B$81&lt;=100,SUM($B$82)&gt;=0,SUM($B$82)&lt;=1,SUM($B$83)&gt;=0)),OR(529=1,529=$B$174+1,AND($B$175&gt;0,529=$B$175+1))),IF(AND($B$170=1,$B$66&gt;0,OR($B$175=0,529&lt;=$B$175)),$B$66,IF($B$172-MAX(529-1,$B$174)&gt;0,IF(B929=0,0,IF(C929=0,B929/($B$172-MAX(529-1,$B$174)),B929*(C929/12)/(1-(1+C929/12)^(-($B$172-MAX(529-1,$B$174)))))),"")),D928)))),""),""))</x:f>
        <x:v>0</x:v>
      </x:c>
      <x:c r="E929" s="440" t="n">
        <x:f>IF(AND(529=$B$173,ISNUMBER(D929)),IF(MAX(0,B929*(1+C929/12)-D929)&lt;MAX(0.0000001,$E$17*0.00000000001),0,MAX(0,B929*(1+C929/12)-D929)),0)</x:f>
        <x:v>0</x:v>
      </x:c>
      <x:c r="F929" s="440" t="n">
        <x:f>IF($B$78="Cash payoff",E929,0)</x:f>
        <x:v>0</x:v>
      </x:c>
      <x:c r="G929" s="440" t="n">
        <x:f>IF(AND(E929&gt;0,AND($B$78="Refinance",ISNUMBER($B$80),$B$80&gt;=0,$B$80&lt;=1,ROUND($B$81*12,0)&gt;=1,$B$81&lt;=100,SUM($B$82)&gt;=0,SUM($B$82)&lt;=1,SUM($B$83)&gt;=0)),E929*SUM($B$82)+SUM($B$83),0)</x:f>
        <x:v>0</x:v>
      </x:c>
      <x:c r="H929" s="440" t="n">
        <x:f>IF(ISNUMBER(D929),IF(MAX(0,B929*(1+C929/12)-D929-F929)&lt;MAX(0.0000001,$E$17*0.00000000001),0,MAX(0,B929*(1+C929/12)-D929-F929)),IF(AND($B$171=1,I928=1),B929,""))</x:f>
        <x:v>0</x:v>
      </x:c>
      <x:c r="I929" s="444" t="n">
        <x:f>IF(OR(I928=1,AND(E929&gt;0,$B$78&lt;&gt;"Cash payoff",NOT(AND($B$78="Refinance",ISNUMBER($B$80),$B$80&gt;=0,$B$80&lt;=1,ROUND($B$81*12,0)&gt;=1,$B$81&lt;=100,SUM($B$82)&gt;=0,SUM($B$82)&lt;=1,SUM($B$83)&gt;=0))),AND(ISNUMBER(B929),B929&gt;0,$B$171=1,NOT(ISNUMBER(D929)))),1,0)</x:f>
        <x:v>0</x:v>
      </x:c>
      <x:c r="J929" s="440" t="n">
        <x:f>IF(ISNUMBER(L928),L928,"")</x:f>
        <x:v>0</x:v>
      </x:c>
      <x:c r="K929" s="440" t="n">
        <x:f>IF(AND(ISNUMBER(J929),J929=0),0,IF(AND($B$176=1,ISNUMBER(J929)),MIN(J929*(1+$B$87/12),IF($B$86=0,0,IF($B$87=0,$B$86/ROUND($B$88*12,0),$B$86*($B$87/12)/(1-(1+$B$87/12)^(-ROUND($B$88*12,0)))))),""))</x:f>
        <x:v>0</x:v>
      </x:c>
      <x:c r="L929" s="440" t="n">
        <x:f>IF(ISNUMBER(K929),IF(MAX(0,J929*(1+SUM($B$87)/12)-K929)&lt;MAX(0.0000001,$B$86*0.00000000001),0,MAX(0,J929*(1+SUM($B$87)/12)-K929)),"")</x:f>
        <x:v>0</x:v>
      </x:c>
      <x:c r="M929" s="440" t="n">
        <x:f>IF(AND(ISNUMBER(D929),ISNUMBER(K929)),D929+K929,"")</x:f>
        <x:v>0</x:v>
      </x:c>
      <x:c r="N929" s="440" t="n">
        <x:f>IF(AND(ISNUMBER(H929),ISNUMBER(L929)),H929+L929,"")</x:f>
        <x:v>0</x:v>
      </x:c>
    </x:row>
    <x:row r="930" ht="22" customHeight="1">
      <x:c r="A930" s="254" t="n">
        <x:f>530</x:f>
        <x:v>530</x:v>
      </x:c>
      <x:c r="B930" s="440" t="n">
        <x:f>IF(ISNUMBER(H929),H929,"")</x:f>
        <x:v>0</x:v>
      </x:c>
      <x:c r="C930" s="442" t="n">
        <x:f>IF(ISNUMBER(B930),IF(AND(530&gt;$B$173,$B$78="Refinance",ISNUMBER($B$80),$B$80&gt;=0,$B$80&lt;=1,ROUND($B$81*12,0)&gt;=1,$B$81&lt;=100,SUM($B$82)&gt;=0,SUM($B$82)&lt;=1,SUM($B$83)&gt;=0),$B$80,IF(AND($B$175&gt;0,530&gt;$B$175,ISNUMBER($B$75)),$B$75,$B$61)),"")</x:f>
        <x:v>0.0625</x:v>
      </x:c>
      <x:c r="D930" s="440" t="n">
        <x:f>IF(AND(ISNUMBER(B930),B930=0),0,IF(AND($B$171=1,I929=0,ISNUMBER(C930),ISNUMBER(IF(AND(530&lt;=$B$174,530&lt;=$B$173),B930*C930/12,IF(AND(530=$B$173+1,AND(530&gt;$B$173,$B$78="Refinance",ISNUMBER($B$80),$B$80&gt;=0,$B$80&lt;=1,ROUND($B$81*12,0)&gt;=1,$B$81&lt;=100,SUM($B$82)&gt;=0,SUM($B$82)&lt;=1,SUM($B$83)&gt;=0)),IF(B930=0,0,IF(C930=0,B930/ROUND($B$81*12,0),B930*(C930/12)/(1-(1+C930/12)^(-ROUND($B$81*12,0))))),IF(AND(NOT(AND(530&gt;$B$173,$B$78="Refinance",ISNUMBER($B$80),$B$80&gt;=0,$B$80&lt;=1,ROUND($B$81*12,0)&gt;=1,$B$81&lt;=100,SUM($B$82)&gt;=0,SUM($B$82)&lt;=1,SUM($B$83)&gt;=0)),OR(530=1,530=$B$174+1,AND($B$175&gt;0,530=$B$175+1))),IF(AND($B$170=1,$B$66&gt;0,OR($B$175=0,530&lt;=$B$175)),$B$66,IF($B$172-MAX(530-1,$B$174)&gt;0,IF(B930=0,0,IF(C930=0,B930/($B$172-MAX(530-1,$B$174)),B930*(C930/12)/(1-(1+C930/12)^(-($B$172-MAX(530-1,$B$174)))))),"")),D929))))),IF(IF(AND(530&lt;=$B$174,530&lt;=$B$173),B930*C930/12,IF(AND(530=$B$173+1,AND(530&gt;$B$173,$B$78="Refinance",ISNUMBER($B$80),$B$80&gt;=0,$B$80&lt;=1,ROUND($B$81*12,0)&gt;=1,$B$81&lt;=100,SUM($B$82)&gt;=0,SUM($B$82)&lt;=1,SUM($B$83)&gt;=0)),IF(B930=0,0,IF(C930=0,B930/ROUND($B$81*12,0),B930*(C930/12)/(1-(1+C930/12)^(-ROUND($B$81*12,0))))),IF(AND(NOT(AND(530&gt;$B$173,$B$78="Refinance",ISNUMBER($B$80),$B$80&gt;=0,$B$80&lt;=1,ROUND($B$81*12,0)&gt;=1,$B$81&lt;=100,SUM($B$82)&gt;=0,SUM($B$82)&lt;=1,SUM($B$83)&gt;=0)),OR(530=1,530=$B$174+1,AND($B$175&gt;0,530=$B$175+1))),IF(AND($B$170=1,$B$66&gt;0,OR($B$175=0,530&lt;=$B$175)),$B$66,IF($B$172-MAX(530-1,$B$174)&gt;0,IF(B930=0,0,IF(C930=0,B930/($B$172-MAX(530-1,$B$174)),B930*(C930/12)/(1-(1+C930/12)^(-($B$172-MAX(530-1,$B$174)))))),"")),D929)))+0.0000001&gt;=B930*C930/12,MIN(B930*(1+C930/12),IF(AND(530&lt;=$B$174,530&lt;=$B$173),B930*C930/12,IF(AND(530=$B$173+1,AND(530&gt;$B$173,$B$78="Refinance",ISNUMBER($B$80),$B$80&gt;=0,$B$80&lt;=1,ROUND($B$81*12,0)&gt;=1,$B$81&lt;=100,SUM($B$82)&gt;=0,SUM($B$82)&lt;=1,SUM($B$83)&gt;=0)),IF(B930=0,0,IF(C930=0,B930/ROUND($B$81*12,0),B930*(C930/12)/(1-(1+C930/12)^(-ROUND($B$81*12,0))))),IF(AND(NOT(AND(530&gt;$B$173,$B$78="Refinance",ISNUMBER($B$80),$B$80&gt;=0,$B$80&lt;=1,ROUND($B$81*12,0)&gt;=1,$B$81&lt;=100,SUM($B$82)&gt;=0,SUM($B$82)&lt;=1,SUM($B$83)&gt;=0)),OR(530=1,530=$B$174+1,AND($B$175&gt;0,530=$B$175+1))),IF(AND($B$170=1,$B$66&gt;0,OR($B$175=0,530&lt;=$B$175)),$B$66,IF($B$172-MAX(530-1,$B$174)&gt;0,IF(B930=0,0,IF(C930=0,B930/($B$172-MAX(530-1,$B$174)),B930*(C930/12)/(1-(1+C930/12)^(-($B$172-MAX(530-1,$B$174)))))),"")),D929)))),""),""))</x:f>
        <x:v>0</x:v>
      </x:c>
      <x:c r="E930" s="440" t="n">
        <x:f>IF(AND(530=$B$173,ISNUMBER(D930)),IF(MAX(0,B930*(1+C930/12)-D930)&lt;MAX(0.0000001,$E$17*0.00000000001),0,MAX(0,B930*(1+C930/12)-D930)),0)</x:f>
        <x:v>0</x:v>
      </x:c>
      <x:c r="F930" s="440" t="n">
        <x:f>IF($B$78="Cash payoff",E930,0)</x:f>
        <x:v>0</x:v>
      </x:c>
      <x:c r="G930" s="440" t="n">
        <x:f>IF(AND(E930&gt;0,AND($B$78="Refinance",ISNUMBER($B$80),$B$80&gt;=0,$B$80&lt;=1,ROUND($B$81*12,0)&gt;=1,$B$81&lt;=100,SUM($B$82)&gt;=0,SUM($B$82)&lt;=1,SUM($B$83)&gt;=0)),E930*SUM($B$82)+SUM($B$83),0)</x:f>
        <x:v>0</x:v>
      </x:c>
      <x:c r="H930" s="440" t="n">
        <x:f>IF(ISNUMBER(D930),IF(MAX(0,B930*(1+C930/12)-D930-F930)&lt;MAX(0.0000001,$E$17*0.00000000001),0,MAX(0,B930*(1+C930/12)-D930-F930)),IF(AND($B$171=1,I929=1),B930,""))</x:f>
        <x:v>0</x:v>
      </x:c>
      <x:c r="I930" s="444" t="n">
        <x:f>IF(OR(I929=1,AND(E930&gt;0,$B$78&lt;&gt;"Cash payoff",NOT(AND($B$78="Refinance",ISNUMBER($B$80),$B$80&gt;=0,$B$80&lt;=1,ROUND($B$81*12,0)&gt;=1,$B$81&lt;=100,SUM($B$82)&gt;=0,SUM($B$82)&lt;=1,SUM($B$83)&gt;=0))),AND(ISNUMBER(B930),B930&gt;0,$B$171=1,NOT(ISNUMBER(D930)))),1,0)</x:f>
        <x:v>0</x:v>
      </x:c>
      <x:c r="J930" s="440" t="n">
        <x:f>IF(ISNUMBER(L929),L929,"")</x:f>
        <x:v>0</x:v>
      </x:c>
      <x:c r="K930" s="440" t="n">
        <x:f>IF(AND(ISNUMBER(J930),J930=0),0,IF(AND($B$176=1,ISNUMBER(J930)),MIN(J930*(1+$B$87/12),IF($B$86=0,0,IF($B$87=0,$B$86/ROUND($B$88*12,0),$B$86*($B$87/12)/(1-(1+$B$87/12)^(-ROUND($B$88*12,0)))))),""))</x:f>
        <x:v>0</x:v>
      </x:c>
      <x:c r="L930" s="440" t="n">
        <x:f>IF(ISNUMBER(K930),IF(MAX(0,J930*(1+SUM($B$87)/12)-K930)&lt;MAX(0.0000001,$B$86*0.00000000001),0,MAX(0,J930*(1+SUM($B$87)/12)-K930)),"")</x:f>
        <x:v>0</x:v>
      </x:c>
      <x:c r="M930" s="440" t="n">
        <x:f>IF(AND(ISNUMBER(D930),ISNUMBER(K930)),D930+K930,"")</x:f>
        <x:v>0</x:v>
      </x:c>
      <x:c r="N930" s="440" t="n">
        <x:f>IF(AND(ISNUMBER(H930),ISNUMBER(L930)),H930+L930,"")</x:f>
        <x:v>0</x:v>
      </x:c>
    </x:row>
    <x:row r="931" ht="22" customHeight="1">
      <x:c r="A931" s="254" t="n">
        <x:f>531</x:f>
        <x:v>531</x:v>
      </x:c>
      <x:c r="B931" s="440" t="n">
        <x:f>IF(ISNUMBER(H930),H930,"")</x:f>
        <x:v>0</x:v>
      </x:c>
      <x:c r="C931" s="442" t="n">
        <x:f>IF(ISNUMBER(B931),IF(AND(531&gt;$B$173,$B$78="Refinance",ISNUMBER($B$80),$B$80&gt;=0,$B$80&lt;=1,ROUND($B$81*12,0)&gt;=1,$B$81&lt;=100,SUM($B$82)&gt;=0,SUM($B$82)&lt;=1,SUM($B$83)&gt;=0),$B$80,IF(AND($B$175&gt;0,531&gt;$B$175,ISNUMBER($B$75)),$B$75,$B$61)),"")</x:f>
        <x:v>0.0625</x:v>
      </x:c>
      <x:c r="D931" s="440" t="n">
        <x:f>IF(AND(ISNUMBER(B931),B931=0),0,IF(AND($B$171=1,I930=0,ISNUMBER(C931),ISNUMBER(IF(AND(531&lt;=$B$174,531&lt;=$B$173),B931*C931/12,IF(AND(531=$B$173+1,AND(531&gt;$B$173,$B$78="Refinance",ISNUMBER($B$80),$B$80&gt;=0,$B$80&lt;=1,ROUND($B$81*12,0)&gt;=1,$B$81&lt;=100,SUM($B$82)&gt;=0,SUM($B$82)&lt;=1,SUM($B$83)&gt;=0)),IF(B931=0,0,IF(C931=0,B931/ROUND($B$81*12,0),B931*(C931/12)/(1-(1+C931/12)^(-ROUND($B$81*12,0))))),IF(AND(NOT(AND(531&gt;$B$173,$B$78="Refinance",ISNUMBER($B$80),$B$80&gt;=0,$B$80&lt;=1,ROUND($B$81*12,0)&gt;=1,$B$81&lt;=100,SUM($B$82)&gt;=0,SUM($B$82)&lt;=1,SUM($B$83)&gt;=0)),OR(531=1,531=$B$174+1,AND($B$175&gt;0,531=$B$175+1))),IF(AND($B$170=1,$B$66&gt;0,OR($B$175=0,531&lt;=$B$175)),$B$66,IF($B$172-MAX(531-1,$B$174)&gt;0,IF(B931=0,0,IF(C931=0,B931/($B$172-MAX(531-1,$B$174)),B931*(C931/12)/(1-(1+C931/12)^(-($B$172-MAX(531-1,$B$174)))))),"")),D930))))),IF(IF(AND(531&lt;=$B$174,531&lt;=$B$173),B931*C931/12,IF(AND(531=$B$173+1,AND(531&gt;$B$173,$B$78="Refinance",ISNUMBER($B$80),$B$80&gt;=0,$B$80&lt;=1,ROUND($B$81*12,0)&gt;=1,$B$81&lt;=100,SUM($B$82)&gt;=0,SUM($B$82)&lt;=1,SUM($B$83)&gt;=0)),IF(B931=0,0,IF(C931=0,B931/ROUND($B$81*12,0),B931*(C931/12)/(1-(1+C931/12)^(-ROUND($B$81*12,0))))),IF(AND(NOT(AND(531&gt;$B$173,$B$78="Refinance",ISNUMBER($B$80),$B$80&gt;=0,$B$80&lt;=1,ROUND($B$81*12,0)&gt;=1,$B$81&lt;=100,SUM($B$82)&gt;=0,SUM($B$82)&lt;=1,SUM($B$83)&gt;=0)),OR(531=1,531=$B$174+1,AND($B$175&gt;0,531=$B$175+1))),IF(AND($B$170=1,$B$66&gt;0,OR($B$175=0,531&lt;=$B$175)),$B$66,IF($B$172-MAX(531-1,$B$174)&gt;0,IF(B931=0,0,IF(C931=0,B931/($B$172-MAX(531-1,$B$174)),B931*(C931/12)/(1-(1+C931/12)^(-($B$172-MAX(531-1,$B$174)))))),"")),D930)))+0.0000001&gt;=B931*C931/12,MIN(B931*(1+C931/12),IF(AND(531&lt;=$B$174,531&lt;=$B$173),B931*C931/12,IF(AND(531=$B$173+1,AND(531&gt;$B$173,$B$78="Refinance",ISNUMBER($B$80),$B$80&gt;=0,$B$80&lt;=1,ROUND($B$81*12,0)&gt;=1,$B$81&lt;=100,SUM($B$82)&gt;=0,SUM($B$82)&lt;=1,SUM($B$83)&gt;=0)),IF(B931=0,0,IF(C931=0,B931/ROUND($B$81*12,0),B931*(C931/12)/(1-(1+C931/12)^(-ROUND($B$81*12,0))))),IF(AND(NOT(AND(531&gt;$B$173,$B$78="Refinance",ISNUMBER($B$80),$B$80&gt;=0,$B$80&lt;=1,ROUND($B$81*12,0)&gt;=1,$B$81&lt;=100,SUM($B$82)&gt;=0,SUM($B$82)&lt;=1,SUM($B$83)&gt;=0)),OR(531=1,531=$B$174+1,AND($B$175&gt;0,531=$B$175+1))),IF(AND($B$170=1,$B$66&gt;0,OR($B$175=0,531&lt;=$B$175)),$B$66,IF($B$172-MAX(531-1,$B$174)&gt;0,IF(B931=0,0,IF(C931=0,B931/($B$172-MAX(531-1,$B$174)),B931*(C931/12)/(1-(1+C931/12)^(-($B$172-MAX(531-1,$B$174)))))),"")),D930)))),""),""))</x:f>
        <x:v>0</x:v>
      </x:c>
      <x:c r="E931" s="440" t="n">
        <x:f>IF(AND(531=$B$173,ISNUMBER(D931)),IF(MAX(0,B931*(1+C931/12)-D931)&lt;MAX(0.0000001,$E$17*0.00000000001),0,MAX(0,B931*(1+C931/12)-D931)),0)</x:f>
        <x:v>0</x:v>
      </x:c>
      <x:c r="F931" s="440" t="n">
        <x:f>IF($B$78="Cash payoff",E931,0)</x:f>
        <x:v>0</x:v>
      </x:c>
      <x:c r="G931" s="440" t="n">
        <x:f>IF(AND(E931&gt;0,AND($B$78="Refinance",ISNUMBER($B$80),$B$80&gt;=0,$B$80&lt;=1,ROUND($B$81*12,0)&gt;=1,$B$81&lt;=100,SUM($B$82)&gt;=0,SUM($B$82)&lt;=1,SUM($B$83)&gt;=0)),E931*SUM($B$82)+SUM($B$83),0)</x:f>
        <x:v>0</x:v>
      </x:c>
      <x:c r="H931" s="440" t="n">
        <x:f>IF(ISNUMBER(D931),IF(MAX(0,B931*(1+C931/12)-D931-F931)&lt;MAX(0.0000001,$E$17*0.00000000001),0,MAX(0,B931*(1+C931/12)-D931-F931)),IF(AND($B$171=1,I930=1),B931,""))</x:f>
        <x:v>0</x:v>
      </x:c>
      <x:c r="I931" s="444" t="n">
        <x:f>IF(OR(I930=1,AND(E931&gt;0,$B$78&lt;&gt;"Cash payoff",NOT(AND($B$78="Refinance",ISNUMBER($B$80),$B$80&gt;=0,$B$80&lt;=1,ROUND($B$81*12,0)&gt;=1,$B$81&lt;=100,SUM($B$82)&gt;=0,SUM($B$82)&lt;=1,SUM($B$83)&gt;=0))),AND(ISNUMBER(B931),B931&gt;0,$B$171=1,NOT(ISNUMBER(D931)))),1,0)</x:f>
        <x:v>0</x:v>
      </x:c>
      <x:c r="J931" s="440" t="n">
        <x:f>IF(ISNUMBER(L930),L930,"")</x:f>
        <x:v>0</x:v>
      </x:c>
      <x:c r="K931" s="440" t="n">
        <x:f>IF(AND(ISNUMBER(J931),J931=0),0,IF(AND($B$176=1,ISNUMBER(J931)),MIN(J931*(1+$B$87/12),IF($B$86=0,0,IF($B$87=0,$B$86/ROUND($B$88*12,0),$B$86*($B$87/12)/(1-(1+$B$87/12)^(-ROUND($B$88*12,0)))))),""))</x:f>
        <x:v>0</x:v>
      </x:c>
      <x:c r="L931" s="440" t="n">
        <x:f>IF(ISNUMBER(K931),IF(MAX(0,J931*(1+SUM($B$87)/12)-K931)&lt;MAX(0.0000001,$B$86*0.00000000001),0,MAX(0,J931*(1+SUM($B$87)/12)-K931)),"")</x:f>
        <x:v>0</x:v>
      </x:c>
      <x:c r="M931" s="440" t="n">
        <x:f>IF(AND(ISNUMBER(D931),ISNUMBER(K931)),D931+K931,"")</x:f>
        <x:v>0</x:v>
      </x:c>
      <x:c r="N931" s="440" t="n">
        <x:f>IF(AND(ISNUMBER(H931),ISNUMBER(L931)),H931+L931,"")</x:f>
        <x:v>0</x:v>
      </x:c>
    </x:row>
    <x:row r="932" ht="22" customHeight="1">
      <x:c r="A932" s="254" t="n">
        <x:f>532</x:f>
        <x:v>532</x:v>
      </x:c>
      <x:c r="B932" s="440" t="n">
        <x:f>IF(ISNUMBER(H931),H931,"")</x:f>
        <x:v>0</x:v>
      </x:c>
      <x:c r="C932" s="442" t="n">
        <x:f>IF(ISNUMBER(B932),IF(AND(532&gt;$B$173,$B$78="Refinance",ISNUMBER($B$80),$B$80&gt;=0,$B$80&lt;=1,ROUND($B$81*12,0)&gt;=1,$B$81&lt;=100,SUM($B$82)&gt;=0,SUM($B$82)&lt;=1,SUM($B$83)&gt;=0),$B$80,IF(AND($B$175&gt;0,532&gt;$B$175,ISNUMBER($B$75)),$B$75,$B$61)),"")</x:f>
        <x:v>0.0625</x:v>
      </x:c>
      <x:c r="D932" s="440" t="n">
        <x:f>IF(AND(ISNUMBER(B932),B932=0),0,IF(AND($B$171=1,I931=0,ISNUMBER(C932),ISNUMBER(IF(AND(532&lt;=$B$174,532&lt;=$B$173),B932*C932/12,IF(AND(532=$B$173+1,AND(532&gt;$B$173,$B$78="Refinance",ISNUMBER($B$80),$B$80&gt;=0,$B$80&lt;=1,ROUND($B$81*12,0)&gt;=1,$B$81&lt;=100,SUM($B$82)&gt;=0,SUM($B$82)&lt;=1,SUM($B$83)&gt;=0)),IF(B932=0,0,IF(C932=0,B932/ROUND($B$81*12,0),B932*(C932/12)/(1-(1+C932/12)^(-ROUND($B$81*12,0))))),IF(AND(NOT(AND(532&gt;$B$173,$B$78="Refinance",ISNUMBER($B$80),$B$80&gt;=0,$B$80&lt;=1,ROUND($B$81*12,0)&gt;=1,$B$81&lt;=100,SUM($B$82)&gt;=0,SUM($B$82)&lt;=1,SUM($B$83)&gt;=0)),OR(532=1,532=$B$174+1,AND($B$175&gt;0,532=$B$175+1))),IF(AND($B$170=1,$B$66&gt;0,OR($B$175=0,532&lt;=$B$175)),$B$66,IF($B$172-MAX(532-1,$B$174)&gt;0,IF(B932=0,0,IF(C932=0,B932/($B$172-MAX(532-1,$B$174)),B932*(C932/12)/(1-(1+C932/12)^(-($B$172-MAX(532-1,$B$174)))))),"")),D931))))),IF(IF(AND(532&lt;=$B$174,532&lt;=$B$173),B932*C932/12,IF(AND(532=$B$173+1,AND(532&gt;$B$173,$B$78="Refinance",ISNUMBER($B$80),$B$80&gt;=0,$B$80&lt;=1,ROUND($B$81*12,0)&gt;=1,$B$81&lt;=100,SUM($B$82)&gt;=0,SUM($B$82)&lt;=1,SUM($B$83)&gt;=0)),IF(B932=0,0,IF(C932=0,B932/ROUND($B$81*12,0),B932*(C932/12)/(1-(1+C932/12)^(-ROUND($B$81*12,0))))),IF(AND(NOT(AND(532&gt;$B$173,$B$78="Refinance",ISNUMBER($B$80),$B$80&gt;=0,$B$80&lt;=1,ROUND($B$81*12,0)&gt;=1,$B$81&lt;=100,SUM($B$82)&gt;=0,SUM($B$82)&lt;=1,SUM($B$83)&gt;=0)),OR(532=1,532=$B$174+1,AND($B$175&gt;0,532=$B$175+1))),IF(AND($B$170=1,$B$66&gt;0,OR($B$175=0,532&lt;=$B$175)),$B$66,IF($B$172-MAX(532-1,$B$174)&gt;0,IF(B932=0,0,IF(C932=0,B932/($B$172-MAX(532-1,$B$174)),B932*(C932/12)/(1-(1+C932/12)^(-($B$172-MAX(532-1,$B$174)))))),"")),D931)))+0.0000001&gt;=B932*C932/12,MIN(B932*(1+C932/12),IF(AND(532&lt;=$B$174,532&lt;=$B$173),B932*C932/12,IF(AND(532=$B$173+1,AND(532&gt;$B$173,$B$78="Refinance",ISNUMBER($B$80),$B$80&gt;=0,$B$80&lt;=1,ROUND($B$81*12,0)&gt;=1,$B$81&lt;=100,SUM($B$82)&gt;=0,SUM($B$82)&lt;=1,SUM($B$83)&gt;=0)),IF(B932=0,0,IF(C932=0,B932/ROUND($B$81*12,0),B932*(C932/12)/(1-(1+C932/12)^(-ROUND($B$81*12,0))))),IF(AND(NOT(AND(532&gt;$B$173,$B$78="Refinance",ISNUMBER($B$80),$B$80&gt;=0,$B$80&lt;=1,ROUND($B$81*12,0)&gt;=1,$B$81&lt;=100,SUM($B$82)&gt;=0,SUM($B$82)&lt;=1,SUM($B$83)&gt;=0)),OR(532=1,532=$B$174+1,AND($B$175&gt;0,532=$B$175+1))),IF(AND($B$170=1,$B$66&gt;0,OR($B$175=0,532&lt;=$B$175)),$B$66,IF($B$172-MAX(532-1,$B$174)&gt;0,IF(B932=0,0,IF(C932=0,B932/($B$172-MAX(532-1,$B$174)),B932*(C932/12)/(1-(1+C932/12)^(-($B$172-MAX(532-1,$B$174)))))),"")),D931)))),""),""))</x:f>
        <x:v>0</x:v>
      </x:c>
      <x:c r="E932" s="440" t="n">
        <x:f>IF(AND(532=$B$173,ISNUMBER(D932)),IF(MAX(0,B932*(1+C932/12)-D932)&lt;MAX(0.0000001,$E$17*0.00000000001),0,MAX(0,B932*(1+C932/12)-D932)),0)</x:f>
        <x:v>0</x:v>
      </x:c>
      <x:c r="F932" s="440" t="n">
        <x:f>IF($B$78="Cash payoff",E932,0)</x:f>
        <x:v>0</x:v>
      </x:c>
      <x:c r="G932" s="440" t="n">
        <x:f>IF(AND(E932&gt;0,AND($B$78="Refinance",ISNUMBER($B$80),$B$80&gt;=0,$B$80&lt;=1,ROUND($B$81*12,0)&gt;=1,$B$81&lt;=100,SUM($B$82)&gt;=0,SUM($B$82)&lt;=1,SUM($B$83)&gt;=0)),E932*SUM($B$82)+SUM($B$83),0)</x:f>
        <x:v>0</x:v>
      </x:c>
      <x:c r="H932" s="440" t="n">
        <x:f>IF(ISNUMBER(D932),IF(MAX(0,B932*(1+C932/12)-D932-F932)&lt;MAX(0.0000001,$E$17*0.00000000001),0,MAX(0,B932*(1+C932/12)-D932-F932)),IF(AND($B$171=1,I931=1),B932,""))</x:f>
        <x:v>0</x:v>
      </x:c>
      <x:c r="I932" s="444" t="n">
        <x:f>IF(OR(I931=1,AND(E932&gt;0,$B$78&lt;&gt;"Cash payoff",NOT(AND($B$78="Refinance",ISNUMBER($B$80),$B$80&gt;=0,$B$80&lt;=1,ROUND($B$81*12,0)&gt;=1,$B$81&lt;=100,SUM($B$82)&gt;=0,SUM($B$82)&lt;=1,SUM($B$83)&gt;=0))),AND(ISNUMBER(B932),B932&gt;0,$B$171=1,NOT(ISNUMBER(D932)))),1,0)</x:f>
        <x:v>0</x:v>
      </x:c>
      <x:c r="J932" s="440" t="n">
        <x:f>IF(ISNUMBER(L931),L931,"")</x:f>
        <x:v>0</x:v>
      </x:c>
      <x:c r="K932" s="440" t="n">
        <x:f>IF(AND(ISNUMBER(J932),J932=0),0,IF(AND($B$176=1,ISNUMBER(J932)),MIN(J932*(1+$B$87/12),IF($B$86=0,0,IF($B$87=0,$B$86/ROUND($B$88*12,0),$B$86*($B$87/12)/(1-(1+$B$87/12)^(-ROUND($B$88*12,0)))))),""))</x:f>
        <x:v>0</x:v>
      </x:c>
      <x:c r="L932" s="440" t="n">
        <x:f>IF(ISNUMBER(K932),IF(MAX(0,J932*(1+SUM($B$87)/12)-K932)&lt;MAX(0.0000001,$B$86*0.00000000001),0,MAX(0,J932*(1+SUM($B$87)/12)-K932)),"")</x:f>
        <x:v>0</x:v>
      </x:c>
      <x:c r="M932" s="440" t="n">
        <x:f>IF(AND(ISNUMBER(D932),ISNUMBER(K932)),D932+K932,"")</x:f>
        <x:v>0</x:v>
      </x:c>
      <x:c r="N932" s="440" t="n">
        <x:f>IF(AND(ISNUMBER(H932),ISNUMBER(L932)),H932+L932,"")</x:f>
        <x:v>0</x:v>
      </x:c>
    </x:row>
    <x:row r="933" ht="22" customHeight="1">
      <x:c r="A933" s="254" t="n">
        <x:f>533</x:f>
        <x:v>533</x:v>
      </x:c>
      <x:c r="B933" s="440" t="n">
        <x:f>IF(ISNUMBER(H932),H932,"")</x:f>
        <x:v>0</x:v>
      </x:c>
      <x:c r="C933" s="442" t="n">
        <x:f>IF(ISNUMBER(B933),IF(AND(533&gt;$B$173,$B$78="Refinance",ISNUMBER($B$80),$B$80&gt;=0,$B$80&lt;=1,ROUND($B$81*12,0)&gt;=1,$B$81&lt;=100,SUM($B$82)&gt;=0,SUM($B$82)&lt;=1,SUM($B$83)&gt;=0),$B$80,IF(AND($B$175&gt;0,533&gt;$B$175,ISNUMBER($B$75)),$B$75,$B$61)),"")</x:f>
        <x:v>0.0625</x:v>
      </x:c>
      <x:c r="D933" s="440" t="n">
        <x:f>IF(AND(ISNUMBER(B933),B933=0),0,IF(AND($B$171=1,I932=0,ISNUMBER(C933),ISNUMBER(IF(AND(533&lt;=$B$174,533&lt;=$B$173),B933*C933/12,IF(AND(533=$B$173+1,AND(533&gt;$B$173,$B$78="Refinance",ISNUMBER($B$80),$B$80&gt;=0,$B$80&lt;=1,ROUND($B$81*12,0)&gt;=1,$B$81&lt;=100,SUM($B$82)&gt;=0,SUM($B$82)&lt;=1,SUM($B$83)&gt;=0)),IF(B933=0,0,IF(C933=0,B933/ROUND($B$81*12,0),B933*(C933/12)/(1-(1+C933/12)^(-ROUND($B$81*12,0))))),IF(AND(NOT(AND(533&gt;$B$173,$B$78="Refinance",ISNUMBER($B$80),$B$80&gt;=0,$B$80&lt;=1,ROUND($B$81*12,0)&gt;=1,$B$81&lt;=100,SUM($B$82)&gt;=0,SUM($B$82)&lt;=1,SUM($B$83)&gt;=0)),OR(533=1,533=$B$174+1,AND($B$175&gt;0,533=$B$175+1))),IF(AND($B$170=1,$B$66&gt;0,OR($B$175=0,533&lt;=$B$175)),$B$66,IF($B$172-MAX(533-1,$B$174)&gt;0,IF(B933=0,0,IF(C933=0,B933/($B$172-MAX(533-1,$B$174)),B933*(C933/12)/(1-(1+C933/12)^(-($B$172-MAX(533-1,$B$174)))))),"")),D932))))),IF(IF(AND(533&lt;=$B$174,533&lt;=$B$173),B933*C933/12,IF(AND(533=$B$173+1,AND(533&gt;$B$173,$B$78="Refinance",ISNUMBER($B$80),$B$80&gt;=0,$B$80&lt;=1,ROUND($B$81*12,0)&gt;=1,$B$81&lt;=100,SUM($B$82)&gt;=0,SUM($B$82)&lt;=1,SUM($B$83)&gt;=0)),IF(B933=0,0,IF(C933=0,B933/ROUND($B$81*12,0),B933*(C933/12)/(1-(1+C933/12)^(-ROUND($B$81*12,0))))),IF(AND(NOT(AND(533&gt;$B$173,$B$78="Refinance",ISNUMBER($B$80),$B$80&gt;=0,$B$80&lt;=1,ROUND($B$81*12,0)&gt;=1,$B$81&lt;=100,SUM($B$82)&gt;=0,SUM($B$82)&lt;=1,SUM($B$83)&gt;=0)),OR(533=1,533=$B$174+1,AND($B$175&gt;0,533=$B$175+1))),IF(AND($B$170=1,$B$66&gt;0,OR($B$175=0,533&lt;=$B$175)),$B$66,IF($B$172-MAX(533-1,$B$174)&gt;0,IF(B933=0,0,IF(C933=0,B933/($B$172-MAX(533-1,$B$174)),B933*(C933/12)/(1-(1+C933/12)^(-($B$172-MAX(533-1,$B$174)))))),"")),D932)))+0.0000001&gt;=B933*C933/12,MIN(B933*(1+C933/12),IF(AND(533&lt;=$B$174,533&lt;=$B$173),B933*C933/12,IF(AND(533=$B$173+1,AND(533&gt;$B$173,$B$78="Refinance",ISNUMBER($B$80),$B$80&gt;=0,$B$80&lt;=1,ROUND($B$81*12,0)&gt;=1,$B$81&lt;=100,SUM($B$82)&gt;=0,SUM($B$82)&lt;=1,SUM($B$83)&gt;=0)),IF(B933=0,0,IF(C933=0,B933/ROUND($B$81*12,0),B933*(C933/12)/(1-(1+C933/12)^(-ROUND($B$81*12,0))))),IF(AND(NOT(AND(533&gt;$B$173,$B$78="Refinance",ISNUMBER($B$80),$B$80&gt;=0,$B$80&lt;=1,ROUND($B$81*12,0)&gt;=1,$B$81&lt;=100,SUM($B$82)&gt;=0,SUM($B$82)&lt;=1,SUM($B$83)&gt;=0)),OR(533=1,533=$B$174+1,AND($B$175&gt;0,533=$B$175+1))),IF(AND($B$170=1,$B$66&gt;0,OR($B$175=0,533&lt;=$B$175)),$B$66,IF($B$172-MAX(533-1,$B$174)&gt;0,IF(B933=0,0,IF(C933=0,B933/($B$172-MAX(533-1,$B$174)),B933*(C933/12)/(1-(1+C933/12)^(-($B$172-MAX(533-1,$B$174)))))),"")),D932)))),""),""))</x:f>
        <x:v>0</x:v>
      </x:c>
      <x:c r="E933" s="440" t="n">
        <x:f>IF(AND(533=$B$173,ISNUMBER(D933)),IF(MAX(0,B933*(1+C933/12)-D933)&lt;MAX(0.0000001,$E$17*0.00000000001),0,MAX(0,B933*(1+C933/12)-D933)),0)</x:f>
        <x:v>0</x:v>
      </x:c>
      <x:c r="F933" s="440" t="n">
        <x:f>IF($B$78="Cash payoff",E933,0)</x:f>
        <x:v>0</x:v>
      </x:c>
      <x:c r="G933" s="440" t="n">
        <x:f>IF(AND(E933&gt;0,AND($B$78="Refinance",ISNUMBER($B$80),$B$80&gt;=0,$B$80&lt;=1,ROUND($B$81*12,0)&gt;=1,$B$81&lt;=100,SUM($B$82)&gt;=0,SUM($B$82)&lt;=1,SUM($B$83)&gt;=0)),E933*SUM($B$82)+SUM($B$83),0)</x:f>
        <x:v>0</x:v>
      </x:c>
      <x:c r="H933" s="440" t="n">
        <x:f>IF(ISNUMBER(D933),IF(MAX(0,B933*(1+C933/12)-D933-F933)&lt;MAX(0.0000001,$E$17*0.00000000001),0,MAX(0,B933*(1+C933/12)-D933-F933)),IF(AND($B$171=1,I932=1),B933,""))</x:f>
        <x:v>0</x:v>
      </x:c>
      <x:c r="I933" s="444" t="n">
        <x:f>IF(OR(I932=1,AND(E933&gt;0,$B$78&lt;&gt;"Cash payoff",NOT(AND($B$78="Refinance",ISNUMBER($B$80),$B$80&gt;=0,$B$80&lt;=1,ROUND($B$81*12,0)&gt;=1,$B$81&lt;=100,SUM($B$82)&gt;=0,SUM($B$82)&lt;=1,SUM($B$83)&gt;=0))),AND(ISNUMBER(B933),B933&gt;0,$B$171=1,NOT(ISNUMBER(D933)))),1,0)</x:f>
        <x:v>0</x:v>
      </x:c>
      <x:c r="J933" s="440" t="n">
        <x:f>IF(ISNUMBER(L932),L932,"")</x:f>
        <x:v>0</x:v>
      </x:c>
      <x:c r="K933" s="440" t="n">
        <x:f>IF(AND(ISNUMBER(J933),J933=0),0,IF(AND($B$176=1,ISNUMBER(J933)),MIN(J933*(1+$B$87/12),IF($B$86=0,0,IF($B$87=0,$B$86/ROUND($B$88*12,0),$B$86*($B$87/12)/(1-(1+$B$87/12)^(-ROUND($B$88*12,0)))))),""))</x:f>
        <x:v>0</x:v>
      </x:c>
      <x:c r="L933" s="440" t="n">
        <x:f>IF(ISNUMBER(K933),IF(MAX(0,J933*(1+SUM($B$87)/12)-K933)&lt;MAX(0.0000001,$B$86*0.00000000001),0,MAX(0,J933*(1+SUM($B$87)/12)-K933)),"")</x:f>
        <x:v>0</x:v>
      </x:c>
      <x:c r="M933" s="440" t="n">
        <x:f>IF(AND(ISNUMBER(D933),ISNUMBER(K933)),D933+K933,"")</x:f>
        <x:v>0</x:v>
      </x:c>
      <x:c r="N933" s="440" t="n">
        <x:f>IF(AND(ISNUMBER(H933),ISNUMBER(L933)),H933+L933,"")</x:f>
        <x:v>0</x:v>
      </x:c>
    </x:row>
    <x:row r="934" ht="22" customHeight="1">
      <x:c r="A934" s="254" t="n">
        <x:f>534</x:f>
        <x:v>534</x:v>
      </x:c>
      <x:c r="B934" s="440" t="n">
        <x:f>IF(ISNUMBER(H933),H933,"")</x:f>
        <x:v>0</x:v>
      </x:c>
      <x:c r="C934" s="442" t="n">
        <x:f>IF(ISNUMBER(B934),IF(AND(534&gt;$B$173,$B$78="Refinance",ISNUMBER($B$80),$B$80&gt;=0,$B$80&lt;=1,ROUND($B$81*12,0)&gt;=1,$B$81&lt;=100,SUM($B$82)&gt;=0,SUM($B$82)&lt;=1,SUM($B$83)&gt;=0),$B$80,IF(AND($B$175&gt;0,534&gt;$B$175,ISNUMBER($B$75)),$B$75,$B$61)),"")</x:f>
        <x:v>0.0625</x:v>
      </x:c>
      <x:c r="D934" s="440" t="n">
        <x:f>IF(AND(ISNUMBER(B934),B934=0),0,IF(AND($B$171=1,I933=0,ISNUMBER(C934),ISNUMBER(IF(AND(534&lt;=$B$174,534&lt;=$B$173),B934*C934/12,IF(AND(534=$B$173+1,AND(534&gt;$B$173,$B$78="Refinance",ISNUMBER($B$80),$B$80&gt;=0,$B$80&lt;=1,ROUND($B$81*12,0)&gt;=1,$B$81&lt;=100,SUM($B$82)&gt;=0,SUM($B$82)&lt;=1,SUM($B$83)&gt;=0)),IF(B934=0,0,IF(C934=0,B934/ROUND($B$81*12,0),B934*(C934/12)/(1-(1+C934/12)^(-ROUND($B$81*12,0))))),IF(AND(NOT(AND(534&gt;$B$173,$B$78="Refinance",ISNUMBER($B$80),$B$80&gt;=0,$B$80&lt;=1,ROUND($B$81*12,0)&gt;=1,$B$81&lt;=100,SUM($B$82)&gt;=0,SUM($B$82)&lt;=1,SUM($B$83)&gt;=0)),OR(534=1,534=$B$174+1,AND($B$175&gt;0,534=$B$175+1))),IF(AND($B$170=1,$B$66&gt;0,OR($B$175=0,534&lt;=$B$175)),$B$66,IF($B$172-MAX(534-1,$B$174)&gt;0,IF(B934=0,0,IF(C934=0,B934/($B$172-MAX(534-1,$B$174)),B934*(C934/12)/(1-(1+C934/12)^(-($B$172-MAX(534-1,$B$174)))))),"")),D933))))),IF(IF(AND(534&lt;=$B$174,534&lt;=$B$173),B934*C934/12,IF(AND(534=$B$173+1,AND(534&gt;$B$173,$B$78="Refinance",ISNUMBER($B$80),$B$80&gt;=0,$B$80&lt;=1,ROUND($B$81*12,0)&gt;=1,$B$81&lt;=100,SUM($B$82)&gt;=0,SUM($B$82)&lt;=1,SUM($B$83)&gt;=0)),IF(B934=0,0,IF(C934=0,B934/ROUND($B$81*12,0),B934*(C934/12)/(1-(1+C934/12)^(-ROUND($B$81*12,0))))),IF(AND(NOT(AND(534&gt;$B$173,$B$78="Refinance",ISNUMBER($B$80),$B$80&gt;=0,$B$80&lt;=1,ROUND($B$81*12,0)&gt;=1,$B$81&lt;=100,SUM($B$82)&gt;=0,SUM($B$82)&lt;=1,SUM($B$83)&gt;=0)),OR(534=1,534=$B$174+1,AND($B$175&gt;0,534=$B$175+1))),IF(AND($B$170=1,$B$66&gt;0,OR($B$175=0,534&lt;=$B$175)),$B$66,IF($B$172-MAX(534-1,$B$174)&gt;0,IF(B934=0,0,IF(C934=0,B934/($B$172-MAX(534-1,$B$174)),B934*(C934/12)/(1-(1+C934/12)^(-($B$172-MAX(534-1,$B$174)))))),"")),D933)))+0.0000001&gt;=B934*C934/12,MIN(B934*(1+C934/12),IF(AND(534&lt;=$B$174,534&lt;=$B$173),B934*C934/12,IF(AND(534=$B$173+1,AND(534&gt;$B$173,$B$78="Refinance",ISNUMBER($B$80),$B$80&gt;=0,$B$80&lt;=1,ROUND($B$81*12,0)&gt;=1,$B$81&lt;=100,SUM($B$82)&gt;=0,SUM($B$82)&lt;=1,SUM($B$83)&gt;=0)),IF(B934=0,0,IF(C934=0,B934/ROUND($B$81*12,0),B934*(C934/12)/(1-(1+C934/12)^(-ROUND($B$81*12,0))))),IF(AND(NOT(AND(534&gt;$B$173,$B$78="Refinance",ISNUMBER($B$80),$B$80&gt;=0,$B$80&lt;=1,ROUND($B$81*12,0)&gt;=1,$B$81&lt;=100,SUM($B$82)&gt;=0,SUM($B$82)&lt;=1,SUM($B$83)&gt;=0)),OR(534=1,534=$B$174+1,AND($B$175&gt;0,534=$B$175+1))),IF(AND($B$170=1,$B$66&gt;0,OR($B$175=0,534&lt;=$B$175)),$B$66,IF($B$172-MAX(534-1,$B$174)&gt;0,IF(B934=0,0,IF(C934=0,B934/($B$172-MAX(534-1,$B$174)),B934*(C934/12)/(1-(1+C934/12)^(-($B$172-MAX(534-1,$B$174)))))),"")),D933)))),""),""))</x:f>
        <x:v>0</x:v>
      </x:c>
      <x:c r="E934" s="440" t="n">
        <x:f>IF(AND(534=$B$173,ISNUMBER(D934)),IF(MAX(0,B934*(1+C934/12)-D934)&lt;MAX(0.0000001,$E$17*0.00000000001),0,MAX(0,B934*(1+C934/12)-D934)),0)</x:f>
        <x:v>0</x:v>
      </x:c>
      <x:c r="F934" s="440" t="n">
        <x:f>IF($B$78="Cash payoff",E934,0)</x:f>
        <x:v>0</x:v>
      </x:c>
      <x:c r="G934" s="440" t="n">
        <x:f>IF(AND(E934&gt;0,AND($B$78="Refinance",ISNUMBER($B$80),$B$80&gt;=0,$B$80&lt;=1,ROUND($B$81*12,0)&gt;=1,$B$81&lt;=100,SUM($B$82)&gt;=0,SUM($B$82)&lt;=1,SUM($B$83)&gt;=0)),E934*SUM($B$82)+SUM($B$83),0)</x:f>
        <x:v>0</x:v>
      </x:c>
      <x:c r="H934" s="440" t="n">
        <x:f>IF(ISNUMBER(D934),IF(MAX(0,B934*(1+C934/12)-D934-F934)&lt;MAX(0.0000001,$E$17*0.00000000001),0,MAX(0,B934*(1+C934/12)-D934-F934)),IF(AND($B$171=1,I933=1),B934,""))</x:f>
        <x:v>0</x:v>
      </x:c>
      <x:c r="I934" s="444" t="n">
        <x:f>IF(OR(I933=1,AND(E934&gt;0,$B$78&lt;&gt;"Cash payoff",NOT(AND($B$78="Refinance",ISNUMBER($B$80),$B$80&gt;=0,$B$80&lt;=1,ROUND($B$81*12,0)&gt;=1,$B$81&lt;=100,SUM($B$82)&gt;=0,SUM($B$82)&lt;=1,SUM($B$83)&gt;=0))),AND(ISNUMBER(B934),B934&gt;0,$B$171=1,NOT(ISNUMBER(D934)))),1,0)</x:f>
        <x:v>0</x:v>
      </x:c>
      <x:c r="J934" s="440" t="n">
        <x:f>IF(ISNUMBER(L933),L933,"")</x:f>
        <x:v>0</x:v>
      </x:c>
      <x:c r="K934" s="440" t="n">
        <x:f>IF(AND(ISNUMBER(J934),J934=0),0,IF(AND($B$176=1,ISNUMBER(J934)),MIN(J934*(1+$B$87/12),IF($B$86=0,0,IF($B$87=0,$B$86/ROUND($B$88*12,0),$B$86*($B$87/12)/(1-(1+$B$87/12)^(-ROUND($B$88*12,0)))))),""))</x:f>
        <x:v>0</x:v>
      </x:c>
      <x:c r="L934" s="440" t="n">
        <x:f>IF(ISNUMBER(K934),IF(MAX(0,J934*(1+SUM($B$87)/12)-K934)&lt;MAX(0.0000001,$B$86*0.00000000001),0,MAX(0,J934*(1+SUM($B$87)/12)-K934)),"")</x:f>
        <x:v>0</x:v>
      </x:c>
      <x:c r="M934" s="440" t="n">
        <x:f>IF(AND(ISNUMBER(D934),ISNUMBER(K934)),D934+K934,"")</x:f>
        <x:v>0</x:v>
      </x:c>
      <x:c r="N934" s="440" t="n">
        <x:f>IF(AND(ISNUMBER(H934),ISNUMBER(L934)),H934+L934,"")</x:f>
        <x:v>0</x:v>
      </x:c>
    </x:row>
    <x:row r="935" ht="22" customHeight="1">
      <x:c r="A935" s="254" t="n">
        <x:f>535</x:f>
        <x:v>535</x:v>
      </x:c>
      <x:c r="B935" s="440" t="n">
        <x:f>IF(ISNUMBER(H934),H934,"")</x:f>
        <x:v>0</x:v>
      </x:c>
      <x:c r="C935" s="442" t="n">
        <x:f>IF(ISNUMBER(B935),IF(AND(535&gt;$B$173,$B$78="Refinance",ISNUMBER($B$80),$B$80&gt;=0,$B$80&lt;=1,ROUND($B$81*12,0)&gt;=1,$B$81&lt;=100,SUM($B$82)&gt;=0,SUM($B$82)&lt;=1,SUM($B$83)&gt;=0),$B$80,IF(AND($B$175&gt;0,535&gt;$B$175,ISNUMBER($B$75)),$B$75,$B$61)),"")</x:f>
        <x:v>0.0625</x:v>
      </x:c>
      <x:c r="D935" s="440" t="n">
        <x:f>IF(AND(ISNUMBER(B935),B935=0),0,IF(AND($B$171=1,I934=0,ISNUMBER(C935),ISNUMBER(IF(AND(535&lt;=$B$174,535&lt;=$B$173),B935*C935/12,IF(AND(535=$B$173+1,AND(535&gt;$B$173,$B$78="Refinance",ISNUMBER($B$80),$B$80&gt;=0,$B$80&lt;=1,ROUND($B$81*12,0)&gt;=1,$B$81&lt;=100,SUM($B$82)&gt;=0,SUM($B$82)&lt;=1,SUM($B$83)&gt;=0)),IF(B935=0,0,IF(C935=0,B935/ROUND($B$81*12,0),B935*(C935/12)/(1-(1+C935/12)^(-ROUND($B$81*12,0))))),IF(AND(NOT(AND(535&gt;$B$173,$B$78="Refinance",ISNUMBER($B$80),$B$80&gt;=0,$B$80&lt;=1,ROUND($B$81*12,0)&gt;=1,$B$81&lt;=100,SUM($B$82)&gt;=0,SUM($B$82)&lt;=1,SUM($B$83)&gt;=0)),OR(535=1,535=$B$174+1,AND($B$175&gt;0,535=$B$175+1))),IF(AND($B$170=1,$B$66&gt;0,OR($B$175=0,535&lt;=$B$175)),$B$66,IF($B$172-MAX(535-1,$B$174)&gt;0,IF(B935=0,0,IF(C935=0,B935/($B$172-MAX(535-1,$B$174)),B935*(C935/12)/(1-(1+C935/12)^(-($B$172-MAX(535-1,$B$174)))))),"")),D934))))),IF(IF(AND(535&lt;=$B$174,535&lt;=$B$173),B935*C935/12,IF(AND(535=$B$173+1,AND(535&gt;$B$173,$B$78="Refinance",ISNUMBER($B$80),$B$80&gt;=0,$B$80&lt;=1,ROUND($B$81*12,0)&gt;=1,$B$81&lt;=100,SUM($B$82)&gt;=0,SUM($B$82)&lt;=1,SUM($B$83)&gt;=0)),IF(B935=0,0,IF(C935=0,B935/ROUND($B$81*12,0),B935*(C935/12)/(1-(1+C935/12)^(-ROUND($B$81*12,0))))),IF(AND(NOT(AND(535&gt;$B$173,$B$78="Refinance",ISNUMBER($B$80),$B$80&gt;=0,$B$80&lt;=1,ROUND($B$81*12,0)&gt;=1,$B$81&lt;=100,SUM($B$82)&gt;=0,SUM($B$82)&lt;=1,SUM($B$83)&gt;=0)),OR(535=1,535=$B$174+1,AND($B$175&gt;0,535=$B$175+1))),IF(AND($B$170=1,$B$66&gt;0,OR($B$175=0,535&lt;=$B$175)),$B$66,IF($B$172-MAX(535-1,$B$174)&gt;0,IF(B935=0,0,IF(C935=0,B935/($B$172-MAX(535-1,$B$174)),B935*(C935/12)/(1-(1+C935/12)^(-($B$172-MAX(535-1,$B$174)))))),"")),D934)))+0.0000001&gt;=B935*C935/12,MIN(B935*(1+C935/12),IF(AND(535&lt;=$B$174,535&lt;=$B$173),B935*C935/12,IF(AND(535=$B$173+1,AND(535&gt;$B$173,$B$78="Refinance",ISNUMBER($B$80),$B$80&gt;=0,$B$80&lt;=1,ROUND($B$81*12,0)&gt;=1,$B$81&lt;=100,SUM($B$82)&gt;=0,SUM($B$82)&lt;=1,SUM($B$83)&gt;=0)),IF(B935=0,0,IF(C935=0,B935/ROUND($B$81*12,0),B935*(C935/12)/(1-(1+C935/12)^(-ROUND($B$81*12,0))))),IF(AND(NOT(AND(535&gt;$B$173,$B$78="Refinance",ISNUMBER($B$80),$B$80&gt;=0,$B$80&lt;=1,ROUND($B$81*12,0)&gt;=1,$B$81&lt;=100,SUM($B$82)&gt;=0,SUM($B$82)&lt;=1,SUM($B$83)&gt;=0)),OR(535=1,535=$B$174+1,AND($B$175&gt;0,535=$B$175+1))),IF(AND($B$170=1,$B$66&gt;0,OR($B$175=0,535&lt;=$B$175)),$B$66,IF($B$172-MAX(535-1,$B$174)&gt;0,IF(B935=0,0,IF(C935=0,B935/($B$172-MAX(535-1,$B$174)),B935*(C935/12)/(1-(1+C935/12)^(-($B$172-MAX(535-1,$B$174)))))),"")),D934)))),""),""))</x:f>
        <x:v>0</x:v>
      </x:c>
      <x:c r="E935" s="440" t="n">
        <x:f>IF(AND(535=$B$173,ISNUMBER(D935)),IF(MAX(0,B935*(1+C935/12)-D935)&lt;MAX(0.0000001,$E$17*0.00000000001),0,MAX(0,B935*(1+C935/12)-D935)),0)</x:f>
        <x:v>0</x:v>
      </x:c>
      <x:c r="F935" s="440" t="n">
        <x:f>IF($B$78="Cash payoff",E935,0)</x:f>
        <x:v>0</x:v>
      </x:c>
      <x:c r="G935" s="440" t="n">
        <x:f>IF(AND(E935&gt;0,AND($B$78="Refinance",ISNUMBER($B$80),$B$80&gt;=0,$B$80&lt;=1,ROUND($B$81*12,0)&gt;=1,$B$81&lt;=100,SUM($B$82)&gt;=0,SUM($B$82)&lt;=1,SUM($B$83)&gt;=0)),E935*SUM($B$82)+SUM($B$83),0)</x:f>
        <x:v>0</x:v>
      </x:c>
      <x:c r="H935" s="440" t="n">
        <x:f>IF(ISNUMBER(D935),IF(MAX(0,B935*(1+C935/12)-D935-F935)&lt;MAX(0.0000001,$E$17*0.00000000001),0,MAX(0,B935*(1+C935/12)-D935-F935)),IF(AND($B$171=1,I934=1),B935,""))</x:f>
        <x:v>0</x:v>
      </x:c>
      <x:c r="I935" s="444" t="n">
        <x:f>IF(OR(I934=1,AND(E935&gt;0,$B$78&lt;&gt;"Cash payoff",NOT(AND($B$78="Refinance",ISNUMBER($B$80),$B$80&gt;=0,$B$80&lt;=1,ROUND($B$81*12,0)&gt;=1,$B$81&lt;=100,SUM($B$82)&gt;=0,SUM($B$82)&lt;=1,SUM($B$83)&gt;=0))),AND(ISNUMBER(B935),B935&gt;0,$B$171=1,NOT(ISNUMBER(D935)))),1,0)</x:f>
        <x:v>0</x:v>
      </x:c>
      <x:c r="J935" s="440" t="n">
        <x:f>IF(ISNUMBER(L934),L934,"")</x:f>
        <x:v>0</x:v>
      </x:c>
      <x:c r="K935" s="440" t="n">
        <x:f>IF(AND(ISNUMBER(J935),J935=0),0,IF(AND($B$176=1,ISNUMBER(J935)),MIN(J935*(1+$B$87/12),IF($B$86=0,0,IF($B$87=0,$B$86/ROUND($B$88*12,0),$B$86*($B$87/12)/(1-(1+$B$87/12)^(-ROUND($B$88*12,0)))))),""))</x:f>
        <x:v>0</x:v>
      </x:c>
      <x:c r="L935" s="440" t="n">
        <x:f>IF(ISNUMBER(K935),IF(MAX(0,J935*(1+SUM($B$87)/12)-K935)&lt;MAX(0.0000001,$B$86*0.00000000001),0,MAX(0,J935*(1+SUM($B$87)/12)-K935)),"")</x:f>
        <x:v>0</x:v>
      </x:c>
      <x:c r="M935" s="440" t="n">
        <x:f>IF(AND(ISNUMBER(D935),ISNUMBER(K935)),D935+K935,"")</x:f>
        <x:v>0</x:v>
      </x:c>
      <x:c r="N935" s="440" t="n">
        <x:f>IF(AND(ISNUMBER(H935),ISNUMBER(L935)),H935+L935,"")</x:f>
        <x:v>0</x:v>
      </x:c>
    </x:row>
    <x:row r="936" ht="22" customHeight="1">
      <x:c r="A936" s="254" t="n">
        <x:f>536</x:f>
        <x:v>536</x:v>
      </x:c>
      <x:c r="B936" s="440" t="n">
        <x:f>IF(ISNUMBER(H935),H935,"")</x:f>
        <x:v>0</x:v>
      </x:c>
      <x:c r="C936" s="442" t="n">
        <x:f>IF(ISNUMBER(B936),IF(AND(536&gt;$B$173,$B$78="Refinance",ISNUMBER($B$80),$B$80&gt;=0,$B$80&lt;=1,ROUND($B$81*12,0)&gt;=1,$B$81&lt;=100,SUM($B$82)&gt;=0,SUM($B$82)&lt;=1,SUM($B$83)&gt;=0),$B$80,IF(AND($B$175&gt;0,536&gt;$B$175,ISNUMBER($B$75)),$B$75,$B$61)),"")</x:f>
        <x:v>0.0625</x:v>
      </x:c>
      <x:c r="D936" s="440" t="n">
        <x:f>IF(AND(ISNUMBER(B936),B936=0),0,IF(AND($B$171=1,I935=0,ISNUMBER(C936),ISNUMBER(IF(AND(536&lt;=$B$174,536&lt;=$B$173),B936*C936/12,IF(AND(536=$B$173+1,AND(536&gt;$B$173,$B$78="Refinance",ISNUMBER($B$80),$B$80&gt;=0,$B$80&lt;=1,ROUND($B$81*12,0)&gt;=1,$B$81&lt;=100,SUM($B$82)&gt;=0,SUM($B$82)&lt;=1,SUM($B$83)&gt;=0)),IF(B936=0,0,IF(C936=0,B936/ROUND($B$81*12,0),B936*(C936/12)/(1-(1+C936/12)^(-ROUND($B$81*12,0))))),IF(AND(NOT(AND(536&gt;$B$173,$B$78="Refinance",ISNUMBER($B$80),$B$80&gt;=0,$B$80&lt;=1,ROUND($B$81*12,0)&gt;=1,$B$81&lt;=100,SUM($B$82)&gt;=0,SUM($B$82)&lt;=1,SUM($B$83)&gt;=0)),OR(536=1,536=$B$174+1,AND($B$175&gt;0,536=$B$175+1))),IF(AND($B$170=1,$B$66&gt;0,OR($B$175=0,536&lt;=$B$175)),$B$66,IF($B$172-MAX(536-1,$B$174)&gt;0,IF(B936=0,0,IF(C936=0,B936/($B$172-MAX(536-1,$B$174)),B936*(C936/12)/(1-(1+C936/12)^(-($B$172-MAX(536-1,$B$174)))))),"")),D935))))),IF(IF(AND(536&lt;=$B$174,536&lt;=$B$173),B936*C936/12,IF(AND(536=$B$173+1,AND(536&gt;$B$173,$B$78="Refinance",ISNUMBER($B$80),$B$80&gt;=0,$B$80&lt;=1,ROUND($B$81*12,0)&gt;=1,$B$81&lt;=100,SUM($B$82)&gt;=0,SUM($B$82)&lt;=1,SUM($B$83)&gt;=0)),IF(B936=0,0,IF(C936=0,B936/ROUND($B$81*12,0),B936*(C936/12)/(1-(1+C936/12)^(-ROUND($B$81*12,0))))),IF(AND(NOT(AND(536&gt;$B$173,$B$78="Refinance",ISNUMBER($B$80),$B$80&gt;=0,$B$80&lt;=1,ROUND($B$81*12,0)&gt;=1,$B$81&lt;=100,SUM($B$82)&gt;=0,SUM($B$82)&lt;=1,SUM($B$83)&gt;=0)),OR(536=1,536=$B$174+1,AND($B$175&gt;0,536=$B$175+1))),IF(AND($B$170=1,$B$66&gt;0,OR($B$175=0,536&lt;=$B$175)),$B$66,IF($B$172-MAX(536-1,$B$174)&gt;0,IF(B936=0,0,IF(C936=0,B936/($B$172-MAX(536-1,$B$174)),B936*(C936/12)/(1-(1+C936/12)^(-($B$172-MAX(536-1,$B$174)))))),"")),D935)))+0.0000001&gt;=B936*C936/12,MIN(B936*(1+C936/12),IF(AND(536&lt;=$B$174,536&lt;=$B$173),B936*C936/12,IF(AND(536=$B$173+1,AND(536&gt;$B$173,$B$78="Refinance",ISNUMBER($B$80),$B$80&gt;=0,$B$80&lt;=1,ROUND($B$81*12,0)&gt;=1,$B$81&lt;=100,SUM($B$82)&gt;=0,SUM($B$82)&lt;=1,SUM($B$83)&gt;=0)),IF(B936=0,0,IF(C936=0,B936/ROUND($B$81*12,0),B936*(C936/12)/(1-(1+C936/12)^(-ROUND($B$81*12,0))))),IF(AND(NOT(AND(536&gt;$B$173,$B$78="Refinance",ISNUMBER($B$80),$B$80&gt;=0,$B$80&lt;=1,ROUND($B$81*12,0)&gt;=1,$B$81&lt;=100,SUM($B$82)&gt;=0,SUM($B$82)&lt;=1,SUM($B$83)&gt;=0)),OR(536=1,536=$B$174+1,AND($B$175&gt;0,536=$B$175+1))),IF(AND($B$170=1,$B$66&gt;0,OR($B$175=0,536&lt;=$B$175)),$B$66,IF($B$172-MAX(536-1,$B$174)&gt;0,IF(B936=0,0,IF(C936=0,B936/($B$172-MAX(536-1,$B$174)),B936*(C936/12)/(1-(1+C936/12)^(-($B$172-MAX(536-1,$B$174)))))),"")),D935)))),""),""))</x:f>
        <x:v>0</x:v>
      </x:c>
      <x:c r="E936" s="440" t="n">
        <x:f>IF(AND(536=$B$173,ISNUMBER(D936)),IF(MAX(0,B936*(1+C936/12)-D936)&lt;MAX(0.0000001,$E$17*0.00000000001),0,MAX(0,B936*(1+C936/12)-D936)),0)</x:f>
        <x:v>0</x:v>
      </x:c>
      <x:c r="F936" s="440" t="n">
        <x:f>IF($B$78="Cash payoff",E936,0)</x:f>
        <x:v>0</x:v>
      </x:c>
      <x:c r="G936" s="440" t="n">
        <x:f>IF(AND(E936&gt;0,AND($B$78="Refinance",ISNUMBER($B$80),$B$80&gt;=0,$B$80&lt;=1,ROUND($B$81*12,0)&gt;=1,$B$81&lt;=100,SUM($B$82)&gt;=0,SUM($B$82)&lt;=1,SUM($B$83)&gt;=0)),E936*SUM($B$82)+SUM($B$83),0)</x:f>
        <x:v>0</x:v>
      </x:c>
      <x:c r="H936" s="440" t="n">
        <x:f>IF(ISNUMBER(D936),IF(MAX(0,B936*(1+C936/12)-D936-F936)&lt;MAX(0.0000001,$E$17*0.00000000001),0,MAX(0,B936*(1+C936/12)-D936-F936)),IF(AND($B$171=1,I935=1),B936,""))</x:f>
        <x:v>0</x:v>
      </x:c>
      <x:c r="I936" s="444" t="n">
        <x:f>IF(OR(I935=1,AND(E936&gt;0,$B$78&lt;&gt;"Cash payoff",NOT(AND($B$78="Refinance",ISNUMBER($B$80),$B$80&gt;=0,$B$80&lt;=1,ROUND($B$81*12,0)&gt;=1,$B$81&lt;=100,SUM($B$82)&gt;=0,SUM($B$82)&lt;=1,SUM($B$83)&gt;=0))),AND(ISNUMBER(B936),B936&gt;0,$B$171=1,NOT(ISNUMBER(D936)))),1,0)</x:f>
        <x:v>0</x:v>
      </x:c>
      <x:c r="J936" s="440" t="n">
        <x:f>IF(ISNUMBER(L935),L935,"")</x:f>
        <x:v>0</x:v>
      </x:c>
      <x:c r="K936" s="440" t="n">
        <x:f>IF(AND(ISNUMBER(J936),J936=0),0,IF(AND($B$176=1,ISNUMBER(J936)),MIN(J936*(1+$B$87/12),IF($B$86=0,0,IF($B$87=0,$B$86/ROUND($B$88*12,0),$B$86*($B$87/12)/(1-(1+$B$87/12)^(-ROUND($B$88*12,0)))))),""))</x:f>
        <x:v>0</x:v>
      </x:c>
      <x:c r="L936" s="440" t="n">
        <x:f>IF(ISNUMBER(K936),IF(MAX(0,J936*(1+SUM($B$87)/12)-K936)&lt;MAX(0.0000001,$B$86*0.00000000001),0,MAX(0,J936*(1+SUM($B$87)/12)-K936)),"")</x:f>
        <x:v>0</x:v>
      </x:c>
      <x:c r="M936" s="440" t="n">
        <x:f>IF(AND(ISNUMBER(D936),ISNUMBER(K936)),D936+K936,"")</x:f>
        <x:v>0</x:v>
      </x:c>
      <x:c r="N936" s="440" t="n">
        <x:f>IF(AND(ISNUMBER(H936),ISNUMBER(L936)),H936+L936,"")</x:f>
        <x:v>0</x:v>
      </x:c>
    </x:row>
    <x:row r="937" ht="22" customHeight="1">
      <x:c r="A937" s="254" t="n">
        <x:f>537</x:f>
        <x:v>537</x:v>
      </x:c>
      <x:c r="B937" s="440" t="n">
        <x:f>IF(ISNUMBER(H936),H936,"")</x:f>
        <x:v>0</x:v>
      </x:c>
      <x:c r="C937" s="442" t="n">
        <x:f>IF(ISNUMBER(B937),IF(AND(537&gt;$B$173,$B$78="Refinance",ISNUMBER($B$80),$B$80&gt;=0,$B$80&lt;=1,ROUND($B$81*12,0)&gt;=1,$B$81&lt;=100,SUM($B$82)&gt;=0,SUM($B$82)&lt;=1,SUM($B$83)&gt;=0),$B$80,IF(AND($B$175&gt;0,537&gt;$B$175,ISNUMBER($B$75)),$B$75,$B$61)),"")</x:f>
        <x:v>0.0625</x:v>
      </x:c>
      <x:c r="D937" s="440" t="n">
        <x:f>IF(AND(ISNUMBER(B937),B937=0),0,IF(AND($B$171=1,I936=0,ISNUMBER(C937),ISNUMBER(IF(AND(537&lt;=$B$174,537&lt;=$B$173),B937*C937/12,IF(AND(537=$B$173+1,AND(537&gt;$B$173,$B$78="Refinance",ISNUMBER($B$80),$B$80&gt;=0,$B$80&lt;=1,ROUND($B$81*12,0)&gt;=1,$B$81&lt;=100,SUM($B$82)&gt;=0,SUM($B$82)&lt;=1,SUM($B$83)&gt;=0)),IF(B937=0,0,IF(C937=0,B937/ROUND($B$81*12,0),B937*(C937/12)/(1-(1+C937/12)^(-ROUND($B$81*12,0))))),IF(AND(NOT(AND(537&gt;$B$173,$B$78="Refinance",ISNUMBER($B$80),$B$80&gt;=0,$B$80&lt;=1,ROUND($B$81*12,0)&gt;=1,$B$81&lt;=100,SUM($B$82)&gt;=0,SUM($B$82)&lt;=1,SUM($B$83)&gt;=0)),OR(537=1,537=$B$174+1,AND($B$175&gt;0,537=$B$175+1))),IF(AND($B$170=1,$B$66&gt;0,OR($B$175=0,537&lt;=$B$175)),$B$66,IF($B$172-MAX(537-1,$B$174)&gt;0,IF(B937=0,0,IF(C937=0,B937/($B$172-MAX(537-1,$B$174)),B937*(C937/12)/(1-(1+C937/12)^(-($B$172-MAX(537-1,$B$174)))))),"")),D936))))),IF(IF(AND(537&lt;=$B$174,537&lt;=$B$173),B937*C937/12,IF(AND(537=$B$173+1,AND(537&gt;$B$173,$B$78="Refinance",ISNUMBER($B$80),$B$80&gt;=0,$B$80&lt;=1,ROUND($B$81*12,0)&gt;=1,$B$81&lt;=100,SUM($B$82)&gt;=0,SUM($B$82)&lt;=1,SUM($B$83)&gt;=0)),IF(B937=0,0,IF(C937=0,B937/ROUND($B$81*12,0),B937*(C937/12)/(1-(1+C937/12)^(-ROUND($B$81*12,0))))),IF(AND(NOT(AND(537&gt;$B$173,$B$78="Refinance",ISNUMBER($B$80),$B$80&gt;=0,$B$80&lt;=1,ROUND($B$81*12,0)&gt;=1,$B$81&lt;=100,SUM($B$82)&gt;=0,SUM($B$82)&lt;=1,SUM($B$83)&gt;=0)),OR(537=1,537=$B$174+1,AND($B$175&gt;0,537=$B$175+1))),IF(AND($B$170=1,$B$66&gt;0,OR($B$175=0,537&lt;=$B$175)),$B$66,IF($B$172-MAX(537-1,$B$174)&gt;0,IF(B937=0,0,IF(C937=0,B937/($B$172-MAX(537-1,$B$174)),B937*(C937/12)/(1-(1+C937/12)^(-($B$172-MAX(537-1,$B$174)))))),"")),D936)))+0.0000001&gt;=B937*C937/12,MIN(B937*(1+C937/12),IF(AND(537&lt;=$B$174,537&lt;=$B$173),B937*C937/12,IF(AND(537=$B$173+1,AND(537&gt;$B$173,$B$78="Refinance",ISNUMBER($B$80),$B$80&gt;=0,$B$80&lt;=1,ROUND($B$81*12,0)&gt;=1,$B$81&lt;=100,SUM($B$82)&gt;=0,SUM($B$82)&lt;=1,SUM($B$83)&gt;=0)),IF(B937=0,0,IF(C937=0,B937/ROUND($B$81*12,0),B937*(C937/12)/(1-(1+C937/12)^(-ROUND($B$81*12,0))))),IF(AND(NOT(AND(537&gt;$B$173,$B$78="Refinance",ISNUMBER($B$80),$B$80&gt;=0,$B$80&lt;=1,ROUND($B$81*12,0)&gt;=1,$B$81&lt;=100,SUM($B$82)&gt;=0,SUM($B$82)&lt;=1,SUM($B$83)&gt;=0)),OR(537=1,537=$B$174+1,AND($B$175&gt;0,537=$B$175+1))),IF(AND($B$170=1,$B$66&gt;0,OR($B$175=0,537&lt;=$B$175)),$B$66,IF($B$172-MAX(537-1,$B$174)&gt;0,IF(B937=0,0,IF(C937=0,B937/($B$172-MAX(537-1,$B$174)),B937*(C937/12)/(1-(1+C937/12)^(-($B$172-MAX(537-1,$B$174)))))),"")),D936)))),""),""))</x:f>
        <x:v>0</x:v>
      </x:c>
      <x:c r="E937" s="440" t="n">
        <x:f>IF(AND(537=$B$173,ISNUMBER(D937)),IF(MAX(0,B937*(1+C937/12)-D937)&lt;MAX(0.0000001,$E$17*0.00000000001),0,MAX(0,B937*(1+C937/12)-D937)),0)</x:f>
        <x:v>0</x:v>
      </x:c>
      <x:c r="F937" s="440" t="n">
        <x:f>IF($B$78="Cash payoff",E937,0)</x:f>
        <x:v>0</x:v>
      </x:c>
      <x:c r="G937" s="440" t="n">
        <x:f>IF(AND(E937&gt;0,AND($B$78="Refinance",ISNUMBER($B$80),$B$80&gt;=0,$B$80&lt;=1,ROUND($B$81*12,0)&gt;=1,$B$81&lt;=100,SUM($B$82)&gt;=0,SUM($B$82)&lt;=1,SUM($B$83)&gt;=0)),E937*SUM($B$82)+SUM($B$83),0)</x:f>
        <x:v>0</x:v>
      </x:c>
      <x:c r="H937" s="440" t="n">
        <x:f>IF(ISNUMBER(D937),IF(MAX(0,B937*(1+C937/12)-D937-F937)&lt;MAX(0.0000001,$E$17*0.00000000001),0,MAX(0,B937*(1+C937/12)-D937-F937)),IF(AND($B$171=1,I936=1),B937,""))</x:f>
        <x:v>0</x:v>
      </x:c>
      <x:c r="I937" s="444" t="n">
        <x:f>IF(OR(I936=1,AND(E937&gt;0,$B$78&lt;&gt;"Cash payoff",NOT(AND($B$78="Refinance",ISNUMBER($B$80),$B$80&gt;=0,$B$80&lt;=1,ROUND($B$81*12,0)&gt;=1,$B$81&lt;=100,SUM($B$82)&gt;=0,SUM($B$82)&lt;=1,SUM($B$83)&gt;=0))),AND(ISNUMBER(B937),B937&gt;0,$B$171=1,NOT(ISNUMBER(D937)))),1,0)</x:f>
        <x:v>0</x:v>
      </x:c>
      <x:c r="J937" s="440" t="n">
        <x:f>IF(ISNUMBER(L936),L936,"")</x:f>
        <x:v>0</x:v>
      </x:c>
      <x:c r="K937" s="440" t="n">
        <x:f>IF(AND(ISNUMBER(J937),J937=0),0,IF(AND($B$176=1,ISNUMBER(J937)),MIN(J937*(1+$B$87/12),IF($B$86=0,0,IF($B$87=0,$B$86/ROUND($B$88*12,0),$B$86*($B$87/12)/(1-(1+$B$87/12)^(-ROUND($B$88*12,0)))))),""))</x:f>
        <x:v>0</x:v>
      </x:c>
      <x:c r="L937" s="440" t="n">
        <x:f>IF(ISNUMBER(K937),IF(MAX(0,J937*(1+SUM($B$87)/12)-K937)&lt;MAX(0.0000001,$B$86*0.00000000001),0,MAX(0,J937*(1+SUM($B$87)/12)-K937)),"")</x:f>
        <x:v>0</x:v>
      </x:c>
      <x:c r="M937" s="440" t="n">
        <x:f>IF(AND(ISNUMBER(D937),ISNUMBER(K937)),D937+K937,"")</x:f>
        <x:v>0</x:v>
      </x:c>
      <x:c r="N937" s="440" t="n">
        <x:f>IF(AND(ISNUMBER(H937),ISNUMBER(L937)),H937+L937,"")</x:f>
        <x:v>0</x:v>
      </x:c>
    </x:row>
    <x:row r="938" ht="22" customHeight="1">
      <x:c r="A938" s="254" t="n">
        <x:f>538</x:f>
        <x:v>538</x:v>
      </x:c>
      <x:c r="B938" s="440" t="n">
        <x:f>IF(ISNUMBER(H937),H937,"")</x:f>
        <x:v>0</x:v>
      </x:c>
      <x:c r="C938" s="442" t="n">
        <x:f>IF(ISNUMBER(B938),IF(AND(538&gt;$B$173,$B$78="Refinance",ISNUMBER($B$80),$B$80&gt;=0,$B$80&lt;=1,ROUND($B$81*12,0)&gt;=1,$B$81&lt;=100,SUM($B$82)&gt;=0,SUM($B$82)&lt;=1,SUM($B$83)&gt;=0),$B$80,IF(AND($B$175&gt;0,538&gt;$B$175,ISNUMBER($B$75)),$B$75,$B$61)),"")</x:f>
        <x:v>0.0625</x:v>
      </x:c>
      <x:c r="D938" s="440" t="n">
        <x:f>IF(AND(ISNUMBER(B938),B938=0),0,IF(AND($B$171=1,I937=0,ISNUMBER(C938),ISNUMBER(IF(AND(538&lt;=$B$174,538&lt;=$B$173),B938*C938/12,IF(AND(538=$B$173+1,AND(538&gt;$B$173,$B$78="Refinance",ISNUMBER($B$80),$B$80&gt;=0,$B$80&lt;=1,ROUND($B$81*12,0)&gt;=1,$B$81&lt;=100,SUM($B$82)&gt;=0,SUM($B$82)&lt;=1,SUM($B$83)&gt;=0)),IF(B938=0,0,IF(C938=0,B938/ROUND($B$81*12,0),B938*(C938/12)/(1-(1+C938/12)^(-ROUND($B$81*12,0))))),IF(AND(NOT(AND(538&gt;$B$173,$B$78="Refinance",ISNUMBER($B$80),$B$80&gt;=0,$B$80&lt;=1,ROUND($B$81*12,0)&gt;=1,$B$81&lt;=100,SUM($B$82)&gt;=0,SUM($B$82)&lt;=1,SUM($B$83)&gt;=0)),OR(538=1,538=$B$174+1,AND($B$175&gt;0,538=$B$175+1))),IF(AND($B$170=1,$B$66&gt;0,OR($B$175=0,538&lt;=$B$175)),$B$66,IF($B$172-MAX(538-1,$B$174)&gt;0,IF(B938=0,0,IF(C938=0,B938/($B$172-MAX(538-1,$B$174)),B938*(C938/12)/(1-(1+C938/12)^(-($B$172-MAX(538-1,$B$174)))))),"")),D937))))),IF(IF(AND(538&lt;=$B$174,538&lt;=$B$173),B938*C938/12,IF(AND(538=$B$173+1,AND(538&gt;$B$173,$B$78="Refinance",ISNUMBER($B$80),$B$80&gt;=0,$B$80&lt;=1,ROUND($B$81*12,0)&gt;=1,$B$81&lt;=100,SUM($B$82)&gt;=0,SUM($B$82)&lt;=1,SUM($B$83)&gt;=0)),IF(B938=0,0,IF(C938=0,B938/ROUND($B$81*12,0),B938*(C938/12)/(1-(1+C938/12)^(-ROUND($B$81*12,0))))),IF(AND(NOT(AND(538&gt;$B$173,$B$78="Refinance",ISNUMBER($B$80),$B$80&gt;=0,$B$80&lt;=1,ROUND($B$81*12,0)&gt;=1,$B$81&lt;=100,SUM($B$82)&gt;=0,SUM($B$82)&lt;=1,SUM($B$83)&gt;=0)),OR(538=1,538=$B$174+1,AND($B$175&gt;0,538=$B$175+1))),IF(AND($B$170=1,$B$66&gt;0,OR($B$175=0,538&lt;=$B$175)),$B$66,IF($B$172-MAX(538-1,$B$174)&gt;0,IF(B938=0,0,IF(C938=0,B938/($B$172-MAX(538-1,$B$174)),B938*(C938/12)/(1-(1+C938/12)^(-($B$172-MAX(538-1,$B$174)))))),"")),D937)))+0.0000001&gt;=B938*C938/12,MIN(B938*(1+C938/12),IF(AND(538&lt;=$B$174,538&lt;=$B$173),B938*C938/12,IF(AND(538=$B$173+1,AND(538&gt;$B$173,$B$78="Refinance",ISNUMBER($B$80),$B$80&gt;=0,$B$80&lt;=1,ROUND($B$81*12,0)&gt;=1,$B$81&lt;=100,SUM($B$82)&gt;=0,SUM($B$82)&lt;=1,SUM($B$83)&gt;=0)),IF(B938=0,0,IF(C938=0,B938/ROUND($B$81*12,0),B938*(C938/12)/(1-(1+C938/12)^(-ROUND($B$81*12,0))))),IF(AND(NOT(AND(538&gt;$B$173,$B$78="Refinance",ISNUMBER($B$80),$B$80&gt;=0,$B$80&lt;=1,ROUND($B$81*12,0)&gt;=1,$B$81&lt;=100,SUM($B$82)&gt;=0,SUM($B$82)&lt;=1,SUM($B$83)&gt;=0)),OR(538=1,538=$B$174+1,AND($B$175&gt;0,538=$B$175+1))),IF(AND($B$170=1,$B$66&gt;0,OR($B$175=0,538&lt;=$B$175)),$B$66,IF($B$172-MAX(538-1,$B$174)&gt;0,IF(B938=0,0,IF(C938=0,B938/($B$172-MAX(538-1,$B$174)),B938*(C938/12)/(1-(1+C938/12)^(-($B$172-MAX(538-1,$B$174)))))),"")),D937)))),""),""))</x:f>
        <x:v>0</x:v>
      </x:c>
      <x:c r="E938" s="440" t="n">
        <x:f>IF(AND(538=$B$173,ISNUMBER(D938)),IF(MAX(0,B938*(1+C938/12)-D938)&lt;MAX(0.0000001,$E$17*0.00000000001),0,MAX(0,B938*(1+C938/12)-D938)),0)</x:f>
        <x:v>0</x:v>
      </x:c>
      <x:c r="F938" s="440" t="n">
        <x:f>IF($B$78="Cash payoff",E938,0)</x:f>
        <x:v>0</x:v>
      </x:c>
      <x:c r="G938" s="440" t="n">
        <x:f>IF(AND(E938&gt;0,AND($B$78="Refinance",ISNUMBER($B$80),$B$80&gt;=0,$B$80&lt;=1,ROUND($B$81*12,0)&gt;=1,$B$81&lt;=100,SUM($B$82)&gt;=0,SUM($B$82)&lt;=1,SUM($B$83)&gt;=0)),E938*SUM($B$82)+SUM($B$83),0)</x:f>
        <x:v>0</x:v>
      </x:c>
      <x:c r="H938" s="440" t="n">
        <x:f>IF(ISNUMBER(D938),IF(MAX(0,B938*(1+C938/12)-D938-F938)&lt;MAX(0.0000001,$E$17*0.00000000001),0,MAX(0,B938*(1+C938/12)-D938-F938)),IF(AND($B$171=1,I937=1),B938,""))</x:f>
        <x:v>0</x:v>
      </x:c>
      <x:c r="I938" s="444" t="n">
        <x:f>IF(OR(I937=1,AND(E938&gt;0,$B$78&lt;&gt;"Cash payoff",NOT(AND($B$78="Refinance",ISNUMBER($B$80),$B$80&gt;=0,$B$80&lt;=1,ROUND($B$81*12,0)&gt;=1,$B$81&lt;=100,SUM($B$82)&gt;=0,SUM($B$82)&lt;=1,SUM($B$83)&gt;=0))),AND(ISNUMBER(B938),B938&gt;0,$B$171=1,NOT(ISNUMBER(D938)))),1,0)</x:f>
        <x:v>0</x:v>
      </x:c>
      <x:c r="J938" s="440" t="n">
        <x:f>IF(ISNUMBER(L937),L937,"")</x:f>
        <x:v>0</x:v>
      </x:c>
      <x:c r="K938" s="440" t="n">
        <x:f>IF(AND(ISNUMBER(J938),J938=0),0,IF(AND($B$176=1,ISNUMBER(J938)),MIN(J938*(1+$B$87/12),IF($B$86=0,0,IF($B$87=0,$B$86/ROUND($B$88*12,0),$B$86*($B$87/12)/(1-(1+$B$87/12)^(-ROUND($B$88*12,0)))))),""))</x:f>
        <x:v>0</x:v>
      </x:c>
      <x:c r="L938" s="440" t="n">
        <x:f>IF(ISNUMBER(K938),IF(MAX(0,J938*(1+SUM($B$87)/12)-K938)&lt;MAX(0.0000001,$B$86*0.00000000001),0,MAX(0,J938*(1+SUM($B$87)/12)-K938)),"")</x:f>
        <x:v>0</x:v>
      </x:c>
      <x:c r="M938" s="440" t="n">
        <x:f>IF(AND(ISNUMBER(D938),ISNUMBER(K938)),D938+K938,"")</x:f>
        <x:v>0</x:v>
      </x:c>
      <x:c r="N938" s="440" t="n">
        <x:f>IF(AND(ISNUMBER(H938),ISNUMBER(L938)),H938+L938,"")</x:f>
        <x:v>0</x:v>
      </x:c>
    </x:row>
    <x:row r="939" ht="22" customHeight="1">
      <x:c r="A939" s="254" t="n">
        <x:f>539</x:f>
        <x:v>539</x:v>
      </x:c>
      <x:c r="B939" s="440" t="n">
        <x:f>IF(ISNUMBER(H938),H938,"")</x:f>
        <x:v>0</x:v>
      </x:c>
      <x:c r="C939" s="442" t="n">
        <x:f>IF(ISNUMBER(B939),IF(AND(539&gt;$B$173,$B$78="Refinance",ISNUMBER($B$80),$B$80&gt;=0,$B$80&lt;=1,ROUND($B$81*12,0)&gt;=1,$B$81&lt;=100,SUM($B$82)&gt;=0,SUM($B$82)&lt;=1,SUM($B$83)&gt;=0),$B$80,IF(AND($B$175&gt;0,539&gt;$B$175,ISNUMBER($B$75)),$B$75,$B$61)),"")</x:f>
        <x:v>0.0625</x:v>
      </x:c>
      <x:c r="D939" s="440" t="n">
        <x:f>IF(AND(ISNUMBER(B939),B939=0),0,IF(AND($B$171=1,I938=0,ISNUMBER(C939),ISNUMBER(IF(AND(539&lt;=$B$174,539&lt;=$B$173),B939*C939/12,IF(AND(539=$B$173+1,AND(539&gt;$B$173,$B$78="Refinance",ISNUMBER($B$80),$B$80&gt;=0,$B$80&lt;=1,ROUND($B$81*12,0)&gt;=1,$B$81&lt;=100,SUM($B$82)&gt;=0,SUM($B$82)&lt;=1,SUM($B$83)&gt;=0)),IF(B939=0,0,IF(C939=0,B939/ROUND($B$81*12,0),B939*(C939/12)/(1-(1+C939/12)^(-ROUND($B$81*12,0))))),IF(AND(NOT(AND(539&gt;$B$173,$B$78="Refinance",ISNUMBER($B$80),$B$80&gt;=0,$B$80&lt;=1,ROUND($B$81*12,0)&gt;=1,$B$81&lt;=100,SUM($B$82)&gt;=0,SUM($B$82)&lt;=1,SUM($B$83)&gt;=0)),OR(539=1,539=$B$174+1,AND($B$175&gt;0,539=$B$175+1))),IF(AND($B$170=1,$B$66&gt;0,OR($B$175=0,539&lt;=$B$175)),$B$66,IF($B$172-MAX(539-1,$B$174)&gt;0,IF(B939=0,0,IF(C939=0,B939/($B$172-MAX(539-1,$B$174)),B939*(C939/12)/(1-(1+C939/12)^(-($B$172-MAX(539-1,$B$174)))))),"")),D938))))),IF(IF(AND(539&lt;=$B$174,539&lt;=$B$173),B939*C939/12,IF(AND(539=$B$173+1,AND(539&gt;$B$173,$B$78="Refinance",ISNUMBER($B$80),$B$80&gt;=0,$B$80&lt;=1,ROUND($B$81*12,0)&gt;=1,$B$81&lt;=100,SUM($B$82)&gt;=0,SUM($B$82)&lt;=1,SUM($B$83)&gt;=0)),IF(B939=0,0,IF(C939=0,B939/ROUND($B$81*12,0),B939*(C939/12)/(1-(1+C939/12)^(-ROUND($B$81*12,0))))),IF(AND(NOT(AND(539&gt;$B$173,$B$78="Refinance",ISNUMBER($B$80),$B$80&gt;=0,$B$80&lt;=1,ROUND($B$81*12,0)&gt;=1,$B$81&lt;=100,SUM($B$82)&gt;=0,SUM($B$82)&lt;=1,SUM($B$83)&gt;=0)),OR(539=1,539=$B$174+1,AND($B$175&gt;0,539=$B$175+1))),IF(AND($B$170=1,$B$66&gt;0,OR($B$175=0,539&lt;=$B$175)),$B$66,IF($B$172-MAX(539-1,$B$174)&gt;0,IF(B939=0,0,IF(C939=0,B939/($B$172-MAX(539-1,$B$174)),B939*(C939/12)/(1-(1+C939/12)^(-($B$172-MAX(539-1,$B$174)))))),"")),D938)))+0.0000001&gt;=B939*C939/12,MIN(B939*(1+C939/12),IF(AND(539&lt;=$B$174,539&lt;=$B$173),B939*C939/12,IF(AND(539=$B$173+1,AND(539&gt;$B$173,$B$78="Refinance",ISNUMBER($B$80),$B$80&gt;=0,$B$80&lt;=1,ROUND($B$81*12,0)&gt;=1,$B$81&lt;=100,SUM($B$82)&gt;=0,SUM($B$82)&lt;=1,SUM($B$83)&gt;=0)),IF(B939=0,0,IF(C939=0,B939/ROUND($B$81*12,0),B939*(C939/12)/(1-(1+C939/12)^(-ROUND($B$81*12,0))))),IF(AND(NOT(AND(539&gt;$B$173,$B$78="Refinance",ISNUMBER($B$80),$B$80&gt;=0,$B$80&lt;=1,ROUND($B$81*12,0)&gt;=1,$B$81&lt;=100,SUM($B$82)&gt;=0,SUM($B$82)&lt;=1,SUM($B$83)&gt;=0)),OR(539=1,539=$B$174+1,AND($B$175&gt;0,539=$B$175+1))),IF(AND($B$170=1,$B$66&gt;0,OR($B$175=0,539&lt;=$B$175)),$B$66,IF($B$172-MAX(539-1,$B$174)&gt;0,IF(B939=0,0,IF(C939=0,B939/($B$172-MAX(539-1,$B$174)),B939*(C939/12)/(1-(1+C939/12)^(-($B$172-MAX(539-1,$B$174)))))),"")),D938)))),""),""))</x:f>
        <x:v>0</x:v>
      </x:c>
      <x:c r="E939" s="440" t="n">
        <x:f>IF(AND(539=$B$173,ISNUMBER(D939)),IF(MAX(0,B939*(1+C939/12)-D939)&lt;MAX(0.0000001,$E$17*0.00000000001),0,MAX(0,B939*(1+C939/12)-D939)),0)</x:f>
        <x:v>0</x:v>
      </x:c>
      <x:c r="F939" s="440" t="n">
        <x:f>IF($B$78="Cash payoff",E939,0)</x:f>
        <x:v>0</x:v>
      </x:c>
      <x:c r="G939" s="440" t="n">
        <x:f>IF(AND(E939&gt;0,AND($B$78="Refinance",ISNUMBER($B$80),$B$80&gt;=0,$B$80&lt;=1,ROUND($B$81*12,0)&gt;=1,$B$81&lt;=100,SUM($B$82)&gt;=0,SUM($B$82)&lt;=1,SUM($B$83)&gt;=0)),E939*SUM($B$82)+SUM($B$83),0)</x:f>
        <x:v>0</x:v>
      </x:c>
      <x:c r="H939" s="440" t="n">
        <x:f>IF(ISNUMBER(D939),IF(MAX(0,B939*(1+C939/12)-D939-F939)&lt;MAX(0.0000001,$E$17*0.00000000001),0,MAX(0,B939*(1+C939/12)-D939-F939)),IF(AND($B$171=1,I938=1),B939,""))</x:f>
        <x:v>0</x:v>
      </x:c>
      <x:c r="I939" s="444" t="n">
        <x:f>IF(OR(I938=1,AND(E939&gt;0,$B$78&lt;&gt;"Cash payoff",NOT(AND($B$78="Refinance",ISNUMBER($B$80),$B$80&gt;=0,$B$80&lt;=1,ROUND($B$81*12,0)&gt;=1,$B$81&lt;=100,SUM($B$82)&gt;=0,SUM($B$82)&lt;=1,SUM($B$83)&gt;=0))),AND(ISNUMBER(B939),B939&gt;0,$B$171=1,NOT(ISNUMBER(D939)))),1,0)</x:f>
        <x:v>0</x:v>
      </x:c>
      <x:c r="J939" s="440" t="n">
        <x:f>IF(ISNUMBER(L938),L938,"")</x:f>
        <x:v>0</x:v>
      </x:c>
      <x:c r="K939" s="440" t="n">
        <x:f>IF(AND(ISNUMBER(J939),J939=0),0,IF(AND($B$176=1,ISNUMBER(J939)),MIN(J939*(1+$B$87/12),IF($B$86=0,0,IF($B$87=0,$B$86/ROUND($B$88*12,0),$B$86*($B$87/12)/(1-(1+$B$87/12)^(-ROUND($B$88*12,0)))))),""))</x:f>
        <x:v>0</x:v>
      </x:c>
      <x:c r="L939" s="440" t="n">
        <x:f>IF(ISNUMBER(K939),IF(MAX(0,J939*(1+SUM($B$87)/12)-K939)&lt;MAX(0.0000001,$B$86*0.00000000001),0,MAX(0,J939*(1+SUM($B$87)/12)-K939)),"")</x:f>
        <x:v>0</x:v>
      </x:c>
      <x:c r="M939" s="440" t="n">
        <x:f>IF(AND(ISNUMBER(D939),ISNUMBER(K939)),D939+K939,"")</x:f>
        <x:v>0</x:v>
      </x:c>
      <x:c r="N939" s="440" t="n">
        <x:f>IF(AND(ISNUMBER(H939),ISNUMBER(L939)),H939+L939,"")</x:f>
        <x:v>0</x:v>
      </x:c>
    </x:row>
    <x:row r="940" ht="22" customHeight="1">
      <x:c r="A940" s="254" t="n">
        <x:f>540</x:f>
        <x:v>540</x:v>
      </x:c>
      <x:c r="B940" s="440" t="n">
        <x:f>IF(ISNUMBER(H939),H939,"")</x:f>
        <x:v>0</x:v>
      </x:c>
      <x:c r="C940" s="442" t="n">
        <x:f>IF(ISNUMBER(B940),IF(AND(540&gt;$B$173,$B$78="Refinance",ISNUMBER($B$80),$B$80&gt;=0,$B$80&lt;=1,ROUND($B$81*12,0)&gt;=1,$B$81&lt;=100,SUM($B$82)&gt;=0,SUM($B$82)&lt;=1,SUM($B$83)&gt;=0),$B$80,IF(AND($B$175&gt;0,540&gt;$B$175,ISNUMBER($B$75)),$B$75,$B$61)),"")</x:f>
        <x:v>0.0625</x:v>
      </x:c>
      <x:c r="D940" s="440" t="n">
        <x:f>IF(AND(ISNUMBER(B940),B940=0),0,IF(AND($B$171=1,I939=0,ISNUMBER(C940),ISNUMBER(IF(AND(540&lt;=$B$174,540&lt;=$B$173),B940*C940/12,IF(AND(540=$B$173+1,AND(540&gt;$B$173,$B$78="Refinance",ISNUMBER($B$80),$B$80&gt;=0,$B$80&lt;=1,ROUND($B$81*12,0)&gt;=1,$B$81&lt;=100,SUM($B$82)&gt;=0,SUM($B$82)&lt;=1,SUM($B$83)&gt;=0)),IF(B940=0,0,IF(C940=0,B940/ROUND($B$81*12,0),B940*(C940/12)/(1-(1+C940/12)^(-ROUND($B$81*12,0))))),IF(AND(NOT(AND(540&gt;$B$173,$B$78="Refinance",ISNUMBER($B$80),$B$80&gt;=0,$B$80&lt;=1,ROUND($B$81*12,0)&gt;=1,$B$81&lt;=100,SUM($B$82)&gt;=0,SUM($B$82)&lt;=1,SUM($B$83)&gt;=0)),OR(540=1,540=$B$174+1,AND($B$175&gt;0,540=$B$175+1))),IF(AND($B$170=1,$B$66&gt;0,OR($B$175=0,540&lt;=$B$175)),$B$66,IF($B$172-MAX(540-1,$B$174)&gt;0,IF(B940=0,0,IF(C940=0,B940/($B$172-MAX(540-1,$B$174)),B940*(C940/12)/(1-(1+C940/12)^(-($B$172-MAX(540-1,$B$174)))))),"")),D939))))),IF(IF(AND(540&lt;=$B$174,540&lt;=$B$173),B940*C940/12,IF(AND(540=$B$173+1,AND(540&gt;$B$173,$B$78="Refinance",ISNUMBER($B$80),$B$80&gt;=0,$B$80&lt;=1,ROUND($B$81*12,0)&gt;=1,$B$81&lt;=100,SUM($B$82)&gt;=0,SUM($B$82)&lt;=1,SUM($B$83)&gt;=0)),IF(B940=0,0,IF(C940=0,B940/ROUND($B$81*12,0),B940*(C940/12)/(1-(1+C940/12)^(-ROUND($B$81*12,0))))),IF(AND(NOT(AND(540&gt;$B$173,$B$78="Refinance",ISNUMBER($B$80),$B$80&gt;=0,$B$80&lt;=1,ROUND($B$81*12,0)&gt;=1,$B$81&lt;=100,SUM($B$82)&gt;=0,SUM($B$82)&lt;=1,SUM($B$83)&gt;=0)),OR(540=1,540=$B$174+1,AND($B$175&gt;0,540=$B$175+1))),IF(AND($B$170=1,$B$66&gt;0,OR($B$175=0,540&lt;=$B$175)),$B$66,IF($B$172-MAX(540-1,$B$174)&gt;0,IF(B940=0,0,IF(C940=0,B940/($B$172-MAX(540-1,$B$174)),B940*(C940/12)/(1-(1+C940/12)^(-($B$172-MAX(540-1,$B$174)))))),"")),D939)))+0.0000001&gt;=B940*C940/12,MIN(B940*(1+C940/12),IF(AND(540&lt;=$B$174,540&lt;=$B$173),B940*C940/12,IF(AND(540=$B$173+1,AND(540&gt;$B$173,$B$78="Refinance",ISNUMBER($B$80),$B$80&gt;=0,$B$80&lt;=1,ROUND($B$81*12,0)&gt;=1,$B$81&lt;=100,SUM($B$82)&gt;=0,SUM($B$82)&lt;=1,SUM($B$83)&gt;=0)),IF(B940=0,0,IF(C940=0,B940/ROUND($B$81*12,0),B940*(C940/12)/(1-(1+C940/12)^(-ROUND($B$81*12,0))))),IF(AND(NOT(AND(540&gt;$B$173,$B$78="Refinance",ISNUMBER($B$80),$B$80&gt;=0,$B$80&lt;=1,ROUND($B$81*12,0)&gt;=1,$B$81&lt;=100,SUM($B$82)&gt;=0,SUM($B$82)&lt;=1,SUM($B$83)&gt;=0)),OR(540=1,540=$B$174+1,AND($B$175&gt;0,540=$B$175+1))),IF(AND($B$170=1,$B$66&gt;0,OR($B$175=0,540&lt;=$B$175)),$B$66,IF($B$172-MAX(540-1,$B$174)&gt;0,IF(B940=0,0,IF(C940=0,B940/($B$172-MAX(540-1,$B$174)),B940*(C940/12)/(1-(1+C940/12)^(-($B$172-MAX(540-1,$B$174)))))),"")),D939)))),""),""))</x:f>
        <x:v>0</x:v>
      </x:c>
      <x:c r="E940" s="440" t="n">
        <x:f>IF(AND(540=$B$173,ISNUMBER(D940)),IF(MAX(0,B940*(1+C940/12)-D940)&lt;MAX(0.0000001,$E$17*0.00000000001),0,MAX(0,B940*(1+C940/12)-D940)),0)</x:f>
        <x:v>0</x:v>
      </x:c>
      <x:c r="F940" s="440" t="n">
        <x:f>IF($B$78="Cash payoff",E940,0)</x:f>
        <x:v>0</x:v>
      </x:c>
      <x:c r="G940" s="440" t="n">
        <x:f>IF(AND(E940&gt;0,AND($B$78="Refinance",ISNUMBER($B$80),$B$80&gt;=0,$B$80&lt;=1,ROUND($B$81*12,0)&gt;=1,$B$81&lt;=100,SUM($B$82)&gt;=0,SUM($B$82)&lt;=1,SUM($B$83)&gt;=0)),E940*SUM($B$82)+SUM($B$83),0)</x:f>
        <x:v>0</x:v>
      </x:c>
      <x:c r="H940" s="440" t="n">
        <x:f>IF(ISNUMBER(D940),IF(MAX(0,B940*(1+C940/12)-D940-F940)&lt;MAX(0.0000001,$E$17*0.00000000001),0,MAX(0,B940*(1+C940/12)-D940-F940)),IF(AND($B$171=1,I939=1),B940,""))</x:f>
        <x:v>0</x:v>
      </x:c>
      <x:c r="I940" s="444" t="n">
        <x:f>IF(OR(I939=1,AND(E940&gt;0,$B$78&lt;&gt;"Cash payoff",NOT(AND($B$78="Refinance",ISNUMBER($B$80),$B$80&gt;=0,$B$80&lt;=1,ROUND($B$81*12,0)&gt;=1,$B$81&lt;=100,SUM($B$82)&gt;=0,SUM($B$82)&lt;=1,SUM($B$83)&gt;=0))),AND(ISNUMBER(B940),B940&gt;0,$B$171=1,NOT(ISNUMBER(D940)))),1,0)</x:f>
        <x:v>0</x:v>
      </x:c>
      <x:c r="J940" s="440" t="n">
        <x:f>IF(ISNUMBER(L939),L939,"")</x:f>
        <x:v>0</x:v>
      </x:c>
      <x:c r="K940" s="440" t="n">
        <x:f>IF(AND(ISNUMBER(J940),J940=0),0,IF(AND($B$176=1,ISNUMBER(J940)),MIN(J940*(1+$B$87/12),IF($B$86=0,0,IF($B$87=0,$B$86/ROUND($B$88*12,0),$B$86*($B$87/12)/(1-(1+$B$87/12)^(-ROUND($B$88*12,0)))))),""))</x:f>
        <x:v>0</x:v>
      </x:c>
      <x:c r="L940" s="440" t="n">
        <x:f>IF(ISNUMBER(K940),IF(MAX(0,J940*(1+SUM($B$87)/12)-K940)&lt;MAX(0.0000001,$B$86*0.00000000001),0,MAX(0,J940*(1+SUM($B$87)/12)-K940)),"")</x:f>
        <x:v>0</x:v>
      </x:c>
      <x:c r="M940" s="440" t="n">
        <x:f>IF(AND(ISNUMBER(D940),ISNUMBER(K940)),D940+K940,"")</x:f>
        <x:v>0</x:v>
      </x:c>
      <x:c r="N940" s="440" t="n">
        <x:f>IF(AND(ISNUMBER(H940),ISNUMBER(L940)),H940+L940,"")</x:f>
        <x:v>0</x:v>
      </x:c>
    </x:row>
    <x:row r="941" ht="22" customHeight="1">
      <x:c r="A941" s="254" t="n">
        <x:f>541</x:f>
        <x:v>541</x:v>
      </x:c>
      <x:c r="B941" s="440" t="n">
        <x:f>IF(ISNUMBER(H940),H940,"")</x:f>
        <x:v>0</x:v>
      </x:c>
      <x:c r="C941" s="442" t="n">
        <x:f>IF(ISNUMBER(B941),IF(AND(541&gt;$B$173,$B$78="Refinance",ISNUMBER($B$80),$B$80&gt;=0,$B$80&lt;=1,ROUND($B$81*12,0)&gt;=1,$B$81&lt;=100,SUM($B$82)&gt;=0,SUM($B$82)&lt;=1,SUM($B$83)&gt;=0),$B$80,IF(AND($B$175&gt;0,541&gt;$B$175,ISNUMBER($B$75)),$B$75,$B$61)),"")</x:f>
        <x:v>0.0625</x:v>
      </x:c>
      <x:c r="D941" s="440" t="n">
        <x:f>IF(AND(ISNUMBER(B941),B941=0),0,IF(AND($B$171=1,I940=0,ISNUMBER(C941),ISNUMBER(IF(AND(541&lt;=$B$174,541&lt;=$B$173),B941*C941/12,IF(AND(541=$B$173+1,AND(541&gt;$B$173,$B$78="Refinance",ISNUMBER($B$80),$B$80&gt;=0,$B$80&lt;=1,ROUND($B$81*12,0)&gt;=1,$B$81&lt;=100,SUM($B$82)&gt;=0,SUM($B$82)&lt;=1,SUM($B$83)&gt;=0)),IF(B941=0,0,IF(C941=0,B941/ROUND($B$81*12,0),B941*(C941/12)/(1-(1+C941/12)^(-ROUND($B$81*12,0))))),IF(AND(NOT(AND(541&gt;$B$173,$B$78="Refinance",ISNUMBER($B$80),$B$80&gt;=0,$B$80&lt;=1,ROUND($B$81*12,0)&gt;=1,$B$81&lt;=100,SUM($B$82)&gt;=0,SUM($B$82)&lt;=1,SUM($B$83)&gt;=0)),OR(541=1,541=$B$174+1,AND($B$175&gt;0,541=$B$175+1))),IF(AND($B$170=1,$B$66&gt;0,OR($B$175=0,541&lt;=$B$175)),$B$66,IF($B$172-MAX(541-1,$B$174)&gt;0,IF(B941=0,0,IF(C941=0,B941/($B$172-MAX(541-1,$B$174)),B941*(C941/12)/(1-(1+C941/12)^(-($B$172-MAX(541-1,$B$174)))))),"")),D940))))),IF(IF(AND(541&lt;=$B$174,541&lt;=$B$173),B941*C941/12,IF(AND(541=$B$173+1,AND(541&gt;$B$173,$B$78="Refinance",ISNUMBER($B$80),$B$80&gt;=0,$B$80&lt;=1,ROUND($B$81*12,0)&gt;=1,$B$81&lt;=100,SUM($B$82)&gt;=0,SUM($B$82)&lt;=1,SUM($B$83)&gt;=0)),IF(B941=0,0,IF(C941=0,B941/ROUND($B$81*12,0),B941*(C941/12)/(1-(1+C941/12)^(-ROUND($B$81*12,0))))),IF(AND(NOT(AND(541&gt;$B$173,$B$78="Refinance",ISNUMBER($B$80),$B$80&gt;=0,$B$80&lt;=1,ROUND($B$81*12,0)&gt;=1,$B$81&lt;=100,SUM($B$82)&gt;=0,SUM($B$82)&lt;=1,SUM($B$83)&gt;=0)),OR(541=1,541=$B$174+1,AND($B$175&gt;0,541=$B$175+1))),IF(AND($B$170=1,$B$66&gt;0,OR($B$175=0,541&lt;=$B$175)),$B$66,IF($B$172-MAX(541-1,$B$174)&gt;0,IF(B941=0,0,IF(C941=0,B941/($B$172-MAX(541-1,$B$174)),B941*(C941/12)/(1-(1+C941/12)^(-($B$172-MAX(541-1,$B$174)))))),"")),D940)))+0.0000001&gt;=B941*C941/12,MIN(B941*(1+C941/12),IF(AND(541&lt;=$B$174,541&lt;=$B$173),B941*C941/12,IF(AND(541=$B$173+1,AND(541&gt;$B$173,$B$78="Refinance",ISNUMBER($B$80),$B$80&gt;=0,$B$80&lt;=1,ROUND($B$81*12,0)&gt;=1,$B$81&lt;=100,SUM($B$82)&gt;=0,SUM($B$82)&lt;=1,SUM($B$83)&gt;=0)),IF(B941=0,0,IF(C941=0,B941/ROUND($B$81*12,0),B941*(C941/12)/(1-(1+C941/12)^(-ROUND($B$81*12,0))))),IF(AND(NOT(AND(541&gt;$B$173,$B$78="Refinance",ISNUMBER($B$80),$B$80&gt;=0,$B$80&lt;=1,ROUND($B$81*12,0)&gt;=1,$B$81&lt;=100,SUM($B$82)&gt;=0,SUM($B$82)&lt;=1,SUM($B$83)&gt;=0)),OR(541=1,541=$B$174+1,AND($B$175&gt;0,541=$B$175+1))),IF(AND($B$170=1,$B$66&gt;0,OR($B$175=0,541&lt;=$B$175)),$B$66,IF($B$172-MAX(541-1,$B$174)&gt;0,IF(B941=0,0,IF(C941=0,B941/($B$172-MAX(541-1,$B$174)),B941*(C941/12)/(1-(1+C941/12)^(-($B$172-MAX(541-1,$B$174)))))),"")),D940)))),""),""))</x:f>
        <x:v>0</x:v>
      </x:c>
      <x:c r="E941" s="440" t="n">
        <x:f>IF(AND(541=$B$173,ISNUMBER(D941)),IF(MAX(0,B941*(1+C941/12)-D941)&lt;MAX(0.0000001,$E$17*0.00000000001),0,MAX(0,B941*(1+C941/12)-D941)),0)</x:f>
        <x:v>0</x:v>
      </x:c>
      <x:c r="F941" s="440" t="n">
        <x:f>IF($B$78="Cash payoff",E941,0)</x:f>
        <x:v>0</x:v>
      </x:c>
      <x:c r="G941" s="440" t="n">
        <x:f>IF(AND(E941&gt;0,AND($B$78="Refinance",ISNUMBER($B$80),$B$80&gt;=0,$B$80&lt;=1,ROUND($B$81*12,0)&gt;=1,$B$81&lt;=100,SUM($B$82)&gt;=0,SUM($B$82)&lt;=1,SUM($B$83)&gt;=0)),E941*SUM($B$82)+SUM($B$83),0)</x:f>
        <x:v>0</x:v>
      </x:c>
      <x:c r="H941" s="440" t="n">
        <x:f>IF(ISNUMBER(D941),IF(MAX(0,B941*(1+C941/12)-D941-F941)&lt;MAX(0.0000001,$E$17*0.00000000001),0,MAX(0,B941*(1+C941/12)-D941-F941)),IF(AND($B$171=1,I940=1),B941,""))</x:f>
        <x:v>0</x:v>
      </x:c>
      <x:c r="I941" s="444" t="n">
        <x:f>IF(OR(I940=1,AND(E941&gt;0,$B$78&lt;&gt;"Cash payoff",NOT(AND($B$78="Refinance",ISNUMBER($B$80),$B$80&gt;=0,$B$80&lt;=1,ROUND($B$81*12,0)&gt;=1,$B$81&lt;=100,SUM($B$82)&gt;=0,SUM($B$82)&lt;=1,SUM($B$83)&gt;=0))),AND(ISNUMBER(B941),B941&gt;0,$B$171=1,NOT(ISNUMBER(D941)))),1,0)</x:f>
        <x:v>0</x:v>
      </x:c>
      <x:c r="J941" s="440" t="n">
        <x:f>IF(ISNUMBER(L940),L940,"")</x:f>
        <x:v>0</x:v>
      </x:c>
      <x:c r="K941" s="440" t="n">
        <x:f>IF(AND(ISNUMBER(J941),J941=0),0,IF(AND($B$176=1,ISNUMBER(J941)),MIN(J941*(1+$B$87/12),IF($B$86=0,0,IF($B$87=0,$B$86/ROUND($B$88*12,0),$B$86*($B$87/12)/(1-(1+$B$87/12)^(-ROUND($B$88*12,0)))))),""))</x:f>
        <x:v>0</x:v>
      </x:c>
      <x:c r="L941" s="440" t="n">
        <x:f>IF(ISNUMBER(K941),IF(MAX(0,J941*(1+SUM($B$87)/12)-K941)&lt;MAX(0.0000001,$B$86*0.00000000001),0,MAX(0,J941*(1+SUM($B$87)/12)-K941)),"")</x:f>
        <x:v>0</x:v>
      </x:c>
      <x:c r="M941" s="440" t="n">
        <x:f>IF(AND(ISNUMBER(D941),ISNUMBER(K941)),D941+K941,"")</x:f>
        <x:v>0</x:v>
      </x:c>
      <x:c r="N941" s="440" t="n">
        <x:f>IF(AND(ISNUMBER(H941),ISNUMBER(L941)),H941+L941,"")</x:f>
        <x:v>0</x:v>
      </x:c>
    </x:row>
    <x:row r="942" ht="22" customHeight="1">
      <x:c r="A942" s="254" t="n">
        <x:f>542</x:f>
        <x:v>542</x:v>
      </x:c>
      <x:c r="B942" s="440" t="n">
        <x:f>IF(ISNUMBER(H941),H941,"")</x:f>
        <x:v>0</x:v>
      </x:c>
      <x:c r="C942" s="442" t="n">
        <x:f>IF(ISNUMBER(B942),IF(AND(542&gt;$B$173,$B$78="Refinance",ISNUMBER($B$80),$B$80&gt;=0,$B$80&lt;=1,ROUND($B$81*12,0)&gt;=1,$B$81&lt;=100,SUM($B$82)&gt;=0,SUM($B$82)&lt;=1,SUM($B$83)&gt;=0),$B$80,IF(AND($B$175&gt;0,542&gt;$B$175,ISNUMBER($B$75)),$B$75,$B$61)),"")</x:f>
        <x:v>0.0625</x:v>
      </x:c>
      <x:c r="D942" s="440" t="n">
        <x:f>IF(AND(ISNUMBER(B942),B942=0),0,IF(AND($B$171=1,I941=0,ISNUMBER(C942),ISNUMBER(IF(AND(542&lt;=$B$174,542&lt;=$B$173),B942*C942/12,IF(AND(542=$B$173+1,AND(542&gt;$B$173,$B$78="Refinance",ISNUMBER($B$80),$B$80&gt;=0,$B$80&lt;=1,ROUND($B$81*12,0)&gt;=1,$B$81&lt;=100,SUM($B$82)&gt;=0,SUM($B$82)&lt;=1,SUM($B$83)&gt;=0)),IF(B942=0,0,IF(C942=0,B942/ROUND($B$81*12,0),B942*(C942/12)/(1-(1+C942/12)^(-ROUND($B$81*12,0))))),IF(AND(NOT(AND(542&gt;$B$173,$B$78="Refinance",ISNUMBER($B$80),$B$80&gt;=0,$B$80&lt;=1,ROUND($B$81*12,0)&gt;=1,$B$81&lt;=100,SUM($B$82)&gt;=0,SUM($B$82)&lt;=1,SUM($B$83)&gt;=0)),OR(542=1,542=$B$174+1,AND($B$175&gt;0,542=$B$175+1))),IF(AND($B$170=1,$B$66&gt;0,OR($B$175=0,542&lt;=$B$175)),$B$66,IF($B$172-MAX(542-1,$B$174)&gt;0,IF(B942=0,0,IF(C942=0,B942/($B$172-MAX(542-1,$B$174)),B942*(C942/12)/(1-(1+C942/12)^(-($B$172-MAX(542-1,$B$174)))))),"")),D941))))),IF(IF(AND(542&lt;=$B$174,542&lt;=$B$173),B942*C942/12,IF(AND(542=$B$173+1,AND(542&gt;$B$173,$B$78="Refinance",ISNUMBER($B$80),$B$80&gt;=0,$B$80&lt;=1,ROUND($B$81*12,0)&gt;=1,$B$81&lt;=100,SUM($B$82)&gt;=0,SUM($B$82)&lt;=1,SUM($B$83)&gt;=0)),IF(B942=0,0,IF(C942=0,B942/ROUND($B$81*12,0),B942*(C942/12)/(1-(1+C942/12)^(-ROUND($B$81*12,0))))),IF(AND(NOT(AND(542&gt;$B$173,$B$78="Refinance",ISNUMBER($B$80),$B$80&gt;=0,$B$80&lt;=1,ROUND($B$81*12,0)&gt;=1,$B$81&lt;=100,SUM($B$82)&gt;=0,SUM($B$82)&lt;=1,SUM($B$83)&gt;=0)),OR(542=1,542=$B$174+1,AND($B$175&gt;0,542=$B$175+1))),IF(AND($B$170=1,$B$66&gt;0,OR($B$175=0,542&lt;=$B$175)),$B$66,IF($B$172-MAX(542-1,$B$174)&gt;0,IF(B942=0,0,IF(C942=0,B942/($B$172-MAX(542-1,$B$174)),B942*(C942/12)/(1-(1+C942/12)^(-($B$172-MAX(542-1,$B$174)))))),"")),D941)))+0.0000001&gt;=B942*C942/12,MIN(B942*(1+C942/12),IF(AND(542&lt;=$B$174,542&lt;=$B$173),B942*C942/12,IF(AND(542=$B$173+1,AND(542&gt;$B$173,$B$78="Refinance",ISNUMBER($B$80),$B$80&gt;=0,$B$80&lt;=1,ROUND($B$81*12,0)&gt;=1,$B$81&lt;=100,SUM($B$82)&gt;=0,SUM($B$82)&lt;=1,SUM($B$83)&gt;=0)),IF(B942=0,0,IF(C942=0,B942/ROUND($B$81*12,0),B942*(C942/12)/(1-(1+C942/12)^(-ROUND($B$81*12,0))))),IF(AND(NOT(AND(542&gt;$B$173,$B$78="Refinance",ISNUMBER($B$80),$B$80&gt;=0,$B$80&lt;=1,ROUND($B$81*12,0)&gt;=1,$B$81&lt;=100,SUM($B$82)&gt;=0,SUM($B$82)&lt;=1,SUM($B$83)&gt;=0)),OR(542=1,542=$B$174+1,AND($B$175&gt;0,542=$B$175+1))),IF(AND($B$170=1,$B$66&gt;0,OR($B$175=0,542&lt;=$B$175)),$B$66,IF($B$172-MAX(542-1,$B$174)&gt;0,IF(B942=0,0,IF(C942=0,B942/($B$172-MAX(542-1,$B$174)),B942*(C942/12)/(1-(1+C942/12)^(-($B$172-MAX(542-1,$B$174)))))),"")),D941)))),""),""))</x:f>
        <x:v>0</x:v>
      </x:c>
      <x:c r="E942" s="440" t="n">
        <x:f>IF(AND(542=$B$173,ISNUMBER(D942)),IF(MAX(0,B942*(1+C942/12)-D942)&lt;MAX(0.0000001,$E$17*0.00000000001),0,MAX(0,B942*(1+C942/12)-D942)),0)</x:f>
        <x:v>0</x:v>
      </x:c>
      <x:c r="F942" s="440" t="n">
        <x:f>IF($B$78="Cash payoff",E942,0)</x:f>
        <x:v>0</x:v>
      </x:c>
      <x:c r="G942" s="440" t="n">
        <x:f>IF(AND(E942&gt;0,AND($B$78="Refinance",ISNUMBER($B$80),$B$80&gt;=0,$B$80&lt;=1,ROUND($B$81*12,0)&gt;=1,$B$81&lt;=100,SUM($B$82)&gt;=0,SUM($B$82)&lt;=1,SUM($B$83)&gt;=0)),E942*SUM($B$82)+SUM($B$83),0)</x:f>
        <x:v>0</x:v>
      </x:c>
      <x:c r="H942" s="440" t="n">
        <x:f>IF(ISNUMBER(D942),IF(MAX(0,B942*(1+C942/12)-D942-F942)&lt;MAX(0.0000001,$E$17*0.00000000001),0,MAX(0,B942*(1+C942/12)-D942-F942)),IF(AND($B$171=1,I941=1),B942,""))</x:f>
        <x:v>0</x:v>
      </x:c>
      <x:c r="I942" s="444" t="n">
        <x:f>IF(OR(I941=1,AND(E942&gt;0,$B$78&lt;&gt;"Cash payoff",NOT(AND($B$78="Refinance",ISNUMBER($B$80),$B$80&gt;=0,$B$80&lt;=1,ROUND($B$81*12,0)&gt;=1,$B$81&lt;=100,SUM($B$82)&gt;=0,SUM($B$82)&lt;=1,SUM($B$83)&gt;=0))),AND(ISNUMBER(B942),B942&gt;0,$B$171=1,NOT(ISNUMBER(D942)))),1,0)</x:f>
        <x:v>0</x:v>
      </x:c>
      <x:c r="J942" s="440" t="n">
        <x:f>IF(ISNUMBER(L941),L941,"")</x:f>
        <x:v>0</x:v>
      </x:c>
      <x:c r="K942" s="440" t="n">
        <x:f>IF(AND(ISNUMBER(J942),J942=0),0,IF(AND($B$176=1,ISNUMBER(J942)),MIN(J942*(1+$B$87/12),IF($B$86=0,0,IF($B$87=0,$B$86/ROUND($B$88*12,0),$B$86*($B$87/12)/(1-(1+$B$87/12)^(-ROUND($B$88*12,0)))))),""))</x:f>
        <x:v>0</x:v>
      </x:c>
      <x:c r="L942" s="440" t="n">
        <x:f>IF(ISNUMBER(K942),IF(MAX(0,J942*(1+SUM($B$87)/12)-K942)&lt;MAX(0.0000001,$B$86*0.00000000001),0,MAX(0,J942*(1+SUM($B$87)/12)-K942)),"")</x:f>
        <x:v>0</x:v>
      </x:c>
      <x:c r="M942" s="440" t="n">
        <x:f>IF(AND(ISNUMBER(D942),ISNUMBER(K942)),D942+K942,"")</x:f>
        <x:v>0</x:v>
      </x:c>
      <x:c r="N942" s="440" t="n">
        <x:f>IF(AND(ISNUMBER(H942),ISNUMBER(L942)),H942+L942,"")</x:f>
        <x:v>0</x:v>
      </x:c>
    </x:row>
    <x:row r="943" ht="22" customHeight="1">
      <x:c r="A943" s="254" t="n">
        <x:f>543</x:f>
        <x:v>543</x:v>
      </x:c>
      <x:c r="B943" s="440" t="n">
        <x:f>IF(ISNUMBER(H942),H942,"")</x:f>
        <x:v>0</x:v>
      </x:c>
      <x:c r="C943" s="442" t="n">
        <x:f>IF(ISNUMBER(B943),IF(AND(543&gt;$B$173,$B$78="Refinance",ISNUMBER($B$80),$B$80&gt;=0,$B$80&lt;=1,ROUND($B$81*12,0)&gt;=1,$B$81&lt;=100,SUM($B$82)&gt;=0,SUM($B$82)&lt;=1,SUM($B$83)&gt;=0),$B$80,IF(AND($B$175&gt;0,543&gt;$B$175,ISNUMBER($B$75)),$B$75,$B$61)),"")</x:f>
        <x:v>0.0625</x:v>
      </x:c>
      <x:c r="D943" s="440" t="n">
        <x:f>IF(AND(ISNUMBER(B943),B943=0),0,IF(AND($B$171=1,I942=0,ISNUMBER(C943),ISNUMBER(IF(AND(543&lt;=$B$174,543&lt;=$B$173),B943*C943/12,IF(AND(543=$B$173+1,AND(543&gt;$B$173,$B$78="Refinance",ISNUMBER($B$80),$B$80&gt;=0,$B$80&lt;=1,ROUND($B$81*12,0)&gt;=1,$B$81&lt;=100,SUM($B$82)&gt;=0,SUM($B$82)&lt;=1,SUM($B$83)&gt;=0)),IF(B943=0,0,IF(C943=0,B943/ROUND($B$81*12,0),B943*(C943/12)/(1-(1+C943/12)^(-ROUND($B$81*12,0))))),IF(AND(NOT(AND(543&gt;$B$173,$B$78="Refinance",ISNUMBER($B$80),$B$80&gt;=0,$B$80&lt;=1,ROUND($B$81*12,0)&gt;=1,$B$81&lt;=100,SUM($B$82)&gt;=0,SUM($B$82)&lt;=1,SUM($B$83)&gt;=0)),OR(543=1,543=$B$174+1,AND($B$175&gt;0,543=$B$175+1))),IF(AND($B$170=1,$B$66&gt;0,OR($B$175=0,543&lt;=$B$175)),$B$66,IF($B$172-MAX(543-1,$B$174)&gt;0,IF(B943=0,0,IF(C943=0,B943/($B$172-MAX(543-1,$B$174)),B943*(C943/12)/(1-(1+C943/12)^(-($B$172-MAX(543-1,$B$174)))))),"")),D942))))),IF(IF(AND(543&lt;=$B$174,543&lt;=$B$173),B943*C943/12,IF(AND(543=$B$173+1,AND(543&gt;$B$173,$B$78="Refinance",ISNUMBER($B$80),$B$80&gt;=0,$B$80&lt;=1,ROUND($B$81*12,0)&gt;=1,$B$81&lt;=100,SUM($B$82)&gt;=0,SUM($B$82)&lt;=1,SUM($B$83)&gt;=0)),IF(B943=0,0,IF(C943=0,B943/ROUND($B$81*12,0),B943*(C943/12)/(1-(1+C943/12)^(-ROUND($B$81*12,0))))),IF(AND(NOT(AND(543&gt;$B$173,$B$78="Refinance",ISNUMBER($B$80),$B$80&gt;=0,$B$80&lt;=1,ROUND($B$81*12,0)&gt;=1,$B$81&lt;=100,SUM($B$82)&gt;=0,SUM($B$82)&lt;=1,SUM($B$83)&gt;=0)),OR(543=1,543=$B$174+1,AND($B$175&gt;0,543=$B$175+1))),IF(AND($B$170=1,$B$66&gt;0,OR($B$175=0,543&lt;=$B$175)),$B$66,IF($B$172-MAX(543-1,$B$174)&gt;0,IF(B943=0,0,IF(C943=0,B943/($B$172-MAX(543-1,$B$174)),B943*(C943/12)/(1-(1+C943/12)^(-($B$172-MAX(543-1,$B$174)))))),"")),D942)))+0.0000001&gt;=B943*C943/12,MIN(B943*(1+C943/12),IF(AND(543&lt;=$B$174,543&lt;=$B$173),B943*C943/12,IF(AND(543=$B$173+1,AND(543&gt;$B$173,$B$78="Refinance",ISNUMBER($B$80),$B$80&gt;=0,$B$80&lt;=1,ROUND($B$81*12,0)&gt;=1,$B$81&lt;=100,SUM($B$82)&gt;=0,SUM($B$82)&lt;=1,SUM($B$83)&gt;=0)),IF(B943=0,0,IF(C943=0,B943/ROUND($B$81*12,0),B943*(C943/12)/(1-(1+C943/12)^(-ROUND($B$81*12,0))))),IF(AND(NOT(AND(543&gt;$B$173,$B$78="Refinance",ISNUMBER($B$80),$B$80&gt;=0,$B$80&lt;=1,ROUND($B$81*12,0)&gt;=1,$B$81&lt;=100,SUM($B$82)&gt;=0,SUM($B$82)&lt;=1,SUM($B$83)&gt;=0)),OR(543=1,543=$B$174+1,AND($B$175&gt;0,543=$B$175+1))),IF(AND($B$170=1,$B$66&gt;0,OR($B$175=0,543&lt;=$B$175)),$B$66,IF($B$172-MAX(543-1,$B$174)&gt;0,IF(B943=0,0,IF(C943=0,B943/($B$172-MAX(543-1,$B$174)),B943*(C943/12)/(1-(1+C943/12)^(-($B$172-MAX(543-1,$B$174)))))),"")),D942)))),""),""))</x:f>
        <x:v>0</x:v>
      </x:c>
      <x:c r="E943" s="440" t="n">
        <x:f>IF(AND(543=$B$173,ISNUMBER(D943)),IF(MAX(0,B943*(1+C943/12)-D943)&lt;MAX(0.0000001,$E$17*0.00000000001),0,MAX(0,B943*(1+C943/12)-D943)),0)</x:f>
        <x:v>0</x:v>
      </x:c>
      <x:c r="F943" s="440" t="n">
        <x:f>IF($B$78="Cash payoff",E943,0)</x:f>
        <x:v>0</x:v>
      </x:c>
      <x:c r="G943" s="440" t="n">
        <x:f>IF(AND(E943&gt;0,AND($B$78="Refinance",ISNUMBER($B$80),$B$80&gt;=0,$B$80&lt;=1,ROUND($B$81*12,0)&gt;=1,$B$81&lt;=100,SUM($B$82)&gt;=0,SUM($B$82)&lt;=1,SUM($B$83)&gt;=0)),E943*SUM($B$82)+SUM($B$83),0)</x:f>
        <x:v>0</x:v>
      </x:c>
      <x:c r="H943" s="440" t="n">
        <x:f>IF(ISNUMBER(D943),IF(MAX(0,B943*(1+C943/12)-D943-F943)&lt;MAX(0.0000001,$E$17*0.00000000001),0,MAX(0,B943*(1+C943/12)-D943-F943)),IF(AND($B$171=1,I942=1),B943,""))</x:f>
        <x:v>0</x:v>
      </x:c>
      <x:c r="I943" s="444" t="n">
        <x:f>IF(OR(I942=1,AND(E943&gt;0,$B$78&lt;&gt;"Cash payoff",NOT(AND($B$78="Refinance",ISNUMBER($B$80),$B$80&gt;=0,$B$80&lt;=1,ROUND($B$81*12,0)&gt;=1,$B$81&lt;=100,SUM($B$82)&gt;=0,SUM($B$82)&lt;=1,SUM($B$83)&gt;=0))),AND(ISNUMBER(B943),B943&gt;0,$B$171=1,NOT(ISNUMBER(D943)))),1,0)</x:f>
        <x:v>0</x:v>
      </x:c>
      <x:c r="J943" s="440" t="n">
        <x:f>IF(ISNUMBER(L942),L942,"")</x:f>
        <x:v>0</x:v>
      </x:c>
      <x:c r="K943" s="440" t="n">
        <x:f>IF(AND(ISNUMBER(J943),J943=0),0,IF(AND($B$176=1,ISNUMBER(J943)),MIN(J943*(1+$B$87/12),IF($B$86=0,0,IF($B$87=0,$B$86/ROUND($B$88*12,0),$B$86*($B$87/12)/(1-(1+$B$87/12)^(-ROUND($B$88*12,0)))))),""))</x:f>
        <x:v>0</x:v>
      </x:c>
      <x:c r="L943" s="440" t="n">
        <x:f>IF(ISNUMBER(K943),IF(MAX(0,J943*(1+SUM($B$87)/12)-K943)&lt;MAX(0.0000001,$B$86*0.00000000001),0,MAX(0,J943*(1+SUM($B$87)/12)-K943)),"")</x:f>
        <x:v>0</x:v>
      </x:c>
      <x:c r="M943" s="440" t="n">
        <x:f>IF(AND(ISNUMBER(D943),ISNUMBER(K943)),D943+K943,"")</x:f>
        <x:v>0</x:v>
      </x:c>
      <x:c r="N943" s="440" t="n">
        <x:f>IF(AND(ISNUMBER(H943),ISNUMBER(L943)),H943+L943,"")</x:f>
        <x:v>0</x:v>
      </x:c>
    </x:row>
    <x:row r="944" ht="22" customHeight="1">
      <x:c r="A944" s="254" t="n">
        <x:f>544</x:f>
        <x:v>544</x:v>
      </x:c>
      <x:c r="B944" s="440" t="n">
        <x:f>IF(ISNUMBER(H943),H943,"")</x:f>
        <x:v>0</x:v>
      </x:c>
      <x:c r="C944" s="442" t="n">
        <x:f>IF(ISNUMBER(B944),IF(AND(544&gt;$B$173,$B$78="Refinance",ISNUMBER($B$80),$B$80&gt;=0,$B$80&lt;=1,ROUND($B$81*12,0)&gt;=1,$B$81&lt;=100,SUM($B$82)&gt;=0,SUM($B$82)&lt;=1,SUM($B$83)&gt;=0),$B$80,IF(AND($B$175&gt;0,544&gt;$B$175,ISNUMBER($B$75)),$B$75,$B$61)),"")</x:f>
        <x:v>0.0625</x:v>
      </x:c>
      <x:c r="D944" s="440" t="n">
        <x:f>IF(AND(ISNUMBER(B944),B944=0),0,IF(AND($B$171=1,I943=0,ISNUMBER(C944),ISNUMBER(IF(AND(544&lt;=$B$174,544&lt;=$B$173),B944*C944/12,IF(AND(544=$B$173+1,AND(544&gt;$B$173,$B$78="Refinance",ISNUMBER($B$80),$B$80&gt;=0,$B$80&lt;=1,ROUND($B$81*12,0)&gt;=1,$B$81&lt;=100,SUM($B$82)&gt;=0,SUM($B$82)&lt;=1,SUM($B$83)&gt;=0)),IF(B944=0,0,IF(C944=0,B944/ROUND($B$81*12,0),B944*(C944/12)/(1-(1+C944/12)^(-ROUND($B$81*12,0))))),IF(AND(NOT(AND(544&gt;$B$173,$B$78="Refinance",ISNUMBER($B$80),$B$80&gt;=0,$B$80&lt;=1,ROUND($B$81*12,0)&gt;=1,$B$81&lt;=100,SUM($B$82)&gt;=0,SUM($B$82)&lt;=1,SUM($B$83)&gt;=0)),OR(544=1,544=$B$174+1,AND($B$175&gt;0,544=$B$175+1))),IF(AND($B$170=1,$B$66&gt;0,OR($B$175=0,544&lt;=$B$175)),$B$66,IF($B$172-MAX(544-1,$B$174)&gt;0,IF(B944=0,0,IF(C944=0,B944/($B$172-MAX(544-1,$B$174)),B944*(C944/12)/(1-(1+C944/12)^(-($B$172-MAX(544-1,$B$174)))))),"")),D943))))),IF(IF(AND(544&lt;=$B$174,544&lt;=$B$173),B944*C944/12,IF(AND(544=$B$173+1,AND(544&gt;$B$173,$B$78="Refinance",ISNUMBER($B$80),$B$80&gt;=0,$B$80&lt;=1,ROUND($B$81*12,0)&gt;=1,$B$81&lt;=100,SUM($B$82)&gt;=0,SUM($B$82)&lt;=1,SUM($B$83)&gt;=0)),IF(B944=0,0,IF(C944=0,B944/ROUND($B$81*12,0),B944*(C944/12)/(1-(1+C944/12)^(-ROUND($B$81*12,0))))),IF(AND(NOT(AND(544&gt;$B$173,$B$78="Refinance",ISNUMBER($B$80),$B$80&gt;=0,$B$80&lt;=1,ROUND($B$81*12,0)&gt;=1,$B$81&lt;=100,SUM($B$82)&gt;=0,SUM($B$82)&lt;=1,SUM($B$83)&gt;=0)),OR(544=1,544=$B$174+1,AND($B$175&gt;0,544=$B$175+1))),IF(AND($B$170=1,$B$66&gt;0,OR($B$175=0,544&lt;=$B$175)),$B$66,IF($B$172-MAX(544-1,$B$174)&gt;0,IF(B944=0,0,IF(C944=0,B944/($B$172-MAX(544-1,$B$174)),B944*(C944/12)/(1-(1+C944/12)^(-($B$172-MAX(544-1,$B$174)))))),"")),D943)))+0.0000001&gt;=B944*C944/12,MIN(B944*(1+C944/12),IF(AND(544&lt;=$B$174,544&lt;=$B$173),B944*C944/12,IF(AND(544=$B$173+1,AND(544&gt;$B$173,$B$78="Refinance",ISNUMBER($B$80),$B$80&gt;=0,$B$80&lt;=1,ROUND($B$81*12,0)&gt;=1,$B$81&lt;=100,SUM($B$82)&gt;=0,SUM($B$82)&lt;=1,SUM($B$83)&gt;=0)),IF(B944=0,0,IF(C944=0,B944/ROUND($B$81*12,0),B944*(C944/12)/(1-(1+C944/12)^(-ROUND($B$81*12,0))))),IF(AND(NOT(AND(544&gt;$B$173,$B$78="Refinance",ISNUMBER($B$80),$B$80&gt;=0,$B$80&lt;=1,ROUND($B$81*12,0)&gt;=1,$B$81&lt;=100,SUM($B$82)&gt;=0,SUM($B$82)&lt;=1,SUM($B$83)&gt;=0)),OR(544=1,544=$B$174+1,AND($B$175&gt;0,544=$B$175+1))),IF(AND($B$170=1,$B$66&gt;0,OR($B$175=0,544&lt;=$B$175)),$B$66,IF($B$172-MAX(544-1,$B$174)&gt;0,IF(B944=0,0,IF(C944=0,B944/($B$172-MAX(544-1,$B$174)),B944*(C944/12)/(1-(1+C944/12)^(-($B$172-MAX(544-1,$B$174)))))),"")),D943)))),""),""))</x:f>
        <x:v>0</x:v>
      </x:c>
      <x:c r="E944" s="440" t="n">
        <x:f>IF(AND(544=$B$173,ISNUMBER(D944)),IF(MAX(0,B944*(1+C944/12)-D944)&lt;MAX(0.0000001,$E$17*0.00000000001),0,MAX(0,B944*(1+C944/12)-D944)),0)</x:f>
        <x:v>0</x:v>
      </x:c>
      <x:c r="F944" s="440" t="n">
        <x:f>IF($B$78="Cash payoff",E944,0)</x:f>
        <x:v>0</x:v>
      </x:c>
      <x:c r="G944" s="440" t="n">
        <x:f>IF(AND(E944&gt;0,AND($B$78="Refinance",ISNUMBER($B$80),$B$80&gt;=0,$B$80&lt;=1,ROUND($B$81*12,0)&gt;=1,$B$81&lt;=100,SUM($B$82)&gt;=0,SUM($B$82)&lt;=1,SUM($B$83)&gt;=0)),E944*SUM($B$82)+SUM($B$83),0)</x:f>
        <x:v>0</x:v>
      </x:c>
      <x:c r="H944" s="440" t="n">
        <x:f>IF(ISNUMBER(D944),IF(MAX(0,B944*(1+C944/12)-D944-F944)&lt;MAX(0.0000001,$E$17*0.00000000001),0,MAX(0,B944*(1+C944/12)-D944-F944)),IF(AND($B$171=1,I943=1),B944,""))</x:f>
        <x:v>0</x:v>
      </x:c>
      <x:c r="I944" s="444" t="n">
        <x:f>IF(OR(I943=1,AND(E944&gt;0,$B$78&lt;&gt;"Cash payoff",NOT(AND($B$78="Refinance",ISNUMBER($B$80),$B$80&gt;=0,$B$80&lt;=1,ROUND($B$81*12,0)&gt;=1,$B$81&lt;=100,SUM($B$82)&gt;=0,SUM($B$82)&lt;=1,SUM($B$83)&gt;=0))),AND(ISNUMBER(B944),B944&gt;0,$B$171=1,NOT(ISNUMBER(D944)))),1,0)</x:f>
        <x:v>0</x:v>
      </x:c>
      <x:c r="J944" s="440" t="n">
        <x:f>IF(ISNUMBER(L943),L943,"")</x:f>
        <x:v>0</x:v>
      </x:c>
      <x:c r="K944" s="440" t="n">
        <x:f>IF(AND(ISNUMBER(J944),J944=0),0,IF(AND($B$176=1,ISNUMBER(J944)),MIN(J944*(1+$B$87/12),IF($B$86=0,0,IF($B$87=0,$B$86/ROUND($B$88*12,0),$B$86*($B$87/12)/(1-(1+$B$87/12)^(-ROUND($B$88*12,0)))))),""))</x:f>
        <x:v>0</x:v>
      </x:c>
      <x:c r="L944" s="440" t="n">
        <x:f>IF(ISNUMBER(K944),IF(MAX(0,J944*(1+SUM($B$87)/12)-K944)&lt;MAX(0.0000001,$B$86*0.00000000001),0,MAX(0,J944*(1+SUM($B$87)/12)-K944)),"")</x:f>
        <x:v>0</x:v>
      </x:c>
      <x:c r="M944" s="440" t="n">
        <x:f>IF(AND(ISNUMBER(D944),ISNUMBER(K944)),D944+K944,"")</x:f>
        <x:v>0</x:v>
      </x:c>
      <x:c r="N944" s="440" t="n">
        <x:f>IF(AND(ISNUMBER(H944),ISNUMBER(L944)),H944+L944,"")</x:f>
        <x:v>0</x:v>
      </x:c>
    </x:row>
    <x:row r="945" ht="22" customHeight="1">
      <x:c r="A945" s="254" t="n">
        <x:f>545</x:f>
        <x:v>545</x:v>
      </x:c>
      <x:c r="B945" s="440" t="n">
        <x:f>IF(ISNUMBER(H944),H944,"")</x:f>
        <x:v>0</x:v>
      </x:c>
      <x:c r="C945" s="442" t="n">
        <x:f>IF(ISNUMBER(B945),IF(AND(545&gt;$B$173,$B$78="Refinance",ISNUMBER($B$80),$B$80&gt;=0,$B$80&lt;=1,ROUND($B$81*12,0)&gt;=1,$B$81&lt;=100,SUM($B$82)&gt;=0,SUM($B$82)&lt;=1,SUM($B$83)&gt;=0),$B$80,IF(AND($B$175&gt;0,545&gt;$B$175,ISNUMBER($B$75)),$B$75,$B$61)),"")</x:f>
        <x:v>0.0625</x:v>
      </x:c>
      <x:c r="D945" s="440" t="n">
        <x:f>IF(AND(ISNUMBER(B945),B945=0),0,IF(AND($B$171=1,I944=0,ISNUMBER(C945),ISNUMBER(IF(AND(545&lt;=$B$174,545&lt;=$B$173),B945*C945/12,IF(AND(545=$B$173+1,AND(545&gt;$B$173,$B$78="Refinance",ISNUMBER($B$80),$B$80&gt;=0,$B$80&lt;=1,ROUND($B$81*12,0)&gt;=1,$B$81&lt;=100,SUM($B$82)&gt;=0,SUM($B$82)&lt;=1,SUM($B$83)&gt;=0)),IF(B945=0,0,IF(C945=0,B945/ROUND($B$81*12,0),B945*(C945/12)/(1-(1+C945/12)^(-ROUND($B$81*12,0))))),IF(AND(NOT(AND(545&gt;$B$173,$B$78="Refinance",ISNUMBER($B$80),$B$80&gt;=0,$B$80&lt;=1,ROUND($B$81*12,0)&gt;=1,$B$81&lt;=100,SUM($B$82)&gt;=0,SUM($B$82)&lt;=1,SUM($B$83)&gt;=0)),OR(545=1,545=$B$174+1,AND($B$175&gt;0,545=$B$175+1))),IF(AND($B$170=1,$B$66&gt;0,OR($B$175=0,545&lt;=$B$175)),$B$66,IF($B$172-MAX(545-1,$B$174)&gt;0,IF(B945=0,0,IF(C945=0,B945/($B$172-MAX(545-1,$B$174)),B945*(C945/12)/(1-(1+C945/12)^(-($B$172-MAX(545-1,$B$174)))))),"")),D944))))),IF(IF(AND(545&lt;=$B$174,545&lt;=$B$173),B945*C945/12,IF(AND(545=$B$173+1,AND(545&gt;$B$173,$B$78="Refinance",ISNUMBER($B$80),$B$80&gt;=0,$B$80&lt;=1,ROUND($B$81*12,0)&gt;=1,$B$81&lt;=100,SUM($B$82)&gt;=0,SUM($B$82)&lt;=1,SUM($B$83)&gt;=0)),IF(B945=0,0,IF(C945=0,B945/ROUND($B$81*12,0),B945*(C945/12)/(1-(1+C945/12)^(-ROUND($B$81*12,0))))),IF(AND(NOT(AND(545&gt;$B$173,$B$78="Refinance",ISNUMBER($B$80),$B$80&gt;=0,$B$80&lt;=1,ROUND($B$81*12,0)&gt;=1,$B$81&lt;=100,SUM($B$82)&gt;=0,SUM($B$82)&lt;=1,SUM($B$83)&gt;=0)),OR(545=1,545=$B$174+1,AND($B$175&gt;0,545=$B$175+1))),IF(AND($B$170=1,$B$66&gt;0,OR($B$175=0,545&lt;=$B$175)),$B$66,IF($B$172-MAX(545-1,$B$174)&gt;0,IF(B945=0,0,IF(C945=0,B945/($B$172-MAX(545-1,$B$174)),B945*(C945/12)/(1-(1+C945/12)^(-($B$172-MAX(545-1,$B$174)))))),"")),D944)))+0.0000001&gt;=B945*C945/12,MIN(B945*(1+C945/12),IF(AND(545&lt;=$B$174,545&lt;=$B$173),B945*C945/12,IF(AND(545=$B$173+1,AND(545&gt;$B$173,$B$78="Refinance",ISNUMBER($B$80),$B$80&gt;=0,$B$80&lt;=1,ROUND($B$81*12,0)&gt;=1,$B$81&lt;=100,SUM($B$82)&gt;=0,SUM($B$82)&lt;=1,SUM($B$83)&gt;=0)),IF(B945=0,0,IF(C945=0,B945/ROUND($B$81*12,0),B945*(C945/12)/(1-(1+C945/12)^(-ROUND($B$81*12,0))))),IF(AND(NOT(AND(545&gt;$B$173,$B$78="Refinance",ISNUMBER($B$80),$B$80&gt;=0,$B$80&lt;=1,ROUND($B$81*12,0)&gt;=1,$B$81&lt;=100,SUM($B$82)&gt;=0,SUM($B$82)&lt;=1,SUM($B$83)&gt;=0)),OR(545=1,545=$B$174+1,AND($B$175&gt;0,545=$B$175+1))),IF(AND($B$170=1,$B$66&gt;0,OR($B$175=0,545&lt;=$B$175)),$B$66,IF($B$172-MAX(545-1,$B$174)&gt;0,IF(B945=0,0,IF(C945=0,B945/($B$172-MAX(545-1,$B$174)),B945*(C945/12)/(1-(1+C945/12)^(-($B$172-MAX(545-1,$B$174)))))),"")),D944)))),""),""))</x:f>
        <x:v>0</x:v>
      </x:c>
      <x:c r="E945" s="440" t="n">
        <x:f>IF(AND(545=$B$173,ISNUMBER(D945)),IF(MAX(0,B945*(1+C945/12)-D945)&lt;MAX(0.0000001,$E$17*0.00000000001),0,MAX(0,B945*(1+C945/12)-D945)),0)</x:f>
        <x:v>0</x:v>
      </x:c>
      <x:c r="F945" s="440" t="n">
        <x:f>IF($B$78="Cash payoff",E945,0)</x:f>
        <x:v>0</x:v>
      </x:c>
      <x:c r="G945" s="440" t="n">
        <x:f>IF(AND(E945&gt;0,AND($B$78="Refinance",ISNUMBER($B$80),$B$80&gt;=0,$B$80&lt;=1,ROUND($B$81*12,0)&gt;=1,$B$81&lt;=100,SUM($B$82)&gt;=0,SUM($B$82)&lt;=1,SUM($B$83)&gt;=0)),E945*SUM($B$82)+SUM($B$83),0)</x:f>
        <x:v>0</x:v>
      </x:c>
      <x:c r="H945" s="440" t="n">
        <x:f>IF(ISNUMBER(D945),IF(MAX(0,B945*(1+C945/12)-D945-F945)&lt;MAX(0.0000001,$E$17*0.00000000001),0,MAX(0,B945*(1+C945/12)-D945-F945)),IF(AND($B$171=1,I944=1),B945,""))</x:f>
        <x:v>0</x:v>
      </x:c>
      <x:c r="I945" s="444" t="n">
        <x:f>IF(OR(I944=1,AND(E945&gt;0,$B$78&lt;&gt;"Cash payoff",NOT(AND($B$78="Refinance",ISNUMBER($B$80),$B$80&gt;=0,$B$80&lt;=1,ROUND($B$81*12,0)&gt;=1,$B$81&lt;=100,SUM($B$82)&gt;=0,SUM($B$82)&lt;=1,SUM($B$83)&gt;=0))),AND(ISNUMBER(B945),B945&gt;0,$B$171=1,NOT(ISNUMBER(D945)))),1,0)</x:f>
        <x:v>0</x:v>
      </x:c>
      <x:c r="J945" s="440" t="n">
        <x:f>IF(ISNUMBER(L944),L944,"")</x:f>
        <x:v>0</x:v>
      </x:c>
      <x:c r="K945" s="440" t="n">
        <x:f>IF(AND(ISNUMBER(J945),J945=0),0,IF(AND($B$176=1,ISNUMBER(J945)),MIN(J945*(1+$B$87/12),IF($B$86=0,0,IF($B$87=0,$B$86/ROUND($B$88*12,0),$B$86*($B$87/12)/(1-(1+$B$87/12)^(-ROUND($B$88*12,0)))))),""))</x:f>
        <x:v>0</x:v>
      </x:c>
      <x:c r="L945" s="440" t="n">
        <x:f>IF(ISNUMBER(K945),IF(MAX(0,J945*(1+SUM($B$87)/12)-K945)&lt;MAX(0.0000001,$B$86*0.00000000001),0,MAX(0,J945*(1+SUM($B$87)/12)-K945)),"")</x:f>
        <x:v>0</x:v>
      </x:c>
      <x:c r="M945" s="440" t="n">
        <x:f>IF(AND(ISNUMBER(D945),ISNUMBER(K945)),D945+K945,"")</x:f>
        <x:v>0</x:v>
      </x:c>
      <x:c r="N945" s="440" t="n">
        <x:f>IF(AND(ISNUMBER(H945),ISNUMBER(L945)),H945+L945,"")</x:f>
        <x:v>0</x:v>
      </x:c>
    </x:row>
    <x:row r="946" ht="22" customHeight="1">
      <x:c r="A946" s="254" t="n">
        <x:f>546</x:f>
        <x:v>546</x:v>
      </x:c>
      <x:c r="B946" s="440" t="n">
        <x:f>IF(ISNUMBER(H945),H945,"")</x:f>
        <x:v>0</x:v>
      </x:c>
      <x:c r="C946" s="442" t="n">
        <x:f>IF(ISNUMBER(B946),IF(AND(546&gt;$B$173,$B$78="Refinance",ISNUMBER($B$80),$B$80&gt;=0,$B$80&lt;=1,ROUND($B$81*12,0)&gt;=1,$B$81&lt;=100,SUM($B$82)&gt;=0,SUM($B$82)&lt;=1,SUM($B$83)&gt;=0),$B$80,IF(AND($B$175&gt;0,546&gt;$B$175,ISNUMBER($B$75)),$B$75,$B$61)),"")</x:f>
        <x:v>0.0625</x:v>
      </x:c>
      <x:c r="D946" s="440" t="n">
        <x:f>IF(AND(ISNUMBER(B946),B946=0),0,IF(AND($B$171=1,I945=0,ISNUMBER(C946),ISNUMBER(IF(AND(546&lt;=$B$174,546&lt;=$B$173),B946*C946/12,IF(AND(546=$B$173+1,AND(546&gt;$B$173,$B$78="Refinance",ISNUMBER($B$80),$B$80&gt;=0,$B$80&lt;=1,ROUND($B$81*12,0)&gt;=1,$B$81&lt;=100,SUM($B$82)&gt;=0,SUM($B$82)&lt;=1,SUM($B$83)&gt;=0)),IF(B946=0,0,IF(C946=0,B946/ROUND($B$81*12,0),B946*(C946/12)/(1-(1+C946/12)^(-ROUND($B$81*12,0))))),IF(AND(NOT(AND(546&gt;$B$173,$B$78="Refinance",ISNUMBER($B$80),$B$80&gt;=0,$B$80&lt;=1,ROUND($B$81*12,0)&gt;=1,$B$81&lt;=100,SUM($B$82)&gt;=0,SUM($B$82)&lt;=1,SUM($B$83)&gt;=0)),OR(546=1,546=$B$174+1,AND($B$175&gt;0,546=$B$175+1))),IF(AND($B$170=1,$B$66&gt;0,OR($B$175=0,546&lt;=$B$175)),$B$66,IF($B$172-MAX(546-1,$B$174)&gt;0,IF(B946=0,0,IF(C946=0,B946/($B$172-MAX(546-1,$B$174)),B946*(C946/12)/(1-(1+C946/12)^(-($B$172-MAX(546-1,$B$174)))))),"")),D945))))),IF(IF(AND(546&lt;=$B$174,546&lt;=$B$173),B946*C946/12,IF(AND(546=$B$173+1,AND(546&gt;$B$173,$B$78="Refinance",ISNUMBER($B$80),$B$80&gt;=0,$B$80&lt;=1,ROUND($B$81*12,0)&gt;=1,$B$81&lt;=100,SUM($B$82)&gt;=0,SUM($B$82)&lt;=1,SUM($B$83)&gt;=0)),IF(B946=0,0,IF(C946=0,B946/ROUND($B$81*12,0),B946*(C946/12)/(1-(1+C946/12)^(-ROUND($B$81*12,0))))),IF(AND(NOT(AND(546&gt;$B$173,$B$78="Refinance",ISNUMBER($B$80),$B$80&gt;=0,$B$80&lt;=1,ROUND($B$81*12,0)&gt;=1,$B$81&lt;=100,SUM($B$82)&gt;=0,SUM($B$82)&lt;=1,SUM($B$83)&gt;=0)),OR(546=1,546=$B$174+1,AND($B$175&gt;0,546=$B$175+1))),IF(AND($B$170=1,$B$66&gt;0,OR($B$175=0,546&lt;=$B$175)),$B$66,IF($B$172-MAX(546-1,$B$174)&gt;0,IF(B946=0,0,IF(C946=0,B946/($B$172-MAX(546-1,$B$174)),B946*(C946/12)/(1-(1+C946/12)^(-($B$172-MAX(546-1,$B$174)))))),"")),D945)))+0.0000001&gt;=B946*C946/12,MIN(B946*(1+C946/12),IF(AND(546&lt;=$B$174,546&lt;=$B$173),B946*C946/12,IF(AND(546=$B$173+1,AND(546&gt;$B$173,$B$78="Refinance",ISNUMBER($B$80),$B$80&gt;=0,$B$80&lt;=1,ROUND($B$81*12,0)&gt;=1,$B$81&lt;=100,SUM($B$82)&gt;=0,SUM($B$82)&lt;=1,SUM($B$83)&gt;=0)),IF(B946=0,0,IF(C946=0,B946/ROUND($B$81*12,0),B946*(C946/12)/(1-(1+C946/12)^(-ROUND($B$81*12,0))))),IF(AND(NOT(AND(546&gt;$B$173,$B$78="Refinance",ISNUMBER($B$80),$B$80&gt;=0,$B$80&lt;=1,ROUND($B$81*12,0)&gt;=1,$B$81&lt;=100,SUM($B$82)&gt;=0,SUM($B$82)&lt;=1,SUM($B$83)&gt;=0)),OR(546=1,546=$B$174+1,AND($B$175&gt;0,546=$B$175+1))),IF(AND($B$170=1,$B$66&gt;0,OR($B$175=0,546&lt;=$B$175)),$B$66,IF($B$172-MAX(546-1,$B$174)&gt;0,IF(B946=0,0,IF(C946=0,B946/($B$172-MAX(546-1,$B$174)),B946*(C946/12)/(1-(1+C946/12)^(-($B$172-MAX(546-1,$B$174)))))),"")),D945)))),""),""))</x:f>
        <x:v>0</x:v>
      </x:c>
      <x:c r="E946" s="440" t="n">
        <x:f>IF(AND(546=$B$173,ISNUMBER(D946)),IF(MAX(0,B946*(1+C946/12)-D946)&lt;MAX(0.0000001,$E$17*0.00000000001),0,MAX(0,B946*(1+C946/12)-D946)),0)</x:f>
        <x:v>0</x:v>
      </x:c>
      <x:c r="F946" s="440" t="n">
        <x:f>IF($B$78="Cash payoff",E946,0)</x:f>
        <x:v>0</x:v>
      </x:c>
      <x:c r="G946" s="440" t="n">
        <x:f>IF(AND(E946&gt;0,AND($B$78="Refinance",ISNUMBER($B$80),$B$80&gt;=0,$B$80&lt;=1,ROUND($B$81*12,0)&gt;=1,$B$81&lt;=100,SUM($B$82)&gt;=0,SUM($B$82)&lt;=1,SUM($B$83)&gt;=0)),E946*SUM($B$82)+SUM($B$83),0)</x:f>
        <x:v>0</x:v>
      </x:c>
      <x:c r="H946" s="440" t="n">
        <x:f>IF(ISNUMBER(D946),IF(MAX(0,B946*(1+C946/12)-D946-F946)&lt;MAX(0.0000001,$E$17*0.00000000001),0,MAX(0,B946*(1+C946/12)-D946-F946)),IF(AND($B$171=1,I945=1),B946,""))</x:f>
        <x:v>0</x:v>
      </x:c>
      <x:c r="I946" s="444" t="n">
        <x:f>IF(OR(I945=1,AND(E946&gt;0,$B$78&lt;&gt;"Cash payoff",NOT(AND($B$78="Refinance",ISNUMBER($B$80),$B$80&gt;=0,$B$80&lt;=1,ROUND($B$81*12,0)&gt;=1,$B$81&lt;=100,SUM($B$82)&gt;=0,SUM($B$82)&lt;=1,SUM($B$83)&gt;=0))),AND(ISNUMBER(B946),B946&gt;0,$B$171=1,NOT(ISNUMBER(D946)))),1,0)</x:f>
        <x:v>0</x:v>
      </x:c>
      <x:c r="J946" s="440" t="n">
        <x:f>IF(ISNUMBER(L945),L945,"")</x:f>
        <x:v>0</x:v>
      </x:c>
      <x:c r="K946" s="440" t="n">
        <x:f>IF(AND(ISNUMBER(J946),J946=0),0,IF(AND($B$176=1,ISNUMBER(J946)),MIN(J946*(1+$B$87/12),IF($B$86=0,0,IF($B$87=0,$B$86/ROUND($B$88*12,0),$B$86*($B$87/12)/(1-(1+$B$87/12)^(-ROUND($B$88*12,0)))))),""))</x:f>
        <x:v>0</x:v>
      </x:c>
      <x:c r="L946" s="440" t="n">
        <x:f>IF(ISNUMBER(K946),IF(MAX(0,J946*(1+SUM($B$87)/12)-K946)&lt;MAX(0.0000001,$B$86*0.00000000001),0,MAX(0,J946*(1+SUM($B$87)/12)-K946)),"")</x:f>
        <x:v>0</x:v>
      </x:c>
      <x:c r="M946" s="440" t="n">
        <x:f>IF(AND(ISNUMBER(D946),ISNUMBER(K946)),D946+K946,"")</x:f>
        <x:v>0</x:v>
      </x:c>
      <x:c r="N946" s="440" t="n">
        <x:f>IF(AND(ISNUMBER(H946),ISNUMBER(L946)),H946+L946,"")</x:f>
        <x:v>0</x:v>
      </x:c>
    </x:row>
    <x:row r="947" ht="22" customHeight="1">
      <x:c r="A947" s="254" t="n">
        <x:f>547</x:f>
        <x:v>547</x:v>
      </x:c>
      <x:c r="B947" s="440" t="n">
        <x:f>IF(ISNUMBER(H946),H946,"")</x:f>
        <x:v>0</x:v>
      </x:c>
      <x:c r="C947" s="442" t="n">
        <x:f>IF(ISNUMBER(B947),IF(AND(547&gt;$B$173,$B$78="Refinance",ISNUMBER($B$80),$B$80&gt;=0,$B$80&lt;=1,ROUND($B$81*12,0)&gt;=1,$B$81&lt;=100,SUM($B$82)&gt;=0,SUM($B$82)&lt;=1,SUM($B$83)&gt;=0),$B$80,IF(AND($B$175&gt;0,547&gt;$B$175,ISNUMBER($B$75)),$B$75,$B$61)),"")</x:f>
        <x:v>0.0625</x:v>
      </x:c>
      <x:c r="D947" s="440" t="n">
        <x:f>IF(AND(ISNUMBER(B947),B947=0),0,IF(AND($B$171=1,I946=0,ISNUMBER(C947),ISNUMBER(IF(AND(547&lt;=$B$174,547&lt;=$B$173),B947*C947/12,IF(AND(547=$B$173+1,AND(547&gt;$B$173,$B$78="Refinance",ISNUMBER($B$80),$B$80&gt;=0,$B$80&lt;=1,ROUND($B$81*12,0)&gt;=1,$B$81&lt;=100,SUM($B$82)&gt;=0,SUM($B$82)&lt;=1,SUM($B$83)&gt;=0)),IF(B947=0,0,IF(C947=0,B947/ROUND($B$81*12,0),B947*(C947/12)/(1-(1+C947/12)^(-ROUND($B$81*12,0))))),IF(AND(NOT(AND(547&gt;$B$173,$B$78="Refinance",ISNUMBER($B$80),$B$80&gt;=0,$B$80&lt;=1,ROUND($B$81*12,0)&gt;=1,$B$81&lt;=100,SUM($B$82)&gt;=0,SUM($B$82)&lt;=1,SUM($B$83)&gt;=0)),OR(547=1,547=$B$174+1,AND($B$175&gt;0,547=$B$175+1))),IF(AND($B$170=1,$B$66&gt;0,OR($B$175=0,547&lt;=$B$175)),$B$66,IF($B$172-MAX(547-1,$B$174)&gt;0,IF(B947=0,0,IF(C947=0,B947/($B$172-MAX(547-1,$B$174)),B947*(C947/12)/(1-(1+C947/12)^(-($B$172-MAX(547-1,$B$174)))))),"")),D946))))),IF(IF(AND(547&lt;=$B$174,547&lt;=$B$173),B947*C947/12,IF(AND(547=$B$173+1,AND(547&gt;$B$173,$B$78="Refinance",ISNUMBER($B$80),$B$80&gt;=0,$B$80&lt;=1,ROUND($B$81*12,0)&gt;=1,$B$81&lt;=100,SUM($B$82)&gt;=0,SUM($B$82)&lt;=1,SUM($B$83)&gt;=0)),IF(B947=0,0,IF(C947=0,B947/ROUND($B$81*12,0),B947*(C947/12)/(1-(1+C947/12)^(-ROUND($B$81*12,0))))),IF(AND(NOT(AND(547&gt;$B$173,$B$78="Refinance",ISNUMBER($B$80),$B$80&gt;=0,$B$80&lt;=1,ROUND($B$81*12,0)&gt;=1,$B$81&lt;=100,SUM($B$82)&gt;=0,SUM($B$82)&lt;=1,SUM($B$83)&gt;=0)),OR(547=1,547=$B$174+1,AND($B$175&gt;0,547=$B$175+1))),IF(AND($B$170=1,$B$66&gt;0,OR($B$175=0,547&lt;=$B$175)),$B$66,IF($B$172-MAX(547-1,$B$174)&gt;0,IF(B947=0,0,IF(C947=0,B947/($B$172-MAX(547-1,$B$174)),B947*(C947/12)/(1-(1+C947/12)^(-($B$172-MAX(547-1,$B$174)))))),"")),D946)))+0.0000001&gt;=B947*C947/12,MIN(B947*(1+C947/12),IF(AND(547&lt;=$B$174,547&lt;=$B$173),B947*C947/12,IF(AND(547=$B$173+1,AND(547&gt;$B$173,$B$78="Refinance",ISNUMBER($B$80),$B$80&gt;=0,$B$80&lt;=1,ROUND($B$81*12,0)&gt;=1,$B$81&lt;=100,SUM($B$82)&gt;=0,SUM($B$82)&lt;=1,SUM($B$83)&gt;=0)),IF(B947=0,0,IF(C947=0,B947/ROUND($B$81*12,0),B947*(C947/12)/(1-(1+C947/12)^(-ROUND($B$81*12,0))))),IF(AND(NOT(AND(547&gt;$B$173,$B$78="Refinance",ISNUMBER($B$80),$B$80&gt;=0,$B$80&lt;=1,ROUND($B$81*12,0)&gt;=1,$B$81&lt;=100,SUM($B$82)&gt;=0,SUM($B$82)&lt;=1,SUM($B$83)&gt;=0)),OR(547=1,547=$B$174+1,AND($B$175&gt;0,547=$B$175+1))),IF(AND($B$170=1,$B$66&gt;0,OR($B$175=0,547&lt;=$B$175)),$B$66,IF($B$172-MAX(547-1,$B$174)&gt;0,IF(B947=0,0,IF(C947=0,B947/($B$172-MAX(547-1,$B$174)),B947*(C947/12)/(1-(1+C947/12)^(-($B$172-MAX(547-1,$B$174)))))),"")),D946)))),""),""))</x:f>
        <x:v>0</x:v>
      </x:c>
      <x:c r="E947" s="440" t="n">
        <x:f>IF(AND(547=$B$173,ISNUMBER(D947)),IF(MAX(0,B947*(1+C947/12)-D947)&lt;MAX(0.0000001,$E$17*0.00000000001),0,MAX(0,B947*(1+C947/12)-D947)),0)</x:f>
        <x:v>0</x:v>
      </x:c>
      <x:c r="F947" s="440" t="n">
        <x:f>IF($B$78="Cash payoff",E947,0)</x:f>
        <x:v>0</x:v>
      </x:c>
      <x:c r="G947" s="440" t="n">
        <x:f>IF(AND(E947&gt;0,AND($B$78="Refinance",ISNUMBER($B$80),$B$80&gt;=0,$B$80&lt;=1,ROUND($B$81*12,0)&gt;=1,$B$81&lt;=100,SUM($B$82)&gt;=0,SUM($B$82)&lt;=1,SUM($B$83)&gt;=0)),E947*SUM($B$82)+SUM($B$83),0)</x:f>
        <x:v>0</x:v>
      </x:c>
      <x:c r="H947" s="440" t="n">
        <x:f>IF(ISNUMBER(D947),IF(MAX(0,B947*(1+C947/12)-D947-F947)&lt;MAX(0.0000001,$E$17*0.00000000001),0,MAX(0,B947*(1+C947/12)-D947-F947)),IF(AND($B$171=1,I946=1),B947,""))</x:f>
        <x:v>0</x:v>
      </x:c>
      <x:c r="I947" s="444" t="n">
        <x:f>IF(OR(I946=1,AND(E947&gt;0,$B$78&lt;&gt;"Cash payoff",NOT(AND($B$78="Refinance",ISNUMBER($B$80),$B$80&gt;=0,$B$80&lt;=1,ROUND($B$81*12,0)&gt;=1,$B$81&lt;=100,SUM($B$82)&gt;=0,SUM($B$82)&lt;=1,SUM($B$83)&gt;=0))),AND(ISNUMBER(B947),B947&gt;0,$B$171=1,NOT(ISNUMBER(D947)))),1,0)</x:f>
        <x:v>0</x:v>
      </x:c>
      <x:c r="J947" s="440" t="n">
        <x:f>IF(ISNUMBER(L946),L946,"")</x:f>
        <x:v>0</x:v>
      </x:c>
      <x:c r="K947" s="440" t="n">
        <x:f>IF(AND(ISNUMBER(J947),J947=0),0,IF(AND($B$176=1,ISNUMBER(J947)),MIN(J947*(1+$B$87/12),IF($B$86=0,0,IF($B$87=0,$B$86/ROUND($B$88*12,0),$B$86*($B$87/12)/(1-(1+$B$87/12)^(-ROUND($B$88*12,0)))))),""))</x:f>
        <x:v>0</x:v>
      </x:c>
      <x:c r="L947" s="440" t="n">
        <x:f>IF(ISNUMBER(K947),IF(MAX(0,J947*(1+SUM($B$87)/12)-K947)&lt;MAX(0.0000001,$B$86*0.00000000001),0,MAX(0,J947*(1+SUM($B$87)/12)-K947)),"")</x:f>
        <x:v>0</x:v>
      </x:c>
      <x:c r="M947" s="440" t="n">
        <x:f>IF(AND(ISNUMBER(D947),ISNUMBER(K947)),D947+K947,"")</x:f>
        <x:v>0</x:v>
      </x:c>
      <x:c r="N947" s="440" t="n">
        <x:f>IF(AND(ISNUMBER(H947),ISNUMBER(L947)),H947+L947,"")</x:f>
        <x:v>0</x:v>
      </x:c>
    </x:row>
    <x:row r="948" ht="22" customHeight="1">
      <x:c r="A948" s="254" t="n">
        <x:f>548</x:f>
        <x:v>548</x:v>
      </x:c>
      <x:c r="B948" s="440" t="n">
        <x:f>IF(ISNUMBER(H947),H947,"")</x:f>
        <x:v>0</x:v>
      </x:c>
      <x:c r="C948" s="442" t="n">
        <x:f>IF(ISNUMBER(B948),IF(AND(548&gt;$B$173,$B$78="Refinance",ISNUMBER($B$80),$B$80&gt;=0,$B$80&lt;=1,ROUND($B$81*12,0)&gt;=1,$B$81&lt;=100,SUM($B$82)&gt;=0,SUM($B$82)&lt;=1,SUM($B$83)&gt;=0),$B$80,IF(AND($B$175&gt;0,548&gt;$B$175,ISNUMBER($B$75)),$B$75,$B$61)),"")</x:f>
        <x:v>0.0625</x:v>
      </x:c>
      <x:c r="D948" s="440" t="n">
        <x:f>IF(AND(ISNUMBER(B948),B948=0),0,IF(AND($B$171=1,I947=0,ISNUMBER(C948),ISNUMBER(IF(AND(548&lt;=$B$174,548&lt;=$B$173),B948*C948/12,IF(AND(548=$B$173+1,AND(548&gt;$B$173,$B$78="Refinance",ISNUMBER($B$80),$B$80&gt;=0,$B$80&lt;=1,ROUND($B$81*12,0)&gt;=1,$B$81&lt;=100,SUM($B$82)&gt;=0,SUM($B$82)&lt;=1,SUM($B$83)&gt;=0)),IF(B948=0,0,IF(C948=0,B948/ROUND($B$81*12,0),B948*(C948/12)/(1-(1+C948/12)^(-ROUND($B$81*12,0))))),IF(AND(NOT(AND(548&gt;$B$173,$B$78="Refinance",ISNUMBER($B$80),$B$80&gt;=0,$B$80&lt;=1,ROUND($B$81*12,0)&gt;=1,$B$81&lt;=100,SUM($B$82)&gt;=0,SUM($B$82)&lt;=1,SUM($B$83)&gt;=0)),OR(548=1,548=$B$174+1,AND($B$175&gt;0,548=$B$175+1))),IF(AND($B$170=1,$B$66&gt;0,OR($B$175=0,548&lt;=$B$175)),$B$66,IF($B$172-MAX(548-1,$B$174)&gt;0,IF(B948=0,0,IF(C948=0,B948/($B$172-MAX(548-1,$B$174)),B948*(C948/12)/(1-(1+C948/12)^(-($B$172-MAX(548-1,$B$174)))))),"")),D947))))),IF(IF(AND(548&lt;=$B$174,548&lt;=$B$173),B948*C948/12,IF(AND(548=$B$173+1,AND(548&gt;$B$173,$B$78="Refinance",ISNUMBER($B$80),$B$80&gt;=0,$B$80&lt;=1,ROUND($B$81*12,0)&gt;=1,$B$81&lt;=100,SUM($B$82)&gt;=0,SUM($B$82)&lt;=1,SUM($B$83)&gt;=0)),IF(B948=0,0,IF(C948=0,B948/ROUND($B$81*12,0),B948*(C948/12)/(1-(1+C948/12)^(-ROUND($B$81*12,0))))),IF(AND(NOT(AND(548&gt;$B$173,$B$78="Refinance",ISNUMBER($B$80),$B$80&gt;=0,$B$80&lt;=1,ROUND($B$81*12,0)&gt;=1,$B$81&lt;=100,SUM($B$82)&gt;=0,SUM($B$82)&lt;=1,SUM($B$83)&gt;=0)),OR(548=1,548=$B$174+1,AND($B$175&gt;0,548=$B$175+1))),IF(AND($B$170=1,$B$66&gt;0,OR($B$175=0,548&lt;=$B$175)),$B$66,IF($B$172-MAX(548-1,$B$174)&gt;0,IF(B948=0,0,IF(C948=0,B948/($B$172-MAX(548-1,$B$174)),B948*(C948/12)/(1-(1+C948/12)^(-($B$172-MAX(548-1,$B$174)))))),"")),D947)))+0.0000001&gt;=B948*C948/12,MIN(B948*(1+C948/12),IF(AND(548&lt;=$B$174,548&lt;=$B$173),B948*C948/12,IF(AND(548=$B$173+1,AND(548&gt;$B$173,$B$78="Refinance",ISNUMBER($B$80),$B$80&gt;=0,$B$80&lt;=1,ROUND($B$81*12,0)&gt;=1,$B$81&lt;=100,SUM($B$82)&gt;=0,SUM($B$82)&lt;=1,SUM($B$83)&gt;=0)),IF(B948=0,0,IF(C948=0,B948/ROUND($B$81*12,0),B948*(C948/12)/(1-(1+C948/12)^(-ROUND($B$81*12,0))))),IF(AND(NOT(AND(548&gt;$B$173,$B$78="Refinance",ISNUMBER($B$80),$B$80&gt;=0,$B$80&lt;=1,ROUND($B$81*12,0)&gt;=1,$B$81&lt;=100,SUM($B$82)&gt;=0,SUM($B$82)&lt;=1,SUM($B$83)&gt;=0)),OR(548=1,548=$B$174+1,AND($B$175&gt;0,548=$B$175+1))),IF(AND($B$170=1,$B$66&gt;0,OR($B$175=0,548&lt;=$B$175)),$B$66,IF($B$172-MAX(548-1,$B$174)&gt;0,IF(B948=0,0,IF(C948=0,B948/($B$172-MAX(548-1,$B$174)),B948*(C948/12)/(1-(1+C948/12)^(-($B$172-MAX(548-1,$B$174)))))),"")),D947)))),""),""))</x:f>
        <x:v>0</x:v>
      </x:c>
      <x:c r="E948" s="440" t="n">
        <x:f>IF(AND(548=$B$173,ISNUMBER(D948)),IF(MAX(0,B948*(1+C948/12)-D948)&lt;MAX(0.0000001,$E$17*0.00000000001),0,MAX(0,B948*(1+C948/12)-D948)),0)</x:f>
        <x:v>0</x:v>
      </x:c>
      <x:c r="F948" s="440" t="n">
        <x:f>IF($B$78="Cash payoff",E948,0)</x:f>
        <x:v>0</x:v>
      </x:c>
      <x:c r="G948" s="440" t="n">
        <x:f>IF(AND(E948&gt;0,AND($B$78="Refinance",ISNUMBER($B$80),$B$80&gt;=0,$B$80&lt;=1,ROUND($B$81*12,0)&gt;=1,$B$81&lt;=100,SUM($B$82)&gt;=0,SUM($B$82)&lt;=1,SUM($B$83)&gt;=0)),E948*SUM($B$82)+SUM($B$83),0)</x:f>
        <x:v>0</x:v>
      </x:c>
      <x:c r="H948" s="440" t="n">
        <x:f>IF(ISNUMBER(D948),IF(MAX(0,B948*(1+C948/12)-D948-F948)&lt;MAX(0.0000001,$E$17*0.00000000001),0,MAX(0,B948*(1+C948/12)-D948-F948)),IF(AND($B$171=1,I947=1),B948,""))</x:f>
        <x:v>0</x:v>
      </x:c>
      <x:c r="I948" s="444" t="n">
        <x:f>IF(OR(I947=1,AND(E948&gt;0,$B$78&lt;&gt;"Cash payoff",NOT(AND($B$78="Refinance",ISNUMBER($B$80),$B$80&gt;=0,$B$80&lt;=1,ROUND($B$81*12,0)&gt;=1,$B$81&lt;=100,SUM($B$82)&gt;=0,SUM($B$82)&lt;=1,SUM($B$83)&gt;=0))),AND(ISNUMBER(B948),B948&gt;0,$B$171=1,NOT(ISNUMBER(D948)))),1,0)</x:f>
        <x:v>0</x:v>
      </x:c>
      <x:c r="J948" s="440" t="n">
        <x:f>IF(ISNUMBER(L947),L947,"")</x:f>
        <x:v>0</x:v>
      </x:c>
      <x:c r="K948" s="440" t="n">
        <x:f>IF(AND(ISNUMBER(J948),J948=0),0,IF(AND($B$176=1,ISNUMBER(J948)),MIN(J948*(1+$B$87/12),IF($B$86=0,0,IF($B$87=0,$B$86/ROUND($B$88*12,0),$B$86*($B$87/12)/(1-(1+$B$87/12)^(-ROUND($B$88*12,0)))))),""))</x:f>
        <x:v>0</x:v>
      </x:c>
      <x:c r="L948" s="440" t="n">
        <x:f>IF(ISNUMBER(K948),IF(MAX(0,J948*(1+SUM($B$87)/12)-K948)&lt;MAX(0.0000001,$B$86*0.00000000001),0,MAX(0,J948*(1+SUM($B$87)/12)-K948)),"")</x:f>
        <x:v>0</x:v>
      </x:c>
      <x:c r="M948" s="440" t="n">
        <x:f>IF(AND(ISNUMBER(D948),ISNUMBER(K948)),D948+K948,"")</x:f>
        <x:v>0</x:v>
      </x:c>
      <x:c r="N948" s="440" t="n">
        <x:f>IF(AND(ISNUMBER(H948),ISNUMBER(L948)),H948+L948,"")</x:f>
        <x:v>0</x:v>
      </x:c>
    </x:row>
    <x:row r="949" ht="22" customHeight="1">
      <x:c r="A949" s="254" t="n">
        <x:f>549</x:f>
        <x:v>549</x:v>
      </x:c>
      <x:c r="B949" s="440" t="n">
        <x:f>IF(ISNUMBER(H948),H948,"")</x:f>
        <x:v>0</x:v>
      </x:c>
      <x:c r="C949" s="442" t="n">
        <x:f>IF(ISNUMBER(B949),IF(AND(549&gt;$B$173,$B$78="Refinance",ISNUMBER($B$80),$B$80&gt;=0,$B$80&lt;=1,ROUND($B$81*12,0)&gt;=1,$B$81&lt;=100,SUM($B$82)&gt;=0,SUM($B$82)&lt;=1,SUM($B$83)&gt;=0),$B$80,IF(AND($B$175&gt;0,549&gt;$B$175,ISNUMBER($B$75)),$B$75,$B$61)),"")</x:f>
        <x:v>0.0625</x:v>
      </x:c>
      <x:c r="D949" s="440" t="n">
        <x:f>IF(AND(ISNUMBER(B949),B949=0),0,IF(AND($B$171=1,I948=0,ISNUMBER(C949),ISNUMBER(IF(AND(549&lt;=$B$174,549&lt;=$B$173),B949*C949/12,IF(AND(549=$B$173+1,AND(549&gt;$B$173,$B$78="Refinance",ISNUMBER($B$80),$B$80&gt;=0,$B$80&lt;=1,ROUND($B$81*12,0)&gt;=1,$B$81&lt;=100,SUM($B$82)&gt;=0,SUM($B$82)&lt;=1,SUM($B$83)&gt;=0)),IF(B949=0,0,IF(C949=0,B949/ROUND($B$81*12,0),B949*(C949/12)/(1-(1+C949/12)^(-ROUND($B$81*12,0))))),IF(AND(NOT(AND(549&gt;$B$173,$B$78="Refinance",ISNUMBER($B$80),$B$80&gt;=0,$B$80&lt;=1,ROUND($B$81*12,0)&gt;=1,$B$81&lt;=100,SUM($B$82)&gt;=0,SUM($B$82)&lt;=1,SUM($B$83)&gt;=0)),OR(549=1,549=$B$174+1,AND($B$175&gt;0,549=$B$175+1))),IF(AND($B$170=1,$B$66&gt;0,OR($B$175=0,549&lt;=$B$175)),$B$66,IF($B$172-MAX(549-1,$B$174)&gt;0,IF(B949=0,0,IF(C949=0,B949/($B$172-MAX(549-1,$B$174)),B949*(C949/12)/(1-(1+C949/12)^(-($B$172-MAX(549-1,$B$174)))))),"")),D948))))),IF(IF(AND(549&lt;=$B$174,549&lt;=$B$173),B949*C949/12,IF(AND(549=$B$173+1,AND(549&gt;$B$173,$B$78="Refinance",ISNUMBER($B$80),$B$80&gt;=0,$B$80&lt;=1,ROUND($B$81*12,0)&gt;=1,$B$81&lt;=100,SUM($B$82)&gt;=0,SUM($B$82)&lt;=1,SUM($B$83)&gt;=0)),IF(B949=0,0,IF(C949=0,B949/ROUND($B$81*12,0),B949*(C949/12)/(1-(1+C949/12)^(-ROUND($B$81*12,0))))),IF(AND(NOT(AND(549&gt;$B$173,$B$78="Refinance",ISNUMBER($B$80),$B$80&gt;=0,$B$80&lt;=1,ROUND($B$81*12,0)&gt;=1,$B$81&lt;=100,SUM($B$82)&gt;=0,SUM($B$82)&lt;=1,SUM($B$83)&gt;=0)),OR(549=1,549=$B$174+1,AND($B$175&gt;0,549=$B$175+1))),IF(AND($B$170=1,$B$66&gt;0,OR($B$175=0,549&lt;=$B$175)),$B$66,IF($B$172-MAX(549-1,$B$174)&gt;0,IF(B949=0,0,IF(C949=0,B949/($B$172-MAX(549-1,$B$174)),B949*(C949/12)/(1-(1+C949/12)^(-($B$172-MAX(549-1,$B$174)))))),"")),D948)))+0.0000001&gt;=B949*C949/12,MIN(B949*(1+C949/12),IF(AND(549&lt;=$B$174,549&lt;=$B$173),B949*C949/12,IF(AND(549=$B$173+1,AND(549&gt;$B$173,$B$78="Refinance",ISNUMBER($B$80),$B$80&gt;=0,$B$80&lt;=1,ROUND($B$81*12,0)&gt;=1,$B$81&lt;=100,SUM($B$82)&gt;=0,SUM($B$82)&lt;=1,SUM($B$83)&gt;=0)),IF(B949=0,0,IF(C949=0,B949/ROUND($B$81*12,0),B949*(C949/12)/(1-(1+C949/12)^(-ROUND($B$81*12,0))))),IF(AND(NOT(AND(549&gt;$B$173,$B$78="Refinance",ISNUMBER($B$80),$B$80&gt;=0,$B$80&lt;=1,ROUND($B$81*12,0)&gt;=1,$B$81&lt;=100,SUM($B$82)&gt;=0,SUM($B$82)&lt;=1,SUM($B$83)&gt;=0)),OR(549=1,549=$B$174+1,AND($B$175&gt;0,549=$B$175+1))),IF(AND($B$170=1,$B$66&gt;0,OR($B$175=0,549&lt;=$B$175)),$B$66,IF($B$172-MAX(549-1,$B$174)&gt;0,IF(B949=0,0,IF(C949=0,B949/($B$172-MAX(549-1,$B$174)),B949*(C949/12)/(1-(1+C949/12)^(-($B$172-MAX(549-1,$B$174)))))),"")),D948)))),""),""))</x:f>
        <x:v>0</x:v>
      </x:c>
      <x:c r="E949" s="440" t="n">
        <x:f>IF(AND(549=$B$173,ISNUMBER(D949)),IF(MAX(0,B949*(1+C949/12)-D949)&lt;MAX(0.0000001,$E$17*0.00000000001),0,MAX(0,B949*(1+C949/12)-D949)),0)</x:f>
        <x:v>0</x:v>
      </x:c>
      <x:c r="F949" s="440" t="n">
        <x:f>IF($B$78="Cash payoff",E949,0)</x:f>
        <x:v>0</x:v>
      </x:c>
      <x:c r="G949" s="440" t="n">
        <x:f>IF(AND(E949&gt;0,AND($B$78="Refinance",ISNUMBER($B$80),$B$80&gt;=0,$B$80&lt;=1,ROUND($B$81*12,0)&gt;=1,$B$81&lt;=100,SUM($B$82)&gt;=0,SUM($B$82)&lt;=1,SUM($B$83)&gt;=0)),E949*SUM($B$82)+SUM($B$83),0)</x:f>
        <x:v>0</x:v>
      </x:c>
      <x:c r="H949" s="440" t="n">
        <x:f>IF(ISNUMBER(D949),IF(MAX(0,B949*(1+C949/12)-D949-F949)&lt;MAX(0.0000001,$E$17*0.00000000001),0,MAX(0,B949*(1+C949/12)-D949-F949)),IF(AND($B$171=1,I948=1),B949,""))</x:f>
        <x:v>0</x:v>
      </x:c>
      <x:c r="I949" s="444" t="n">
        <x:f>IF(OR(I948=1,AND(E949&gt;0,$B$78&lt;&gt;"Cash payoff",NOT(AND($B$78="Refinance",ISNUMBER($B$80),$B$80&gt;=0,$B$80&lt;=1,ROUND($B$81*12,0)&gt;=1,$B$81&lt;=100,SUM($B$82)&gt;=0,SUM($B$82)&lt;=1,SUM($B$83)&gt;=0))),AND(ISNUMBER(B949),B949&gt;0,$B$171=1,NOT(ISNUMBER(D949)))),1,0)</x:f>
        <x:v>0</x:v>
      </x:c>
      <x:c r="J949" s="440" t="n">
        <x:f>IF(ISNUMBER(L948),L948,"")</x:f>
        <x:v>0</x:v>
      </x:c>
      <x:c r="K949" s="440" t="n">
        <x:f>IF(AND(ISNUMBER(J949),J949=0),0,IF(AND($B$176=1,ISNUMBER(J949)),MIN(J949*(1+$B$87/12),IF($B$86=0,0,IF($B$87=0,$B$86/ROUND($B$88*12,0),$B$86*($B$87/12)/(1-(1+$B$87/12)^(-ROUND($B$88*12,0)))))),""))</x:f>
        <x:v>0</x:v>
      </x:c>
      <x:c r="L949" s="440" t="n">
        <x:f>IF(ISNUMBER(K949),IF(MAX(0,J949*(1+SUM($B$87)/12)-K949)&lt;MAX(0.0000001,$B$86*0.00000000001),0,MAX(0,J949*(1+SUM($B$87)/12)-K949)),"")</x:f>
        <x:v>0</x:v>
      </x:c>
      <x:c r="M949" s="440" t="n">
        <x:f>IF(AND(ISNUMBER(D949),ISNUMBER(K949)),D949+K949,"")</x:f>
        <x:v>0</x:v>
      </x:c>
      <x:c r="N949" s="440" t="n">
        <x:f>IF(AND(ISNUMBER(H949),ISNUMBER(L949)),H949+L949,"")</x:f>
        <x:v>0</x:v>
      </x:c>
    </x:row>
    <x:row r="950" ht="22" customHeight="1">
      <x:c r="A950" s="254" t="n">
        <x:f>550</x:f>
        <x:v>550</x:v>
      </x:c>
      <x:c r="B950" s="440" t="n">
        <x:f>IF(ISNUMBER(H949),H949,"")</x:f>
        <x:v>0</x:v>
      </x:c>
      <x:c r="C950" s="442" t="n">
        <x:f>IF(ISNUMBER(B950),IF(AND(550&gt;$B$173,$B$78="Refinance",ISNUMBER($B$80),$B$80&gt;=0,$B$80&lt;=1,ROUND($B$81*12,0)&gt;=1,$B$81&lt;=100,SUM($B$82)&gt;=0,SUM($B$82)&lt;=1,SUM($B$83)&gt;=0),$B$80,IF(AND($B$175&gt;0,550&gt;$B$175,ISNUMBER($B$75)),$B$75,$B$61)),"")</x:f>
        <x:v>0.0625</x:v>
      </x:c>
      <x:c r="D950" s="440" t="n">
        <x:f>IF(AND(ISNUMBER(B950),B950=0),0,IF(AND($B$171=1,I949=0,ISNUMBER(C950),ISNUMBER(IF(AND(550&lt;=$B$174,550&lt;=$B$173),B950*C950/12,IF(AND(550=$B$173+1,AND(550&gt;$B$173,$B$78="Refinance",ISNUMBER($B$80),$B$80&gt;=0,$B$80&lt;=1,ROUND($B$81*12,0)&gt;=1,$B$81&lt;=100,SUM($B$82)&gt;=0,SUM($B$82)&lt;=1,SUM($B$83)&gt;=0)),IF(B950=0,0,IF(C950=0,B950/ROUND($B$81*12,0),B950*(C950/12)/(1-(1+C950/12)^(-ROUND($B$81*12,0))))),IF(AND(NOT(AND(550&gt;$B$173,$B$78="Refinance",ISNUMBER($B$80),$B$80&gt;=0,$B$80&lt;=1,ROUND($B$81*12,0)&gt;=1,$B$81&lt;=100,SUM($B$82)&gt;=0,SUM($B$82)&lt;=1,SUM($B$83)&gt;=0)),OR(550=1,550=$B$174+1,AND($B$175&gt;0,550=$B$175+1))),IF(AND($B$170=1,$B$66&gt;0,OR($B$175=0,550&lt;=$B$175)),$B$66,IF($B$172-MAX(550-1,$B$174)&gt;0,IF(B950=0,0,IF(C950=0,B950/($B$172-MAX(550-1,$B$174)),B950*(C950/12)/(1-(1+C950/12)^(-($B$172-MAX(550-1,$B$174)))))),"")),D949))))),IF(IF(AND(550&lt;=$B$174,550&lt;=$B$173),B950*C950/12,IF(AND(550=$B$173+1,AND(550&gt;$B$173,$B$78="Refinance",ISNUMBER($B$80),$B$80&gt;=0,$B$80&lt;=1,ROUND($B$81*12,0)&gt;=1,$B$81&lt;=100,SUM($B$82)&gt;=0,SUM($B$82)&lt;=1,SUM($B$83)&gt;=0)),IF(B950=0,0,IF(C950=0,B950/ROUND($B$81*12,0),B950*(C950/12)/(1-(1+C950/12)^(-ROUND($B$81*12,0))))),IF(AND(NOT(AND(550&gt;$B$173,$B$78="Refinance",ISNUMBER($B$80),$B$80&gt;=0,$B$80&lt;=1,ROUND($B$81*12,0)&gt;=1,$B$81&lt;=100,SUM($B$82)&gt;=0,SUM($B$82)&lt;=1,SUM($B$83)&gt;=0)),OR(550=1,550=$B$174+1,AND($B$175&gt;0,550=$B$175+1))),IF(AND($B$170=1,$B$66&gt;0,OR($B$175=0,550&lt;=$B$175)),$B$66,IF($B$172-MAX(550-1,$B$174)&gt;0,IF(B950=0,0,IF(C950=0,B950/($B$172-MAX(550-1,$B$174)),B950*(C950/12)/(1-(1+C950/12)^(-($B$172-MAX(550-1,$B$174)))))),"")),D949)))+0.0000001&gt;=B950*C950/12,MIN(B950*(1+C950/12),IF(AND(550&lt;=$B$174,550&lt;=$B$173),B950*C950/12,IF(AND(550=$B$173+1,AND(550&gt;$B$173,$B$78="Refinance",ISNUMBER($B$80),$B$80&gt;=0,$B$80&lt;=1,ROUND($B$81*12,0)&gt;=1,$B$81&lt;=100,SUM($B$82)&gt;=0,SUM($B$82)&lt;=1,SUM($B$83)&gt;=0)),IF(B950=0,0,IF(C950=0,B950/ROUND($B$81*12,0),B950*(C950/12)/(1-(1+C950/12)^(-ROUND($B$81*12,0))))),IF(AND(NOT(AND(550&gt;$B$173,$B$78="Refinance",ISNUMBER($B$80),$B$80&gt;=0,$B$80&lt;=1,ROUND($B$81*12,0)&gt;=1,$B$81&lt;=100,SUM($B$82)&gt;=0,SUM($B$82)&lt;=1,SUM($B$83)&gt;=0)),OR(550=1,550=$B$174+1,AND($B$175&gt;0,550=$B$175+1))),IF(AND($B$170=1,$B$66&gt;0,OR($B$175=0,550&lt;=$B$175)),$B$66,IF($B$172-MAX(550-1,$B$174)&gt;0,IF(B950=0,0,IF(C950=0,B950/($B$172-MAX(550-1,$B$174)),B950*(C950/12)/(1-(1+C950/12)^(-($B$172-MAX(550-1,$B$174)))))),"")),D949)))),""),""))</x:f>
        <x:v>0</x:v>
      </x:c>
      <x:c r="E950" s="440" t="n">
        <x:f>IF(AND(550=$B$173,ISNUMBER(D950)),IF(MAX(0,B950*(1+C950/12)-D950)&lt;MAX(0.0000001,$E$17*0.00000000001),0,MAX(0,B950*(1+C950/12)-D950)),0)</x:f>
        <x:v>0</x:v>
      </x:c>
      <x:c r="F950" s="440" t="n">
        <x:f>IF($B$78="Cash payoff",E950,0)</x:f>
        <x:v>0</x:v>
      </x:c>
      <x:c r="G950" s="440" t="n">
        <x:f>IF(AND(E950&gt;0,AND($B$78="Refinance",ISNUMBER($B$80),$B$80&gt;=0,$B$80&lt;=1,ROUND($B$81*12,0)&gt;=1,$B$81&lt;=100,SUM($B$82)&gt;=0,SUM($B$82)&lt;=1,SUM($B$83)&gt;=0)),E950*SUM($B$82)+SUM($B$83),0)</x:f>
        <x:v>0</x:v>
      </x:c>
      <x:c r="H950" s="440" t="n">
        <x:f>IF(ISNUMBER(D950),IF(MAX(0,B950*(1+C950/12)-D950-F950)&lt;MAX(0.0000001,$E$17*0.00000000001),0,MAX(0,B950*(1+C950/12)-D950-F950)),IF(AND($B$171=1,I949=1),B950,""))</x:f>
        <x:v>0</x:v>
      </x:c>
      <x:c r="I950" s="444" t="n">
        <x:f>IF(OR(I949=1,AND(E950&gt;0,$B$78&lt;&gt;"Cash payoff",NOT(AND($B$78="Refinance",ISNUMBER($B$80),$B$80&gt;=0,$B$80&lt;=1,ROUND($B$81*12,0)&gt;=1,$B$81&lt;=100,SUM($B$82)&gt;=0,SUM($B$82)&lt;=1,SUM($B$83)&gt;=0))),AND(ISNUMBER(B950),B950&gt;0,$B$171=1,NOT(ISNUMBER(D950)))),1,0)</x:f>
        <x:v>0</x:v>
      </x:c>
      <x:c r="J950" s="440" t="n">
        <x:f>IF(ISNUMBER(L949),L949,"")</x:f>
        <x:v>0</x:v>
      </x:c>
      <x:c r="K950" s="440" t="n">
        <x:f>IF(AND(ISNUMBER(J950),J950=0),0,IF(AND($B$176=1,ISNUMBER(J950)),MIN(J950*(1+$B$87/12),IF($B$86=0,0,IF($B$87=0,$B$86/ROUND($B$88*12,0),$B$86*($B$87/12)/(1-(1+$B$87/12)^(-ROUND($B$88*12,0)))))),""))</x:f>
        <x:v>0</x:v>
      </x:c>
      <x:c r="L950" s="440" t="n">
        <x:f>IF(ISNUMBER(K950),IF(MAX(0,J950*(1+SUM($B$87)/12)-K950)&lt;MAX(0.0000001,$B$86*0.00000000001),0,MAX(0,J950*(1+SUM($B$87)/12)-K950)),"")</x:f>
        <x:v>0</x:v>
      </x:c>
      <x:c r="M950" s="440" t="n">
        <x:f>IF(AND(ISNUMBER(D950),ISNUMBER(K950)),D950+K950,"")</x:f>
        <x:v>0</x:v>
      </x:c>
      <x:c r="N950" s="440" t="n">
        <x:f>IF(AND(ISNUMBER(H950),ISNUMBER(L950)),H950+L950,"")</x:f>
        <x:v>0</x:v>
      </x:c>
    </x:row>
    <x:row r="951" ht="22" customHeight="1">
      <x:c r="A951" s="254" t="n">
        <x:f>551</x:f>
        <x:v>551</x:v>
      </x:c>
      <x:c r="B951" s="440" t="n">
        <x:f>IF(ISNUMBER(H950),H950,"")</x:f>
        <x:v>0</x:v>
      </x:c>
      <x:c r="C951" s="442" t="n">
        <x:f>IF(ISNUMBER(B951),IF(AND(551&gt;$B$173,$B$78="Refinance",ISNUMBER($B$80),$B$80&gt;=0,$B$80&lt;=1,ROUND($B$81*12,0)&gt;=1,$B$81&lt;=100,SUM($B$82)&gt;=0,SUM($B$82)&lt;=1,SUM($B$83)&gt;=0),$B$80,IF(AND($B$175&gt;0,551&gt;$B$175,ISNUMBER($B$75)),$B$75,$B$61)),"")</x:f>
        <x:v>0.0625</x:v>
      </x:c>
      <x:c r="D951" s="440" t="n">
        <x:f>IF(AND(ISNUMBER(B951),B951=0),0,IF(AND($B$171=1,I950=0,ISNUMBER(C951),ISNUMBER(IF(AND(551&lt;=$B$174,551&lt;=$B$173),B951*C951/12,IF(AND(551=$B$173+1,AND(551&gt;$B$173,$B$78="Refinance",ISNUMBER($B$80),$B$80&gt;=0,$B$80&lt;=1,ROUND($B$81*12,0)&gt;=1,$B$81&lt;=100,SUM($B$82)&gt;=0,SUM($B$82)&lt;=1,SUM($B$83)&gt;=0)),IF(B951=0,0,IF(C951=0,B951/ROUND($B$81*12,0),B951*(C951/12)/(1-(1+C951/12)^(-ROUND($B$81*12,0))))),IF(AND(NOT(AND(551&gt;$B$173,$B$78="Refinance",ISNUMBER($B$80),$B$80&gt;=0,$B$80&lt;=1,ROUND($B$81*12,0)&gt;=1,$B$81&lt;=100,SUM($B$82)&gt;=0,SUM($B$82)&lt;=1,SUM($B$83)&gt;=0)),OR(551=1,551=$B$174+1,AND($B$175&gt;0,551=$B$175+1))),IF(AND($B$170=1,$B$66&gt;0,OR($B$175=0,551&lt;=$B$175)),$B$66,IF($B$172-MAX(551-1,$B$174)&gt;0,IF(B951=0,0,IF(C951=0,B951/($B$172-MAX(551-1,$B$174)),B951*(C951/12)/(1-(1+C951/12)^(-($B$172-MAX(551-1,$B$174)))))),"")),D950))))),IF(IF(AND(551&lt;=$B$174,551&lt;=$B$173),B951*C951/12,IF(AND(551=$B$173+1,AND(551&gt;$B$173,$B$78="Refinance",ISNUMBER($B$80),$B$80&gt;=0,$B$80&lt;=1,ROUND($B$81*12,0)&gt;=1,$B$81&lt;=100,SUM($B$82)&gt;=0,SUM($B$82)&lt;=1,SUM($B$83)&gt;=0)),IF(B951=0,0,IF(C951=0,B951/ROUND($B$81*12,0),B951*(C951/12)/(1-(1+C951/12)^(-ROUND($B$81*12,0))))),IF(AND(NOT(AND(551&gt;$B$173,$B$78="Refinance",ISNUMBER($B$80),$B$80&gt;=0,$B$80&lt;=1,ROUND($B$81*12,0)&gt;=1,$B$81&lt;=100,SUM($B$82)&gt;=0,SUM($B$82)&lt;=1,SUM($B$83)&gt;=0)),OR(551=1,551=$B$174+1,AND($B$175&gt;0,551=$B$175+1))),IF(AND($B$170=1,$B$66&gt;0,OR($B$175=0,551&lt;=$B$175)),$B$66,IF($B$172-MAX(551-1,$B$174)&gt;0,IF(B951=0,0,IF(C951=0,B951/($B$172-MAX(551-1,$B$174)),B951*(C951/12)/(1-(1+C951/12)^(-($B$172-MAX(551-1,$B$174)))))),"")),D950)))+0.0000001&gt;=B951*C951/12,MIN(B951*(1+C951/12),IF(AND(551&lt;=$B$174,551&lt;=$B$173),B951*C951/12,IF(AND(551=$B$173+1,AND(551&gt;$B$173,$B$78="Refinance",ISNUMBER($B$80),$B$80&gt;=0,$B$80&lt;=1,ROUND($B$81*12,0)&gt;=1,$B$81&lt;=100,SUM($B$82)&gt;=0,SUM($B$82)&lt;=1,SUM($B$83)&gt;=0)),IF(B951=0,0,IF(C951=0,B951/ROUND($B$81*12,0),B951*(C951/12)/(1-(1+C951/12)^(-ROUND($B$81*12,0))))),IF(AND(NOT(AND(551&gt;$B$173,$B$78="Refinance",ISNUMBER($B$80),$B$80&gt;=0,$B$80&lt;=1,ROUND($B$81*12,0)&gt;=1,$B$81&lt;=100,SUM($B$82)&gt;=0,SUM($B$82)&lt;=1,SUM($B$83)&gt;=0)),OR(551=1,551=$B$174+1,AND($B$175&gt;0,551=$B$175+1))),IF(AND($B$170=1,$B$66&gt;0,OR($B$175=0,551&lt;=$B$175)),$B$66,IF($B$172-MAX(551-1,$B$174)&gt;0,IF(B951=0,0,IF(C951=0,B951/($B$172-MAX(551-1,$B$174)),B951*(C951/12)/(1-(1+C951/12)^(-($B$172-MAX(551-1,$B$174)))))),"")),D950)))),""),""))</x:f>
        <x:v>0</x:v>
      </x:c>
      <x:c r="E951" s="440" t="n">
        <x:f>IF(AND(551=$B$173,ISNUMBER(D951)),IF(MAX(0,B951*(1+C951/12)-D951)&lt;MAX(0.0000001,$E$17*0.00000000001),0,MAX(0,B951*(1+C951/12)-D951)),0)</x:f>
        <x:v>0</x:v>
      </x:c>
      <x:c r="F951" s="440" t="n">
        <x:f>IF($B$78="Cash payoff",E951,0)</x:f>
        <x:v>0</x:v>
      </x:c>
      <x:c r="G951" s="440" t="n">
        <x:f>IF(AND(E951&gt;0,AND($B$78="Refinance",ISNUMBER($B$80),$B$80&gt;=0,$B$80&lt;=1,ROUND($B$81*12,0)&gt;=1,$B$81&lt;=100,SUM($B$82)&gt;=0,SUM($B$82)&lt;=1,SUM($B$83)&gt;=0)),E951*SUM($B$82)+SUM($B$83),0)</x:f>
        <x:v>0</x:v>
      </x:c>
      <x:c r="H951" s="440" t="n">
        <x:f>IF(ISNUMBER(D951),IF(MAX(0,B951*(1+C951/12)-D951-F951)&lt;MAX(0.0000001,$E$17*0.00000000001),0,MAX(0,B951*(1+C951/12)-D951-F951)),IF(AND($B$171=1,I950=1),B951,""))</x:f>
        <x:v>0</x:v>
      </x:c>
      <x:c r="I951" s="444" t="n">
        <x:f>IF(OR(I950=1,AND(E951&gt;0,$B$78&lt;&gt;"Cash payoff",NOT(AND($B$78="Refinance",ISNUMBER($B$80),$B$80&gt;=0,$B$80&lt;=1,ROUND($B$81*12,0)&gt;=1,$B$81&lt;=100,SUM($B$82)&gt;=0,SUM($B$82)&lt;=1,SUM($B$83)&gt;=0))),AND(ISNUMBER(B951),B951&gt;0,$B$171=1,NOT(ISNUMBER(D951)))),1,0)</x:f>
        <x:v>0</x:v>
      </x:c>
      <x:c r="J951" s="440" t="n">
        <x:f>IF(ISNUMBER(L950),L950,"")</x:f>
        <x:v>0</x:v>
      </x:c>
      <x:c r="K951" s="440" t="n">
        <x:f>IF(AND(ISNUMBER(J951),J951=0),0,IF(AND($B$176=1,ISNUMBER(J951)),MIN(J951*(1+$B$87/12),IF($B$86=0,0,IF($B$87=0,$B$86/ROUND($B$88*12,0),$B$86*($B$87/12)/(1-(1+$B$87/12)^(-ROUND($B$88*12,0)))))),""))</x:f>
        <x:v>0</x:v>
      </x:c>
      <x:c r="L951" s="440" t="n">
        <x:f>IF(ISNUMBER(K951),IF(MAX(0,J951*(1+SUM($B$87)/12)-K951)&lt;MAX(0.0000001,$B$86*0.00000000001),0,MAX(0,J951*(1+SUM($B$87)/12)-K951)),"")</x:f>
        <x:v>0</x:v>
      </x:c>
      <x:c r="M951" s="440" t="n">
        <x:f>IF(AND(ISNUMBER(D951),ISNUMBER(K951)),D951+K951,"")</x:f>
        <x:v>0</x:v>
      </x:c>
      <x:c r="N951" s="440" t="n">
        <x:f>IF(AND(ISNUMBER(H951),ISNUMBER(L951)),H951+L951,"")</x:f>
        <x:v>0</x:v>
      </x:c>
    </x:row>
    <x:row r="952" ht="22" customHeight="1">
      <x:c r="A952" s="254" t="n">
        <x:f>552</x:f>
        <x:v>552</x:v>
      </x:c>
      <x:c r="B952" s="440" t="n">
        <x:f>IF(ISNUMBER(H951),H951,"")</x:f>
        <x:v>0</x:v>
      </x:c>
      <x:c r="C952" s="442" t="n">
        <x:f>IF(ISNUMBER(B952),IF(AND(552&gt;$B$173,$B$78="Refinance",ISNUMBER($B$80),$B$80&gt;=0,$B$80&lt;=1,ROUND($B$81*12,0)&gt;=1,$B$81&lt;=100,SUM($B$82)&gt;=0,SUM($B$82)&lt;=1,SUM($B$83)&gt;=0),$B$80,IF(AND($B$175&gt;0,552&gt;$B$175,ISNUMBER($B$75)),$B$75,$B$61)),"")</x:f>
        <x:v>0.0625</x:v>
      </x:c>
      <x:c r="D952" s="440" t="n">
        <x:f>IF(AND(ISNUMBER(B952),B952=0),0,IF(AND($B$171=1,I951=0,ISNUMBER(C952),ISNUMBER(IF(AND(552&lt;=$B$174,552&lt;=$B$173),B952*C952/12,IF(AND(552=$B$173+1,AND(552&gt;$B$173,$B$78="Refinance",ISNUMBER($B$80),$B$80&gt;=0,$B$80&lt;=1,ROUND($B$81*12,0)&gt;=1,$B$81&lt;=100,SUM($B$82)&gt;=0,SUM($B$82)&lt;=1,SUM($B$83)&gt;=0)),IF(B952=0,0,IF(C952=0,B952/ROUND($B$81*12,0),B952*(C952/12)/(1-(1+C952/12)^(-ROUND($B$81*12,0))))),IF(AND(NOT(AND(552&gt;$B$173,$B$78="Refinance",ISNUMBER($B$80),$B$80&gt;=0,$B$80&lt;=1,ROUND($B$81*12,0)&gt;=1,$B$81&lt;=100,SUM($B$82)&gt;=0,SUM($B$82)&lt;=1,SUM($B$83)&gt;=0)),OR(552=1,552=$B$174+1,AND($B$175&gt;0,552=$B$175+1))),IF(AND($B$170=1,$B$66&gt;0,OR($B$175=0,552&lt;=$B$175)),$B$66,IF($B$172-MAX(552-1,$B$174)&gt;0,IF(B952=0,0,IF(C952=0,B952/($B$172-MAX(552-1,$B$174)),B952*(C952/12)/(1-(1+C952/12)^(-($B$172-MAX(552-1,$B$174)))))),"")),D951))))),IF(IF(AND(552&lt;=$B$174,552&lt;=$B$173),B952*C952/12,IF(AND(552=$B$173+1,AND(552&gt;$B$173,$B$78="Refinance",ISNUMBER($B$80),$B$80&gt;=0,$B$80&lt;=1,ROUND($B$81*12,0)&gt;=1,$B$81&lt;=100,SUM($B$82)&gt;=0,SUM($B$82)&lt;=1,SUM($B$83)&gt;=0)),IF(B952=0,0,IF(C952=0,B952/ROUND($B$81*12,0),B952*(C952/12)/(1-(1+C952/12)^(-ROUND($B$81*12,0))))),IF(AND(NOT(AND(552&gt;$B$173,$B$78="Refinance",ISNUMBER($B$80),$B$80&gt;=0,$B$80&lt;=1,ROUND($B$81*12,0)&gt;=1,$B$81&lt;=100,SUM($B$82)&gt;=0,SUM($B$82)&lt;=1,SUM($B$83)&gt;=0)),OR(552=1,552=$B$174+1,AND($B$175&gt;0,552=$B$175+1))),IF(AND($B$170=1,$B$66&gt;0,OR($B$175=0,552&lt;=$B$175)),$B$66,IF($B$172-MAX(552-1,$B$174)&gt;0,IF(B952=0,0,IF(C952=0,B952/($B$172-MAX(552-1,$B$174)),B952*(C952/12)/(1-(1+C952/12)^(-($B$172-MAX(552-1,$B$174)))))),"")),D951)))+0.0000001&gt;=B952*C952/12,MIN(B952*(1+C952/12),IF(AND(552&lt;=$B$174,552&lt;=$B$173),B952*C952/12,IF(AND(552=$B$173+1,AND(552&gt;$B$173,$B$78="Refinance",ISNUMBER($B$80),$B$80&gt;=0,$B$80&lt;=1,ROUND($B$81*12,0)&gt;=1,$B$81&lt;=100,SUM($B$82)&gt;=0,SUM($B$82)&lt;=1,SUM($B$83)&gt;=0)),IF(B952=0,0,IF(C952=0,B952/ROUND($B$81*12,0),B952*(C952/12)/(1-(1+C952/12)^(-ROUND($B$81*12,0))))),IF(AND(NOT(AND(552&gt;$B$173,$B$78="Refinance",ISNUMBER($B$80),$B$80&gt;=0,$B$80&lt;=1,ROUND($B$81*12,0)&gt;=1,$B$81&lt;=100,SUM($B$82)&gt;=0,SUM($B$82)&lt;=1,SUM($B$83)&gt;=0)),OR(552=1,552=$B$174+1,AND($B$175&gt;0,552=$B$175+1))),IF(AND($B$170=1,$B$66&gt;0,OR($B$175=0,552&lt;=$B$175)),$B$66,IF($B$172-MAX(552-1,$B$174)&gt;0,IF(B952=0,0,IF(C952=0,B952/($B$172-MAX(552-1,$B$174)),B952*(C952/12)/(1-(1+C952/12)^(-($B$172-MAX(552-1,$B$174)))))),"")),D951)))),""),""))</x:f>
        <x:v>0</x:v>
      </x:c>
      <x:c r="E952" s="440" t="n">
        <x:f>IF(AND(552=$B$173,ISNUMBER(D952)),IF(MAX(0,B952*(1+C952/12)-D952)&lt;MAX(0.0000001,$E$17*0.00000000001),0,MAX(0,B952*(1+C952/12)-D952)),0)</x:f>
        <x:v>0</x:v>
      </x:c>
      <x:c r="F952" s="440" t="n">
        <x:f>IF($B$78="Cash payoff",E952,0)</x:f>
        <x:v>0</x:v>
      </x:c>
      <x:c r="G952" s="440" t="n">
        <x:f>IF(AND(E952&gt;0,AND($B$78="Refinance",ISNUMBER($B$80),$B$80&gt;=0,$B$80&lt;=1,ROUND($B$81*12,0)&gt;=1,$B$81&lt;=100,SUM($B$82)&gt;=0,SUM($B$82)&lt;=1,SUM($B$83)&gt;=0)),E952*SUM($B$82)+SUM($B$83),0)</x:f>
        <x:v>0</x:v>
      </x:c>
      <x:c r="H952" s="440" t="n">
        <x:f>IF(ISNUMBER(D952),IF(MAX(0,B952*(1+C952/12)-D952-F952)&lt;MAX(0.0000001,$E$17*0.00000000001),0,MAX(0,B952*(1+C952/12)-D952-F952)),IF(AND($B$171=1,I951=1),B952,""))</x:f>
        <x:v>0</x:v>
      </x:c>
      <x:c r="I952" s="444" t="n">
        <x:f>IF(OR(I951=1,AND(E952&gt;0,$B$78&lt;&gt;"Cash payoff",NOT(AND($B$78="Refinance",ISNUMBER($B$80),$B$80&gt;=0,$B$80&lt;=1,ROUND($B$81*12,0)&gt;=1,$B$81&lt;=100,SUM($B$82)&gt;=0,SUM($B$82)&lt;=1,SUM($B$83)&gt;=0))),AND(ISNUMBER(B952),B952&gt;0,$B$171=1,NOT(ISNUMBER(D952)))),1,0)</x:f>
        <x:v>0</x:v>
      </x:c>
      <x:c r="J952" s="440" t="n">
        <x:f>IF(ISNUMBER(L951),L951,"")</x:f>
        <x:v>0</x:v>
      </x:c>
      <x:c r="K952" s="440" t="n">
        <x:f>IF(AND(ISNUMBER(J952),J952=0),0,IF(AND($B$176=1,ISNUMBER(J952)),MIN(J952*(1+$B$87/12),IF($B$86=0,0,IF($B$87=0,$B$86/ROUND($B$88*12,0),$B$86*($B$87/12)/(1-(1+$B$87/12)^(-ROUND($B$88*12,0)))))),""))</x:f>
        <x:v>0</x:v>
      </x:c>
      <x:c r="L952" s="440" t="n">
        <x:f>IF(ISNUMBER(K952),IF(MAX(0,J952*(1+SUM($B$87)/12)-K952)&lt;MAX(0.0000001,$B$86*0.00000000001),0,MAX(0,J952*(1+SUM($B$87)/12)-K952)),"")</x:f>
        <x:v>0</x:v>
      </x:c>
      <x:c r="M952" s="440" t="n">
        <x:f>IF(AND(ISNUMBER(D952),ISNUMBER(K952)),D952+K952,"")</x:f>
        <x:v>0</x:v>
      </x:c>
      <x:c r="N952" s="440" t="n">
        <x:f>IF(AND(ISNUMBER(H952),ISNUMBER(L952)),H952+L952,"")</x:f>
        <x:v>0</x:v>
      </x:c>
    </x:row>
    <x:row r="953" ht="22" customHeight="1">
      <x:c r="A953" s="254" t="n">
        <x:f>553</x:f>
        <x:v>553</x:v>
      </x:c>
      <x:c r="B953" s="440" t="n">
        <x:f>IF(ISNUMBER(H952),H952,"")</x:f>
        <x:v>0</x:v>
      </x:c>
      <x:c r="C953" s="442" t="n">
        <x:f>IF(ISNUMBER(B953),IF(AND(553&gt;$B$173,$B$78="Refinance",ISNUMBER($B$80),$B$80&gt;=0,$B$80&lt;=1,ROUND($B$81*12,0)&gt;=1,$B$81&lt;=100,SUM($B$82)&gt;=0,SUM($B$82)&lt;=1,SUM($B$83)&gt;=0),$B$80,IF(AND($B$175&gt;0,553&gt;$B$175,ISNUMBER($B$75)),$B$75,$B$61)),"")</x:f>
        <x:v>0.0625</x:v>
      </x:c>
      <x:c r="D953" s="440" t="n">
        <x:f>IF(AND(ISNUMBER(B953),B953=0),0,IF(AND($B$171=1,I952=0,ISNUMBER(C953),ISNUMBER(IF(AND(553&lt;=$B$174,553&lt;=$B$173),B953*C953/12,IF(AND(553=$B$173+1,AND(553&gt;$B$173,$B$78="Refinance",ISNUMBER($B$80),$B$80&gt;=0,$B$80&lt;=1,ROUND($B$81*12,0)&gt;=1,$B$81&lt;=100,SUM($B$82)&gt;=0,SUM($B$82)&lt;=1,SUM($B$83)&gt;=0)),IF(B953=0,0,IF(C953=0,B953/ROUND($B$81*12,0),B953*(C953/12)/(1-(1+C953/12)^(-ROUND($B$81*12,0))))),IF(AND(NOT(AND(553&gt;$B$173,$B$78="Refinance",ISNUMBER($B$80),$B$80&gt;=0,$B$80&lt;=1,ROUND($B$81*12,0)&gt;=1,$B$81&lt;=100,SUM($B$82)&gt;=0,SUM($B$82)&lt;=1,SUM($B$83)&gt;=0)),OR(553=1,553=$B$174+1,AND($B$175&gt;0,553=$B$175+1))),IF(AND($B$170=1,$B$66&gt;0,OR($B$175=0,553&lt;=$B$175)),$B$66,IF($B$172-MAX(553-1,$B$174)&gt;0,IF(B953=0,0,IF(C953=0,B953/($B$172-MAX(553-1,$B$174)),B953*(C953/12)/(1-(1+C953/12)^(-($B$172-MAX(553-1,$B$174)))))),"")),D952))))),IF(IF(AND(553&lt;=$B$174,553&lt;=$B$173),B953*C953/12,IF(AND(553=$B$173+1,AND(553&gt;$B$173,$B$78="Refinance",ISNUMBER($B$80),$B$80&gt;=0,$B$80&lt;=1,ROUND($B$81*12,0)&gt;=1,$B$81&lt;=100,SUM($B$82)&gt;=0,SUM($B$82)&lt;=1,SUM($B$83)&gt;=0)),IF(B953=0,0,IF(C953=0,B953/ROUND($B$81*12,0),B953*(C953/12)/(1-(1+C953/12)^(-ROUND($B$81*12,0))))),IF(AND(NOT(AND(553&gt;$B$173,$B$78="Refinance",ISNUMBER($B$80),$B$80&gt;=0,$B$80&lt;=1,ROUND($B$81*12,0)&gt;=1,$B$81&lt;=100,SUM($B$82)&gt;=0,SUM($B$82)&lt;=1,SUM($B$83)&gt;=0)),OR(553=1,553=$B$174+1,AND($B$175&gt;0,553=$B$175+1))),IF(AND($B$170=1,$B$66&gt;0,OR($B$175=0,553&lt;=$B$175)),$B$66,IF($B$172-MAX(553-1,$B$174)&gt;0,IF(B953=0,0,IF(C953=0,B953/($B$172-MAX(553-1,$B$174)),B953*(C953/12)/(1-(1+C953/12)^(-($B$172-MAX(553-1,$B$174)))))),"")),D952)))+0.0000001&gt;=B953*C953/12,MIN(B953*(1+C953/12),IF(AND(553&lt;=$B$174,553&lt;=$B$173),B953*C953/12,IF(AND(553=$B$173+1,AND(553&gt;$B$173,$B$78="Refinance",ISNUMBER($B$80),$B$80&gt;=0,$B$80&lt;=1,ROUND($B$81*12,0)&gt;=1,$B$81&lt;=100,SUM($B$82)&gt;=0,SUM($B$82)&lt;=1,SUM($B$83)&gt;=0)),IF(B953=0,0,IF(C953=0,B953/ROUND($B$81*12,0),B953*(C953/12)/(1-(1+C953/12)^(-ROUND($B$81*12,0))))),IF(AND(NOT(AND(553&gt;$B$173,$B$78="Refinance",ISNUMBER($B$80),$B$80&gt;=0,$B$80&lt;=1,ROUND($B$81*12,0)&gt;=1,$B$81&lt;=100,SUM($B$82)&gt;=0,SUM($B$82)&lt;=1,SUM($B$83)&gt;=0)),OR(553=1,553=$B$174+1,AND($B$175&gt;0,553=$B$175+1))),IF(AND($B$170=1,$B$66&gt;0,OR($B$175=0,553&lt;=$B$175)),$B$66,IF($B$172-MAX(553-1,$B$174)&gt;0,IF(B953=0,0,IF(C953=0,B953/($B$172-MAX(553-1,$B$174)),B953*(C953/12)/(1-(1+C953/12)^(-($B$172-MAX(553-1,$B$174)))))),"")),D952)))),""),""))</x:f>
        <x:v>0</x:v>
      </x:c>
      <x:c r="E953" s="440" t="n">
        <x:f>IF(AND(553=$B$173,ISNUMBER(D953)),IF(MAX(0,B953*(1+C953/12)-D953)&lt;MAX(0.0000001,$E$17*0.00000000001),0,MAX(0,B953*(1+C953/12)-D953)),0)</x:f>
        <x:v>0</x:v>
      </x:c>
      <x:c r="F953" s="440" t="n">
        <x:f>IF($B$78="Cash payoff",E953,0)</x:f>
        <x:v>0</x:v>
      </x:c>
      <x:c r="G953" s="440" t="n">
        <x:f>IF(AND(E953&gt;0,AND($B$78="Refinance",ISNUMBER($B$80),$B$80&gt;=0,$B$80&lt;=1,ROUND($B$81*12,0)&gt;=1,$B$81&lt;=100,SUM($B$82)&gt;=0,SUM($B$82)&lt;=1,SUM($B$83)&gt;=0)),E953*SUM($B$82)+SUM($B$83),0)</x:f>
        <x:v>0</x:v>
      </x:c>
      <x:c r="H953" s="440" t="n">
        <x:f>IF(ISNUMBER(D953),IF(MAX(0,B953*(1+C953/12)-D953-F953)&lt;MAX(0.0000001,$E$17*0.00000000001),0,MAX(0,B953*(1+C953/12)-D953-F953)),IF(AND($B$171=1,I952=1),B953,""))</x:f>
        <x:v>0</x:v>
      </x:c>
      <x:c r="I953" s="444" t="n">
        <x:f>IF(OR(I952=1,AND(E953&gt;0,$B$78&lt;&gt;"Cash payoff",NOT(AND($B$78="Refinance",ISNUMBER($B$80),$B$80&gt;=0,$B$80&lt;=1,ROUND($B$81*12,0)&gt;=1,$B$81&lt;=100,SUM($B$82)&gt;=0,SUM($B$82)&lt;=1,SUM($B$83)&gt;=0))),AND(ISNUMBER(B953),B953&gt;0,$B$171=1,NOT(ISNUMBER(D953)))),1,0)</x:f>
        <x:v>0</x:v>
      </x:c>
      <x:c r="J953" s="440" t="n">
        <x:f>IF(ISNUMBER(L952),L952,"")</x:f>
        <x:v>0</x:v>
      </x:c>
      <x:c r="K953" s="440" t="n">
        <x:f>IF(AND(ISNUMBER(J953),J953=0),0,IF(AND($B$176=1,ISNUMBER(J953)),MIN(J953*(1+$B$87/12),IF($B$86=0,0,IF($B$87=0,$B$86/ROUND($B$88*12,0),$B$86*($B$87/12)/(1-(1+$B$87/12)^(-ROUND($B$88*12,0)))))),""))</x:f>
        <x:v>0</x:v>
      </x:c>
      <x:c r="L953" s="440" t="n">
        <x:f>IF(ISNUMBER(K953),IF(MAX(0,J953*(1+SUM($B$87)/12)-K953)&lt;MAX(0.0000001,$B$86*0.00000000001),0,MAX(0,J953*(1+SUM($B$87)/12)-K953)),"")</x:f>
        <x:v>0</x:v>
      </x:c>
      <x:c r="M953" s="440" t="n">
        <x:f>IF(AND(ISNUMBER(D953),ISNUMBER(K953)),D953+K953,"")</x:f>
        <x:v>0</x:v>
      </x:c>
      <x:c r="N953" s="440" t="n">
        <x:f>IF(AND(ISNUMBER(H953),ISNUMBER(L953)),H953+L953,"")</x:f>
        <x:v>0</x:v>
      </x:c>
    </x:row>
    <x:row r="954" ht="22" customHeight="1">
      <x:c r="A954" s="254" t="n">
        <x:f>554</x:f>
        <x:v>554</x:v>
      </x:c>
      <x:c r="B954" s="440" t="n">
        <x:f>IF(ISNUMBER(H953),H953,"")</x:f>
        <x:v>0</x:v>
      </x:c>
      <x:c r="C954" s="442" t="n">
        <x:f>IF(ISNUMBER(B954),IF(AND(554&gt;$B$173,$B$78="Refinance",ISNUMBER($B$80),$B$80&gt;=0,$B$80&lt;=1,ROUND($B$81*12,0)&gt;=1,$B$81&lt;=100,SUM($B$82)&gt;=0,SUM($B$82)&lt;=1,SUM($B$83)&gt;=0),$B$80,IF(AND($B$175&gt;0,554&gt;$B$175,ISNUMBER($B$75)),$B$75,$B$61)),"")</x:f>
        <x:v>0.0625</x:v>
      </x:c>
      <x:c r="D954" s="440" t="n">
        <x:f>IF(AND(ISNUMBER(B954),B954=0),0,IF(AND($B$171=1,I953=0,ISNUMBER(C954),ISNUMBER(IF(AND(554&lt;=$B$174,554&lt;=$B$173),B954*C954/12,IF(AND(554=$B$173+1,AND(554&gt;$B$173,$B$78="Refinance",ISNUMBER($B$80),$B$80&gt;=0,$B$80&lt;=1,ROUND($B$81*12,0)&gt;=1,$B$81&lt;=100,SUM($B$82)&gt;=0,SUM($B$82)&lt;=1,SUM($B$83)&gt;=0)),IF(B954=0,0,IF(C954=0,B954/ROUND($B$81*12,0),B954*(C954/12)/(1-(1+C954/12)^(-ROUND($B$81*12,0))))),IF(AND(NOT(AND(554&gt;$B$173,$B$78="Refinance",ISNUMBER($B$80),$B$80&gt;=0,$B$80&lt;=1,ROUND($B$81*12,0)&gt;=1,$B$81&lt;=100,SUM($B$82)&gt;=0,SUM($B$82)&lt;=1,SUM($B$83)&gt;=0)),OR(554=1,554=$B$174+1,AND($B$175&gt;0,554=$B$175+1))),IF(AND($B$170=1,$B$66&gt;0,OR($B$175=0,554&lt;=$B$175)),$B$66,IF($B$172-MAX(554-1,$B$174)&gt;0,IF(B954=0,0,IF(C954=0,B954/($B$172-MAX(554-1,$B$174)),B954*(C954/12)/(1-(1+C954/12)^(-($B$172-MAX(554-1,$B$174)))))),"")),D953))))),IF(IF(AND(554&lt;=$B$174,554&lt;=$B$173),B954*C954/12,IF(AND(554=$B$173+1,AND(554&gt;$B$173,$B$78="Refinance",ISNUMBER($B$80),$B$80&gt;=0,$B$80&lt;=1,ROUND($B$81*12,0)&gt;=1,$B$81&lt;=100,SUM($B$82)&gt;=0,SUM($B$82)&lt;=1,SUM($B$83)&gt;=0)),IF(B954=0,0,IF(C954=0,B954/ROUND($B$81*12,0),B954*(C954/12)/(1-(1+C954/12)^(-ROUND($B$81*12,0))))),IF(AND(NOT(AND(554&gt;$B$173,$B$78="Refinance",ISNUMBER($B$80),$B$80&gt;=0,$B$80&lt;=1,ROUND($B$81*12,0)&gt;=1,$B$81&lt;=100,SUM($B$82)&gt;=0,SUM($B$82)&lt;=1,SUM($B$83)&gt;=0)),OR(554=1,554=$B$174+1,AND($B$175&gt;0,554=$B$175+1))),IF(AND($B$170=1,$B$66&gt;0,OR($B$175=0,554&lt;=$B$175)),$B$66,IF($B$172-MAX(554-1,$B$174)&gt;0,IF(B954=0,0,IF(C954=0,B954/($B$172-MAX(554-1,$B$174)),B954*(C954/12)/(1-(1+C954/12)^(-($B$172-MAX(554-1,$B$174)))))),"")),D953)))+0.0000001&gt;=B954*C954/12,MIN(B954*(1+C954/12),IF(AND(554&lt;=$B$174,554&lt;=$B$173),B954*C954/12,IF(AND(554=$B$173+1,AND(554&gt;$B$173,$B$78="Refinance",ISNUMBER($B$80),$B$80&gt;=0,$B$80&lt;=1,ROUND($B$81*12,0)&gt;=1,$B$81&lt;=100,SUM($B$82)&gt;=0,SUM($B$82)&lt;=1,SUM($B$83)&gt;=0)),IF(B954=0,0,IF(C954=0,B954/ROUND($B$81*12,0),B954*(C954/12)/(1-(1+C954/12)^(-ROUND($B$81*12,0))))),IF(AND(NOT(AND(554&gt;$B$173,$B$78="Refinance",ISNUMBER($B$80),$B$80&gt;=0,$B$80&lt;=1,ROUND($B$81*12,0)&gt;=1,$B$81&lt;=100,SUM($B$82)&gt;=0,SUM($B$82)&lt;=1,SUM($B$83)&gt;=0)),OR(554=1,554=$B$174+1,AND($B$175&gt;0,554=$B$175+1))),IF(AND($B$170=1,$B$66&gt;0,OR($B$175=0,554&lt;=$B$175)),$B$66,IF($B$172-MAX(554-1,$B$174)&gt;0,IF(B954=0,0,IF(C954=0,B954/($B$172-MAX(554-1,$B$174)),B954*(C954/12)/(1-(1+C954/12)^(-($B$172-MAX(554-1,$B$174)))))),"")),D953)))),""),""))</x:f>
        <x:v>0</x:v>
      </x:c>
      <x:c r="E954" s="440" t="n">
        <x:f>IF(AND(554=$B$173,ISNUMBER(D954)),IF(MAX(0,B954*(1+C954/12)-D954)&lt;MAX(0.0000001,$E$17*0.00000000001),0,MAX(0,B954*(1+C954/12)-D954)),0)</x:f>
        <x:v>0</x:v>
      </x:c>
      <x:c r="F954" s="440" t="n">
        <x:f>IF($B$78="Cash payoff",E954,0)</x:f>
        <x:v>0</x:v>
      </x:c>
      <x:c r="G954" s="440" t="n">
        <x:f>IF(AND(E954&gt;0,AND($B$78="Refinance",ISNUMBER($B$80),$B$80&gt;=0,$B$80&lt;=1,ROUND($B$81*12,0)&gt;=1,$B$81&lt;=100,SUM($B$82)&gt;=0,SUM($B$82)&lt;=1,SUM($B$83)&gt;=0)),E954*SUM($B$82)+SUM($B$83),0)</x:f>
        <x:v>0</x:v>
      </x:c>
      <x:c r="H954" s="440" t="n">
        <x:f>IF(ISNUMBER(D954),IF(MAX(0,B954*(1+C954/12)-D954-F954)&lt;MAX(0.0000001,$E$17*0.00000000001),0,MAX(0,B954*(1+C954/12)-D954-F954)),IF(AND($B$171=1,I953=1),B954,""))</x:f>
        <x:v>0</x:v>
      </x:c>
      <x:c r="I954" s="444" t="n">
        <x:f>IF(OR(I953=1,AND(E954&gt;0,$B$78&lt;&gt;"Cash payoff",NOT(AND($B$78="Refinance",ISNUMBER($B$80),$B$80&gt;=0,$B$80&lt;=1,ROUND($B$81*12,0)&gt;=1,$B$81&lt;=100,SUM($B$82)&gt;=0,SUM($B$82)&lt;=1,SUM($B$83)&gt;=0))),AND(ISNUMBER(B954),B954&gt;0,$B$171=1,NOT(ISNUMBER(D954)))),1,0)</x:f>
        <x:v>0</x:v>
      </x:c>
      <x:c r="J954" s="440" t="n">
        <x:f>IF(ISNUMBER(L953),L953,"")</x:f>
        <x:v>0</x:v>
      </x:c>
      <x:c r="K954" s="440" t="n">
        <x:f>IF(AND(ISNUMBER(J954),J954=0),0,IF(AND($B$176=1,ISNUMBER(J954)),MIN(J954*(1+$B$87/12),IF($B$86=0,0,IF($B$87=0,$B$86/ROUND($B$88*12,0),$B$86*($B$87/12)/(1-(1+$B$87/12)^(-ROUND($B$88*12,0)))))),""))</x:f>
        <x:v>0</x:v>
      </x:c>
      <x:c r="L954" s="440" t="n">
        <x:f>IF(ISNUMBER(K954),IF(MAX(0,J954*(1+SUM($B$87)/12)-K954)&lt;MAX(0.0000001,$B$86*0.00000000001),0,MAX(0,J954*(1+SUM($B$87)/12)-K954)),"")</x:f>
        <x:v>0</x:v>
      </x:c>
      <x:c r="M954" s="440" t="n">
        <x:f>IF(AND(ISNUMBER(D954),ISNUMBER(K954)),D954+K954,"")</x:f>
        <x:v>0</x:v>
      </x:c>
      <x:c r="N954" s="440" t="n">
        <x:f>IF(AND(ISNUMBER(H954),ISNUMBER(L954)),H954+L954,"")</x:f>
        <x:v>0</x:v>
      </x:c>
    </x:row>
    <x:row r="955" ht="22" customHeight="1">
      <x:c r="A955" s="254" t="n">
        <x:f>555</x:f>
        <x:v>555</x:v>
      </x:c>
      <x:c r="B955" s="440" t="n">
        <x:f>IF(ISNUMBER(H954),H954,"")</x:f>
        <x:v>0</x:v>
      </x:c>
      <x:c r="C955" s="442" t="n">
        <x:f>IF(ISNUMBER(B955),IF(AND(555&gt;$B$173,$B$78="Refinance",ISNUMBER($B$80),$B$80&gt;=0,$B$80&lt;=1,ROUND($B$81*12,0)&gt;=1,$B$81&lt;=100,SUM($B$82)&gt;=0,SUM($B$82)&lt;=1,SUM($B$83)&gt;=0),$B$80,IF(AND($B$175&gt;0,555&gt;$B$175,ISNUMBER($B$75)),$B$75,$B$61)),"")</x:f>
        <x:v>0.0625</x:v>
      </x:c>
      <x:c r="D955" s="440" t="n">
        <x:f>IF(AND(ISNUMBER(B955),B955=0),0,IF(AND($B$171=1,I954=0,ISNUMBER(C955),ISNUMBER(IF(AND(555&lt;=$B$174,555&lt;=$B$173),B955*C955/12,IF(AND(555=$B$173+1,AND(555&gt;$B$173,$B$78="Refinance",ISNUMBER($B$80),$B$80&gt;=0,$B$80&lt;=1,ROUND($B$81*12,0)&gt;=1,$B$81&lt;=100,SUM($B$82)&gt;=0,SUM($B$82)&lt;=1,SUM($B$83)&gt;=0)),IF(B955=0,0,IF(C955=0,B955/ROUND($B$81*12,0),B955*(C955/12)/(1-(1+C955/12)^(-ROUND($B$81*12,0))))),IF(AND(NOT(AND(555&gt;$B$173,$B$78="Refinance",ISNUMBER($B$80),$B$80&gt;=0,$B$80&lt;=1,ROUND($B$81*12,0)&gt;=1,$B$81&lt;=100,SUM($B$82)&gt;=0,SUM($B$82)&lt;=1,SUM($B$83)&gt;=0)),OR(555=1,555=$B$174+1,AND($B$175&gt;0,555=$B$175+1))),IF(AND($B$170=1,$B$66&gt;0,OR($B$175=0,555&lt;=$B$175)),$B$66,IF($B$172-MAX(555-1,$B$174)&gt;0,IF(B955=0,0,IF(C955=0,B955/($B$172-MAX(555-1,$B$174)),B955*(C955/12)/(1-(1+C955/12)^(-($B$172-MAX(555-1,$B$174)))))),"")),D954))))),IF(IF(AND(555&lt;=$B$174,555&lt;=$B$173),B955*C955/12,IF(AND(555=$B$173+1,AND(555&gt;$B$173,$B$78="Refinance",ISNUMBER($B$80),$B$80&gt;=0,$B$80&lt;=1,ROUND($B$81*12,0)&gt;=1,$B$81&lt;=100,SUM($B$82)&gt;=0,SUM($B$82)&lt;=1,SUM($B$83)&gt;=0)),IF(B955=0,0,IF(C955=0,B955/ROUND($B$81*12,0),B955*(C955/12)/(1-(1+C955/12)^(-ROUND($B$81*12,0))))),IF(AND(NOT(AND(555&gt;$B$173,$B$78="Refinance",ISNUMBER($B$80),$B$80&gt;=0,$B$80&lt;=1,ROUND($B$81*12,0)&gt;=1,$B$81&lt;=100,SUM($B$82)&gt;=0,SUM($B$82)&lt;=1,SUM($B$83)&gt;=0)),OR(555=1,555=$B$174+1,AND($B$175&gt;0,555=$B$175+1))),IF(AND($B$170=1,$B$66&gt;0,OR($B$175=0,555&lt;=$B$175)),$B$66,IF($B$172-MAX(555-1,$B$174)&gt;0,IF(B955=0,0,IF(C955=0,B955/($B$172-MAX(555-1,$B$174)),B955*(C955/12)/(1-(1+C955/12)^(-($B$172-MAX(555-1,$B$174)))))),"")),D954)))+0.0000001&gt;=B955*C955/12,MIN(B955*(1+C955/12),IF(AND(555&lt;=$B$174,555&lt;=$B$173),B955*C955/12,IF(AND(555=$B$173+1,AND(555&gt;$B$173,$B$78="Refinance",ISNUMBER($B$80),$B$80&gt;=0,$B$80&lt;=1,ROUND($B$81*12,0)&gt;=1,$B$81&lt;=100,SUM($B$82)&gt;=0,SUM($B$82)&lt;=1,SUM($B$83)&gt;=0)),IF(B955=0,0,IF(C955=0,B955/ROUND($B$81*12,0),B955*(C955/12)/(1-(1+C955/12)^(-ROUND($B$81*12,0))))),IF(AND(NOT(AND(555&gt;$B$173,$B$78="Refinance",ISNUMBER($B$80),$B$80&gt;=0,$B$80&lt;=1,ROUND($B$81*12,0)&gt;=1,$B$81&lt;=100,SUM($B$82)&gt;=0,SUM($B$82)&lt;=1,SUM($B$83)&gt;=0)),OR(555=1,555=$B$174+1,AND($B$175&gt;0,555=$B$175+1))),IF(AND($B$170=1,$B$66&gt;0,OR($B$175=0,555&lt;=$B$175)),$B$66,IF($B$172-MAX(555-1,$B$174)&gt;0,IF(B955=0,0,IF(C955=0,B955/($B$172-MAX(555-1,$B$174)),B955*(C955/12)/(1-(1+C955/12)^(-($B$172-MAX(555-1,$B$174)))))),"")),D954)))),""),""))</x:f>
        <x:v>0</x:v>
      </x:c>
      <x:c r="E955" s="440" t="n">
        <x:f>IF(AND(555=$B$173,ISNUMBER(D955)),IF(MAX(0,B955*(1+C955/12)-D955)&lt;MAX(0.0000001,$E$17*0.00000000001),0,MAX(0,B955*(1+C955/12)-D955)),0)</x:f>
        <x:v>0</x:v>
      </x:c>
      <x:c r="F955" s="440" t="n">
        <x:f>IF($B$78="Cash payoff",E955,0)</x:f>
        <x:v>0</x:v>
      </x:c>
      <x:c r="G955" s="440" t="n">
        <x:f>IF(AND(E955&gt;0,AND($B$78="Refinance",ISNUMBER($B$80),$B$80&gt;=0,$B$80&lt;=1,ROUND($B$81*12,0)&gt;=1,$B$81&lt;=100,SUM($B$82)&gt;=0,SUM($B$82)&lt;=1,SUM($B$83)&gt;=0)),E955*SUM($B$82)+SUM($B$83),0)</x:f>
        <x:v>0</x:v>
      </x:c>
      <x:c r="H955" s="440" t="n">
        <x:f>IF(ISNUMBER(D955),IF(MAX(0,B955*(1+C955/12)-D955-F955)&lt;MAX(0.0000001,$E$17*0.00000000001),0,MAX(0,B955*(1+C955/12)-D955-F955)),IF(AND($B$171=1,I954=1),B955,""))</x:f>
        <x:v>0</x:v>
      </x:c>
      <x:c r="I955" s="444" t="n">
        <x:f>IF(OR(I954=1,AND(E955&gt;0,$B$78&lt;&gt;"Cash payoff",NOT(AND($B$78="Refinance",ISNUMBER($B$80),$B$80&gt;=0,$B$80&lt;=1,ROUND($B$81*12,0)&gt;=1,$B$81&lt;=100,SUM($B$82)&gt;=0,SUM($B$82)&lt;=1,SUM($B$83)&gt;=0))),AND(ISNUMBER(B955),B955&gt;0,$B$171=1,NOT(ISNUMBER(D955)))),1,0)</x:f>
        <x:v>0</x:v>
      </x:c>
      <x:c r="J955" s="440" t="n">
        <x:f>IF(ISNUMBER(L954),L954,"")</x:f>
        <x:v>0</x:v>
      </x:c>
      <x:c r="K955" s="440" t="n">
        <x:f>IF(AND(ISNUMBER(J955),J955=0),0,IF(AND($B$176=1,ISNUMBER(J955)),MIN(J955*(1+$B$87/12),IF($B$86=0,0,IF($B$87=0,$B$86/ROUND($B$88*12,0),$B$86*($B$87/12)/(1-(1+$B$87/12)^(-ROUND($B$88*12,0)))))),""))</x:f>
        <x:v>0</x:v>
      </x:c>
      <x:c r="L955" s="440" t="n">
        <x:f>IF(ISNUMBER(K955),IF(MAX(0,J955*(1+SUM($B$87)/12)-K955)&lt;MAX(0.0000001,$B$86*0.00000000001),0,MAX(0,J955*(1+SUM($B$87)/12)-K955)),"")</x:f>
        <x:v>0</x:v>
      </x:c>
      <x:c r="M955" s="440" t="n">
        <x:f>IF(AND(ISNUMBER(D955),ISNUMBER(K955)),D955+K955,"")</x:f>
        <x:v>0</x:v>
      </x:c>
      <x:c r="N955" s="440" t="n">
        <x:f>IF(AND(ISNUMBER(H955),ISNUMBER(L955)),H955+L955,"")</x:f>
        <x:v>0</x:v>
      </x:c>
    </x:row>
    <x:row r="956" ht="22" customHeight="1">
      <x:c r="A956" s="254" t="n">
        <x:f>556</x:f>
        <x:v>556</x:v>
      </x:c>
      <x:c r="B956" s="440" t="n">
        <x:f>IF(ISNUMBER(H955),H955,"")</x:f>
        <x:v>0</x:v>
      </x:c>
      <x:c r="C956" s="442" t="n">
        <x:f>IF(ISNUMBER(B956),IF(AND(556&gt;$B$173,$B$78="Refinance",ISNUMBER($B$80),$B$80&gt;=0,$B$80&lt;=1,ROUND($B$81*12,0)&gt;=1,$B$81&lt;=100,SUM($B$82)&gt;=0,SUM($B$82)&lt;=1,SUM($B$83)&gt;=0),$B$80,IF(AND($B$175&gt;0,556&gt;$B$175,ISNUMBER($B$75)),$B$75,$B$61)),"")</x:f>
        <x:v>0.0625</x:v>
      </x:c>
      <x:c r="D956" s="440" t="n">
        <x:f>IF(AND(ISNUMBER(B956),B956=0),0,IF(AND($B$171=1,I955=0,ISNUMBER(C956),ISNUMBER(IF(AND(556&lt;=$B$174,556&lt;=$B$173),B956*C956/12,IF(AND(556=$B$173+1,AND(556&gt;$B$173,$B$78="Refinance",ISNUMBER($B$80),$B$80&gt;=0,$B$80&lt;=1,ROUND($B$81*12,0)&gt;=1,$B$81&lt;=100,SUM($B$82)&gt;=0,SUM($B$82)&lt;=1,SUM($B$83)&gt;=0)),IF(B956=0,0,IF(C956=0,B956/ROUND($B$81*12,0),B956*(C956/12)/(1-(1+C956/12)^(-ROUND($B$81*12,0))))),IF(AND(NOT(AND(556&gt;$B$173,$B$78="Refinance",ISNUMBER($B$80),$B$80&gt;=0,$B$80&lt;=1,ROUND($B$81*12,0)&gt;=1,$B$81&lt;=100,SUM($B$82)&gt;=0,SUM($B$82)&lt;=1,SUM($B$83)&gt;=0)),OR(556=1,556=$B$174+1,AND($B$175&gt;0,556=$B$175+1))),IF(AND($B$170=1,$B$66&gt;0,OR($B$175=0,556&lt;=$B$175)),$B$66,IF($B$172-MAX(556-1,$B$174)&gt;0,IF(B956=0,0,IF(C956=0,B956/($B$172-MAX(556-1,$B$174)),B956*(C956/12)/(1-(1+C956/12)^(-($B$172-MAX(556-1,$B$174)))))),"")),D955))))),IF(IF(AND(556&lt;=$B$174,556&lt;=$B$173),B956*C956/12,IF(AND(556=$B$173+1,AND(556&gt;$B$173,$B$78="Refinance",ISNUMBER($B$80),$B$80&gt;=0,$B$80&lt;=1,ROUND($B$81*12,0)&gt;=1,$B$81&lt;=100,SUM($B$82)&gt;=0,SUM($B$82)&lt;=1,SUM($B$83)&gt;=0)),IF(B956=0,0,IF(C956=0,B956/ROUND($B$81*12,0),B956*(C956/12)/(1-(1+C956/12)^(-ROUND($B$81*12,0))))),IF(AND(NOT(AND(556&gt;$B$173,$B$78="Refinance",ISNUMBER($B$80),$B$80&gt;=0,$B$80&lt;=1,ROUND($B$81*12,0)&gt;=1,$B$81&lt;=100,SUM($B$82)&gt;=0,SUM($B$82)&lt;=1,SUM($B$83)&gt;=0)),OR(556=1,556=$B$174+1,AND($B$175&gt;0,556=$B$175+1))),IF(AND($B$170=1,$B$66&gt;0,OR($B$175=0,556&lt;=$B$175)),$B$66,IF($B$172-MAX(556-1,$B$174)&gt;0,IF(B956=0,0,IF(C956=0,B956/($B$172-MAX(556-1,$B$174)),B956*(C956/12)/(1-(1+C956/12)^(-($B$172-MAX(556-1,$B$174)))))),"")),D955)))+0.0000001&gt;=B956*C956/12,MIN(B956*(1+C956/12),IF(AND(556&lt;=$B$174,556&lt;=$B$173),B956*C956/12,IF(AND(556=$B$173+1,AND(556&gt;$B$173,$B$78="Refinance",ISNUMBER($B$80),$B$80&gt;=0,$B$80&lt;=1,ROUND($B$81*12,0)&gt;=1,$B$81&lt;=100,SUM($B$82)&gt;=0,SUM($B$82)&lt;=1,SUM($B$83)&gt;=0)),IF(B956=0,0,IF(C956=0,B956/ROUND($B$81*12,0),B956*(C956/12)/(1-(1+C956/12)^(-ROUND($B$81*12,0))))),IF(AND(NOT(AND(556&gt;$B$173,$B$78="Refinance",ISNUMBER($B$80),$B$80&gt;=0,$B$80&lt;=1,ROUND($B$81*12,0)&gt;=1,$B$81&lt;=100,SUM($B$82)&gt;=0,SUM($B$82)&lt;=1,SUM($B$83)&gt;=0)),OR(556=1,556=$B$174+1,AND($B$175&gt;0,556=$B$175+1))),IF(AND($B$170=1,$B$66&gt;0,OR($B$175=0,556&lt;=$B$175)),$B$66,IF($B$172-MAX(556-1,$B$174)&gt;0,IF(B956=0,0,IF(C956=0,B956/($B$172-MAX(556-1,$B$174)),B956*(C956/12)/(1-(1+C956/12)^(-($B$172-MAX(556-1,$B$174)))))),"")),D955)))),""),""))</x:f>
        <x:v>0</x:v>
      </x:c>
      <x:c r="E956" s="440" t="n">
        <x:f>IF(AND(556=$B$173,ISNUMBER(D956)),IF(MAX(0,B956*(1+C956/12)-D956)&lt;MAX(0.0000001,$E$17*0.00000000001),0,MAX(0,B956*(1+C956/12)-D956)),0)</x:f>
        <x:v>0</x:v>
      </x:c>
      <x:c r="F956" s="440" t="n">
        <x:f>IF($B$78="Cash payoff",E956,0)</x:f>
        <x:v>0</x:v>
      </x:c>
      <x:c r="G956" s="440" t="n">
        <x:f>IF(AND(E956&gt;0,AND($B$78="Refinance",ISNUMBER($B$80),$B$80&gt;=0,$B$80&lt;=1,ROUND($B$81*12,0)&gt;=1,$B$81&lt;=100,SUM($B$82)&gt;=0,SUM($B$82)&lt;=1,SUM($B$83)&gt;=0)),E956*SUM($B$82)+SUM($B$83),0)</x:f>
        <x:v>0</x:v>
      </x:c>
      <x:c r="H956" s="440" t="n">
        <x:f>IF(ISNUMBER(D956),IF(MAX(0,B956*(1+C956/12)-D956-F956)&lt;MAX(0.0000001,$E$17*0.00000000001),0,MAX(0,B956*(1+C956/12)-D956-F956)),IF(AND($B$171=1,I955=1),B956,""))</x:f>
        <x:v>0</x:v>
      </x:c>
      <x:c r="I956" s="444" t="n">
        <x:f>IF(OR(I955=1,AND(E956&gt;0,$B$78&lt;&gt;"Cash payoff",NOT(AND($B$78="Refinance",ISNUMBER($B$80),$B$80&gt;=0,$B$80&lt;=1,ROUND($B$81*12,0)&gt;=1,$B$81&lt;=100,SUM($B$82)&gt;=0,SUM($B$82)&lt;=1,SUM($B$83)&gt;=0))),AND(ISNUMBER(B956),B956&gt;0,$B$171=1,NOT(ISNUMBER(D956)))),1,0)</x:f>
        <x:v>0</x:v>
      </x:c>
      <x:c r="J956" s="440" t="n">
        <x:f>IF(ISNUMBER(L955),L955,"")</x:f>
        <x:v>0</x:v>
      </x:c>
      <x:c r="K956" s="440" t="n">
        <x:f>IF(AND(ISNUMBER(J956),J956=0),0,IF(AND($B$176=1,ISNUMBER(J956)),MIN(J956*(1+$B$87/12),IF($B$86=0,0,IF($B$87=0,$B$86/ROUND($B$88*12,0),$B$86*($B$87/12)/(1-(1+$B$87/12)^(-ROUND($B$88*12,0)))))),""))</x:f>
        <x:v>0</x:v>
      </x:c>
      <x:c r="L956" s="440" t="n">
        <x:f>IF(ISNUMBER(K956),IF(MAX(0,J956*(1+SUM($B$87)/12)-K956)&lt;MAX(0.0000001,$B$86*0.00000000001),0,MAX(0,J956*(1+SUM($B$87)/12)-K956)),"")</x:f>
        <x:v>0</x:v>
      </x:c>
      <x:c r="M956" s="440" t="n">
        <x:f>IF(AND(ISNUMBER(D956),ISNUMBER(K956)),D956+K956,"")</x:f>
        <x:v>0</x:v>
      </x:c>
      <x:c r="N956" s="440" t="n">
        <x:f>IF(AND(ISNUMBER(H956),ISNUMBER(L956)),H956+L956,"")</x:f>
        <x:v>0</x:v>
      </x:c>
    </x:row>
    <x:row r="957" ht="22" customHeight="1">
      <x:c r="A957" s="254" t="n">
        <x:f>557</x:f>
        <x:v>557</x:v>
      </x:c>
      <x:c r="B957" s="440" t="n">
        <x:f>IF(ISNUMBER(H956),H956,"")</x:f>
        <x:v>0</x:v>
      </x:c>
      <x:c r="C957" s="442" t="n">
        <x:f>IF(ISNUMBER(B957),IF(AND(557&gt;$B$173,$B$78="Refinance",ISNUMBER($B$80),$B$80&gt;=0,$B$80&lt;=1,ROUND($B$81*12,0)&gt;=1,$B$81&lt;=100,SUM($B$82)&gt;=0,SUM($B$82)&lt;=1,SUM($B$83)&gt;=0),$B$80,IF(AND($B$175&gt;0,557&gt;$B$175,ISNUMBER($B$75)),$B$75,$B$61)),"")</x:f>
        <x:v>0.0625</x:v>
      </x:c>
      <x:c r="D957" s="440" t="n">
        <x:f>IF(AND(ISNUMBER(B957),B957=0),0,IF(AND($B$171=1,I956=0,ISNUMBER(C957),ISNUMBER(IF(AND(557&lt;=$B$174,557&lt;=$B$173),B957*C957/12,IF(AND(557=$B$173+1,AND(557&gt;$B$173,$B$78="Refinance",ISNUMBER($B$80),$B$80&gt;=0,$B$80&lt;=1,ROUND($B$81*12,0)&gt;=1,$B$81&lt;=100,SUM($B$82)&gt;=0,SUM($B$82)&lt;=1,SUM($B$83)&gt;=0)),IF(B957=0,0,IF(C957=0,B957/ROUND($B$81*12,0),B957*(C957/12)/(1-(1+C957/12)^(-ROUND($B$81*12,0))))),IF(AND(NOT(AND(557&gt;$B$173,$B$78="Refinance",ISNUMBER($B$80),$B$80&gt;=0,$B$80&lt;=1,ROUND($B$81*12,0)&gt;=1,$B$81&lt;=100,SUM($B$82)&gt;=0,SUM($B$82)&lt;=1,SUM($B$83)&gt;=0)),OR(557=1,557=$B$174+1,AND($B$175&gt;0,557=$B$175+1))),IF(AND($B$170=1,$B$66&gt;0,OR($B$175=0,557&lt;=$B$175)),$B$66,IF($B$172-MAX(557-1,$B$174)&gt;0,IF(B957=0,0,IF(C957=0,B957/($B$172-MAX(557-1,$B$174)),B957*(C957/12)/(1-(1+C957/12)^(-($B$172-MAX(557-1,$B$174)))))),"")),D956))))),IF(IF(AND(557&lt;=$B$174,557&lt;=$B$173),B957*C957/12,IF(AND(557=$B$173+1,AND(557&gt;$B$173,$B$78="Refinance",ISNUMBER($B$80),$B$80&gt;=0,$B$80&lt;=1,ROUND($B$81*12,0)&gt;=1,$B$81&lt;=100,SUM($B$82)&gt;=0,SUM($B$82)&lt;=1,SUM($B$83)&gt;=0)),IF(B957=0,0,IF(C957=0,B957/ROUND($B$81*12,0),B957*(C957/12)/(1-(1+C957/12)^(-ROUND($B$81*12,0))))),IF(AND(NOT(AND(557&gt;$B$173,$B$78="Refinance",ISNUMBER($B$80),$B$80&gt;=0,$B$80&lt;=1,ROUND($B$81*12,0)&gt;=1,$B$81&lt;=100,SUM($B$82)&gt;=0,SUM($B$82)&lt;=1,SUM($B$83)&gt;=0)),OR(557=1,557=$B$174+1,AND($B$175&gt;0,557=$B$175+1))),IF(AND($B$170=1,$B$66&gt;0,OR($B$175=0,557&lt;=$B$175)),$B$66,IF($B$172-MAX(557-1,$B$174)&gt;0,IF(B957=0,0,IF(C957=0,B957/($B$172-MAX(557-1,$B$174)),B957*(C957/12)/(1-(1+C957/12)^(-($B$172-MAX(557-1,$B$174)))))),"")),D956)))+0.0000001&gt;=B957*C957/12,MIN(B957*(1+C957/12),IF(AND(557&lt;=$B$174,557&lt;=$B$173),B957*C957/12,IF(AND(557=$B$173+1,AND(557&gt;$B$173,$B$78="Refinance",ISNUMBER($B$80),$B$80&gt;=0,$B$80&lt;=1,ROUND($B$81*12,0)&gt;=1,$B$81&lt;=100,SUM($B$82)&gt;=0,SUM($B$82)&lt;=1,SUM($B$83)&gt;=0)),IF(B957=0,0,IF(C957=0,B957/ROUND($B$81*12,0),B957*(C957/12)/(1-(1+C957/12)^(-ROUND($B$81*12,0))))),IF(AND(NOT(AND(557&gt;$B$173,$B$78="Refinance",ISNUMBER($B$80),$B$80&gt;=0,$B$80&lt;=1,ROUND($B$81*12,0)&gt;=1,$B$81&lt;=100,SUM($B$82)&gt;=0,SUM($B$82)&lt;=1,SUM($B$83)&gt;=0)),OR(557=1,557=$B$174+1,AND($B$175&gt;0,557=$B$175+1))),IF(AND($B$170=1,$B$66&gt;0,OR($B$175=0,557&lt;=$B$175)),$B$66,IF($B$172-MAX(557-1,$B$174)&gt;0,IF(B957=0,0,IF(C957=0,B957/($B$172-MAX(557-1,$B$174)),B957*(C957/12)/(1-(1+C957/12)^(-($B$172-MAX(557-1,$B$174)))))),"")),D956)))),""),""))</x:f>
        <x:v>0</x:v>
      </x:c>
      <x:c r="E957" s="440" t="n">
        <x:f>IF(AND(557=$B$173,ISNUMBER(D957)),IF(MAX(0,B957*(1+C957/12)-D957)&lt;MAX(0.0000001,$E$17*0.00000000001),0,MAX(0,B957*(1+C957/12)-D957)),0)</x:f>
        <x:v>0</x:v>
      </x:c>
      <x:c r="F957" s="440" t="n">
        <x:f>IF($B$78="Cash payoff",E957,0)</x:f>
        <x:v>0</x:v>
      </x:c>
      <x:c r="G957" s="440" t="n">
        <x:f>IF(AND(E957&gt;0,AND($B$78="Refinance",ISNUMBER($B$80),$B$80&gt;=0,$B$80&lt;=1,ROUND($B$81*12,0)&gt;=1,$B$81&lt;=100,SUM($B$82)&gt;=0,SUM($B$82)&lt;=1,SUM($B$83)&gt;=0)),E957*SUM($B$82)+SUM($B$83),0)</x:f>
        <x:v>0</x:v>
      </x:c>
      <x:c r="H957" s="440" t="n">
        <x:f>IF(ISNUMBER(D957),IF(MAX(0,B957*(1+C957/12)-D957-F957)&lt;MAX(0.0000001,$E$17*0.00000000001),0,MAX(0,B957*(1+C957/12)-D957-F957)),IF(AND($B$171=1,I956=1),B957,""))</x:f>
        <x:v>0</x:v>
      </x:c>
      <x:c r="I957" s="444" t="n">
        <x:f>IF(OR(I956=1,AND(E957&gt;0,$B$78&lt;&gt;"Cash payoff",NOT(AND($B$78="Refinance",ISNUMBER($B$80),$B$80&gt;=0,$B$80&lt;=1,ROUND($B$81*12,0)&gt;=1,$B$81&lt;=100,SUM($B$82)&gt;=0,SUM($B$82)&lt;=1,SUM($B$83)&gt;=0))),AND(ISNUMBER(B957),B957&gt;0,$B$171=1,NOT(ISNUMBER(D957)))),1,0)</x:f>
        <x:v>0</x:v>
      </x:c>
      <x:c r="J957" s="440" t="n">
        <x:f>IF(ISNUMBER(L956),L956,"")</x:f>
        <x:v>0</x:v>
      </x:c>
      <x:c r="K957" s="440" t="n">
        <x:f>IF(AND(ISNUMBER(J957),J957=0),0,IF(AND($B$176=1,ISNUMBER(J957)),MIN(J957*(1+$B$87/12),IF($B$86=0,0,IF($B$87=0,$B$86/ROUND($B$88*12,0),$B$86*($B$87/12)/(1-(1+$B$87/12)^(-ROUND($B$88*12,0)))))),""))</x:f>
        <x:v>0</x:v>
      </x:c>
      <x:c r="L957" s="440" t="n">
        <x:f>IF(ISNUMBER(K957),IF(MAX(0,J957*(1+SUM($B$87)/12)-K957)&lt;MAX(0.0000001,$B$86*0.00000000001),0,MAX(0,J957*(1+SUM($B$87)/12)-K957)),"")</x:f>
        <x:v>0</x:v>
      </x:c>
      <x:c r="M957" s="440" t="n">
        <x:f>IF(AND(ISNUMBER(D957),ISNUMBER(K957)),D957+K957,"")</x:f>
        <x:v>0</x:v>
      </x:c>
      <x:c r="N957" s="440" t="n">
        <x:f>IF(AND(ISNUMBER(H957),ISNUMBER(L957)),H957+L957,"")</x:f>
        <x:v>0</x:v>
      </x:c>
    </x:row>
    <x:row r="958" ht="22" customHeight="1">
      <x:c r="A958" s="254" t="n">
        <x:f>558</x:f>
        <x:v>558</x:v>
      </x:c>
      <x:c r="B958" s="440" t="n">
        <x:f>IF(ISNUMBER(H957),H957,"")</x:f>
        <x:v>0</x:v>
      </x:c>
      <x:c r="C958" s="442" t="n">
        <x:f>IF(ISNUMBER(B958),IF(AND(558&gt;$B$173,$B$78="Refinance",ISNUMBER($B$80),$B$80&gt;=0,$B$80&lt;=1,ROUND($B$81*12,0)&gt;=1,$B$81&lt;=100,SUM($B$82)&gt;=0,SUM($B$82)&lt;=1,SUM($B$83)&gt;=0),$B$80,IF(AND($B$175&gt;0,558&gt;$B$175,ISNUMBER($B$75)),$B$75,$B$61)),"")</x:f>
        <x:v>0.0625</x:v>
      </x:c>
      <x:c r="D958" s="440" t="n">
        <x:f>IF(AND(ISNUMBER(B958),B958=0),0,IF(AND($B$171=1,I957=0,ISNUMBER(C958),ISNUMBER(IF(AND(558&lt;=$B$174,558&lt;=$B$173),B958*C958/12,IF(AND(558=$B$173+1,AND(558&gt;$B$173,$B$78="Refinance",ISNUMBER($B$80),$B$80&gt;=0,$B$80&lt;=1,ROUND($B$81*12,0)&gt;=1,$B$81&lt;=100,SUM($B$82)&gt;=0,SUM($B$82)&lt;=1,SUM($B$83)&gt;=0)),IF(B958=0,0,IF(C958=0,B958/ROUND($B$81*12,0),B958*(C958/12)/(1-(1+C958/12)^(-ROUND($B$81*12,0))))),IF(AND(NOT(AND(558&gt;$B$173,$B$78="Refinance",ISNUMBER($B$80),$B$80&gt;=0,$B$80&lt;=1,ROUND($B$81*12,0)&gt;=1,$B$81&lt;=100,SUM($B$82)&gt;=0,SUM($B$82)&lt;=1,SUM($B$83)&gt;=0)),OR(558=1,558=$B$174+1,AND($B$175&gt;0,558=$B$175+1))),IF(AND($B$170=1,$B$66&gt;0,OR($B$175=0,558&lt;=$B$175)),$B$66,IF($B$172-MAX(558-1,$B$174)&gt;0,IF(B958=0,0,IF(C958=0,B958/($B$172-MAX(558-1,$B$174)),B958*(C958/12)/(1-(1+C958/12)^(-($B$172-MAX(558-1,$B$174)))))),"")),D957))))),IF(IF(AND(558&lt;=$B$174,558&lt;=$B$173),B958*C958/12,IF(AND(558=$B$173+1,AND(558&gt;$B$173,$B$78="Refinance",ISNUMBER($B$80),$B$80&gt;=0,$B$80&lt;=1,ROUND($B$81*12,0)&gt;=1,$B$81&lt;=100,SUM($B$82)&gt;=0,SUM($B$82)&lt;=1,SUM($B$83)&gt;=0)),IF(B958=0,0,IF(C958=0,B958/ROUND($B$81*12,0),B958*(C958/12)/(1-(1+C958/12)^(-ROUND($B$81*12,0))))),IF(AND(NOT(AND(558&gt;$B$173,$B$78="Refinance",ISNUMBER($B$80),$B$80&gt;=0,$B$80&lt;=1,ROUND($B$81*12,0)&gt;=1,$B$81&lt;=100,SUM($B$82)&gt;=0,SUM($B$82)&lt;=1,SUM($B$83)&gt;=0)),OR(558=1,558=$B$174+1,AND($B$175&gt;0,558=$B$175+1))),IF(AND($B$170=1,$B$66&gt;0,OR($B$175=0,558&lt;=$B$175)),$B$66,IF($B$172-MAX(558-1,$B$174)&gt;0,IF(B958=0,0,IF(C958=0,B958/($B$172-MAX(558-1,$B$174)),B958*(C958/12)/(1-(1+C958/12)^(-($B$172-MAX(558-1,$B$174)))))),"")),D957)))+0.0000001&gt;=B958*C958/12,MIN(B958*(1+C958/12),IF(AND(558&lt;=$B$174,558&lt;=$B$173),B958*C958/12,IF(AND(558=$B$173+1,AND(558&gt;$B$173,$B$78="Refinance",ISNUMBER($B$80),$B$80&gt;=0,$B$80&lt;=1,ROUND($B$81*12,0)&gt;=1,$B$81&lt;=100,SUM($B$82)&gt;=0,SUM($B$82)&lt;=1,SUM($B$83)&gt;=0)),IF(B958=0,0,IF(C958=0,B958/ROUND($B$81*12,0),B958*(C958/12)/(1-(1+C958/12)^(-ROUND($B$81*12,0))))),IF(AND(NOT(AND(558&gt;$B$173,$B$78="Refinance",ISNUMBER($B$80),$B$80&gt;=0,$B$80&lt;=1,ROUND($B$81*12,0)&gt;=1,$B$81&lt;=100,SUM($B$82)&gt;=0,SUM($B$82)&lt;=1,SUM($B$83)&gt;=0)),OR(558=1,558=$B$174+1,AND($B$175&gt;0,558=$B$175+1))),IF(AND($B$170=1,$B$66&gt;0,OR($B$175=0,558&lt;=$B$175)),$B$66,IF($B$172-MAX(558-1,$B$174)&gt;0,IF(B958=0,0,IF(C958=0,B958/($B$172-MAX(558-1,$B$174)),B958*(C958/12)/(1-(1+C958/12)^(-($B$172-MAX(558-1,$B$174)))))),"")),D957)))),""),""))</x:f>
        <x:v>0</x:v>
      </x:c>
      <x:c r="E958" s="440" t="n">
        <x:f>IF(AND(558=$B$173,ISNUMBER(D958)),IF(MAX(0,B958*(1+C958/12)-D958)&lt;MAX(0.0000001,$E$17*0.00000000001),0,MAX(0,B958*(1+C958/12)-D958)),0)</x:f>
        <x:v>0</x:v>
      </x:c>
      <x:c r="F958" s="440" t="n">
        <x:f>IF($B$78="Cash payoff",E958,0)</x:f>
        <x:v>0</x:v>
      </x:c>
      <x:c r="G958" s="440" t="n">
        <x:f>IF(AND(E958&gt;0,AND($B$78="Refinance",ISNUMBER($B$80),$B$80&gt;=0,$B$80&lt;=1,ROUND($B$81*12,0)&gt;=1,$B$81&lt;=100,SUM($B$82)&gt;=0,SUM($B$82)&lt;=1,SUM($B$83)&gt;=0)),E958*SUM($B$82)+SUM($B$83),0)</x:f>
        <x:v>0</x:v>
      </x:c>
      <x:c r="H958" s="440" t="n">
        <x:f>IF(ISNUMBER(D958),IF(MAX(0,B958*(1+C958/12)-D958-F958)&lt;MAX(0.0000001,$E$17*0.00000000001),0,MAX(0,B958*(1+C958/12)-D958-F958)),IF(AND($B$171=1,I957=1),B958,""))</x:f>
        <x:v>0</x:v>
      </x:c>
      <x:c r="I958" s="444" t="n">
        <x:f>IF(OR(I957=1,AND(E958&gt;0,$B$78&lt;&gt;"Cash payoff",NOT(AND($B$78="Refinance",ISNUMBER($B$80),$B$80&gt;=0,$B$80&lt;=1,ROUND($B$81*12,0)&gt;=1,$B$81&lt;=100,SUM($B$82)&gt;=0,SUM($B$82)&lt;=1,SUM($B$83)&gt;=0))),AND(ISNUMBER(B958),B958&gt;0,$B$171=1,NOT(ISNUMBER(D958)))),1,0)</x:f>
        <x:v>0</x:v>
      </x:c>
      <x:c r="J958" s="440" t="n">
        <x:f>IF(ISNUMBER(L957),L957,"")</x:f>
        <x:v>0</x:v>
      </x:c>
      <x:c r="K958" s="440" t="n">
        <x:f>IF(AND(ISNUMBER(J958),J958=0),0,IF(AND($B$176=1,ISNUMBER(J958)),MIN(J958*(1+$B$87/12),IF($B$86=0,0,IF($B$87=0,$B$86/ROUND($B$88*12,0),$B$86*($B$87/12)/(1-(1+$B$87/12)^(-ROUND($B$88*12,0)))))),""))</x:f>
        <x:v>0</x:v>
      </x:c>
      <x:c r="L958" s="440" t="n">
        <x:f>IF(ISNUMBER(K958),IF(MAX(0,J958*(1+SUM($B$87)/12)-K958)&lt;MAX(0.0000001,$B$86*0.00000000001),0,MAX(0,J958*(1+SUM($B$87)/12)-K958)),"")</x:f>
        <x:v>0</x:v>
      </x:c>
      <x:c r="M958" s="440" t="n">
        <x:f>IF(AND(ISNUMBER(D958),ISNUMBER(K958)),D958+K958,"")</x:f>
        <x:v>0</x:v>
      </x:c>
      <x:c r="N958" s="440" t="n">
        <x:f>IF(AND(ISNUMBER(H958),ISNUMBER(L958)),H958+L958,"")</x:f>
        <x:v>0</x:v>
      </x:c>
    </x:row>
    <x:row r="959" ht="22" customHeight="1">
      <x:c r="A959" s="254" t="n">
        <x:f>559</x:f>
        <x:v>559</x:v>
      </x:c>
      <x:c r="B959" s="440" t="n">
        <x:f>IF(ISNUMBER(H958),H958,"")</x:f>
        <x:v>0</x:v>
      </x:c>
      <x:c r="C959" s="442" t="n">
        <x:f>IF(ISNUMBER(B959),IF(AND(559&gt;$B$173,$B$78="Refinance",ISNUMBER($B$80),$B$80&gt;=0,$B$80&lt;=1,ROUND($B$81*12,0)&gt;=1,$B$81&lt;=100,SUM($B$82)&gt;=0,SUM($B$82)&lt;=1,SUM($B$83)&gt;=0),$B$80,IF(AND($B$175&gt;0,559&gt;$B$175,ISNUMBER($B$75)),$B$75,$B$61)),"")</x:f>
        <x:v>0.0625</x:v>
      </x:c>
      <x:c r="D959" s="440" t="n">
        <x:f>IF(AND(ISNUMBER(B959),B959=0),0,IF(AND($B$171=1,I958=0,ISNUMBER(C959),ISNUMBER(IF(AND(559&lt;=$B$174,559&lt;=$B$173),B959*C959/12,IF(AND(559=$B$173+1,AND(559&gt;$B$173,$B$78="Refinance",ISNUMBER($B$80),$B$80&gt;=0,$B$80&lt;=1,ROUND($B$81*12,0)&gt;=1,$B$81&lt;=100,SUM($B$82)&gt;=0,SUM($B$82)&lt;=1,SUM($B$83)&gt;=0)),IF(B959=0,0,IF(C959=0,B959/ROUND($B$81*12,0),B959*(C959/12)/(1-(1+C959/12)^(-ROUND($B$81*12,0))))),IF(AND(NOT(AND(559&gt;$B$173,$B$78="Refinance",ISNUMBER($B$80),$B$80&gt;=0,$B$80&lt;=1,ROUND($B$81*12,0)&gt;=1,$B$81&lt;=100,SUM($B$82)&gt;=0,SUM($B$82)&lt;=1,SUM($B$83)&gt;=0)),OR(559=1,559=$B$174+1,AND($B$175&gt;0,559=$B$175+1))),IF(AND($B$170=1,$B$66&gt;0,OR($B$175=0,559&lt;=$B$175)),$B$66,IF($B$172-MAX(559-1,$B$174)&gt;0,IF(B959=0,0,IF(C959=0,B959/($B$172-MAX(559-1,$B$174)),B959*(C959/12)/(1-(1+C959/12)^(-($B$172-MAX(559-1,$B$174)))))),"")),D958))))),IF(IF(AND(559&lt;=$B$174,559&lt;=$B$173),B959*C959/12,IF(AND(559=$B$173+1,AND(559&gt;$B$173,$B$78="Refinance",ISNUMBER($B$80),$B$80&gt;=0,$B$80&lt;=1,ROUND($B$81*12,0)&gt;=1,$B$81&lt;=100,SUM($B$82)&gt;=0,SUM($B$82)&lt;=1,SUM($B$83)&gt;=0)),IF(B959=0,0,IF(C959=0,B959/ROUND($B$81*12,0),B959*(C959/12)/(1-(1+C959/12)^(-ROUND($B$81*12,0))))),IF(AND(NOT(AND(559&gt;$B$173,$B$78="Refinance",ISNUMBER($B$80),$B$80&gt;=0,$B$80&lt;=1,ROUND($B$81*12,0)&gt;=1,$B$81&lt;=100,SUM($B$82)&gt;=0,SUM($B$82)&lt;=1,SUM($B$83)&gt;=0)),OR(559=1,559=$B$174+1,AND($B$175&gt;0,559=$B$175+1))),IF(AND($B$170=1,$B$66&gt;0,OR($B$175=0,559&lt;=$B$175)),$B$66,IF($B$172-MAX(559-1,$B$174)&gt;0,IF(B959=0,0,IF(C959=0,B959/($B$172-MAX(559-1,$B$174)),B959*(C959/12)/(1-(1+C959/12)^(-($B$172-MAX(559-1,$B$174)))))),"")),D958)))+0.0000001&gt;=B959*C959/12,MIN(B959*(1+C959/12),IF(AND(559&lt;=$B$174,559&lt;=$B$173),B959*C959/12,IF(AND(559=$B$173+1,AND(559&gt;$B$173,$B$78="Refinance",ISNUMBER($B$80),$B$80&gt;=0,$B$80&lt;=1,ROUND($B$81*12,0)&gt;=1,$B$81&lt;=100,SUM($B$82)&gt;=0,SUM($B$82)&lt;=1,SUM($B$83)&gt;=0)),IF(B959=0,0,IF(C959=0,B959/ROUND($B$81*12,0),B959*(C959/12)/(1-(1+C959/12)^(-ROUND($B$81*12,0))))),IF(AND(NOT(AND(559&gt;$B$173,$B$78="Refinance",ISNUMBER($B$80),$B$80&gt;=0,$B$80&lt;=1,ROUND($B$81*12,0)&gt;=1,$B$81&lt;=100,SUM($B$82)&gt;=0,SUM($B$82)&lt;=1,SUM($B$83)&gt;=0)),OR(559=1,559=$B$174+1,AND($B$175&gt;0,559=$B$175+1))),IF(AND($B$170=1,$B$66&gt;0,OR($B$175=0,559&lt;=$B$175)),$B$66,IF($B$172-MAX(559-1,$B$174)&gt;0,IF(B959=0,0,IF(C959=0,B959/($B$172-MAX(559-1,$B$174)),B959*(C959/12)/(1-(1+C959/12)^(-($B$172-MAX(559-1,$B$174)))))),"")),D958)))),""),""))</x:f>
        <x:v>0</x:v>
      </x:c>
      <x:c r="E959" s="440" t="n">
        <x:f>IF(AND(559=$B$173,ISNUMBER(D959)),IF(MAX(0,B959*(1+C959/12)-D959)&lt;MAX(0.0000001,$E$17*0.00000000001),0,MAX(0,B959*(1+C959/12)-D959)),0)</x:f>
        <x:v>0</x:v>
      </x:c>
      <x:c r="F959" s="440" t="n">
        <x:f>IF($B$78="Cash payoff",E959,0)</x:f>
        <x:v>0</x:v>
      </x:c>
      <x:c r="G959" s="440" t="n">
        <x:f>IF(AND(E959&gt;0,AND($B$78="Refinance",ISNUMBER($B$80),$B$80&gt;=0,$B$80&lt;=1,ROUND($B$81*12,0)&gt;=1,$B$81&lt;=100,SUM($B$82)&gt;=0,SUM($B$82)&lt;=1,SUM($B$83)&gt;=0)),E959*SUM($B$82)+SUM($B$83),0)</x:f>
        <x:v>0</x:v>
      </x:c>
      <x:c r="H959" s="440" t="n">
        <x:f>IF(ISNUMBER(D959),IF(MAX(0,B959*(1+C959/12)-D959-F959)&lt;MAX(0.0000001,$E$17*0.00000000001),0,MAX(0,B959*(1+C959/12)-D959-F959)),IF(AND($B$171=1,I958=1),B959,""))</x:f>
        <x:v>0</x:v>
      </x:c>
      <x:c r="I959" s="444" t="n">
        <x:f>IF(OR(I958=1,AND(E959&gt;0,$B$78&lt;&gt;"Cash payoff",NOT(AND($B$78="Refinance",ISNUMBER($B$80),$B$80&gt;=0,$B$80&lt;=1,ROUND($B$81*12,0)&gt;=1,$B$81&lt;=100,SUM($B$82)&gt;=0,SUM($B$82)&lt;=1,SUM($B$83)&gt;=0))),AND(ISNUMBER(B959),B959&gt;0,$B$171=1,NOT(ISNUMBER(D959)))),1,0)</x:f>
        <x:v>0</x:v>
      </x:c>
      <x:c r="J959" s="440" t="n">
        <x:f>IF(ISNUMBER(L958),L958,"")</x:f>
        <x:v>0</x:v>
      </x:c>
      <x:c r="K959" s="440" t="n">
        <x:f>IF(AND(ISNUMBER(J959),J959=0),0,IF(AND($B$176=1,ISNUMBER(J959)),MIN(J959*(1+$B$87/12),IF($B$86=0,0,IF($B$87=0,$B$86/ROUND($B$88*12,0),$B$86*($B$87/12)/(1-(1+$B$87/12)^(-ROUND($B$88*12,0)))))),""))</x:f>
        <x:v>0</x:v>
      </x:c>
      <x:c r="L959" s="440" t="n">
        <x:f>IF(ISNUMBER(K959),IF(MAX(0,J959*(1+SUM($B$87)/12)-K959)&lt;MAX(0.0000001,$B$86*0.00000000001),0,MAX(0,J959*(1+SUM($B$87)/12)-K959)),"")</x:f>
        <x:v>0</x:v>
      </x:c>
      <x:c r="M959" s="440" t="n">
        <x:f>IF(AND(ISNUMBER(D959),ISNUMBER(K959)),D959+K959,"")</x:f>
        <x:v>0</x:v>
      </x:c>
      <x:c r="N959" s="440" t="n">
        <x:f>IF(AND(ISNUMBER(H959),ISNUMBER(L959)),H959+L959,"")</x:f>
        <x:v>0</x:v>
      </x:c>
    </x:row>
    <x:row r="960" ht="22" customHeight="1">
      <x:c r="A960" s="254" t="n">
        <x:f>560</x:f>
        <x:v>560</x:v>
      </x:c>
      <x:c r="B960" s="440" t="n">
        <x:f>IF(ISNUMBER(H959),H959,"")</x:f>
        <x:v>0</x:v>
      </x:c>
      <x:c r="C960" s="442" t="n">
        <x:f>IF(ISNUMBER(B960),IF(AND(560&gt;$B$173,$B$78="Refinance",ISNUMBER($B$80),$B$80&gt;=0,$B$80&lt;=1,ROUND($B$81*12,0)&gt;=1,$B$81&lt;=100,SUM($B$82)&gt;=0,SUM($B$82)&lt;=1,SUM($B$83)&gt;=0),$B$80,IF(AND($B$175&gt;0,560&gt;$B$175,ISNUMBER($B$75)),$B$75,$B$61)),"")</x:f>
        <x:v>0.0625</x:v>
      </x:c>
      <x:c r="D960" s="440" t="n">
        <x:f>IF(AND(ISNUMBER(B960),B960=0),0,IF(AND($B$171=1,I959=0,ISNUMBER(C960),ISNUMBER(IF(AND(560&lt;=$B$174,560&lt;=$B$173),B960*C960/12,IF(AND(560=$B$173+1,AND(560&gt;$B$173,$B$78="Refinance",ISNUMBER($B$80),$B$80&gt;=0,$B$80&lt;=1,ROUND($B$81*12,0)&gt;=1,$B$81&lt;=100,SUM($B$82)&gt;=0,SUM($B$82)&lt;=1,SUM($B$83)&gt;=0)),IF(B960=0,0,IF(C960=0,B960/ROUND($B$81*12,0),B960*(C960/12)/(1-(1+C960/12)^(-ROUND($B$81*12,0))))),IF(AND(NOT(AND(560&gt;$B$173,$B$78="Refinance",ISNUMBER($B$80),$B$80&gt;=0,$B$80&lt;=1,ROUND($B$81*12,0)&gt;=1,$B$81&lt;=100,SUM($B$82)&gt;=0,SUM($B$82)&lt;=1,SUM($B$83)&gt;=0)),OR(560=1,560=$B$174+1,AND($B$175&gt;0,560=$B$175+1))),IF(AND($B$170=1,$B$66&gt;0,OR($B$175=0,560&lt;=$B$175)),$B$66,IF($B$172-MAX(560-1,$B$174)&gt;0,IF(B960=0,0,IF(C960=0,B960/($B$172-MAX(560-1,$B$174)),B960*(C960/12)/(1-(1+C960/12)^(-($B$172-MAX(560-1,$B$174)))))),"")),D959))))),IF(IF(AND(560&lt;=$B$174,560&lt;=$B$173),B960*C960/12,IF(AND(560=$B$173+1,AND(560&gt;$B$173,$B$78="Refinance",ISNUMBER($B$80),$B$80&gt;=0,$B$80&lt;=1,ROUND($B$81*12,0)&gt;=1,$B$81&lt;=100,SUM($B$82)&gt;=0,SUM($B$82)&lt;=1,SUM($B$83)&gt;=0)),IF(B960=0,0,IF(C960=0,B960/ROUND($B$81*12,0),B960*(C960/12)/(1-(1+C960/12)^(-ROUND($B$81*12,0))))),IF(AND(NOT(AND(560&gt;$B$173,$B$78="Refinance",ISNUMBER($B$80),$B$80&gt;=0,$B$80&lt;=1,ROUND($B$81*12,0)&gt;=1,$B$81&lt;=100,SUM($B$82)&gt;=0,SUM($B$82)&lt;=1,SUM($B$83)&gt;=0)),OR(560=1,560=$B$174+1,AND($B$175&gt;0,560=$B$175+1))),IF(AND($B$170=1,$B$66&gt;0,OR($B$175=0,560&lt;=$B$175)),$B$66,IF($B$172-MAX(560-1,$B$174)&gt;0,IF(B960=0,0,IF(C960=0,B960/($B$172-MAX(560-1,$B$174)),B960*(C960/12)/(1-(1+C960/12)^(-($B$172-MAX(560-1,$B$174)))))),"")),D959)))+0.0000001&gt;=B960*C960/12,MIN(B960*(1+C960/12),IF(AND(560&lt;=$B$174,560&lt;=$B$173),B960*C960/12,IF(AND(560=$B$173+1,AND(560&gt;$B$173,$B$78="Refinance",ISNUMBER($B$80),$B$80&gt;=0,$B$80&lt;=1,ROUND($B$81*12,0)&gt;=1,$B$81&lt;=100,SUM($B$82)&gt;=0,SUM($B$82)&lt;=1,SUM($B$83)&gt;=0)),IF(B960=0,0,IF(C960=0,B960/ROUND($B$81*12,0),B960*(C960/12)/(1-(1+C960/12)^(-ROUND($B$81*12,0))))),IF(AND(NOT(AND(560&gt;$B$173,$B$78="Refinance",ISNUMBER($B$80),$B$80&gt;=0,$B$80&lt;=1,ROUND($B$81*12,0)&gt;=1,$B$81&lt;=100,SUM($B$82)&gt;=0,SUM($B$82)&lt;=1,SUM($B$83)&gt;=0)),OR(560=1,560=$B$174+1,AND($B$175&gt;0,560=$B$175+1))),IF(AND($B$170=1,$B$66&gt;0,OR($B$175=0,560&lt;=$B$175)),$B$66,IF($B$172-MAX(560-1,$B$174)&gt;0,IF(B960=0,0,IF(C960=0,B960/($B$172-MAX(560-1,$B$174)),B960*(C960/12)/(1-(1+C960/12)^(-($B$172-MAX(560-1,$B$174)))))),"")),D959)))),""),""))</x:f>
        <x:v>0</x:v>
      </x:c>
      <x:c r="E960" s="440" t="n">
        <x:f>IF(AND(560=$B$173,ISNUMBER(D960)),IF(MAX(0,B960*(1+C960/12)-D960)&lt;MAX(0.0000001,$E$17*0.00000000001),0,MAX(0,B960*(1+C960/12)-D960)),0)</x:f>
        <x:v>0</x:v>
      </x:c>
      <x:c r="F960" s="440" t="n">
        <x:f>IF($B$78="Cash payoff",E960,0)</x:f>
        <x:v>0</x:v>
      </x:c>
      <x:c r="G960" s="440" t="n">
        <x:f>IF(AND(E960&gt;0,AND($B$78="Refinance",ISNUMBER($B$80),$B$80&gt;=0,$B$80&lt;=1,ROUND($B$81*12,0)&gt;=1,$B$81&lt;=100,SUM($B$82)&gt;=0,SUM($B$82)&lt;=1,SUM($B$83)&gt;=0)),E960*SUM($B$82)+SUM($B$83),0)</x:f>
        <x:v>0</x:v>
      </x:c>
      <x:c r="H960" s="440" t="n">
        <x:f>IF(ISNUMBER(D960),IF(MAX(0,B960*(1+C960/12)-D960-F960)&lt;MAX(0.0000001,$E$17*0.00000000001),0,MAX(0,B960*(1+C960/12)-D960-F960)),IF(AND($B$171=1,I959=1),B960,""))</x:f>
        <x:v>0</x:v>
      </x:c>
      <x:c r="I960" s="444" t="n">
        <x:f>IF(OR(I959=1,AND(E960&gt;0,$B$78&lt;&gt;"Cash payoff",NOT(AND($B$78="Refinance",ISNUMBER($B$80),$B$80&gt;=0,$B$80&lt;=1,ROUND($B$81*12,0)&gt;=1,$B$81&lt;=100,SUM($B$82)&gt;=0,SUM($B$82)&lt;=1,SUM($B$83)&gt;=0))),AND(ISNUMBER(B960),B960&gt;0,$B$171=1,NOT(ISNUMBER(D960)))),1,0)</x:f>
        <x:v>0</x:v>
      </x:c>
      <x:c r="J960" s="440" t="n">
        <x:f>IF(ISNUMBER(L959),L959,"")</x:f>
        <x:v>0</x:v>
      </x:c>
      <x:c r="K960" s="440" t="n">
        <x:f>IF(AND(ISNUMBER(J960),J960=0),0,IF(AND($B$176=1,ISNUMBER(J960)),MIN(J960*(1+$B$87/12),IF($B$86=0,0,IF($B$87=0,$B$86/ROUND($B$88*12,0),$B$86*($B$87/12)/(1-(1+$B$87/12)^(-ROUND($B$88*12,0)))))),""))</x:f>
        <x:v>0</x:v>
      </x:c>
      <x:c r="L960" s="440" t="n">
        <x:f>IF(ISNUMBER(K960),IF(MAX(0,J960*(1+SUM($B$87)/12)-K960)&lt;MAX(0.0000001,$B$86*0.00000000001),0,MAX(0,J960*(1+SUM($B$87)/12)-K960)),"")</x:f>
        <x:v>0</x:v>
      </x:c>
      <x:c r="M960" s="440" t="n">
        <x:f>IF(AND(ISNUMBER(D960),ISNUMBER(K960)),D960+K960,"")</x:f>
        <x:v>0</x:v>
      </x:c>
      <x:c r="N960" s="440" t="n">
        <x:f>IF(AND(ISNUMBER(H960),ISNUMBER(L960)),H960+L960,"")</x:f>
        <x:v>0</x:v>
      </x:c>
    </x:row>
    <x:row r="961" ht="22" customHeight="1">
      <x:c r="A961" s="254" t="n">
        <x:f>561</x:f>
        <x:v>561</x:v>
      </x:c>
      <x:c r="B961" s="440" t="n">
        <x:f>IF(ISNUMBER(H960),H960,"")</x:f>
        <x:v>0</x:v>
      </x:c>
      <x:c r="C961" s="442" t="n">
        <x:f>IF(ISNUMBER(B961),IF(AND(561&gt;$B$173,$B$78="Refinance",ISNUMBER($B$80),$B$80&gt;=0,$B$80&lt;=1,ROUND($B$81*12,0)&gt;=1,$B$81&lt;=100,SUM($B$82)&gt;=0,SUM($B$82)&lt;=1,SUM($B$83)&gt;=0),$B$80,IF(AND($B$175&gt;0,561&gt;$B$175,ISNUMBER($B$75)),$B$75,$B$61)),"")</x:f>
        <x:v>0.0625</x:v>
      </x:c>
      <x:c r="D961" s="440" t="n">
        <x:f>IF(AND(ISNUMBER(B961),B961=0),0,IF(AND($B$171=1,I960=0,ISNUMBER(C961),ISNUMBER(IF(AND(561&lt;=$B$174,561&lt;=$B$173),B961*C961/12,IF(AND(561=$B$173+1,AND(561&gt;$B$173,$B$78="Refinance",ISNUMBER($B$80),$B$80&gt;=0,$B$80&lt;=1,ROUND($B$81*12,0)&gt;=1,$B$81&lt;=100,SUM($B$82)&gt;=0,SUM($B$82)&lt;=1,SUM($B$83)&gt;=0)),IF(B961=0,0,IF(C961=0,B961/ROUND($B$81*12,0),B961*(C961/12)/(1-(1+C961/12)^(-ROUND($B$81*12,0))))),IF(AND(NOT(AND(561&gt;$B$173,$B$78="Refinance",ISNUMBER($B$80),$B$80&gt;=0,$B$80&lt;=1,ROUND($B$81*12,0)&gt;=1,$B$81&lt;=100,SUM($B$82)&gt;=0,SUM($B$82)&lt;=1,SUM($B$83)&gt;=0)),OR(561=1,561=$B$174+1,AND($B$175&gt;0,561=$B$175+1))),IF(AND($B$170=1,$B$66&gt;0,OR($B$175=0,561&lt;=$B$175)),$B$66,IF($B$172-MAX(561-1,$B$174)&gt;0,IF(B961=0,0,IF(C961=0,B961/($B$172-MAX(561-1,$B$174)),B961*(C961/12)/(1-(1+C961/12)^(-($B$172-MAX(561-1,$B$174)))))),"")),D960))))),IF(IF(AND(561&lt;=$B$174,561&lt;=$B$173),B961*C961/12,IF(AND(561=$B$173+1,AND(561&gt;$B$173,$B$78="Refinance",ISNUMBER($B$80),$B$80&gt;=0,$B$80&lt;=1,ROUND($B$81*12,0)&gt;=1,$B$81&lt;=100,SUM($B$82)&gt;=0,SUM($B$82)&lt;=1,SUM($B$83)&gt;=0)),IF(B961=0,0,IF(C961=0,B961/ROUND($B$81*12,0),B961*(C961/12)/(1-(1+C961/12)^(-ROUND($B$81*12,0))))),IF(AND(NOT(AND(561&gt;$B$173,$B$78="Refinance",ISNUMBER($B$80),$B$80&gt;=0,$B$80&lt;=1,ROUND($B$81*12,0)&gt;=1,$B$81&lt;=100,SUM($B$82)&gt;=0,SUM($B$82)&lt;=1,SUM($B$83)&gt;=0)),OR(561=1,561=$B$174+1,AND($B$175&gt;0,561=$B$175+1))),IF(AND($B$170=1,$B$66&gt;0,OR($B$175=0,561&lt;=$B$175)),$B$66,IF($B$172-MAX(561-1,$B$174)&gt;0,IF(B961=0,0,IF(C961=0,B961/($B$172-MAX(561-1,$B$174)),B961*(C961/12)/(1-(1+C961/12)^(-($B$172-MAX(561-1,$B$174)))))),"")),D960)))+0.0000001&gt;=B961*C961/12,MIN(B961*(1+C961/12),IF(AND(561&lt;=$B$174,561&lt;=$B$173),B961*C961/12,IF(AND(561=$B$173+1,AND(561&gt;$B$173,$B$78="Refinance",ISNUMBER($B$80),$B$80&gt;=0,$B$80&lt;=1,ROUND($B$81*12,0)&gt;=1,$B$81&lt;=100,SUM($B$82)&gt;=0,SUM($B$82)&lt;=1,SUM($B$83)&gt;=0)),IF(B961=0,0,IF(C961=0,B961/ROUND($B$81*12,0),B961*(C961/12)/(1-(1+C961/12)^(-ROUND($B$81*12,0))))),IF(AND(NOT(AND(561&gt;$B$173,$B$78="Refinance",ISNUMBER($B$80),$B$80&gt;=0,$B$80&lt;=1,ROUND($B$81*12,0)&gt;=1,$B$81&lt;=100,SUM($B$82)&gt;=0,SUM($B$82)&lt;=1,SUM($B$83)&gt;=0)),OR(561=1,561=$B$174+1,AND($B$175&gt;0,561=$B$175+1))),IF(AND($B$170=1,$B$66&gt;0,OR($B$175=0,561&lt;=$B$175)),$B$66,IF($B$172-MAX(561-1,$B$174)&gt;0,IF(B961=0,0,IF(C961=0,B961/($B$172-MAX(561-1,$B$174)),B961*(C961/12)/(1-(1+C961/12)^(-($B$172-MAX(561-1,$B$174)))))),"")),D960)))),""),""))</x:f>
        <x:v>0</x:v>
      </x:c>
      <x:c r="E961" s="440" t="n">
        <x:f>IF(AND(561=$B$173,ISNUMBER(D961)),IF(MAX(0,B961*(1+C961/12)-D961)&lt;MAX(0.0000001,$E$17*0.00000000001),0,MAX(0,B961*(1+C961/12)-D961)),0)</x:f>
        <x:v>0</x:v>
      </x:c>
      <x:c r="F961" s="440" t="n">
        <x:f>IF($B$78="Cash payoff",E961,0)</x:f>
        <x:v>0</x:v>
      </x:c>
      <x:c r="G961" s="440" t="n">
        <x:f>IF(AND(E961&gt;0,AND($B$78="Refinance",ISNUMBER($B$80),$B$80&gt;=0,$B$80&lt;=1,ROUND($B$81*12,0)&gt;=1,$B$81&lt;=100,SUM($B$82)&gt;=0,SUM($B$82)&lt;=1,SUM($B$83)&gt;=0)),E961*SUM($B$82)+SUM($B$83),0)</x:f>
        <x:v>0</x:v>
      </x:c>
      <x:c r="H961" s="440" t="n">
        <x:f>IF(ISNUMBER(D961),IF(MAX(0,B961*(1+C961/12)-D961-F961)&lt;MAX(0.0000001,$E$17*0.00000000001),0,MAX(0,B961*(1+C961/12)-D961-F961)),IF(AND($B$171=1,I960=1),B961,""))</x:f>
        <x:v>0</x:v>
      </x:c>
      <x:c r="I961" s="444" t="n">
        <x:f>IF(OR(I960=1,AND(E961&gt;0,$B$78&lt;&gt;"Cash payoff",NOT(AND($B$78="Refinance",ISNUMBER($B$80),$B$80&gt;=0,$B$80&lt;=1,ROUND($B$81*12,0)&gt;=1,$B$81&lt;=100,SUM($B$82)&gt;=0,SUM($B$82)&lt;=1,SUM($B$83)&gt;=0))),AND(ISNUMBER(B961),B961&gt;0,$B$171=1,NOT(ISNUMBER(D961)))),1,0)</x:f>
        <x:v>0</x:v>
      </x:c>
      <x:c r="J961" s="440" t="n">
        <x:f>IF(ISNUMBER(L960),L960,"")</x:f>
        <x:v>0</x:v>
      </x:c>
      <x:c r="K961" s="440" t="n">
        <x:f>IF(AND(ISNUMBER(J961),J961=0),0,IF(AND($B$176=1,ISNUMBER(J961)),MIN(J961*(1+$B$87/12),IF($B$86=0,0,IF($B$87=0,$B$86/ROUND($B$88*12,0),$B$86*($B$87/12)/(1-(1+$B$87/12)^(-ROUND($B$88*12,0)))))),""))</x:f>
        <x:v>0</x:v>
      </x:c>
      <x:c r="L961" s="440" t="n">
        <x:f>IF(ISNUMBER(K961),IF(MAX(0,J961*(1+SUM($B$87)/12)-K961)&lt;MAX(0.0000001,$B$86*0.00000000001),0,MAX(0,J961*(1+SUM($B$87)/12)-K961)),"")</x:f>
        <x:v>0</x:v>
      </x:c>
      <x:c r="M961" s="440" t="n">
        <x:f>IF(AND(ISNUMBER(D961),ISNUMBER(K961)),D961+K961,"")</x:f>
        <x:v>0</x:v>
      </x:c>
      <x:c r="N961" s="440" t="n">
        <x:f>IF(AND(ISNUMBER(H961),ISNUMBER(L961)),H961+L961,"")</x:f>
        <x:v>0</x:v>
      </x:c>
    </x:row>
    <x:row r="962" ht="22" customHeight="1">
      <x:c r="A962" s="254" t="n">
        <x:f>562</x:f>
        <x:v>562</x:v>
      </x:c>
      <x:c r="B962" s="440" t="n">
        <x:f>IF(ISNUMBER(H961),H961,"")</x:f>
        <x:v>0</x:v>
      </x:c>
      <x:c r="C962" s="442" t="n">
        <x:f>IF(ISNUMBER(B962),IF(AND(562&gt;$B$173,$B$78="Refinance",ISNUMBER($B$80),$B$80&gt;=0,$B$80&lt;=1,ROUND($B$81*12,0)&gt;=1,$B$81&lt;=100,SUM($B$82)&gt;=0,SUM($B$82)&lt;=1,SUM($B$83)&gt;=0),$B$80,IF(AND($B$175&gt;0,562&gt;$B$175,ISNUMBER($B$75)),$B$75,$B$61)),"")</x:f>
        <x:v>0.0625</x:v>
      </x:c>
      <x:c r="D962" s="440" t="n">
        <x:f>IF(AND(ISNUMBER(B962),B962=0),0,IF(AND($B$171=1,I961=0,ISNUMBER(C962),ISNUMBER(IF(AND(562&lt;=$B$174,562&lt;=$B$173),B962*C962/12,IF(AND(562=$B$173+1,AND(562&gt;$B$173,$B$78="Refinance",ISNUMBER($B$80),$B$80&gt;=0,$B$80&lt;=1,ROUND($B$81*12,0)&gt;=1,$B$81&lt;=100,SUM($B$82)&gt;=0,SUM($B$82)&lt;=1,SUM($B$83)&gt;=0)),IF(B962=0,0,IF(C962=0,B962/ROUND($B$81*12,0),B962*(C962/12)/(1-(1+C962/12)^(-ROUND($B$81*12,0))))),IF(AND(NOT(AND(562&gt;$B$173,$B$78="Refinance",ISNUMBER($B$80),$B$80&gt;=0,$B$80&lt;=1,ROUND($B$81*12,0)&gt;=1,$B$81&lt;=100,SUM($B$82)&gt;=0,SUM($B$82)&lt;=1,SUM($B$83)&gt;=0)),OR(562=1,562=$B$174+1,AND($B$175&gt;0,562=$B$175+1))),IF(AND($B$170=1,$B$66&gt;0,OR($B$175=0,562&lt;=$B$175)),$B$66,IF($B$172-MAX(562-1,$B$174)&gt;0,IF(B962=0,0,IF(C962=0,B962/($B$172-MAX(562-1,$B$174)),B962*(C962/12)/(1-(1+C962/12)^(-($B$172-MAX(562-1,$B$174)))))),"")),D961))))),IF(IF(AND(562&lt;=$B$174,562&lt;=$B$173),B962*C962/12,IF(AND(562=$B$173+1,AND(562&gt;$B$173,$B$78="Refinance",ISNUMBER($B$80),$B$80&gt;=0,$B$80&lt;=1,ROUND($B$81*12,0)&gt;=1,$B$81&lt;=100,SUM($B$82)&gt;=0,SUM($B$82)&lt;=1,SUM($B$83)&gt;=0)),IF(B962=0,0,IF(C962=0,B962/ROUND($B$81*12,0),B962*(C962/12)/(1-(1+C962/12)^(-ROUND($B$81*12,0))))),IF(AND(NOT(AND(562&gt;$B$173,$B$78="Refinance",ISNUMBER($B$80),$B$80&gt;=0,$B$80&lt;=1,ROUND($B$81*12,0)&gt;=1,$B$81&lt;=100,SUM($B$82)&gt;=0,SUM($B$82)&lt;=1,SUM($B$83)&gt;=0)),OR(562=1,562=$B$174+1,AND($B$175&gt;0,562=$B$175+1))),IF(AND($B$170=1,$B$66&gt;0,OR($B$175=0,562&lt;=$B$175)),$B$66,IF($B$172-MAX(562-1,$B$174)&gt;0,IF(B962=0,0,IF(C962=0,B962/($B$172-MAX(562-1,$B$174)),B962*(C962/12)/(1-(1+C962/12)^(-($B$172-MAX(562-1,$B$174)))))),"")),D961)))+0.0000001&gt;=B962*C962/12,MIN(B962*(1+C962/12),IF(AND(562&lt;=$B$174,562&lt;=$B$173),B962*C962/12,IF(AND(562=$B$173+1,AND(562&gt;$B$173,$B$78="Refinance",ISNUMBER($B$80),$B$80&gt;=0,$B$80&lt;=1,ROUND($B$81*12,0)&gt;=1,$B$81&lt;=100,SUM($B$82)&gt;=0,SUM($B$82)&lt;=1,SUM($B$83)&gt;=0)),IF(B962=0,0,IF(C962=0,B962/ROUND($B$81*12,0),B962*(C962/12)/(1-(1+C962/12)^(-ROUND($B$81*12,0))))),IF(AND(NOT(AND(562&gt;$B$173,$B$78="Refinance",ISNUMBER($B$80),$B$80&gt;=0,$B$80&lt;=1,ROUND($B$81*12,0)&gt;=1,$B$81&lt;=100,SUM($B$82)&gt;=0,SUM($B$82)&lt;=1,SUM($B$83)&gt;=0)),OR(562=1,562=$B$174+1,AND($B$175&gt;0,562=$B$175+1))),IF(AND($B$170=1,$B$66&gt;0,OR($B$175=0,562&lt;=$B$175)),$B$66,IF($B$172-MAX(562-1,$B$174)&gt;0,IF(B962=0,0,IF(C962=0,B962/($B$172-MAX(562-1,$B$174)),B962*(C962/12)/(1-(1+C962/12)^(-($B$172-MAX(562-1,$B$174)))))),"")),D961)))),""),""))</x:f>
        <x:v>0</x:v>
      </x:c>
      <x:c r="E962" s="440" t="n">
        <x:f>IF(AND(562=$B$173,ISNUMBER(D962)),IF(MAX(0,B962*(1+C962/12)-D962)&lt;MAX(0.0000001,$E$17*0.00000000001),0,MAX(0,B962*(1+C962/12)-D962)),0)</x:f>
        <x:v>0</x:v>
      </x:c>
      <x:c r="F962" s="440" t="n">
        <x:f>IF($B$78="Cash payoff",E962,0)</x:f>
        <x:v>0</x:v>
      </x:c>
      <x:c r="G962" s="440" t="n">
        <x:f>IF(AND(E962&gt;0,AND($B$78="Refinance",ISNUMBER($B$80),$B$80&gt;=0,$B$80&lt;=1,ROUND($B$81*12,0)&gt;=1,$B$81&lt;=100,SUM($B$82)&gt;=0,SUM($B$82)&lt;=1,SUM($B$83)&gt;=0)),E962*SUM($B$82)+SUM($B$83),0)</x:f>
        <x:v>0</x:v>
      </x:c>
      <x:c r="H962" s="440" t="n">
        <x:f>IF(ISNUMBER(D962),IF(MAX(0,B962*(1+C962/12)-D962-F962)&lt;MAX(0.0000001,$E$17*0.00000000001),0,MAX(0,B962*(1+C962/12)-D962-F962)),IF(AND($B$171=1,I961=1),B962,""))</x:f>
        <x:v>0</x:v>
      </x:c>
      <x:c r="I962" s="444" t="n">
        <x:f>IF(OR(I961=1,AND(E962&gt;0,$B$78&lt;&gt;"Cash payoff",NOT(AND($B$78="Refinance",ISNUMBER($B$80),$B$80&gt;=0,$B$80&lt;=1,ROUND($B$81*12,0)&gt;=1,$B$81&lt;=100,SUM($B$82)&gt;=0,SUM($B$82)&lt;=1,SUM($B$83)&gt;=0))),AND(ISNUMBER(B962),B962&gt;0,$B$171=1,NOT(ISNUMBER(D962)))),1,0)</x:f>
        <x:v>0</x:v>
      </x:c>
      <x:c r="J962" s="440" t="n">
        <x:f>IF(ISNUMBER(L961),L961,"")</x:f>
        <x:v>0</x:v>
      </x:c>
      <x:c r="K962" s="440" t="n">
        <x:f>IF(AND(ISNUMBER(J962),J962=0),0,IF(AND($B$176=1,ISNUMBER(J962)),MIN(J962*(1+$B$87/12),IF($B$86=0,0,IF($B$87=0,$B$86/ROUND($B$88*12,0),$B$86*($B$87/12)/(1-(1+$B$87/12)^(-ROUND($B$88*12,0)))))),""))</x:f>
        <x:v>0</x:v>
      </x:c>
      <x:c r="L962" s="440" t="n">
        <x:f>IF(ISNUMBER(K962),IF(MAX(0,J962*(1+SUM($B$87)/12)-K962)&lt;MAX(0.0000001,$B$86*0.00000000001),0,MAX(0,J962*(1+SUM($B$87)/12)-K962)),"")</x:f>
        <x:v>0</x:v>
      </x:c>
      <x:c r="M962" s="440" t="n">
        <x:f>IF(AND(ISNUMBER(D962),ISNUMBER(K962)),D962+K962,"")</x:f>
        <x:v>0</x:v>
      </x:c>
      <x:c r="N962" s="440" t="n">
        <x:f>IF(AND(ISNUMBER(H962),ISNUMBER(L962)),H962+L962,"")</x:f>
        <x:v>0</x:v>
      </x:c>
    </x:row>
    <x:row r="963" ht="22" customHeight="1">
      <x:c r="A963" s="254" t="n">
        <x:f>563</x:f>
        <x:v>563</x:v>
      </x:c>
      <x:c r="B963" s="440" t="n">
        <x:f>IF(ISNUMBER(H962),H962,"")</x:f>
        <x:v>0</x:v>
      </x:c>
      <x:c r="C963" s="442" t="n">
        <x:f>IF(ISNUMBER(B963),IF(AND(563&gt;$B$173,$B$78="Refinance",ISNUMBER($B$80),$B$80&gt;=0,$B$80&lt;=1,ROUND($B$81*12,0)&gt;=1,$B$81&lt;=100,SUM($B$82)&gt;=0,SUM($B$82)&lt;=1,SUM($B$83)&gt;=0),$B$80,IF(AND($B$175&gt;0,563&gt;$B$175,ISNUMBER($B$75)),$B$75,$B$61)),"")</x:f>
        <x:v>0.0625</x:v>
      </x:c>
      <x:c r="D963" s="440" t="n">
        <x:f>IF(AND(ISNUMBER(B963),B963=0),0,IF(AND($B$171=1,I962=0,ISNUMBER(C963),ISNUMBER(IF(AND(563&lt;=$B$174,563&lt;=$B$173),B963*C963/12,IF(AND(563=$B$173+1,AND(563&gt;$B$173,$B$78="Refinance",ISNUMBER($B$80),$B$80&gt;=0,$B$80&lt;=1,ROUND($B$81*12,0)&gt;=1,$B$81&lt;=100,SUM($B$82)&gt;=0,SUM($B$82)&lt;=1,SUM($B$83)&gt;=0)),IF(B963=0,0,IF(C963=0,B963/ROUND($B$81*12,0),B963*(C963/12)/(1-(1+C963/12)^(-ROUND($B$81*12,0))))),IF(AND(NOT(AND(563&gt;$B$173,$B$78="Refinance",ISNUMBER($B$80),$B$80&gt;=0,$B$80&lt;=1,ROUND($B$81*12,0)&gt;=1,$B$81&lt;=100,SUM($B$82)&gt;=0,SUM($B$82)&lt;=1,SUM($B$83)&gt;=0)),OR(563=1,563=$B$174+1,AND($B$175&gt;0,563=$B$175+1))),IF(AND($B$170=1,$B$66&gt;0,OR($B$175=0,563&lt;=$B$175)),$B$66,IF($B$172-MAX(563-1,$B$174)&gt;0,IF(B963=0,0,IF(C963=0,B963/($B$172-MAX(563-1,$B$174)),B963*(C963/12)/(1-(1+C963/12)^(-($B$172-MAX(563-1,$B$174)))))),"")),D962))))),IF(IF(AND(563&lt;=$B$174,563&lt;=$B$173),B963*C963/12,IF(AND(563=$B$173+1,AND(563&gt;$B$173,$B$78="Refinance",ISNUMBER($B$80),$B$80&gt;=0,$B$80&lt;=1,ROUND($B$81*12,0)&gt;=1,$B$81&lt;=100,SUM($B$82)&gt;=0,SUM($B$82)&lt;=1,SUM($B$83)&gt;=0)),IF(B963=0,0,IF(C963=0,B963/ROUND($B$81*12,0),B963*(C963/12)/(1-(1+C963/12)^(-ROUND($B$81*12,0))))),IF(AND(NOT(AND(563&gt;$B$173,$B$78="Refinance",ISNUMBER($B$80),$B$80&gt;=0,$B$80&lt;=1,ROUND($B$81*12,0)&gt;=1,$B$81&lt;=100,SUM($B$82)&gt;=0,SUM($B$82)&lt;=1,SUM($B$83)&gt;=0)),OR(563=1,563=$B$174+1,AND($B$175&gt;0,563=$B$175+1))),IF(AND($B$170=1,$B$66&gt;0,OR($B$175=0,563&lt;=$B$175)),$B$66,IF($B$172-MAX(563-1,$B$174)&gt;0,IF(B963=0,0,IF(C963=0,B963/($B$172-MAX(563-1,$B$174)),B963*(C963/12)/(1-(1+C963/12)^(-($B$172-MAX(563-1,$B$174)))))),"")),D962)))+0.0000001&gt;=B963*C963/12,MIN(B963*(1+C963/12),IF(AND(563&lt;=$B$174,563&lt;=$B$173),B963*C963/12,IF(AND(563=$B$173+1,AND(563&gt;$B$173,$B$78="Refinance",ISNUMBER($B$80),$B$80&gt;=0,$B$80&lt;=1,ROUND($B$81*12,0)&gt;=1,$B$81&lt;=100,SUM($B$82)&gt;=0,SUM($B$82)&lt;=1,SUM($B$83)&gt;=0)),IF(B963=0,0,IF(C963=0,B963/ROUND($B$81*12,0),B963*(C963/12)/(1-(1+C963/12)^(-ROUND($B$81*12,0))))),IF(AND(NOT(AND(563&gt;$B$173,$B$78="Refinance",ISNUMBER($B$80),$B$80&gt;=0,$B$80&lt;=1,ROUND($B$81*12,0)&gt;=1,$B$81&lt;=100,SUM($B$82)&gt;=0,SUM($B$82)&lt;=1,SUM($B$83)&gt;=0)),OR(563=1,563=$B$174+1,AND($B$175&gt;0,563=$B$175+1))),IF(AND($B$170=1,$B$66&gt;0,OR($B$175=0,563&lt;=$B$175)),$B$66,IF($B$172-MAX(563-1,$B$174)&gt;0,IF(B963=0,0,IF(C963=0,B963/($B$172-MAX(563-1,$B$174)),B963*(C963/12)/(1-(1+C963/12)^(-($B$172-MAX(563-1,$B$174)))))),"")),D962)))),""),""))</x:f>
        <x:v>0</x:v>
      </x:c>
      <x:c r="E963" s="440" t="n">
        <x:f>IF(AND(563=$B$173,ISNUMBER(D963)),IF(MAX(0,B963*(1+C963/12)-D963)&lt;MAX(0.0000001,$E$17*0.00000000001),0,MAX(0,B963*(1+C963/12)-D963)),0)</x:f>
        <x:v>0</x:v>
      </x:c>
      <x:c r="F963" s="440" t="n">
        <x:f>IF($B$78="Cash payoff",E963,0)</x:f>
        <x:v>0</x:v>
      </x:c>
      <x:c r="G963" s="440" t="n">
        <x:f>IF(AND(E963&gt;0,AND($B$78="Refinance",ISNUMBER($B$80),$B$80&gt;=0,$B$80&lt;=1,ROUND($B$81*12,0)&gt;=1,$B$81&lt;=100,SUM($B$82)&gt;=0,SUM($B$82)&lt;=1,SUM($B$83)&gt;=0)),E963*SUM($B$82)+SUM($B$83),0)</x:f>
        <x:v>0</x:v>
      </x:c>
      <x:c r="H963" s="440" t="n">
        <x:f>IF(ISNUMBER(D963),IF(MAX(0,B963*(1+C963/12)-D963-F963)&lt;MAX(0.0000001,$E$17*0.00000000001),0,MAX(0,B963*(1+C963/12)-D963-F963)),IF(AND($B$171=1,I962=1),B963,""))</x:f>
        <x:v>0</x:v>
      </x:c>
      <x:c r="I963" s="444" t="n">
        <x:f>IF(OR(I962=1,AND(E963&gt;0,$B$78&lt;&gt;"Cash payoff",NOT(AND($B$78="Refinance",ISNUMBER($B$80),$B$80&gt;=0,$B$80&lt;=1,ROUND($B$81*12,0)&gt;=1,$B$81&lt;=100,SUM($B$82)&gt;=0,SUM($B$82)&lt;=1,SUM($B$83)&gt;=0))),AND(ISNUMBER(B963),B963&gt;0,$B$171=1,NOT(ISNUMBER(D963)))),1,0)</x:f>
        <x:v>0</x:v>
      </x:c>
      <x:c r="J963" s="440" t="n">
        <x:f>IF(ISNUMBER(L962),L962,"")</x:f>
        <x:v>0</x:v>
      </x:c>
      <x:c r="K963" s="440" t="n">
        <x:f>IF(AND(ISNUMBER(J963),J963=0),0,IF(AND($B$176=1,ISNUMBER(J963)),MIN(J963*(1+$B$87/12),IF($B$86=0,0,IF($B$87=0,$B$86/ROUND($B$88*12,0),$B$86*($B$87/12)/(1-(1+$B$87/12)^(-ROUND($B$88*12,0)))))),""))</x:f>
        <x:v>0</x:v>
      </x:c>
      <x:c r="L963" s="440" t="n">
        <x:f>IF(ISNUMBER(K963),IF(MAX(0,J963*(1+SUM($B$87)/12)-K963)&lt;MAX(0.0000001,$B$86*0.00000000001),0,MAX(0,J963*(1+SUM($B$87)/12)-K963)),"")</x:f>
        <x:v>0</x:v>
      </x:c>
      <x:c r="M963" s="440" t="n">
        <x:f>IF(AND(ISNUMBER(D963),ISNUMBER(K963)),D963+K963,"")</x:f>
        <x:v>0</x:v>
      </x:c>
      <x:c r="N963" s="440" t="n">
        <x:f>IF(AND(ISNUMBER(H963),ISNUMBER(L963)),H963+L963,"")</x:f>
        <x:v>0</x:v>
      </x:c>
    </x:row>
    <x:row r="964" ht="22" customHeight="1">
      <x:c r="A964" s="254" t="n">
        <x:f>564</x:f>
        <x:v>564</x:v>
      </x:c>
      <x:c r="B964" s="440" t="n">
        <x:f>IF(ISNUMBER(H963),H963,"")</x:f>
        <x:v>0</x:v>
      </x:c>
      <x:c r="C964" s="442" t="n">
        <x:f>IF(ISNUMBER(B964),IF(AND(564&gt;$B$173,$B$78="Refinance",ISNUMBER($B$80),$B$80&gt;=0,$B$80&lt;=1,ROUND($B$81*12,0)&gt;=1,$B$81&lt;=100,SUM($B$82)&gt;=0,SUM($B$82)&lt;=1,SUM($B$83)&gt;=0),$B$80,IF(AND($B$175&gt;0,564&gt;$B$175,ISNUMBER($B$75)),$B$75,$B$61)),"")</x:f>
        <x:v>0.0625</x:v>
      </x:c>
      <x:c r="D964" s="440" t="n">
        <x:f>IF(AND(ISNUMBER(B964),B964=0),0,IF(AND($B$171=1,I963=0,ISNUMBER(C964),ISNUMBER(IF(AND(564&lt;=$B$174,564&lt;=$B$173),B964*C964/12,IF(AND(564=$B$173+1,AND(564&gt;$B$173,$B$78="Refinance",ISNUMBER($B$80),$B$80&gt;=0,$B$80&lt;=1,ROUND($B$81*12,0)&gt;=1,$B$81&lt;=100,SUM($B$82)&gt;=0,SUM($B$82)&lt;=1,SUM($B$83)&gt;=0)),IF(B964=0,0,IF(C964=0,B964/ROUND($B$81*12,0),B964*(C964/12)/(1-(1+C964/12)^(-ROUND($B$81*12,0))))),IF(AND(NOT(AND(564&gt;$B$173,$B$78="Refinance",ISNUMBER($B$80),$B$80&gt;=0,$B$80&lt;=1,ROUND($B$81*12,0)&gt;=1,$B$81&lt;=100,SUM($B$82)&gt;=0,SUM($B$82)&lt;=1,SUM($B$83)&gt;=0)),OR(564=1,564=$B$174+1,AND($B$175&gt;0,564=$B$175+1))),IF(AND($B$170=1,$B$66&gt;0,OR($B$175=0,564&lt;=$B$175)),$B$66,IF($B$172-MAX(564-1,$B$174)&gt;0,IF(B964=0,0,IF(C964=0,B964/($B$172-MAX(564-1,$B$174)),B964*(C964/12)/(1-(1+C964/12)^(-($B$172-MAX(564-1,$B$174)))))),"")),D963))))),IF(IF(AND(564&lt;=$B$174,564&lt;=$B$173),B964*C964/12,IF(AND(564=$B$173+1,AND(564&gt;$B$173,$B$78="Refinance",ISNUMBER($B$80),$B$80&gt;=0,$B$80&lt;=1,ROUND($B$81*12,0)&gt;=1,$B$81&lt;=100,SUM($B$82)&gt;=0,SUM($B$82)&lt;=1,SUM($B$83)&gt;=0)),IF(B964=0,0,IF(C964=0,B964/ROUND($B$81*12,0),B964*(C964/12)/(1-(1+C964/12)^(-ROUND($B$81*12,0))))),IF(AND(NOT(AND(564&gt;$B$173,$B$78="Refinance",ISNUMBER($B$80),$B$80&gt;=0,$B$80&lt;=1,ROUND($B$81*12,0)&gt;=1,$B$81&lt;=100,SUM($B$82)&gt;=0,SUM($B$82)&lt;=1,SUM($B$83)&gt;=0)),OR(564=1,564=$B$174+1,AND($B$175&gt;0,564=$B$175+1))),IF(AND($B$170=1,$B$66&gt;0,OR($B$175=0,564&lt;=$B$175)),$B$66,IF($B$172-MAX(564-1,$B$174)&gt;0,IF(B964=0,0,IF(C964=0,B964/($B$172-MAX(564-1,$B$174)),B964*(C964/12)/(1-(1+C964/12)^(-($B$172-MAX(564-1,$B$174)))))),"")),D963)))+0.0000001&gt;=B964*C964/12,MIN(B964*(1+C964/12),IF(AND(564&lt;=$B$174,564&lt;=$B$173),B964*C964/12,IF(AND(564=$B$173+1,AND(564&gt;$B$173,$B$78="Refinance",ISNUMBER($B$80),$B$80&gt;=0,$B$80&lt;=1,ROUND($B$81*12,0)&gt;=1,$B$81&lt;=100,SUM($B$82)&gt;=0,SUM($B$82)&lt;=1,SUM($B$83)&gt;=0)),IF(B964=0,0,IF(C964=0,B964/ROUND($B$81*12,0),B964*(C964/12)/(1-(1+C964/12)^(-ROUND($B$81*12,0))))),IF(AND(NOT(AND(564&gt;$B$173,$B$78="Refinance",ISNUMBER($B$80),$B$80&gt;=0,$B$80&lt;=1,ROUND($B$81*12,0)&gt;=1,$B$81&lt;=100,SUM($B$82)&gt;=0,SUM($B$82)&lt;=1,SUM($B$83)&gt;=0)),OR(564=1,564=$B$174+1,AND($B$175&gt;0,564=$B$175+1))),IF(AND($B$170=1,$B$66&gt;0,OR($B$175=0,564&lt;=$B$175)),$B$66,IF($B$172-MAX(564-1,$B$174)&gt;0,IF(B964=0,0,IF(C964=0,B964/($B$172-MAX(564-1,$B$174)),B964*(C964/12)/(1-(1+C964/12)^(-($B$172-MAX(564-1,$B$174)))))),"")),D963)))),""),""))</x:f>
        <x:v>0</x:v>
      </x:c>
      <x:c r="E964" s="440" t="n">
        <x:f>IF(AND(564=$B$173,ISNUMBER(D964)),IF(MAX(0,B964*(1+C964/12)-D964)&lt;MAX(0.0000001,$E$17*0.00000000001),0,MAX(0,B964*(1+C964/12)-D964)),0)</x:f>
        <x:v>0</x:v>
      </x:c>
      <x:c r="F964" s="440" t="n">
        <x:f>IF($B$78="Cash payoff",E964,0)</x:f>
        <x:v>0</x:v>
      </x:c>
      <x:c r="G964" s="440" t="n">
        <x:f>IF(AND(E964&gt;0,AND($B$78="Refinance",ISNUMBER($B$80),$B$80&gt;=0,$B$80&lt;=1,ROUND($B$81*12,0)&gt;=1,$B$81&lt;=100,SUM($B$82)&gt;=0,SUM($B$82)&lt;=1,SUM($B$83)&gt;=0)),E964*SUM($B$82)+SUM($B$83),0)</x:f>
        <x:v>0</x:v>
      </x:c>
      <x:c r="H964" s="440" t="n">
        <x:f>IF(ISNUMBER(D964),IF(MAX(0,B964*(1+C964/12)-D964-F964)&lt;MAX(0.0000001,$E$17*0.00000000001),0,MAX(0,B964*(1+C964/12)-D964-F964)),IF(AND($B$171=1,I963=1),B964,""))</x:f>
        <x:v>0</x:v>
      </x:c>
      <x:c r="I964" s="444" t="n">
        <x:f>IF(OR(I963=1,AND(E964&gt;0,$B$78&lt;&gt;"Cash payoff",NOT(AND($B$78="Refinance",ISNUMBER($B$80),$B$80&gt;=0,$B$80&lt;=1,ROUND($B$81*12,0)&gt;=1,$B$81&lt;=100,SUM($B$82)&gt;=0,SUM($B$82)&lt;=1,SUM($B$83)&gt;=0))),AND(ISNUMBER(B964),B964&gt;0,$B$171=1,NOT(ISNUMBER(D964)))),1,0)</x:f>
        <x:v>0</x:v>
      </x:c>
      <x:c r="J964" s="440" t="n">
        <x:f>IF(ISNUMBER(L963),L963,"")</x:f>
        <x:v>0</x:v>
      </x:c>
      <x:c r="K964" s="440" t="n">
        <x:f>IF(AND(ISNUMBER(J964),J964=0),0,IF(AND($B$176=1,ISNUMBER(J964)),MIN(J964*(1+$B$87/12),IF($B$86=0,0,IF($B$87=0,$B$86/ROUND($B$88*12,0),$B$86*($B$87/12)/(1-(1+$B$87/12)^(-ROUND($B$88*12,0)))))),""))</x:f>
        <x:v>0</x:v>
      </x:c>
      <x:c r="L964" s="440" t="n">
        <x:f>IF(ISNUMBER(K964),IF(MAX(0,J964*(1+SUM($B$87)/12)-K964)&lt;MAX(0.0000001,$B$86*0.00000000001),0,MAX(0,J964*(1+SUM($B$87)/12)-K964)),"")</x:f>
        <x:v>0</x:v>
      </x:c>
      <x:c r="M964" s="440" t="n">
        <x:f>IF(AND(ISNUMBER(D964),ISNUMBER(K964)),D964+K964,"")</x:f>
        <x:v>0</x:v>
      </x:c>
      <x:c r="N964" s="440" t="n">
        <x:f>IF(AND(ISNUMBER(H964),ISNUMBER(L964)),H964+L964,"")</x:f>
        <x:v>0</x:v>
      </x:c>
    </x:row>
    <x:row r="965" ht="22" customHeight="1">
      <x:c r="A965" s="254" t="n">
        <x:f>565</x:f>
        <x:v>565</x:v>
      </x:c>
      <x:c r="B965" s="440" t="n">
        <x:f>IF(ISNUMBER(H964),H964,"")</x:f>
        <x:v>0</x:v>
      </x:c>
      <x:c r="C965" s="442" t="n">
        <x:f>IF(ISNUMBER(B965),IF(AND(565&gt;$B$173,$B$78="Refinance",ISNUMBER($B$80),$B$80&gt;=0,$B$80&lt;=1,ROUND($B$81*12,0)&gt;=1,$B$81&lt;=100,SUM($B$82)&gt;=0,SUM($B$82)&lt;=1,SUM($B$83)&gt;=0),$B$80,IF(AND($B$175&gt;0,565&gt;$B$175,ISNUMBER($B$75)),$B$75,$B$61)),"")</x:f>
        <x:v>0.0625</x:v>
      </x:c>
      <x:c r="D965" s="440" t="n">
        <x:f>IF(AND(ISNUMBER(B965),B965=0),0,IF(AND($B$171=1,I964=0,ISNUMBER(C965),ISNUMBER(IF(AND(565&lt;=$B$174,565&lt;=$B$173),B965*C965/12,IF(AND(565=$B$173+1,AND(565&gt;$B$173,$B$78="Refinance",ISNUMBER($B$80),$B$80&gt;=0,$B$80&lt;=1,ROUND($B$81*12,0)&gt;=1,$B$81&lt;=100,SUM($B$82)&gt;=0,SUM($B$82)&lt;=1,SUM($B$83)&gt;=0)),IF(B965=0,0,IF(C965=0,B965/ROUND($B$81*12,0),B965*(C965/12)/(1-(1+C965/12)^(-ROUND($B$81*12,0))))),IF(AND(NOT(AND(565&gt;$B$173,$B$78="Refinance",ISNUMBER($B$80),$B$80&gt;=0,$B$80&lt;=1,ROUND($B$81*12,0)&gt;=1,$B$81&lt;=100,SUM($B$82)&gt;=0,SUM($B$82)&lt;=1,SUM($B$83)&gt;=0)),OR(565=1,565=$B$174+1,AND($B$175&gt;0,565=$B$175+1))),IF(AND($B$170=1,$B$66&gt;0,OR($B$175=0,565&lt;=$B$175)),$B$66,IF($B$172-MAX(565-1,$B$174)&gt;0,IF(B965=0,0,IF(C965=0,B965/($B$172-MAX(565-1,$B$174)),B965*(C965/12)/(1-(1+C965/12)^(-($B$172-MAX(565-1,$B$174)))))),"")),D964))))),IF(IF(AND(565&lt;=$B$174,565&lt;=$B$173),B965*C965/12,IF(AND(565=$B$173+1,AND(565&gt;$B$173,$B$78="Refinance",ISNUMBER($B$80),$B$80&gt;=0,$B$80&lt;=1,ROUND($B$81*12,0)&gt;=1,$B$81&lt;=100,SUM($B$82)&gt;=0,SUM($B$82)&lt;=1,SUM($B$83)&gt;=0)),IF(B965=0,0,IF(C965=0,B965/ROUND($B$81*12,0),B965*(C965/12)/(1-(1+C965/12)^(-ROUND($B$81*12,0))))),IF(AND(NOT(AND(565&gt;$B$173,$B$78="Refinance",ISNUMBER($B$80),$B$80&gt;=0,$B$80&lt;=1,ROUND($B$81*12,0)&gt;=1,$B$81&lt;=100,SUM($B$82)&gt;=0,SUM($B$82)&lt;=1,SUM($B$83)&gt;=0)),OR(565=1,565=$B$174+1,AND($B$175&gt;0,565=$B$175+1))),IF(AND($B$170=1,$B$66&gt;0,OR($B$175=0,565&lt;=$B$175)),$B$66,IF($B$172-MAX(565-1,$B$174)&gt;0,IF(B965=0,0,IF(C965=0,B965/($B$172-MAX(565-1,$B$174)),B965*(C965/12)/(1-(1+C965/12)^(-($B$172-MAX(565-1,$B$174)))))),"")),D964)))+0.0000001&gt;=B965*C965/12,MIN(B965*(1+C965/12),IF(AND(565&lt;=$B$174,565&lt;=$B$173),B965*C965/12,IF(AND(565=$B$173+1,AND(565&gt;$B$173,$B$78="Refinance",ISNUMBER($B$80),$B$80&gt;=0,$B$80&lt;=1,ROUND($B$81*12,0)&gt;=1,$B$81&lt;=100,SUM($B$82)&gt;=0,SUM($B$82)&lt;=1,SUM($B$83)&gt;=0)),IF(B965=0,0,IF(C965=0,B965/ROUND($B$81*12,0),B965*(C965/12)/(1-(1+C965/12)^(-ROUND($B$81*12,0))))),IF(AND(NOT(AND(565&gt;$B$173,$B$78="Refinance",ISNUMBER($B$80),$B$80&gt;=0,$B$80&lt;=1,ROUND($B$81*12,0)&gt;=1,$B$81&lt;=100,SUM($B$82)&gt;=0,SUM($B$82)&lt;=1,SUM($B$83)&gt;=0)),OR(565=1,565=$B$174+1,AND($B$175&gt;0,565=$B$175+1))),IF(AND($B$170=1,$B$66&gt;0,OR($B$175=0,565&lt;=$B$175)),$B$66,IF($B$172-MAX(565-1,$B$174)&gt;0,IF(B965=0,0,IF(C965=0,B965/($B$172-MAX(565-1,$B$174)),B965*(C965/12)/(1-(1+C965/12)^(-($B$172-MAX(565-1,$B$174)))))),"")),D964)))),""),""))</x:f>
        <x:v>0</x:v>
      </x:c>
      <x:c r="E965" s="440" t="n">
        <x:f>IF(AND(565=$B$173,ISNUMBER(D965)),IF(MAX(0,B965*(1+C965/12)-D965)&lt;MAX(0.0000001,$E$17*0.00000000001),0,MAX(0,B965*(1+C965/12)-D965)),0)</x:f>
        <x:v>0</x:v>
      </x:c>
      <x:c r="F965" s="440" t="n">
        <x:f>IF($B$78="Cash payoff",E965,0)</x:f>
        <x:v>0</x:v>
      </x:c>
      <x:c r="G965" s="440" t="n">
        <x:f>IF(AND(E965&gt;0,AND($B$78="Refinance",ISNUMBER($B$80),$B$80&gt;=0,$B$80&lt;=1,ROUND($B$81*12,0)&gt;=1,$B$81&lt;=100,SUM($B$82)&gt;=0,SUM($B$82)&lt;=1,SUM($B$83)&gt;=0)),E965*SUM($B$82)+SUM($B$83),0)</x:f>
        <x:v>0</x:v>
      </x:c>
      <x:c r="H965" s="440" t="n">
        <x:f>IF(ISNUMBER(D965),IF(MAX(0,B965*(1+C965/12)-D965-F965)&lt;MAX(0.0000001,$E$17*0.00000000001),0,MAX(0,B965*(1+C965/12)-D965-F965)),IF(AND($B$171=1,I964=1),B965,""))</x:f>
        <x:v>0</x:v>
      </x:c>
      <x:c r="I965" s="444" t="n">
        <x:f>IF(OR(I964=1,AND(E965&gt;0,$B$78&lt;&gt;"Cash payoff",NOT(AND($B$78="Refinance",ISNUMBER($B$80),$B$80&gt;=0,$B$80&lt;=1,ROUND($B$81*12,0)&gt;=1,$B$81&lt;=100,SUM($B$82)&gt;=0,SUM($B$82)&lt;=1,SUM($B$83)&gt;=0))),AND(ISNUMBER(B965),B965&gt;0,$B$171=1,NOT(ISNUMBER(D965)))),1,0)</x:f>
        <x:v>0</x:v>
      </x:c>
      <x:c r="J965" s="440" t="n">
        <x:f>IF(ISNUMBER(L964),L964,"")</x:f>
        <x:v>0</x:v>
      </x:c>
      <x:c r="K965" s="440" t="n">
        <x:f>IF(AND(ISNUMBER(J965),J965=0),0,IF(AND($B$176=1,ISNUMBER(J965)),MIN(J965*(1+$B$87/12),IF($B$86=0,0,IF($B$87=0,$B$86/ROUND($B$88*12,0),$B$86*($B$87/12)/(1-(1+$B$87/12)^(-ROUND($B$88*12,0)))))),""))</x:f>
        <x:v>0</x:v>
      </x:c>
      <x:c r="L965" s="440" t="n">
        <x:f>IF(ISNUMBER(K965),IF(MAX(0,J965*(1+SUM($B$87)/12)-K965)&lt;MAX(0.0000001,$B$86*0.00000000001),0,MAX(0,J965*(1+SUM($B$87)/12)-K965)),"")</x:f>
        <x:v>0</x:v>
      </x:c>
      <x:c r="M965" s="440" t="n">
        <x:f>IF(AND(ISNUMBER(D965),ISNUMBER(K965)),D965+K965,"")</x:f>
        <x:v>0</x:v>
      </x:c>
      <x:c r="N965" s="440" t="n">
        <x:f>IF(AND(ISNUMBER(H965),ISNUMBER(L965)),H965+L965,"")</x:f>
        <x:v>0</x:v>
      </x:c>
    </x:row>
    <x:row r="966" ht="22" customHeight="1">
      <x:c r="A966" s="254" t="n">
        <x:f>566</x:f>
        <x:v>566</x:v>
      </x:c>
      <x:c r="B966" s="440" t="n">
        <x:f>IF(ISNUMBER(H965),H965,"")</x:f>
        <x:v>0</x:v>
      </x:c>
      <x:c r="C966" s="442" t="n">
        <x:f>IF(ISNUMBER(B966),IF(AND(566&gt;$B$173,$B$78="Refinance",ISNUMBER($B$80),$B$80&gt;=0,$B$80&lt;=1,ROUND($B$81*12,0)&gt;=1,$B$81&lt;=100,SUM($B$82)&gt;=0,SUM($B$82)&lt;=1,SUM($B$83)&gt;=0),$B$80,IF(AND($B$175&gt;0,566&gt;$B$175,ISNUMBER($B$75)),$B$75,$B$61)),"")</x:f>
        <x:v>0.0625</x:v>
      </x:c>
      <x:c r="D966" s="440" t="n">
        <x:f>IF(AND(ISNUMBER(B966),B966=0),0,IF(AND($B$171=1,I965=0,ISNUMBER(C966),ISNUMBER(IF(AND(566&lt;=$B$174,566&lt;=$B$173),B966*C966/12,IF(AND(566=$B$173+1,AND(566&gt;$B$173,$B$78="Refinance",ISNUMBER($B$80),$B$80&gt;=0,$B$80&lt;=1,ROUND($B$81*12,0)&gt;=1,$B$81&lt;=100,SUM($B$82)&gt;=0,SUM($B$82)&lt;=1,SUM($B$83)&gt;=0)),IF(B966=0,0,IF(C966=0,B966/ROUND($B$81*12,0),B966*(C966/12)/(1-(1+C966/12)^(-ROUND($B$81*12,0))))),IF(AND(NOT(AND(566&gt;$B$173,$B$78="Refinance",ISNUMBER($B$80),$B$80&gt;=0,$B$80&lt;=1,ROUND($B$81*12,0)&gt;=1,$B$81&lt;=100,SUM($B$82)&gt;=0,SUM($B$82)&lt;=1,SUM($B$83)&gt;=0)),OR(566=1,566=$B$174+1,AND($B$175&gt;0,566=$B$175+1))),IF(AND($B$170=1,$B$66&gt;0,OR($B$175=0,566&lt;=$B$175)),$B$66,IF($B$172-MAX(566-1,$B$174)&gt;0,IF(B966=0,0,IF(C966=0,B966/($B$172-MAX(566-1,$B$174)),B966*(C966/12)/(1-(1+C966/12)^(-($B$172-MAX(566-1,$B$174)))))),"")),D965))))),IF(IF(AND(566&lt;=$B$174,566&lt;=$B$173),B966*C966/12,IF(AND(566=$B$173+1,AND(566&gt;$B$173,$B$78="Refinance",ISNUMBER($B$80),$B$80&gt;=0,$B$80&lt;=1,ROUND($B$81*12,0)&gt;=1,$B$81&lt;=100,SUM($B$82)&gt;=0,SUM($B$82)&lt;=1,SUM($B$83)&gt;=0)),IF(B966=0,0,IF(C966=0,B966/ROUND($B$81*12,0),B966*(C966/12)/(1-(1+C966/12)^(-ROUND($B$81*12,0))))),IF(AND(NOT(AND(566&gt;$B$173,$B$78="Refinance",ISNUMBER($B$80),$B$80&gt;=0,$B$80&lt;=1,ROUND($B$81*12,0)&gt;=1,$B$81&lt;=100,SUM($B$82)&gt;=0,SUM($B$82)&lt;=1,SUM($B$83)&gt;=0)),OR(566=1,566=$B$174+1,AND($B$175&gt;0,566=$B$175+1))),IF(AND($B$170=1,$B$66&gt;0,OR($B$175=0,566&lt;=$B$175)),$B$66,IF($B$172-MAX(566-1,$B$174)&gt;0,IF(B966=0,0,IF(C966=0,B966/($B$172-MAX(566-1,$B$174)),B966*(C966/12)/(1-(1+C966/12)^(-($B$172-MAX(566-1,$B$174)))))),"")),D965)))+0.0000001&gt;=B966*C966/12,MIN(B966*(1+C966/12),IF(AND(566&lt;=$B$174,566&lt;=$B$173),B966*C966/12,IF(AND(566=$B$173+1,AND(566&gt;$B$173,$B$78="Refinance",ISNUMBER($B$80),$B$80&gt;=0,$B$80&lt;=1,ROUND($B$81*12,0)&gt;=1,$B$81&lt;=100,SUM($B$82)&gt;=0,SUM($B$82)&lt;=1,SUM($B$83)&gt;=0)),IF(B966=0,0,IF(C966=0,B966/ROUND($B$81*12,0),B966*(C966/12)/(1-(1+C966/12)^(-ROUND($B$81*12,0))))),IF(AND(NOT(AND(566&gt;$B$173,$B$78="Refinance",ISNUMBER($B$80),$B$80&gt;=0,$B$80&lt;=1,ROUND($B$81*12,0)&gt;=1,$B$81&lt;=100,SUM($B$82)&gt;=0,SUM($B$82)&lt;=1,SUM($B$83)&gt;=0)),OR(566=1,566=$B$174+1,AND($B$175&gt;0,566=$B$175+1))),IF(AND($B$170=1,$B$66&gt;0,OR($B$175=0,566&lt;=$B$175)),$B$66,IF($B$172-MAX(566-1,$B$174)&gt;0,IF(B966=0,0,IF(C966=0,B966/($B$172-MAX(566-1,$B$174)),B966*(C966/12)/(1-(1+C966/12)^(-($B$172-MAX(566-1,$B$174)))))),"")),D965)))),""),""))</x:f>
        <x:v>0</x:v>
      </x:c>
      <x:c r="E966" s="440" t="n">
        <x:f>IF(AND(566=$B$173,ISNUMBER(D966)),IF(MAX(0,B966*(1+C966/12)-D966)&lt;MAX(0.0000001,$E$17*0.00000000001),0,MAX(0,B966*(1+C966/12)-D966)),0)</x:f>
        <x:v>0</x:v>
      </x:c>
      <x:c r="F966" s="440" t="n">
        <x:f>IF($B$78="Cash payoff",E966,0)</x:f>
        <x:v>0</x:v>
      </x:c>
      <x:c r="G966" s="440" t="n">
        <x:f>IF(AND(E966&gt;0,AND($B$78="Refinance",ISNUMBER($B$80),$B$80&gt;=0,$B$80&lt;=1,ROUND($B$81*12,0)&gt;=1,$B$81&lt;=100,SUM($B$82)&gt;=0,SUM($B$82)&lt;=1,SUM($B$83)&gt;=0)),E966*SUM($B$82)+SUM($B$83),0)</x:f>
        <x:v>0</x:v>
      </x:c>
      <x:c r="H966" s="440" t="n">
        <x:f>IF(ISNUMBER(D966),IF(MAX(0,B966*(1+C966/12)-D966-F966)&lt;MAX(0.0000001,$E$17*0.00000000001),0,MAX(0,B966*(1+C966/12)-D966-F966)),IF(AND($B$171=1,I965=1),B966,""))</x:f>
        <x:v>0</x:v>
      </x:c>
      <x:c r="I966" s="444" t="n">
        <x:f>IF(OR(I965=1,AND(E966&gt;0,$B$78&lt;&gt;"Cash payoff",NOT(AND($B$78="Refinance",ISNUMBER($B$80),$B$80&gt;=0,$B$80&lt;=1,ROUND($B$81*12,0)&gt;=1,$B$81&lt;=100,SUM($B$82)&gt;=0,SUM($B$82)&lt;=1,SUM($B$83)&gt;=0))),AND(ISNUMBER(B966),B966&gt;0,$B$171=1,NOT(ISNUMBER(D966)))),1,0)</x:f>
        <x:v>0</x:v>
      </x:c>
      <x:c r="J966" s="440" t="n">
        <x:f>IF(ISNUMBER(L965),L965,"")</x:f>
        <x:v>0</x:v>
      </x:c>
      <x:c r="K966" s="440" t="n">
        <x:f>IF(AND(ISNUMBER(J966),J966=0),0,IF(AND($B$176=1,ISNUMBER(J966)),MIN(J966*(1+$B$87/12),IF($B$86=0,0,IF($B$87=0,$B$86/ROUND($B$88*12,0),$B$86*($B$87/12)/(1-(1+$B$87/12)^(-ROUND($B$88*12,0)))))),""))</x:f>
        <x:v>0</x:v>
      </x:c>
      <x:c r="L966" s="440" t="n">
        <x:f>IF(ISNUMBER(K966),IF(MAX(0,J966*(1+SUM($B$87)/12)-K966)&lt;MAX(0.0000001,$B$86*0.00000000001),0,MAX(0,J966*(1+SUM($B$87)/12)-K966)),"")</x:f>
        <x:v>0</x:v>
      </x:c>
      <x:c r="M966" s="440" t="n">
        <x:f>IF(AND(ISNUMBER(D966),ISNUMBER(K966)),D966+K966,"")</x:f>
        <x:v>0</x:v>
      </x:c>
      <x:c r="N966" s="440" t="n">
        <x:f>IF(AND(ISNUMBER(H966),ISNUMBER(L966)),H966+L966,"")</x:f>
        <x:v>0</x:v>
      </x:c>
    </x:row>
    <x:row r="967" ht="22" customHeight="1">
      <x:c r="A967" s="254" t="n">
        <x:f>567</x:f>
        <x:v>567</x:v>
      </x:c>
      <x:c r="B967" s="440" t="n">
        <x:f>IF(ISNUMBER(H966),H966,"")</x:f>
        <x:v>0</x:v>
      </x:c>
      <x:c r="C967" s="442" t="n">
        <x:f>IF(ISNUMBER(B967),IF(AND(567&gt;$B$173,$B$78="Refinance",ISNUMBER($B$80),$B$80&gt;=0,$B$80&lt;=1,ROUND($B$81*12,0)&gt;=1,$B$81&lt;=100,SUM($B$82)&gt;=0,SUM($B$82)&lt;=1,SUM($B$83)&gt;=0),$B$80,IF(AND($B$175&gt;0,567&gt;$B$175,ISNUMBER($B$75)),$B$75,$B$61)),"")</x:f>
        <x:v>0.0625</x:v>
      </x:c>
      <x:c r="D967" s="440" t="n">
        <x:f>IF(AND(ISNUMBER(B967),B967=0),0,IF(AND($B$171=1,I966=0,ISNUMBER(C967),ISNUMBER(IF(AND(567&lt;=$B$174,567&lt;=$B$173),B967*C967/12,IF(AND(567=$B$173+1,AND(567&gt;$B$173,$B$78="Refinance",ISNUMBER($B$80),$B$80&gt;=0,$B$80&lt;=1,ROUND($B$81*12,0)&gt;=1,$B$81&lt;=100,SUM($B$82)&gt;=0,SUM($B$82)&lt;=1,SUM($B$83)&gt;=0)),IF(B967=0,0,IF(C967=0,B967/ROUND($B$81*12,0),B967*(C967/12)/(1-(1+C967/12)^(-ROUND($B$81*12,0))))),IF(AND(NOT(AND(567&gt;$B$173,$B$78="Refinance",ISNUMBER($B$80),$B$80&gt;=0,$B$80&lt;=1,ROUND($B$81*12,0)&gt;=1,$B$81&lt;=100,SUM($B$82)&gt;=0,SUM($B$82)&lt;=1,SUM($B$83)&gt;=0)),OR(567=1,567=$B$174+1,AND($B$175&gt;0,567=$B$175+1))),IF(AND($B$170=1,$B$66&gt;0,OR($B$175=0,567&lt;=$B$175)),$B$66,IF($B$172-MAX(567-1,$B$174)&gt;0,IF(B967=0,0,IF(C967=0,B967/($B$172-MAX(567-1,$B$174)),B967*(C967/12)/(1-(1+C967/12)^(-($B$172-MAX(567-1,$B$174)))))),"")),D966))))),IF(IF(AND(567&lt;=$B$174,567&lt;=$B$173),B967*C967/12,IF(AND(567=$B$173+1,AND(567&gt;$B$173,$B$78="Refinance",ISNUMBER($B$80),$B$80&gt;=0,$B$80&lt;=1,ROUND($B$81*12,0)&gt;=1,$B$81&lt;=100,SUM($B$82)&gt;=0,SUM($B$82)&lt;=1,SUM($B$83)&gt;=0)),IF(B967=0,0,IF(C967=0,B967/ROUND($B$81*12,0),B967*(C967/12)/(1-(1+C967/12)^(-ROUND($B$81*12,0))))),IF(AND(NOT(AND(567&gt;$B$173,$B$78="Refinance",ISNUMBER($B$80),$B$80&gt;=0,$B$80&lt;=1,ROUND($B$81*12,0)&gt;=1,$B$81&lt;=100,SUM($B$82)&gt;=0,SUM($B$82)&lt;=1,SUM($B$83)&gt;=0)),OR(567=1,567=$B$174+1,AND($B$175&gt;0,567=$B$175+1))),IF(AND($B$170=1,$B$66&gt;0,OR($B$175=0,567&lt;=$B$175)),$B$66,IF($B$172-MAX(567-1,$B$174)&gt;0,IF(B967=0,0,IF(C967=0,B967/($B$172-MAX(567-1,$B$174)),B967*(C967/12)/(1-(1+C967/12)^(-($B$172-MAX(567-1,$B$174)))))),"")),D966)))+0.0000001&gt;=B967*C967/12,MIN(B967*(1+C967/12),IF(AND(567&lt;=$B$174,567&lt;=$B$173),B967*C967/12,IF(AND(567=$B$173+1,AND(567&gt;$B$173,$B$78="Refinance",ISNUMBER($B$80),$B$80&gt;=0,$B$80&lt;=1,ROUND($B$81*12,0)&gt;=1,$B$81&lt;=100,SUM($B$82)&gt;=0,SUM($B$82)&lt;=1,SUM($B$83)&gt;=0)),IF(B967=0,0,IF(C967=0,B967/ROUND($B$81*12,0),B967*(C967/12)/(1-(1+C967/12)^(-ROUND($B$81*12,0))))),IF(AND(NOT(AND(567&gt;$B$173,$B$78="Refinance",ISNUMBER($B$80),$B$80&gt;=0,$B$80&lt;=1,ROUND($B$81*12,0)&gt;=1,$B$81&lt;=100,SUM($B$82)&gt;=0,SUM($B$82)&lt;=1,SUM($B$83)&gt;=0)),OR(567=1,567=$B$174+1,AND($B$175&gt;0,567=$B$175+1))),IF(AND($B$170=1,$B$66&gt;0,OR($B$175=0,567&lt;=$B$175)),$B$66,IF($B$172-MAX(567-1,$B$174)&gt;0,IF(B967=0,0,IF(C967=0,B967/($B$172-MAX(567-1,$B$174)),B967*(C967/12)/(1-(1+C967/12)^(-($B$172-MAX(567-1,$B$174)))))),"")),D966)))),""),""))</x:f>
        <x:v>0</x:v>
      </x:c>
      <x:c r="E967" s="440" t="n">
        <x:f>IF(AND(567=$B$173,ISNUMBER(D967)),IF(MAX(0,B967*(1+C967/12)-D967)&lt;MAX(0.0000001,$E$17*0.00000000001),0,MAX(0,B967*(1+C967/12)-D967)),0)</x:f>
        <x:v>0</x:v>
      </x:c>
      <x:c r="F967" s="440" t="n">
        <x:f>IF($B$78="Cash payoff",E967,0)</x:f>
        <x:v>0</x:v>
      </x:c>
      <x:c r="G967" s="440" t="n">
        <x:f>IF(AND(E967&gt;0,AND($B$78="Refinance",ISNUMBER($B$80),$B$80&gt;=0,$B$80&lt;=1,ROUND($B$81*12,0)&gt;=1,$B$81&lt;=100,SUM($B$82)&gt;=0,SUM($B$82)&lt;=1,SUM($B$83)&gt;=0)),E967*SUM($B$82)+SUM($B$83),0)</x:f>
        <x:v>0</x:v>
      </x:c>
      <x:c r="H967" s="440" t="n">
        <x:f>IF(ISNUMBER(D967),IF(MAX(0,B967*(1+C967/12)-D967-F967)&lt;MAX(0.0000001,$E$17*0.00000000001),0,MAX(0,B967*(1+C967/12)-D967-F967)),IF(AND($B$171=1,I966=1),B967,""))</x:f>
        <x:v>0</x:v>
      </x:c>
      <x:c r="I967" s="444" t="n">
        <x:f>IF(OR(I966=1,AND(E967&gt;0,$B$78&lt;&gt;"Cash payoff",NOT(AND($B$78="Refinance",ISNUMBER($B$80),$B$80&gt;=0,$B$80&lt;=1,ROUND($B$81*12,0)&gt;=1,$B$81&lt;=100,SUM($B$82)&gt;=0,SUM($B$82)&lt;=1,SUM($B$83)&gt;=0))),AND(ISNUMBER(B967),B967&gt;0,$B$171=1,NOT(ISNUMBER(D967)))),1,0)</x:f>
        <x:v>0</x:v>
      </x:c>
      <x:c r="J967" s="440" t="n">
        <x:f>IF(ISNUMBER(L966),L966,"")</x:f>
        <x:v>0</x:v>
      </x:c>
      <x:c r="K967" s="440" t="n">
        <x:f>IF(AND(ISNUMBER(J967),J967=0),0,IF(AND($B$176=1,ISNUMBER(J967)),MIN(J967*(1+$B$87/12),IF($B$86=0,0,IF($B$87=0,$B$86/ROUND($B$88*12,0),$B$86*($B$87/12)/(1-(1+$B$87/12)^(-ROUND($B$88*12,0)))))),""))</x:f>
        <x:v>0</x:v>
      </x:c>
      <x:c r="L967" s="440" t="n">
        <x:f>IF(ISNUMBER(K967),IF(MAX(0,J967*(1+SUM($B$87)/12)-K967)&lt;MAX(0.0000001,$B$86*0.00000000001),0,MAX(0,J967*(1+SUM($B$87)/12)-K967)),"")</x:f>
        <x:v>0</x:v>
      </x:c>
      <x:c r="M967" s="440" t="n">
        <x:f>IF(AND(ISNUMBER(D967),ISNUMBER(K967)),D967+K967,"")</x:f>
        <x:v>0</x:v>
      </x:c>
      <x:c r="N967" s="440" t="n">
        <x:f>IF(AND(ISNUMBER(H967),ISNUMBER(L967)),H967+L967,"")</x:f>
        <x:v>0</x:v>
      </x:c>
    </x:row>
    <x:row r="968" ht="22" customHeight="1">
      <x:c r="A968" s="254" t="n">
        <x:f>568</x:f>
        <x:v>568</x:v>
      </x:c>
      <x:c r="B968" s="440" t="n">
        <x:f>IF(ISNUMBER(H967),H967,"")</x:f>
        <x:v>0</x:v>
      </x:c>
      <x:c r="C968" s="442" t="n">
        <x:f>IF(ISNUMBER(B968),IF(AND(568&gt;$B$173,$B$78="Refinance",ISNUMBER($B$80),$B$80&gt;=0,$B$80&lt;=1,ROUND($B$81*12,0)&gt;=1,$B$81&lt;=100,SUM($B$82)&gt;=0,SUM($B$82)&lt;=1,SUM($B$83)&gt;=0),$B$80,IF(AND($B$175&gt;0,568&gt;$B$175,ISNUMBER($B$75)),$B$75,$B$61)),"")</x:f>
        <x:v>0.0625</x:v>
      </x:c>
      <x:c r="D968" s="440" t="n">
        <x:f>IF(AND(ISNUMBER(B968),B968=0),0,IF(AND($B$171=1,I967=0,ISNUMBER(C968),ISNUMBER(IF(AND(568&lt;=$B$174,568&lt;=$B$173),B968*C968/12,IF(AND(568=$B$173+1,AND(568&gt;$B$173,$B$78="Refinance",ISNUMBER($B$80),$B$80&gt;=0,$B$80&lt;=1,ROUND($B$81*12,0)&gt;=1,$B$81&lt;=100,SUM($B$82)&gt;=0,SUM($B$82)&lt;=1,SUM($B$83)&gt;=0)),IF(B968=0,0,IF(C968=0,B968/ROUND($B$81*12,0),B968*(C968/12)/(1-(1+C968/12)^(-ROUND($B$81*12,0))))),IF(AND(NOT(AND(568&gt;$B$173,$B$78="Refinance",ISNUMBER($B$80),$B$80&gt;=0,$B$80&lt;=1,ROUND($B$81*12,0)&gt;=1,$B$81&lt;=100,SUM($B$82)&gt;=0,SUM($B$82)&lt;=1,SUM($B$83)&gt;=0)),OR(568=1,568=$B$174+1,AND($B$175&gt;0,568=$B$175+1))),IF(AND($B$170=1,$B$66&gt;0,OR($B$175=0,568&lt;=$B$175)),$B$66,IF($B$172-MAX(568-1,$B$174)&gt;0,IF(B968=0,0,IF(C968=0,B968/($B$172-MAX(568-1,$B$174)),B968*(C968/12)/(1-(1+C968/12)^(-($B$172-MAX(568-1,$B$174)))))),"")),D967))))),IF(IF(AND(568&lt;=$B$174,568&lt;=$B$173),B968*C968/12,IF(AND(568=$B$173+1,AND(568&gt;$B$173,$B$78="Refinance",ISNUMBER($B$80),$B$80&gt;=0,$B$80&lt;=1,ROUND($B$81*12,0)&gt;=1,$B$81&lt;=100,SUM($B$82)&gt;=0,SUM($B$82)&lt;=1,SUM($B$83)&gt;=0)),IF(B968=0,0,IF(C968=0,B968/ROUND($B$81*12,0),B968*(C968/12)/(1-(1+C968/12)^(-ROUND($B$81*12,0))))),IF(AND(NOT(AND(568&gt;$B$173,$B$78="Refinance",ISNUMBER($B$80),$B$80&gt;=0,$B$80&lt;=1,ROUND($B$81*12,0)&gt;=1,$B$81&lt;=100,SUM($B$82)&gt;=0,SUM($B$82)&lt;=1,SUM($B$83)&gt;=0)),OR(568=1,568=$B$174+1,AND($B$175&gt;0,568=$B$175+1))),IF(AND($B$170=1,$B$66&gt;0,OR($B$175=0,568&lt;=$B$175)),$B$66,IF($B$172-MAX(568-1,$B$174)&gt;0,IF(B968=0,0,IF(C968=0,B968/($B$172-MAX(568-1,$B$174)),B968*(C968/12)/(1-(1+C968/12)^(-($B$172-MAX(568-1,$B$174)))))),"")),D967)))+0.0000001&gt;=B968*C968/12,MIN(B968*(1+C968/12),IF(AND(568&lt;=$B$174,568&lt;=$B$173),B968*C968/12,IF(AND(568=$B$173+1,AND(568&gt;$B$173,$B$78="Refinance",ISNUMBER($B$80),$B$80&gt;=0,$B$80&lt;=1,ROUND($B$81*12,0)&gt;=1,$B$81&lt;=100,SUM($B$82)&gt;=0,SUM($B$82)&lt;=1,SUM($B$83)&gt;=0)),IF(B968=0,0,IF(C968=0,B968/ROUND($B$81*12,0),B968*(C968/12)/(1-(1+C968/12)^(-ROUND($B$81*12,0))))),IF(AND(NOT(AND(568&gt;$B$173,$B$78="Refinance",ISNUMBER($B$80),$B$80&gt;=0,$B$80&lt;=1,ROUND($B$81*12,0)&gt;=1,$B$81&lt;=100,SUM($B$82)&gt;=0,SUM($B$82)&lt;=1,SUM($B$83)&gt;=0)),OR(568=1,568=$B$174+1,AND($B$175&gt;0,568=$B$175+1))),IF(AND($B$170=1,$B$66&gt;0,OR($B$175=0,568&lt;=$B$175)),$B$66,IF($B$172-MAX(568-1,$B$174)&gt;0,IF(B968=0,0,IF(C968=0,B968/($B$172-MAX(568-1,$B$174)),B968*(C968/12)/(1-(1+C968/12)^(-($B$172-MAX(568-1,$B$174)))))),"")),D967)))),""),""))</x:f>
        <x:v>0</x:v>
      </x:c>
      <x:c r="E968" s="440" t="n">
        <x:f>IF(AND(568=$B$173,ISNUMBER(D968)),IF(MAX(0,B968*(1+C968/12)-D968)&lt;MAX(0.0000001,$E$17*0.00000000001),0,MAX(0,B968*(1+C968/12)-D968)),0)</x:f>
        <x:v>0</x:v>
      </x:c>
      <x:c r="F968" s="440" t="n">
        <x:f>IF($B$78="Cash payoff",E968,0)</x:f>
        <x:v>0</x:v>
      </x:c>
      <x:c r="G968" s="440" t="n">
        <x:f>IF(AND(E968&gt;0,AND($B$78="Refinance",ISNUMBER($B$80),$B$80&gt;=0,$B$80&lt;=1,ROUND($B$81*12,0)&gt;=1,$B$81&lt;=100,SUM($B$82)&gt;=0,SUM($B$82)&lt;=1,SUM($B$83)&gt;=0)),E968*SUM($B$82)+SUM($B$83),0)</x:f>
        <x:v>0</x:v>
      </x:c>
      <x:c r="H968" s="440" t="n">
        <x:f>IF(ISNUMBER(D968),IF(MAX(0,B968*(1+C968/12)-D968-F968)&lt;MAX(0.0000001,$E$17*0.00000000001),0,MAX(0,B968*(1+C968/12)-D968-F968)),IF(AND($B$171=1,I967=1),B968,""))</x:f>
        <x:v>0</x:v>
      </x:c>
      <x:c r="I968" s="444" t="n">
        <x:f>IF(OR(I967=1,AND(E968&gt;0,$B$78&lt;&gt;"Cash payoff",NOT(AND($B$78="Refinance",ISNUMBER($B$80),$B$80&gt;=0,$B$80&lt;=1,ROUND($B$81*12,0)&gt;=1,$B$81&lt;=100,SUM($B$82)&gt;=0,SUM($B$82)&lt;=1,SUM($B$83)&gt;=0))),AND(ISNUMBER(B968),B968&gt;0,$B$171=1,NOT(ISNUMBER(D968)))),1,0)</x:f>
        <x:v>0</x:v>
      </x:c>
      <x:c r="J968" s="440" t="n">
        <x:f>IF(ISNUMBER(L967),L967,"")</x:f>
        <x:v>0</x:v>
      </x:c>
      <x:c r="K968" s="440" t="n">
        <x:f>IF(AND(ISNUMBER(J968),J968=0),0,IF(AND($B$176=1,ISNUMBER(J968)),MIN(J968*(1+$B$87/12),IF($B$86=0,0,IF($B$87=0,$B$86/ROUND($B$88*12,0),$B$86*($B$87/12)/(1-(1+$B$87/12)^(-ROUND($B$88*12,0)))))),""))</x:f>
        <x:v>0</x:v>
      </x:c>
      <x:c r="L968" s="440" t="n">
        <x:f>IF(ISNUMBER(K968),IF(MAX(0,J968*(1+SUM($B$87)/12)-K968)&lt;MAX(0.0000001,$B$86*0.00000000001),0,MAX(0,J968*(1+SUM($B$87)/12)-K968)),"")</x:f>
        <x:v>0</x:v>
      </x:c>
      <x:c r="M968" s="440" t="n">
        <x:f>IF(AND(ISNUMBER(D968),ISNUMBER(K968)),D968+K968,"")</x:f>
        <x:v>0</x:v>
      </x:c>
      <x:c r="N968" s="440" t="n">
        <x:f>IF(AND(ISNUMBER(H968),ISNUMBER(L968)),H968+L968,"")</x:f>
        <x:v>0</x:v>
      </x:c>
    </x:row>
    <x:row r="969" ht="22" customHeight="1">
      <x:c r="A969" s="254" t="n">
        <x:f>569</x:f>
        <x:v>569</x:v>
      </x:c>
      <x:c r="B969" s="440" t="n">
        <x:f>IF(ISNUMBER(H968),H968,"")</x:f>
        <x:v>0</x:v>
      </x:c>
      <x:c r="C969" s="442" t="n">
        <x:f>IF(ISNUMBER(B969),IF(AND(569&gt;$B$173,$B$78="Refinance",ISNUMBER($B$80),$B$80&gt;=0,$B$80&lt;=1,ROUND($B$81*12,0)&gt;=1,$B$81&lt;=100,SUM($B$82)&gt;=0,SUM($B$82)&lt;=1,SUM($B$83)&gt;=0),$B$80,IF(AND($B$175&gt;0,569&gt;$B$175,ISNUMBER($B$75)),$B$75,$B$61)),"")</x:f>
        <x:v>0.0625</x:v>
      </x:c>
      <x:c r="D969" s="440" t="n">
        <x:f>IF(AND(ISNUMBER(B969),B969=0),0,IF(AND($B$171=1,I968=0,ISNUMBER(C969),ISNUMBER(IF(AND(569&lt;=$B$174,569&lt;=$B$173),B969*C969/12,IF(AND(569=$B$173+1,AND(569&gt;$B$173,$B$78="Refinance",ISNUMBER($B$80),$B$80&gt;=0,$B$80&lt;=1,ROUND($B$81*12,0)&gt;=1,$B$81&lt;=100,SUM($B$82)&gt;=0,SUM($B$82)&lt;=1,SUM($B$83)&gt;=0)),IF(B969=0,0,IF(C969=0,B969/ROUND($B$81*12,0),B969*(C969/12)/(1-(1+C969/12)^(-ROUND($B$81*12,0))))),IF(AND(NOT(AND(569&gt;$B$173,$B$78="Refinance",ISNUMBER($B$80),$B$80&gt;=0,$B$80&lt;=1,ROUND($B$81*12,0)&gt;=1,$B$81&lt;=100,SUM($B$82)&gt;=0,SUM($B$82)&lt;=1,SUM($B$83)&gt;=0)),OR(569=1,569=$B$174+1,AND($B$175&gt;0,569=$B$175+1))),IF(AND($B$170=1,$B$66&gt;0,OR($B$175=0,569&lt;=$B$175)),$B$66,IF($B$172-MAX(569-1,$B$174)&gt;0,IF(B969=0,0,IF(C969=0,B969/($B$172-MAX(569-1,$B$174)),B969*(C969/12)/(1-(1+C969/12)^(-($B$172-MAX(569-1,$B$174)))))),"")),D968))))),IF(IF(AND(569&lt;=$B$174,569&lt;=$B$173),B969*C969/12,IF(AND(569=$B$173+1,AND(569&gt;$B$173,$B$78="Refinance",ISNUMBER($B$80),$B$80&gt;=0,$B$80&lt;=1,ROUND($B$81*12,0)&gt;=1,$B$81&lt;=100,SUM($B$82)&gt;=0,SUM($B$82)&lt;=1,SUM($B$83)&gt;=0)),IF(B969=0,0,IF(C969=0,B969/ROUND($B$81*12,0),B969*(C969/12)/(1-(1+C969/12)^(-ROUND($B$81*12,0))))),IF(AND(NOT(AND(569&gt;$B$173,$B$78="Refinance",ISNUMBER($B$80),$B$80&gt;=0,$B$80&lt;=1,ROUND($B$81*12,0)&gt;=1,$B$81&lt;=100,SUM($B$82)&gt;=0,SUM($B$82)&lt;=1,SUM($B$83)&gt;=0)),OR(569=1,569=$B$174+1,AND($B$175&gt;0,569=$B$175+1))),IF(AND($B$170=1,$B$66&gt;0,OR($B$175=0,569&lt;=$B$175)),$B$66,IF($B$172-MAX(569-1,$B$174)&gt;0,IF(B969=0,0,IF(C969=0,B969/($B$172-MAX(569-1,$B$174)),B969*(C969/12)/(1-(1+C969/12)^(-($B$172-MAX(569-1,$B$174)))))),"")),D968)))+0.0000001&gt;=B969*C969/12,MIN(B969*(1+C969/12),IF(AND(569&lt;=$B$174,569&lt;=$B$173),B969*C969/12,IF(AND(569=$B$173+1,AND(569&gt;$B$173,$B$78="Refinance",ISNUMBER($B$80),$B$80&gt;=0,$B$80&lt;=1,ROUND($B$81*12,0)&gt;=1,$B$81&lt;=100,SUM($B$82)&gt;=0,SUM($B$82)&lt;=1,SUM($B$83)&gt;=0)),IF(B969=0,0,IF(C969=0,B969/ROUND($B$81*12,0),B969*(C969/12)/(1-(1+C969/12)^(-ROUND($B$81*12,0))))),IF(AND(NOT(AND(569&gt;$B$173,$B$78="Refinance",ISNUMBER($B$80),$B$80&gt;=0,$B$80&lt;=1,ROUND($B$81*12,0)&gt;=1,$B$81&lt;=100,SUM($B$82)&gt;=0,SUM($B$82)&lt;=1,SUM($B$83)&gt;=0)),OR(569=1,569=$B$174+1,AND($B$175&gt;0,569=$B$175+1))),IF(AND($B$170=1,$B$66&gt;0,OR($B$175=0,569&lt;=$B$175)),$B$66,IF($B$172-MAX(569-1,$B$174)&gt;0,IF(B969=0,0,IF(C969=0,B969/($B$172-MAX(569-1,$B$174)),B969*(C969/12)/(1-(1+C969/12)^(-($B$172-MAX(569-1,$B$174)))))),"")),D968)))),""),""))</x:f>
        <x:v>0</x:v>
      </x:c>
      <x:c r="E969" s="440" t="n">
        <x:f>IF(AND(569=$B$173,ISNUMBER(D969)),IF(MAX(0,B969*(1+C969/12)-D969)&lt;MAX(0.0000001,$E$17*0.00000000001),0,MAX(0,B969*(1+C969/12)-D969)),0)</x:f>
        <x:v>0</x:v>
      </x:c>
      <x:c r="F969" s="440" t="n">
        <x:f>IF($B$78="Cash payoff",E969,0)</x:f>
        <x:v>0</x:v>
      </x:c>
      <x:c r="G969" s="440" t="n">
        <x:f>IF(AND(E969&gt;0,AND($B$78="Refinance",ISNUMBER($B$80),$B$80&gt;=0,$B$80&lt;=1,ROUND($B$81*12,0)&gt;=1,$B$81&lt;=100,SUM($B$82)&gt;=0,SUM($B$82)&lt;=1,SUM($B$83)&gt;=0)),E969*SUM($B$82)+SUM($B$83),0)</x:f>
        <x:v>0</x:v>
      </x:c>
      <x:c r="H969" s="440" t="n">
        <x:f>IF(ISNUMBER(D969),IF(MAX(0,B969*(1+C969/12)-D969-F969)&lt;MAX(0.0000001,$E$17*0.00000000001),0,MAX(0,B969*(1+C969/12)-D969-F969)),IF(AND($B$171=1,I968=1),B969,""))</x:f>
        <x:v>0</x:v>
      </x:c>
      <x:c r="I969" s="444" t="n">
        <x:f>IF(OR(I968=1,AND(E969&gt;0,$B$78&lt;&gt;"Cash payoff",NOT(AND($B$78="Refinance",ISNUMBER($B$80),$B$80&gt;=0,$B$80&lt;=1,ROUND($B$81*12,0)&gt;=1,$B$81&lt;=100,SUM($B$82)&gt;=0,SUM($B$82)&lt;=1,SUM($B$83)&gt;=0))),AND(ISNUMBER(B969),B969&gt;0,$B$171=1,NOT(ISNUMBER(D969)))),1,0)</x:f>
        <x:v>0</x:v>
      </x:c>
      <x:c r="J969" s="440" t="n">
        <x:f>IF(ISNUMBER(L968),L968,"")</x:f>
        <x:v>0</x:v>
      </x:c>
      <x:c r="K969" s="440" t="n">
        <x:f>IF(AND(ISNUMBER(J969),J969=0),0,IF(AND($B$176=1,ISNUMBER(J969)),MIN(J969*(1+$B$87/12),IF($B$86=0,0,IF($B$87=0,$B$86/ROUND($B$88*12,0),$B$86*($B$87/12)/(1-(1+$B$87/12)^(-ROUND($B$88*12,0)))))),""))</x:f>
        <x:v>0</x:v>
      </x:c>
      <x:c r="L969" s="440" t="n">
        <x:f>IF(ISNUMBER(K969),IF(MAX(0,J969*(1+SUM($B$87)/12)-K969)&lt;MAX(0.0000001,$B$86*0.00000000001),0,MAX(0,J969*(1+SUM($B$87)/12)-K969)),"")</x:f>
        <x:v>0</x:v>
      </x:c>
      <x:c r="M969" s="440" t="n">
        <x:f>IF(AND(ISNUMBER(D969),ISNUMBER(K969)),D969+K969,"")</x:f>
        <x:v>0</x:v>
      </x:c>
      <x:c r="N969" s="440" t="n">
        <x:f>IF(AND(ISNUMBER(H969),ISNUMBER(L969)),H969+L969,"")</x:f>
        <x:v>0</x:v>
      </x:c>
    </x:row>
    <x:row r="970" ht="22" customHeight="1">
      <x:c r="A970" s="254" t="n">
        <x:f>570</x:f>
        <x:v>570</x:v>
      </x:c>
      <x:c r="B970" s="440" t="n">
        <x:f>IF(ISNUMBER(H969),H969,"")</x:f>
        <x:v>0</x:v>
      </x:c>
      <x:c r="C970" s="442" t="n">
        <x:f>IF(ISNUMBER(B970),IF(AND(570&gt;$B$173,$B$78="Refinance",ISNUMBER($B$80),$B$80&gt;=0,$B$80&lt;=1,ROUND($B$81*12,0)&gt;=1,$B$81&lt;=100,SUM($B$82)&gt;=0,SUM($B$82)&lt;=1,SUM($B$83)&gt;=0),$B$80,IF(AND($B$175&gt;0,570&gt;$B$175,ISNUMBER($B$75)),$B$75,$B$61)),"")</x:f>
        <x:v>0.0625</x:v>
      </x:c>
      <x:c r="D970" s="440" t="n">
        <x:f>IF(AND(ISNUMBER(B970),B970=0),0,IF(AND($B$171=1,I969=0,ISNUMBER(C970),ISNUMBER(IF(AND(570&lt;=$B$174,570&lt;=$B$173),B970*C970/12,IF(AND(570=$B$173+1,AND(570&gt;$B$173,$B$78="Refinance",ISNUMBER($B$80),$B$80&gt;=0,$B$80&lt;=1,ROUND($B$81*12,0)&gt;=1,$B$81&lt;=100,SUM($B$82)&gt;=0,SUM($B$82)&lt;=1,SUM($B$83)&gt;=0)),IF(B970=0,0,IF(C970=0,B970/ROUND($B$81*12,0),B970*(C970/12)/(1-(1+C970/12)^(-ROUND($B$81*12,0))))),IF(AND(NOT(AND(570&gt;$B$173,$B$78="Refinance",ISNUMBER($B$80),$B$80&gt;=0,$B$80&lt;=1,ROUND($B$81*12,0)&gt;=1,$B$81&lt;=100,SUM($B$82)&gt;=0,SUM($B$82)&lt;=1,SUM($B$83)&gt;=0)),OR(570=1,570=$B$174+1,AND($B$175&gt;0,570=$B$175+1))),IF(AND($B$170=1,$B$66&gt;0,OR($B$175=0,570&lt;=$B$175)),$B$66,IF($B$172-MAX(570-1,$B$174)&gt;0,IF(B970=0,0,IF(C970=0,B970/($B$172-MAX(570-1,$B$174)),B970*(C970/12)/(1-(1+C970/12)^(-($B$172-MAX(570-1,$B$174)))))),"")),D969))))),IF(IF(AND(570&lt;=$B$174,570&lt;=$B$173),B970*C970/12,IF(AND(570=$B$173+1,AND(570&gt;$B$173,$B$78="Refinance",ISNUMBER($B$80),$B$80&gt;=0,$B$80&lt;=1,ROUND($B$81*12,0)&gt;=1,$B$81&lt;=100,SUM($B$82)&gt;=0,SUM($B$82)&lt;=1,SUM($B$83)&gt;=0)),IF(B970=0,0,IF(C970=0,B970/ROUND($B$81*12,0),B970*(C970/12)/(1-(1+C970/12)^(-ROUND($B$81*12,0))))),IF(AND(NOT(AND(570&gt;$B$173,$B$78="Refinance",ISNUMBER($B$80),$B$80&gt;=0,$B$80&lt;=1,ROUND($B$81*12,0)&gt;=1,$B$81&lt;=100,SUM($B$82)&gt;=0,SUM($B$82)&lt;=1,SUM($B$83)&gt;=0)),OR(570=1,570=$B$174+1,AND($B$175&gt;0,570=$B$175+1))),IF(AND($B$170=1,$B$66&gt;0,OR($B$175=0,570&lt;=$B$175)),$B$66,IF($B$172-MAX(570-1,$B$174)&gt;0,IF(B970=0,0,IF(C970=0,B970/($B$172-MAX(570-1,$B$174)),B970*(C970/12)/(1-(1+C970/12)^(-($B$172-MAX(570-1,$B$174)))))),"")),D969)))+0.0000001&gt;=B970*C970/12,MIN(B970*(1+C970/12),IF(AND(570&lt;=$B$174,570&lt;=$B$173),B970*C970/12,IF(AND(570=$B$173+1,AND(570&gt;$B$173,$B$78="Refinance",ISNUMBER($B$80),$B$80&gt;=0,$B$80&lt;=1,ROUND($B$81*12,0)&gt;=1,$B$81&lt;=100,SUM($B$82)&gt;=0,SUM($B$82)&lt;=1,SUM($B$83)&gt;=0)),IF(B970=0,0,IF(C970=0,B970/ROUND($B$81*12,0),B970*(C970/12)/(1-(1+C970/12)^(-ROUND($B$81*12,0))))),IF(AND(NOT(AND(570&gt;$B$173,$B$78="Refinance",ISNUMBER($B$80),$B$80&gt;=0,$B$80&lt;=1,ROUND($B$81*12,0)&gt;=1,$B$81&lt;=100,SUM($B$82)&gt;=0,SUM($B$82)&lt;=1,SUM($B$83)&gt;=0)),OR(570=1,570=$B$174+1,AND($B$175&gt;0,570=$B$175+1))),IF(AND($B$170=1,$B$66&gt;0,OR($B$175=0,570&lt;=$B$175)),$B$66,IF($B$172-MAX(570-1,$B$174)&gt;0,IF(B970=0,0,IF(C970=0,B970/($B$172-MAX(570-1,$B$174)),B970*(C970/12)/(1-(1+C970/12)^(-($B$172-MAX(570-1,$B$174)))))),"")),D969)))),""),""))</x:f>
        <x:v>0</x:v>
      </x:c>
      <x:c r="E970" s="440" t="n">
        <x:f>IF(AND(570=$B$173,ISNUMBER(D970)),IF(MAX(0,B970*(1+C970/12)-D970)&lt;MAX(0.0000001,$E$17*0.00000000001),0,MAX(0,B970*(1+C970/12)-D970)),0)</x:f>
        <x:v>0</x:v>
      </x:c>
      <x:c r="F970" s="440" t="n">
        <x:f>IF($B$78="Cash payoff",E970,0)</x:f>
        <x:v>0</x:v>
      </x:c>
      <x:c r="G970" s="440" t="n">
        <x:f>IF(AND(E970&gt;0,AND($B$78="Refinance",ISNUMBER($B$80),$B$80&gt;=0,$B$80&lt;=1,ROUND($B$81*12,0)&gt;=1,$B$81&lt;=100,SUM($B$82)&gt;=0,SUM($B$82)&lt;=1,SUM($B$83)&gt;=0)),E970*SUM($B$82)+SUM($B$83),0)</x:f>
        <x:v>0</x:v>
      </x:c>
      <x:c r="H970" s="440" t="n">
        <x:f>IF(ISNUMBER(D970),IF(MAX(0,B970*(1+C970/12)-D970-F970)&lt;MAX(0.0000001,$E$17*0.00000000001),0,MAX(0,B970*(1+C970/12)-D970-F970)),IF(AND($B$171=1,I969=1),B970,""))</x:f>
        <x:v>0</x:v>
      </x:c>
      <x:c r="I970" s="444" t="n">
        <x:f>IF(OR(I969=1,AND(E970&gt;0,$B$78&lt;&gt;"Cash payoff",NOT(AND($B$78="Refinance",ISNUMBER($B$80),$B$80&gt;=0,$B$80&lt;=1,ROUND($B$81*12,0)&gt;=1,$B$81&lt;=100,SUM($B$82)&gt;=0,SUM($B$82)&lt;=1,SUM($B$83)&gt;=0))),AND(ISNUMBER(B970),B970&gt;0,$B$171=1,NOT(ISNUMBER(D970)))),1,0)</x:f>
        <x:v>0</x:v>
      </x:c>
      <x:c r="J970" s="440" t="n">
        <x:f>IF(ISNUMBER(L969),L969,"")</x:f>
        <x:v>0</x:v>
      </x:c>
      <x:c r="K970" s="440" t="n">
        <x:f>IF(AND(ISNUMBER(J970),J970=0),0,IF(AND($B$176=1,ISNUMBER(J970)),MIN(J970*(1+$B$87/12),IF($B$86=0,0,IF($B$87=0,$B$86/ROUND($B$88*12,0),$B$86*($B$87/12)/(1-(1+$B$87/12)^(-ROUND($B$88*12,0)))))),""))</x:f>
        <x:v>0</x:v>
      </x:c>
      <x:c r="L970" s="440" t="n">
        <x:f>IF(ISNUMBER(K970),IF(MAX(0,J970*(1+SUM($B$87)/12)-K970)&lt;MAX(0.0000001,$B$86*0.00000000001),0,MAX(0,J970*(1+SUM($B$87)/12)-K970)),"")</x:f>
        <x:v>0</x:v>
      </x:c>
      <x:c r="M970" s="440" t="n">
        <x:f>IF(AND(ISNUMBER(D970),ISNUMBER(K970)),D970+K970,"")</x:f>
        <x:v>0</x:v>
      </x:c>
      <x:c r="N970" s="440" t="n">
        <x:f>IF(AND(ISNUMBER(H970),ISNUMBER(L970)),H970+L970,"")</x:f>
        <x:v>0</x:v>
      </x:c>
    </x:row>
    <x:row r="971" ht="22" customHeight="1">
      <x:c r="A971" s="254" t="n">
        <x:f>571</x:f>
        <x:v>571</x:v>
      </x:c>
      <x:c r="B971" s="440" t="n">
        <x:f>IF(ISNUMBER(H970),H970,"")</x:f>
        <x:v>0</x:v>
      </x:c>
      <x:c r="C971" s="442" t="n">
        <x:f>IF(ISNUMBER(B971),IF(AND(571&gt;$B$173,$B$78="Refinance",ISNUMBER($B$80),$B$80&gt;=0,$B$80&lt;=1,ROUND($B$81*12,0)&gt;=1,$B$81&lt;=100,SUM($B$82)&gt;=0,SUM($B$82)&lt;=1,SUM($B$83)&gt;=0),$B$80,IF(AND($B$175&gt;0,571&gt;$B$175,ISNUMBER($B$75)),$B$75,$B$61)),"")</x:f>
        <x:v>0.0625</x:v>
      </x:c>
      <x:c r="D971" s="440" t="n">
        <x:f>IF(AND(ISNUMBER(B971),B971=0),0,IF(AND($B$171=1,I970=0,ISNUMBER(C971),ISNUMBER(IF(AND(571&lt;=$B$174,571&lt;=$B$173),B971*C971/12,IF(AND(571=$B$173+1,AND(571&gt;$B$173,$B$78="Refinance",ISNUMBER($B$80),$B$80&gt;=0,$B$80&lt;=1,ROUND($B$81*12,0)&gt;=1,$B$81&lt;=100,SUM($B$82)&gt;=0,SUM($B$82)&lt;=1,SUM($B$83)&gt;=0)),IF(B971=0,0,IF(C971=0,B971/ROUND($B$81*12,0),B971*(C971/12)/(1-(1+C971/12)^(-ROUND($B$81*12,0))))),IF(AND(NOT(AND(571&gt;$B$173,$B$78="Refinance",ISNUMBER($B$80),$B$80&gt;=0,$B$80&lt;=1,ROUND($B$81*12,0)&gt;=1,$B$81&lt;=100,SUM($B$82)&gt;=0,SUM($B$82)&lt;=1,SUM($B$83)&gt;=0)),OR(571=1,571=$B$174+1,AND($B$175&gt;0,571=$B$175+1))),IF(AND($B$170=1,$B$66&gt;0,OR($B$175=0,571&lt;=$B$175)),$B$66,IF($B$172-MAX(571-1,$B$174)&gt;0,IF(B971=0,0,IF(C971=0,B971/($B$172-MAX(571-1,$B$174)),B971*(C971/12)/(1-(1+C971/12)^(-($B$172-MAX(571-1,$B$174)))))),"")),D970))))),IF(IF(AND(571&lt;=$B$174,571&lt;=$B$173),B971*C971/12,IF(AND(571=$B$173+1,AND(571&gt;$B$173,$B$78="Refinance",ISNUMBER($B$80),$B$80&gt;=0,$B$80&lt;=1,ROUND($B$81*12,0)&gt;=1,$B$81&lt;=100,SUM($B$82)&gt;=0,SUM($B$82)&lt;=1,SUM($B$83)&gt;=0)),IF(B971=0,0,IF(C971=0,B971/ROUND($B$81*12,0),B971*(C971/12)/(1-(1+C971/12)^(-ROUND($B$81*12,0))))),IF(AND(NOT(AND(571&gt;$B$173,$B$78="Refinance",ISNUMBER($B$80),$B$80&gt;=0,$B$80&lt;=1,ROUND($B$81*12,0)&gt;=1,$B$81&lt;=100,SUM($B$82)&gt;=0,SUM($B$82)&lt;=1,SUM($B$83)&gt;=0)),OR(571=1,571=$B$174+1,AND($B$175&gt;0,571=$B$175+1))),IF(AND($B$170=1,$B$66&gt;0,OR($B$175=0,571&lt;=$B$175)),$B$66,IF($B$172-MAX(571-1,$B$174)&gt;0,IF(B971=0,0,IF(C971=0,B971/($B$172-MAX(571-1,$B$174)),B971*(C971/12)/(1-(1+C971/12)^(-($B$172-MAX(571-1,$B$174)))))),"")),D970)))+0.0000001&gt;=B971*C971/12,MIN(B971*(1+C971/12),IF(AND(571&lt;=$B$174,571&lt;=$B$173),B971*C971/12,IF(AND(571=$B$173+1,AND(571&gt;$B$173,$B$78="Refinance",ISNUMBER($B$80),$B$80&gt;=0,$B$80&lt;=1,ROUND($B$81*12,0)&gt;=1,$B$81&lt;=100,SUM($B$82)&gt;=0,SUM($B$82)&lt;=1,SUM($B$83)&gt;=0)),IF(B971=0,0,IF(C971=0,B971/ROUND($B$81*12,0),B971*(C971/12)/(1-(1+C971/12)^(-ROUND($B$81*12,0))))),IF(AND(NOT(AND(571&gt;$B$173,$B$78="Refinance",ISNUMBER($B$80),$B$80&gt;=0,$B$80&lt;=1,ROUND($B$81*12,0)&gt;=1,$B$81&lt;=100,SUM($B$82)&gt;=0,SUM($B$82)&lt;=1,SUM($B$83)&gt;=0)),OR(571=1,571=$B$174+1,AND($B$175&gt;0,571=$B$175+1))),IF(AND($B$170=1,$B$66&gt;0,OR($B$175=0,571&lt;=$B$175)),$B$66,IF($B$172-MAX(571-1,$B$174)&gt;0,IF(B971=0,0,IF(C971=0,B971/($B$172-MAX(571-1,$B$174)),B971*(C971/12)/(1-(1+C971/12)^(-($B$172-MAX(571-1,$B$174)))))),"")),D970)))),""),""))</x:f>
        <x:v>0</x:v>
      </x:c>
      <x:c r="E971" s="440" t="n">
        <x:f>IF(AND(571=$B$173,ISNUMBER(D971)),IF(MAX(0,B971*(1+C971/12)-D971)&lt;MAX(0.0000001,$E$17*0.00000000001),0,MAX(0,B971*(1+C971/12)-D971)),0)</x:f>
        <x:v>0</x:v>
      </x:c>
      <x:c r="F971" s="440" t="n">
        <x:f>IF($B$78="Cash payoff",E971,0)</x:f>
        <x:v>0</x:v>
      </x:c>
      <x:c r="G971" s="440" t="n">
        <x:f>IF(AND(E971&gt;0,AND($B$78="Refinance",ISNUMBER($B$80),$B$80&gt;=0,$B$80&lt;=1,ROUND($B$81*12,0)&gt;=1,$B$81&lt;=100,SUM($B$82)&gt;=0,SUM($B$82)&lt;=1,SUM($B$83)&gt;=0)),E971*SUM($B$82)+SUM($B$83),0)</x:f>
        <x:v>0</x:v>
      </x:c>
      <x:c r="H971" s="440" t="n">
        <x:f>IF(ISNUMBER(D971),IF(MAX(0,B971*(1+C971/12)-D971-F971)&lt;MAX(0.0000001,$E$17*0.00000000001),0,MAX(0,B971*(1+C971/12)-D971-F971)),IF(AND($B$171=1,I970=1),B971,""))</x:f>
        <x:v>0</x:v>
      </x:c>
      <x:c r="I971" s="444" t="n">
        <x:f>IF(OR(I970=1,AND(E971&gt;0,$B$78&lt;&gt;"Cash payoff",NOT(AND($B$78="Refinance",ISNUMBER($B$80),$B$80&gt;=0,$B$80&lt;=1,ROUND($B$81*12,0)&gt;=1,$B$81&lt;=100,SUM($B$82)&gt;=0,SUM($B$82)&lt;=1,SUM($B$83)&gt;=0))),AND(ISNUMBER(B971),B971&gt;0,$B$171=1,NOT(ISNUMBER(D971)))),1,0)</x:f>
        <x:v>0</x:v>
      </x:c>
      <x:c r="J971" s="440" t="n">
        <x:f>IF(ISNUMBER(L970),L970,"")</x:f>
        <x:v>0</x:v>
      </x:c>
      <x:c r="K971" s="440" t="n">
        <x:f>IF(AND(ISNUMBER(J971),J971=0),0,IF(AND($B$176=1,ISNUMBER(J971)),MIN(J971*(1+$B$87/12),IF($B$86=0,0,IF($B$87=0,$B$86/ROUND($B$88*12,0),$B$86*($B$87/12)/(1-(1+$B$87/12)^(-ROUND($B$88*12,0)))))),""))</x:f>
        <x:v>0</x:v>
      </x:c>
      <x:c r="L971" s="440" t="n">
        <x:f>IF(ISNUMBER(K971),IF(MAX(0,J971*(1+SUM($B$87)/12)-K971)&lt;MAX(0.0000001,$B$86*0.00000000001),0,MAX(0,J971*(1+SUM($B$87)/12)-K971)),"")</x:f>
        <x:v>0</x:v>
      </x:c>
      <x:c r="M971" s="440" t="n">
        <x:f>IF(AND(ISNUMBER(D971),ISNUMBER(K971)),D971+K971,"")</x:f>
        <x:v>0</x:v>
      </x:c>
      <x:c r="N971" s="440" t="n">
        <x:f>IF(AND(ISNUMBER(H971),ISNUMBER(L971)),H971+L971,"")</x:f>
        <x:v>0</x:v>
      </x:c>
    </x:row>
    <x:row r="972" ht="22" customHeight="1">
      <x:c r="A972" s="254" t="n">
        <x:f>572</x:f>
        <x:v>572</x:v>
      </x:c>
      <x:c r="B972" s="440" t="n">
        <x:f>IF(ISNUMBER(H971),H971,"")</x:f>
        <x:v>0</x:v>
      </x:c>
      <x:c r="C972" s="442" t="n">
        <x:f>IF(ISNUMBER(B972),IF(AND(572&gt;$B$173,$B$78="Refinance",ISNUMBER($B$80),$B$80&gt;=0,$B$80&lt;=1,ROUND($B$81*12,0)&gt;=1,$B$81&lt;=100,SUM($B$82)&gt;=0,SUM($B$82)&lt;=1,SUM($B$83)&gt;=0),$B$80,IF(AND($B$175&gt;0,572&gt;$B$175,ISNUMBER($B$75)),$B$75,$B$61)),"")</x:f>
        <x:v>0.0625</x:v>
      </x:c>
      <x:c r="D972" s="440" t="n">
        <x:f>IF(AND(ISNUMBER(B972),B972=0),0,IF(AND($B$171=1,I971=0,ISNUMBER(C972),ISNUMBER(IF(AND(572&lt;=$B$174,572&lt;=$B$173),B972*C972/12,IF(AND(572=$B$173+1,AND(572&gt;$B$173,$B$78="Refinance",ISNUMBER($B$80),$B$80&gt;=0,$B$80&lt;=1,ROUND($B$81*12,0)&gt;=1,$B$81&lt;=100,SUM($B$82)&gt;=0,SUM($B$82)&lt;=1,SUM($B$83)&gt;=0)),IF(B972=0,0,IF(C972=0,B972/ROUND($B$81*12,0),B972*(C972/12)/(1-(1+C972/12)^(-ROUND($B$81*12,0))))),IF(AND(NOT(AND(572&gt;$B$173,$B$78="Refinance",ISNUMBER($B$80),$B$80&gt;=0,$B$80&lt;=1,ROUND($B$81*12,0)&gt;=1,$B$81&lt;=100,SUM($B$82)&gt;=0,SUM($B$82)&lt;=1,SUM($B$83)&gt;=0)),OR(572=1,572=$B$174+1,AND($B$175&gt;0,572=$B$175+1))),IF(AND($B$170=1,$B$66&gt;0,OR($B$175=0,572&lt;=$B$175)),$B$66,IF($B$172-MAX(572-1,$B$174)&gt;0,IF(B972=0,0,IF(C972=0,B972/($B$172-MAX(572-1,$B$174)),B972*(C972/12)/(1-(1+C972/12)^(-($B$172-MAX(572-1,$B$174)))))),"")),D971))))),IF(IF(AND(572&lt;=$B$174,572&lt;=$B$173),B972*C972/12,IF(AND(572=$B$173+1,AND(572&gt;$B$173,$B$78="Refinance",ISNUMBER($B$80),$B$80&gt;=0,$B$80&lt;=1,ROUND($B$81*12,0)&gt;=1,$B$81&lt;=100,SUM($B$82)&gt;=0,SUM($B$82)&lt;=1,SUM($B$83)&gt;=0)),IF(B972=0,0,IF(C972=0,B972/ROUND($B$81*12,0),B972*(C972/12)/(1-(1+C972/12)^(-ROUND($B$81*12,0))))),IF(AND(NOT(AND(572&gt;$B$173,$B$78="Refinance",ISNUMBER($B$80),$B$80&gt;=0,$B$80&lt;=1,ROUND($B$81*12,0)&gt;=1,$B$81&lt;=100,SUM($B$82)&gt;=0,SUM($B$82)&lt;=1,SUM($B$83)&gt;=0)),OR(572=1,572=$B$174+1,AND($B$175&gt;0,572=$B$175+1))),IF(AND($B$170=1,$B$66&gt;0,OR($B$175=0,572&lt;=$B$175)),$B$66,IF($B$172-MAX(572-1,$B$174)&gt;0,IF(B972=0,0,IF(C972=0,B972/($B$172-MAX(572-1,$B$174)),B972*(C972/12)/(1-(1+C972/12)^(-($B$172-MAX(572-1,$B$174)))))),"")),D971)))+0.0000001&gt;=B972*C972/12,MIN(B972*(1+C972/12),IF(AND(572&lt;=$B$174,572&lt;=$B$173),B972*C972/12,IF(AND(572=$B$173+1,AND(572&gt;$B$173,$B$78="Refinance",ISNUMBER($B$80),$B$80&gt;=0,$B$80&lt;=1,ROUND($B$81*12,0)&gt;=1,$B$81&lt;=100,SUM($B$82)&gt;=0,SUM($B$82)&lt;=1,SUM($B$83)&gt;=0)),IF(B972=0,0,IF(C972=0,B972/ROUND($B$81*12,0),B972*(C972/12)/(1-(1+C972/12)^(-ROUND($B$81*12,0))))),IF(AND(NOT(AND(572&gt;$B$173,$B$78="Refinance",ISNUMBER($B$80),$B$80&gt;=0,$B$80&lt;=1,ROUND($B$81*12,0)&gt;=1,$B$81&lt;=100,SUM($B$82)&gt;=0,SUM($B$82)&lt;=1,SUM($B$83)&gt;=0)),OR(572=1,572=$B$174+1,AND($B$175&gt;0,572=$B$175+1))),IF(AND($B$170=1,$B$66&gt;0,OR($B$175=0,572&lt;=$B$175)),$B$66,IF($B$172-MAX(572-1,$B$174)&gt;0,IF(B972=0,0,IF(C972=0,B972/($B$172-MAX(572-1,$B$174)),B972*(C972/12)/(1-(1+C972/12)^(-($B$172-MAX(572-1,$B$174)))))),"")),D971)))),""),""))</x:f>
        <x:v>0</x:v>
      </x:c>
      <x:c r="E972" s="440" t="n">
        <x:f>IF(AND(572=$B$173,ISNUMBER(D972)),IF(MAX(0,B972*(1+C972/12)-D972)&lt;MAX(0.0000001,$E$17*0.00000000001),0,MAX(0,B972*(1+C972/12)-D972)),0)</x:f>
        <x:v>0</x:v>
      </x:c>
      <x:c r="F972" s="440" t="n">
        <x:f>IF($B$78="Cash payoff",E972,0)</x:f>
        <x:v>0</x:v>
      </x:c>
      <x:c r="G972" s="440" t="n">
        <x:f>IF(AND(E972&gt;0,AND($B$78="Refinance",ISNUMBER($B$80),$B$80&gt;=0,$B$80&lt;=1,ROUND($B$81*12,0)&gt;=1,$B$81&lt;=100,SUM($B$82)&gt;=0,SUM($B$82)&lt;=1,SUM($B$83)&gt;=0)),E972*SUM($B$82)+SUM($B$83),0)</x:f>
        <x:v>0</x:v>
      </x:c>
      <x:c r="H972" s="440" t="n">
        <x:f>IF(ISNUMBER(D972),IF(MAX(0,B972*(1+C972/12)-D972-F972)&lt;MAX(0.0000001,$E$17*0.00000000001),0,MAX(0,B972*(1+C972/12)-D972-F972)),IF(AND($B$171=1,I971=1),B972,""))</x:f>
        <x:v>0</x:v>
      </x:c>
      <x:c r="I972" s="444" t="n">
        <x:f>IF(OR(I971=1,AND(E972&gt;0,$B$78&lt;&gt;"Cash payoff",NOT(AND($B$78="Refinance",ISNUMBER($B$80),$B$80&gt;=0,$B$80&lt;=1,ROUND($B$81*12,0)&gt;=1,$B$81&lt;=100,SUM($B$82)&gt;=0,SUM($B$82)&lt;=1,SUM($B$83)&gt;=0))),AND(ISNUMBER(B972),B972&gt;0,$B$171=1,NOT(ISNUMBER(D972)))),1,0)</x:f>
        <x:v>0</x:v>
      </x:c>
      <x:c r="J972" s="440" t="n">
        <x:f>IF(ISNUMBER(L971),L971,"")</x:f>
        <x:v>0</x:v>
      </x:c>
      <x:c r="K972" s="440" t="n">
        <x:f>IF(AND(ISNUMBER(J972),J972=0),0,IF(AND($B$176=1,ISNUMBER(J972)),MIN(J972*(1+$B$87/12),IF($B$86=0,0,IF($B$87=0,$B$86/ROUND($B$88*12,0),$B$86*($B$87/12)/(1-(1+$B$87/12)^(-ROUND($B$88*12,0)))))),""))</x:f>
        <x:v>0</x:v>
      </x:c>
      <x:c r="L972" s="440" t="n">
        <x:f>IF(ISNUMBER(K972),IF(MAX(0,J972*(1+SUM($B$87)/12)-K972)&lt;MAX(0.0000001,$B$86*0.00000000001),0,MAX(0,J972*(1+SUM($B$87)/12)-K972)),"")</x:f>
        <x:v>0</x:v>
      </x:c>
      <x:c r="M972" s="440" t="n">
        <x:f>IF(AND(ISNUMBER(D972),ISNUMBER(K972)),D972+K972,"")</x:f>
        <x:v>0</x:v>
      </x:c>
      <x:c r="N972" s="440" t="n">
        <x:f>IF(AND(ISNUMBER(H972),ISNUMBER(L972)),H972+L972,"")</x:f>
        <x:v>0</x:v>
      </x:c>
    </x:row>
    <x:row r="973" ht="22" customHeight="1">
      <x:c r="A973" s="254" t="n">
        <x:f>573</x:f>
        <x:v>573</x:v>
      </x:c>
      <x:c r="B973" s="440" t="n">
        <x:f>IF(ISNUMBER(H972),H972,"")</x:f>
        <x:v>0</x:v>
      </x:c>
      <x:c r="C973" s="442" t="n">
        <x:f>IF(ISNUMBER(B973),IF(AND(573&gt;$B$173,$B$78="Refinance",ISNUMBER($B$80),$B$80&gt;=0,$B$80&lt;=1,ROUND($B$81*12,0)&gt;=1,$B$81&lt;=100,SUM($B$82)&gt;=0,SUM($B$82)&lt;=1,SUM($B$83)&gt;=0),$B$80,IF(AND($B$175&gt;0,573&gt;$B$175,ISNUMBER($B$75)),$B$75,$B$61)),"")</x:f>
        <x:v>0.0625</x:v>
      </x:c>
      <x:c r="D973" s="440" t="n">
        <x:f>IF(AND(ISNUMBER(B973),B973=0),0,IF(AND($B$171=1,I972=0,ISNUMBER(C973),ISNUMBER(IF(AND(573&lt;=$B$174,573&lt;=$B$173),B973*C973/12,IF(AND(573=$B$173+1,AND(573&gt;$B$173,$B$78="Refinance",ISNUMBER($B$80),$B$80&gt;=0,$B$80&lt;=1,ROUND($B$81*12,0)&gt;=1,$B$81&lt;=100,SUM($B$82)&gt;=0,SUM($B$82)&lt;=1,SUM($B$83)&gt;=0)),IF(B973=0,0,IF(C973=0,B973/ROUND($B$81*12,0),B973*(C973/12)/(1-(1+C973/12)^(-ROUND($B$81*12,0))))),IF(AND(NOT(AND(573&gt;$B$173,$B$78="Refinance",ISNUMBER($B$80),$B$80&gt;=0,$B$80&lt;=1,ROUND($B$81*12,0)&gt;=1,$B$81&lt;=100,SUM($B$82)&gt;=0,SUM($B$82)&lt;=1,SUM($B$83)&gt;=0)),OR(573=1,573=$B$174+1,AND($B$175&gt;0,573=$B$175+1))),IF(AND($B$170=1,$B$66&gt;0,OR($B$175=0,573&lt;=$B$175)),$B$66,IF($B$172-MAX(573-1,$B$174)&gt;0,IF(B973=0,0,IF(C973=0,B973/($B$172-MAX(573-1,$B$174)),B973*(C973/12)/(1-(1+C973/12)^(-($B$172-MAX(573-1,$B$174)))))),"")),D972))))),IF(IF(AND(573&lt;=$B$174,573&lt;=$B$173),B973*C973/12,IF(AND(573=$B$173+1,AND(573&gt;$B$173,$B$78="Refinance",ISNUMBER($B$80),$B$80&gt;=0,$B$80&lt;=1,ROUND($B$81*12,0)&gt;=1,$B$81&lt;=100,SUM($B$82)&gt;=0,SUM($B$82)&lt;=1,SUM($B$83)&gt;=0)),IF(B973=0,0,IF(C973=0,B973/ROUND($B$81*12,0),B973*(C973/12)/(1-(1+C973/12)^(-ROUND($B$81*12,0))))),IF(AND(NOT(AND(573&gt;$B$173,$B$78="Refinance",ISNUMBER($B$80),$B$80&gt;=0,$B$80&lt;=1,ROUND($B$81*12,0)&gt;=1,$B$81&lt;=100,SUM($B$82)&gt;=0,SUM($B$82)&lt;=1,SUM($B$83)&gt;=0)),OR(573=1,573=$B$174+1,AND($B$175&gt;0,573=$B$175+1))),IF(AND($B$170=1,$B$66&gt;0,OR($B$175=0,573&lt;=$B$175)),$B$66,IF($B$172-MAX(573-1,$B$174)&gt;0,IF(B973=0,0,IF(C973=0,B973/($B$172-MAX(573-1,$B$174)),B973*(C973/12)/(1-(1+C973/12)^(-($B$172-MAX(573-1,$B$174)))))),"")),D972)))+0.0000001&gt;=B973*C973/12,MIN(B973*(1+C973/12),IF(AND(573&lt;=$B$174,573&lt;=$B$173),B973*C973/12,IF(AND(573=$B$173+1,AND(573&gt;$B$173,$B$78="Refinance",ISNUMBER($B$80),$B$80&gt;=0,$B$80&lt;=1,ROUND($B$81*12,0)&gt;=1,$B$81&lt;=100,SUM($B$82)&gt;=0,SUM($B$82)&lt;=1,SUM($B$83)&gt;=0)),IF(B973=0,0,IF(C973=0,B973/ROUND($B$81*12,0),B973*(C973/12)/(1-(1+C973/12)^(-ROUND($B$81*12,0))))),IF(AND(NOT(AND(573&gt;$B$173,$B$78="Refinance",ISNUMBER($B$80),$B$80&gt;=0,$B$80&lt;=1,ROUND($B$81*12,0)&gt;=1,$B$81&lt;=100,SUM($B$82)&gt;=0,SUM($B$82)&lt;=1,SUM($B$83)&gt;=0)),OR(573=1,573=$B$174+1,AND($B$175&gt;0,573=$B$175+1))),IF(AND($B$170=1,$B$66&gt;0,OR($B$175=0,573&lt;=$B$175)),$B$66,IF($B$172-MAX(573-1,$B$174)&gt;0,IF(B973=0,0,IF(C973=0,B973/($B$172-MAX(573-1,$B$174)),B973*(C973/12)/(1-(1+C973/12)^(-($B$172-MAX(573-1,$B$174)))))),"")),D972)))),""),""))</x:f>
        <x:v>0</x:v>
      </x:c>
      <x:c r="E973" s="440" t="n">
        <x:f>IF(AND(573=$B$173,ISNUMBER(D973)),IF(MAX(0,B973*(1+C973/12)-D973)&lt;MAX(0.0000001,$E$17*0.00000000001),0,MAX(0,B973*(1+C973/12)-D973)),0)</x:f>
        <x:v>0</x:v>
      </x:c>
      <x:c r="F973" s="440" t="n">
        <x:f>IF($B$78="Cash payoff",E973,0)</x:f>
        <x:v>0</x:v>
      </x:c>
      <x:c r="G973" s="440" t="n">
        <x:f>IF(AND(E973&gt;0,AND($B$78="Refinance",ISNUMBER($B$80),$B$80&gt;=0,$B$80&lt;=1,ROUND($B$81*12,0)&gt;=1,$B$81&lt;=100,SUM($B$82)&gt;=0,SUM($B$82)&lt;=1,SUM($B$83)&gt;=0)),E973*SUM($B$82)+SUM($B$83),0)</x:f>
        <x:v>0</x:v>
      </x:c>
      <x:c r="H973" s="440" t="n">
        <x:f>IF(ISNUMBER(D973),IF(MAX(0,B973*(1+C973/12)-D973-F973)&lt;MAX(0.0000001,$E$17*0.00000000001),0,MAX(0,B973*(1+C973/12)-D973-F973)),IF(AND($B$171=1,I972=1),B973,""))</x:f>
        <x:v>0</x:v>
      </x:c>
      <x:c r="I973" s="444" t="n">
        <x:f>IF(OR(I972=1,AND(E973&gt;0,$B$78&lt;&gt;"Cash payoff",NOT(AND($B$78="Refinance",ISNUMBER($B$80),$B$80&gt;=0,$B$80&lt;=1,ROUND($B$81*12,0)&gt;=1,$B$81&lt;=100,SUM($B$82)&gt;=0,SUM($B$82)&lt;=1,SUM($B$83)&gt;=0))),AND(ISNUMBER(B973),B973&gt;0,$B$171=1,NOT(ISNUMBER(D973)))),1,0)</x:f>
        <x:v>0</x:v>
      </x:c>
      <x:c r="J973" s="440" t="n">
        <x:f>IF(ISNUMBER(L972),L972,"")</x:f>
        <x:v>0</x:v>
      </x:c>
      <x:c r="K973" s="440" t="n">
        <x:f>IF(AND(ISNUMBER(J973),J973=0),0,IF(AND($B$176=1,ISNUMBER(J973)),MIN(J973*(1+$B$87/12),IF($B$86=0,0,IF($B$87=0,$B$86/ROUND($B$88*12,0),$B$86*($B$87/12)/(1-(1+$B$87/12)^(-ROUND($B$88*12,0)))))),""))</x:f>
        <x:v>0</x:v>
      </x:c>
      <x:c r="L973" s="440" t="n">
        <x:f>IF(ISNUMBER(K973),IF(MAX(0,J973*(1+SUM($B$87)/12)-K973)&lt;MAX(0.0000001,$B$86*0.00000000001),0,MAX(0,J973*(1+SUM($B$87)/12)-K973)),"")</x:f>
        <x:v>0</x:v>
      </x:c>
      <x:c r="M973" s="440" t="n">
        <x:f>IF(AND(ISNUMBER(D973),ISNUMBER(K973)),D973+K973,"")</x:f>
        <x:v>0</x:v>
      </x:c>
      <x:c r="N973" s="440" t="n">
        <x:f>IF(AND(ISNUMBER(H973),ISNUMBER(L973)),H973+L973,"")</x:f>
        <x:v>0</x:v>
      </x:c>
    </x:row>
    <x:row r="974" ht="22" customHeight="1">
      <x:c r="A974" s="254" t="n">
        <x:f>574</x:f>
        <x:v>574</x:v>
      </x:c>
      <x:c r="B974" s="440" t="n">
        <x:f>IF(ISNUMBER(H973),H973,"")</x:f>
        <x:v>0</x:v>
      </x:c>
      <x:c r="C974" s="442" t="n">
        <x:f>IF(ISNUMBER(B974),IF(AND(574&gt;$B$173,$B$78="Refinance",ISNUMBER($B$80),$B$80&gt;=0,$B$80&lt;=1,ROUND($B$81*12,0)&gt;=1,$B$81&lt;=100,SUM($B$82)&gt;=0,SUM($B$82)&lt;=1,SUM($B$83)&gt;=0),$B$80,IF(AND($B$175&gt;0,574&gt;$B$175,ISNUMBER($B$75)),$B$75,$B$61)),"")</x:f>
        <x:v>0.0625</x:v>
      </x:c>
      <x:c r="D974" s="440" t="n">
        <x:f>IF(AND(ISNUMBER(B974),B974=0),0,IF(AND($B$171=1,I973=0,ISNUMBER(C974),ISNUMBER(IF(AND(574&lt;=$B$174,574&lt;=$B$173),B974*C974/12,IF(AND(574=$B$173+1,AND(574&gt;$B$173,$B$78="Refinance",ISNUMBER($B$80),$B$80&gt;=0,$B$80&lt;=1,ROUND($B$81*12,0)&gt;=1,$B$81&lt;=100,SUM($B$82)&gt;=0,SUM($B$82)&lt;=1,SUM($B$83)&gt;=0)),IF(B974=0,0,IF(C974=0,B974/ROUND($B$81*12,0),B974*(C974/12)/(1-(1+C974/12)^(-ROUND($B$81*12,0))))),IF(AND(NOT(AND(574&gt;$B$173,$B$78="Refinance",ISNUMBER($B$80),$B$80&gt;=0,$B$80&lt;=1,ROUND($B$81*12,0)&gt;=1,$B$81&lt;=100,SUM($B$82)&gt;=0,SUM($B$82)&lt;=1,SUM($B$83)&gt;=0)),OR(574=1,574=$B$174+1,AND($B$175&gt;0,574=$B$175+1))),IF(AND($B$170=1,$B$66&gt;0,OR($B$175=0,574&lt;=$B$175)),$B$66,IF($B$172-MAX(574-1,$B$174)&gt;0,IF(B974=0,0,IF(C974=0,B974/($B$172-MAX(574-1,$B$174)),B974*(C974/12)/(1-(1+C974/12)^(-($B$172-MAX(574-1,$B$174)))))),"")),D973))))),IF(IF(AND(574&lt;=$B$174,574&lt;=$B$173),B974*C974/12,IF(AND(574=$B$173+1,AND(574&gt;$B$173,$B$78="Refinance",ISNUMBER($B$80),$B$80&gt;=0,$B$80&lt;=1,ROUND($B$81*12,0)&gt;=1,$B$81&lt;=100,SUM($B$82)&gt;=0,SUM($B$82)&lt;=1,SUM($B$83)&gt;=0)),IF(B974=0,0,IF(C974=0,B974/ROUND($B$81*12,0),B974*(C974/12)/(1-(1+C974/12)^(-ROUND($B$81*12,0))))),IF(AND(NOT(AND(574&gt;$B$173,$B$78="Refinance",ISNUMBER($B$80),$B$80&gt;=0,$B$80&lt;=1,ROUND($B$81*12,0)&gt;=1,$B$81&lt;=100,SUM($B$82)&gt;=0,SUM($B$82)&lt;=1,SUM($B$83)&gt;=0)),OR(574=1,574=$B$174+1,AND($B$175&gt;0,574=$B$175+1))),IF(AND($B$170=1,$B$66&gt;0,OR($B$175=0,574&lt;=$B$175)),$B$66,IF($B$172-MAX(574-1,$B$174)&gt;0,IF(B974=0,0,IF(C974=0,B974/($B$172-MAX(574-1,$B$174)),B974*(C974/12)/(1-(1+C974/12)^(-($B$172-MAX(574-1,$B$174)))))),"")),D973)))+0.0000001&gt;=B974*C974/12,MIN(B974*(1+C974/12),IF(AND(574&lt;=$B$174,574&lt;=$B$173),B974*C974/12,IF(AND(574=$B$173+1,AND(574&gt;$B$173,$B$78="Refinance",ISNUMBER($B$80),$B$80&gt;=0,$B$80&lt;=1,ROUND($B$81*12,0)&gt;=1,$B$81&lt;=100,SUM($B$82)&gt;=0,SUM($B$82)&lt;=1,SUM($B$83)&gt;=0)),IF(B974=0,0,IF(C974=0,B974/ROUND($B$81*12,0),B974*(C974/12)/(1-(1+C974/12)^(-ROUND($B$81*12,0))))),IF(AND(NOT(AND(574&gt;$B$173,$B$78="Refinance",ISNUMBER($B$80),$B$80&gt;=0,$B$80&lt;=1,ROUND($B$81*12,0)&gt;=1,$B$81&lt;=100,SUM($B$82)&gt;=0,SUM($B$82)&lt;=1,SUM($B$83)&gt;=0)),OR(574=1,574=$B$174+1,AND($B$175&gt;0,574=$B$175+1))),IF(AND($B$170=1,$B$66&gt;0,OR($B$175=0,574&lt;=$B$175)),$B$66,IF($B$172-MAX(574-1,$B$174)&gt;0,IF(B974=0,0,IF(C974=0,B974/($B$172-MAX(574-1,$B$174)),B974*(C974/12)/(1-(1+C974/12)^(-($B$172-MAX(574-1,$B$174)))))),"")),D973)))),""),""))</x:f>
        <x:v>0</x:v>
      </x:c>
      <x:c r="E974" s="440" t="n">
        <x:f>IF(AND(574=$B$173,ISNUMBER(D974)),IF(MAX(0,B974*(1+C974/12)-D974)&lt;MAX(0.0000001,$E$17*0.00000000001),0,MAX(0,B974*(1+C974/12)-D974)),0)</x:f>
        <x:v>0</x:v>
      </x:c>
      <x:c r="F974" s="440" t="n">
        <x:f>IF($B$78="Cash payoff",E974,0)</x:f>
        <x:v>0</x:v>
      </x:c>
      <x:c r="G974" s="440" t="n">
        <x:f>IF(AND(E974&gt;0,AND($B$78="Refinance",ISNUMBER($B$80),$B$80&gt;=0,$B$80&lt;=1,ROUND($B$81*12,0)&gt;=1,$B$81&lt;=100,SUM($B$82)&gt;=0,SUM($B$82)&lt;=1,SUM($B$83)&gt;=0)),E974*SUM($B$82)+SUM($B$83),0)</x:f>
        <x:v>0</x:v>
      </x:c>
      <x:c r="H974" s="440" t="n">
        <x:f>IF(ISNUMBER(D974),IF(MAX(0,B974*(1+C974/12)-D974-F974)&lt;MAX(0.0000001,$E$17*0.00000000001),0,MAX(0,B974*(1+C974/12)-D974-F974)),IF(AND($B$171=1,I973=1),B974,""))</x:f>
        <x:v>0</x:v>
      </x:c>
      <x:c r="I974" s="444" t="n">
        <x:f>IF(OR(I973=1,AND(E974&gt;0,$B$78&lt;&gt;"Cash payoff",NOT(AND($B$78="Refinance",ISNUMBER($B$80),$B$80&gt;=0,$B$80&lt;=1,ROUND($B$81*12,0)&gt;=1,$B$81&lt;=100,SUM($B$82)&gt;=0,SUM($B$82)&lt;=1,SUM($B$83)&gt;=0))),AND(ISNUMBER(B974),B974&gt;0,$B$171=1,NOT(ISNUMBER(D974)))),1,0)</x:f>
        <x:v>0</x:v>
      </x:c>
      <x:c r="J974" s="440" t="n">
        <x:f>IF(ISNUMBER(L973),L973,"")</x:f>
        <x:v>0</x:v>
      </x:c>
      <x:c r="K974" s="440" t="n">
        <x:f>IF(AND(ISNUMBER(J974),J974=0),0,IF(AND($B$176=1,ISNUMBER(J974)),MIN(J974*(1+$B$87/12),IF($B$86=0,0,IF($B$87=0,$B$86/ROUND($B$88*12,0),$B$86*($B$87/12)/(1-(1+$B$87/12)^(-ROUND($B$88*12,0)))))),""))</x:f>
        <x:v>0</x:v>
      </x:c>
      <x:c r="L974" s="440" t="n">
        <x:f>IF(ISNUMBER(K974),IF(MAX(0,J974*(1+SUM($B$87)/12)-K974)&lt;MAX(0.0000001,$B$86*0.00000000001),0,MAX(0,J974*(1+SUM($B$87)/12)-K974)),"")</x:f>
        <x:v>0</x:v>
      </x:c>
      <x:c r="M974" s="440" t="n">
        <x:f>IF(AND(ISNUMBER(D974),ISNUMBER(K974)),D974+K974,"")</x:f>
        <x:v>0</x:v>
      </x:c>
      <x:c r="N974" s="440" t="n">
        <x:f>IF(AND(ISNUMBER(H974),ISNUMBER(L974)),H974+L974,"")</x:f>
        <x:v>0</x:v>
      </x:c>
    </x:row>
    <x:row r="975" ht="22" customHeight="1">
      <x:c r="A975" s="254" t="n">
        <x:f>575</x:f>
        <x:v>575</x:v>
      </x:c>
      <x:c r="B975" s="440" t="n">
        <x:f>IF(ISNUMBER(H974),H974,"")</x:f>
        <x:v>0</x:v>
      </x:c>
      <x:c r="C975" s="442" t="n">
        <x:f>IF(ISNUMBER(B975),IF(AND(575&gt;$B$173,$B$78="Refinance",ISNUMBER($B$80),$B$80&gt;=0,$B$80&lt;=1,ROUND($B$81*12,0)&gt;=1,$B$81&lt;=100,SUM($B$82)&gt;=0,SUM($B$82)&lt;=1,SUM($B$83)&gt;=0),$B$80,IF(AND($B$175&gt;0,575&gt;$B$175,ISNUMBER($B$75)),$B$75,$B$61)),"")</x:f>
        <x:v>0.0625</x:v>
      </x:c>
      <x:c r="D975" s="440" t="n">
        <x:f>IF(AND(ISNUMBER(B975),B975=0),0,IF(AND($B$171=1,I974=0,ISNUMBER(C975),ISNUMBER(IF(AND(575&lt;=$B$174,575&lt;=$B$173),B975*C975/12,IF(AND(575=$B$173+1,AND(575&gt;$B$173,$B$78="Refinance",ISNUMBER($B$80),$B$80&gt;=0,$B$80&lt;=1,ROUND($B$81*12,0)&gt;=1,$B$81&lt;=100,SUM($B$82)&gt;=0,SUM($B$82)&lt;=1,SUM($B$83)&gt;=0)),IF(B975=0,0,IF(C975=0,B975/ROUND($B$81*12,0),B975*(C975/12)/(1-(1+C975/12)^(-ROUND($B$81*12,0))))),IF(AND(NOT(AND(575&gt;$B$173,$B$78="Refinance",ISNUMBER($B$80),$B$80&gt;=0,$B$80&lt;=1,ROUND($B$81*12,0)&gt;=1,$B$81&lt;=100,SUM($B$82)&gt;=0,SUM($B$82)&lt;=1,SUM($B$83)&gt;=0)),OR(575=1,575=$B$174+1,AND($B$175&gt;0,575=$B$175+1))),IF(AND($B$170=1,$B$66&gt;0,OR($B$175=0,575&lt;=$B$175)),$B$66,IF($B$172-MAX(575-1,$B$174)&gt;0,IF(B975=0,0,IF(C975=0,B975/($B$172-MAX(575-1,$B$174)),B975*(C975/12)/(1-(1+C975/12)^(-($B$172-MAX(575-1,$B$174)))))),"")),D974))))),IF(IF(AND(575&lt;=$B$174,575&lt;=$B$173),B975*C975/12,IF(AND(575=$B$173+1,AND(575&gt;$B$173,$B$78="Refinance",ISNUMBER($B$80),$B$80&gt;=0,$B$80&lt;=1,ROUND($B$81*12,0)&gt;=1,$B$81&lt;=100,SUM($B$82)&gt;=0,SUM($B$82)&lt;=1,SUM($B$83)&gt;=0)),IF(B975=0,0,IF(C975=0,B975/ROUND($B$81*12,0),B975*(C975/12)/(1-(1+C975/12)^(-ROUND($B$81*12,0))))),IF(AND(NOT(AND(575&gt;$B$173,$B$78="Refinance",ISNUMBER($B$80),$B$80&gt;=0,$B$80&lt;=1,ROUND($B$81*12,0)&gt;=1,$B$81&lt;=100,SUM($B$82)&gt;=0,SUM($B$82)&lt;=1,SUM($B$83)&gt;=0)),OR(575=1,575=$B$174+1,AND($B$175&gt;0,575=$B$175+1))),IF(AND($B$170=1,$B$66&gt;0,OR($B$175=0,575&lt;=$B$175)),$B$66,IF($B$172-MAX(575-1,$B$174)&gt;0,IF(B975=0,0,IF(C975=0,B975/($B$172-MAX(575-1,$B$174)),B975*(C975/12)/(1-(1+C975/12)^(-($B$172-MAX(575-1,$B$174)))))),"")),D974)))+0.0000001&gt;=B975*C975/12,MIN(B975*(1+C975/12),IF(AND(575&lt;=$B$174,575&lt;=$B$173),B975*C975/12,IF(AND(575=$B$173+1,AND(575&gt;$B$173,$B$78="Refinance",ISNUMBER($B$80),$B$80&gt;=0,$B$80&lt;=1,ROUND($B$81*12,0)&gt;=1,$B$81&lt;=100,SUM($B$82)&gt;=0,SUM($B$82)&lt;=1,SUM($B$83)&gt;=0)),IF(B975=0,0,IF(C975=0,B975/ROUND($B$81*12,0),B975*(C975/12)/(1-(1+C975/12)^(-ROUND($B$81*12,0))))),IF(AND(NOT(AND(575&gt;$B$173,$B$78="Refinance",ISNUMBER($B$80),$B$80&gt;=0,$B$80&lt;=1,ROUND($B$81*12,0)&gt;=1,$B$81&lt;=100,SUM($B$82)&gt;=0,SUM($B$82)&lt;=1,SUM($B$83)&gt;=0)),OR(575=1,575=$B$174+1,AND($B$175&gt;0,575=$B$175+1))),IF(AND($B$170=1,$B$66&gt;0,OR($B$175=0,575&lt;=$B$175)),$B$66,IF($B$172-MAX(575-1,$B$174)&gt;0,IF(B975=0,0,IF(C975=0,B975/($B$172-MAX(575-1,$B$174)),B975*(C975/12)/(1-(1+C975/12)^(-($B$172-MAX(575-1,$B$174)))))),"")),D974)))),""),""))</x:f>
        <x:v>0</x:v>
      </x:c>
      <x:c r="E975" s="440" t="n">
        <x:f>IF(AND(575=$B$173,ISNUMBER(D975)),IF(MAX(0,B975*(1+C975/12)-D975)&lt;MAX(0.0000001,$E$17*0.00000000001),0,MAX(0,B975*(1+C975/12)-D975)),0)</x:f>
        <x:v>0</x:v>
      </x:c>
      <x:c r="F975" s="440" t="n">
        <x:f>IF($B$78="Cash payoff",E975,0)</x:f>
        <x:v>0</x:v>
      </x:c>
      <x:c r="G975" s="440" t="n">
        <x:f>IF(AND(E975&gt;0,AND($B$78="Refinance",ISNUMBER($B$80),$B$80&gt;=0,$B$80&lt;=1,ROUND($B$81*12,0)&gt;=1,$B$81&lt;=100,SUM($B$82)&gt;=0,SUM($B$82)&lt;=1,SUM($B$83)&gt;=0)),E975*SUM($B$82)+SUM($B$83),0)</x:f>
        <x:v>0</x:v>
      </x:c>
      <x:c r="H975" s="440" t="n">
        <x:f>IF(ISNUMBER(D975),IF(MAX(0,B975*(1+C975/12)-D975-F975)&lt;MAX(0.0000001,$E$17*0.00000000001),0,MAX(0,B975*(1+C975/12)-D975-F975)),IF(AND($B$171=1,I974=1),B975,""))</x:f>
        <x:v>0</x:v>
      </x:c>
      <x:c r="I975" s="444" t="n">
        <x:f>IF(OR(I974=1,AND(E975&gt;0,$B$78&lt;&gt;"Cash payoff",NOT(AND($B$78="Refinance",ISNUMBER($B$80),$B$80&gt;=0,$B$80&lt;=1,ROUND($B$81*12,0)&gt;=1,$B$81&lt;=100,SUM($B$82)&gt;=0,SUM($B$82)&lt;=1,SUM($B$83)&gt;=0))),AND(ISNUMBER(B975),B975&gt;0,$B$171=1,NOT(ISNUMBER(D975)))),1,0)</x:f>
        <x:v>0</x:v>
      </x:c>
      <x:c r="J975" s="440" t="n">
        <x:f>IF(ISNUMBER(L974),L974,"")</x:f>
        <x:v>0</x:v>
      </x:c>
      <x:c r="K975" s="440" t="n">
        <x:f>IF(AND(ISNUMBER(J975),J975=0),0,IF(AND($B$176=1,ISNUMBER(J975)),MIN(J975*(1+$B$87/12),IF($B$86=0,0,IF($B$87=0,$B$86/ROUND($B$88*12,0),$B$86*($B$87/12)/(1-(1+$B$87/12)^(-ROUND($B$88*12,0)))))),""))</x:f>
        <x:v>0</x:v>
      </x:c>
      <x:c r="L975" s="440" t="n">
        <x:f>IF(ISNUMBER(K975),IF(MAX(0,J975*(1+SUM($B$87)/12)-K975)&lt;MAX(0.0000001,$B$86*0.00000000001),0,MAX(0,J975*(1+SUM($B$87)/12)-K975)),"")</x:f>
        <x:v>0</x:v>
      </x:c>
      <x:c r="M975" s="440" t="n">
        <x:f>IF(AND(ISNUMBER(D975),ISNUMBER(K975)),D975+K975,"")</x:f>
        <x:v>0</x:v>
      </x:c>
      <x:c r="N975" s="440" t="n">
        <x:f>IF(AND(ISNUMBER(H975),ISNUMBER(L975)),H975+L975,"")</x:f>
        <x:v>0</x:v>
      </x:c>
    </x:row>
    <x:row r="976" ht="22" customHeight="1">
      <x:c r="A976" s="254" t="n">
        <x:f>576</x:f>
        <x:v>576</x:v>
      </x:c>
      <x:c r="B976" s="440" t="n">
        <x:f>IF(ISNUMBER(H975),H975,"")</x:f>
        <x:v>0</x:v>
      </x:c>
      <x:c r="C976" s="442" t="n">
        <x:f>IF(ISNUMBER(B976),IF(AND(576&gt;$B$173,$B$78="Refinance",ISNUMBER($B$80),$B$80&gt;=0,$B$80&lt;=1,ROUND($B$81*12,0)&gt;=1,$B$81&lt;=100,SUM($B$82)&gt;=0,SUM($B$82)&lt;=1,SUM($B$83)&gt;=0),$B$80,IF(AND($B$175&gt;0,576&gt;$B$175,ISNUMBER($B$75)),$B$75,$B$61)),"")</x:f>
        <x:v>0.0625</x:v>
      </x:c>
      <x:c r="D976" s="440" t="n">
        <x:f>IF(AND(ISNUMBER(B976),B976=0),0,IF(AND($B$171=1,I975=0,ISNUMBER(C976),ISNUMBER(IF(AND(576&lt;=$B$174,576&lt;=$B$173),B976*C976/12,IF(AND(576=$B$173+1,AND(576&gt;$B$173,$B$78="Refinance",ISNUMBER($B$80),$B$80&gt;=0,$B$80&lt;=1,ROUND($B$81*12,0)&gt;=1,$B$81&lt;=100,SUM($B$82)&gt;=0,SUM($B$82)&lt;=1,SUM($B$83)&gt;=0)),IF(B976=0,0,IF(C976=0,B976/ROUND($B$81*12,0),B976*(C976/12)/(1-(1+C976/12)^(-ROUND($B$81*12,0))))),IF(AND(NOT(AND(576&gt;$B$173,$B$78="Refinance",ISNUMBER($B$80),$B$80&gt;=0,$B$80&lt;=1,ROUND($B$81*12,0)&gt;=1,$B$81&lt;=100,SUM($B$82)&gt;=0,SUM($B$82)&lt;=1,SUM($B$83)&gt;=0)),OR(576=1,576=$B$174+1,AND($B$175&gt;0,576=$B$175+1))),IF(AND($B$170=1,$B$66&gt;0,OR($B$175=0,576&lt;=$B$175)),$B$66,IF($B$172-MAX(576-1,$B$174)&gt;0,IF(B976=0,0,IF(C976=0,B976/($B$172-MAX(576-1,$B$174)),B976*(C976/12)/(1-(1+C976/12)^(-($B$172-MAX(576-1,$B$174)))))),"")),D975))))),IF(IF(AND(576&lt;=$B$174,576&lt;=$B$173),B976*C976/12,IF(AND(576=$B$173+1,AND(576&gt;$B$173,$B$78="Refinance",ISNUMBER($B$80),$B$80&gt;=0,$B$80&lt;=1,ROUND($B$81*12,0)&gt;=1,$B$81&lt;=100,SUM($B$82)&gt;=0,SUM($B$82)&lt;=1,SUM($B$83)&gt;=0)),IF(B976=0,0,IF(C976=0,B976/ROUND($B$81*12,0),B976*(C976/12)/(1-(1+C976/12)^(-ROUND($B$81*12,0))))),IF(AND(NOT(AND(576&gt;$B$173,$B$78="Refinance",ISNUMBER($B$80),$B$80&gt;=0,$B$80&lt;=1,ROUND($B$81*12,0)&gt;=1,$B$81&lt;=100,SUM($B$82)&gt;=0,SUM($B$82)&lt;=1,SUM($B$83)&gt;=0)),OR(576=1,576=$B$174+1,AND($B$175&gt;0,576=$B$175+1))),IF(AND($B$170=1,$B$66&gt;0,OR($B$175=0,576&lt;=$B$175)),$B$66,IF($B$172-MAX(576-1,$B$174)&gt;0,IF(B976=0,0,IF(C976=0,B976/($B$172-MAX(576-1,$B$174)),B976*(C976/12)/(1-(1+C976/12)^(-($B$172-MAX(576-1,$B$174)))))),"")),D975)))+0.0000001&gt;=B976*C976/12,MIN(B976*(1+C976/12),IF(AND(576&lt;=$B$174,576&lt;=$B$173),B976*C976/12,IF(AND(576=$B$173+1,AND(576&gt;$B$173,$B$78="Refinance",ISNUMBER($B$80),$B$80&gt;=0,$B$80&lt;=1,ROUND($B$81*12,0)&gt;=1,$B$81&lt;=100,SUM($B$82)&gt;=0,SUM($B$82)&lt;=1,SUM($B$83)&gt;=0)),IF(B976=0,0,IF(C976=0,B976/ROUND($B$81*12,0),B976*(C976/12)/(1-(1+C976/12)^(-ROUND($B$81*12,0))))),IF(AND(NOT(AND(576&gt;$B$173,$B$78="Refinance",ISNUMBER($B$80),$B$80&gt;=0,$B$80&lt;=1,ROUND($B$81*12,0)&gt;=1,$B$81&lt;=100,SUM($B$82)&gt;=0,SUM($B$82)&lt;=1,SUM($B$83)&gt;=0)),OR(576=1,576=$B$174+1,AND($B$175&gt;0,576=$B$175+1))),IF(AND($B$170=1,$B$66&gt;0,OR($B$175=0,576&lt;=$B$175)),$B$66,IF($B$172-MAX(576-1,$B$174)&gt;0,IF(B976=0,0,IF(C976=0,B976/($B$172-MAX(576-1,$B$174)),B976*(C976/12)/(1-(1+C976/12)^(-($B$172-MAX(576-1,$B$174)))))),"")),D975)))),""),""))</x:f>
        <x:v>0</x:v>
      </x:c>
      <x:c r="E976" s="440" t="n">
        <x:f>IF(AND(576=$B$173,ISNUMBER(D976)),IF(MAX(0,B976*(1+C976/12)-D976)&lt;MAX(0.0000001,$E$17*0.00000000001),0,MAX(0,B976*(1+C976/12)-D976)),0)</x:f>
        <x:v>0</x:v>
      </x:c>
      <x:c r="F976" s="440" t="n">
        <x:f>IF($B$78="Cash payoff",E976,0)</x:f>
        <x:v>0</x:v>
      </x:c>
      <x:c r="G976" s="440" t="n">
        <x:f>IF(AND(E976&gt;0,AND($B$78="Refinance",ISNUMBER($B$80),$B$80&gt;=0,$B$80&lt;=1,ROUND($B$81*12,0)&gt;=1,$B$81&lt;=100,SUM($B$82)&gt;=0,SUM($B$82)&lt;=1,SUM($B$83)&gt;=0)),E976*SUM($B$82)+SUM($B$83),0)</x:f>
        <x:v>0</x:v>
      </x:c>
      <x:c r="H976" s="440" t="n">
        <x:f>IF(ISNUMBER(D976),IF(MAX(0,B976*(1+C976/12)-D976-F976)&lt;MAX(0.0000001,$E$17*0.00000000001),0,MAX(0,B976*(1+C976/12)-D976-F976)),IF(AND($B$171=1,I975=1),B976,""))</x:f>
        <x:v>0</x:v>
      </x:c>
      <x:c r="I976" s="444" t="n">
        <x:f>IF(OR(I975=1,AND(E976&gt;0,$B$78&lt;&gt;"Cash payoff",NOT(AND($B$78="Refinance",ISNUMBER($B$80),$B$80&gt;=0,$B$80&lt;=1,ROUND($B$81*12,0)&gt;=1,$B$81&lt;=100,SUM($B$82)&gt;=0,SUM($B$82)&lt;=1,SUM($B$83)&gt;=0))),AND(ISNUMBER(B976),B976&gt;0,$B$171=1,NOT(ISNUMBER(D976)))),1,0)</x:f>
        <x:v>0</x:v>
      </x:c>
      <x:c r="J976" s="440" t="n">
        <x:f>IF(ISNUMBER(L975),L975,"")</x:f>
        <x:v>0</x:v>
      </x:c>
      <x:c r="K976" s="440" t="n">
        <x:f>IF(AND(ISNUMBER(J976),J976=0),0,IF(AND($B$176=1,ISNUMBER(J976)),MIN(J976*(1+$B$87/12),IF($B$86=0,0,IF($B$87=0,$B$86/ROUND($B$88*12,0),$B$86*($B$87/12)/(1-(1+$B$87/12)^(-ROUND($B$88*12,0)))))),""))</x:f>
        <x:v>0</x:v>
      </x:c>
      <x:c r="L976" s="440" t="n">
        <x:f>IF(ISNUMBER(K976),IF(MAX(0,J976*(1+SUM($B$87)/12)-K976)&lt;MAX(0.0000001,$B$86*0.00000000001),0,MAX(0,J976*(1+SUM($B$87)/12)-K976)),"")</x:f>
        <x:v>0</x:v>
      </x:c>
      <x:c r="M976" s="440" t="n">
        <x:f>IF(AND(ISNUMBER(D976),ISNUMBER(K976)),D976+K976,"")</x:f>
        <x:v>0</x:v>
      </x:c>
      <x:c r="N976" s="440" t="n">
        <x:f>IF(AND(ISNUMBER(H976),ISNUMBER(L976)),H976+L976,"")</x:f>
        <x:v>0</x:v>
      </x:c>
    </x:row>
    <x:row r="977" ht="22" customHeight="1">
      <x:c r="A977" s="254" t="n">
        <x:f>577</x:f>
        <x:v>577</x:v>
      </x:c>
      <x:c r="B977" s="440" t="n">
        <x:f>IF(ISNUMBER(H976),H976,"")</x:f>
        <x:v>0</x:v>
      </x:c>
      <x:c r="C977" s="442" t="n">
        <x:f>IF(ISNUMBER(B977),IF(AND(577&gt;$B$173,$B$78="Refinance",ISNUMBER($B$80),$B$80&gt;=0,$B$80&lt;=1,ROUND($B$81*12,0)&gt;=1,$B$81&lt;=100,SUM($B$82)&gt;=0,SUM($B$82)&lt;=1,SUM($B$83)&gt;=0),$B$80,IF(AND($B$175&gt;0,577&gt;$B$175,ISNUMBER($B$75)),$B$75,$B$61)),"")</x:f>
        <x:v>0.0625</x:v>
      </x:c>
      <x:c r="D977" s="440" t="n">
        <x:f>IF(AND(ISNUMBER(B977),B977=0),0,IF(AND($B$171=1,I976=0,ISNUMBER(C977),ISNUMBER(IF(AND(577&lt;=$B$174,577&lt;=$B$173),B977*C977/12,IF(AND(577=$B$173+1,AND(577&gt;$B$173,$B$78="Refinance",ISNUMBER($B$80),$B$80&gt;=0,$B$80&lt;=1,ROUND($B$81*12,0)&gt;=1,$B$81&lt;=100,SUM($B$82)&gt;=0,SUM($B$82)&lt;=1,SUM($B$83)&gt;=0)),IF(B977=0,0,IF(C977=0,B977/ROUND($B$81*12,0),B977*(C977/12)/(1-(1+C977/12)^(-ROUND($B$81*12,0))))),IF(AND(NOT(AND(577&gt;$B$173,$B$78="Refinance",ISNUMBER($B$80),$B$80&gt;=0,$B$80&lt;=1,ROUND($B$81*12,0)&gt;=1,$B$81&lt;=100,SUM($B$82)&gt;=0,SUM($B$82)&lt;=1,SUM($B$83)&gt;=0)),OR(577=1,577=$B$174+1,AND($B$175&gt;0,577=$B$175+1))),IF(AND($B$170=1,$B$66&gt;0,OR($B$175=0,577&lt;=$B$175)),$B$66,IF($B$172-MAX(577-1,$B$174)&gt;0,IF(B977=0,0,IF(C977=0,B977/($B$172-MAX(577-1,$B$174)),B977*(C977/12)/(1-(1+C977/12)^(-($B$172-MAX(577-1,$B$174)))))),"")),D976))))),IF(IF(AND(577&lt;=$B$174,577&lt;=$B$173),B977*C977/12,IF(AND(577=$B$173+1,AND(577&gt;$B$173,$B$78="Refinance",ISNUMBER($B$80),$B$80&gt;=0,$B$80&lt;=1,ROUND($B$81*12,0)&gt;=1,$B$81&lt;=100,SUM($B$82)&gt;=0,SUM($B$82)&lt;=1,SUM($B$83)&gt;=0)),IF(B977=0,0,IF(C977=0,B977/ROUND($B$81*12,0),B977*(C977/12)/(1-(1+C977/12)^(-ROUND($B$81*12,0))))),IF(AND(NOT(AND(577&gt;$B$173,$B$78="Refinance",ISNUMBER($B$80),$B$80&gt;=0,$B$80&lt;=1,ROUND($B$81*12,0)&gt;=1,$B$81&lt;=100,SUM($B$82)&gt;=0,SUM($B$82)&lt;=1,SUM($B$83)&gt;=0)),OR(577=1,577=$B$174+1,AND($B$175&gt;0,577=$B$175+1))),IF(AND($B$170=1,$B$66&gt;0,OR($B$175=0,577&lt;=$B$175)),$B$66,IF($B$172-MAX(577-1,$B$174)&gt;0,IF(B977=0,0,IF(C977=0,B977/($B$172-MAX(577-1,$B$174)),B977*(C977/12)/(1-(1+C977/12)^(-($B$172-MAX(577-1,$B$174)))))),"")),D976)))+0.0000001&gt;=B977*C977/12,MIN(B977*(1+C977/12),IF(AND(577&lt;=$B$174,577&lt;=$B$173),B977*C977/12,IF(AND(577=$B$173+1,AND(577&gt;$B$173,$B$78="Refinance",ISNUMBER($B$80),$B$80&gt;=0,$B$80&lt;=1,ROUND($B$81*12,0)&gt;=1,$B$81&lt;=100,SUM($B$82)&gt;=0,SUM($B$82)&lt;=1,SUM($B$83)&gt;=0)),IF(B977=0,0,IF(C977=0,B977/ROUND($B$81*12,0),B977*(C977/12)/(1-(1+C977/12)^(-ROUND($B$81*12,0))))),IF(AND(NOT(AND(577&gt;$B$173,$B$78="Refinance",ISNUMBER($B$80),$B$80&gt;=0,$B$80&lt;=1,ROUND($B$81*12,0)&gt;=1,$B$81&lt;=100,SUM($B$82)&gt;=0,SUM($B$82)&lt;=1,SUM($B$83)&gt;=0)),OR(577=1,577=$B$174+1,AND($B$175&gt;0,577=$B$175+1))),IF(AND($B$170=1,$B$66&gt;0,OR($B$175=0,577&lt;=$B$175)),$B$66,IF($B$172-MAX(577-1,$B$174)&gt;0,IF(B977=0,0,IF(C977=0,B977/($B$172-MAX(577-1,$B$174)),B977*(C977/12)/(1-(1+C977/12)^(-($B$172-MAX(577-1,$B$174)))))),"")),D976)))),""),""))</x:f>
        <x:v>0</x:v>
      </x:c>
      <x:c r="E977" s="440" t="n">
        <x:f>IF(AND(577=$B$173,ISNUMBER(D977)),IF(MAX(0,B977*(1+C977/12)-D977)&lt;MAX(0.0000001,$E$17*0.00000000001),0,MAX(0,B977*(1+C977/12)-D977)),0)</x:f>
        <x:v>0</x:v>
      </x:c>
      <x:c r="F977" s="440" t="n">
        <x:f>IF($B$78="Cash payoff",E977,0)</x:f>
        <x:v>0</x:v>
      </x:c>
      <x:c r="G977" s="440" t="n">
        <x:f>IF(AND(E977&gt;0,AND($B$78="Refinance",ISNUMBER($B$80),$B$80&gt;=0,$B$80&lt;=1,ROUND($B$81*12,0)&gt;=1,$B$81&lt;=100,SUM($B$82)&gt;=0,SUM($B$82)&lt;=1,SUM($B$83)&gt;=0)),E977*SUM($B$82)+SUM($B$83),0)</x:f>
        <x:v>0</x:v>
      </x:c>
      <x:c r="H977" s="440" t="n">
        <x:f>IF(ISNUMBER(D977),IF(MAX(0,B977*(1+C977/12)-D977-F977)&lt;MAX(0.0000001,$E$17*0.00000000001),0,MAX(0,B977*(1+C977/12)-D977-F977)),IF(AND($B$171=1,I976=1),B977,""))</x:f>
        <x:v>0</x:v>
      </x:c>
      <x:c r="I977" s="444" t="n">
        <x:f>IF(OR(I976=1,AND(E977&gt;0,$B$78&lt;&gt;"Cash payoff",NOT(AND($B$78="Refinance",ISNUMBER($B$80),$B$80&gt;=0,$B$80&lt;=1,ROUND($B$81*12,0)&gt;=1,$B$81&lt;=100,SUM($B$82)&gt;=0,SUM($B$82)&lt;=1,SUM($B$83)&gt;=0))),AND(ISNUMBER(B977),B977&gt;0,$B$171=1,NOT(ISNUMBER(D977)))),1,0)</x:f>
        <x:v>0</x:v>
      </x:c>
      <x:c r="J977" s="440" t="n">
        <x:f>IF(ISNUMBER(L976),L976,"")</x:f>
        <x:v>0</x:v>
      </x:c>
      <x:c r="K977" s="440" t="n">
        <x:f>IF(AND(ISNUMBER(J977),J977=0),0,IF(AND($B$176=1,ISNUMBER(J977)),MIN(J977*(1+$B$87/12),IF($B$86=0,0,IF($B$87=0,$B$86/ROUND($B$88*12,0),$B$86*($B$87/12)/(1-(1+$B$87/12)^(-ROUND($B$88*12,0)))))),""))</x:f>
        <x:v>0</x:v>
      </x:c>
      <x:c r="L977" s="440" t="n">
        <x:f>IF(ISNUMBER(K977),IF(MAX(0,J977*(1+SUM($B$87)/12)-K977)&lt;MAX(0.0000001,$B$86*0.00000000001),0,MAX(0,J977*(1+SUM($B$87)/12)-K977)),"")</x:f>
        <x:v>0</x:v>
      </x:c>
      <x:c r="M977" s="440" t="n">
        <x:f>IF(AND(ISNUMBER(D977),ISNUMBER(K977)),D977+K977,"")</x:f>
        <x:v>0</x:v>
      </x:c>
      <x:c r="N977" s="440" t="n">
        <x:f>IF(AND(ISNUMBER(H977),ISNUMBER(L977)),H977+L977,"")</x:f>
        <x:v>0</x:v>
      </x:c>
    </x:row>
    <x:row r="978" ht="22" customHeight="1">
      <x:c r="A978" s="254" t="n">
        <x:f>578</x:f>
        <x:v>578</x:v>
      </x:c>
      <x:c r="B978" s="440" t="n">
        <x:f>IF(ISNUMBER(H977),H977,"")</x:f>
        <x:v>0</x:v>
      </x:c>
      <x:c r="C978" s="442" t="n">
        <x:f>IF(ISNUMBER(B978),IF(AND(578&gt;$B$173,$B$78="Refinance",ISNUMBER($B$80),$B$80&gt;=0,$B$80&lt;=1,ROUND($B$81*12,0)&gt;=1,$B$81&lt;=100,SUM($B$82)&gt;=0,SUM($B$82)&lt;=1,SUM($B$83)&gt;=0),$B$80,IF(AND($B$175&gt;0,578&gt;$B$175,ISNUMBER($B$75)),$B$75,$B$61)),"")</x:f>
        <x:v>0.0625</x:v>
      </x:c>
      <x:c r="D978" s="440" t="n">
        <x:f>IF(AND(ISNUMBER(B978),B978=0),0,IF(AND($B$171=1,I977=0,ISNUMBER(C978),ISNUMBER(IF(AND(578&lt;=$B$174,578&lt;=$B$173),B978*C978/12,IF(AND(578=$B$173+1,AND(578&gt;$B$173,$B$78="Refinance",ISNUMBER($B$80),$B$80&gt;=0,$B$80&lt;=1,ROUND($B$81*12,0)&gt;=1,$B$81&lt;=100,SUM($B$82)&gt;=0,SUM($B$82)&lt;=1,SUM($B$83)&gt;=0)),IF(B978=0,0,IF(C978=0,B978/ROUND($B$81*12,0),B978*(C978/12)/(1-(1+C978/12)^(-ROUND($B$81*12,0))))),IF(AND(NOT(AND(578&gt;$B$173,$B$78="Refinance",ISNUMBER($B$80),$B$80&gt;=0,$B$80&lt;=1,ROUND($B$81*12,0)&gt;=1,$B$81&lt;=100,SUM($B$82)&gt;=0,SUM($B$82)&lt;=1,SUM($B$83)&gt;=0)),OR(578=1,578=$B$174+1,AND($B$175&gt;0,578=$B$175+1))),IF(AND($B$170=1,$B$66&gt;0,OR($B$175=0,578&lt;=$B$175)),$B$66,IF($B$172-MAX(578-1,$B$174)&gt;0,IF(B978=0,0,IF(C978=0,B978/($B$172-MAX(578-1,$B$174)),B978*(C978/12)/(1-(1+C978/12)^(-($B$172-MAX(578-1,$B$174)))))),"")),D977))))),IF(IF(AND(578&lt;=$B$174,578&lt;=$B$173),B978*C978/12,IF(AND(578=$B$173+1,AND(578&gt;$B$173,$B$78="Refinance",ISNUMBER($B$80),$B$80&gt;=0,$B$80&lt;=1,ROUND($B$81*12,0)&gt;=1,$B$81&lt;=100,SUM($B$82)&gt;=0,SUM($B$82)&lt;=1,SUM($B$83)&gt;=0)),IF(B978=0,0,IF(C978=0,B978/ROUND($B$81*12,0),B978*(C978/12)/(1-(1+C978/12)^(-ROUND($B$81*12,0))))),IF(AND(NOT(AND(578&gt;$B$173,$B$78="Refinance",ISNUMBER($B$80),$B$80&gt;=0,$B$80&lt;=1,ROUND($B$81*12,0)&gt;=1,$B$81&lt;=100,SUM($B$82)&gt;=0,SUM($B$82)&lt;=1,SUM($B$83)&gt;=0)),OR(578=1,578=$B$174+1,AND($B$175&gt;0,578=$B$175+1))),IF(AND($B$170=1,$B$66&gt;0,OR($B$175=0,578&lt;=$B$175)),$B$66,IF($B$172-MAX(578-1,$B$174)&gt;0,IF(B978=0,0,IF(C978=0,B978/($B$172-MAX(578-1,$B$174)),B978*(C978/12)/(1-(1+C978/12)^(-($B$172-MAX(578-1,$B$174)))))),"")),D977)))+0.0000001&gt;=B978*C978/12,MIN(B978*(1+C978/12),IF(AND(578&lt;=$B$174,578&lt;=$B$173),B978*C978/12,IF(AND(578=$B$173+1,AND(578&gt;$B$173,$B$78="Refinance",ISNUMBER($B$80),$B$80&gt;=0,$B$80&lt;=1,ROUND($B$81*12,0)&gt;=1,$B$81&lt;=100,SUM($B$82)&gt;=0,SUM($B$82)&lt;=1,SUM($B$83)&gt;=0)),IF(B978=0,0,IF(C978=0,B978/ROUND($B$81*12,0),B978*(C978/12)/(1-(1+C978/12)^(-ROUND($B$81*12,0))))),IF(AND(NOT(AND(578&gt;$B$173,$B$78="Refinance",ISNUMBER($B$80),$B$80&gt;=0,$B$80&lt;=1,ROUND($B$81*12,0)&gt;=1,$B$81&lt;=100,SUM($B$82)&gt;=0,SUM($B$82)&lt;=1,SUM($B$83)&gt;=0)),OR(578=1,578=$B$174+1,AND($B$175&gt;0,578=$B$175+1))),IF(AND($B$170=1,$B$66&gt;0,OR($B$175=0,578&lt;=$B$175)),$B$66,IF($B$172-MAX(578-1,$B$174)&gt;0,IF(B978=0,0,IF(C978=0,B978/($B$172-MAX(578-1,$B$174)),B978*(C978/12)/(1-(1+C978/12)^(-($B$172-MAX(578-1,$B$174)))))),"")),D977)))),""),""))</x:f>
        <x:v>0</x:v>
      </x:c>
      <x:c r="E978" s="440" t="n">
        <x:f>IF(AND(578=$B$173,ISNUMBER(D978)),IF(MAX(0,B978*(1+C978/12)-D978)&lt;MAX(0.0000001,$E$17*0.00000000001),0,MAX(0,B978*(1+C978/12)-D978)),0)</x:f>
        <x:v>0</x:v>
      </x:c>
      <x:c r="F978" s="440" t="n">
        <x:f>IF($B$78="Cash payoff",E978,0)</x:f>
        <x:v>0</x:v>
      </x:c>
      <x:c r="G978" s="440" t="n">
        <x:f>IF(AND(E978&gt;0,AND($B$78="Refinance",ISNUMBER($B$80),$B$80&gt;=0,$B$80&lt;=1,ROUND($B$81*12,0)&gt;=1,$B$81&lt;=100,SUM($B$82)&gt;=0,SUM($B$82)&lt;=1,SUM($B$83)&gt;=0)),E978*SUM($B$82)+SUM($B$83),0)</x:f>
        <x:v>0</x:v>
      </x:c>
      <x:c r="H978" s="440" t="n">
        <x:f>IF(ISNUMBER(D978),IF(MAX(0,B978*(1+C978/12)-D978-F978)&lt;MAX(0.0000001,$E$17*0.00000000001),0,MAX(0,B978*(1+C978/12)-D978-F978)),IF(AND($B$171=1,I977=1),B978,""))</x:f>
        <x:v>0</x:v>
      </x:c>
      <x:c r="I978" s="444" t="n">
        <x:f>IF(OR(I977=1,AND(E978&gt;0,$B$78&lt;&gt;"Cash payoff",NOT(AND($B$78="Refinance",ISNUMBER($B$80),$B$80&gt;=0,$B$80&lt;=1,ROUND($B$81*12,0)&gt;=1,$B$81&lt;=100,SUM($B$82)&gt;=0,SUM($B$82)&lt;=1,SUM($B$83)&gt;=0))),AND(ISNUMBER(B978),B978&gt;0,$B$171=1,NOT(ISNUMBER(D978)))),1,0)</x:f>
        <x:v>0</x:v>
      </x:c>
      <x:c r="J978" s="440" t="n">
        <x:f>IF(ISNUMBER(L977),L977,"")</x:f>
        <x:v>0</x:v>
      </x:c>
      <x:c r="K978" s="440" t="n">
        <x:f>IF(AND(ISNUMBER(J978),J978=0),0,IF(AND($B$176=1,ISNUMBER(J978)),MIN(J978*(1+$B$87/12),IF($B$86=0,0,IF($B$87=0,$B$86/ROUND($B$88*12,0),$B$86*($B$87/12)/(1-(1+$B$87/12)^(-ROUND($B$88*12,0)))))),""))</x:f>
        <x:v>0</x:v>
      </x:c>
      <x:c r="L978" s="440" t="n">
        <x:f>IF(ISNUMBER(K978),IF(MAX(0,J978*(1+SUM($B$87)/12)-K978)&lt;MAX(0.0000001,$B$86*0.00000000001),0,MAX(0,J978*(1+SUM($B$87)/12)-K978)),"")</x:f>
        <x:v>0</x:v>
      </x:c>
      <x:c r="M978" s="440" t="n">
        <x:f>IF(AND(ISNUMBER(D978),ISNUMBER(K978)),D978+K978,"")</x:f>
        <x:v>0</x:v>
      </x:c>
      <x:c r="N978" s="440" t="n">
        <x:f>IF(AND(ISNUMBER(H978),ISNUMBER(L978)),H978+L978,"")</x:f>
        <x:v>0</x:v>
      </x:c>
    </x:row>
    <x:row r="979" ht="22" customHeight="1">
      <x:c r="A979" s="254" t="n">
        <x:f>579</x:f>
        <x:v>579</x:v>
      </x:c>
      <x:c r="B979" s="440" t="n">
        <x:f>IF(ISNUMBER(H978),H978,"")</x:f>
        <x:v>0</x:v>
      </x:c>
      <x:c r="C979" s="442" t="n">
        <x:f>IF(ISNUMBER(B979),IF(AND(579&gt;$B$173,$B$78="Refinance",ISNUMBER($B$80),$B$80&gt;=0,$B$80&lt;=1,ROUND($B$81*12,0)&gt;=1,$B$81&lt;=100,SUM($B$82)&gt;=0,SUM($B$82)&lt;=1,SUM($B$83)&gt;=0),$B$80,IF(AND($B$175&gt;0,579&gt;$B$175,ISNUMBER($B$75)),$B$75,$B$61)),"")</x:f>
        <x:v>0.0625</x:v>
      </x:c>
      <x:c r="D979" s="440" t="n">
        <x:f>IF(AND(ISNUMBER(B979),B979=0),0,IF(AND($B$171=1,I978=0,ISNUMBER(C979),ISNUMBER(IF(AND(579&lt;=$B$174,579&lt;=$B$173),B979*C979/12,IF(AND(579=$B$173+1,AND(579&gt;$B$173,$B$78="Refinance",ISNUMBER($B$80),$B$80&gt;=0,$B$80&lt;=1,ROUND($B$81*12,0)&gt;=1,$B$81&lt;=100,SUM($B$82)&gt;=0,SUM($B$82)&lt;=1,SUM($B$83)&gt;=0)),IF(B979=0,0,IF(C979=0,B979/ROUND($B$81*12,0),B979*(C979/12)/(1-(1+C979/12)^(-ROUND($B$81*12,0))))),IF(AND(NOT(AND(579&gt;$B$173,$B$78="Refinance",ISNUMBER($B$80),$B$80&gt;=0,$B$80&lt;=1,ROUND($B$81*12,0)&gt;=1,$B$81&lt;=100,SUM($B$82)&gt;=0,SUM($B$82)&lt;=1,SUM($B$83)&gt;=0)),OR(579=1,579=$B$174+1,AND($B$175&gt;0,579=$B$175+1))),IF(AND($B$170=1,$B$66&gt;0,OR($B$175=0,579&lt;=$B$175)),$B$66,IF($B$172-MAX(579-1,$B$174)&gt;0,IF(B979=0,0,IF(C979=0,B979/($B$172-MAX(579-1,$B$174)),B979*(C979/12)/(1-(1+C979/12)^(-($B$172-MAX(579-1,$B$174)))))),"")),D978))))),IF(IF(AND(579&lt;=$B$174,579&lt;=$B$173),B979*C979/12,IF(AND(579=$B$173+1,AND(579&gt;$B$173,$B$78="Refinance",ISNUMBER($B$80),$B$80&gt;=0,$B$80&lt;=1,ROUND($B$81*12,0)&gt;=1,$B$81&lt;=100,SUM($B$82)&gt;=0,SUM($B$82)&lt;=1,SUM($B$83)&gt;=0)),IF(B979=0,0,IF(C979=0,B979/ROUND($B$81*12,0),B979*(C979/12)/(1-(1+C979/12)^(-ROUND($B$81*12,0))))),IF(AND(NOT(AND(579&gt;$B$173,$B$78="Refinance",ISNUMBER($B$80),$B$80&gt;=0,$B$80&lt;=1,ROUND($B$81*12,0)&gt;=1,$B$81&lt;=100,SUM($B$82)&gt;=0,SUM($B$82)&lt;=1,SUM($B$83)&gt;=0)),OR(579=1,579=$B$174+1,AND($B$175&gt;0,579=$B$175+1))),IF(AND($B$170=1,$B$66&gt;0,OR($B$175=0,579&lt;=$B$175)),$B$66,IF($B$172-MAX(579-1,$B$174)&gt;0,IF(B979=0,0,IF(C979=0,B979/($B$172-MAX(579-1,$B$174)),B979*(C979/12)/(1-(1+C979/12)^(-($B$172-MAX(579-1,$B$174)))))),"")),D978)))+0.0000001&gt;=B979*C979/12,MIN(B979*(1+C979/12),IF(AND(579&lt;=$B$174,579&lt;=$B$173),B979*C979/12,IF(AND(579=$B$173+1,AND(579&gt;$B$173,$B$78="Refinance",ISNUMBER($B$80),$B$80&gt;=0,$B$80&lt;=1,ROUND($B$81*12,0)&gt;=1,$B$81&lt;=100,SUM($B$82)&gt;=0,SUM($B$82)&lt;=1,SUM($B$83)&gt;=0)),IF(B979=0,0,IF(C979=0,B979/ROUND($B$81*12,0),B979*(C979/12)/(1-(1+C979/12)^(-ROUND($B$81*12,0))))),IF(AND(NOT(AND(579&gt;$B$173,$B$78="Refinance",ISNUMBER($B$80),$B$80&gt;=0,$B$80&lt;=1,ROUND($B$81*12,0)&gt;=1,$B$81&lt;=100,SUM($B$82)&gt;=0,SUM($B$82)&lt;=1,SUM($B$83)&gt;=0)),OR(579=1,579=$B$174+1,AND($B$175&gt;0,579=$B$175+1))),IF(AND($B$170=1,$B$66&gt;0,OR($B$175=0,579&lt;=$B$175)),$B$66,IF($B$172-MAX(579-1,$B$174)&gt;0,IF(B979=0,0,IF(C979=0,B979/($B$172-MAX(579-1,$B$174)),B979*(C979/12)/(1-(1+C979/12)^(-($B$172-MAX(579-1,$B$174)))))),"")),D978)))),""),""))</x:f>
        <x:v>0</x:v>
      </x:c>
      <x:c r="E979" s="440" t="n">
        <x:f>IF(AND(579=$B$173,ISNUMBER(D979)),IF(MAX(0,B979*(1+C979/12)-D979)&lt;MAX(0.0000001,$E$17*0.00000000001),0,MAX(0,B979*(1+C979/12)-D979)),0)</x:f>
        <x:v>0</x:v>
      </x:c>
      <x:c r="F979" s="440" t="n">
        <x:f>IF($B$78="Cash payoff",E979,0)</x:f>
        <x:v>0</x:v>
      </x:c>
      <x:c r="G979" s="440" t="n">
        <x:f>IF(AND(E979&gt;0,AND($B$78="Refinance",ISNUMBER($B$80),$B$80&gt;=0,$B$80&lt;=1,ROUND($B$81*12,0)&gt;=1,$B$81&lt;=100,SUM($B$82)&gt;=0,SUM($B$82)&lt;=1,SUM($B$83)&gt;=0)),E979*SUM($B$82)+SUM($B$83),0)</x:f>
        <x:v>0</x:v>
      </x:c>
      <x:c r="H979" s="440" t="n">
        <x:f>IF(ISNUMBER(D979),IF(MAX(0,B979*(1+C979/12)-D979-F979)&lt;MAX(0.0000001,$E$17*0.00000000001),0,MAX(0,B979*(1+C979/12)-D979-F979)),IF(AND($B$171=1,I978=1),B979,""))</x:f>
        <x:v>0</x:v>
      </x:c>
      <x:c r="I979" s="444" t="n">
        <x:f>IF(OR(I978=1,AND(E979&gt;0,$B$78&lt;&gt;"Cash payoff",NOT(AND($B$78="Refinance",ISNUMBER($B$80),$B$80&gt;=0,$B$80&lt;=1,ROUND($B$81*12,0)&gt;=1,$B$81&lt;=100,SUM($B$82)&gt;=0,SUM($B$82)&lt;=1,SUM($B$83)&gt;=0))),AND(ISNUMBER(B979),B979&gt;0,$B$171=1,NOT(ISNUMBER(D979)))),1,0)</x:f>
        <x:v>0</x:v>
      </x:c>
      <x:c r="J979" s="440" t="n">
        <x:f>IF(ISNUMBER(L978),L978,"")</x:f>
        <x:v>0</x:v>
      </x:c>
      <x:c r="K979" s="440" t="n">
        <x:f>IF(AND(ISNUMBER(J979),J979=0),0,IF(AND($B$176=1,ISNUMBER(J979)),MIN(J979*(1+$B$87/12),IF($B$86=0,0,IF($B$87=0,$B$86/ROUND($B$88*12,0),$B$86*($B$87/12)/(1-(1+$B$87/12)^(-ROUND($B$88*12,0)))))),""))</x:f>
        <x:v>0</x:v>
      </x:c>
      <x:c r="L979" s="440" t="n">
        <x:f>IF(ISNUMBER(K979),IF(MAX(0,J979*(1+SUM($B$87)/12)-K979)&lt;MAX(0.0000001,$B$86*0.00000000001),0,MAX(0,J979*(1+SUM($B$87)/12)-K979)),"")</x:f>
        <x:v>0</x:v>
      </x:c>
      <x:c r="M979" s="440" t="n">
        <x:f>IF(AND(ISNUMBER(D979),ISNUMBER(K979)),D979+K979,"")</x:f>
        <x:v>0</x:v>
      </x:c>
      <x:c r="N979" s="440" t="n">
        <x:f>IF(AND(ISNUMBER(H979),ISNUMBER(L979)),H979+L979,"")</x:f>
        <x:v>0</x:v>
      </x:c>
    </x:row>
    <x:row r="980" ht="22" customHeight="1">
      <x:c r="A980" s="254" t="n">
        <x:f>580</x:f>
        <x:v>580</x:v>
      </x:c>
      <x:c r="B980" s="440" t="n">
        <x:f>IF(ISNUMBER(H979),H979,"")</x:f>
        <x:v>0</x:v>
      </x:c>
      <x:c r="C980" s="442" t="n">
        <x:f>IF(ISNUMBER(B980),IF(AND(580&gt;$B$173,$B$78="Refinance",ISNUMBER($B$80),$B$80&gt;=0,$B$80&lt;=1,ROUND($B$81*12,0)&gt;=1,$B$81&lt;=100,SUM($B$82)&gt;=0,SUM($B$82)&lt;=1,SUM($B$83)&gt;=0),$B$80,IF(AND($B$175&gt;0,580&gt;$B$175,ISNUMBER($B$75)),$B$75,$B$61)),"")</x:f>
        <x:v>0.0625</x:v>
      </x:c>
      <x:c r="D980" s="440" t="n">
        <x:f>IF(AND(ISNUMBER(B980),B980=0),0,IF(AND($B$171=1,I979=0,ISNUMBER(C980),ISNUMBER(IF(AND(580&lt;=$B$174,580&lt;=$B$173),B980*C980/12,IF(AND(580=$B$173+1,AND(580&gt;$B$173,$B$78="Refinance",ISNUMBER($B$80),$B$80&gt;=0,$B$80&lt;=1,ROUND($B$81*12,0)&gt;=1,$B$81&lt;=100,SUM($B$82)&gt;=0,SUM($B$82)&lt;=1,SUM($B$83)&gt;=0)),IF(B980=0,0,IF(C980=0,B980/ROUND($B$81*12,0),B980*(C980/12)/(1-(1+C980/12)^(-ROUND($B$81*12,0))))),IF(AND(NOT(AND(580&gt;$B$173,$B$78="Refinance",ISNUMBER($B$80),$B$80&gt;=0,$B$80&lt;=1,ROUND($B$81*12,0)&gt;=1,$B$81&lt;=100,SUM($B$82)&gt;=0,SUM($B$82)&lt;=1,SUM($B$83)&gt;=0)),OR(580=1,580=$B$174+1,AND($B$175&gt;0,580=$B$175+1))),IF(AND($B$170=1,$B$66&gt;0,OR($B$175=0,580&lt;=$B$175)),$B$66,IF($B$172-MAX(580-1,$B$174)&gt;0,IF(B980=0,0,IF(C980=0,B980/($B$172-MAX(580-1,$B$174)),B980*(C980/12)/(1-(1+C980/12)^(-($B$172-MAX(580-1,$B$174)))))),"")),D979))))),IF(IF(AND(580&lt;=$B$174,580&lt;=$B$173),B980*C980/12,IF(AND(580=$B$173+1,AND(580&gt;$B$173,$B$78="Refinance",ISNUMBER($B$80),$B$80&gt;=0,$B$80&lt;=1,ROUND($B$81*12,0)&gt;=1,$B$81&lt;=100,SUM($B$82)&gt;=0,SUM($B$82)&lt;=1,SUM($B$83)&gt;=0)),IF(B980=0,0,IF(C980=0,B980/ROUND($B$81*12,0),B980*(C980/12)/(1-(1+C980/12)^(-ROUND($B$81*12,0))))),IF(AND(NOT(AND(580&gt;$B$173,$B$78="Refinance",ISNUMBER($B$80),$B$80&gt;=0,$B$80&lt;=1,ROUND($B$81*12,0)&gt;=1,$B$81&lt;=100,SUM($B$82)&gt;=0,SUM($B$82)&lt;=1,SUM($B$83)&gt;=0)),OR(580=1,580=$B$174+1,AND($B$175&gt;0,580=$B$175+1))),IF(AND($B$170=1,$B$66&gt;0,OR($B$175=0,580&lt;=$B$175)),$B$66,IF($B$172-MAX(580-1,$B$174)&gt;0,IF(B980=0,0,IF(C980=0,B980/($B$172-MAX(580-1,$B$174)),B980*(C980/12)/(1-(1+C980/12)^(-($B$172-MAX(580-1,$B$174)))))),"")),D979)))+0.0000001&gt;=B980*C980/12,MIN(B980*(1+C980/12),IF(AND(580&lt;=$B$174,580&lt;=$B$173),B980*C980/12,IF(AND(580=$B$173+1,AND(580&gt;$B$173,$B$78="Refinance",ISNUMBER($B$80),$B$80&gt;=0,$B$80&lt;=1,ROUND($B$81*12,0)&gt;=1,$B$81&lt;=100,SUM($B$82)&gt;=0,SUM($B$82)&lt;=1,SUM($B$83)&gt;=0)),IF(B980=0,0,IF(C980=0,B980/ROUND($B$81*12,0),B980*(C980/12)/(1-(1+C980/12)^(-ROUND($B$81*12,0))))),IF(AND(NOT(AND(580&gt;$B$173,$B$78="Refinance",ISNUMBER($B$80),$B$80&gt;=0,$B$80&lt;=1,ROUND($B$81*12,0)&gt;=1,$B$81&lt;=100,SUM($B$82)&gt;=0,SUM($B$82)&lt;=1,SUM($B$83)&gt;=0)),OR(580=1,580=$B$174+1,AND($B$175&gt;0,580=$B$175+1))),IF(AND($B$170=1,$B$66&gt;0,OR($B$175=0,580&lt;=$B$175)),$B$66,IF($B$172-MAX(580-1,$B$174)&gt;0,IF(B980=0,0,IF(C980=0,B980/($B$172-MAX(580-1,$B$174)),B980*(C980/12)/(1-(1+C980/12)^(-($B$172-MAX(580-1,$B$174)))))),"")),D979)))),""),""))</x:f>
        <x:v>0</x:v>
      </x:c>
      <x:c r="E980" s="440" t="n">
        <x:f>IF(AND(580=$B$173,ISNUMBER(D980)),IF(MAX(0,B980*(1+C980/12)-D980)&lt;MAX(0.0000001,$E$17*0.00000000001),0,MAX(0,B980*(1+C980/12)-D980)),0)</x:f>
        <x:v>0</x:v>
      </x:c>
      <x:c r="F980" s="440" t="n">
        <x:f>IF($B$78="Cash payoff",E980,0)</x:f>
        <x:v>0</x:v>
      </x:c>
      <x:c r="G980" s="440" t="n">
        <x:f>IF(AND(E980&gt;0,AND($B$78="Refinance",ISNUMBER($B$80),$B$80&gt;=0,$B$80&lt;=1,ROUND($B$81*12,0)&gt;=1,$B$81&lt;=100,SUM($B$82)&gt;=0,SUM($B$82)&lt;=1,SUM($B$83)&gt;=0)),E980*SUM($B$82)+SUM($B$83),0)</x:f>
        <x:v>0</x:v>
      </x:c>
      <x:c r="H980" s="440" t="n">
        <x:f>IF(ISNUMBER(D980),IF(MAX(0,B980*(1+C980/12)-D980-F980)&lt;MAX(0.0000001,$E$17*0.00000000001),0,MAX(0,B980*(1+C980/12)-D980-F980)),IF(AND($B$171=1,I979=1),B980,""))</x:f>
        <x:v>0</x:v>
      </x:c>
      <x:c r="I980" s="444" t="n">
        <x:f>IF(OR(I979=1,AND(E980&gt;0,$B$78&lt;&gt;"Cash payoff",NOT(AND($B$78="Refinance",ISNUMBER($B$80),$B$80&gt;=0,$B$80&lt;=1,ROUND($B$81*12,0)&gt;=1,$B$81&lt;=100,SUM($B$82)&gt;=0,SUM($B$82)&lt;=1,SUM($B$83)&gt;=0))),AND(ISNUMBER(B980),B980&gt;0,$B$171=1,NOT(ISNUMBER(D980)))),1,0)</x:f>
        <x:v>0</x:v>
      </x:c>
      <x:c r="J980" s="440" t="n">
        <x:f>IF(ISNUMBER(L979),L979,"")</x:f>
        <x:v>0</x:v>
      </x:c>
      <x:c r="K980" s="440" t="n">
        <x:f>IF(AND(ISNUMBER(J980),J980=0),0,IF(AND($B$176=1,ISNUMBER(J980)),MIN(J980*(1+$B$87/12),IF($B$86=0,0,IF($B$87=0,$B$86/ROUND($B$88*12,0),$B$86*($B$87/12)/(1-(1+$B$87/12)^(-ROUND($B$88*12,0)))))),""))</x:f>
        <x:v>0</x:v>
      </x:c>
      <x:c r="L980" s="440" t="n">
        <x:f>IF(ISNUMBER(K980),IF(MAX(0,J980*(1+SUM($B$87)/12)-K980)&lt;MAX(0.0000001,$B$86*0.00000000001),0,MAX(0,J980*(1+SUM($B$87)/12)-K980)),"")</x:f>
        <x:v>0</x:v>
      </x:c>
      <x:c r="M980" s="440" t="n">
        <x:f>IF(AND(ISNUMBER(D980),ISNUMBER(K980)),D980+K980,"")</x:f>
        <x:v>0</x:v>
      </x:c>
      <x:c r="N980" s="440" t="n">
        <x:f>IF(AND(ISNUMBER(H980),ISNUMBER(L980)),H980+L980,"")</x:f>
        <x:v>0</x:v>
      </x:c>
    </x:row>
    <x:row r="981" ht="22" customHeight="1">
      <x:c r="A981" s="254" t="n">
        <x:f>581</x:f>
        <x:v>581</x:v>
      </x:c>
      <x:c r="B981" s="440" t="n">
        <x:f>IF(ISNUMBER(H980),H980,"")</x:f>
        <x:v>0</x:v>
      </x:c>
      <x:c r="C981" s="442" t="n">
        <x:f>IF(ISNUMBER(B981),IF(AND(581&gt;$B$173,$B$78="Refinance",ISNUMBER($B$80),$B$80&gt;=0,$B$80&lt;=1,ROUND($B$81*12,0)&gt;=1,$B$81&lt;=100,SUM($B$82)&gt;=0,SUM($B$82)&lt;=1,SUM($B$83)&gt;=0),$B$80,IF(AND($B$175&gt;0,581&gt;$B$175,ISNUMBER($B$75)),$B$75,$B$61)),"")</x:f>
        <x:v>0.0625</x:v>
      </x:c>
      <x:c r="D981" s="440" t="n">
        <x:f>IF(AND(ISNUMBER(B981),B981=0),0,IF(AND($B$171=1,I980=0,ISNUMBER(C981),ISNUMBER(IF(AND(581&lt;=$B$174,581&lt;=$B$173),B981*C981/12,IF(AND(581=$B$173+1,AND(581&gt;$B$173,$B$78="Refinance",ISNUMBER($B$80),$B$80&gt;=0,$B$80&lt;=1,ROUND($B$81*12,0)&gt;=1,$B$81&lt;=100,SUM($B$82)&gt;=0,SUM($B$82)&lt;=1,SUM($B$83)&gt;=0)),IF(B981=0,0,IF(C981=0,B981/ROUND($B$81*12,0),B981*(C981/12)/(1-(1+C981/12)^(-ROUND($B$81*12,0))))),IF(AND(NOT(AND(581&gt;$B$173,$B$78="Refinance",ISNUMBER($B$80),$B$80&gt;=0,$B$80&lt;=1,ROUND($B$81*12,0)&gt;=1,$B$81&lt;=100,SUM($B$82)&gt;=0,SUM($B$82)&lt;=1,SUM($B$83)&gt;=0)),OR(581=1,581=$B$174+1,AND($B$175&gt;0,581=$B$175+1))),IF(AND($B$170=1,$B$66&gt;0,OR($B$175=0,581&lt;=$B$175)),$B$66,IF($B$172-MAX(581-1,$B$174)&gt;0,IF(B981=0,0,IF(C981=0,B981/($B$172-MAX(581-1,$B$174)),B981*(C981/12)/(1-(1+C981/12)^(-($B$172-MAX(581-1,$B$174)))))),"")),D980))))),IF(IF(AND(581&lt;=$B$174,581&lt;=$B$173),B981*C981/12,IF(AND(581=$B$173+1,AND(581&gt;$B$173,$B$78="Refinance",ISNUMBER($B$80),$B$80&gt;=0,$B$80&lt;=1,ROUND($B$81*12,0)&gt;=1,$B$81&lt;=100,SUM($B$82)&gt;=0,SUM($B$82)&lt;=1,SUM($B$83)&gt;=0)),IF(B981=0,0,IF(C981=0,B981/ROUND($B$81*12,0),B981*(C981/12)/(1-(1+C981/12)^(-ROUND($B$81*12,0))))),IF(AND(NOT(AND(581&gt;$B$173,$B$78="Refinance",ISNUMBER($B$80),$B$80&gt;=0,$B$80&lt;=1,ROUND($B$81*12,0)&gt;=1,$B$81&lt;=100,SUM($B$82)&gt;=0,SUM($B$82)&lt;=1,SUM($B$83)&gt;=0)),OR(581=1,581=$B$174+1,AND($B$175&gt;0,581=$B$175+1))),IF(AND($B$170=1,$B$66&gt;0,OR($B$175=0,581&lt;=$B$175)),$B$66,IF($B$172-MAX(581-1,$B$174)&gt;0,IF(B981=0,0,IF(C981=0,B981/($B$172-MAX(581-1,$B$174)),B981*(C981/12)/(1-(1+C981/12)^(-($B$172-MAX(581-1,$B$174)))))),"")),D980)))+0.0000001&gt;=B981*C981/12,MIN(B981*(1+C981/12),IF(AND(581&lt;=$B$174,581&lt;=$B$173),B981*C981/12,IF(AND(581=$B$173+1,AND(581&gt;$B$173,$B$78="Refinance",ISNUMBER($B$80),$B$80&gt;=0,$B$80&lt;=1,ROUND($B$81*12,0)&gt;=1,$B$81&lt;=100,SUM($B$82)&gt;=0,SUM($B$82)&lt;=1,SUM($B$83)&gt;=0)),IF(B981=0,0,IF(C981=0,B981/ROUND($B$81*12,0),B981*(C981/12)/(1-(1+C981/12)^(-ROUND($B$81*12,0))))),IF(AND(NOT(AND(581&gt;$B$173,$B$78="Refinance",ISNUMBER($B$80),$B$80&gt;=0,$B$80&lt;=1,ROUND($B$81*12,0)&gt;=1,$B$81&lt;=100,SUM($B$82)&gt;=0,SUM($B$82)&lt;=1,SUM($B$83)&gt;=0)),OR(581=1,581=$B$174+1,AND($B$175&gt;0,581=$B$175+1))),IF(AND($B$170=1,$B$66&gt;0,OR($B$175=0,581&lt;=$B$175)),$B$66,IF($B$172-MAX(581-1,$B$174)&gt;0,IF(B981=0,0,IF(C981=0,B981/($B$172-MAX(581-1,$B$174)),B981*(C981/12)/(1-(1+C981/12)^(-($B$172-MAX(581-1,$B$174)))))),"")),D980)))),""),""))</x:f>
        <x:v>0</x:v>
      </x:c>
      <x:c r="E981" s="440" t="n">
        <x:f>IF(AND(581=$B$173,ISNUMBER(D981)),IF(MAX(0,B981*(1+C981/12)-D981)&lt;MAX(0.0000001,$E$17*0.00000000001),0,MAX(0,B981*(1+C981/12)-D981)),0)</x:f>
        <x:v>0</x:v>
      </x:c>
      <x:c r="F981" s="440" t="n">
        <x:f>IF($B$78="Cash payoff",E981,0)</x:f>
        <x:v>0</x:v>
      </x:c>
      <x:c r="G981" s="440" t="n">
        <x:f>IF(AND(E981&gt;0,AND($B$78="Refinance",ISNUMBER($B$80),$B$80&gt;=0,$B$80&lt;=1,ROUND($B$81*12,0)&gt;=1,$B$81&lt;=100,SUM($B$82)&gt;=0,SUM($B$82)&lt;=1,SUM($B$83)&gt;=0)),E981*SUM($B$82)+SUM($B$83),0)</x:f>
        <x:v>0</x:v>
      </x:c>
      <x:c r="H981" s="440" t="n">
        <x:f>IF(ISNUMBER(D981),IF(MAX(0,B981*(1+C981/12)-D981-F981)&lt;MAX(0.0000001,$E$17*0.00000000001),0,MAX(0,B981*(1+C981/12)-D981-F981)),IF(AND($B$171=1,I980=1),B981,""))</x:f>
        <x:v>0</x:v>
      </x:c>
      <x:c r="I981" s="444" t="n">
        <x:f>IF(OR(I980=1,AND(E981&gt;0,$B$78&lt;&gt;"Cash payoff",NOT(AND($B$78="Refinance",ISNUMBER($B$80),$B$80&gt;=0,$B$80&lt;=1,ROUND($B$81*12,0)&gt;=1,$B$81&lt;=100,SUM($B$82)&gt;=0,SUM($B$82)&lt;=1,SUM($B$83)&gt;=0))),AND(ISNUMBER(B981),B981&gt;0,$B$171=1,NOT(ISNUMBER(D981)))),1,0)</x:f>
        <x:v>0</x:v>
      </x:c>
      <x:c r="J981" s="440" t="n">
        <x:f>IF(ISNUMBER(L980),L980,"")</x:f>
        <x:v>0</x:v>
      </x:c>
      <x:c r="K981" s="440" t="n">
        <x:f>IF(AND(ISNUMBER(J981),J981=0),0,IF(AND($B$176=1,ISNUMBER(J981)),MIN(J981*(1+$B$87/12),IF($B$86=0,0,IF($B$87=0,$B$86/ROUND($B$88*12,0),$B$86*($B$87/12)/(1-(1+$B$87/12)^(-ROUND($B$88*12,0)))))),""))</x:f>
        <x:v>0</x:v>
      </x:c>
      <x:c r="L981" s="440" t="n">
        <x:f>IF(ISNUMBER(K981),IF(MAX(0,J981*(1+SUM($B$87)/12)-K981)&lt;MAX(0.0000001,$B$86*0.00000000001),0,MAX(0,J981*(1+SUM($B$87)/12)-K981)),"")</x:f>
        <x:v>0</x:v>
      </x:c>
      <x:c r="M981" s="440" t="n">
        <x:f>IF(AND(ISNUMBER(D981),ISNUMBER(K981)),D981+K981,"")</x:f>
        <x:v>0</x:v>
      </x:c>
      <x:c r="N981" s="440" t="n">
        <x:f>IF(AND(ISNUMBER(H981),ISNUMBER(L981)),H981+L981,"")</x:f>
        <x:v>0</x:v>
      </x:c>
    </x:row>
    <x:row r="982" ht="22" customHeight="1">
      <x:c r="A982" s="254" t="n">
        <x:f>582</x:f>
        <x:v>582</x:v>
      </x:c>
      <x:c r="B982" s="440" t="n">
        <x:f>IF(ISNUMBER(H981),H981,"")</x:f>
        <x:v>0</x:v>
      </x:c>
      <x:c r="C982" s="442" t="n">
        <x:f>IF(ISNUMBER(B982),IF(AND(582&gt;$B$173,$B$78="Refinance",ISNUMBER($B$80),$B$80&gt;=0,$B$80&lt;=1,ROUND($B$81*12,0)&gt;=1,$B$81&lt;=100,SUM($B$82)&gt;=0,SUM($B$82)&lt;=1,SUM($B$83)&gt;=0),$B$80,IF(AND($B$175&gt;0,582&gt;$B$175,ISNUMBER($B$75)),$B$75,$B$61)),"")</x:f>
        <x:v>0.0625</x:v>
      </x:c>
      <x:c r="D982" s="440" t="n">
        <x:f>IF(AND(ISNUMBER(B982),B982=0),0,IF(AND($B$171=1,I981=0,ISNUMBER(C982),ISNUMBER(IF(AND(582&lt;=$B$174,582&lt;=$B$173),B982*C982/12,IF(AND(582=$B$173+1,AND(582&gt;$B$173,$B$78="Refinance",ISNUMBER($B$80),$B$80&gt;=0,$B$80&lt;=1,ROUND($B$81*12,0)&gt;=1,$B$81&lt;=100,SUM($B$82)&gt;=0,SUM($B$82)&lt;=1,SUM($B$83)&gt;=0)),IF(B982=0,0,IF(C982=0,B982/ROUND($B$81*12,0),B982*(C982/12)/(1-(1+C982/12)^(-ROUND($B$81*12,0))))),IF(AND(NOT(AND(582&gt;$B$173,$B$78="Refinance",ISNUMBER($B$80),$B$80&gt;=0,$B$80&lt;=1,ROUND($B$81*12,0)&gt;=1,$B$81&lt;=100,SUM($B$82)&gt;=0,SUM($B$82)&lt;=1,SUM($B$83)&gt;=0)),OR(582=1,582=$B$174+1,AND($B$175&gt;0,582=$B$175+1))),IF(AND($B$170=1,$B$66&gt;0,OR($B$175=0,582&lt;=$B$175)),$B$66,IF($B$172-MAX(582-1,$B$174)&gt;0,IF(B982=0,0,IF(C982=0,B982/($B$172-MAX(582-1,$B$174)),B982*(C982/12)/(1-(1+C982/12)^(-($B$172-MAX(582-1,$B$174)))))),"")),D981))))),IF(IF(AND(582&lt;=$B$174,582&lt;=$B$173),B982*C982/12,IF(AND(582=$B$173+1,AND(582&gt;$B$173,$B$78="Refinance",ISNUMBER($B$80),$B$80&gt;=0,$B$80&lt;=1,ROUND($B$81*12,0)&gt;=1,$B$81&lt;=100,SUM($B$82)&gt;=0,SUM($B$82)&lt;=1,SUM($B$83)&gt;=0)),IF(B982=0,0,IF(C982=0,B982/ROUND($B$81*12,0),B982*(C982/12)/(1-(1+C982/12)^(-ROUND($B$81*12,0))))),IF(AND(NOT(AND(582&gt;$B$173,$B$78="Refinance",ISNUMBER($B$80),$B$80&gt;=0,$B$80&lt;=1,ROUND($B$81*12,0)&gt;=1,$B$81&lt;=100,SUM($B$82)&gt;=0,SUM($B$82)&lt;=1,SUM($B$83)&gt;=0)),OR(582=1,582=$B$174+1,AND($B$175&gt;0,582=$B$175+1))),IF(AND($B$170=1,$B$66&gt;0,OR($B$175=0,582&lt;=$B$175)),$B$66,IF($B$172-MAX(582-1,$B$174)&gt;0,IF(B982=0,0,IF(C982=0,B982/($B$172-MAX(582-1,$B$174)),B982*(C982/12)/(1-(1+C982/12)^(-($B$172-MAX(582-1,$B$174)))))),"")),D981)))+0.0000001&gt;=B982*C982/12,MIN(B982*(1+C982/12),IF(AND(582&lt;=$B$174,582&lt;=$B$173),B982*C982/12,IF(AND(582=$B$173+1,AND(582&gt;$B$173,$B$78="Refinance",ISNUMBER($B$80),$B$80&gt;=0,$B$80&lt;=1,ROUND($B$81*12,0)&gt;=1,$B$81&lt;=100,SUM($B$82)&gt;=0,SUM($B$82)&lt;=1,SUM($B$83)&gt;=0)),IF(B982=0,0,IF(C982=0,B982/ROUND($B$81*12,0),B982*(C982/12)/(1-(1+C982/12)^(-ROUND($B$81*12,0))))),IF(AND(NOT(AND(582&gt;$B$173,$B$78="Refinance",ISNUMBER($B$80),$B$80&gt;=0,$B$80&lt;=1,ROUND($B$81*12,0)&gt;=1,$B$81&lt;=100,SUM($B$82)&gt;=0,SUM($B$82)&lt;=1,SUM($B$83)&gt;=0)),OR(582=1,582=$B$174+1,AND($B$175&gt;0,582=$B$175+1))),IF(AND($B$170=1,$B$66&gt;0,OR($B$175=0,582&lt;=$B$175)),$B$66,IF($B$172-MAX(582-1,$B$174)&gt;0,IF(B982=0,0,IF(C982=0,B982/($B$172-MAX(582-1,$B$174)),B982*(C982/12)/(1-(1+C982/12)^(-($B$172-MAX(582-1,$B$174)))))),"")),D981)))),""),""))</x:f>
        <x:v>0</x:v>
      </x:c>
      <x:c r="E982" s="440" t="n">
        <x:f>IF(AND(582=$B$173,ISNUMBER(D982)),IF(MAX(0,B982*(1+C982/12)-D982)&lt;MAX(0.0000001,$E$17*0.00000000001),0,MAX(0,B982*(1+C982/12)-D982)),0)</x:f>
        <x:v>0</x:v>
      </x:c>
      <x:c r="F982" s="440" t="n">
        <x:f>IF($B$78="Cash payoff",E982,0)</x:f>
        <x:v>0</x:v>
      </x:c>
      <x:c r="G982" s="440" t="n">
        <x:f>IF(AND(E982&gt;0,AND($B$78="Refinance",ISNUMBER($B$80),$B$80&gt;=0,$B$80&lt;=1,ROUND($B$81*12,0)&gt;=1,$B$81&lt;=100,SUM($B$82)&gt;=0,SUM($B$82)&lt;=1,SUM($B$83)&gt;=0)),E982*SUM($B$82)+SUM($B$83),0)</x:f>
        <x:v>0</x:v>
      </x:c>
      <x:c r="H982" s="440" t="n">
        <x:f>IF(ISNUMBER(D982),IF(MAX(0,B982*(1+C982/12)-D982-F982)&lt;MAX(0.0000001,$E$17*0.00000000001),0,MAX(0,B982*(1+C982/12)-D982-F982)),IF(AND($B$171=1,I981=1),B982,""))</x:f>
        <x:v>0</x:v>
      </x:c>
      <x:c r="I982" s="444" t="n">
        <x:f>IF(OR(I981=1,AND(E982&gt;0,$B$78&lt;&gt;"Cash payoff",NOT(AND($B$78="Refinance",ISNUMBER($B$80),$B$80&gt;=0,$B$80&lt;=1,ROUND($B$81*12,0)&gt;=1,$B$81&lt;=100,SUM($B$82)&gt;=0,SUM($B$82)&lt;=1,SUM($B$83)&gt;=0))),AND(ISNUMBER(B982),B982&gt;0,$B$171=1,NOT(ISNUMBER(D982)))),1,0)</x:f>
        <x:v>0</x:v>
      </x:c>
      <x:c r="J982" s="440" t="n">
        <x:f>IF(ISNUMBER(L981),L981,"")</x:f>
        <x:v>0</x:v>
      </x:c>
      <x:c r="K982" s="440" t="n">
        <x:f>IF(AND(ISNUMBER(J982),J982=0),0,IF(AND($B$176=1,ISNUMBER(J982)),MIN(J982*(1+$B$87/12),IF($B$86=0,0,IF($B$87=0,$B$86/ROUND($B$88*12,0),$B$86*($B$87/12)/(1-(1+$B$87/12)^(-ROUND($B$88*12,0)))))),""))</x:f>
        <x:v>0</x:v>
      </x:c>
      <x:c r="L982" s="440" t="n">
        <x:f>IF(ISNUMBER(K982),IF(MAX(0,J982*(1+SUM($B$87)/12)-K982)&lt;MAX(0.0000001,$B$86*0.00000000001),0,MAX(0,J982*(1+SUM($B$87)/12)-K982)),"")</x:f>
        <x:v>0</x:v>
      </x:c>
      <x:c r="M982" s="440" t="n">
        <x:f>IF(AND(ISNUMBER(D982),ISNUMBER(K982)),D982+K982,"")</x:f>
        <x:v>0</x:v>
      </x:c>
      <x:c r="N982" s="440" t="n">
        <x:f>IF(AND(ISNUMBER(H982),ISNUMBER(L982)),H982+L982,"")</x:f>
        <x:v>0</x:v>
      </x:c>
    </x:row>
    <x:row r="983" ht="22" customHeight="1">
      <x:c r="A983" s="254" t="n">
        <x:f>583</x:f>
        <x:v>583</x:v>
      </x:c>
      <x:c r="B983" s="440" t="n">
        <x:f>IF(ISNUMBER(H982),H982,"")</x:f>
        <x:v>0</x:v>
      </x:c>
      <x:c r="C983" s="442" t="n">
        <x:f>IF(ISNUMBER(B983),IF(AND(583&gt;$B$173,$B$78="Refinance",ISNUMBER($B$80),$B$80&gt;=0,$B$80&lt;=1,ROUND($B$81*12,0)&gt;=1,$B$81&lt;=100,SUM($B$82)&gt;=0,SUM($B$82)&lt;=1,SUM($B$83)&gt;=0),$B$80,IF(AND($B$175&gt;0,583&gt;$B$175,ISNUMBER($B$75)),$B$75,$B$61)),"")</x:f>
        <x:v>0.0625</x:v>
      </x:c>
      <x:c r="D983" s="440" t="n">
        <x:f>IF(AND(ISNUMBER(B983),B983=0),0,IF(AND($B$171=1,I982=0,ISNUMBER(C983),ISNUMBER(IF(AND(583&lt;=$B$174,583&lt;=$B$173),B983*C983/12,IF(AND(583=$B$173+1,AND(583&gt;$B$173,$B$78="Refinance",ISNUMBER($B$80),$B$80&gt;=0,$B$80&lt;=1,ROUND($B$81*12,0)&gt;=1,$B$81&lt;=100,SUM($B$82)&gt;=0,SUM($B$82)&lt;=1,SUM($B$83)&gt;=0)),IF(B983=0,0,IF(C983=0,B983/ROUND($B$81*12,0),B983*(C983/12)/(1-(1+C983/12)^(-ROUND($B$81*12,0))))),IF(AND(NOT(AND(583&gt;$B$173,$B$78="Refinance",ISNUMBER($B$80),$B$80&gt;=0,$B$80&lt;=1,ROUND($B$81*12,0)&gt;=1,$B$81&lt;=100,SUM($B$82)&gt;=0,SUM($B$82)&lt;=1,SUM($B$83)&gt;=0)),OR(583=1,583=$B$174+1,AND($B$175&gt;0,583=$B$175+1))),IF(AND($B$170=1,$B$66&gt;0,OR($B$175=0,583&lt;=$B$175)),$B$66,IF($B$172-MAX(583-1,$B$174)&gt;0,IF(B983=0,0,IF(C983=0,B983/($B$172-MAX(583-1,$B$174)),B983*(C983/12)/(1-(1+C983/12)^(-($B$172-MAX(583-1,$B$174)))))),"")),D982))))),IF(IF(AND(583&lt;=$B$174,583&lt;=$B$173),B983*C983/12,IF(AND(583=$B$173+1,AND(583&gt;$B$173,$B$78="Refinance",ISNUMBER($B$80),$B$80&gt;=0,$B$80&lt;=1,ROUND($B$81*12,0)&gt;=1,$B$81&lt;=100,SUM($B$82)&gt;=0,SUM($B$82)&lt;=1,SUM($B$83)&gt;=0)),IF(B983=0,0,IF(C983=0,B983/ROUND($B$81*12,0),B983*(C983/12)/(1-(1+C983/12)^(-ROUND($B$81*12,0))))),IF(AND(NOT(AND(583&gt;$B$173,$B$78="Refinance",ISNUMBER($B$80),$B$80&gt;=0,$B$80&lt;=1,ROUND($B$81*12,0)&gt;=1,$B$81&lt;=100,SUM($B$82)&gt;=0,SUM($B$82)&lt;=1,SUM($B$83)&gt;=0)),OR(583=1,583=$B$174+1,AND($B$175&gt;0,583=$B$175+1))),IF(AND($B$170=1,$B$66&gt;0,OR($B$175=0,583&lt;=$B$175)),$B$66,IF($B$172-MAX(583-1,$B$174)&gt;0,IF(B983=0,0,IF(C983=0,B983/($B$172-MAX(583-1,$B$174)),B983*(C983/12)/(1-(1+C983/12)^(-($B$172-MAX(583-1,$B$174)))))),"")),D982)))+0.0000001&gt;=B983*C983/12,MIN(B983*(1+C983/12),IF(AND(583&lt;=$B$174,583&lt;=$B$173),B983*C983/12,IF(AND(583=$B$173+1,AND(583&gt;$B$173,$B$78="Refinance",ISNUMBER($B$80),$B$80&gt;=0,$B$80&lt;=1,ROUND($B$81*12,0)&gt;=1,$B$81&lt;=100,SUM($B$82)&gt;=0,SUM($B$82)&lt;=1,SUM($B$83)&gt;=0)),IF(B983=0,0,IF(C983=0,B983/ROUND($B$81*12,0),B983*(C983/12)/(1-(1+C983/12)^(-ROUND($B$81*12,0))))),IF(AND(NOT(AND(583&gt;$B$173,$B$78="Refinance",ISNUMBER($B$80),$B$80&gt;=0,$B$80&lt;=1,ROUND($B$81*12,0)&gt;=1,$B$81&lt;=100,SUM($B$82)&gt;=0,SUM($B$82)&lt;=1,SUM($B$83)&gt;=0)),OR(583=1,583=$B$174+1,AND($B$175&gt;0,583=$B$175+1))),IF(AND($B$170=1,$B$66&gt;0,OR($B$175=0,583&lt;=$B$175)),$B$66,IF($B$172-MAX(583-1,$B$174)&gt;0,IF(B983=0,0,IF(C983=0,B983/($B$172-MAX(583-1,$B$174)),B983*(C983/12)/(1-(1+C983/12)^(-($B$172-MAX(583-1,$B$174)))))),"")),D982)))),""),""))</x:f>
        <x:v>0</x:v>
      </x:c>
      <x:c r="E983" s="440" t="n">
        <x:f>IF(AND(583=$B$173,ISNUMBER(D983)),IF(MAX(0,B983*(1+C983/12)-D983)&lt;MAX(0.0000001,$E$17*0.00000000001),0,MAX(0,B983*(1+C983/12)-D983)),0)</x:f>
        <x:v>0</x:v>
      </x:c>
      <x:c r="F983" s="440" t="n">
        <x:f>IF($B$78="Cash payoff",E983,0)</x:f>
        <x:v>0</x:v>
      </x:c>
      <x:c r="G983" s="440" t="n">
        <x:f>IF(AND(E983&gt;0,AND($B$78="Refinance",ISNUMBER($B$80),$B$80&gt;=0,$B$80&lt;=1,ROUND($B$81*12,0)&gt;=1,$B$81&lt;=100,SUM($B$82)&gt;=0,SUM($B$82)&lt;=1,SUM($B$83)&gt;=0)),E983*SUM($B$82)+SUM($B$83),0)</x:f>
        <x:v>0</x:v>
      </x:c>
      <x:c r="H983" s="440" t="n">
        <x:f>IF(ISNUMBER(D983),IF(MAX(0,B983*(1+C983/12)-D983-F983)&lt;MAX(0.0000001,$E$17*0.00000000001),0,MAX(0,B983*(1+C983/12)-D983-F983)),IF(AND($B$171=1,I982=1),B983,""))</x:f>
        <x:v>0</x:v>
      </x:c>
      <x:c r="I983" s="444" t="n">
        <x:f>IF(OR(I982=1,AND(E983&gt;0,$B$78&lt;&gt;"Cash payoff",NOT(AND($B$78="Refinance",ISNUMBER($B$80),$B$80&gt;=0,$B$80&lt;=1,ROUND($B$81*12,0)&gt;=1,$B$81&lt;=100,SUM($B$82)&gt;=0,SUM($B$82)&lt;=1,SUM($B$83)&gt;=0))),AND(ISNUMBER(B983),B983&gt;0,$B$171=1,NOT(ISNUMBER(D983)))),1,0)</x:f>
        <x:v>0</x:v>
      </x:c>
      <x:c r="J983" s="440" t="n">
        <x:f>IF(ISNUMBER(L982),L982,"")</x:f>
        <x:v>0</x:v>
      </x:c>
      <x:c r="K983" s="440" t="n">
        <x:f>IF(AND(ISNUMBER(J983),J983=0),0,IF(AND($B$176=1,ISNUMBER(J983)),MIN(J983*(1+$B$87/12),IF($B$86=0,0,IF($B$87=0,$B$86/ROUND($B$88*12,0),$B$86*($B$87/12)/(1-(1+$B$87/12)^(-ROUND($B$88*12,0)))))),""))</x:f>
        <x:v>0</x:v>
      </x:c>
      <x:c r="L983" s="440" t="n">
        <x:f>IF(ISNUMBER(K983),IF(MAX(0,J983*(1+SUM($B$87)/12)-K983)&lt;MAX(0.0000001,$B$86*0.00000000001),0,MAX(0,J983*(1+SUM($B$87)/12)-K983)),"")</x:f>
        <x:v>0</x:v>
      </x:c>
      <x:c r="M983" s="440" t="n">
        <x:f>IF(AND(ISNUMBER(D983),ISNUMBER(K983)),D983+K983,"")</x:f>
        <x:v>0</x:v>
      </x:c>
      <x:c r="N983" s="440" t="n">
        <x:f>IF(AND(ISNUMBER(H983),ISNUMBER(L983)),H983+L983,"")</x:f>
        <x:v>0</x:v>
      </x:c>
    </x:row>
    <x:row r="984" ht="22" customHeight="1">
      <x:c r="A984" s="254" t="n">
        <x:f>584</x:f>
        <x:v>584</x:v>
      </x:c>
      <x:c r="B984" s="440" t="n">
        <x:f>IF(ISNUMBER(H983),H983,"")</x:f>
        <x:v>0</x:v>
      </x:c>
      <x:c r="C984" s="442" t="n">
        <x:f>IF(ISNUMBER(B984),IF(AND(584&gt;$B$173,$B$78="Refinance",ISNUMBER($B$80),$B$80&gt;=0,$B$80&lt;=1,ROUND($B$81*12,0)&gt;=1,$B$81&lt;=100,SUM($B$82)&gt;=0,SUM($B$82)&lt;=1,SUM($B$83)&gt;=0),$B$80,IF(AND($B$175&gt;0,584&gt;$B$175,ISNUMBER($B$75)),$B$75,$B$61)),"")</x:f>
        <x:v>0.0625</x:v>
      </x:c>
      <x:c r="D984" s="440" t="n">
        <x:f>IF(AND(ISNUMBER(B984),B984=0),0,IF(AND($B$171=1,I983=0,ISNUMBER(C984),ISNUMBER(IF(AND(584&lt;=$B$174,584&lt;=$B$173),B984*C984/12,IF(AND(584=$B$173+1,AND(584&gt;$B$173,$B$78="Refinance",ISNUMBER($B$80),$B$80&gt;=0,$B$80&lt;=1,ROUND($B$81*12,0)&gt;=1,$B$81&lt;=100,SUM($B$82)&gt;=0,SUM($B$82)&lt;=1,SUM($B$83)&gt;=0)),IF(B984=0,0,IF(C984=0,B984/ROUND($B$81*12,0),B984*(C984/12)/(1-(1+C984/12)^(-ROUND($B$81*12,0))))),IF(AND(NOT(AND(584&gt;$B$173,$B$78="Refinance",ISNUMBER($B$80),$B$80&gt;=0,$B$80&lt;=1,ROUND($B$81*12,0)&gt;=1,$B$81&lt;=100,SUM($B$82)&gt;=0,SUM($B$82)&lt;=1,SUM($B$83)&gt;=0)),OR(584=1,584=$B$174+1,AND($B$175&gt;0,584=$B$175+1))),IF(AND($B$170=1,$B$66&gt;0,OR($B$175=0,584&lt;=$B$175)),$B$66,IF($B$172-MAX(584-1,$B$174)&gt;0,IF(B984=0,0,IF(C984=0,B984/($B$172-MAX(584-1,$B$174)),B984*(C984/12)/(1-(1+C984/12)^(-($B$172-MAX(584-1,$B$174)))))),"")),D983))))),IF(IF(AND(584&lt;=$B$174,584&lt;=$B$173),B984*C984/12,IF(AND(584=$B$173+1,AND(584&gt;$B$173,$B$78="Refinance",ISNUMBER($B$80),$B$80&gt;=0,$B$80&lt;=1,ROUND($B$81*12,0)&gt;=1,$B$81&lt;=100,SUM($B$82)&gt;=0,SUM($B$82)&lt;=1,SUM($B$83)&gt;=0)),IF(B984=0,0,IF(C984=0,B984/ROUND($B$81*12,0),B984*(C984/12)/(1-(1+C984/12)^(-ROUND($B$81*12,0))))),IF(AND(NOT(AND(584&gt;$B$173,$B$78="Refinance",ISNUMBER($B$80),$B$80&gt;=0,$B$80&lt;=1,ROUND($B$81*12,0)&gt;=1,$B$81&lt;=100,SUM($B$82)&gt;=0,SUM($B$82)&lt;=1,SUM($B$83)&gt;=0)),OR(584=1,584=$B$174+1,AND($B$175&gt;0,584=$B$175+1))),IF(AND($B$170=1,$B$66&gt;0,OR($B$175=0,584&lt;=$B$175)),$B$66,IF($B$172-MAX(584-1,$B$174)&gt;0,IF(B984=0,0,IF(C984=0,B984/($B$172-MAX(584-1,$B$174)),B984*(C984/12)/(1-(1+C984/12)^(-($B$172-MAX(584-1,$B$174)))))),"")),D983)))+0.0000001&gt;=B984*C984/12,MIN(B984*(1+C984/12),IF(AND(584&lt;=$B$174,584&lt;=$B$173),B984*C984/12,IF(AND(584=$B$173+1,AND(584&gt;$B$173,$B$78="Refinance",ISNUMBER($B$80),$B$80&gt;=0,$B$80&lt;=1,ROUND($B$81*12,0)&gt;=1,$B$81&lt;=100,SUM($B$82)&gt;=0,SUM($B$82)&lt;=1,SUM($B$83)&gt;=0)),IF(B984=0,0,IF(C984=0,B984/ROUND($B$81*12,0),B984*(C984/12)/(1-(1+C984/12)^(-ROUND($B$81*12,0))))),IF(AND(NOT(AND(584&gt;$B$173,$B$78="Refinance",ISNUMBER($B$80),$B$80&gt;=0,$B$80&lt;=1,ROUND($B$81*12,0)&gt;=1,$B$81&lt;=100,SUM($B$82)&gt;=0,SUM($B$82)&lt;=1,SUM($B$83)&gt;=0)),OR(584=1,584=$B$174+1,AND($B$175&gt;0,584=$B$175+1))),IF(AND($B$170=1,$B$66&gt;0,OR($B$175=0,584&lt;=$B$175)),$B$66,IF($B$172-MAX(584-1,$B$174)&gt;0,IF(B984=0,0,IF(C984=0,B984/($B$172-MAX(584-1,$B$174)),B984*(C984/12)/(1-(1+C984/12)^(-($B$172-MAX(584-1,$B$174)))))),"")),D983)))),""),""))</x:f>
        <x:v>0</x:v>
      </x:c>
      <x:c r="E984" s="440" t="n">
        <x:f>IF(AND(584=$B$173,ISNUMBER(D984)),IF(MAX(0,B984*(1+C984/12)-D984)&lt;MAX(0.0000001,$E$17*0.00000000001),0,MAX(0,B984*(1+C984/12)-D984)),0)</x:f>
        <x:v>0</x:v>
      </x:c>
      <x:c r="F984" s="440" t="n">
        <x:f>IF($B$78="Cash payoff",E984,0)</x:f>
        <x:v>0</x:v>
      </x:c>
      <x:c r="G984" s="440" t="n">
        <x:f>IF(AND(E984&gt;0,AND($B$78="Refinance",ISNUMBER($B$80),$B$80&gt;=0,$B$80&lt;=1,ROUND($B$81*12,0)&gt;=1,$B$81&lt;=100,SUM($B$82)&gt;=0,SUM($B$82)&lt;=1,SUM($B$83)&gt;=0)),E984*SUM($B$82)+SUM($B$83),0)</x:f>
        <x:v>0</x:v>
      </x:c>
      <x:c r="H984" s="440" t="n">
        <x:f>IF(ISNUMBER(D984),IF(MAX(0,B984*(1+C984/12)-D984-F984)&lt;MAX(0.0000001,$E$17*0.00000000001),0,MAX(0,B984*(1+C984/12)-D984-F984)),IF(AND($B$171=1,I983=1),B984,""))</x:f>
        <x:v>0</x:v>
      </x:c>
      <x:c r="I984" s="444" t="n">
        <x:f>IF(OR(I983=1,AND(E984&gt;0,$B$78&lt;&gt;"Cash payoff",NOT(AND($B$78="Refinance",ISNUMBER($B$80),$B$80&gt;=0,$B$80&lt;=1,ROUND($B$81*12,0)&gt;=1,$B$81&lt;=100,SUM($B$82)&gt;=0,SUM($B$82)&lt;=1,SUM($B$83)&gt;=0))),AND(ISNUMBER(B984),B984&gt;0,$B$171=1,NOT(ISNUMBER(D984)))),1,0)</x:f>
        <x:v>0</x:v>
      </x:c>
      <x:c r="J984" s="440" t="n">
        <x:f>IF(ISNUMBER(L983),L983,"")</x:f>
        <x:v>0</x:v>
      </x:c>
      <x:c r="K984" s="440" t="n">
        <x:f>IF(AND(ISNUMBER(J984),J984=0),0,IF(AND($B$176=1,ISNUMBER(J984)),MIN(J984*(1+$B$87/12),IF($B$86=0,0,IF($B$87=0,$B$86/ROUND($B$88*12,0),$B$86*($B$87/12)/(1-(1+$B$87/12)^(-ROUND($B$88*12,0)))))),""))</x:f>
        <x:v>0</x:v>
      </x:c>
      <x:c r="L984" s="440" t="n">
        <x:f>IF(ISNUMBER(K984),IF(MAX(0,J984*(1+SUM($B$87)/12)-K984)&lt;MAX(0.0000001,$B$86*0.00000000001),0,MAX(0,J984*(1+SUM($B$87)/12)-K984)),"")</x:f>
        <x:v>0</x:v>
      </x:c>
      <x:c r="M984" s="440" t="n">
        <x:f>IF(AND(ISNUMBER(D984),ISNUMBER(K984)),D984+K984,"")</x:f>
        <x:v>0</x:v>
      </x:c>
      <x:c r="N984" s="440" t="n">
        <x:f>IF(AND(ISNUMBER(H984),ISNUMBER(L984)),H984+L984,"")</x:f>
        <x:v>0</x:v>
      </x:c>
    </x:row>
    <x:row r="985" ht="22" customHeight="1">
      <x:c r="A985" s="254" t="n">
        <x:f>585</x:f>
        <x:v>585</x:v>
      </x:c>
      <x:c r="B985" s="440" t="n">
        <x:f>IF(ISNUMBER(H984),H984,"")</x:f>
        <x:v>0</x:v>
      </x:c>
      <x:c r="C985" s="442" t="n">
        <x:f>IF(ISNUMBER(B985),IF(AND(585&gt;$B$173,$B$78="Refinance",ISNUMBER($B$80),$B$80&gt;=0,$B$80&lt;=1,ROUND($B$81*12,0)&gt;=1,$B$81&lt;=100,SUM($B$82)&gt;=0,SUM($B$82)&lt;=1,SUM($B$83)&gt;=0),$B$80,IF(AND($B$175&gt;0,585&gt;$B$175,ISNUMBER($B$75)),$B$75,$B$61)),"")</x:f>
        <x:v>0.0625</x:v>
      </x:c>
      <x:c r="D985" s="440" t="n">
        <x:f>IF(AND(ISNUMBER(B985),B985=0),0,IF(AND($B$171=1,I984=0,ISNUMBER(C985),ISNUMBER(IF(AND(585&lt;=$B$174,585&lt;=$B$173),B985*C985/12,IF(AND(585=$B$173+1,AND(585&gt;$B$173,$B$78="Refinance",ISNUMBER($B$80),$B$80&gt;=0,$B$80&lt;=1,ROUND($B$81*12,0)&gt;=1,$B$81&lt;=100,SUM($B$82)&gt;=0,SUM($B$82)&lt;=1,SUM($B$83)&gt;=0)),IF(B985=0,0,IF(C985=0,B985/ROUND($B$81*12,0),B985*(C985/12)/(1-(1+C985/12)^(-ROUND($B$81*12,0))))),IF(AND(NOT(AND(585&gt;$B$173,$B$78="Refinance",ISNUMBER($B$80),$B$80&gt;=0,$B$80&lt;=1,ROUND($B$81*12,0)&gt;=1,$B$81&lt;=100,SUM($B$82)&gt;=0,SUM($B$82)&lt;=1,SUM($B$83)&gt;=0)),OR(585=1,585=$B$174+1,AND($B$175&gt;0,585=$B$175+1))),IF(AND($B$170=1,$B$66&gt;0,OR($B$175=0,585&lt;=$B$175)),$B$66,IF($B$172-MAX(585-1,$B$174)&gt;0,IF(B985=0,0,IF(C985=0,B985/($B$172-MAX(585-1,$B$174)),B985*(C985/12)/(1-(1+C985/12)^(-($B$172-MAX(585-1,$B$174)))))),"")),D984))))),IF(IF(AND(585&lt;=$B$174,585&lt;=$B$173),B985*C985/12,IF(AND(585=$B$173+1,AND(585&gt;$B$173,$B$78="Refinance",ISNUMBER($B$80),$B$80&gt;=0,$B$80&lt;=1,ROUND($B$81*12,0)&gt;=1,$B$81&lt;=100,SUM($B$82)&gt;=0,SUM($B$82)&lt;=1,SUM($B$83)&gt;=0)),IF(B985=0,0,IF(C985=0,B985/ROUND($B$81*12,0),B985*(C985/12)/(1-(1+C985/12)^(-ROUND($B$81*12,0))))),IF(AND(NOT(AND(585&gt;$B$173,$B$78="Refinance",ISNUMBER($B$80),$B$80&gt;=0,$B$80&lt;=1,ROUND($B$81*12,0)&gt;=1,$B$81&lt;=100,SUM($B$82)&gt;=0,SUM($B$82)&lt;=1,SUM($B$83)&gt;=0)),OR(585=1,585=$B$174+1,AND($B$175&gt;0,585=$B$175+1))),IF(AND($B$170=1,$B$66&gt;0,OR($B$175=0,585&lt;=$B$175)),$B$66,IF($B$172-MAX(585-1,$B$174)&gt;0,IF(B985=0,0,IF(C985=0,B985/($B$172-MAX(585-1,$B$174)),B985*(C985/12)/(1-(1+C985/12)^(-($B$172-MAX(585-1,$B$174)))))),"")),D984)))+0.0000001&gt;=B985*C985/12,MIN(B985*(1+C985/12),IF(AND(585&lt;=$B$174,585&lt;=$B$173),B985*C985/12,IF(AND(585=$B$173+1,AND(585&gt;$B$173,$B$78="Refinance",ISNUMBER($B$80),$B$80&gt;=0,$B$80&lt;=1,ROUND($B$81*12,0)&gt;=1,$B$81&lt;=100,SUM($B$82)&gt;=0,SUM($B$82)&lt;=1,SUM($B$83)&gt;=0)),IF(B985=0,0,IF(C985=0,B985/ROUND($B$81*12,0),B985*(C985/12)/(1-(1+C985/12)^(-ROUND($B$81*12,0))))),IF(AND(NOT(AND(585&gt;$B$173,$B$78="Refinance",ISNUMBER($B$80),$B$80&gt;=0,$B$80&lt;=1,ROUND($B$81*12,0)&gt;=1,$B$81&lt;=100,SUM($B$82)&gt;=0,SUM($B$82)&lt;=1,SUM($B$83)&gt;=0)),OR(585=1,585=$B$174+1,AND($B$175&gt;0,585=$B$175+1))),IF(AND($B$170=1,$B$66&gt;0,OR($B$175=0,585&lt;=$B$175)),$B$66,IF($B$172-MAX(585-1,$B$174)&gt;0,IF(B985=0,0,IF(C985=0,B985/($B$172-MAX(585-1,$B$174)),B985*(C985/12)/(1-(1+C985/12)^(-($B$172-MAX(585-1,$B$174)))))),"")),D984)))),""),""))</x:f>
        <x:v>0</x:v>
      </x:c>
      <x:c r="E985" s="440" t="n">
        <x:f>IF(AND(585=$B$173,ISNUMBER(D985)),IF(MAX(0,B985*(1+C985/12)-D985)&lt;MAX(0.0000001,$E$17*0.00000000001),0,MAX(0,B985*(1+C985/12)-D985)),0)</x:f>
        <x:v>0</x:v>
      </x:c>
      <x:c r="F985" s="440" t="n">
        <x:f>IF($B$78="Cash payoff",E985,0)</x:f>
        <x:v>0</x:v>
      </x:c>
      <x:c r="G985" s="440" t="n">
        <x:f>IF(AND(E985&gt;0,AND($B$78="Refinance",ISNUMBER($B$80),$B$80&gt;=0,$B$80&lt;=1,ROUND($B$81*12,0)&gt;=1,$B$81&lt;=100,SUM($B$82)&gt;=0,SUM($B$82)&lt;=1,SUM($B$83)&gt;=0)),E985*SUM($B$82)+SUM($B$83),0)</x:f>
        <x:v>0</x:v>
      </x:c>
      <x:c r="H985" s="440" t="n">
        <x:f>IF(ISNUMBER(D985),IF(MAX(0,B985*(1+C985/12)-D985-F985)&lt;MAX(0.0000001,$E$17*0.00000000001),0,MAX(0,B985*(1+C985/12)-D985-F985)),IF(AND($B$171=1,I984=1),B985,""))</x:f>
        <x:v>0</x:v>
      </x:c>
      <x:c r="I985" s="444" t="n">
        <x:f>IF(OR(I984=1,AND(E985&gt;0,$B$78&lt;&gt;"Cash payoff",NOT(AND($B$78="Refinance",ISNUMBER($B$80),$B$80&gt;=0,$B$80&lt;=1,ROUND($B$81*12,0)&gt;=1,$B$81&lt;=100,SUM($B$82)&gt;=0,SUM($B$82)&lt;=1,SUM($B$83)&gt;=0))),AND(ISNUMBER(B985),B985&gt;0,$B$171=1,NOT(ISNUMBER(D985)))),1,0)</x:f>
        <x:v>0</x:v>
      </x:c>
      <x:c r="J985" s="440" t="n">
        <x:f>IF(ISNUMBER(L984),L984,"")</x:f>
        <x:v>0</x:v>
      </x:c>
      <x:c r="K985" s="440" t="n">
        <x:f>IF(AND(ISNUMBER(J985),J985=0),0,IF(AND($B$176=1,ISNUMBER(J985)),MIN(J985*(1+$B$87/12),IF($B$86=0,0,IF($B$87=0,$B$86/ROUND($B$88*12,0),$B$86*($B$87/12)/(1-(1+$B$87/12)^(-ROUND($B$88*12,0)))))),""))</x:f>
        <x:v>0</x:v>
      </x:c>
      <x:c r="L985" s="440" t="n">
        <x:f>IF(ISNUMBER(K985),IF(MAX(0,J985*(1+SUM($B$87)/12)-K985)&lt;MAX(0.0000001,$B$86*0.00000000001),0,MAX(0,J985*(1+SUM($B$87)/12)-K985)),"")</x:f>
        <x:v>0</x:v>
      </x:c>
      <x:c r="M985" s="440" t="n">
        <x:f>IF(AND(ISNUMBER(D985),ISNUMBER(K985)),D985+K985,"")</x:f>
        <x:v>0</x:v>
      </x:c>
      <x:c r="N985" s="440" t="n">
        <x:f>IF(AND(ISNUMBER(H985),ISNUMBER(L985)),H985+L985,"")</x:f>
        <x:v>0</x:v>
      </x:c>
    </x:row>
    <x:row r="986" ht="22" customHeight="1">
      <x:c r="A986" s="254" t="n">
        <x:f>586</x:f>
        <x:v>586</x:v>
      </x:c>
      <x:c r="B986" s="440" t="n">
        <x:f>IF(ISNUMBER(H985),H985,"")</x:f>
        <x:v>0</x:v>
      </x:c>
      <x:c r="C986" s="442" t="n">
        <x:f>IF(ISNUMBER(B986),IF(AND(586&gt;$B$173,$B$78="Refinance",ISNUMBER($B$80),$B$80&gt;=0,$B$80&lt;=1,ROUND($B$81*12,0)&gt;=1,$B$81&lt;=100,SUM($B$82)&gt;=0,SUM($B$82)&lt;=1,SUM($B$83)&gt;=0),$B$80,IF(AND($B$175&gt;0,586&gt;$B$175,ISNUMBER($B$75)),$B$75,$B$61)),"")</x:f>
        <x:v>0.0625</x:v>
      </x:c>
      <x:c r="D986" s="440" t="n">
        <x:f>IF(AND(ISNUMBER(B986),B986=0),0,IF(AND($B$171=1,I985=0,ISNUMBER(C986),ISNUMBER(IF(AND(586&lt;=$B$174,586&lt;=$B$173),B986*C986/12,IF(AND(586=$B$173+1,AND(586&gt;$B$173,$B$78="Refinance",ISNUMBER($B$80),$B$80&gt;=0,$B$80&lt;=1,ROUND($B$81*12,0)&gt;=1,$B$81&lt;=100,SUM($B$82)&gt;=0,SUM($B$82)&lt;=1,SUM($B$83)&gt;=0)),IF(B986=0,0,IF(C986=0,B986/ROUND($B$81*12,0),B986*(C986/12)/(1-(1+C986/12)^(-ROUND($B$81*12,0))))),IF(AND(NOT(AND(586&gt;$B$173,$B$78="Refinance",ISNUMBER($B$80),$B$80&gt;=0,$B$80&lt;=1,ROUND($B$81*12,0)&gt;=1,$B$81&lt;=100,SUM($B$82)&gt;=0,SUM($B$82)&lt;=1,SUM($B$83)&gt;=0)),OR(586=1,586=$B$174+1,AND($B$175&gt;0,586=$B$175+1))),IF(AND($B$170=1,$B$66&gt;0,OR($B$175=0,586&lt;=$B$175)),$B$66,IF($B$172-MAX(586-1,$B$174)&gt;0,IF(B986=0,0,IF(C986=0,B986/($B$172-MAX(586-1,$B$174)),B986*(C986/12)/(1-(1+C986/12)^(-($B$172-MAX(586-1,$B$174)))))),"")),D985))))),IF(IF(AND(586&lt;=$B$174,586&lt;=$B$173),B986*C986/12,IF(AND(586=$B$173+1,AND(586&gt;$B$173,$B$78="Refinance",ISNUMBER($B$80),$B$80&gt;=0,$B$80&lt;=1,ROUND($B$81*12,0)&gt;=1,$B$81&lt;=100,SUM($B$82)&gt;=0,SUM($B$82)&lt;=1,SUM($B$83)&gt;=0)),IF(B986=0,0,IF(C986=0,B986/ROUND($B$81*12,0),B986*(C986/12)/(1-(1+C986/12)^(-ROUND($B$81*12,0))))),IF(AND(NOT(AND(586&gt;$B$173,$B$78="Refinance",ISNUMBER($B$80),$B$80&gt;=0,$B$80&lt;=1,ROUND($B$81*12,0)&gt;=1,$B$81&lt;=100,SUM($B$82)&gt;=0,SUM($B$82)&lt;=1,SUM($B$83)&gt;=0)),OR(586=1,586=$B$174+1,AND($B$175&gt;0,586=$B$175+1))),IF(AND($B$170=1,$B$66&gt;0,OR($B$175=0,586&lt;=$B$175)),$B$66,IF($B$172-MAX(586-1,$B$174)&gt;0,IF(B986=0,0,IF(C986=0,B986/($B$172-MAX(586-1,$B$174)),B986*(C986/12)/(1-(1+C986/12)^(-($B$172-MAX(586-1,$B$174)))))),"")),D985)))+0.0000001&gt;=B986*C986/12,MIN(B986*(1+C986/12),IF(AND(586&lt;=$B$174,586&lt;=$B$173),B986*C986/12,IF(AND(586=$B$173+1,AND(586&gt;$B$173,$B$78="Refinance",ISNUMBER($B$80),$B$80&gt;=0,$B$80&lt;=1,ROUND($B$81*12,0)&gt;=1,$B$81&lt;=100,SUM($B$82)&gt;=0,SUM($B$82)&lt;=1,SUM($B$83)&gt;=0)),IF(B986=0,0,IF(C986=0,B986/ROUND($B$81*12,0),B986*(C986/12)/(1-(1+C986/12)^(-ROUND($B$81*12,0))))),IF(AND(NOT(AND(586&gt;$B$173,$B$78="Refinance",ISNUMBER($B$80),$B$80&gt;=0,$B$80&lt;=1,ROUND($B$81*12,0)&gt;=1,$B$81&lt;=100,SUM($B$82)&gt;=0,SUM($B$82)&lt;=1,SUM($B$83)&gt;=0)),OR(586=1,586=$B$174+1,AND($B$175&gt;0,586=$B$175+1))),IF(AND($B$170=1,$B$66&gt;0,OR($B$175=0,586&lt;=$B$175)),$B$66,IF($B$172-MAX(586-1,$B$174)&gt;0,IF(B986=0,0,IF(C986=0,B986/($B$172-MAX(586-1,$B$174)),B986*(C986/12)/(1-(1+C986/12)^(-($B$172-MAX(586-1,$B$174)))))),"")),D985)))),""),""))</x:f>
        <x:v>0</x:v>
      </x:c>
      <x:c r="E986" s="440" t="n">
        <x:f>IF(AND(586=$B$173,ISNUMBER(D986)),IF(MAX(0,B986*(1+C986/12)-D986)&lt;MAX(0.0000001,$E$17*0.00000000001),0,MAX(0,B986*(1+C986/12)-D986)),0)</x:f>
        <x:v>0</x:v>
      </x:c>
      <x:c r="F986" s="440" t="n">
        <x:f>IF($B$78="Cash payoff",E986,0)</x:f>
        <x:v>0</x:v>
      </x:c>
      <x:c r="G986" s="440" t="n">
        <x:f>IF(AND(E986&gt;0,AND($B$78="Refinance",ISNUMBER($B$80),$B$80&gt;=0,$B$80&lt;=1,ROUND($B$81*12,0)&gt;=1,$B$81&lt;=100,SUM($B$82)&gt;=0,SUM($B$82)&lt;=1,SUM($B$83)&gt;=0)),E986*SUM($B$82)+SUM($B$83),0)</x:f>
        <x:v>0</x:v>
      </x:c>
      <x:c r="H986" s="440" t="n">
        <x:f>IF(ISNUMBER(D986),IF(MAX(0,B986*(1+C986/12)-D986-F986)&lt;MAX(0.0000001,$E$17*0.00000000001),0,MAX(0,B986*(1+C986/12)-D986-F986)),IF(AND($B$171=1,I985=1),B986,""))</x:f>
        <x:v>0</x:v>
      </x:c>
      <x:c r="I986" s="444" t="n">
        <x:f>IF(OR(I985=1,AND(E986&gt;0,$B$78&lt;&gt;"Cash payoff",NOT(AND($B$78="Refinance",ISNUMBER($B$80),$B$80&gt;=0,$B$80&lt;=1,ROUND($B$81*12,0)&gt;=1,$B$81&lt;=100,SUM($B$82)&gt;=0,SUM($B$82)&lt;=1,SUM($B$83)&gt;=0))),AND(ISNUMBER(B986),B986&gt;0,$B$171=1,NOT(ISNUMBER(D986)))),1,0)</x:f>
        <x:v>0</x:v>
      </x:c>
      <x:c r="J986" s="440" t="n">
        <x:f>IF(ISNUMBER(L985),L985,"")</x:f>
        <x:v>0</x:v>
      </x:c>
      <x:c r="K986" s="440" t="n">
        <x:f>IF(AND(ISNUMBER(J986),J986=0),0,IF(AND($B$176=1,ISNUMBER(J986)),MIN(J986*(1+$B$87/12),IF($B$86=0,0,IF($B$87=0,$B$86/ROUND($B$88*12,0),$B$86*($B$87/12)/(1-(1+$B$87/12)^(-ROUND($B$88*12,0)))))),""))</x:f>
        <x:v>0</x:v>
      </x:c>
      <x:c r="L986" s="440" t="n">
        <x:f>IF(ISNUMBER(K986),IF(MAX(0,J986*(1+SUM($B$87)/12)-K986)&lt;MAX(0.0000001,$B$86*0.00000000001),0,MAX(0,J986*(1+SUM($B$87)/12)-K986)),"")</x:f>
        <x:v>0</x:v>
      </x:c>
      <x:c r="M986" s="440" t="n">
        <x:f>IF(AND(ISNUMBER(D986),ISNUMBER(K986)),D986+K986,"")</x:f>
        <x:v>0</x:v>
      </x:c>
      <x:c r="N986" s="440" t="n">
        <x:f>IF(AND(ISNUMBER(H986),ISNUMBER(L986)),H986+L986,"")</x:f>
        <x:v>0</x:v>
      </x:c>
    </x:row>
    <x:row r="987" ht="22" customHeight="1">
      <x:c r="A987" s="254" t="n">
        <x:f>587</x:f>
        <x:v>587</x:v>
      </x:c>
      <x:c r="B987" s="440" t="n">
        <x:f>IF(ISNUMBER(H986),H986,"")</x:f>
        <x:v>0</x:v>
      </x:c>
      <x:c r="C987" s="442" t="n">
        <x:f>IF(ISNUMBER(B987),IF(AND(587&gt;$B$173,$B$78="Refinance",ISNUMBER($B$80),$B$80&gt;=0,$B$80&lt;=1,ROUND($B$81*12,0)&gt;=1,$B$81&lt;=100,SUM($B$82)&gt;=0,SUM($B$82)&lt;=1,SUM($B$83)&gt;=0),$B$80,IF(AND($B$175&gt;0,587&gt;$B$175,ISNUMBER($B$75)),$B$75,$B$61)),"")</x:f>
        <x:v>0.0625</x:v>
      </x:c>
      <x:c r="D987" s="440" t="n">
        <x:f>IF(AND(ISNUMBER(B987),B987=0),0,IF(AND($B$171=1,I986=0,ISNUMBER(C987),ISNUMBER(IF(AND(587&lt;=$B$174,587&lt;=$B$173),B987*C987/12,IF(AND(587=$B$173+1,AND(587&gt;$B$173,$B$78="Refinance",ISNUMBER($B$80),$B$80&gt;=0,$B$80&lt;=1,ROUND($B$81*12,0)&gt;=1,$B$81&lt;=100,SUM($B$82)&gt;=0,SUM($B$82)&lt;=1,SUM($B$83)&gt;=0)),IF(B987=0,0,IF(C987=0,B987/ROUND($B$81*12,0),B987*(C987/12)/(1-(1+C987/12)^(-ROUND($B$81*12,0))))),IF(AND(NOT(AND(587&gt;$B$173,$B$78="Refinance",ISNUMBER($B$80),$B$80&gt;=0,$B$80&lt;=1,ROUND($B$81*12,0)&gt;=1,$B$81&lt;=100,SUM($B$82)&gt;=0,SUM($B$82)&lt;=1,SUM($B$83)&gt;=0)),OR(587=1,587=$B$174+1,AND($B$175&gt;0,587=$B$175+1))),IF(AND($B$170=1,$B$66&gt;0,OR($B$175=0,587&lt;=$B$175)),$B$66,IF($B$172-MAX(587-1,$B$174)&gt;0,IF(B987=0,0,IF(C987=0,B987/($B$172-MAX(587-1,$B$174)),B987*(C987/12)/(1-(1+C987/12)^(-($B$172-MAX(587-1,$B$174)))))),"")),D986))))),IF(IF(AND(587&lt;=$B$174,587&lt;=$B$173),B987*C987/12,IF(AND(587=$B$173+1,AND(587&gt;$B$173,$B$78="Refinance",ISNUMBER($B$80),$B$80&gt;=0,$B$80&lt;=1,ROUND($B$81*12,0)&gt;=1,$B$81&lt;=100,SUM($B$82)&gt;=0,SUM($B$82)&lt;=1,SUM($B$83)&gt;=0)),IF(B987=0,0,IF(C987=0,B987/ROUND($B$81*12,0),B987*(C987/12)/(1-(1+C987/12)^(-ROUND($B$81*12,0))))),IF(AND(NOT(AND(587&gt;$B$173,$B$78="Refinance",ISNUMBER($B$80),$B$80&gt;=0,$B$80&lt;=1,ROUND($B$81*12,0)&gt;=1,$B$81&lt;=100,SUM($B$82)&gt;=0,SUM($B$82)&lt;=1,SUM($B$83)&gt;=0)),OR(587=1,587=$B$174+1,AND($B$175&gt;0,587=$B$175+1))),IF(AND($B$170=1,$B$66&gt;0,OR($B$175=0,587&lt;=$B$175)),$B$66,IF($B$172-MAX(587-1,$B$174)&gt;0,IF(B987=0,0,IF(C987=0,B987/($B$172-MAX(587-1,$B$174)),B987*(C987/12)/(1-(1+C987/12)^(-($B$172-MAX(587-1,$B$174)))))),"")),D986)))+0.0000001&gt;=B987*C987/12,MIN(B987*(1+C987/12),IF(AND(587&lt;=$B$174,587&lt;=$B$173),B987*C987/12,IF(AND(587=$B$173+1,AND(587&gt;$B$173,$B$78="Refinance",ISNUMBER($B$80),$B$80&gt;=0,$B$80&lt;=1,ROUND($B$81*12,0)&gt;=1,$B$81&lt;=100,SUM($B$82)&gt;=0,SUM($B$82)&lt;=1,SUM($B$83)&gt;=0)),IF(B987=0,0,IF(C987=0,B987/ROUND($B$81*12,0),B987*(C987/12)/(1-(1+C987/12)^(-ROUND($B$81*12,0))))),IF(AND(NOT(AND(587&gt;$B$173,$B$78="Refinance",ISNUMBER($B$80),$B$80&gt;=0,$B$80&lt;=1,ROUND($B$81*12,0)&gt;=1,$B$81&lt;=100,SUM($B$82)&gt;=0,SUM($B$82)&lt;=1,SUM($B$83)&gt;=0)),OR(587=1,587=$B$174+1,AND($B$175&gt;0,587=$B$175+1))),IF(AND($B$170=1,$B$66&gt;0,OR($B$175=0,587&lt;=$B$175)),$B$66,IF($B$172-MAX(587-1,$B$174)&gt;0,IF(B987=0,0,IF(C987=0,B987/($B$172-MAX(587-1,$B$174)),B987*(C987/12)/(1-(1+C987/12)^(-($B$172-MAX(587-1,$B$174)))))),"")),D986)))),""),""))</x:f>
        <x:v>0</x:v>
      </x:c>
      <x:c r="E987" s="440" t="n">
        <x:f>IF(AND(587=$B$173,ISNUMBER(D987)),IF(MAX(0,B987*(1+C987/12)-D987)&lt;MAX(0.0000001,$E$17*0.00000000001),0,MAX(0,B987*(1+C987/12)-D987)),0)</x:f>
        <x:v>0</x:v>
      </x:c>
      <x:c r="F987" s="440" t="n">
        <x:f>IF($B$78="Cash payoff",E987,0)</x:f>
        <x:v>0</x:v>
      </x:c>
      <x:c r="G987" s="440" t="n">
        <x:f>IF(AND(E987&gt;0,AND($B$78="Refinance",ISNUMBER($B$80),$B$80&gt;=0,$B$80&lt;=1,ROUND($B$81*12,0)&gt;=1,$B$81&lt;=100,SUM($B$82)&gt;=0,SUM($B$82)&lt;=1,SUM($B$83)&gt;=0)),E987*SUM($B$82)+SUM($B$83),0)</x:f>
        <x:v>0</x:v>
      </x:c>
      <x:c r="H987" s="440" t="n">
        <x:f>IF(ISNUMBER(D987),IF(MAX(0,B987*(1+C987/12)-D987-F987)&lt;MAX(0.0000001,$E$17*0.00000000001),0,MAX(0,B987*(1+C987/12)-D987-F987)),IF(AND($B$171=1,I986=1),B987,""))</x:f>
        <x:v>0</x:v>
      </x:c>
      <x:c r="I987" s="444" t="n">
        <x:f>IF(OR(I986=1,AND(E987&gt;0,$B$78&lt;&gt;"Cash payoff",NOT(AND($B$78="Refinance",ISNUMBER($B$80),$B$80&gt;=0,$B$80&lt;=1,ROUND($B$81*12,0)&gt;=1,$B$81&lt;=100,SUM($B$82)&gt;=0,SUM($B$82)&lt;=1,SUM($B$83)&gt;=0))),AND(ISNUMBER(B987),B987&gt;0,$B$171=1,NOT(ISNUMBER(D987)))),1,0)</x:f>
        <x:v>0</x:v>
      </x:c>
      <x:c r="J987" s="440" t="n">
        <x:f>IF(ISNUMBER(L986),L986,"")</x:f>
        <x:v>0</x:v>
      </x:c>
      <x:c r="K987" s="440" t="n">
        <x:f>IF(AND(ISNUMBER(J987),J987=0),0,IF(AND($B$176=1,ISNUMBER(J987)),MIN(J987*(1+$B$87/12),IF($B$86=0,0,IF($B$87=0,$B$86/ROUND($B$88*12,0),$B$86*($B$87/12)/(1-(1+$B$87/12)^(-ROUND($B$88*12,0)))))),""))</x:f>
        <x:v>0</x:v>
      </x:c>
      <x:c r="L987" s="440" t="n">
        <x:f>IF(ISNUMBER(K987),IF(MAX(0,J987*(1+SUM($B$87)/12)-K987)&lt;MAX(0.0000001,$B$86*0.00000000001),0,MAX(0,J987*(1+SUM($B$87)/12)-K987)),"")</x:f>
        <x:v>0</x:v>
      </x:c>
      <x:c r="M987" s="440" t="n">
        <x:f>IF(AND(ISNUMBER(D987),ISNUMBER(K987)),D987+K987,"")</x:f>
        <x:v>0</x:v>
      </x:c>
      <x:c r="N987" s="440" t="n">
        <x:f>IF(AND(ISNUMBER(H987),ISNUMBER(L987)),H987+L987,"")</x:f>
        <x:v>0</x:v>
      </x:c>
    </x:row>
    <x:row r="988" ht="22" customHeight="1">
      <x:c r="A988" s="254" t="n">
        <x:f>588</x:f>
        <x:v>588</x:v>
      </x:c>
      <x:c r="B988" s="440" t="n">
        <x:f>IF(ISNUMBER(H987),H987,"")</x:f>
        <x:v>0</x:v>
      </x:c>
      <x:c r="C988" s="442" t="n">
        <x:f>IF(ISNUMBER(B988),IF(AND(588&gt;$B$173,$B$78="Refinance",ISNUMBER($B$80),$B$80&gt;=0,$B$80&lt;=1,ROUND($B$81*12,0)&gt;=1,$B$81&lt;=100,SUM($B$82)&gt;=0,SUM($B$82)&lt;=1,SUM($B$83)&gt;=0),$B$80,IF(AND($B$175&gt;0,588&gt;$B$175,ISNUMBER($B$75)),$B$75,$B$61)),"")</x:f>
        <x:v>0.0625</x:v>
      </x:c>
      <x:c r="D988" s="440" t="n">
        <x:f>IF(AND(ISNUMBER(B988),B988=0),0,IF(AND($B$171=1,I987=0,ISNUMBER(C988),ISNUMBER(IF(AND(588&lt;=$B$174,588&lt;=$B$173),B988*C988/12,IF(AND(588=$B$173+1,AND(588&gt;$B$173,$B$78="Refinance",ISNUMBER($B$80),$B$80&gt;=0,$B$80&lt;=1,ROUND($B$81*12,0)&gt;=1,$B$81&lt;=100,SUM($B$82)&gt;=0,SUM($B$82)&lt;=1,SUM($B$83)&gt;=0)),IF(B988=0,0,IF(C988=0,B988/ROUND($B$81*12,0),B988*(C988/12)/(1-(1+C988/12)^(-ROUND($B$81*12,0))))),IF(AND(NOT(AND(588&gt;$B$173,$B$78="Refinance",ISNUMBER($B$80),$B$80&gt;=0,$B$80&lt;=1,ROUND($B$81*12,0)&gt;=1,$B$81&lt;=100,SUM($B$82)&gt;=0,SUM($B$82)&lt;=1,SUM($B$83)&gt;=0)),OR(588=1,588=$B$174+1,AND($B$175&gt;0,588=$B$175+1))),IF(AND($B$170=1,$B$66&gt;0,OR($B$175=0,588&lt;=$B$175)),$B$66,IF($B$172-MAX(588-1,$B$174)&gt;0,IF(B988=0,0,IF(C988=0,B988/($B$172-MAX(588-1,$B$174)),B988*(C988/12)/(1-(1+C988/12)^(-($B$172-MAX(588-1,$B$174)))))),"")),D987))))),IF(IF(AND(588&lt;=$B$174,588&lt;=$B$173),B988*C988/12,IF(AND(588=$B$173+1,AND(588&gt;$B$173,$B$78="Refinance",ISNUMBER($B$80),$B$80&gt;=0,$B$80&lt;=1,ROUND($B$81*12,0)&gt;=1,$B$81&lt;=100,SUM($B$82)&gt;=0,SUM($B$82)&lt;=1,SUM($B$83)&gt;=0)),IF(B988=0,0,IF(C988=0,B988/ROUND($B$81*12,0),B988*(C988/12)/(1-(1+C988/12)^(-ROUND($B$81*12,0))))),IF(AND(NOT(AND(588&gt;$B$173,$B$78="Refinance",ISNUMBER($B$80),$B$80&gt;=0,$B$80&lt;=1,ROUND($B$81*12,0)&gt;=1,$B$81&lt;=100,SUM($B$82)&gt;=0,SUM($B$82)&lt;=1,SUM($B$83)&gt;=0)),OR(588=1,588=$B$174+1,AND($B$175&gt;0,588=$B$175+1))),IF(AND($B$170=1,$B$66&gt;0,OR($B$175=0,588&lt;=$B$175)),$B$66,IF($B$172-MAX(588-1,$B$174)&gt;0,IF(B988=0,0,IF(C988=0,B988/($B$172-MAX(588-1,$B$174)),B988*(C988/12)/(1-(1+C988/12)^(-($B$172-MAX(588-1,$B$174)))))),"")),D987)))+0.0000001&gt;=B988*C988/12,MIN(B988*(1+C988/12),IF(AND(588&lt;=$B$174,588&lt;=$B$173),B988*C988/12,IF(AND(588=$B$173+1,AND(588&gt;$B$173,$B$78="Refinance",ISNUMBER($B$80),$B$80&gt;=0,$B$80&lt;=1,ROUND($B$81*12,0)&gt;=1,$B$81&lt;=100,SUM($B$82)&gt;=0,SUM($B$82)&lt;=1,SUM($B$83)&gt;=0)),IF(B988=0,0,IF(C988=0,B988/ROUND($B$81*12,0),B988*(C988/12)/(1-(1+C988/12)^(-ROUND($B$81*12,0))))),IF(AND(NOT(AND(588&gt;$B$173,$B$78="Refinance",ISNUMBER($B$80),$B$80&gt;=0,$B$80&lt;=1,ROUND($B$81*12,0)&gt;=1,$B$81&lt;=100,SUM($B$82)&gt;=0,SUM($B$82)&lt;=1,SUM($B$83)&gt;=0)),OR(588=1,588=$B$174+1,AND($B$175&gt;0,588=$B$175+1))),IF(AND($B$170=1,$B$66&gt;0,OR($B$175=0,588&lt;=$B$175)),$B$66,IF($B$172-MAX(588-1,$B$174)&gt;0,IF(B988=0,0,IF(C988=0,B988/($B$172-MAX(588-1,$B$174)),B988*(C988/12)/(1-(1+C988/12)^(-($B$172-MAX(588-1,$B$174)))))),"")),D987)))),""),""))</x:f>
        <x:v>0</x:v>
      </x:c>
      <x:c r="E988" s="440" t="n">
        <x:f>IF(AND(588=$B$173,ISNUMBER(D988)),IF(MAX(0,B988*(1+C988/12)-D988)&lt;MAX(0.0000001,$E$17*0.00000000001),0,MAX(0,B988*(1+C988/12)-D988)),0)</x:f>
        <x:v>0</x:v>
      </x:c>
      <x:c r="F988" s="440" t="n">
        <x:f>IF($B$78="Cash payoff",E988,0)</x:f>
        <x:v>0</x:v>
      </x:c>
      <x:c r="G988" s="440" t="n">
        <x:f>IF(AND(E988&gt;0,AND($B$78="Refinance",ISNUMBER($B$80),$B$80&gt;=0,$B$80&lt;=1,ROUND($B$81*12,0)&gt;=1,$B$81&lt;=100,SUM($B$82)&gt;=0,SUM($B$82)&lt;=1,SUM($B$83)&gt;=0)),E988*SUM($B$82)+SUM($B$83),0)</x:f>
        <x:v>0</x:v>
      </x:c>
      <x:c r="H988" s="440" t="n">
        <x:f>IF(ISNUMBER(D988),IF(MAX(0,B988*(1+C988/12)-D988-F988)&lt;MAX(0.0000001,$E$17*0.00000000001),0,MAX(0,B988*(1+C988/12)-D988-F988)),IF(AND($B$171=1,I987=1),B988,""))</x:f>
        <x:v>0</x:v>
      </x:c>
      <x:c r="I988" s="444" t="n">
        <x:f>IF(OR(I987=1,AND(E988&gt;0,$B$78&lt;&gt;"Cash payoff",NOT(AND($B$78="Refinance",ISNUMBER($B$80),$B$80&gt;=0,$B$80&lt;=1,ROUND($B$81*12,0)&gt;=1,$B$81&lt;=100,SUM($B$82)&gt;=0,SUM($B$82)&lt;=1,SUM($B$83)&gt;=0))),AND(ISNUMBER(B988),B988&gt;0,$B$171=1,NOT(ISNUMBER(D988)))),1,0)</x:f>
        <x:v>0</x:v>
      </x:c>
      <x:c r="J988" s="440" t="n">
        <x:f>IF(ISNUMBER(L987),L987,"")</x:f>
        <x:v>0</x:v>
      </x:c>
      <x:c r="K988" s="440" t="n">
        <x:f>IF(AND(ISNUMBER(J988),J988=0),0,IF(AND($B$176=1,ISNUMBER(J988)),MIN(J988*(1+$B$87/12),IF($B$86=0,0,IF($B$87=0,$B$86/ROUND($B$88*12,0),$B$86*($B$87/12)/(1-(1+$B$87/12)^(-ROUND($B$88*12,0)))))),""))</x:f>
        <x:v>0</x:v>
      </x:c>
      <x:c r="L988" s="440" t="n">
        <x:f>IF(ISNUMBER(K988),IF(MAX(0,J988*(1+SUM($B$87)/12)-K988)&lt;MAX(0.0000001,$B$86*0.00000000001),0,MAX(0,J988*(1+SUM($B$87)/12)-K988)),"")</x:f>
        <x:v>0</x:v>
      </x:c>
      <x:c r="M988" s="440" t="n">
        <x:f>IF(AND(ISNUMBER(D988),ISNUMBER(K988)),D988+K988,"")</x:f>
        <x:v>0</x:v>
      </x:c>
      <x:c r="N988" s="440" t="n">
        <x:f>IF(AND(ISNUMBER(H988),ISNUMBER(L988)),H988+L988,"")</x:f>
        <x:v>0</x:v>
      </x:c>
    </x:row>
    <x:row r="989" ht="22" customHeight="1">
      <x:c r="A989" s="254" t="n">
        <x:f>589</x:f>
        <x:v>589</x:v>
      </x:c>
      <x:c r="B989" s="440" t="n">
        <x:f>IF(ISNUMBER(H988),H988,"")</x:f>
        <x:v>0</x:v>
      </x:c>
      <x:c r="C989" s="442" t="n">
        <x:f>IF(ISNUMBER(B989),IF(AND(589&gt;$B$173,$B$78="Refinance",ISNUMBER($B$80),$B$80&gt;=0,$B$80&lt;=1,ROUND($B$81*12,0)&gt;=1,$B$81&lt;=100,SUM($B$82)&gt;=0,SUM($B$82)&lt;=1,SUM($B$83)&gt;=0),$B$80,IF(AND($B$175&gt;0,589&gt;$B$175,ISNUMBER($B$75)),$B$75,$B$61)),"")</x:f>
        <x:v>0.0625</x:v>
      </x:c>
      <x:c r="D989" s="440" t="n">
        <x:f>IF(AND(ISNUMBER(B989),B989=0),0,IF(AND($B$171=1,I988=0,ISNUMBER(C989),ISNUMBER(IF(AND(589&lt;=$B$174,589&lt;=$B$173),B989*C989/12,IF(AND(589=$B$173+1,AND(589&gt;$B$173,$B$78="Refinance",ISNUMBER($B$80),$B$80&gt;=0,$B$80&lt;=1,ROUND($B$81*12,0)&gt;=1,$B$81&lt;=100,SUM($B$82)&gt;=0,SUM($B$82)&lt;=1,SUM($B$83)&gt;=0)),IF(B989=0,0,IF(C989=0,B989/ROUND($B$81*12,0),B989*(C989/12)/(1-(1+C989/12)^(-ROUND($B$81*12,0))))),IF(AND(NOT(AND(589&gt;$B$173,$B$78="Refinance",ISNUMBER($B$80),$B$80&gt;=0,$B$80&lt;=1,ROUND($B$81*12,0)&gt;=1,$B$81&lt;=100,SUM($B$82)&gt;=0,SUM($B$82)&lt;=1,SUM($B$83)&gt;=0)),OR(589=1,589=$B$174+1,AND($B$175&gt;0,589=$B$175+1))),IF(AND($B$170=1,$B$66&gt;0,OR($B$175=0,589&lt;=$B$175)),$B$66,IF($B$172-MAX(589-1,$B$174)&gt;0,IF(B989=0,0,IF(C989=0,B989/($B$172-MAX(589-1,$B$174)),B989*(C989/12)/(1-(1+C989/12)^(-($B$172-MAX(589-1,$B$174)))))),"")),D988))))),IF(IF(AND(589&lt;=$B$174,589&lt;=$B$173),B989*C989/12,IF(AND(589=$B$173+1,AND(589&gt;$B$173,$B$78="Refinance",ISNUMBER($B$80),$B$80&gt;=0,$B$80&lt;=1,ROUND($B$81*12,0)&gt;=1,$B$81&lt;=100,SUM($B$82)&gt;=0,SUM($B$82)&lt;=1,SUM($B$83)&gt;=0)),IF(B989=0,0,IF(C989=0,B989/ROUND($B$81*12,0),B989*(C989/12)/(1-(1+C989/12)^(-ROUND($B$81*12,0))))),IF(AND(NOT(AND(589&gt;$B$173,$B$78="Refinance",ISNUMBER($B$80),$B$80&gt;=0,$B$80&lt;=1,ROUND($B$81*12,0)&gt;=1,$B$81&lt;=100,SUM($B$82)&gt;=0,SUM($B$82)&lt;=1,SUM($B$83)&gt;=0)),OR(589=1,589=$B$174+1,AND($B$175&gt;0,589=$B$175+1))),IF(AND($B$170=1,$B$66&gt;0,OR($B$175=0,589&lt;=$B$175)),$B$66,IF($B$172-MAX(589-1,$B$174)&gt;0,IF(B989=0,0,IF(C989=0,B989/($B$172-MAX(589-1,$B$174)),B989*(C989/12)/(1-(1+C989/12)^(-($B$172-MAX(589-1,$B$174)))))),"")),D988)))+0.0000001&gt;=B989*C989/12,MIN(B989*(1+C989/12),IF(AND(589&lt;=$B$174,589&lt;=$B$173),B989*C989/12,IF(AND(589=$B$173+1,AND(589&gt;$B$173,$B$78="Refinance",ISNUMBER($B$80),$B$80&gt;=0,$B$80&lt;=1,ROUND($B$81*12,0)&gt;=1,$B$81&lt;=100,SUM($B$82)&gt;=0,SUM($B$82)&lt;=1,SUM($B$83)&gt;=0)),IF(B989=0,0,IF(C989=0,B989/ROUND($B$81*12,0),B989*(C989/12)/(1-(1+C989/12)^(-ROUND($B$81*12,0))))),IF(AND(NOT(AND(589&gt;$B$173,$B$78="Refinance",ISNUMBER($B$80),$B$80&gt;=0,$B$80&lt;=1,ROUND($B$81*12,0)&gt;=1,$B$81&lt;=100,SUM($B$82)&gt;=0,SUM($B$82)&lt;=1,SUM($B$83)&gt;=0)),OR(589=1,589=$B$174+1,AND($B$175&gt;0,589=$B$175+1))),IF(AND($B$170=1,$B$66&gt;0,OR($B$175=0,589&lt;=$B$175)),$B$66,IF($B$172-MAX(589-1,$B$174)&gt;0,IF(B989=0,0,IF(C989=0,B989/($B$172-MAX(589-1,$B$174)),B989*(C989/12)/(1-(1+C989/12)^(-($B$172-MAX(589-1,$B$174)))))),"")),D988)))),""),""))</x:f>
        <x:v>0</x:v>
      </x:c>
      <x:c r="E989" s="440" t="n">
        <x:f>IF(AND(589=$B$173,ISNUMBER(D989)),IF(MAX(0,B989*(1+C989/12)-D989)&lt;MAX(0.0000001,$E$17*0.00000000001),0,MAX(0,B989*(1+C989/12)-D989)),0)</x:f>
        <x:v>0</x:v>
      </x:c>
      <x:c r="F989" s="440" t="n">
        <x:f>IF($B$78="Cash payoff",E989,0)</x:f>
        <x:v>0</x:v>
      </x:c>
      <x:c r="G989" s="440" t="n">
        <x:f>IF(AND(E989&gt;0,AND($B$78="Refinance",ISNUMBER($B$80),$B$80&gt;=0,$B$80&lt;=1,ROUND($B$81*12,0)&gt;=1,$B$81&lt;=100,SUM($B$82)&gt;=0,SUM($B$82)&lt;=1,SUM($B$83)&gt;=0)),E989*SUM($B$82)+SUM($B$83),0)</x:f>
        <x:v>0</x:v>
      </x:c>
      <x:c r="H989" s="440" t="n">
        <x:f>IF(ISNUMBER(D989),IF(MAX(0,B989*(1+C989/12)-D989-F989)&lt;MAX(0.0000001,$E$17*0.00000000001),0,MAX(0,B989*(1+C989/12)-D989-F989)),IF(AND($B$171=1,I988=1),B989,""))</x:f>
        <x:v>0</x:v>
      </x:c>
      <x:c r="I989" s="444" t="n">
        <x:f>IF(OR(I988=1,AND(E989&gt;0,$B$78&lt;&gt;"Cash payoff",NOT(AND($B$78="Refinance",ISNUMBER($B$80),$B$80&gt;=0,$B$80&lt;=1,ROUND($B$81*12,0)&gt;=1,$B$81&lt;=100,SUM($B$82)&gt;=0,SUM($B$82)&lt;=1,SUM($B$83)&gt;=0))),AND(ISNUMBER(B989),B989&gt;0,$B$171=1,NOT(ISNUMBER(D989)))),1,0)</x:f>
        <x:v>0</x:v>
      </x:c>
      <x:c r="J989" s="440" t="n">
        <x:f>IF(ISNUMBER(L988),L988,"")</x:f>
        <x:v>0</x:v>
      </x:c>
      <x:c r="K989" s="440" t="n">
        <x:f>IF(AND(ISNUMBER(J989),J989=0),0,IF(AND($B$176=1,ISNUMBER(J989)),MIN(J989*(1+$B$87/12),IF($B$86=0,0,IF($B$87=0,$B$86/ROUND($B$88*12,0),$B$86*($B$87/12)/(1-(1+$B$87/12)^(-ROUND($B$88*12,0)))))),""))</x:f>
        <x:v>0</x:v>
      </x:c>
      <x:c r="L989" s="440" t="n">
        <x:f>IF(ISNUMBER(K989),IF(MAX(0,J989*(1+SUM($B$87)/12)-K989)&lt;MAX(0.0000001,$B$86*0.00000000001),0,MAX(0,J989*(1+SUM($B$87)/12)-K989)),"")</x:f>
        <x:v>0</x:v>
      </x:c>
      <x:c r="M989" s="440" t="n">
        <x:f>IF(AND(ISNUMBER(D989),ISNUMBER(K989)),D989+K989,"")</x:f>
        <x:v>0</x:v>
      </x:c>
      <x:c r="N989" s="440" t="n">
        <x:f>IF(AND(ISNUMBER(H989),ISNUMBER(L989)),H989+L989,"")</x:f>
        <x:v>0</x:v>
      </x:c>
    </x:row>
    <x:row r="990" ht="22" customHeight="1">
      <x:c r="A990" s="254" t="n">
        <x:f>590</x:f>
        <x:v>590</x:v>
      </x:c>
      <x:c r="B990" s="440" t="n">
        <x:f>IF(ISNUMBER(H989),H989,"")</x:f>
        <x:v>0</x:v>
      </x:c>
      <x:c r="C990" s="442" t="n">
        <x:f>IF(ISNUMBER(B990),IF(AND(590&gt;$B$173,$B$78="Refinance",ISNUMBER($B$80),$B$80&gt;=0,$B$80&lt;=1,ROUND($B$81*12,0)&gt;=1,$B$81&lt;=100,SUM($B$82)&gt;=0,SUM($B$82)&lt;=1,SUM($B$83)&gt;=0),$B$80,IF(AND($B$175&gt;0,590&gt;$B$175,ISNUMBER($B$75)),$B$75,$B$61)),"")</x:f>
        <x:v>0.0625</x:v>
      </x:c>
      <x:c r="D990" s="440" t="n">
        <x:f>IF(AND(ISNUMBER(B990),B990=0),0,IF(AND($B$171=1,I989=0,ISNUMBER(C990),ISNUMBER(IF(AND(590&lt;=$B$174,590&lt;=$B$173),B990*C990/12,IF(AND(590=$B$173+1,AND(590&gt;$B$173,$B$78="Refinance",ISNUMBER($B$80),$B$80&gt;=0,$B$80&lt;=1,ROUND($B$81*12,0)&gt;=1,$B$81&lt;=100,SUM($B$82)&gt;=0,SUM($B$82)&lt;=1,SUM($B$83)&gt;=0)),IF(B990=0,0,IF(C990=0,B990/ROUND($B$81*12,0),B990*(C990/12)/(1-(1+C990/12)^(-ROUND($B$81*12,0))))),IF(AND(NOT(AND(590&gt;$B$173,$B$78="Refinance",ISNUMBER($B$80),$B$80&gt;=0,$B$80&lt;=1,ROUND($B$81*12,0)&gt;=1,$B$81&lt;=100,SUM($B$82)&gt;=0,SUM($B$82)&lt;=1,SUM($B$83)&gt;=0)),OR(590=1,590=$B$174+1,AND($B$175&gt;0,590=$B$175+1))),IF(AND($B$170=1,$B$66&gt;0,OR($B$175=0,590&lt;=$B$175)),$B$66,IF($B$172-MAX(590-1,$B$174)&gt;0,IF(B990=0,0,IF(C990=0,B990/($B$172-MAX(590-1,$B$174)),B990*(C990/12)/(1-(1+C990/12)^(-($B$172-MAX(590-1,$B$174)))))),"")),D989))))),IF(IF(AND(590&lt;=$B$174,590&lt;=$B$173),B990*C990/12,IF(AND(590=$B$173+1,AND(590&gt;$B$173,$B$78="Refinance",ISNUMBER($B$80),$B$80&gt;=0,$B$80&lt;=1,ROUND($B$81*12,0)&gt;=1,$B$81&lt;=100,SUM($B$82)&gt;=0,SUM($B$82)&lt;=1,SUM($B$83)&gt;=0)),IF(B990=0,0,IF(C990=0,B990/ROUND($B$81*12,0),B990*(C990/12)/(1-(1+C990/12)^(-ROUND($B$81*12,0))))),IF(AND(NOT(AND(590&gt;$B$173,$B$78="Refinance",ISNUMBER($B$80),$B$80&gt;=0,$B$80&lt;=1,ROUND($B$81*12,0)&gt;=1,$B$81&lt;=100,SUM($B$82)&gt;=0,SUM($B$82)&lt;=1,SUM($B$83)&gt;=0)),OR(590=1,590=$B$174+1,AND($B$175&gt;0,590=$B$175+1))),IF(AND($B$170=1,$B$66&gt;0,OR($B$175=0,590&lt;=$B$175)),$B$66,IF($B$172-MAX(590-1,$B$174)&gt;0,IF(B990=0,0,IF(C990=0,B990/($B$172-MAX(590-1,$B$174)),B990*(C990/12)/(1-(1+C990/12)^(-($B$172-MAX(590-1,$B$174)))))),"")),D989)))+0.0000001&gt;=B990*C990/12,MIN(B990*(1+C990/12),IF(AND(590&lt;=$B$174,590&lt;=$B$173),B990*C990/12,IF(AND(590=$B$173+1,AND(590&gt;$B$173,$B$78="Refinance",ISNUMBER($B$80),$B$80&gt;=0,$B$80&lt;=1,ROUND($B$81*12,0)&gt;=1,$B$81&lt;=100,SUM($B$82)&gt;=0,SUM($B$82)&lt;=1,SUM($B$83)&gt;=0)),IF(B990=0,0,IF(C990=0,B990/ROUND($B$81*12,0),B990*(C990/12)/(1-(1+C990/12)^(-ROUND($B$81*12,0))))),IF(AND(NOT(AND(590&gt;$B$173,$B$78="Refinance",ISNUMBER($B$80),$B$80&gt;=0,$B$80&lt;=1,ROUND($B$81*12,0)&gt;=1,$B$81&lt;=100,SUM($B$82)&gt;=0,SUM($B$82)&lt;=1,SUM($B$83)&gt;=0)),OR(590=1,590=$B$174+1,AND($B$175&gt;0,590=$B$175+1))),IF(AND($B$170=1,$B$66&gt;0,OR($B$175=0,590&lt;=$B$175)),$B$66,IF($B$172-MAX(590-1,$B$174)&gt;0,IF(B990=0,0,IF(C990=0,B990/($B$172-MAX(590-1,$B$174)),B990*(C990/12)/(1-(1+C990/12)^(-($B$172-MAX(590-1,$B$174)))))),"")),D989)))),""),""))</x:f>
        <x:v>0</x:v>
      </x:c>
      <x:c r="E990" s="440" t="n">
        <x:f>IF(AND(590=$B$173,ISNUMBER(D990)),IF(MAX(0,B990*(1+C990/12)-D990)&lt;MAX(0.0000001,$E$17*0.00000000001),0,MAX(0,B990*(1+C990/12)-D990)),0)</x:f>
        <x:v>0</x:v>
      </x:c>
      <x:c r="F990" s="440" t="n">
        <x:f>IF($B$78="Cash payoff",E990,0)</x:f>
        <x:v>0</x:v>
      </x:c>
      <x:c r="G990" s="440" t="n">
        <x:f>IF(AND(E990&gt;0,AND($B$78="Refinance",ISNUMBER($B$80),$B$80&gt;=0,$B$80&lt;=1,ROUND($B$81*12,0)&gt;=1,$B$81&lt;=100,SUM($B$82)&gt;=0,SUM($B$82)&lt;=1,SUM($B$83)&gt;=0)),E990*SUM($B$82)+SUM($B$83),0)</x:f>
        <x:v>0</x:v>
      </x:c>
      <x:c r="H990" s="440" t="n">
        <x:f>IF(ISNUMBER(D990),IF(MAX(0,B990*(1+C990/12)-D990-F990)&lt;MAX(0.0000001,$E$17*0.00000000001),0,MAX(0,B990*(1+C990/12)-D990-F990)),IF(AND($B$171=1,I989=1),B990,""))</x:f>
        <x:v>0</x:v>
      </x:c>
      <x:c r="I990" s="444" t="n">
        <x:f>IF(OR(I989=1,AND(E990&gt;0,$B$78&lt;&gt;"Cash payoff",NOT(AND($B$78="Refinance",ISNUMBER($B$80),$B$80&gt;=0,$B$80&lt;=1,ROUND($B$81*12,0)&gt;=1,$B$81&lt;=100,SUM($B$82)&gt;=0,SUM($B$82)&lt;=1,SUM($B$83)&gt;=0))),AND(ISNUMBER(B990),B990&gt;0,$B$171=1,NOT(ISNUMBER(D990)))),1,0)</x:f>
        <x:v>0</x:v>
      </x:c>
      <x:c r="J990" s="440" t="n">
        <x:f>IF(ISNUMBER(L989),L989,"")</x:f>
        <x:v>0</x:v>
      </x:c>
      <x:c r="K990" s="440" t="n">
        <x:f>IF(AND(ISNUMBER(J990),J990=0),0,IF(AND($B$176=1,ISNUMBER(J990)),MIN(J990*(1+$B$87/12),IF($B$86=0,0,IF($B$87=0,$B$86/ROUND($B$88*12,0),$B$86*($B$87/12)/(1-(1+$B$87/12)^(-ROUND($B$88*12,0)))))),""))</x:f>
        <x:v>0</x:v>
      </x:c>
      <x:c r="L990" s="440" t="n">
        <x:f>IF(ISNUMBER(K990),IF(MAX(0,J990*(1+SUM($B$87)/12)-K990)&lt;MAX(0.0000001,$B$86*0.00000000001),0,MAX(0,J990*(1+SUM($B$87)/12)-K990)),"")</x:f>
        <x:v>0</x:v>
      </x:c>
      <x:c r="M990" s="440" t="n">
        <x:f>IF(AND(ISNUMBER(D990),ISNUMBER(K990)),D990+K990,"")</x:f>
        <x:v>0</x:v>
      </x:c>
      <x:c r="N990" s="440" t="n">
        <x:f>IF(AND(ISNUMBER(H990),ISNUMBER(L990)),H990+L990,"")</x:f>
        <x:v>0</x:v>
      </x:c>
    </x:row>
    <x:row r="991" ht="22" customHeight="1">
      <x:c r="A991" s="254" t="n">
        <x:f>591</x:f>
        <x:v>591</x:v>
      </x:c>
      <x:c r="B991" s="440" t="n">
        <x:f>IF(ISNUMBER(H990),H990,"")</x:f>
        <x:v>0</x:v>
      </x:c>
      <x:c r="C991" s="442" t="n">
        <x:f>IF(ISNUMBER(B991),IF(AND(591&gt;$B$173,$B$78="Refinance",ISNUMBER($B$80),$B$80&gt;=0,$B$80&lt;=1,ROUND($B$81*12,0)&gt;=1,$B$81&lt;=100,SUM($B$82)&gt;=0,SUM($B$82)&lt;=1,SUM($B$83)&gt;=0),$B$80,IF(AND($B$175&gt;0,591&gt;$B$175,ISNUMBER($B$75)),$B$75,$B$61)),"")</x:f>
        <x:v>0.0625</x:v>
      </x:c>
      <x:c r="D991" s="440" t="n">
        <x:f>IF(AND(ISNUMBER(B991),B991=0),0,IF(AND($B$171=1,I990=0,ISNUMBER(C991),ISNUMBER(IF(AND(591&lt;=$B$174,591&lt;=$B$173),B991*C991/12,IF(AND(591=$B$173+1,AND(591&gt;$B$173,$B$78="Refinance",ISNUMBER($B$80),$B$80&gt;=0,$B$80&lt;=1,ROUND($B$81*12,0)&gt;=1,$B$81&lt;=100,SUM($B$82)&gt;=0,SUM($B$82)&lt;=1,SUM($B$83)&gt;=0)),IF(B991=0,0,IF(C991=0,B991/ROUND($B$81*12,0),B991*(C991/12)/(1-(1+C991/12)^(-ROUND($B$81*12,0))))),IF(AND(NOT(AND(591&gt;$B$173,$B$78="Refinance",ISNUMBER($B$80),$B$80&gt;=0,$B$80&lt;=1,ROUND($B$81*12,0)&gt;=1,$B$81&lt;=100,SUM($B$82)&gt;=0,SUM($B$82)&lt;=1,SUM($B$83)&gt;=0)),OR(591=1,591=$B$174+1,AND($B$175&gt;0,591=$B$175+1))),IF(AND($B$170=1,$B$66&gt;0,OR($B$175=0,591&lt;=$B$175)),$B$66,IF($B$172-MAX(591-1,$B$174)&gt;0,IF(B991=0,0,IF(C991=0,B991/($B$172-MAX(591-1,$B$174)),B991*(C991/12)/(1-(1+C991/12)^(-($B$172-MAX(591-1,$B$174)))))),"")),D990))))),IF(IF(AND(591&lt;=$B$174,591&lt;=$B$173),B991*C991/12,IF(AND(591=$B$173+1,AND(591&gt;$B$173,$B$78="Refinance",ISNUMBER($B$80),$B$80&gt;=0,$B$80&lt;=1,ROUND($B$81*12,0)&gt;=1,$B$81&lt;=100,SUM($B$82)&gt;=0,SUM($B$82)&lt;=1,SUM($B$83)&gt;=0)),IF(B991=0,0,IF(C991=0,B991/ROUND($B$81*12,0),B991*(C991/12)/(1-(1+C991/12)^(-ROUND($B$81*12,0))))),IF(AND(NOT(AND(591&gt;$B$173,$B$78="Refinance",ISNUMBER($B$80),$B$80&gt;=0,$B$80&lt;=1,ROUND($B$81*12,0)&gt;=1,$B$81&lt;=100,SUM($B$82)&gt;=0,SUM($B$82)&lt;=1,SUM($B$83)&gt;=0)),OR(591=1,591=$B$174+1,AND($B$175&gt;0,591=$B$175+1))),IF(AND($B$170=1,$B$66&gt;0,OR($B$175=0,591&lt;=$B$175)),$B$66,IF($B$172-MAX(591-1,$B$174)&gt;0,IF(B991=0,0,IF(C991=0,B991/($B$172-MAX(591-1,$B$174)),B991*(C991/12)/(1-(1+C991/12)^(-($B$172-MAX(591-1,$B$174)))))),"")),D990)))+0.0000001&gt;=B991*C991/12,MIN(B991*(1+C991/12),IF(AND(591&lt;=$B$174,591&lt;=$B$173),B991*C991/12,IF(AND(591=$B$173+1,AND(591&gt;$B$173,$B$78="Refinance",ISNUMBER($B$80),$B$80&gt;=0,$B$80&lt;=1,ROUND($B$81*12,0)&gt;=1,$B$81&lt;=100,SUM($B$82)&gt;=0,SUM($B$82)&lt;=1,SUM($B$83)&gt;=0)),IF(B991=0,0,IF(C991=0,B991/ROUND($B$81*12,0),B991*(C991/12)/(1-(1+C991/12)^(-ROUND($B$81*12,0))))),IF(AND(NOT(AND(591&gt;$B$173,$B$78="Refinance",ISNUMBER($B$80),$B$80&gt;=0,$B$80&lt;=1,ROUND($B$81*12,0)&gt;=1,$B$81&lt;=100,SUM($B$82)&gt;=0,SUM($B$82)&lt;=1,SUM($B$83)&gt;=0)),OR(591=1,591=$B$174+1,AND($B$175&gt;0,591=$B$175+1))),IF(AND($B$170=1,$B$66&gt;0,OR($B$175=0,591&lt;=$B$175)),$B$66,IF($B$172-MAX(591-1,$B$174)&gt;0,IF(B991=0,0,IF(C991=0,B991/($B$172-MAX(591-1,$B$174)),B991*(C991/12)/(1-(1+C991/12)^(-($B$172-MAX(591-1,$B$174)))))),"")),D990)))),""),""))</x:f>
        <x:v>0</x:v>
      </x:c>
      <x:c r="E991" s="440" t="n">
        <x:f>IF(AND(591=$B$173,ISNUMBER(D991)),IF(MAX(0,B991*(1+C991/12)-D991)&lt;MAX(0.0000001,$E$17*0.00000000001),0,MAX(0,B991*(1+C991/12)-D991)),0)</x:f>
        <x:v>0</x:v>
      </x:c>
      <x:c r="F991" s="440" t="n">
        <x:f>IF($B$78="Cash payoff",E991,0)</x:f>
        <x:v>0</x:v>
      </x:c>
      <x:c r="G991" s="440" t="n">
        <x:f>IF(AND(E991&gt;0,AND($B$78="Refinance",ISNUMBER($B$80),$B$80&gt;=0,$B$80&lt;=1,ROUND($B$81*12,0)&gt;=1,$B$81&lt;=100,SUM($B$82)&gt;=0,SUM($B$82)&lt;=1,SUM($B$83)&gt;=0)),E991*SUM($B$82)+SUM($B$83),0)</x:f>
        <x:v>0</x:v>
      </x:c>
      <x:c r="H991" s="440" t="n">
        <x:f>IF(ISNUMBER(D991),IF(MAX(0,B991*(1+C991/12)-D991-F991)&lt;MAX(0.0000001,$E$17*0.00000000001),0,MAX(0,B991*(1+C991/12)-D991-F991)),IF(AND($B$171=1,I990=1),B991,""))</x:f>
        <x:v>0</x:v>
      </x:c>
      <x:c r="I991" s="444" t="n">
        <x:f>IF(OR(I990=1,AND(E991&gt;0,$B$78&lt;&gt;"Cash payoff",NOT(AND($B$78="Refinance",ISNUMBER($B$80),$B$80&gt;=0,$B$80&lt;=1,ROUND($B$81*12,0)&gt;=1,$B$81&lt;=100,SUM($B$82)&gt;=0,SUM($B$82)&lt;=1,SUM($B$83)&gt;=0))),AND(ISNUMBER(B991),B991&gt;0,$B$171=1,NOT(ISNUMBER(D991)))),1,0)</x:f>
        <x:v>0</x:v>
      </x:c>
      <x:c r="J991" s="440" t="n">
        <x:f>IF(ISNUMBER(L990),L990,"")</x:f>
        <x:v>0</x:v>
      </x:c>
      <x:c r="K991" s="440" t="n">
        <x:f>IF(AND(ISNUMBER(J991),J991=0),0,IF(AND($B$176=1,ISNUMBER(J991)),MIN(J991*(1+$B$87/12),IF($B$86=0,0,IF($B$87=0,$B$86/ROUND($B$88*12,0),$B$86*($B$87/12)/(1-(1+$B$87/12)^(-ROUND($B$88*12,0)))))),""))</x:f>
        <x:v>0</x:v>
      </x:c>
      <x:c r="L991" s="440" t="n">
        <x:f>IF(ISNUMBER(K991),IF(MAX(0,J991*(1+SUM($B$87)/12)-K991)&lt;MAX(0.0000001,$B$86*0.00000000001),0,MAX(0,J991*(1+SUM($B$87)/12)-K991)),"")</x:f>
        <x:v>0</x:v>
      </x:c>
      <x:c r="M991" s="440" t="n">
        <x:f>IF(AND(ISNUMBER(D991),ISNUMBER(K991)),D991+K991,"")</x:f>
        <x:v>0</x:v>
      </x:c>
      <x:c r="N991" s="440" t="n">
        <x:f>IF(AND(ISNUMBER(H991),ISNUMBER(L991)),H991+L991,"")</x:f>
        <x:v>0</x:v>
      </x:c>
    </x:row>
    <x:row r="992" ht="22" customHeight="1">
      <x:c r="A992" s="254" t="n">
        <x:f>592</x:f>
        <x:v>592</x:v>
      </x:c>
      <x:c r="B992" s="440" t="n">
        <x:f>IF(ISNUMBER(H991),H991,"")</x:f>
        <x:v>0</x:v>
      </x:c>
      <x:c r="C992" s="442" t="n">
        <x:f>IF(ISNUMBER(B992),IF(AND(592&gt;$B$173,$B$78="Refinance",ISNUMBER($B$80),$B$80&gt;=0,$B$80&lt;=1,ROUND($B$81*12,0)&gt;=1,$B$81&lt;=100,SUM($B$82)&gt;=0,SUM($B$82)&lt;=1,SUM($B$83)&gt;=0),$B$80,IF(AND($B$175&gt;0,592&gt;$B$175,ISNUMBER($B$75)),$B$75,$B$61)),"")</x:f>
        <x:v>0.0625</x:v>
      </x:c>
      <x:c r="D992" s="440" t="n">
        <x:f>IF(AND(ISNUMBER(B992),B992=0),0,IF(AND($B$171=1,I991=0,ISNUMBER(C992),ISNUMBER(IF(AND(592&lt;=$B$174,592&lt;=$B$173),B992*C992/12,IF(AND(592=$B$173+1,AND(592&gt;$B$173,$B$78="Refinance",ISNUMBER($B$80),$B$80&gt;=0,$B$80&lt;=1,ROUND($B$81*12,0)&gt;=1,$B$81&lt;=100,SUM($B$82)&gt;=0,SUM($B$82)&lt;=1,SUM($B$83)&gt;=0)),IF(B992=0,0,IF(C992=0,B992/ROUND($B$81*12,0),B992*(C992/12)/(1-(1+C992/12)^(-ROUND($B$81*12,0))))),IF(AND(NOT(AND(592&gt;$B$173,$B$78="Refinance",ISNUMBER($B$80),$B$80&gt;=0,$B$80&lt;=1,ROUND($B$81*12,0)&gt;=1,$B$81&lt;=100,SUM($B$82)&gt;=0,SUM($B$82)&lt;=1,SUM($B$83)&gt;=0)),OR(592=1,592=$B$174+1,AND($B$175&gt;0,592=$B$175+1))),IF(AND($B$170=1,$B$66&gt;0,OR($B$175=0,592&lt;=$B$175)),$B$66,IF($B$172-MAX(592-1,$B$174)&gt;0,IF(B992=0,0,IF(C992=0,B992/($B$172-MAX(592-1,$B$174)),B992*(C992/12)/(1-(1+C992/12)^(-($B$172-MAX(592-1,$B$174)))))),"")),D991))))),IF(IF(AND(592&lt;=$B$174,592&lt;=$B$173),B992*C992/12,IF(AND(592=$B$173+1,AND(592&gt;$B$173,$B$78="Refinance",ISNUMBER($B$80),$B$80&gt;=0,$B$80&lt;=1,ROUND($B$81*12,0)&gt;=1,$B$81&lt;=100,SUM($B$82)&gt;=0,SUM($B$82)&lt;=1,SUM($B$83)&gt;=0)),IF(B992=0,0,IF(C992=0,B992/ROUND($B$81*12,0),B992*(C992/12)/(1-(1+C992/12)^(-ROUND($B$81*12,0))))),IF(AND(NOT(AND(592&gt;$B$173,$B$78="Refinance",ISNUMBER($B$80),$B$80&gt;=0,$B$80&lt;=1,ROUND($B$81*12,0)&gt;=1,$B$81&lt;=100,SUM($B$82)&gt;=0,SUM($B$82)&lt;=1,SUM($B$83)&gt;=0)),OR(592=1,592=$B$174+1,AND($B$175&gt;0,592=$B$175+1))),IF(AND($B$170=1,$B$66&gt;0,OR($B$175=0,592&lt;=$B$175)),$B$66,IF($B$172-MAX(592-1,$B$174)&gt;0,IF(B992=0,0,IF(C992=0,B992/($B$172-MAX(592-1,$B$174)),B992*(C992/12)/(1-(1+C992/12)^(-($B$172-MAX(592-1,$B$174)))))),"")),D991)))+0.0000001&gt;=B992*C992/12,MIN(B992*(1+C992/12),IF(AND(592&lt;=$B$174,592&lt;=$B$173),B992*C992/12,IF(AND(592=$B$173+1,AND(592&gt;$B$173,$B$78="Refinance",ISNUMBER($B$80),$B$80&gt;=0,$B$80&lt;=1,ROUND($B$81*12,0)&gt;=1,$B$81&lt;=100,SUM($B$82)&gt;=0,SUM($B$82)&lt;=1,SUM($B$83)&gt;=0)),IF(B992=0,0,IF(C992=0,B992/ROUND($B$81*12,0),B992*(C992/12)/(1-(1+C992/12)^(-ROUND($B$81*12,0))))),IF(AND(NOT(AND(592&gt;$B$173,$B$78="Refinance",ISNUMBER($B$80),$B$80&gt;=0,$B$80&lt;=1,ROUND($B$81*12,0)&gt;=1,$B$81&lt;=100,SUM($B$82)&gt;=0,SUM($B$82)&lt;=1,SUM($B$83)&gt;=0)),OR(592=1,592=$B$174+1,AND($B$175&gt;0,592=$B$175+1))),IF(AND($B$170=1,$B$66&gt;0,OR($B$175=0,592&lt;=$B$175)),$B$66,IF($B$172-MAX(592-1,$B$174)&gt;0,IF(B992=0,0,IF(C992=0,B992/($B$172-MAX(592-1,$B$174)),B992*(C992/12)/(1-(1+C992/12)^(-($B$172-MAX(592-1,$B$174)))))),"")),D991)))),""),""))</x:f>
        <x:v>0</x:v>
      </x:c>
      <x:c r="E992" s="440" t="n">
        <x:f>IF(AND(592=$B$173,ISNUMBER(D992)),IF(MAX(0,B992*(1+C992/12)-D992)&lt;MAX(0.0000001,$E$17*0.00000000001),0,MAX(0,B992*(1+C992/12)-D992)),0)</x:f>
        <x:v>0</x:v>
      </x:c>
      <x:c r="F992" s="440" t="n">
        <x:f>IF($B$78="Cash payoff",E992,0)</x:f>
        <x:v>0</x:v>
      </x:c>
      <x:c r="G992" s="440" t="n">
        <x:f>IF(AND(E992&gt;0,AND($B$78="Refinance",ISNUMBER($B$80),$B$80&gt;=0,$B$80&lt;=1,ROUND($B$81*12,0)&gt;=1,$B$81&lt;=100,SUM($B$82)&gt;=0,SUM($B$82)&lt;=1,SUM($B$83)&gt;=0)),E992*SUM($B$82)+SUM($B$83),0)</x:f>
        <x:v>0</x:v>
      </x:c>
      <x:c r="H992" s="440" t="n">
        <x:f>IF(ISNUMBER(D992),IF(MAX(0,B992*(1+C992/12)-D992-F992)&lt;MAX(0.0000001,$E$17*0.00000000001),0,MAX(0,B992*(1+C992/12)-D992-F992)),IF(AND($B$171=1,I991=1),B992,""))</x:f>
        <x:v>0</x:v>
      </x:c>
      <x:c r="I992" s="444" t="n">
        <x:f>IF(OR(I991=1,AND(E992&gt;0,$B$78&lt;&gt;"Cash payoff",NOT(AND($B$78="Refinance",ISNUMBER($B$80),$B$80&gt;=0,$B$80&lt;=1,ROUND($B$81*12,0)&gt;=1,$B$81&lt;=100,SUM($B$82)&gt;=0,SUM($B$82)&lt;=1,SUM($B$83)&gt;=0))),AND(ISNUMBER(B992),B992&gt;0,$B$171=1,NOT(ISNUMBER(D992)))),1,0)</x:f>
        <x:v>0</x:v>
      </x:c>
      <x:c r="J992" s="440" t="n">
        <x:f>IF(ISNUMBER(L991),L991,"")</x:f>
        <x:v>0</x:v>
      </x:c>
      <x:c r="K992" s="440" t="n">
        <x:f>IF(AND(ISNUMBER(J992),J992=0),0,IF(AND($B$176=1,ISNUMBER(J992)),MIN(J992*(1+$B$87/12),IF($B$86=0,0,IF($B$87=0,$B$86/ROUND($B$88*12,0),$B$86*($B$87/12)/(1-(1+$B$87/12)^(-ROUND($B$88*12,0)))))),""))</x:f>
        <x:v>0</x:v>
      </x:c>
      <x:c r="L992" s="440" t="n">
        <x:f>IF(ISNUMBER(K992),IF(MAX(0,J992*(1+SUM($B$87)/12)-K992)&lt;MAX(0.0000001,$B$86*0.00000000001),0,MAX(0,J992*(1+SUM($B$87)/12)-K992)),"")</x:f>
        <x:v>0</x:v>
      </x:c>
      <x:c r="M992" s="440" t="n">
        <x:f>IF(AND(ISNUMBER(D992),ISNUMBER(K992)),D992+K992,"")</x:f>
        <x:v>0</x:v>
      </x:c>
      <x:c r="N992" s="440" t="n">
        <x:f>IF(AND(ISNUMBER(H992),ISNUMBER(L992)),H992+L992,"")</x:f>
        <x:v>0</x:v>
      </x:c>
    </x:row>
    <x:row r="993" ht="22" customHeight="1">
      <x:c r="A993" s="254" t="n">
        <x:f>593</x:f>
        <x:v>593</x:v>
      </x:c>
      <x:c r="B993" s="440" t="n">
        <x:f>IF(ISNUMBER(H992),H992,"")</x:f>
        <x:v>0</x:v>
      </x:c>
      <x:c r="C993" s="442" t="n">
        <x:f>IF(ISNUMBER(B993),IF(AND(593&gt;$B$173,$B$78="Refinance",ISNUMBER($B$80),$B$80&gt;=0,$B$80&lt;=1,ROUND($B$81*12,0)&gt;=1,$B$81&lt;=100,SUM($B$82)&gt;=0,SUM($B$82)&lt;=1,SUM($B$83)&gt;=0),$B$80,IF(AND($B$175&gt;0,593&gt;$B$175,ISNUMBER($B$75)),$B$75,$B$61)),"")</x:f>
        <x:v>0.0625</x:v>
      </x:c>
      <x:c r="D993" s="440" t="n">
        <x:f>IF(AND(ISNUMBER(B993),B993=0),0,IF(AND($B$171=1,I992=0,ISNUMBER(C993),ISNUMBER(IF(AND(593&lt;=$B$174,593&lt;=$B$173),B993*C993/12,IF(AND(593=$B$173+1,AND(593&gt;$B$173,$B$78="Refinance",ISNUMBER($B$80),$B$80&gt;=0,$B$80&lt;=1,ROUND($B$81*12,0)&gt;=1,$B$81&lt;=100,SUM($B$82)&gt;=0,SUM($B$82)&lt;=1,SUM($B$83)&gt;=0)),IF(B993=0,0,IF(C993=0,B993/ROUND($B$81*12,0),B993*(C993/12)/(1-(1+C993/12)^(-ROUND($B$81*12,0))))),IF(AND(NOT(AND(593&gt;$B$173,$B$78="Refinance",ISNUMBER($B$80),$B$80&gt;=0,$B$80&lt;=1,ROUND($B$81*12,0)&gt;=1,$B$81&lt;=100,SUM($B$82)&gt;=0,SUM($B$82)&lt;=1,SUM($B$83)&gt;=0)),OR(593=1,593=$B$174+1,AND($B$175&gt;0,593=$B$175+1))),IF(AND($B$170=1,$B$66&gt;0,OR($B$175=0,593&lt;=$B$175)),$B$66,IF($B$172-MAX(593-1,$B$174)&gt;0,IF(B993=0,0,IF(C993=0,B993/($B$172-MAX(593-1,$B$174)),B993*(C993/12)/(1-(1+C993/12)^(-($B$172-MAX(593-1,$B$174)))))),"")),D992))))),IF(IF(AND(593&lt;=$B$174,593&lt;=$B$173),B993*C993/12,IF(AND(593=$B$173+1,AND(593&gt;$B$173,$B$78="Refinance",ISNUMBER($B$80),$B$80&gt;=0,$B$80&lt;=1,ROUND($B$81*12,0)&gt;=1,$B$81&lt;=100,SUM($B$82)&gt;=0,SUM($B$82)&lt;=1,SUM($B$83)&gt;=0)),IF(B993=0,0,IF(C993=0,B993/ROUND($B$81*12,0),B993*(C993/12)/(1-(1+C993/12)^(-ROUND($B$81*12,0))))),IF(AND(NOT(AND(593&gt;$B$173,$B$78="Refinance",ISNUMBER($B$80),$B$80&gt;=0,$B$80&lt;=1,ROUND($B$81*12,0)&gt;=1,$B$81&lt;=100,SUM($B$82)&gt;=0,SUM($B$82)&lt;=1,SUM($B$83)&gt;=0)),OR(593=1,593=$B$174+1,AND($B$175&gt;0,593=$B$175+1))),IF(AND($B$170=1,$B$66&gt;0,OR($B$175=0,593&lt;=$B$175)),$B$66,IF($B$172-MAX(593-1,$B$174)&gt;0,IF(B993=0,0,IF(C993=0,B993/($B$172-MAX(593-1,$B$174)),B993*(C993/12)/(1-(1+C993/12)^(-($B$172-MAX(593-1,$B$174)))))),"")),D992)))+0.0000001&gt;=B993*C993/12,MIN(B993*(1+C993/12),IF(AND(593&lt;=$B$174,593&lt;=$B$173),B993*C993/12,IF(AND(593=$B$173+1,AND(593&gt;$B$173,$B$78="Refinance",ISNUMBER($B$80),$B$80&gt;=0,$B$80&lt;=1,ROUND($B$81*12,0)&gt;=1,$B$81&lt;=100,SUM($B$82)&gt;=0,SUM($B$82)&lt;=1,SUM($B$83)&gt;=0)),IF(B993=0,0,IF(C993=0,B993/ROUND($B$81*12,0),B993*(C993/12)/(1-(1+C993/12)^(-ROUND($B$81*12,0))))),IF(AND(NOT(AND(593&gt;$B$173,$B$78="Refinance",ISNUMBER($B$80),$B$80&gt;=0,$B$80&lt;=1,ROUND($B$81*12,0)&gt;=1,$B$81&lt;=100,SUM($B$82)&gt;=0,SUM($B$82)&lt;=1,SUM($B$83)&gt;=0)),OR(593=1,593=$B$174+1,AND($B$175&gt;0,593=$B$175+1))),IF(AND($B$170=1,$B$66&gt;0,OR($B$175=0,593&lt;=$B$175)),$B$66,IF($B$172-MAX(593-1,$B$174)&gt;0,IF(B993=0,0,IF(C993=0,B993/($B$172-MAX(593-1,$B$174)),B993*(C993/12)/(1-(1+C993/12)^(-($B$172-MAX(593-1,$B$174)))))),"")),D992)))),""),""))</x:f>
        <x:v>0</x:v>
      </x:c>
      <x:c r="E993" s="440" t="n">
        <x:f>IF(AND(593=$B$173,ISNUMBER(D993)),IF(MAX(0,B993*(1+C993/12)-D993)&lt;MAX(0.0000001,$E$17*0.00000000001),0,MAX(0,B993*(1+C993/12)-D993)),0)</x:f>
        <x:v>0</x:v>
      </x:c>
      <x:c r="F993" s="440" t="n">
        <x:f>IF($B$78="Cash payoff",E993,0)</x:f>
        <x:v>0</x:v>
      </x:c>
      <x:c r="G993" s="440" t="n">
        <x:f>IF(AND(E993&gt;0,AND($B$78="Refinance",ISNUMBER($B$80),$B$80&gt;=0,$B$80&lt;=1,ROUND($B$81*12,0)&gt;=1,$B$81&lt;=100,SUM($B$82)&gt;=0,SUM($B$82)&lt;=1,SUM($B$83)&gt;=0)),E993*SUM($B$82)+SUM($B$83),0)</x:f>
        <x:v>0</x:v>
      </x:c>
      <x:c r="H993" s="440" t="n">
        <x:f>IF(ISNUMBER(D993),IF(MAX(0,B993*(1+C993/12)-D993-F993)&lt;MAX(0.0000001,$E$17*0.00000000001),0,MAX(0,B993*(1+C993/12)-D993-F993)),IF(AND($B$171=1,I992=1),B993,""))</x:f>
        <x:v>0</x:v>
      </x:c>
      <x:c r="I993" s="444" t="n">
        <x:f>IF(OR(I992=1,AND(E993&gt;0,$B$78&lt;&gt;"Cash payoff",NOT(AND($B$78="Refinance",ISNUMBER($B$80),$B$80&gt;=0,$B$80&lt;=1,ROUND($B$81*12,0)&gt;=1,$B$81&lt;=100,SUM($B$82)&gt;=0,SUM($B$82)&lt;=1,SUM($B$83)&gt;=0))),AND(ISNUMBER(B993),B993&gt;0,$B$171=1,NOT(ISNUMBER(D993)))),1,0)</x:f>
        <x:v>0</x:v>
      </x:c>
      <x:c r="J993" s="440" t="n">
        <x:f>IF(ISNUMBER(L992),L992,"")</x:f>
        <x:v>0</x:v>
      </x:c>
      <x:c r="K993" s="440" t="n">
        <x:f>IF(AND(ISNUMBER(J993),J993=0),0,IF(AND($B$176=1,ISNUMBER(J993)),MIN(J993*(1+$B$87/12),IF($B$86=0,0,IF($B$87=0,$B$86/ROUND($B$88*12,0),$B$86*($B$87/12)/(1-(1+$B$87/12)^(-ROUND($B$88*12,0)))))),""))</x:f>
        <x:v>0</x:v>
      </x:c>
      <x:c r="L993" s="440" t="n">
        <x:f>IF(ISNUMBER(K993),IF(MAX(0,J993*(1+SUM($B$87)/12)-K993)&lt;MAX(0.0000001,$B$86*0.00000000001),0,MAX(0,J993*(1+SUM($B$87)/12)-K993)),"")</x:f>
        <x:v>0</x:v>
      </x:c>
      <x:c r="M993" s="440" t="n">
        <x:f>IF(AND(ISNUMBER(D993),ISNUMBER(K993)),D993+K993,"")</x:f>
        <x:v>0</x:v>
      </x:c>
      <x:c r="N993" s="440" t="n">
        <x:f>IF(AND(ISNUMBER(H993),ISNUMBER(L993)),H993+L993,"")</x:f>
        <x:v>0</x:v>
      </x:c>
    </x:row>
    <x:row r="994" ht="22" customHeight="1">
      <x:c r="A994" s="254" t="n">
        <x:f>594</x:f>
        <x:v>594</x:v>
      </x:c>
      <x:c r="B994" s="440" t="n">
        <x:f>IF(ISNUMBER(H993),H993,"")</x:f>
        <x:v>0</x:v>
      </x:c>
      <x:c r="C994" s="442" t="n">
        <x:f>IF(ISNUMBER(B994),IF(AND(594&gt;$B$173,$B$78="Refinance",ISNUMBER($B$80),$B$80&gt;=0,$B$80&lt;=1,ROUND($B$81*12,0)&gt;=1,$B$81&lt;=100,SUM($B$82)&gt;=0,SUM($B$82)&lt;=1,SUM($B$83)&gt;=0),$B$80,IF(AND($B$175&gt;0,594&gt;$B$175,ISNUMBER($B$75)),$B$75,$B$61)),"")</x:f>
        <x:v>0.0625</x:v>
      </x:c>
      <x:c r="D994" s="440" t="n">
        <x:f>IF(AND(ISNUMBER(B994),B994=0),0,IF(AND($B$171=1,I993=0,ISNUMBER(C994),ISNUMBER(IF(AND(594&lt;=$B$174,594&lt;=$B$173),B994*C994/12,IF(AND(594=$B$173+1,AND(594&gt;$B$173,$B$78="Refinance",ISNUMBER($B$80),$B$80&gt;=0,$B$80&lt;=1,ROUND($B$81*12,0)&gt;=1,$B$81&lt;=100,SUM($B$82)&gt;=0,SUM($B$82)&lt;=1,SUM($B$83)&gt;=0)),IF(B994=0,0,IF(C994=0,B994/ROUND($B$81*12,0),B994*(C994/12)/(1-(1+C994/12)^(-ROUND($B$81*12,0))))),IF(AND(NOT(AND(594&gt;$B$173,$B$78="Refinance",ISNUMBER($B$80),$B$80&gt;=0,$B$80&lt;=1,ROUND($B$81*12,0)&gt;=1,$B$81&lt;=100,SUM($B$82)&gt;=0,SUM($B$82)&lt;=1,SUM($B$83)&gt;=0)),OR(594=1,594=$B$174+1,AND($B$175&gt;0,594=$B$175+1))),IF(AND($B$170=1,$B$66&gt;0,OR($B$175=0,594&lt;=$B$175)),$B$66,IF($B$172-MAX(594-1,$B$174)&gt;0,IF(B994=0,0,IF(C994=0,B994/($B$172-MAX(594-1,$B$174)),B994*(C994/12)/(1-(1+C994/12)^(-($B$172-MAX(594-1,$B$174)))))),"")),D993))))),IF(IF(AND(594&lt;=$B$174,594&lt;=$B$173),B994*C994/12,IF(AND(594=$B$173+1,AND(594&gt;$B$173,$B$78="Refinance",ISNUMBER($B$80),$B$80&gt;=0,$B$80&lt;=1,ROUND($B$81*12,0)&gt;=1,$B$81&lt;=100,SUM($B$82)&gt;=0,SUM($B$82)&lt;=1,SUM($B$83)&gt;=0)),IF(B994=0,0,IF(C994=0,B994/ROUND($B$81*12,0),B994*(C994/12)/(1-(1+C994/12)^(-ROUND($B$81*12,0))))),IF(AND(NOT(AND(594&gt;$B$173,$B$78="Refinance",ISNUMBER($B$80),$B$80&gt;=0,$B$80&lt;=1,ROUND($B$81*12,0)&gt;=1,$B$81&lt;=100,SUM($B$82)&gt;=0,SUM($B$82)&lt;=1,SUM($B$83)&gt;=0)),OR(594=1,594=$B$174+1,AND($B$175&gt;0,594=$B$175+1))),IF(AND($B$170=1,$B$66&gt;0,OR($B$175=0,594&lt;=$B$175)),$B$66,IF($B$172-MAX(594-1,$B$174)&gt;0,IF(B994=0,0,IF(C994=0,B994/($B$172-MAX(594-1,$B$174)),B994*(C994/12)/(1-(1+C994/12)^(-($B$172-MAX(594-1,$B$174)))))),"")),D993)))+0.0000001&gt;=B994*C994/12,MIN(B994*(1+C994/12),IF(AND(594&lt;=$B$174,594&lt;=$B$173),B994*C994/12,IF(AND(594=$B$173+1,AND(594&gt;$B$173,$B$78="Refinance",ISNUMBER($B$80),$B$80&gt;=0,$B$80&lt;=1,ROUND($B$81*12,0)&gt;=1,$B$81&lt;=100,SUM($B$82)&gt;=0,SUM($B$82)&lt;=1,SUM($B$83)&gt;=0)),IF(B994=0,0,IF(C994=0,B994/ROUND($B$81*12,0),B994*(C994/12)/(1-(1+C994/12)^(-ROUND($B$81*12,0))))),IF(AND(NOT(AND(594&gt;$B$173,$B$78="Refinance",ISNUMBER($B$80),$B$80&gt;=0,$B$80&lt;=1,ROUND($B$81*12,0)&gt;=1,$B$81&lt;=100,SUM($B$82)&gt;=0,SUM($B$82)&lt;=1,SUM($B$83)&gt;=0)),OR(594=1,594=$B$174+1,AND($B$175&gt;0,594=$B$175+1))),IF(AND($B$170=1,$B$66&gt;0,OR($B$175=0,594&lt;=$B$175)),$B$66,IF($B$172-MAX(594-1,$B$174)&gt;0,IF(B994=0,0,IF(C994=0,B994/($B$172-MAX(594-1,$B$174)),B994*(C994/12)/(1-(1+C994/12)^(-($B$172-MAX(594-1,$B$174)))))),"")),D993)))),""),""))</x:f>
        <x:v>0</x:v>
      </x:c>
      <x:c r="E994" s="440" t="n">
        <x:f>IF(AND(594=$B$173,ISNUMBER(D994)),IF(MAX(0,B994*(1+C994/12)-D994)&lt;MAX(0.0000001,$E$17*0.00000000001),0,MAX(0,B994*(1+C994/12)-D994)),0)</x:f>
        <x:v>0</x:v>
      </x:c>
      <x:c r="F994" s="440" t="n">
        <x:f>IF($B$78="Cash payoff",E994,0)</x:f>
        <x:v>0</x:v>
      </x:c>
      <x:c r="G994" s="440" t="n">
        <x:f>IF(AND(E994&gt;0,AND($B$78="Refinance",ISNUMBER($B$80),$B$80&gt;=0,$B$80&lt;=1,ROUND($B$81*12,0)&gt;=1,$B$81&lt;=100,SUM($B$82)&gt;=0,SUM($B$82)&lt;=1,SUM($B$83)&gt;=0)),E994*SUM($B$82)+SUM($B$83),0)</x:f>
        <x:v>0</x:v>
      </x:c>
      <x:c r="H994" s="440" t="n">
        <x:f>IF(ISNUMBER(D994),IF(MAX(0,B994*(1+C994/12)-D994-F994)&lt;MAX(0.0000001,$E$17*0.00000000001),0,MAX(0,B994*(1+C994/12)-D994-F994)),IF(AND($B$171=1,I993=1),B994,""))</x:f>
        <x:v>0</x:v>
      </x:c>
      <x:c r="I994" s="444" t="n">
        <x:f>IF(OR(I993=1,AND(E994&gt;0,$B$78&lt;&gt;"Cash payoff",NOT(AND($B$78="Refinance",ISNUMBER($B$80),$B$80&gt;=0,$B$80&lt;=1,ROUND($B$81*12,0)&gt;=1,$B$81&lt;=100,SUM($B$82)&gt;=0,SUM($B$82)&lt;=1,SUM($B$83)&gt;=0))),AND(ISNUMBER(B994),B994&gt;0,$B$171=1,NOT(ISNUMBER(D994)))),1,0)</x:f>
        <x:v>0</x:v>
      </x:c>
      <x:c r="J994" s="440" t="n">
        <x:f>IF(ISNUMBER(L993),L993,"")</x:f>
        <x:v>0</x:v>
      </x:c>
      <x:c r="K994" s="440" t="n">
        <x:f>IF(AND(ISNUMBER(J994),J994=0),0,IF(AND($B$176=1,ISNUMBER(J994)),MIN(J994*(1+$B$87/12),IF($B$86=0,0,IF($B$87=0,$B$86/ROUND($B$88*12,0),$B$86*($B$87/12)/(1-(1+$B$87/12)^(-ROUND($B$88*12,0)))))),""))</x:f>
        <x:v>0</x:v>
      </x:c>
      <x:c r="L994" s="440" t="n">
        <x:f>IF(ISNUMBER(K994),IF(MAX(0,J994*(1+SUM($B$87)/12)-K994)&lt;MAX(0.0000001,$B$86*0.00000000001),0,MAX(0,J994*(1+SUM($B$87)/12)-K994)),"")</x:f>
        <x:v>0</x:v>
      </x:c>
      <x:c r="M994" s="440" t="n">
        <x:f>IF(AND(ISNUMBER(D994),ISNUMBER(K994)),D994+K994,"")</x:f>
        <x:v>0</x:v>
      </x:c>
      <x:c r="N994" s="440" t="n">
        <x:f>IF(AND(ISNUMBER(H994),ISNUMBER(L994)),H994+L994,"")</x:f>
        <x:v>0</x:v>
      </x:c>
    </x:row>
    <x:row r="995" ht="22" customHeight="1">
      <x:c r="A995" s="254" t="n">
        <x:f>595</x:f>
        <x:v>595</x:v>
      </x:c>
      <x:c r="B995" s="440" t="n">
        <x:f>IF(ISNUMBER(H994),H994,"")</x:f>
        <x:v>0</x:v>
      </x:c>
      <x:c r="C995" s="442" t="n">
        <x:f>IF(ISNUMBER(B995),IF(AND(595&gt;$B$173,$B$78="Refinance",ISNUMBER($B$80),$B$80&gt;=0,$B$80&lt;=1,ROUND($B$81*12,0)&gt;=1,$B$81&lt;=100,SUM($B$82)&gt;=0,SUM($B$82)&lt;=1,SUM($B$83)&gt;=0),$B$80,IF(AND($B$175&gt;0,595&gt;$B$175,ISNUMBER($B$75)),$B$75,$B$61)),"")</x:f>
        <x:v>0.0625</x:v>
      </x:c>
      <x:c r="D995" s="440" t="n">
        <x:f>IF(AND(ISNUMBER(B995),B995=0),0,IF(AND($B$171=1,I994=0,ISNUMBER(C995),ISNUMBER(IF(AND(595&lt;=$B$174,595&lt;=$B$173),B995*C995/12,IF(AND(595=$B$173+1,AND(595&gt;$B$173,$B$78="Refinance",ISNUMBER($B$80),$B$80&gt;=0,$B$80&lt;=1,ROUND($B$81*12,0)&gt;=1,$B$81&lt;=100,SUM($B$82)&gt;=0,SUM($B$82)&lt;=1,SUM($B$83)&gt;=0)),IF(B995=0,0,IF(C995=0,B995/ROUND($B$81*12,0),B995*(C995/12)/(1-(1+C995/12)^(-ROUND($B$81*12,0))))),IF(AND(NOT(AND(595&gt;$B$173,$B$78="Refinance",ISNUMBER($B$80),$B$80&gt;=0,$B$80&lt;=1,ROUND($B$81*12,0)&gt;=1,$B$81&lt;=100,SUM($B$82)&gt;=0,SUM($B$82)&lt;=1,SUM($B$83)&gt;=0)),OR(595=1,595=$B$174+1,AND($B$175&gt;0,595=$B$175+1))),IF(AND($B$170=1,$B$66&gt;0,OR($B$175=0,595&lt;=$B$175)),$B$66,IF($B$172-MAX(595-1,$B$174)&gt;0,IF(B995=0,0,IF(C995=0,B995/($B$172-MAX(595-1,$B$174)),B995*(C995/12)/(1-(1+C995/12)^(-($B$172-MAX(595-1,$B$174)))))),"")),D994))))),IF(IF(AND(595&lt;=$B$174,595&lt;=$B$173),B995*C995/12,IF(AND(595=$B$173+1,AND(595&gt;$B$173,$B$78="Refinance",ISNUMBER($B$80),$B$80&gt;=0,$B$80&lt;=1,ROUND($B$81*12,0)&gt;=1,$B$81&lt;=100,SUM($B$82)&gt;=0,SUM($B$82)&lt;=1,SUM($B$83)&gt;=0)),IF(B995=0,0,IF(C995=0,B995/ROUND($B$81*12,0),B995*(C995/12)/(1-(1+C995/12)^(-ROUND($B$81*12,0))))),IF(AND(NOT(AND(595&gt;$B$173,$B$78="Refinance",ISNUMBER($B$80),$B$80&gt;=0,$B$80&lt;=1,ROUND($B$81*12,0)&gt;=1,$B$81&lt;=100,SUM($B$82)&gt;=0,SUM($B$82)&lt;=1,SUM($B$83)&gt;=0)),OR(595=1,595=$B$174+1,AND($B$175&gt;0,595=$B$175+1))),IF(AND($B$170=1,$B$66&gt;0,OR($B$175=0,595&lt;=$B$175)),$B$66,IF($B$172-MAX(595-1,$B$174)&gt;0,IF(B995=0,0,IF(C995=0,B995/($B$172-MAX(595-1,$B$174)),B995*(C995/12)/(1-(1+C995/12)^(-($B$172-MAX(595-1,$B$174)))))),"")),D994)))+0.0000001&gt;=B995*C995/12,MIN(B995*(1+C995/12),IF(AND(595&lt;=$B$174,595&lt;=$B$173),B995*C995/12,IF(AND(595=$B$173+1,AND(595&gt;$B$173,$B$78="Refinance",ISNUMBER($B$80),$B$80&gt;=0,$B$80&lt;=1,ROUND($B$81*12,0)&gt;=1,$B$81&lt;=100,SUM($B$82)&gt;=0,SUM($B$82)&lt;=1,SUM($B$83)&gt;=0)),IF(B995=0,0,IF(C995=0,B995/ROUND($B$81*12,0),B995*(C995/12)/(1-(1+C995/12)^(-ROUND($B$81*12,0))))),IF(AND(NOT(AND(595&gt;$B$173,$B$78="Refinance",ISNUMBER($B$80),$B$80&gt;=0,$B$80&lt;=1,ROUND($B$81*12,0)&gt;=1,$B$81&lt;=100,SUM($B$82)&gt;=0,SUM($B$82)&lt;=1,SUM($B$83)&gt;=0)),OR(595=1,595=$B$174+1,AND($B$175&gt;0,595=$B$175+1))),IF(AND($B$170=1,$B$66&gt;0,OR($B$175=0,595&lt;=$B$175)),$B$66,IF($B$172-MAX(595-1,$B$174)&gt;0,IF(B995=0,0,IF(C995=0,B995/($B$172-MAX(595-1,$B$174)),B995*(C995/12)/(1-(1+C995/12)^(-($B$172-MAX(595-1,$B$174)))))),"")),D994)))),""),""))</x:f>
        <x:v>0</x:v>
      </x:c>
      <x:c r="E995" s="440" t="n">
        <x:f>IF(AND(595=$B$173,ISNUMBER(D995)),IF(MAX(0,B995*(1+C995/12)-D995)&lt;MAX(0.0000001,$E$17*0.00000000001),0,MAX(0,B995*(1+C995/12)-D995)),0)</x:f>
        <x:v>0</x:v>
      </x:c>
      <x:c r="F995" s="440" t="n">
        <x:f>IF($B$78="Cash payoff",E995,0)</x:f>
        <x:v>0</x:v>
      </x:c>
      <x:c r="G995" s="440" t="n">
        <x:f>IF(AND(E995&gt;0,AND($B$78="Refinance",ISNUMBER($B$80),$B$80&gt;=0,$B$80&lt;=1,ROUND($B$81*12,0)&gt;=1,$B$81&lt;=100,SUM($B$82)&gt;=0,SUM($B$82)&lt;=1,SUM($B$83)&gt;=0)),E995*SUM($B$82)+SUM($B$83),0)</x:f>
        <x:v>0</x:v>
      </x:c>
      <x:c r="H995" s="440" t="n">
        <x:f>IF(ISNUMBER(D995),IF(MAX(0,B995*(1+C995/12)-D995-F995)&lt;MAX(0.0000001,$E$17*0.00000000001),0,MAX(0,B995*(1+C995/12)-D995-F995)),IF(AND($B$171=1,I994=1),B995,""))</x:f>
        <x:v>0</x:v>
      </x:c>
      <x:c r="I995" s="444" t="n">
        <x:f>IF(OR(I994=1,AND(E995&gt;0,$B$78&lt;&gt;"Cash payoff",NOT(AND($B$78="Refinance",ISNUMBER($B$80),$B$80&gt;=0,$B$80&lt;=1,ROUND($B$81*12,0)&gt;=1,$B$81&lt;=100,SUM($B$82)&gt;=0,SUM($B$82)&lt;=1,SUM($B$83)&gt;=0))),AND(ISNUMBER(B995),B995&gt;0,$B$171=1,NOT(ISNUMBER(D995)))),1,0)</x:f>
        <x:v>0</x:v>
      </x:c>
      <x:c r="J995" s="440" t="n">
        <x:f>IF(ISNUMBER(L994),L994,"")</x:f>
        <x:v>0</x:v>
      </x:c>
      <x:c r="K995" s="440" t="n">
        <x:f>IF(AND(ISNUMBER(J995),J995=0),0,IF(AND($B$176=1,ISNUMBER(J995)),MIN(J995*(1+$B$87/12),IF($B$86=0,0,IF($B$87=0,$B$86/ROUND($B$88*12,0),$B$86*($B$87/12)/(1-(1+$B$87/12)^(-ROUND($B$88*12,0)))))),""))</x:f>
        <x:v>0</x:v>
      </x:c>
      <x:c r="L995" s="440" t="n">
        <x:f>IF(ISNUMBER(K995),IF(MAX(0,J995*(1+SUM($B$87)/12)-K995)&lt;MAX(0.0000001,$B$86*0.00000000001),0,MAX(0,J995*(1+SUM($B$87)/12)-K995)),"")</x:f>
        <x:v>0</x:v>
      </x:c>
      <x:c r="M995" s="440" t="n">
        <x:f>IF(AND(ISNUMBER(D995),ISNUMBER(K995)),D995+K995,"")</x:f>
        <x:v>0</x:v>
      </x:c>
      <x:c r="N995" s="440" t="n">
        <x:f>IF(AND(ISNUMBER(H995),ISNUMBER(L995)),H995+L995,"")</x:f>
        <x:v>0</x:v>
      </x:c>
    </x:row>
    <x:row r="996" ht="22" customHeight="1">
      <x:c r="A996" s="254" t="n">
        <x:f>596</x:f>
        <x:v>596</x:v>
      </x:c>
      <x:c r="B996" s="440" t="n">
        <x:f>IF(ISNUMBER(H995),H995,"")</x:f>
        <x:v>0</x:v>
      </x:c>
      <x:c r="C996" s="442" t="n">
        <x:f>IF(ISNUMBER(B996),IF(AND(596&gt;$B$173,$B$78="Refinance",ISNUMBER($B$80),$B$80&gt;=0,$B$80&lt;=1,ROUND($B$81*12,0)&gt;=1,$B$81&lt;=100,SUM($B$82)&gt;=0,SUM($B$82)&lt;=1,SUM($B$83)&gt;=0),$B$80,IF(AND($B$175&gt;0,596&gt;$B$175,ISNUMBER($B$75)),$B$75,$B$61)),"")</x:f>
        <x:v>0.0625</x:v>
      </x:c>
      <x:c r="D996" s="440" t="n">
        <x:f>IF(AND(ISNUMBER(B996),B996=0),0,IF(AND($B$171=1,I995=0,ISNUMBER(C996),ISNUMBER(IF(AND(596&lt;=$B$174,596&lt;=$B$173),B996*C996/12,IF(AND(596=$B$173+1,AND(596&gt;$B$173,$B$78="Refinance",ISNUMBER($B$80),$B$80&gt;=0,$B$80&lt;=1,ROUND($B$81*12,0)&gt;=1,$B$81&lt;=100,SUM($B$82)&gt;=0,SUM($B$82)&lt;=1,SUM($B$83)&gt;=0)),IF(B996=0,0,IF(C996=0,B996/ROUND($B$81*12,0),B996*(C996/12)/(1-(1+C996/12)^(-ROUND($B$81*12,0))))),IF(AND(NOT(AND(596&gt;$B$173,$B$78="Refinance",ISNUMBER($B$80),$B$80&gt;=0,$B$80&lt;=1,ROUND($B$81*12,0)&gt;=1,$B$81&lt;=100,SUM($B$82)&gt;=0,SUM($B$82)&lt;=1,SUM($B$83)&gt;=0)),OR(596=1,596=$B$174+1,AND($B$175&gt;0,596=$B$175+1))),IF(AND($B$170=1,$B$66&gt;0,OR($B$175=0,596&lt;=$B$175)),$B$66,IF($B$172-MAX(596-1,$B$174)&gt;0,IF(B996=0,0,IF(C996=0,B996/($B$172-MAX(596-1,$B$174)),B996*(C996/12)/(1-(1+C996/12)^(-($B$172-MAX(596-1,$B$174)))))),"")),D995))))),IF(IF(AND(596&lt;=$B$174,596&lt;=$B$173),B996*C996/12,IF(AND(596=$B$173+1,AND(596&gt;$B$173,$B$78="Refinance",ISNUMBER($B$80),$B$80&gt;=0,$B$80&lt;=1,ROUND($B$81*12,0)&gt;=1,$B$81&lt;=100,SUM($B$82)&gt;=0,SUM($B$82)&lt;=1,SUM($B$83)&gt;=0)),IF(B996=0,0,IF(C996=0,B996/ROUND($B$81*12,0),B996*(C996/12)/(1-(1+C996/12)^(-ROUND($B$81*12,0))))),IF(AND(NOT(AND(596&gt;$B$173,$B$78="Refinance",ISNUMBER($B$80),$B$80&gt;=0,$B$80&lt;=1,ROUND($B$81*12,0)&gt;=1,$B$81&lt;=100,SUM($B$82)&gt;=0,SUM($B$82)&lt;=1,SUM($B$83)&gt;=0)),OR(596=1,596=$B$174+1,AND($B$175&gt;0,596=$B$175+1))),IF(AND($B$170=1,$B$66&gt;0,OR($B$175=0,596&lt;=$B$175)),$B$66,IF($B$172-MAX(596-1,$B$174)&gt;0,IF(B996=0,0,IF(C996=0,B996/($B$172-MAX(596-1,$B$174)),B996*(C996/12)/(1-(1+C996/12)^(-($B$172-MAX(596-1,$B$174)))))),"")),D995)))+0.0000001&gt;=B996*C996/12,MIN(B996*(1+C996/12),IF(AND(596&lt;=$B$174,596&lt;=$B$173),B996*C996/12,IF(AND(596=$B$173+1,AND(596&gt;$B$173,$B$78="Refinance",ISNUMBER($B$80),$B$80&gt;=0,$B$80&lt;=1,ROUND($B$81*12,0)&gt;=1,$B$81&lt;=100,SUM($B$82)&gt;=0,SUM($B$82)&lt;=1,SUM($B$83)&gt;=0)),IF(B996=0,0,IF(C996=0,B996/ROUND($B$81*12,0),B996*(C996/12)/(1-(1+C996/12)^(-ROUND($B$81*12,0))))),IF(AND(NOT(AND(596&gt;$B$173,$B$78="Refinance",ISNUMBER($B$80),$B$80&gt;=0,$B$80&lt;=1,ROUND($B$81*12,0)&gt;=1,$B$81&lt;=100,SUM($B$82)&gt;=0,SUM($B$82)&lt;=1,SUM($B$83)&gt;=0)),OR(596=1,596=$B$174+1,AND($B$175&gt;0,596=$B$175+1))),IF(AND($B$170=1,$B$66&gt;0,OR($B$175=0,596&lt;=$B$175)),$B$66,IF($B$172-MAX(596-1,$B$174)&gt;0,IF(B996=0,0,IF(C996=0,B996/($B$172-MAX(596-1,$B$174)),B996*(C996/12)/(1-(1+C996/12)^(-($B$172-MAX(596-1,$B$174)))))),"")),D995)))),""),""))</x:f>
        <x:v>0</x:v>
      </x:c>
      <x:c r="E996" s="440" t="n">
        <x:f>IF(AND(596=$B$173,ISNUMBER(D996)),IF(MAX(0,B996*(1+C996/12)-D996)&lt;MAX(0.0000001,$E$17*0.00000000001),0,MAX(0,B996*(1+C996/12)-D996)),0)</x:f>
        <x:v>0</x:v>
      </x:c>
      <x:c r="F996" s="440" t="n">
        <x:f>IF($B$78="Cash payoff",E996,0)</x:f>
        <x:v>0</x:v>
      </x:c>
      <x:c r="G996" s="440" t="n">
        <x:f>IF(AND(E996&gt;0,AND($B$78="Refinance",ISNUMBER($B$80),$B$80&gt;=0,$B$80&lt;=1,ROUND($B$81*12,0)&gt;=1,$B$81&lt;=100,SUM($B$82)&gt;=0,SUM($B$82)&lt;=1,SUM($B$83)&gt;=0)),E996*SUM($B$82)+SUM($B$83),0)</x:f>
        <x:v>0</x:v>
      </x:c>
      <x:c r="H996" s="440" t="n">
        <x:f>IF(ISNUMBER(D996),IF(MAX(0,B996*(1+C996/12)-D996-F996)&lt;MAX(0.0000001,$E$17*0.00000000001),0,MAX(0,B996*(1+C996/12)-D996-F996)),IF(AND($B$171=1,I995=1),B996,""))</x:f>
        <x:v>0</x:v>
      </x:c>
      <x:c r="I996" s="444" t="n">
        <x:f>IF(OR(I995=1,AND(E996&gt;0,$B$78&lt;&gt;"Cash payoff",NOT(AND($B$78="Refinance",ISNUMBER($B$80),$B$80&gt;=0,$B$80&lt;=1,ROUND($B$81*12,0)&gt;=1,$B$81&lt;=100,SUM($B$82)&gt;=0,SUM($B$82)&lt;=1,SUM($B$83)&gt;=0))),AND(ISNUMBER(B996),B996&gt;0,$B$171=1,NOT(ISNUMBER(D996)))),1,0)</x:f>
        <x:v>0</x:v>
      </x:c>
      <x:c r="J996" s="440" t="n">
        <x:f>IF(ISNUMBER(L995),L995,"")</x:f>
        <x:v>0</x:v>
      </x:c>
      <x:c r="K996" s="440" t="n">
        <x:f>IF(AND(ISNUMBER(J996),J996=0),0,IF(AND($B$176=1,ISNUMBER(J996)),MIN(J996*(1+$B$87/12),IF($B$86=0,0,IF($B$87=0,$B$86/ROUND($B$88*12,0),$B$86*($B$87/12)/(1-(1+$B$87/12)^(-ROUND($B$88*12,0)))))),""))</x:f>
        <x:v>0</x:v>
      </x:c>
      <x:c r="L996" s="440" t="n">
        <x:f>IF(ISNUMBER(K996),IF(MAX(0,J996*(1+SUM($B$87)/12)-K996)&lt;MAX(0.0000001,$B$86*0.00000000001),0,MAX(0,J996*(1+SUM($B$87)/12)-K996)),"")</x:f>
        <x:v>0</x:v>
      </x:c>
      <x:c r="M996" s="440" t="n">
        <x:f>IF(AND(ISNUMBER(D996),ISNUMBER(K996)),D996+K996,"")</x:f>
        <x:v>0</x:v>
      </x:c>
      <x:c r="N996" s="440" t="n">
        <x:f>IF(AND(ISNUMBER(H996),ISNUMBER(L996)),H996+L996,"")</x:f>
        <x:v>0</x:v>
      </x:c>
    </x:row>
    <x:row r="997" ht="22" customHeight="1">
      <x:c r="A997" s="254" t="n">
        <x:f>597</x:f>
        <x:v>597</x:v>
      </x:c>
      <x:c r="B997" s="440" t="n">
        <x:f>IF(ISNUMBER(H996),H996,"")</x:f>
        <x:v>0</x:v>
      </x:c>
      <x:c r="C997" s="442" t="n">
        <x:f>IF(ISNUMBER(B997),IF(AND(597&gt;$B$173,$B$78="Refinance",ISNUMBER($B$80),$B$80&gt;=0,$B$80&lt;=1,ROUND($B$81*12,0)&gt;=1,$B$81&lt;=100,SUM($B$82)&gt;=0,SUM($B$82)&lt;=1,SUM($B$83)&gt;=0),$B$80,IF(AND($B$175&gt;0,597&gt;$B$175,ISNUMBER($B$75)),$B$75,$B$61)),"")</x:f>
        <x:v>0.0625</x:v>
      </x:c>
      <x:c r="D997" s="440" t="n">
        <x:f>IF(AND(ISNUMBER(B997),B997=0),0,IF(AND($B$171=1,I996=0,ISNUMBER(C997),ISNUMBER(IF(AND(597&lt;=$B$174,597&lt;=$B$173),B997*C997/12,IF(AND(597=$B$173+1,AND(597&gt;$B$173,$B$78="Refinance",ISNUMBER($B$80),$B$80&gt;=0,$B$80&lt;=1,ROUND($B$81*12,0)&gt;=1,$B$81&lt;=100,SUM($B$82)&gt;=0,SUM($B$82)&lt;=1,SUM($B$83)&gt;=0)),IF(B997=0,0,IF(C997=0,B997/ROUND($B$81*12,0),B997*(C997/12)/(1-(1+C997/12)^(-ROUND($B$81*12,0))))),IF(AND(NOT(AND(597&gt;$B$173,$B$78="Refinance",ISNUMBER($B$80),$B$80&gt;=0,$B$80&lt;=1,ROUND($B$81*12,0)&gt;=1,$B$81&lt;=100,SUM($B$82)&gt;=0,SUM($B$82)&lt;=1,SUM($B$83)&gt;=0)),OR(597=1,597=$B$174+1,AND($B$175&gt;0,597=$B$175+1))),IF(AND($B$170=1,$B$66&gt;0,OR($B$175=0,597&lt;=$B$175)),$B$66,IF($B$172-MAX(597-1,$B$174)&gt;0,IF(B997=0,0,IF(C997=0,B997/($B$172-MAX(597-1,$B$174)),B997*(C997/12)/(1-(1+C997/12)^(-($B$172-MAX(597-1,$B$174)))))),"")),D996))))),IF(IF(AND(597&lt;=$B$174,597&lt;=$B$173),B997*C997/12,IF(AND(597=$B$173+1,AND(597&gt;$B$173,$B$78="Refinance",ISNUMBER($B$80),$B$80&gt;=0,$B$80&lt;=1,ROUND($B$81*12,0)&gt;=1,$B$81&lt;=100,SUM($B$82)&gt;=0,SUM($B$82)&lt;=1,SUM($B$83)&gt;=0)),IF(B997=0,0,IF(C997=0,B997/ROUND($B$81*12,0),B997*(C997/12)/(1-(1+C997/12)^(-ROUND($B$81*12,0))))),IF(AND(NOT(AND(597&gt;$B$173,$B$78="Refinance",ISNUMBER($B$80),$B$80&gt;=0,$B$80&lt;=1,ROUND($B$81*12,0)&gt;=1,$B$81&lt;=100,SUM($B$82)&gt;=0,SUM($B$82)&lt;=1,SUM($B$83)&gt;=0)),OR(597=1,597=$B$174+1,AND($B$175&gt;0,597=$B$175+1))),IF(AND($B$170=1,$B$66&gt;0,OR($B$175=0,597&lt;=$B$175)),$B$66,IF($B$172-MAX(597-1,$B$174)&gt;0,IF(B997=0,0,IF(C997=0,B997/($B$172-MAX(597-1,$B$174)),B997*(C997/12)/(1-(1+C997/12)^(-($B$172-MAX(597-1,$B$174)))))),"")),D996)))+0.0000001&gt;=B997*C997/12,MIN(B997*(1+C997/12),IF(AND(597&lt;=$B$174,597&lt;=$B$173),B997*C997/12,IF(AND(597=$B$173+1,AND(597&gt;$B$173,$B$78="Refinance",ISNUMBER($B$80),$B$80&gt;=0,$B$80&lt;=1,ROUND($B$81*12,0)&gt;=1,$B$81&lt;=100,SUM($B$82)&gt;=0,SUM($B$82)&lt;=1,SUM($B$83)&gt;=0)),IF(B997=0,0,IF(C997=0,B997/ROUND($B$81*12,0),B997*(C997/12)/(1-(1+C997/12)^(-ROUND($B$81*12,0))))),IF(AND(NOT(AND(597&gt;$B$173,$B$78="Refinance",ISNUMBER($B$80),$B$80&gt;=0,$B$80&lt;=1,ROUND($B$81*12,0)&gt;=1,$B$81&lt;=100,SUM($B$82)&gt;=0,SUM($B$82)&lt;=1,SUM($B$83)&gt;=0)),OR(597=1,597=$B$174+1,AND($B$175&gt;0,597=$B$175+1))),IF(AND($B$170=1,$B$66&gt;0,OR($B$175=0,597&lt;=$B$175)),$B$66,IF($B$172-MAX(597-1,$B$174)&gt;0,IF(B997=0,0,IF(C997=0,B997/($B$172-MAX(597-1,$B$174)),B997*(C997/12)/(1-(1+C997/12)^(-($B$172-MAX(597-1,$B$174)))))),"")),D996)))),""),""))</x:f>
        <x:v>0</x:v>
      </x:c>
      <x:c r="E997" s="440" t="n">
        <x:f>IF(AND(597=$B$173,ISNUMBER(D997)),IF(MAX(0,B997*(1+C997/12)-D997)&lt;MAX(0.0000001,$E$17*0.00000000001),0,MAX(0,B997*(1+C997/12)-D997)),0)</x:f>
        <x:v>0</x:v>
      </x:c>
      <x:c r="F997" s="440" t="n">
        <x:f>IF($B$78="Cash payoff",E997,0)</x:f>
        <x:v>0</x:v>
      </x:c>
      <x:c r="G997" s="440" t="n">
        <x:f>IF(AND(E997&gt;0,AND($B$78="Refinance",ISNUMBER($B$80),$B$80&gt;=0,$B$80&lt;=1,ROUND($B$81*12,0)&gt;=1,$B$81&lt;=100,SUM($B$82)&gt;=0,SUM($B$82)&lt;=1,SUM($B$83)&gt;=0)),E997*SUM($B$82)+SUM($B$83),0)</x:f>
        <x:v>0</x:v>
      </x:c>
      <x:c r="H997" s="440" t="n">
        <x:f>IF(ISNUMBER(D997),IF(MAX(0,B997*(1+C997/12)-D997-F997)&lt;MAX(0.0000001,$E$17*0.00000000001),0,MAX(0,B997*(1+C997/12)-D997-F997)),IF(AND($B$171=1,I996=1),B997,""))</x:f>
        <x:v>0</x:v>
      </x:c>
      <x:c r="I997" s="444" t="n">
        <x:f>IF(OR(I996=1,AND(E997&gt;0,$B$78&lt;&gt;"Cash payoff",NOT(AND($B$78="Refinance",ISNUMBER($B$80),$B$80&gt;=0,$B$80&lt;=1,ROUND($B$81*12,0)&gt;=1,$B$81&lt;=100,SUM($B$82)&gt;=0,SUM($B$82)&lt;=1,SUM($B$83)&gt;=0))),AND(ISNUMBER(B997),B997&gt;0,$B$171=1,NOT(ISNUMBER(D997)))),1,0)</x:f>
        <x:v>0</x:v>
      </x:c>
      <x:c r="J997" s="440" t="n">
        <x:f>IF(ISNUMBER(L996),L996,"")</x:f>
        <x:v>0</x:v>
      </x:c>
      <x:c r="K997" s="440" t="n">
        <x:f>IF(AND(ISNUMBER(J997),J997=0),0,IF(AND($B$176=1,ISNUMBER(J997)),MIN(J997*(1+$B$87/12),IF($B$86=0,0,IF($B$87=0,$B$86/ROUND($B$88*12,0),$B$86*($B$87/12)/(1-(1+$B$87/12)^(-ROUND($B$88*12,0)))))),""))</x:f>
        <x:v>0</x:v>
      </x:c>
      <x:c r="L997" s="440" t="n">
        <x:f>IF(ISNUMBER(K997),IF(MAX(0,J997*(1+SUM($B$87)/12)-K997)&lt;MAX(0.0000001,$B$86*0.00000000001),0,MAX(0,J997*(1+SUM($B$87)/12)-K997)),"")</x:f>
        <x:v>0</x:v>
      </x:c>
      <x:c r="M997" s="440" t="n">
        <x:f>IF(AND(ISNUMBER(D997),ISNUMBER(K997)),D997+K997,"")</x:f>
        <x:v>0</x:v>
      </x:c>
      <x:c r="N997" s="440" t="n">
        <x:f>IF(AND(ISNUMBER(H997),ISNUMBER(L997)),H997+L997,"")</x:f>
        <x:v>0</x:v>
      </x:c>
    </x:row>
    <x:row r="998" ht="22" customHeight="1">
      <x:c r="A998" s="254" t="n">
        <x:f>598</x:f>
        <x:v>598</x:v>
      </x:c>
      <x:c r="B998" s="440" t="n">
        <x:f>IF(ISNUMBER(H997),H997,"")</x:f>
        <x:v>0</x:v>
      </x:c>
      <x:c r="C998" s="442" t="n">
        <x:f>IF(ISNUMBER(B998),IF(AND(598&gt;$B$173,$B$78="Refinance",ISNUMBER($B$80),$B$80&gt;=0,$B$80&lt;=1,ROUND($B$81*12,0)&gt;=1,$B$81&lt;=100,SUM($B$82)&gt;=0,SUM($B$82)&lt;=1,SUM($B$83)&gt;=0),$B$80,IF(AND($B$175&gt;0,598&gt;$B$175,ISNUMBER($B$75)),$B$75,$B$61)),"")</x:f>
        <x:v>0.0625</x:v>
      </x:c>
      <x:c r="D998" s="440" t="n">
        <x:f>IF(AND(ISNUMBER(B998),B998=0),0,IF(AND($B$171=1,I997=0,ISNUMBER(C998),ISNUMBER(IF(AND(598&lt;=$B$174,598&lt;=$B$173),B998*C998/12,IF(AND(598=$B$173+1,AND(598&gt;$B$173,$B$78="Refinance",ISNUMBER($B$80),$B$80&gt;=0,$B$80&lt;=1,ROUND($B$81*12,0)&gt;=1,$B$81&lt;=100,SUM($B$82)&gt;=0,SUM($B$82)&lt;=1,SUM($B$83)&gt;=0)),IF(B998=0,0,IF(C998=0,B998/ROUND($B$81*12,0),B998*(C998/12)/(1-(1+C998/12)^(-ROUND($B$81*12,0))))),IF(AND(NOT(AND(598&gt;$B$173,$B$78="Refinance",ISNUMBER($B$80),$B$80&gt;=0,$B$80&lt;=1,ROUND($B$81*12,0)&gt;=1,$B$81&lt;=100,SUM($B$82)&gt;=0,SUM($B$82)&lt;=1,SUM($B$83)&gt;=0)),OR(598=1,598=$B$174+1,AND($B$175&gt;0,598=$B$175+1))),IF(AND($B$170=1,$B$66&gt;0,OR($B$175=0,598&lt;=$B$175)),$B$66,IF($B$172-MAX(598-1,$B$174)&gt;0,IF(B998=0,0,IF(C998=0,B998/($B$172-MAX(598-1,$B$174)),B998*(C998/12)/(1-(1+C998/12)^(-($B$172-MAX(598-1,$B$174)))))),"")),D997))))),IF(IF(AND(598&lt;=$B$174,598&lt;=$B$173),B998*C998/12,IF(AND(598=$B$173+1,AND(598&gt;$B$173,$B$78="Refinance",ISNUMBER($B$80),$B$80&gt;=0,$B$80&lt;=1,ROUND($B$81*12,0)&gt;=1,$B$81&lt;=100,SUM($B$82)&gt;=0,SUM($B$82)&lt;=1,SUM($B$83)&gt;=0)),IF(B998=0,0,IF(C998=0,B998/ROUND($B$81*12,0),B998*(C998/12)/(1-(1+C998/12)^(-ROUND($B$81*12,0))))),IF(AND(NOT(AND(598&gt;$B$173,$B$78="Refinance",ISNUMBER($B$80),$B$80&gt;=0,$B$80&lt;=1,ROUND($B$81*12,0)&gt;=1,$B$81&lt;=100,SUM($B$82)&gt;=0,SUM($B$82)&lt;=1,SUM($B$83)&gt;=0)),OR(598=1,598=$B$174+1,AND($B$175&gt;0,598=$B$175+1))),IF(AND($B$170=1,$B$66&gt;0,OR($B$175=0,598&lt;=$B$175)),$B$66,IF($B$172-MAX(598-1,$B$174)&gt;0,IF(B998=0,0,IF(C998=0,B998/($B$172-MAX(598-1,$B$174)),B998*(C998/12)/(1-(1+C998/12)^(-($B$172-MAX(598-1,$B$174)))))),"")),D997)))+0.0000001&gt;=B998*C998/12,MIN(B998*(1+C998/12),IF(AND(598&lt;=$B$174,598&lt;=$B$173),B998*C998/12,IF(AND(598=$B$173+1,AND(598&gt;$B$173,$B$78="Refinance",ISNUMBER($B$80),$B$80&gt;=0,$B$80&lt;=1,ROUND($B$81*12,0)&gt;=1,$B$81&lt;=100,SUM($B$82)&gt;=0,SUM($B$82)&lt;=1,SUM($B$83)&gt;=0)),IF(B998=0,0,IF(C998=0,B998/ROUND($B$81*12,0),B998*(C998/12)/(1-(1+C998/12)^(-ROUND($B$81*12,0))))),IF(AND(NOT(AND(598&gt;$B$173,$B$78="Refinance",ISNUMBER($B$80),$B$80&gt;=0,$B$80&lt;=1,ROUND($B$81*12,0)&gt;=1,$B$81&lt;=100,SUM($B$82)&gt;=0,SUM($B$82)&lt;=1,SUM($B$83)&gt;=0)),OR(598=1,598=$B$174+1,AND($B$175&gt;0,598=$B$175+1))),IF(AND($B$170=1,$B$66&gt;0,OR($B$175=0,598&lt;=$B$175)),$B$66,IF($B$172-MAX(598-1,$B$174)&gt;0,IF(B998=0,0,IF(C998=0,B998/($B$172-MAX(598-1,$B$174)),B998*(C998/12)/(1-(1+C998/12)^(-($B$172-MAX(598-1,$B$174)))))),"")),D997)))),""),""))</x:f>
        <x:v>0</x:v>
      </x:c>
      <x:c r="E998" s="440" t="n">
        <x:f>IF(AND(598=$B$173,ISNUMBER(D998)),IF(MAX(0,B998*(1+C998/12)-D998)&lt;MAX(0.0000001,$E$17*0.00000000001),0,MAX(0,B998*(1+C998/12)-D998)),0)</x:f>
        <x:v>0</x:v>
      </x:c>
      <x:c r="F998" s="440" t="n">
        <x:f>IF($B$78="Cash payoff",E998,0)</x:f>
        <x:v>0</x:v>
      </x:c>
      <x:c r="G998" s="440" t="n">
        <x:f>IF(AND(E998&gt;0,AND($B$78="Refinance",ISNUMBER($B$80),$B$80&gt;=0,$B$80&lt;=1,ROUND($B$81*12,0)&gt;=1,$B$81&lt;=100,SUM($B$82)&gt;=0,SUM($B$82)&lt;=1,SUM($B$83)&gt;=0)),E998*SUM($B$82)+SUM($B$83),0)</x:f>
        <x:v>0</x:v>
      </x:c>
      <x:c r="H998" s="440" t="n">
        <x:f>IF(ISNUMBER(D998),IF(MAX(0,B998*(1+C998/12)-D998-F998)&lt;MAX(0.0000001,$E$17*0.00000000001),0,MAX(0,B998*(1+C998/12)-D998-F998)),IF(AND($B$171=1,I997=1),B998,""))</x:f>
        <x:v>0</x:v>
      </x:c>
      <x:c r="I998" s="444" t="n">
        <x:f>IF(OR(I997=1,AND(E998&gt;0,$B$78&lt;&gt;"Cash payoff",NOT(AND($B$78="Refinance",ISNUMBER($B$80),$B$80&gt;=0,$B$80&lt;=1,ROUND($B$81*12,0)&gt;=1,$B$81&lt;=100,SUM($B$82)&gt;=0,SUM($B$82)&lt;=1,SUM($B$83)&gt;=0))),AND(ISNUMBER(B998),B998&gt;0,$B$171=1,NOT(ISNUMBER(D998)))),1,0)</x:f>
        <x:v>0</x:v>
      </x:c>
      <x:c r="J998" s="440" t="n">
        <x:f>IF(ISNUMBER(L997),L997,"")</x:f>
        <x:v>0</x:v>
      </x:c>
      <x:c r="K998" s="440" t="n">
        <x:f>IF(AND(ISNUMBER(J998),J998=0),0,IF(AND($B$176=1,ISNUMBER(J998)),MIN(J998*(1+$B$87/12),IF($B$86=0,0,IF($B$87=0,$B$86/ROUND($B$88*12,0),$B$86*($B$87/12)/(1-(1+$B$87/12)^(-ROUND($B$88*12,0)))))),""))</x:f>
        <x:v>0</x:v>
      </x:c>
      <x:c r="L998" s="440" t="n">
        <x:f>IF(ISNUMBER(K998),IF(MAX(0,J998*(1+SUM($B$87)/12)-K998)&lt;MAX(0.0000001,$B$86*0.00000000001),0,MAX(0,J998*(1+SUM($B$87)/12)-K998)),"")</x:f>
        <x:v>0</x:v>
      </x:c>
      <x:c r="M998" s="440" t="n">
        <x:f>IF(AND(ISNUMBER(D998),ISNUMBER(K998)),D998+K998,"")</x:f>
        <x:v>0</x:v>
      </x:c>
      <x:c r="N998" s="440" t="n">
        <x:f>IF(AND(ISNUMBER(H998),ISNUMBER(L998)),H998+L998,"")</x:f>
        <x:v>0</x:v>
      </x:c>
    </x:row>
    <x:row r="999" ht="22" customHeight="1">
      <x:c r="A999" s="254" t="n">
        <x:f>599</x:f>
        <x:v>599</x:v>
      </x:c>
      <x:c r="B999" s="440" t="n">
        <x:f>IF(ISNUMBER(H998),H998,"")</x:f>
        <x:v>0</x:v>
      </x:c>
      <x:c r="C999" s="442" t="n">
        <x:f>IF(ISNUMBER(B999),IF(AND(599&gt;$B$173,$B$78="Refinance",ISNUMBER($B$80),$B$80&gt;=0,$B$80&lt;=1,ROUND($B$81*12,0)&gt;=1,$B$81&lt;=100,SUM($B$82)&gt;=0,SUM($B$82)&lt;=1,SUM($B$83)&gt;=0),$B$80,IF(AND($B$175&gt;0,599&gt;$B$175,ISNUMBER($B$75)),$B$75,$B$61)),"")</x:f>
        <x:v>0.0625</x:v>
      </x:c>
      <x:c r="D999" s="440" t="n">
        <x:f>IF(AND(ISNUMBER(B999),B999=0),0,IF(AND($B$171=1,I998=0,ISNUMBER(C999),ISNUMBER(IF(AND(599&lt;=$B$174,599&lt;=$B$173),B999*C999/12,IF(AND(599=$B$173+1,AND(599&gt;$B$173,$B$78="Refinance",ISNUMBER($B$80),$B$80&gt;=0,$B$80&lt;=1,ROUND($B$81*12,0)&gt;=1,$B$81&lt;=100,SUM($B$82)&gt;=0,SUM($B$82)&lt;=1,SUM($B$83)&gt;=0)),IF(B999=0,0,IF(C999=0,B999/ROUND($B$81*12,0),B999*(C999/12)/(1-(1+C999/12)^(-ROUND($B$81*12,0))))),IF(AND(NOT(AND(599&gt;$B$173,$B$78="Refinance",ISNUMBER($B$80),$B$80&gt;=0,$B$80&lt;=1,ROUND($B$81*12,0)&gt;=1,$B$81&lt;=100,SUM($B$82)&gt;=0,SUM($B$82)&lt;=1,SUM($B$83)&gt;=0)),OR(599=1,599=$B$174+1,AND($B$175&gt;0,599=$B$175+1))),IF(AND($B$170=1,$B$66&gt;0,OR($B$175=0,599&lt;=$B$175)),$B$66,IF($B$172-MAX(599-1,$B$174)&gt;0,IF(B999=0,0,IF(C999=0,B999/($B$172-MAX(599-1,$B$174)),B999*(C999/12)/(1-(1+C999/12)^(-($B$172-MAX(599-1,$B$174)))))),"")),D998))))),IF(IF(AND(599&lt;=$B$174,599&lt;=$B$173),B999*C999/12,IF(AND(599=$B$173+1,AND(599&gt;$B$173,$B$78="Refinance",ISNUMBER($B$80),$B$80&gt;=0,$B$80&lt;=1,ROUND($B$81*12,0)&gt;=1,$B$81&lt;=100,SUM($B$82)&gt;=0,SUM($B$82)&lt;=1,SUM($B$83)&gt;=0)),IF(B999=0,0,IF(C999=0,B999/ROUND($B$81*12,0),B999*(C999/12)/(1-(1+C999/12)^(-ROUND($B$81*12,0))))),IF(AND(NOT(AND(599&gt;$B$173,$B$78="Refinance",ISNUMBER($B$80),$B$80&gt;=0,$B$80&lt;=1,ROUND($B$81*12,0)&gt;=1,$B$81&lt;=100,SUM($B$82)&gt;=0,SUM($B$82)&lt;=1,SUM($B$83)&gt;=0)),OR(599=1,599=$B$174+1,AND($B$175&gt;0,599=$B$175+1))),IF(AND($B$170=1,$B$66&gt;0,OR($B$175=0,599&lt;=$B$175)),$B$66,IF($B$172-MAX(599-1,$B$174)&gt;0,IF(B999=0,0,IF(C999=0,B999/($B$172-MAX(599-1,$B$174)),B999*(C999/12)/(1-(1+C999/12)^(-($B$172-MAX(599-1,$B$174)))))),"")),D998)))+0.0000001&gt;=B999*C999/12,MIN(B999*(1+C999/12),IF(AND(599&lt;=$B$174,599&lt;=$B$173),B999*C999/12,IF(AND(599=$B$173+1,AND(599&gt;$B$173,$B$78="Refinance",ISNUMBER($B$80),$B$80&gt;=0,$B$80&lt;=1,ROUND($B$81*12,0)&gt;=1,$B$81&lt;=100,SUM($B$82)&gt;=0,SUM($B$82)&lt;=1,SUM($B$83)&gt;=0)),IF(B999=0,0,IF(C999=0,B999/ROUND($B$81*12,0),B999*(C999/12)/(1-(1+C999/12)^(-ROUND($B$81*12,0))))),IF(AND(NOT(AND(599&gt;$B$173,$B$78="Refinance",ISNUMBER($B$80),$B$80&gt;=0,$B$80&lt;=1,ROUND($B$81*12,0)&gt;=1,$B$81&lt;=100,SUM($B$82)&gt;=0,SUM($B$82)&lt;=1,SUM($B$83)&gt;=0)),OR(599=1,599=$B$174+1,AND($B$175&gt;0,599=$B$175+1))),IF(AND($B$170=1,$B$66&gt;0,OR($B$175=0,599&lt;=$B$175)),$B$66,IF($B$172-MAX(599-1,$B$174)&gt;0,IF(B999=0,0,IF(C999=0,B999/($B$172-MAX(599-1,$B$174)),B999*(C999/12)/(1-(1+C999/12)^(-($B$172-MAX(599-1,$B$174)))))),"")),D998)))),""),""))</x:f>
        <x:v>0</x:v>
      </x:c>
      <x:c r="E999" s="440" t="n">
        <x:f>IF(AND(599=$B$173,ISNUMBER(D999)),IF(MAX(0,B999*(1+C999/12)-D999)&lt;MAX(0.0000001,$E$17*0.00000000001),0,MAX(0,B999*(1+C999/12)-D999)),0)</x:f>
        <x:v>0</x:v>
      </x:c>
      <x:c r="F999" s="440" t="n">
        <x:f>IF($B$78="Cash payoff",E999,0)</x:f>
        <x:v>0</x:v>
      </x:c>
      <x:c r="G999" s="440" t="n">
        <x:f>IF(AND(E999&gt;0,AND($B$78="Refinance",ISNUMBER($B$80),$B$80&gt;=0,$B$80&lt;=1,ROUND($B$81*12,0)&gt;=1,$B$81&lt;=100,SUM($B$82)&gt;=0,SUM($B$82)&lt;=1,SUM($B$83)&gt;=0)),E999*SUM($B$82)+SUM($B$83),0)</x:f>
        <x:v>0</x:v>
      </x:c>
      <x:c r="H999" s="440" t="n">
        <x:f>IF(ISNUMBER(D999),IF(MAX(0,B999*(1+C999/12)-D999-F999)&lt;MAX(0.0000001,$E$17*0.00000000001),0,MAX(0,B999*(1+C999/12)-D999-F999)),IF(AND($B$171=1,I998=1),B999,""))</x:f>
        <x:v>0</x:v>
      </x:c>
      <x:c r="I999" s="444" t="n">
        <x:f>IF(OR(I998=1,AND(E999&gt;0,$B$78&lt;&gt;"Cash payoff",NOT(AND($B$78="Refinance",ISNUMBER($B$80),$B$80&gt;=0,$B$80&lt;=1,ROUND($B$81*12,0)&gt;=1,$B$81&lt;=100,SUM($B$82)&gt;=0,SUM($B$82)&lt;=1,SUM($B$83)&gt;=0))),AND(ISNUMBER(B999),B999&gt;0,$B$171=1,NOT(ISNUMBER(D999)))),1,0)</x:f>
        <x:v>0</x:v>
      </x:c>
      <x:c r="J999" s="440" t="n">
        <x:f>IF(ISNUMBER(L998),L998,"")</x:f>
        <x:v>0</x:v>
      </x:c>
      <x:c r="K999" s="440" t="n">
        <x:f>IF(AND(ISNUMBER(J999),J999=0),0,IF(AND($B$176=1,ISNUMBER(J999)),MIN(J999*(1+$B$87/12),IF($B$86=0,0,IF($B$87=0,$B$86/ROUND($B$88*12,0),$B$86*($B$87/12)/(1-(1+$B$87/12)^(-ROUND($B$88*12,0)))))),""))</x:f>
        <x:v>0</x:v>
      </x:c>
      <x:c r="L999" s="440" t="n">
        <x:f>IF(ISNUMBER(K999),IF(MAX(0,J999*(1+SUM($B$87)/12)-K999)&lt;MAX(0.0000001,$B$86*0.00000000001),0,MAX(0,J999*(1+SUM($B$87)/12)-K999)),"")</x:f>
        <x:v>0</x:v>
      </x:c>
      <x:c r="M999" s="440" t="n">
        <x:f>IF(AND(ISNUMBER(D999),ISNUMBER(K999)),D999+K999,"")</x:f>
        <x:v>0</x:v>
      </x:c>
      <x:c r="N999" s="440" t="n">
        <x:f>IF(AND(ISNUMBER(H999),ISNUMBER(L999)),H999+L999,"")</x:f>
        <x:v>0</x:v>
      </x:c>
    </x:row>
    <x:row r="1000" ht="22" customHeight="1">
      <x:c r="A1000" s="254" t="n">
        <x:f>600</x:f>
        <x:v>600</x:v>
      </x:c>
      <x:c r="B1000" s="440" t="n">
        <x:f>IF(ISNUMBER(H999),H999,"")</x:f>
        <x:v>0</x:v>
      </x:c>
      <x:c r="C1000" s="442" t="n">
        <x:f>IF(ISNUMBER(B1000),IF(AND(600&gt;$B$173,$B$78="Refinance",ISNUMBER($B$80),$B$80&gt;=0,$B$80&lt;=1,ROUND($B$81*12,0)&gt;=1,$B$81&lt;=100,SUM($B$82)&gt;=0,SUM($B$82)&lt;=1,SUM($B$83)&gt;=0),$B$80,IF(AND($B$175&gt;0,600&gt;$B$175,ISNUMBER($B$75)),$B$75,$B$61)),"")</x:f>
        <x:v>0.0625</x:v>
      </x:c>
      <x:c r="D1000" s="440" t="n">
        <x:f>IF(AND(ISNUMBER(B1000),B1000=0),0,IF(AND($B$171=1,I999=0,ISNUMBER(C1000),ISNUMBER(IF(AND(600&lt;=$B$174,600&lt;=$B$173),B1000*C1000/12,IF(AND(600=$B$173+1,AND(600&gt;$B$173,$B$78="Refinance",ISNUMBER($B$80),$B$80&gt;=0,$B$80&lt;=1,ROUND($B$81*12,0)&gt;=1,$B$81&lt;=100,SUM($B$82)&gt;=0,SUM($B$82)&lt;=1,SUM($B$83)&gt;=0)),IF(B1000=0,0,IF(C1000=0,B1000/ROUND($B$81*12,0),B1000*(C1000/12)/(1-(1+C1000/12)^(-ROUND($B$81*12,0))))),IF(AND(NOT(AND(600&gt;$B$173,$B$78="Refinance",ISNUMBER($B$80),$B$80&gt;=0,$B$80&lt;=1,ROUND($B$81*12,0)&gt;=1,$B$81&lt;=100,SUM($B$82)&gt;=0,SUM($B$82)&lt;=1,SUM($B$83)&gt;=0)),OR(600=1,600=$B$174+1,AND($B$175&gt;0,600=$B$175+1))),IF(AND($B$170=1,$B$66&gt;0,OR($B$175=0,600&lt;=$B$175)),$B$66,IF($B$172-MAX(600-1,$B$174)&gt;0,IF(B1000=0,0,IF(C1000=0,B1000/($B$172-MAX(600-1,$B$174)),B1000*(C1000/12)/(1-(1+C1000/12)^(-($B$172-MAX(600-1,$B$174)))))),"")),D999))))),IF(IF(AND(600&lt;=$B$174,600&lt;=$B$173),B1000*C1000/12,IF(AND(600=$B$173+1,AND(600&gt;$B$173,$B$78="Refinance",ISNUMBER($B$80),$B$80&gt;=0,$B$80&lt;=1,ROUND($B$81*12,0)&gt;=1,$B$81&lt;=100,SUM($B$82)&gt;=0,SUM($B$82)&lt;=1,SUM($B$83)&gt;=0)),IF(B1000=0,0,IF(C1000=0,B1000/ROUND($B$81*12,0),B1000*(C1000/12)/(1-(1+C1000/12)^(-ROUND($B$81*12,0))))),IF(AND(NOT(AND(600&gt;$B$173,$B$78="Refinance",ISNUMBER($B$80),$B$80&gt;=0,$B$80&lt;=1,ROUND($B$81*12,0)&gt;=1,$B$81&lt;=100,SUM($B$82)&gt;=0,SUM($B$82)&lt;=1,SUM($B$83)&gt;=0)),OR(600=1,600=$B$174+1,AND($B$175&gt;0,600=$B$175+1))),IF(AND($B$170=1,$B$66&gt;0,OR($B$175=0,600&lt;=$B$175)),$B$66,IF($B$172-MAX(600-1,$B$174)&gt;0,IF(B1000=0,0,IF(C1000=0,B1000/($B$172-MAX(600-1,$B$174)),B1000*(C1000/12)/(1-(1+C1000/12)^(-($B$172-MAX(600-1,$B$174)))))),"")),D999)))+0.0000001&gt;=B1000*C1000/12,MIN(B1000*(1+C1000/12),IF(AND(600&lt;=$B$174,600&lt;=$B$173),B1000*C1000/12,IF(AND(600=$B$173+1,AND(600&gt;$B$173,$B$78="Refinance",ISNUMBER($B$80),$B$80&gt;=0,$B$80&lt;=1,ROUND($B$81*12,0)&gt;=1,$B$81&lt;=100,SUM($B$82)&gt;=0,SUM($B$82)&lt;=1,SUM($B$83)&gt;=0)),IF(B1000=0,0,IF(C1000=0,B1000/ROUND($B$81*12,0),B1000*(C1000/12)/(1-(1+C1000/12)^(-ROUND($B$81*12,0))))),IF(AND(NOT(AND(600&gt;$B$173,$B$78="Refinance",ISNUMBER($B$80),$B$80&gt;=0,$B$80&lt;=1,ROUND($B$81*12,0)&gt;=1,$B$81&lt;=100,SUM($B$82)&gt;=0,SUM($B$82)&lt;=1,SUM($B$83)&gt;=0)),OR(600=1,600=$B$174+1,AND($B$175&gt;0,600=$B$175+1))),IF(AND($B$170=1,$B$66&gt;0,OR($B$175=0,600&lt;=$B$175)),$B$66,IF($B$172-MAX(600-1,$B$174)&gt;0,IF(B1000=0,0,IF(C1000=0,B1000/($B$172-MAX(600-1,$B$174)),B1000*(C1000/12)/(1-(1+C1000/12)^(-($B$172-MAX(600-1,$B$174)))))),"")),D999)))),""),""))</x:f>
        <x:v>0</x:v>
      </x:c>
      <x:c r="E1000" s="440" t="n">
        <x:f>IF(AND(600=$B$173,ISNUMBER(D1000)),IF(MAX(0,B1000*(1+C1000/12)-D1000)&lt;MAX(0.0000001,$E$17*0.00000000001),0,MAX(0,B1000*(1+C1000/12)-D1000)),0)</x:f>
        <x:v>0</x:v>
      </x:c>
      <x:c r="F1000" s="440" t="n">
        <x:f>IF($B$78="Cash payoff",E1000,0)</x:f>
        <x:v>0</x:v>
      </x:c>
      <x:c r="G1000" s="440" t="n">
        <x:f>IF(AND(E1000&gt;0,AND($B$78="Refinance",ISNUMBER($B$80),$B$80&gt;=0,$B$80&lt;=1,ROUND($B$81*12,0)&gt;=1,$B$81&lt;=100,SUM($B$82)&gt;=0,SUM($B$82)&lt;=1,SUM($B$83)&gt;=0)),E1000*SUM($B$82)+SUM($B$83),0)</x:f>
        <x:v>0</x:v>
      </x:c>
      <x:c r="H1000" s="440" t="n">
        <x:f>IF(ISNUMBER(D1000),IF(MAX(0,B1000*(1+C1000/12)-D1000-F1000)&lt;MAX(0.0000001,$E$17*0.00000000001),0,MAX(0,B1000*(1+C1000/12)-D1000-F1000)),IF(AND($B$171=1,I999=1),B1000,""))</x:f>
        <x:v>0</x:v>
      </x:c>
      <x:c r="I1000" s="444" t="n">
        <x:f>IF(OR(I999=1,AND(E1000&gt;0,$B$78&lt;&gt;"Cash payoff",NOT(AND($B$78="Refinance",ISNUMBER($B$80),$B$80&gt;=0,$B$80&lt;=1,ROUND($B$81*12,0)&gt;=1,$B$81&lt;=100,SUM($B$82)&gt;=0,SUM($B$82)&lt;=1,SUM($B$83)&gt;=0))),AND(ISNUMBER(B1000),B1000&gt;0,$B$171=1,NOT(ISNUMBER(D1000)))),1,0)</x:f>
        <x:v>0</x:v>
      </x:c>
      <x:c r="J1000" s="440" t="n">
        <x:f>IF(ISNUMBER(L999),L999,"")</x:f>
        <x:v>0</x:v>
      </x:c>
      <x:c r="K1000" s="440" t="n">
        <x:f>IF(AND(ISNUMBER(J1000),J1000=0),0,IF(AND($B$176=1,ISNUMBER(J1000)),MIN(J1000*(1+$B$87/12),IF($B$86=0,0,IF($B$87=0,$B$86/ROUND($B$88*12,0),$B$86*($B$87/12)/(1-(1+$B$87/12)^(-ROUND($B$88*12,0)))))),""))</x:f>
        <x:v>0</x:v>
      </x:c>
      <x:c r="L1000" s="440" t="n">
        <x:f>IF(ISNUMBER(K1000),IF(MAX(0,J1000*(1+SUM($B$87)/12)-K1000)&lt;MAX(0.0000001,$B$86*0.00000000001),0,MAX(0,J1000*(1+SUM($B$87)/12)-K1000)),"")</x:f>
        <x:v>0</x:v>
      </x:c>
      <x:c r="M1000" s="440" t="n">
        <x:f>IF(AND(ISNUMBER(D1000),ISNUMBER(K1000)),D1000+K1000,"")</x:f>
        <x:v>0</x:v>
      </x:c>
      <x:c r="N1000" s="440" t="n">
        <x:f>IF(AND(ISNUMBER(H1000),ISNUMBER(L1000)),H1000+L1000,"")</x:f>
        <x:v>0</x:v>
      </x:c>
    </x:row>
    <x:row r="1001" ht="22" customHeight="1">
      <x:c r="A1001" s="254" t="n">
        <x:f>601</x:f>
        <x:v>601</x:v>
      </x:c>
      <x:c r="B1001" s="440" t="n">
        <x:f>IF(ISNUMBER(H1000),H1000,"")</x:f>
        <x:v>0</x:v>
      </x:c>
      <x:c r="C1001" s="442" t="n">
        <x:f>IF(ISNUMBER(B1001),IF(AND(601&gt;$B$173,$B$78="Refinance",ISNUMBER($B$80),$B$80&gt;=0,$B$80&lt;=1,ROUND($B$81*12,0)&gt;=1,$B$81&lt;=100,SUM($B$82)&gt;=0,SUM($B$82)&lt;=1,SUM($B$83)&gt;=0),$B$80,IF(AND($B$175&gt;0,601&gt;$B$175,ISNUMBER($B$75)),$B$75,$B$61)),"")</x:f>
        <x:v>0.0625</x:v>
      </x:c>
      <x:c r="D1001" s="440" t="n">
        <x:f>IF(AND(ISNUMBER(B1001),B1001=0),0,IF(AND($B$171=1,I1000=0,ISNUMBER(C1001),ISNUMBER(IF(AND(601&lt;=$B$174,601&lt;=$B$173),B1001*C1001/12,IF(AND(601=$B$173+1,AND(601&gt;$B$173,$B$78="Refinance",ISNUMBER($B$80),$B$80&gt;=0,$B$80&lt;=1,ROUND($B$81*12,0)&gt;=1,$B$81&lt;=100,SUM($B$82)&gt;=0,SUM($B$82)&lt;=1,SUM($B$83)&gt;=0)),IF(B1001=0,0,IF(C1001=0,B1001/ROUND($B$81*12,0),B1001*(C1001/12)/(1-(1+C1001/12)^(-ROUND($B$81*12,0))))),IF(AND(NOT(AND(601&gt;$B$173,$B$78="Refinance",ISNUMBER($B$80),$B$80&gt;=0,$B$80&lt;=1,ROUND($B$81*12,0)&gt;=1,$B$81&lt;=100,SUM($B$82)&gt;=0,SUM($B$82)&lt;=1,SUM($B$83)&gt;=0)),OR(601=1,601=$B$174+1,AND($B$175&gt;0,601=$B$175+1))),IF(AND($B$170=1,$B$66&gt;0,OR($B$175=0,601&lt;=$B$175)),$B$66,IF($B$172-MAX(601-1,$B$174)&gt;0,IF(B1001=0,0,IF(C1001=0,B1001/($B$172-MAX(601-1,$B$174)),B1001*(C1001/12)/(1-(1+C1001/12)^(-($B$172-MAX(601-1,$B$174)))))),"")),D1000))))),IF(IF(AND(601&lt;=$B$174,601&lt;=$B$173),B1001*C1001/12,IF(AND(601=$B$173+1,AND(601&gt;$B$173,$B$78="Refinance",ISNUMBER($B$80),$B$80&gt;=0,$B$80&lt;=1,ROUND($B$81*12,0)&gt;=1,$B$81&lt;=100,SUM($B$82)&gt;=0,SUM($B$82)&lt;=1,SUM($B$83)&gt;=0)),IF(B1001=0,0,IF(C1001=0,B1001/ROUND($B$81*12,0),B1001*(C1001/12)/(1-(1+C1001/12)^(-ROUND($B$81*12,0))))),IF(AND(NOT(AND(601&gt;$B$173,$B$78="Refinance",ISNUMBER($B$80),$B$80&gt;=0,$B$80&lt;=1,ROUND($B$81*12,0)&gt;=1,$B$81&lt;=100,SUM($B$82)&gt;=0,SUM($B$82)&lt;=1,SUM($B$83)&gt;=0)),OR(601=1,601=$B$174+1,AND($B$175&gt;0,601=$B$175+1))),IF(AND($B$170=1,$B$66&gt;0,OR($B$175=0,601&lt;=$B$175)),$B$66,IF($B$172-MAX(601-1,$B$174)&gt;0,IF(B1001=0,0,IF(C1001=0,B1001/($B$172-MAX(601-1,$B$174)),B1001*(C1001/12)/(1-(1+C1001/12)^(-($B$172-MAX(601-1,$B$174)))))),"")),D1000)))+0.0000001&gt;=B1001*C1001/12,MIN(B1001*(1+C1001/12),IF(AND(601&lt;=$B$174,601&lt;=$B$173),B1001*C1001/12,IF(AND(601=$B$173+1,AND(601&gt;$B$173,$B$78="Refinance",ISNUMBER($B$80),$B$80&gt;=0,$B$80&lt;=1,ROUND($B$81*12,0)&gt;=1,$B$81&lt;=100,SUM($B$82)&gt;=0,SUM($B$82)&lt;=1,SUM($B$83)&gt;=0)),IF(B1001=0,0,IF(C1001=0,B1001/ROUND($B$81*12,0),B1001*(C1001/12)/(1-(1+C1001/12)^(-ROUND($B$81*12,0))))),IF(AND(NOT(AND(601&gt;$B$173,$B$78="Refinance",ISNUMBER($B$80),$B$80&gt;=0,$B$80&lt;=1,ROUND($B$81*12,0)&gt;=1,$B$81&lt;=100,SUM($B$82)&gt;=0,SUM($B$82)&lt;=1,SUM($B$83)&gt;=0)),OR(601=1,601=$B$174+1,AND($B$175&gt;0,601=$B$175+1))),IF(AND($B$170=1,$B$66&gt;0,OR($B$175=0,601&lt;=$B$175)),$B$66,IF($B$172-MAX(601-1,$B$174)&gt;0,IF(B1001=0,0,IF(C1001=0,B1001/($B$172-MAX(601-1,$B$174)),B1001*(C1001/12)/(1-(1+C1001/12)^(-($B$172-MAX(601-1,$B$174)))))),"")),D1000)))),""),""))</x:f>
        <x:v>0</x:v>
      </x:c>
      <x:c r="E1001" s="440" t="n">
        <x:f>IF(AND(601=$B$173,ISNUMBER(D1001)),IF(MAX(0,B1001*(1+C1001/12)-D1001)&lt;MAX(0.0000001,$E$17*0.00000000001),0,MAX(0,B1001*(1+C1001/12)-D1001)),0)</x:f>
        <x:v>0</x:v>
      </x:c>
      <x:c r="F1001" s="440" t="n">
        <x:f>IF($B$78="Cash payoff",E1001,0)</x:f>
        <x:v>0</x:v>
      </x:c>
      <x:c r="G1001" s="440" t="n">
        <x:f>IF(AND(E1001&gt;0,AND($B$78="Refinance",ISNUMBER($B$80),$B$80&gt;=0,$B$80&lt;=1,ROUND($B$81*12,0)&gt;=1,$B$81&lt;=100,SUM($B$82)&gt;=0,SUM($B$82)&lt;=1,SUM($B$83)&gt;=0)),E1001*SUM($B$82)+SUM($B$83),0)</x:f>
        <x:v>0</x:v>
      </x:c>
      <x:c r="H1001" s="440" t="n">
        <x:f>IF(ISNUMBER(D1001),IF(MAX(0,B1001*(1+C1001/12)-D1001-F1001)&lt;MAX(0.0000001,$E$17*0.00000000001),0,MAX(0,B1001*(1+C1001/12)-D1001-F1001)),IF(AND($B$171=1,I1000=1),B1001,""))</x:f>
        <x:v>0</x:v>
      </x:c>
      <x:c r="I1001" s="444" t="n">
        <x:f>IF(OR(I1000=1,AND(E1001&gt;0,$B$78&lt;&gt;"Cash payoff",NOT(AND($B$78="Refinance",ISNUMBER($B$80),$B$80&gt;=0,$B$80&lt;=1,ROUND($B$81*12,0)&gt;=1,$B$81&lt;=100,SUM($B$82)&gt;=0,SUM($B$82)&lt;=1,SUM($B$83)&gt;=0))),AND(ISNUMBER(B1001),B1001&gt;0,$B$171=1,NOT(ISNUMBER(D1001)))),1,0)</x:f>
        <x:v>0</x:v>
      </x:c>
      <x:c r="J1001" s="440" t="n">
        <x:f>IF(ISNUMBER(L1000),L1000,"")</x:f>
        <x:v>0</x:v>
      </x:c>
      <x:c r="K1001" s="440" t="n">
        <x:f>IF(AND(ISNUMBER(J1001),J1001=0),0,IF(AND($B$176=1,ISNUMBER(J1001)),MIN(J1001*(1+$B$87/12),IF($B$86=0,0,IF($B$87=0,$B$86/ROUND($B$88*12,0),$B$86*($B$87/12)/(1-(1+$B$87/12)^(-ROUND($B$88*12,0)))))),""))</x:f>
        <x:v>0</x:v>
      </x:c>
      <x:c r="L1001" s="440" t="n">
        <x:f>IF(ISNUMBER(K1001),IF(MAX(0,J1001*(1+SUM($B$87)/12)-K1001)&lt;MAX(0.0000001,$B$86*0.00000000001),0,MAX(0,J1001*(1+SUM($B$87)/12)-K1001)),"")</x:f>
        <x:v>0</x:v>
      </x:c>
      <x:c r="M1001" s="440" t="n">
        <x:f>IF(AND(ISNUMBER(D1001),ISNUMBER(K1001)),D1001+K1001,"")</x:f>
        <x:v>0</x:v>
      </x:c>
      <x:c r="N1001" s="440" t="n">
        <x:f>IF(AND(ISNUMBER(H1001),ISNUMBER(L1001)),H1001+L1001,"")</x:f>
        <x:v>0</x:v>
      </x:c>
    </x:row>
    <x:row r="1002" ht="22" customHeight="1">
      <x:c r="A1002" s="254" t="n">
        <x:f>602</x:f>
        <x:v>602</x:v>
      </x:c>
      <x:c r="B1002" s="440" t="n">
        <x:f>IF(ISNUMBER(H1001),H1001,"")</x:f>
        <x:v>0</x:v>
      </x:c>
      <x:c r="C1002" s="442" t="n">
        <x:f>IF(ISNUMBER(B1002),IF(AND(602&gt;$B$173,$B$78="Refinance",ISNUMBER($B$80),$B$80&gt;=0,$B$80&lt;=1,ROUND($B$81*12,0)&gt;=1,$B$81&lt;=100,SUM($B$82)&gt;=0,SUM($B$82)&lt;=1,SUM($B$83)&gt;=0),$B$80,IF(AND($B$175&gt;0,602&gt;$B$175,ISNUMBER($B$75)),$B$75,$B$61)),"")</x:f>
        <x:v>0.0625</x:v>
      </x:c>
      <x:c r="D1002" s="440" t="n">
        <x:f>IF(AND(ISNUMBER(B1002),B1002=0),0,IF(AND($B$171=1,I1001=0,ISNUMBER(C1002),ISNUMBER(IF(AND(602&lt;=$B$174,602&lt;=$B$173),B1002*C1002/12,IF(AND(602=$B$173+1,AND(602&gt;$B$173,$B$78="Refinance",ISNUMBER($B$80),$B$80&gt;=0,$B$80&lt;=1,ROUND($B$81*12,0)&gt;=1,$B$81&lt;=100,SUM($B$82)&gt;=0,SUM($B$82)&lt;=1,SUM($B$83)&gt;=0)),IF(B1002=0,0,IF(C1002=0,B1002/ROUND($B$81*12,0),B1002*(C1002/12)/(1-(1+C1002/12)^(-ROUND($B$81*12,0))))),IF(AND(NOT(AND(602&gt;$B$173,$B$78="Refinance",ISNUMBER($B$80),$B$80&gt;=0,$B$80&lt;=1,ROUND($B$81*12,0)&gt;=1,$B$81&lt;=100,SUM($B$82)&gt;=0,SUM($B$82)&lt;=1,SUM($B$83)&gt;=0)),OR(602=1,602=$B$174+1,AND($B$175&gt;0,602=$B$175+1))),IF(AND($B$170=1,$B$66&gt;0,OR($B$175=0,602&lt;=$B$175)),$B$66,IF($B$172-MAX(602-1,$B$174)&gt;0,IF(B1002=0,0,IF(C1002=0,B1002/($B$172-MAX(602-1,$B$174)),B1002*(C1002/12)/(1-(1+C1002/12)^(-($B$172-MAX(602-1,$B$174)))))),"")),D1001))))),IF(IF(AND(602&lt;=$B$174,602&lt;=$B$173),B1002*C1002/12,IF(AND(602=$B$173+1,AND(602&gt;$B$173,$B$78="Refinance",ISNUMBER($B$80),$B$80&gt;=0,$B$80&lt;=1,ROUND($B$81*12,0)&gt;=1,$B$81&lt;=100,SUM($B$82)&gt;=0,SUM($B$82)&lt;=1,SUM($B$83)&gt;=0)),IF(B1002=0,0,IF(C1002=0,B1002/ROUND($B$81*12,0),B1002*(C1002/12)/(1-(1+C1002/12)^(-ROUND($B$81*12,0))))),IF(AND(NOT(AND(602&gt;$B$173,$B$78="Refinance",ISNUMBER($B$80),$B$80&gt;=0,$B$80&lt;=1,ROUND($B$81*12,0)&gt;=1,$B$81&lt;=100,SUM($B$82)&gt;=0,SUM($B$82)&lt;=1,SUM($B$83)&gt;=0)),OR(602=1,602=$B$174+1,AND($B$175&gt;0,602=$B$175+1))),IF(AND($B$170=1,$B$66&gt;0,OR($B$175=0,602&lt;=$B$175)),$B$66,IF($B$172-MAX(602-1,$B$174)&gt;0,IF(B1002=0,0,IF(C1002=0,B1002/($B$172-MAX(602-1,$B$174)),B1002*(C1002/12)/(1-(1+C1002/12)^(-($B$172-MAX(602-1,$B$174)))))),"")),D1001)))+0.0000001&gt;=B1002*C1002/12,MIN(B1002*(1+C1002/12),IF(AND(602&lt;=$B$174,602&lt;=$B$173),B1002*C1002/12,IF(AND(602=$B$173+1,AND(602&gt;$B$173,$B$78="Refinance",ISNUMBER($B$80),$B$80&gt;=0,$B$80&lt;=1,ROUND($B$81*12,0)&gt;=1,$B$81&lt;=100,SUM($B$82)&gt;=0,SUM($B$82)&lt;=1,SUM($B$83)&gt;=0)),IF(B1002=0,0,IF(C1002=0,B1002/ROUND($B$81*12,0),B1002*(C1002/12)/(1-(1+C1002/12)^(-ROUND($B$81*12,0))))),IF(AND(NOT(AND(602&gt;$B$173,$B$78="Refinance",ISNUMBER($B$80),$B$80&gt;=0,$B$80&lt;=1,ROUND($B$81*12,0)&gt;=1,$B$81&lt;=100,SUM($B$82)&gt;=0,SUM($B$82)&lt;=1,SUM($B$83)&gt;=0)),OR(602=1,602=$B$174+1,AND($B$175&gt;0,602=$B$175+1))),IF(AND($B$170=1,$B$66&gt;0,OR($B$175=0,602&lt;=$B$175)),$B$66,IF($B$172-MAX(602-1,$B$174)&gt;0,IF(B1002=0,0,IF(C1002=0,B1002/($B$172-MAX(602-1,$B$174)),B1002*(C1002/12)/(1-(1+C1002/12)^(-($B$172-MAX(602-1,$B$174)))))),"")),D1001)))),""),""))</x:f>
        <x:v>0</x:v>
      </x:c>
      <x:c r="E1002" s="440" t="n">
        <x:f>IF(AND(602=$B$173,ISNUMBER(D1002)),IF(MAX(0,B1002*(1+C1002/12)-D1002)&lt;MAX(0.0000001,$E$17*0.00000000001),0,MAX(0,B1002*(1+C1002/12)-D1002)),0)</x:f>
        <x:v>0</x:v>
      </x:c>
      <x:c r="F1002" s="440" t="n">
        <x:f>IF($B$78="Cash payoff",E1002,0)</x:f>
        <x:v>0</x:v>
      </x:c>
      <x:c r="G1002" s="440" t="n">
        <x:f>IF(AND(E1002&gt;0,AND($B$78="Refinance",ISNUMBER($B$80),$B$80&gt;=0,$B$80&lt;=1,ROUND($B$81*12,0)&gt;=1,$B$81&lt;=100,SUM($B$82)&gt;=0,SUM($B$82)&lt;=1,SUM($B$83)&gt;=0)),E1002*SUM($B$82)+SUM($B$83),0)</x:f>
        <x:v>0</x:v>
      </x:c>
      <x:c r="H1002" s="440" t="n">
        <x:f>IF(ISNUMBER(D1002),IF(MAX(0,B1002*(1+C1002/12)-D1002-F1002)&lt;MAX(0.0000001,$E$17*0.00000000001),0,MAX(0,B1002*(1+C1002/12)-D1002-F1002)),IF(AND($B$171=1,I1001=1),B1002,""))</x:f>
        <x:v>0</x:v>
      </x:c>
      <x:c r="I1002" s="444" t="n">
        <x:f>IF(OR(I1001=1,AND(E1002&gt;0,$B$78&lt;&gt;"Cash payoff",NOT(AND($B$78="Refinance",ISNUMBER($B$80),$B$80&gt;=0,$B$80&lt;=1,ROUND($B$81*12,0)&gt;=1,$B$81&lt;=100,SUM($B$82)&gt;=0,SUM($B$82)&lt;=1,SUM($B$83)&gt;=0))),AND(ISNUMBER(B1002),B1002&gt;0,$B$171=1,NOT(ISNUMBER(D1002)))),1,0)</x:f>
        <x:v>0</x:v>
      </x:c>
      <x:c r="J1002" s="440" t="n">
        <x:f>IF(ISNUMBER(L1001),L1001,"")</x:f>
        <x:v>0</x:v>
      </x:c>
      <x:c r="K1002" s="440" t="n">
        <x:f>IF(AND(ISNUMBER(J1002),J1002=0),0,IF(AND($B$176=1,ISNUMBER(J1002)),MIN(J1002*(1+$B$87/12),IF($B$86=0,0,IF($B$87=0,$B$86/ROUND($B$88*12,0),$B$86*($B$87/12)/(1-(1+$B$87/12)^(-ROUND($B$88*12,0)))))),""))</x:f>
        <x:v>0</x:v>
      </x:c>
      <x:c r="L1002" s="440" t="n">
        <x:f>IF(ISNUMBER(K1002),IF(MAX(0,J1002*(1+SUM($B$87)/12)-K1002)&lt;MAX(0.0000001,$B$86*0.00000000001),0,MAX(0,J1002*(1+SUM($B$87)/12)-K1002)),"")</x:f>
        <x:v>0</x:v>
      </x:c>
      <x:c r="M1002" s="440" t="n">
        <x:f>IF(AND(ISNUMBER(D1002),ISNUMBER(K1002)),D1002+K1002,"")</x:f>
        <x:v>0</x:v>
      </x:c>
      <x:c r="N1002" s="440" t="n">
        <x:f>IF(AND(ISNUMBER(H1002),ISNUMBER(L1002)),H1002+L1002,"")</x:f>
        <x:v>0</x:v>
      </x:c>
    </x:row>
    <x:row r="1003" ht="22" customHeight="1">
      <x:c r="A1003" s="254" t="n">
        <x:f>603</x:f>
        <x:v>603</x:v>
      </x:c>
      <x:c r="B1003" s="440" t="n">
        <x:f>IF(ISNUMBER(H1002),H1002,"")</x:f>
        <x:v>0</x:v>
      </x:c>
      <x:c r="C1003" s="442" t="n">
        <x:f>IF(ISNUMBER(B1003),IF(AND(603&gt;$B$173,$B$78="Refinance",ISNUMBER($B$80),$B$80&gt;=0,$B$80&lt;=1,ROUND($B$81*12,0)&gt;=1,$B$81&lt;=100,SUM($B$82)&gt;=0,SUM($B$82)&lt;=1,SUM($B$83)&gt;=0),$B$80,IF(AND($B$175&gt;0,603&gt;$B$175,ISNUMBER($B$75)),$B$75,$B$61)),"")</x:f>
        <x:v>0.0625</x:v>
      </x:c>
      <x:c r="D1003" s="440" t="n">
        <x:f>IF(AND(ISNUMBER(B1003),B1003=0),0,IF(AND($B$171=1,I1002=0,ISNUMBER(C1003),ISNUMBER(IF(AND(603&lt;=$B$174,603&lt;=$B$173),B1003*C1003/12,IF(AND(603=$B$173+1,AND(603&gt;$B$173,$B$78="Refinance",ISNUMBER($B$80),$B$80&gt;=0,$B$80&lt;=1,ROUND($B$81*12,0)&gt;=1,$B$81&lt;=100,SUM($B$82)&gt;=0,SUM($B$82)&lt;=1,SUM($B$83)&gt;=0)),IF(B1003=0,0,IF(C1003=0,B1003/ROUND($B$81*12,0),B1003*(C1003/12)/(1-(1+C1003/12)^(-ROUND($B$81*12,0))))),IF(AND(NOT(AND(603&gt;$B$173,$B$78="Refinance",ISNUMBER($B$80),$B$80&gt;=0,$B$80&lt;=1,ROUND($B$81*12,0)&gt;=1,$B$81&lt;=100,SUM($B$82)&gt;=0,SUM($B$82)&lt;=1,SUM($B$83)&gt;=0)),OR(603=1,603=$B$174+1,AND($B$175&gt;0,603=$B$175+1))),IF(AND($B$170=1,$B$66&gt;0,OR($B$175=0,603&lt;=$B$175)),$B$66,IF($B$172-MAX(603-1,$B$174)&gt;0,IF(B1003=0,0,IF(C1003=0,B1003/($B$172-MAX(603-1,$B$174)),B1003*(C1003/12)/(1-(1+C1003/12)^(-($B$172-MAX(603-1,$B$174)))))),"")),D1002))))),IF(IF(AND(603&lt;=$B$174,603&lt;=$B$173),B1003*C1003/12,IF(AND(603=$B$173+1,AND(603&gt;$B$173,$B$78="Refinance",ISNUMBER($B$80),$B$80&gt;=0,$B$80&lt;=1,ROUND($B$81*12,0)&gt;=1,$B$81&lt;=100,SUM($B$82)&gt;=0,SUM($B$82)&lt;=1,SUM($B$83)&gt;=0)),IF(B1003=0,0,IF(C1003=0,B1003/ROUND($B$81*12,0),B1003*(C1003/12)/(1-(1+C1003/12)^(-ROUND($B$81*12,0))))),IF(AND(NOT(AND(603&gt;$B$173,$B$78="Refinance",ISNUMBER($B$80),$B$80&gt;=0,$B$80&lt;=1,ROUND($B$81*12,0)&gt;=1,$B$81&lt;=100,SUM($B$82)&gt;=0,SUM($B$82)&lt;=1,SUM($B$83)&gt;=0)),OR(603=1,603=$B$174+1,AND($B$175&gt;0,603=$B$175+1))),IF(AND($B$170=1,$B$66&gt;0,OR($B$175=0,603&lt;=$B$175)),$B$66,IF($B$172-MAX(603-1,$B$174)&gt;0,IF(B1003=0,0,IF(C1003=0,B1003/($B$172-MAX(603-1,$B$174)),B1003*(C1003/12)/(1-(1+C1003/12)^(-($B$172-MAX(603-1,$B$174)))))),"")),D1002)))+0.0000001&gt;=B1003*C1003/12,MIN(B1003*(1+C1003/12),IF(AND(603&lt;=$B$174,603&lt;=$B$173),B1003*C1003/12,IF(AND(603=$B$173+1,AND(603&gt;$B$173,$B$78="Refinance",ISNUMBER($B$80),$B$80&gt;=0,$B$80&lt;=1,ROUND($B$81*12,0)&gt;=1,$B$81&lt;=100,SUM($B$82)&gt;=0,SUM($B$82)&lt;=1,SUM($B$83)&gt;=0)),IF(B1003=0,0,IF(C1003=0,B1003/ROUND($B$81*12,0),B1003*(C1003/12)/(1-(1+C1003/12)^(-ROUND($B$81*12,0))))),IF(AND(NOT(AND(603&gt;$B$173,$B$78="Refinance",ISNUMBER($B$80),$B$80&gt;=0,$B$80&lt;=1,ROUND($B$81*12,0)&gt;=1,$B$81&lt;=100,SUM($B$82)&gt;=0,SUM($B$82)&lt;=1,SUM($B$83)&gt;=0)),OR(603=1,603=$B$174+1,AND($B$175&gt;0,603=$B$175+1))),IF(AND($B$170=1,$B$66&gt;0,OR($B$175=0,603&lt;=$B$175)),$B$66,IF($B$172-MAX(603-1,$B$174)&gt;0,IF(B1003=0,0,IF(C1003=0,B1003/($B$172-MAX(603-1,$B$174)),B1003*(C1003/12)/(1-(1+C1003/12)^(-($B$172-MAX(603-1,$B$174)))))),"")),D1002)))),""),""))</x:f>
        <x:v>0</x:v>
      </x:c>
      <x:c r="E1003" s="440" t="n">
        <x:f>IF(AND(603=$B$173,ISNUMBER(D1003)),IF(MAX(0,B1003*(1+C1003/12)-D1003)&lt;MAX(0.0000001,$E$17*0.00000000001),0,MAX(0,B1003*(1+C1003/12)-D1003)),0)</x:f>
        <x:v>0</x:v>
      </x:c>
      <x:c r="F1003" s="440" t="n">
        <x:f>IF($B$78="Cash payoff",E1003,0)</x:f>
        <x:v>0</x:v>
      </x:c>
      <x:c r="G1003" s="440" t="n">
        <x:f>IF(AND(E1003&gt;0,AND($B$78="Refinance",ISNUMBER($B$80),$B$80&gt;=0,$B$80&lt;=1,ROUND($B$81*12,0)&gt;=1,$B$81&lt;=100,SUM($B$82)&gt;=0,SUM($B$82)&lt;=1,SUM($B$83)&gt;=0)),E1003*SUM($B$82)+SUM($B$83),0)</x:f>
        <x:v>0</x:v>
      </x:c>
      <x:c r="H1003" s="440" t="n">
        <x:f>IF(ISNUMBER(D1003),IF(MAX(0,B1003*(1+C1003/12)-D1003-F1003)&lt;MAX(0.0000001,$E$17*0.00000000001),0,MAX(0,B1003*(1+C1003/12)-D1003-F1003)),IF(AND($B$171=1,I1002=1),B1003,""))</x:f>
        <x:v>0</x:v>
      </x:c>
      <x:c r="I1003" s="444" t="n">
        <x:f>IF(OR(I1002=1,AND(E1003&gt;0,$B$78&lt;&gt;"Cash payoff",NOT(AND($B$78="Refinance",ISNUMBER($B$80),$B$80&gt;=0,$B$80&lt;=1,ROUND($B$81*12,0)&gt;=1,$B$81&lt;=100,SUM($B$82)&gt;=0,SUM($B$82)&lt;=1,SUM($B$83)&gt;=0))),AND(ISNUMBER(B1003),B1003&gt;0,$B$171=1,NOT(ISNUMBER(D1003)))),1,0)</x:f>
        <x:v>0</x:v>
      </x:c>
      <x:c r="J1003" s="440" t="n">
        <x:f>IF(ISNUMBER(L1002),L1002,"")</x:f>
        <x:v>0</x:v>
      </x:c>
      <x:c r="K1003" s="440" t="n">
        <x:f>IF(AND(ISNUMBER(J1003),J1003=0),0,IF(AND($B$176=1,ISNUMBER(J1003)),MIN(J1003*(1+$B$87/12),IF($B$86=0,0,IF($B$87=0,$B$86/ROUND($B$88*12,0),$B$86*($B$87/12)/(1-(1+$B$87/12)^(-ROUND($B$88*12,0)))))),""))</x:f>
        <x:v>0</x:v>
      </x:c>
      <x:c r="L1003" s="440" t="n">
        <x:f>IF(ISNUMBER(K1003),IF(MAX(0,J1003*(1+SUM($B$87)/12)-K1003)&lt;MAX(0.0000001,$B$86*0.00000000001),0,MAX(0,J1003*(1+SUM($B$87)/12)-K1003)),"")</x:f>
        <x:v>0</x:v>
      </x:c>
      <x:c r="M1003" s="440" t="n">
        <x:f>IF(AND(ISNUMBER(D1003),ISNUMBER(K1003)),D1003+K1003,"")</x:f>
        <x:v>0</x:v>
      </x:c>
      <x:c r="N1003" s="440" t="n">
        <x:f>IF(AND(ISNUMBER(H1003),ISNUMBER(L1003)),H1003+L1003,"")</x:f>
        <x:v>0</x:v>
      </x:c>
    </x:row>
    <x:row r="1004" ht="22" customHeight="1">
      <x:c r="A1004" s="254" t="n">
        <x:f>604</x:f>
        <x:v>604</x:v>
      </x:c>
      <x:c r="B1004" s="440" t="n">
        <x:f>IF(ISNUMBER(H1003),H1003,"")</x:f>
        <x:v>0</x:v>
      </x:c>
      <x:c r="C1004" s="442" t="n">
        <x:f>IF(ISNUMBER(B1004),IF(AND(604&gt;$B$173,$B$78="Refinance",ISNUMBER($B$80),$B$80&gt;=0,$B$80&lt;=1,ROUND($B$81*12,0)&gt;=1,$B$81&lt;=100,SUM($B$82)&gt;=0,SUM($B$82)&lt;=1,SUM($B$83)&gt;=0),$B$80,IF(AND($B$175&gt;0,604&gt;$B$175,ISNUMBER($B$75)),$B$75,$B$61)),"")</x:f>
        <x:v>0.0625</x:v>
      </x:c>
      <x:c r="D1004" s="440" t="n">
        <x:f>IF(AND(ISNUMBER(B1004),B1004=0),0,IF(AND($B$171=1,I1003=0,ISNUMBER(C1004),ISNUMBER(IF(AND(604&lt;=$B$174,604&lt;=$B$173),B1004*C1004/12,IF(AND(604=$B$173+1,AND(604&gt;$B$173,$B$78="Refinance",ISNUMBER($B$80),$B$80&gt;=0,$B$80&lt;=1,ROUND($B$81*12,0)&gt;=1,$B$81&lt;=100,SUM($B$82)&gt;=0,SUM($B$82)&lt;=1,SUM($B$83)&gt;=0)),IF(B1004=0,0,IF(C1004=0,B1004/ROUND($B$81*12,0),B1004*(C1004/12)/(1-(1+C1004/12)^(-ROUND($B$81*12,0))))),IF(AND(NOT(AND(604&gt;$B$173,$B$78="Refinance",ISNUMBER($B$80),$B$80&gt;=0,$B$80&lt;=1,ROUND($B$81*12,0)&gt;=1,$B$81&lt;=100,SUM($B$82)&gt;=0,SUM($B$82)&lt;=1,SUM($B$83)&gt;=0)),OR(604=1,604=$B$174+1,AND($B$175&gt;0,604=$B$175+1))),IF(AND($B$170=1,$B$66&gt;0,OR($B$175=0,604&lt;=$B$175)),$B$66,IF($B$172-MAX(604-1,$B$174)&gt;0,IF(B1004=0,0,IF(C1004=0,B1004/($B$172-MAX(604-1,$B$174)),B1004*(C1004/12)/(1-(1+C1004/12)^(-($B$172-MAX(604-1,$B$174)))))),"")),D1003))))),IF(IF(AND(604&lt;=$B$174,604&lt;=$B$173),B1004*C1004/12,IF(AND(604=$B$173+1,AND(604&gt;$B$173,$B$78="Refinance",ISNUMBER($B$80),$B$80&gt;=0,$B$80&lt;=1,ROUND($B$81*12,0)&gt;=1,$B$81&lt;=100,SUM($B$82)&gt;=0,SUM($B$82)&lt;=1,SUM($B$83)&gt;=0)),IF(B1004=0,0,IF(C1004=0,B1004/ROUND($B$81*12,0),B1004*(C1004/12)/(1-(1+C1004/12)^(-ROUND($B$81*12,0))))),IF(AND(NOT(AND(604&gt;$B$173,$B$78="Refinance",ISNUMBER($B$80),$B$80&gt;=0,$B$80&lt;=1,ROUND($B$81*12,0)&gt;=1,$B$81&lt;=100,SUM($B$82)&gt;=0,SUM($B$82)&lt;=1,SUM($B$83)&gt;=0)),OR(604=1,604=$B$174+1,AND($B$175&gt;0,604=$B$175+1))),IF(AND($B$170=1,$B$66&gt;0,OR($B$175=0,604&lt;=$B$175)),$B$66,IF($B$172-MAX(604-1,$B$174)&gt;0,IF(B1004=0,0,IF(C1004=0,B1004/($B$172-MAX(604-1,$B$174)),B1004*(C1004/12)/(1-(1+C1004/12)^(-($B$172-MAX(604-1,$B$174)))))),"")),D1003)))+0.0000001&gt;=B1004*C1004/12,MIN(B1004*(1+C1004/12),IF(AND(604&lt;=$B$174,604&lt;=$B$173),B1004*C1004/12,IF(AND(604=$B$173+1,AND(604&gt;$B$173,$B$78="Refinance",ISNUMBER($B$80),$B$80&gt;=0,$B$80&lt;=1,ROUND($B$81*12,0)&gt;=1,$B$81&lt;=100,SUM($B$82)&gt;=0,SUM($B$82)&lt;=1,SUM($B$83)&gt;=0)),IF(B1004=0,0,IF(C1004=0,B1004/ROUND($B$81*12,0),B1004*(C1004/12)/(1-(1+C1004/12)^(-ROUND($B$81*12,0))))),IF(AND(NOT(AND(604&gt;$B$173,$B$78="Refinance",ISNUMBER($B$80),$B$80&gt;=0,$B$80&lt;=1,ROUND($B$81*12,0)&gt;=1,$B$81&lt;=100,SUM($B$82)&gt;=0,SUM($B$82)&lt;=1,SUM($B$83)&gt;=0)),OR(604=1,604=$B$174+1,AND($B$175&gt;0,604=$B$175+1))),IF(AND($B$170=1,$B$66&gt;0,OR($B$175=0,604&lt;=$B$175)),$B$66,IF($B$172-MAX(604-1,$B$174)&gt;0,IF(B1004=0,0,IF(C1004=0,B1004/($B$172-MAX(604-1,$B$174)),B1004*(C1004/12)/(1-(1+C1004/12)^(-($B$172-MAX(604-1,$B$174)))))),"")),D1003)))),""),""))</x:f>
        <x:v>0</x:v>
      </x:c>
      <x:c r="E1004" s="440" t="n">
        <x:f>IF(AND(604=$B$173,ISNUMBER(D1004)),IF(MAX(0,B1004*(1+C1004/12)-D1004)&lt;MAX(0.0000001,$E$17*0.00000000001),0,MAX(0,B1004*(1+C1004/12)-D1004)),0)</x:f>
        <x:v>0</x:v>
      </x:c>
      <x:c r="F1004" s="440" t="n">
        <x:f>IF($B$78="Cash payoff",E1004,0)</x:f>
        <x:v>0</x:v>
      </x:c>
      <x:c r="G1004" s="440" t="n">
        <x:f>IF(AND(E1004&gt;0,AND($B$78="Refinance",ISNUMBER($B$80),$B$80&gt;=0,$B$80&lt;=1,ROUND($B$81*12,0)&gt;=1,$B$81&lt;=100,SUM($B$82)&gt;=0,SUM($B$82)&lt;=1,SUM($B$83)&gt;=0)),E1004*SUM($B$82)+SUM($B$83),0)</x:f>
        <x:v>0</x:v>
      </x:c>
      <x:c r="H1004" s="440" t="n">
        <x:f>IF(ISNUMBER(D1004),IF(MAX(0,B1004*(1+C1004/12)-D1004-F1004)&lt;MAX(0.0000001,$E$17*0.00000000001),0,MAX(0,B1004*(1+C1004/12)-D1004-F1004)),IF(AND($B$171=1,I1003=1),B1004,""))</x:f>
        <x:v>0</x:v>
      </x:c>
      <x:c r="I1004" s="444" t="n">
        <x:f>IF(OR(I1003=1,AND(E1004&gt;0,$B$78&lt;&gt;"Cash payoff",NOT(AND($B$78="Refinance",ISNUMBER($B$80),$B$80&gt;=0,$B$80&lt;=1,ROUND($B$81*12,0)&gt;=1,$B$81&lt;=100,SUM($B$82)&gt;=0,SUM($B$82)&lt;=1,SUM($B$83)&gt;=0))),AND(ISNUMBER(B1004),B1004&gt;0,$B$171=1,NOT(ISNUMBER(D1004)))),1,0)</x:f>
        <x:v>0</x:v>
      </x:c>
      <x:c r="J1004" s="440" t="n">
        <x:f>IF(ISNUMBER(L1003),L1003,"")</x:f>
        <x:v>0</x:v>
      </x:c>
      <x:c r="K1004" s="440" t="n">
        <x:f>IF(AND(ISNUMBER(J1004),J1004=0),0,IF(AND($B$176=1,ISNUMBER(J1004)),MIN(J1004*(1+$B$87/12),IF($B$86=0,0,IF($B$87=0,$B$86/ROUND($B$88*12,0),$B$86*($B$87/12)/(1-(1+$B$87/12)^(-ROUND($B$88*12,0)))))),""))</x:f>
        <x:v>0</x:v>
      </x:c>
      <x:c r="L1004" s="440" t="n">
        <x:f>IF(ISNUMBER(K1004),IF(MAX(0,J1004*(1+SUM($B$87)/12)-K1004)&lt;MAX(0.0000001,$B$86*0.00000000001),0,MAX(0,J1004*(1+SUM($B$87)/12)-K1004)),"")</x:f>
        <x:v>0</x:v>
      </x:c>
      <x:c r="M1004" s="440" t="n">
        <x:f>IF(AND(ISNUMBER(D1004),ISNUMBER(K1004)),D1004+K1004,"")</x:f>
        <x:v>0</x:v>
      </x:c>
      <x:c r="N1004" s="440" t="n">
        <x:f>IF(AND(ISNUMBER(H1004),ISNUMBER(L1004)),H1004+L1004,"")</x:f>
        <x:v>0</x:v>
      </x:c>
    </x:row>
    <x:row r="1005" ht="22" customHeight="1">
      <x:c r="A1005" s="254" t="n">
        <x:f>605</x:f>
        <x:v>605</x:v>
      </x:c>
      <x:c r="B1005" s="440" t="n">
        <x:f>IF(ISNUMBER(H1004),H1004,"")</x:f>
        <x:v>0</x:v>
      </x:c>
      <x:c r="C1005" s="442" t="n">
        <x:f>IF(ISNUMBER(B1005),IF(AND(605&gt;$B$173,$B$78="Refinance",ISNUMBER($B$80),$B$80&gt;=0,$B$80&lt;=1,ROUND($B$81*12,0)&gt;=1,$B$81&lt;=100,SUM($B$82)&gt;=0,SUM($B$82)&lt;=1,SUM($B$83)&gt;=0),$B$80,IF(AND($B$175&gt;0,605&gt;$B$175,ISNUMBER($B$75)),$B$75,$B$61)),"")</x:f>
        <x:v>0.0625</x:v>
      </x:c>
      <x:c r="D1005" s="440" t="n">
        <x:f>IF(AND(ISNUMBER(B1005),B1005=0),0,IF(AND($B$171=1,I1004=0,ISNUMBER(C1005),ISNUMBER(IF(AND(605&lt;=$B$174,605&lt;=$B$173),B1005*C1005/12,IF(AND(605=$B$173+1,AND(605&gt;$B$173,$B$78="Refinance",ISNUMBER($B$80),$B$80&gt;=0,$B$80&lt;=1,ROUND($B$81*12,0)&gt;=1,$B$81&lt;=100,SUM($B$82)&gt;=0,SUM($B$82)&lt;=1,SUM($B$83)&gt;=0)),IF(B1005=0,0,IF(C1005=0,B1005/ROUND($B$81*12,0),B1005*(C1005/12)/(1-(1+C1005/12)^(-ROUND($B$81*12,0))))),IF(AND(NOT(AND(605&gt;$B$173,$B$78="Refinance",ISNUMBER($B$80),$B$80&gt;=0,$B$80&lt;=1,ROUND($B$81*12,0)&gt;=1,$B$81&lt;=100,SUM($B$82)&gt;=0,SUM($B$82)&lt;=1,SUM($B$83)&gt;=0)),OR(605=1,605=$B$174+1,AND($B$175&gt;0,605=$B$175+1))),IF(AND($B$170=1,$B$66&gt;0,OR($B$175=0,605&lt;=$B$175)),$B$66,IF($B$172-MAX(605-1,$B$174)&gt;0,IF(B1005=0,0,IF(C1005=0,B1005/($B$172-MAX(605-1,$B$174)),B1005*(C1005/12)/(1-(1+C1005/12)^(-($B$172-MAX(605-1,$B$174)))))),"")),D1004))))),IF(IF(AND(605&lt;=$B$174,605&lt;=$B$173),B1005*C1005/12,IF(AND(605=$B$173+1,AND(605&gt;$B$173,$B$78="Refinance",ISNUMBER($B$80),$B$80&gt;=0,$B$80&lt;=1,ROUND($B$81*12,0)&gt;=1,$B$81&lt;=100,SUM($B$82)&gt;=0,SUM($B$82)&lt;=1,SUM($B$83)&gt;=0)),IF(B1005=0,0,IF(C1005=0,B1005/ROUND($B$81*12,0),B1005*(C1005/12)/(1-(1+C1005/12)^(-ROUND($B$81*12,0))))),IF(AND(NOT(AND(605&gt;$B$173,$B$78="Refinance",ISNUMBER($B$80),$B$80&gt;=0,$B$80&lt;=1,ROUND($B$81*12,0)&gt;=1,$B$81&lt;=100,SUM($B$82)&gt;=0,SUM($B$82)&lt;=1,SUM($B$83)&gt;=0)),OR(605=1,605=$B$174+1,AND($B$175&gt;0,605=$B$175+1))),IF(AND($B$170=1,$B$66&gt;0,OR($B$175=0,605&lt;=$B$175)),$B$66,IF($B$172-MAX(605-1,$B$174)&gt;0,IF(B1005=0,0,IF(C1005=0,B1005/($B$172-MAX(605-1,$B$174)),B1005*(C1005/12)/(1-(1+C1005/12)^(-($B$172-MAX(605-1,$B$174)))))),"")),D1004)))+0.0000001&gt;=B1005*C1005/12,MIN(B1005*(1+C1005/12),IF(AND(605&lt;=$B$174,605&lt;=$B$173),B1005*C1005/12,IF(AND(605=$B$173+1,AND(605&gt;$B$173,$B$78="Refinance",ISNUMBER($B$80),$B$80&gt;=0,$B$80&lt;=1,ROUND($B$81*12,0)&gt;=1,$B$81&lt;=100,SUM($B$82)&gt;=0,SUM($B$82)&lt;=1,SUM($B$83)&gt;=0)),IF(B1005=0,0,IF(C1005=0,B1005/ROUND($B$81*12,0),B1005*(C1005/12)/(1-(1+C1005/12)^(-ROUND($B$81*12,0))))),IF(AND(NOT(AND(605&gt;$B$173,$B$78="Refinance",ISNUMBER($B$80),$B$80&gt;=0,$B$80&lt;=1,ROUND($B$81*12,0)&gt;=1,$B$81&lt;=100,SUM($B$82)&gt;=0,SUM($B$82)&lt;=1,SUM($B$83)&gt;=0)),OR(605=1,605=$B$174+1,AND($B$175&gt;0,605=$B$175+1))),IF(AND($B$170=1,$B$66&gt;0,OR($B$175=0,605&lt;=$B$175)),$B$66,IF($B$172-MAX(605-1,$B$174)&gt;0,IF(B1005=0,0,IF(C1005=0,B1005/($B$172-MAX(605-1,$B$174)),B1005*(C1005/12)/(1-(1+C1005/12)^(-($B$172-MAX(605-1,$B$174)))))),"")),D1004)))),""),""))</x:f>
        <x:v>0</x:v>
      </x:c>
      <x:c r="E1005" s="440" t="n">
        <x:f>IF(AND(605=$B$173,ISNUMBER(D1005)),IF(MAX(0,B1005*(1+C1005/12)-D1005)&lt;MAX(0.0000001,$E$17*0.00000000001),0,MAX(0,B1005*(1+C1005/12)-D1005)),0)</x:f>
        <x:v>0</x:v>
      </x:c>
      <x:c r="F1005" s="440" t="n">
        <x:f>IF($B$78="Cash payoff",E1005,0)</x:f>
        <x:v>0</x:v>
      </x:c>
      <x:c r="G1005" s="440" t="n">
        <x:f>IF(AND(E1005&gt;0,AND($B$78="Refinance",ISNUMBER($B$80),$B$80&gt;=0,$B$80&lt;=1,ROUND($B$81*12,0)&gt;=1,$B$81&lt;=100,SUM($B$82)&gt;=0,SUM($B$82)&lt;=1,SUM($B$83)&gt;=0)),E1005*SUM($B$82)+SUM($B$83),0)</x:f>
        <x:v>0</x:v>
      </x:c>
      <x:c r="H1005" s="440" t="n">
        <x:f>IF(ISNUMBER(D1005),IF(MAX(0,B1005*(1+C1005/12)-D1005-F1005)&lt;MAX(0.0000001,$E$17*0.00000000001),0,MAX(0,B1005*(1+C1005/12)-D1005-F1005)),IF(AND($B$171=1,I1004=1),B1005,""))</x:f>
        <x:v>0</x:v>
      </x:c>
      <x:c r="I1005" s="444" t="n">
        <x:f>IF(OR(I1004=1,AND(E1005&gt;0,$B$78&lt;&gt;"Cash payoff",NOT(AND($B$78="Refinance",ISNUMBER($B$80),$B$80&gt;=0,$B$80&lt;=1,ROUND($B$81*12,0)&gt;=1,$B$81&lt;=100,SUM($B$82)&gt;=0,SUM($B$82)&lt;=1,SUM($B$83)&gt;=0))),AND(ISNUMBER(B1005),B1005&gt;0,$B$171=1,NOT(ISNUMBER(D1005)))),1,0)</x:f>
        <x:v>0</x:v>
      </x:c>
      <x:c r="J1005" s="440" t="n">
        <x:f>IF(ISNUMBER(L1004),L1004,"")</x:f>
        <x:v>0</x:v>
      </x:c>
      <x:c r="K1005" s="440" t="n">
        <x:f>IF(AND(ISNUMBER(J1005),J1005=0),0,IF(AND($B$176=1,ISNUMBER(J1005)),MIN(J1005*(1+$B$87/12),IF($B$86=0,0,IF($B$87=0,$B$86/ROUND($B$88*12,0),$B$86*($B$87/12)/(1-(1+$B$87/12)^(-ROUND($B$88*12,0)))))),""))</x:f>
        <x:v>0</x:v>
      </x:c>
      <x:c r="L1005" s="440" t="n">
        <x:f>IF(ISNUMBER(K1005),IF(MAX(0,J1005*(1+SUM($B$87)/12)-K1005)&lt;MAX(0.0000001,$B$86*0.00000000001),0,MAX(0,J1005*(1+SUM($B$87)/12)-K1005)),"")</x:f>
        <x:v>0</x:v>
      </x:c>
      <x:c r="M1005" s="440" t="n">
        <x:f>IF(AND(ISNUMBER(D1005),ISNUMBER(K1005)),D1005+K1005,"")</x:f>
        <x:v>0</x:v>
      </x:c>
      <x:c r="N1005" s="440" t="n">
        <x:f>IF(AND(ISNUMBER(H1005),ISNUMBER(L1005)),H1005+L1005,"")</x:f>
        <x:v>0</x:v>
      </x:c>
    </x:row>
    <x:row r="1006" ht="22" customHeight="1">
      <x:c r="A1006" s="254" t="n">
        <x:f>606</x:f>
        <x:v>606</x:v>
      </x:c>
      <x:c r="B1006" s="440" t="n">
        <x:f>IF(ISNUMBER(H1005),H1005,"")</x:f>
        <x:v>0</x:v>
      </x:c>
      <x:c r="C1006" s="442" t="n">
        <x:f>IF(ISNUMBER(B1006),IF(AND(606&gt;$B$173,$B$78="Refinance",ISNUMBER($B$80),$B$80&gt;=0,$B$80&lt;=1,ROUND($B$81*12,0)&gt;=1,$B$81&lt;=100,SUM($B$82)&gt;=0,SUM($B$82)&lt;=1,SUM($B$83)&gt;=0),$B$80,IF(AND($B$175&gt;0,606&gt;$B$175,ISNUMBER($B$75)),$B$75,$B$61)),"")</x:f>
        <x:v>0.0625</x:v>
      </x:c>
      <x:c r="D1006" s="440" t="n">
        <x:f>IF(AND(ISNUMBER(B1006),B1006=0),0,IF(AND($B$171=1,I1005=0,ISNUMBER(C1006),ISNUMBER(IF(AND(606&lt;=$B$174,606&lt;=$B$173),B1006*C1006/12,IF(AND(606=$B$173+1,AND(606&gt;$B$173,$B$78="Refinance",ISNUMBER($B$80),$B$80&gt;=0,$B$80&lt;=1,ROUND($B$81*12,0)&gt;=1,$B$81&lt;=100,SUM($B$82)&gt;=0,SUM($B$82)&lt;=1,SUM($B$83)&gt;=0)),IF(B1006=0,0,IF(C1006=0,B1006/ROUND($B$81*12,0),B1006*(C1006/12)/(1-(1+C1006/12)^(-ROUND($B$81*12,0))))),IF(AND(NOT(AND(606&gt;$B$173,$B$78="Refinance",ISNUMBER($B$80),$B$80&gt;=0,$B$80&lt;=1,ROUND($B$81*12,0)&gt;=1,$B$81&lt;=100,SUM($B$82)&gt;=0,SUM($B$82)&lt;=1,SUM($B$83)&gt;=0)),OR(606=1,606=$B$174+1,AND($B$175&gt;0,606=$B$175+1))),IF(AND($B$170=1,$B$66&gt;0,OR($B$175=0,606&lt;=$B$175)),$B$66,IF($B$172-MAX(606-1,$B$174)&gt;0,IF(B1006=0,0,IF(C1006=0,B1006/($B$172-MAX(606-1,$B$174)),B1006*(C1006/12)/(1-(1+C1006/12)^(-($B$172-MAX(606-1,$B$174)))))),"")),D1005))))),IF(IF(AND(606&lt;=$B$174,606&lt;=$B$173),B1006*C1006/12,IF(AND(606=$B$173+1,AND(606&gt;$B$173,$B$78="Refinance",ISNUMBER($B$80),$B$80&gt;=0,$B$80&lt;=1,ROUND($B$81*12,0)&gt;=1,$B$81&lt;=100,SUM($B$82)&gt;=0,SUM($B$82)&lt;=1,SUM($B$83)&gt;=0)),IF(B1006=0,0,IF(C1006=0,B1006/ROUND($B$81*12,0),B1006*(C1006/12)/(1-(1+C1006/12)^(-ROUND($B$81*12,0))))),IF(AND(NOT(AND(606&gt;$B$173,$B$78="Refinance",ISNUMBER($B$80),$B$80&gt;=0,$B$80&lt;=1,ROUND($B$81*12,0)&gt;=1,$B$81&lt;=100,SUM($B$82)&gt;=0,SUM($B$82)&lt;=1,SUM($B$83)&gt;=0)),OR(606=1,606=$B$174+1,AND($B$175&gt;0,606=$B$175+1))),IF(AND($B$170=1,$B$66&gt;0,OR($B$175=0,606&lt;=$B$175)),$B$66,IF($B$172-MAX(606-1,$B$174)&gt;0,IF(B1006=0,0,IF(C1006=0,B1006/($B$172-MAX(606-1,$B$174)),B1006*(C1006/12)/(1-(1+C1006/12)^(-($B$172-MAX(606-1,$B$174)))))),"")),D1005)))+0.0000001&gt;=B1006*C1006/12,MIN(B1006*(1+C1006/12),IF(AND(606&lt;=$B$174,606&lt;=$B$173),B1006*C1006/12,IF(AND(606=$B$173+1,AND(606&gt;$B$173,$B$78="Refinance",ISNUMBER($B$80),$B$80&gt;=0,$B$80&lt;=1,ROUND($B$81*12,0)&gt;=1,$B$81&lt;=100,SUM($B$82)&gt;=0,SUM($B$82)&lt;=1,SUM($B$83)&gt;=0)),IF(B1006=0,0,IF(C1006=0,B1006/ROUND($B$81*12,0),B1006*(C1006/12)/(1-(1+C1006/12)^(-ROUND($B$81*12,0))))),IF(AND(NOT(AND(606&gt;$B$173,$B$78="Refinance",ISNUMBER($B$80),$B$80&gt;=0,$B$80&lt;=1,ROUND($B$81*12,0)&gt;=1,$B$81&lt;=100,SUM($B$82)&gt;=0,SUM($B$82)&lt;=1,SUM($B$83)&gt;=0)),OR(606=1,606=$B$174+1,AND($B$175&gt;0,606=$B$175+1))),IF(AND($B$170=1,$B$66&gt;0,OR($B$175=0,606&lt;=$B$175)),$B$66,IF($B$172-MAX(606-1,$B$174)&gt;0,IF(B1006=0,0,IF(C1006=0,B1006/($B$172-MAX(606-1,$B$174)),B1006*(C1006/12)/(1-(1+C1006/12)^(-($B$172-MAX(606-1,$B$174)))))),"")),D1005)))),""),""))</x:f>
        <x:v>0</x:v>
      </x:c>
      <x:c r="E1006" s="440" t="n">
        <x:f>IF(AND(606=$B$173,ISNUMBER(D1006)),IF(MAX(0,B1006*(1+C1006/12)-D1006)&lt;MAX(0.0000001,$E$17*0.00000000001),0,MAX(0,B1006*(1+C1006/12)-D1006)),0)</x:f>
        <x:v>0</x:v>
      </x:c>
      <x:c r="F1006" s="440" t="n">
        <x:f>IF($B$78="Cash payoff",E1006,0)</x:f>
        <x:v>0</x:v>
      </x:c>
      <x:c r="G1006" s="440" t="n">
        <x:f>IF(AND(E1006&gt;0,AND($B$78="Refinance",ISNUMBER($B$80),$B$80&gt;=0,$B$80&lt;=1,ROUND($B$81*12,0)&gt;=1,$B$81&lt;=100,SUM($B$82)&gt;=0,SUM($B$82)&lt;=1,SUM($B$83)&gt;=0)),E1006*SUM($B$82)+SUM($B$83),0)</x:f>
        <x:v>0</x:v>
      </x:c>
      <x:c r="H1006" s="440" t="n">
        <x:f>IF(ISNUMBER(D1006),IF(MAX(0,B1006*(1+C1006/12)-D1006-F1006)&lt;MAX(0.0000001,$E$17*0.00000000001),0,MAX(0,B1006*(1+C1006/12)-D1006-F1006)),IF(AND($B$171=1,I1005=1),B1006,""))</x:f>
        <x:v>0</x:v>
      </x:c>
      <x:c r="I1006" s="444" t="n">
        <x:f>IF(OR(I1005=1,AND(E1006&gt;0,$B$78&lt;&gt;"Cash payoff",NOT(AND($B$78="Refinance",ISNUMBER($B$80),$B$80&gt;=0,$B$80&lt;=1,ROUND($B$81*12,0)&gt;=1,$B$81&lt;=100,SUM($B$82)&gt;=0,SUM($B$82)&lt;=1,SUM($B$83)&gt;=0))),AND(ISNUMBER(B1006),B1006&gt;0,$B$171=1,NOT(ISNUMBER(D1006)))),1,0)</x:f>
        <x:v>0</x:v>
      </x:c>
      <x:c r="J1006" s="440" t="n">
        <x:f>IF(ISNUMBER(L1005),L1005,"")</x:f>
        <x:v>0</x:v>
      </x:c>
      <x:c r="K1006" s="440" t="n">
        <x:f>IF(AND(ISNUMBER(J1006),J1006=0),0,IF(AND($B$176=1,ISNUMBER(J1006)),MIN(J1006*(1+$B$87/12),IF($B$86=0,0,IF($B$87=0,$B$86/ROUND($B$88*12,0),$B$86*($B$87/12)/(1-(1+$B$87/12)^(-ROUND($B$88*12,0)))))),""))</x:f>
        <x:v>0</x:v>
      </x:c>
      <x:c r="L1006" s="440" t="n">
        <x:f>IF(ISNUMBER(K1006),IF(MAX(0,J1006*(1+SUM($B$87)/12)-K1006)&lt;MAX(0.0000001,$B$86*0.00000000001),0,MAX(0,J1006*(1+SUM($B$87)/12)-K1006)),"")</x:f>
        <x:v>0</x:v>
      </x:c>
      <x:c r="M1006" s="440" t="n">
        <x:f>IF(AND(ISNUMBER(D1006),ISNUMBER(K1006)),D1006+K1006,"")</x:f>
        <x:v>0</x:v>
      </x:c>
      <x:c r="N1006" s="440" t="n">
        <x:f>IF(AND(ISNUMBER(H1006),ISNUMBER(L1006)),H1006+L1006,"")</x:f>
        <x:v>0</x:v>
      </x:c>
    </x:row>
    <x:row r="1007" ht="22" customHeight="1">
      <x:c r="A1007" s="254" t="n">
        <x:f>607</x:f>
        <x:v>607</x:v>
      </x:c>
      <x:c r="B1007" s="440" t="n">
        <x:f>IF(ISNUMBER(H1006),H1006,"")</x:f>
        <x:v>0</x:v>
      </x:c>
      <x:c r="C1007" s="442" t="n">
        <x:f>IF(ISNUMBER(B1007),IF(AND(607&gt;$B$173,$B$78="Refinance",ISNUMBER($B$80),$B$80&gt;=0,$B$80&lt;=1,ROUND($B$81*12,0)&gt;=1,$B$81&lt;=100,SUM($B$82)&gt;=0,SUM($B$82)&lt;=1,SUM($B$83)&gt;=0),$B$80,IF(AND($B$175&gt;0,607&gt;$B$175,ISNUMBER($B$75)),$B$75,$B$61)),"")</x:f>
        <x:v>0.0625</x:v>
      </x:c>
      <x:c r="D1007" s="440" t="n">
        <x:f>IF(AND(ISNUMBER(B1007),B1007=0),0,IF(AND($B$171=1,I1006=0,ISNUMBER(C1007),ISNUMBER(IF(AND(607&lt;=$B$174,607&lt;=$B$173),B1007*C1007/12,IF(AND(607=$B$173+1,AND(607&gt;$B$173,$B$78="Refinance",ISNUMBER($B$80),$B$80&gt;=0,$B$80&lt;=1,ROUND($B$81*12,0)&gt;=1,$B$81&lt;=100,SUM($B$82)&gt;=0,SUM($B$82)&lt;=1,SUM($B$83)&gt;=0)),IF(B1007=0,0,IF(C1007=0,B1007/ROUND($B$81*12,0),B1007*(C1007/12)/(1-(1+C1007/12)^(-ROUND($B$81*12,0))))),IF(AND(NOT(AND(607&gt;$B$173,$B$78="Refinance",ISNUMBER($B$80),$B$80&gt;=0,$B$80&lt;=1,ROUND($B$81*12,0)&gt;=1,$B$81&lt;=100,SUM($B$82)&gt;=0,SUM($B$82)&lt;=1,SUM($B$83)&gt;=0)),OR(607=1,607=$B$174+1,AND($B$175&gt;0,607=$B$175+1))),IF(AND($B$170=1,$B$66&gt;0,OR($B$175=0,607&lt;=$B$175)),$B$66,IF($B$172-MAX(607-1,$B$174)&gt;0,IF(B1007=0,0,IF(C1007=0,B1007/($B$172-MAX(607-1,$B$174)),B1007*(C1007/12)/(1-(1+C1007/12)^(-($B$172-MAX(607-1,$B$174)))))),"")),D1006))))),IF(IF(AND(607&lt;=$B$174,607&lt;=$B$173),B1007*C1007/12,IF(AND(607=$B$173+1,AND(607&gt;$B$173,$B$78="Refinance",ISNUMBER($B$80),$B$80&gt;=0,$B$80&lt;=1,ROUND($B$81*12,0)&gt;=1,$B$81&lt;=100,SUM($B$82)&gt;=0,SUM($B$82)&lt;=1,SUM($B$83)&gt;=0)),IF(B1007=0,0,IF(C1007=0,B1007/ROUND($B$81*12,0),B1007*(C1007/12)/(1-(1+C1007/12)^(-ROUND($B$81*12,0))))),IF(AND(NOT(AND(607&gt;$B$173,$B$78="Refinance",ISNUMBER($B$80),$B$80&gt;=0,$B$80&lt;=1,ROUND($B$81*12,0)&gt;=1,$B$81&lt;=100,SUM($B$82)&gt;=0,SUM($B$82)&lt;=1,SUM($B$83)&gt;=0)),OR(607=1,607=$B$174+1,AND($B$175&gt;0,607=$B$175+1))),IF(AND($B$170=1,$B$66&gt;0,OR($B$175=0,607&lt;=$B$175)),$B$66,IF($B$172-MAX(607-1,$B$174)&gt;0,IF(B1007=0,0,IF(C1007=0,B1007/($B$172-MAX(607-1,$B$174)),B1007*(C1007/12)/(1-(1+C1007/12)^(-($B$172-MAX(607-1,$B$174)))))),"")),D1006)))+0.0000001&gt;=B1007*C1007/12,MIN(B1007*(1+C1007/12),IF(AND(607&lt;=$B$174,607&lt;=$B$173),B1007*C1007/12,IF(AND(607=$B$173+1,AND(607&gt;$B$173,$B$78="Refinance",ISNUMBER($B$80),$B$80&gt;=0,$B$80&lt;=1,ROUND($B$81*12,0)&gt;=1,$B$81&lt;=100,SUM($B$82)&gt;=0,SUM($B$82)&lt;=1,SUM($B$83)&gt;=0)),IF(B1007=0,0,IF(C1007=0,B1007/ROUND($B$81*12,0),B1007*(C1007/12)/(1-(1+C1007/12)^(-ROUND($B$81*12,0))))),IF(AND(NOT(AND(607&gt;$B$173,$B$78="Refinance",ISNUMBER($B$80),$B$80&gt;=0,$B$80&lt;=1,ROUND($B$81*12,0)&gt;=1,$B$81&lt;=100,SUM($B$82)&gt;=0,SUM($B$82)&lt;=1,SUM($B$83)&gt;=0)),OR(607=1,607=$B$174+1,AND($B$175&gt;0,607=$B$175+1))),IF(AND($B$170=1,$B$66&gt;0,OR($B$175=0,607&lt;=$B$175)),$B$66,IF($B$172-MAX(607-1,$B$174)&gt;0,IF(B1007=0,0,IF(C1007=0,B1007/($B$172-MAX(607-1,$B$174)),B1007*(C1007/12)/(1-(1+C1007/12)^(-($B$172-MAX(607-1,$B$174)))))),"")),D1006)))),""),""))</x:f>
        <x:v>0</x:v>
      </x:c>
      <x:c r="E1007" s="440" t="n">
        <x:f>IF(AND(607=$B$173,ISNUMBER(D1007)),IF(MAX(0,B1007*(1+C1007/12)-D1007)&lt;MAX(0.0000001,$E$17*0.00000000001),0,MAX(0,B1007*(1+C1007/12)-D1007)),0)</x:f>
        <x:v>0</x:v>
      </x:c>
      <x:c r="F1007" s="440" t="n">
        <x:f>IF($B$78="Cash payoff",E1007,0)</x:f>
        <x:v>0</x:v>
      </x:c>
      <x:c r="G1007" s="440" t="n">
        <x:f>IF(AND(E1007&gt;0,AND($B$78="Refinance",ISNUMBER($B$80),$B$80&gt;=0,$B$80&lt;=1,ROUND($B$81*12,0)&gt;=1,$B$81&lt;=100,SUM($B$82)&gt;=0,SUM($B$82)&lt;=1,SUM($B$83)&gt;=0)),E1007*SUM($B$82)+SUM($B$83),0)</x:f>
        <x:v>0</x:v>
      </x:c>
      <x:c r="H1007" s="440" t="n">
        <x:f>IF(ISNUMBER(D1007),IF(MAX(0,B1007*(1+C1007/12)-D1007-F1007)&lt;MAX(0.0000001,$E$17*0.00000000001),0,MAX(0,B1007*(1+C1007/12)-D1007-F1007)),IF(AND($B$171=1,I1006=1),B1007,""))</x:f>
        <x:v>0</x:v>
      </x:c>
      <x:c r="I1007" s="444" t="n">
        <x:f>IF(OR(I1006=1,AND(E1007&gt;0,$B$78&lt;&gt;"Cash payoff",NOT(AND($B$78="Refinance",ISNUMBER($B$80),$B$80&gt;=0,$B$80&lt;=1,ROUND($B$81*12,0)&gt;=1,$B$81&lt;=100,SUM($B$82)&gt;=0,SUM($B$82)&lt;=1,SUM($B$83)&gt;=0))),AND(ISNUMBER(B1007),B1007&gt;0,$B$171=1,NOT(ISNUMBER(D1007)))),1,0)</x:f>
        <x:v>0</x:v>
      </x:c>
      <x:c r="J1007" s="440" t="n">
        <x:f>IF(ISNUMBER(L1006),L1006,"")</x:f>
        <x:v>0</x:v>
      </x:c>
      <x:c r="K1007" s="440" t="n">
        <x:f>IF(AND(ISNUMBER(J1007),J1007=0),0,IF(AND($B$176=1,ISNUMBER(J1007)),MIN(J1007*(1+$B$87/12),IF($B$86=0,0,IF($B$87=0,$B$86/ROUND($B$88*12,0),$B$86*($B$87/12)/(1-(1+$B$87/12)^(-ROUND($B$88*12,0)))))),""))</x:f>
        <x:v>0</x:v>
      </x:c>
      <x:c r="L1007" s="440" t="n">
        <x:f>IF(ISNUMBER(K1007),IF(MAX(0,J1007*(1+SUM($B$87)/12)-K1007)&lt;MAX(0.0000001,$B$86*0.00000000001),0,MAX(0,J1007*(1+SUM($B$87)/12)-K1007)),"")</x:f>
        <x:v>0</x:v>
      </x:c>
      <x:c r="M1007" s="440" t="n">
        <x:f>IF(AND(ISNUMBER(D1007),ISNUMBER(K1007)),D1007+K1007,"")</x:f>
        <x:v>0</x:v>
      </x:c>
      <x:c r="N1007" s="440" t="n">
        <x:f>IF(AND(ISNUMBER(H1007),ISNUMBER(L1007)),H1007+L1007,"")</x:f>
        <x:v>0</x:v>
      </x:c>
    </x:row>
    <x:row r="1008" ht="22" customHeight="1">
      <x:c r="A1008" s="254" t="n">
        <x:f>608</x:f>
        <x:v>608</x:v>
      </x:c>
      <x:c r="B1008" s="440" t="n">
        <x:f>IF(ISNUMBER(H1007),H1007,"")</x:f>
        <x:v>0</x:v>
      </x:c>
      <x:c r="C1008" s="442" t="n">
        <x:f>IF(ISNUMBER(B1008),IF(AND(608&gt;$B$173,$B$78="Refinance",ISNUMBER($B$80),$B$80&gt;=0,$B$80&lt;=1,ROUND($B$81*12,0)&gt;=1,$B$81&lt;=100,SUM($B$82)&gt;=0,SUM($B$82)&lt;=1,SUM($B$83)&gt;=0),$B$80,IF(AND($B$175&gt;0,608&gt;$B$175,ISNUMBER($B$75)),$B$75,$B$61)),"")</x:f>
        <x:v>0.0625</x:v>
      </x:c>
      <x:c r="D1008" s="440" t="n">
        <x:f>IF(AND(ISNUMBER(B1008),B1008=0),0,IF(AND($B$171=1,I1007=0,ISNUMBER(C1008),ISNUMBER(IF(AND(608&lt;=$B$174,608&lt;=$B$173),B1008*C1008/12,IF(AND(608=$B$173+1,AND(608&gt;$B$173,$B$78="Refinance",ISNUMBER($B$80),$B$80&gt;=0,$B$80&lt;=1,ROUND($B$81*12,0)&gt;=1,$B$81&lt;=100,SUM($B$82)&gt;=0,SUM($B$82)&lt;=1,SUM($B$83)&gt;=0)),IF(B1008=0,0,IF(C1008=0,B1008/ROUND($B$81*12,0),B1008*(C1008/12)/(1-(1+C1008/12)^(-ROUND($B$81*12,0))))),IF(AND(NOT(AND(608&gt;$B$173,$B$78="Refinance",ISNUMBER($B$80),$B$80&gt;=0,$B$80&lt;=1,ROUND($B$81*12,0)&gt;=1,$B$81&lt;=100,SUM($B$82)&gt;=0,SUM($B$82)&lt;=1,SUM($B$83)&gt;=0)),OR(608=1,608=$B$174+1,AND($B$175&gt;0,608=$B$175+1))),IF(AND($B$170=1,$B$66&gt;0,OR($B$175=0,608&lt;=$B$175)),$B$66,IF($B$172-MAX(608-1,$B$174)&gt;0,IF(B1008=0,0,IF(C1008=0,B1008/($B$172-MAX(608-1,$B$174)),B1008*(C1008/12)/(1-(1+C1008/12)^(-($B$172-MAX(608-1,$B$174)))))),"")),D1007))))),IF(IF(AND(608&lt;=$B$174,608&lt;=$B$173),B1008*C1008/12,IF(AND(608=$B$173+1,AND(608&gt;$B$173,$B$78="Refinance",ISNUMBER($B$80),$B$80&gt;=0,$B$80&lt;=1,ROUND($B$81*12,0)&gt;=1,$B$81&lt;=100,SUM($B$82)&gt;=0,SUM($B$82)&lt;=1,SUM($B$83)&gt;=0)),IF(B1008=0,0,IF(C1008=0,B1008/ROUND($B$81*12,0),B1008*(C1008/12)/(1-(1+C1008/12)^(-ROUND($B$81*12,0))))),IF(AND(NOT(AND(608&gt;$B$173,$B$78="Refinance",ISNUMBER($B$80),$B$80&gt;=0,$B$80&lt;=1,ROUND($B$81*12,0)&gt;=1,$B$81&lt;=100,SUM($B$82)&gt;=0,SUM($B$82)&lt;=1,SUM($B$83)&gt;=0)),OR(608=1,608=$B$174+1,AND($B$175&gt;0,608=$B$175+1))),IF(AND($B$170=1,$B$66&gt;0,OR($B$175=0,608&lt;=$B$175)),$B$66,IF($B$172-MAX(608-1,$B$174)&gt;0,IF(B1008=0,0,IF(C1008=0,B1008/($B$172-MAX(608-1,$B$174)),B1008*(C1008/12)/(1-(1+C1008/12)^(-($B$172-MAX(608-1,$B$174)))))),"")),D1007)))+0.0000001&gt;=B1008*C1008/12,MIN(B1008*(1+C1008/12),IF(AND(608&lt;=$B$174,608&lt;=$B$173),B1008*C1008/12,IF(AND(608=$B$173+1,AND(608&gt;$B$173,$B$78="Refinance",ISNUMBER($B$80),$B$80&gt;=0,$B$80&lt;=1,ROUND($B$81*12,0)&gt;=1,$B$81&lt;=100,SUM($B$82)&gt;=0,SUM($B$82)&lt;=1,SUM($B$83)&gt;=0)),IF(B1008=0,0,IF(C1008=0,B1008/ROUND($B$81*12,0),B1008*(C1008/12)/(1-(1+C1008/12)^(-ROUND($B$81*12,0))))),IF(AND(NOT(AND(608&gt;$B$173,$B$78="Refinance",ISNUMBER($B$80),$B$80&gt;=0,$B$80&lt;=1,ROUND($B$81*12,0)&gt;=1,$B$81&lt;=100,SUM($B$82)&gt;=0,SUM($B$82)&lt;=1,SUM($B$83)&gt;=0)),OR(608=1,608=$B$174+1,AND($B$175&gt;0,608=$B$175+1))),IF(AND($B$170=1,$B$66&gt;0,OR($B$175=0,608&lt;=$B$175)),$B$66,IF($B$172-MAX(608-1,$B$174)&gt;0,IF(B1008=0,0,IF(C1008=0,B1008/($B$172-MAX(608-1,$B$174)),B1008*(C1008/12)/(1-(1+C1008/12)^(-($B$172-MAX(608-1,$B$174)))))),"")),D1007)))),""),""))</x:f>
        <x:v>0</x:v>
      </x:c>
      <x:c r="E1008" s="440" t="n">
        <x:f>IF(AND(608=$B$173,ISNUMBER(D1008)),IF(MAX(0,B1008*(1+C1008/12)-D1008)&lt;MAX(0.0000001,$E$17*0.00000000001),0,MAX(0,B1008*(1+C1008/12)-D1008)),0)</x:f>
        <x:v>0</x:v>
      </x:c>
      <x:c r="F1008" s="440" t="n">
        <x:f>IF($B$78="Cash payoff",E1008,0)</x:f>
        <x:v>0</x:v>
      </x:c>
      <x:c r="G1008" s="440" t="n">
        <x:f>IF(AND(E1008&gt;0,AND($B$78="Refinance",ISNUMBER($B$80),$B$80&gt;=0,$B$80&lt;=1,ROUND($B$81*12,0)&gt;=1,$B$81&lt;=100,SUM($B$82)&gt;=0,SUM($B$82)&lt;=1,SUM($B$83)&gt;=0)),E1008*SUM($B$82)+SUM($B$83),0)</x:f>
        <x:v>0</x:v>
      </x:c>
      <x:c r="H1008" s="440" t="n">
        <x:f>IF(ISNUMBER(D1008),IF(MAX(0,B1008*(1+C1008/12)-D1008-F1008)&lt;MAX(0.0000001,$E$17*0.00000000001),0,MAX(0,B1008*(1+C1008/12)-D1008-F1008)),IF(AND($B$171=1,I1007=1),B1008,""))</x:f>
        <x:v>0</x:v>
      </x:c>
      <x:c r="I1008" s="444" t="n">
        <x:f>IF(OR(I1007=1,AND(E1008&gt;0,$B$78&lt;&gt;"Cash payoff",NOT(AND($B$78="Refinance",ISNUMBER($B$80),$B$80&gt;=0,$B$80&lt;=1,ROUND($B$81*12,0)&gt;=1,$B$81&lt;=100,SUM($B$82)&gt;=0,SUM($B$82)&lt;=1,SUM($B$83)&gt;=0))),AND(ISNUMBER(B1008),B1008&gt;0,$B$171=1,NOT(ISNUMBER(D1008)))),1,0)</x:f>
        <x:v>0</x:v>
      </x:c>
      <x:c r="J1008" s="440" t="n">
        <x:f>IF(ISNUMBER(L1007),L1007,"")</x:f>
        <x:v>0</x:v>
      </x:c>
      <x:c r="K1008" s="440" t="n">
        <x:f>IF(AND(ISNUMBER(J1008),J1008=0),0,IF(AND($B$176=1,ISNUMBER(J1008)),MIN(J1008*(1+$B$87/12),IF($B$86=0,0,IF($B$87=0,$B$86/ROUND($B$88*12,0),$B$86*($B$87/12)/(1-(1+$B$87/12)^(-ROUND($B$88*12,0)))))),""))</x:f>
        <x:v>0</x:v>
      </x:c>
      <x:c r="L1008" s="440" t="n">
        <x:f>IF(ISNUMBER(K1008),IF(MAX(0,J1008*(1+SUM($B$87)/12)-K1008)&lt;MAX(0.0000001,$B$86*0.00000000001),0,MAX(0,J1008*(1+SUM($B$87)/12)-K1008)),"")</x:f>
        <x:v>0</x:v>
      </x:c>
      <x:c r="M1008" s="440" t="n">
        <x:f>IF(AND(ISNUMBER(D1008),ISNUMBER(K1008)),D1008+K1008,"")</x:f>
        <x:v>0</x:v>
      </x:c>
      <x:c r="N1008" s="440" t="n">
        <x:f>IF(AND(ISNUMBER(H1008),ISNUMBER(L1008)),H1008+L1008,"")</x:f>
        <x:v>0</x:v>
      </x:c>
    </x:row>
    <x:row r="1009" ht="22" customHeight="1">
      <x:c r="A1009" s="254" t="n">
        <x:f>609</x:f>
        <x:v>609</x:v>
      </x:c>
      <x:c r="B1009" s="440" t="n">
        <x:f>IF(ISNUMBER(H1008),H1008,"")</x:f>
        <x:v>0</x:v>
      </x:c>
      <x:c r="C1009" s="442" t="n">
        <x:f>IF(ISNUMBER(B1009),IF(AND(609&gt;$B$173,$B$78="Refinance",ISNUMBER($B$80),$B$80&gt;=0,$B$80&lt;=1,ROUND($B$81*12,0)&gt;=1,$B$81&lt;=100,SUM($B$82)&gt;=0,SUM($B$82)&lt;=1,SUM($B$83)&gt;=0),$B$80,IF(AND($B$175&gt;0,609&gt;$B$175,ISNUMBER($B$75)),$B$75,$B$61)),"")</x:f>
        <x:v>0.0625</x:v>
      </x:c>
      <x:c r="D1009" s="440" t="n">
        <x:f>IF(AND(ISNUMBER(B1009),B1009=0),0,IF(AND($B$171=1,I1008=0,ISNUMBER(C1009),ISNUMBER(IF(AND(609&lt;=$B$174,609&lt;=$B$173),B1009*C1009/12,IF(AND(609=$B$173+1,AND(609&gt;$B$173,$B$78="Refinance",ISNUMBER($B$80),$B$80&gt;=0,$B$80&lt;=1,ROUND($B$81*12,0)&gt;=1,$B$81&lt;=100,SUM($B$82)&gt;=0,SUM($B$82)&lt;=1,SUM($B$83)&gt;=0)),IF(B1009=0,0,IF(C1009=0,B1009/ROUND($B$81*12,0),B1009*(C1009/12)/(1-(1+C1009/12)^(-ROUND($B$81*12,0))))),IF(AND(NOT(AND(609&gt;$B$173,$B$78="Refinance",ISNUMBER($B$80),$B$80&gt;=0,$B$80&lt;=1,ROUND($B$81*12,0)&gt;=1,$B$81&lt;=100,SUM($B$82)&gt;=0,SUM($B$82)&lt;=1,SUM($B$83)&gt;=0)),OR(609=1,609=$B$174+1,AND($B$175&gt;0,609=$B$175+1))),IF(AND($B$170=1,$B$66&gt;0,OR($B$175=0,609&lt;=$B$175)),$B$66,IF($B$172-MAX(609-1,$B$174)&gt;0,IF(B1009=0,0,IF(C1009=0,B1009/($B$172-MAX(609-1,$B$174)),B1009*(C1009/12)/(1-(1+C1009/12)^(-($B$172-MAX(609-1,$B$174)))))),"")),D1008))))),IF(IF(AND(609&lt;=$B$174,609&lt;=$B$173),B1009*C1009/12,IF(AND(609=$B$173+1,AND(609&gt;$B$173,$B$78="Refinance",ISNUMBER($B$80),$B$80&gt;=0,$B$80&lt;=1,ROUND($B$81*12,0)&gt;=1,$B$81&lt;=100,SUM($B$82)&gt;=0,SUM($B$82)&lt;=1,SUM($B$83)&gt;=0)),IF(B1009=0,0,IF(C1009=0,B1009/ROUND($B$81*12,0),B1009*(C1009/12)/(1-(1+C1009/12)^(-ROUND($B$81*12,0))))),IF(AND(NOT(AND(609&gt;$B$173,$B$78="Refinance",ISNUMBER($B$80),$B$80&gt;=0,$B$80&lt;=1,ROUND($B$81*12,0)&gt;=1,$B$81&lt;=100,SUM($B$82)&gt;=0,SUM($B$82)&lt;=1,SUM($B$83)&gt;=0)),OR(609=1,609=$B$174+1,AND($B$175&gt;0,609=$B$175+1))),IF(AND($B$170=1,$B$66&gt;0,OR($B$175=0,609&lt;=$B$175)),$B$66,IF($B$172-MAX(609-1,$B$174)&gt;0,IF(B1009=0,0,IF(C1009=0,B1009/($B$172-MAX(609-1,$B$174)),B1009*(C1009/12)/(1-(1+C1009/12)^(-($B$172-MAX(609-1,$B$174)))))),"")),D1008)))+0.0000001&gt;=B1009*C1009/12,MIN(B1009*(1+C1009/12),IF(AND(609&lt;=$B$174,609&lt;=$B$173),B1009*C1009/12,IF(AND(609=$B$173+1,AND(609&gt;$B$173,$B$78="Refinance",ISNUMBER($B$80),$B$80&gt;=0,$B$80&lt;=1,ROUND($B$81*12,0)&gt;=1,$B$81&lt;=100,SUM($B$82)&gt;=0,SUM($B$82)&lt;=1,SUM($B$83)&gt;=0)),IF(B1009=0,0,IF(C1009=0,B1009/ROUND($B$81*12,0),B1009*(C1009/12)/(1-(1+C1009/12)^(-ROUND($B$81*12,0))))),IF(AND(NOT(AND(609&gt;$B$173,$B$78="Refinance",ISNUMBER($B$80),$B$80&gt;=0,$B$80&lt;=1,ROUND($B$81*12,0)&gt;=1,$B$81&lt;=100,SUM($B$82)&gt;=0,SUM($B$82)&lt;=1,SUM($B$83)&gt;=0)),OR(609=1,609=$B$174+1,AND($B$175&gt;0,609=$B$175+1))),IF(AND($B$170=1,$B$66&gt;0,OR($B$175=0,609&lt;=$B$175)),$B$66,IF($B$172-MAX(609-1,$B$174)&gt;0,IF(B1009=0,0,IF(C1009=0,B1009/($B$172-MAX(609-1,$B$174)),B1009*(C1009/12)/(1-(1+C1009/12)^(-($B$172-MAX(609-1,$B$174)))))),"")),D1008)))),""),""))</x:f>
        <x:v>0</x:v>
      </x:c>
      <x:c r="E1009" s="440" t="n">
        <x:f>IF(AND(609=$B$173,ISNUMBER(D1009)),IF(MAX(0,B1009*(1+C1009/12)-D1009)&lt;MAX(0.0000001,$E$17*0.00000000001),0,MAX(0,B1009*(1+C1009/12)-D1009)),0)</x:f>
        <x:v>0</x:v>
      </x:c>
      <x:c r="F1009" s="440" t="n">
        <x:f>IF($B$78="Cash payoff",E1009,0)</x:f>
        <x:v>0</x:v>
      </x:c>
      <x:c r="G1009" s="440" t="n">
        <x:f>IF(AND(E1009&gt;0,AND($B$78="Refinance",ISNUMBER($B$80),$B$80&gt;=0,$B$80&lt;=1,ROUND($B$81*12,0)&gt;=1,$B$81&lt;=100,SUM($B$82)&gt;=0,SUM($B$82)&lt;=1,SUM($B$83)&gt;=0)),E1009*SUM($B$82)+SUM($B$83),0)</x:f>
        <x:v>0</x:v>
      </x:c>
      <x:c r="H1009" s="440" t="n">
        <x:f>IF(ISNUMBER(D1009),IF(MAX(0,B1009*(1+C1009/12)-D1009-F1009)&lt;MAX(0.0000001,$E$17*0.00000000001),0,MAX(0,B1009*(1+C1009/12)-D1009-F1009)),IF(AND($B$171=1,I1008=1),B1009,""))</x:f>
        <x:v>0</x:v>
      </x:c>
      <x:c r="I1009" s="444" t="n">
        <x:f>IF(OR(I1008=1,AND(E1009&gt;0,$B$78&lt;&gt;"Cash payoff",NOT(AND($B$78="Refinance",ISNUMBER($B$80),$B$80&gt;=0,$B$80&lt;=1,ROUND($B$81*12,0)&gt;=1,$B$81&lt;=100,SUM($B$82)&gt;=0,SUM($B$82)&lt;=1,SUM($B$83)&gt;=0))),AND(ISNUMBER(B1009),B1009&gt;0,$B$171=1,NOT(ISNUMBER(D1009)))),1,0)</x:f>
        <x:v>0</x:v>
      </x:c>
      <x:c r="J1009" s="440" t="n">
        <x:f>IF(ISNUMBER(L1008),L1008,"")</x:f>
        <x:v>0</x:v>
      </x:c>
      <x:c r="K1009" s="440" t="n">
        <x:f>IF(AND(ISNUMBER(J1009),J1009=0),0,IF(AND($B$176=1,ISNUMBER(J1009)),MIN(J1009*(1+$B$87/12),IF($B$86=0,0,IF($B$87=0,$B$86/ROUND($B$88*12,0),$B$86*($B$87/12)/(1-(1+$B$87/12)^(-ROUND($B$88*12,0)))))),""))</x:f>
        <x:v>0</x:v>
      </x:c>
      <x:c r="L1009" s="440" t="n">
        <x:f>IF(ISNUMBER(K1009),IF(MAX(0,J1009*(1+SUM($B$87)/12)-K1009)&lt;MAX(0.0000001,$B$86*0.00000000001),0,MAX(0,J1009*(1+SUM($B$87)/12)-K1009)),"")</x:f>
        <x:v>0</x:v>
      </x:c>
      <x:c r="M1009" s="440" t="n">
        <x:f>IF(AND(ISNUMBER(D1009),ISNUMBER(K1009)),D1009+K1009,"")</x:f>
        <x:v>0</x:v>
      </x:c>
      <x:c r="N1009" s="440" t="n">
        <x:f>IF(AND(ISNUMBER(H1009),ISNUMBER(L1009)),H1009+L1009,"")</x:f>
        <x:v>0</x:v>
      </x:c>
    </x:row>
    <x:row r="1010" ht="22" customHeight="1">
      <x:c r="A1010" s="254" t="n">
        <x:f>610</x:f>
        <x:v>610</x:v>
      </x:c>
      <x:c r="B1010" s="440" t="n">
        <x:f>IF(ISNUMBER(H1009),H1009,"")</x:f>
        <x:v>0</x:v>
      </x:c>
      <x:c r="C1010" s="442" t="n">
        <x:f>IF(ISNUMBER(B1010),IF(AND(610&gt;$B$173,$B$78="Refinance",ISNUMBER($B$80),$B$80&gt;=0,$B$80&lt;=1,ROUND($B$81*12,0)&gt;=1,$B$81&lt;=100,SUM($B$82)&gt;=0,SUM($B$82)&lt;=1,SUM($B$83)&gt;=0),$B$80,IF(AND($B$175&gt;0,610&gt;$B$175,ISNUMBER($B$75)),$B$75,$B$61)),"")</x:f>
        <x:v>0.0625</x:v>
      </x:c>
      <x:c r="D1010" s="440" t="n">
        <x:f>IF(AND(ISNUMBER(B1010),B1010=0),0,IF(AND($B$171=1,I1009=0,ISNUMBER(C1010),ISNUMBER(IF(AND(610&lt;=$B$174,610&lt;=$B$173),B1010*C1010/12,IF(AND(610=$B$173+1,AND(610&gt;$B$173,$B$78="Refinance",ISNUMBER($B$80),$B$80&gt;=0,$B$80&lt;=1,ROUND($B$81*12,0)&gt;=1,$B$81&lt;=100,SUM($B$82)&gt;=0,SUM($B$82)&lt;=1,SUM($B$83)&gt;=0)),IF(B1010=0,0,IF(C1010=0,B1010/ROUND($B$81*12,0),B1010*(C1010/12)/(1-(1+C1010/12)^(-ROUND($B$81*12,0))))),IF(AND(NOT(AND(610&gt;$B$173,$B$78="Refinance",ISNUMBER($B$80),$B$80&gt;=0,$B$80&lt;=1,ROUND($B$81*12,0)&gt;=1,$B$81&lt;=100,SUM($B$82)&gt;=0,SUM($B$82)&lt;=1,SUM($B$83)&gt;=0)),OR(610=1,610=$B$174+1,AND($B$175&gt;0,610=$B$175+1))),IF(AND($B$170=1,$B$66&gt;0,OR($B$175=0,610&lt;=$B$175)),$B$66,IF($B$172-MAX(610-1,$B$174)&gt;0,IF(B1010=0,0,IF(C1010=0,B1010/($B$172-MAX(610-1,$B$174)),B1010*(C1010/12)/(1-(1+C1010/12)^(-($B$172-MAX(610-1,$B$174)))))),"")),D1009))))),IF(IF(AND(610&lt;=$B$174,610&lt;=$B$173),B1010*C1010/12,IF(AND(610=$B$173+1,AND(610&gt;$B$173,$B$78="Refinance",ISNUMBER($B$80),$B$80&gt;=0,$B$80&lt;=1,ROUND($B$81*12,0)&gt;=1,$B$81&lt;=100,SUM($B$82)&gt;=0,SUM($B$82)&lt;=1,SUM($B$83)&gt;=0)),IF(B1010=0,0,IF(C1010=0,B1010/ROUND($B$81*12,0),B1010*(C1010/12)/(1-(1+C1010/12)^(-ROUND($B$81*12,0))))),IF(AND(NOT(AND(610&gt;$B$173,$B$78="Refinance",ISNUMBER($B$80),$B$80&gt;=0,$B$80&lt;=1,ROUND($B$81*12,0)&gt;=1,$B$81&lt;=100,SUM($B$82)&gt;=0,SUM($B$82)&lt;=1,SUM($B$83)&gt;=0)),OR(610=1,610=$B$174+1,AND($B$175&gt;0,610=$B$175+1))),IF(AND($B$170=1,$B$66&gt;0,OR($B$175=0,610&lt;=$B$175)),$B$66,IF($B$172-MAX(610-1,$B$174)&gt;0,IF(B1010=0,0,IF(C1010=0,B1010/($B$172-MAX(610-1,$B$174)),B1010*(C1010/12)/(1-(1+C1010/12)^(-($B$172-MAX(610-1,$B$174)))))),"")),D1009)))+0.0000001&gt;=B1010*C1010/12,MIN(B1010*(1+C1010/12),IF(AND(610&lt;=$B$174,610&lt;=$B$173),B1010*C1010/12,IF(AND(610=$B$173+1,AND(610&gt;$B$173,$B$78="Refinance",ISNUMBER($B$80),$B$80&gt;=0,$B$80&lt;=1,ROUND($B$81*12,0)&gt;=1,$B$81&lt;=100,SUM($B$82)&gt;=0,SUM($B$82)&lt;=1,SUM($B$83)&gt;=0)),IF(B1010=0,0,IF(C1010=0,B1010/ROUND($B$81*12,0),B1010*(C1010/12)/(1-(1+C1010/12)^(-ROUND($B$81*12,0))))),IF(AND(NOT(AND(610&gt;$B$173,$B$78="Refinance",ISNUMBER($B$80),$B$80&gt;=0,$B$80&lt;=1,ROUND($B$81*12,0)&gt;=1,$B$81&lt;=100,SUM($B$82)&gt;=0,SUM($B$82)&lt;=1,SUM($B$83)&gt;=0)),OR(610=1,610=$B$174+1,AND($B$175&gt;0,610=$B$175+1))),IF(AND($B$170=1,$B$66&gt;0,OR($B$175=0,610&lt;=$B$175)),$B$66,IF($B$172-MAX(610-1,$B$174)&gt;0,IF(B1010=0,0,IF(C1010=0,B1010/($B$172-MAX(610-1,$B$174)),B1010*(C1010/12)/(1-(1+C1010/12)^(-($B$172-MAX(610-1,$B$174)))))),"")),D1009)))),""),""))</x:f>
        <x:v>0</x:v>
      </x:c>
      <x:c r="E1010" s="440" t="n">
        <x:f>IF(AND(610=$B$173,ISNUMBER(D1010)),IF(MAX(0,B1010*(1+C1010/12)-D1010)&lt;MAX(0.0000001,$E$17*0.00000000001),0,MAX(0,B1010*(1+C1010/12)-D1010)),0)</x:f>
        <x:v>0</x:v>
      </x:c>
      <x:c r="F1010" s="440" t="n">
        <x:f>IF($B$78="Cash payoff",E1010,0)</x:f>
        <x:v>0</x:v>
      </x:c>
      <x:c r="G1010" s="440" t="n">
        <x:f>IF(AND(E1010&gt;0,AND($B$78="Refinance",ISNUMBER($B$80),$B$80&gt;=0,$B$80&lt;=1,ROUND($B$81*12,0)&gt;=1,$B$81&lt;=100,SUM($B$82)&gt;=0,SUM($B$82)&lt;=1,SUM($B$83)&gt;=0)),E1010*SUM($B$82)+SUM($B$83),0)</x:f>
        <x:v>0</x:v>
      </x:c>
      <x:c r="H1010" s="440" t="n">
        <x:f>IF(ISNUMBER(D1010),IF(MAX(0,B1010*(1+C1010/12)-D1010-F1010)&lt;MAX(0.0000001,$E$17*0.00000000001),0,MAX(0,B1010*(1+C1010/12)-D1010-F1010)),IF(AND($B$171=1,I1009=1),B1010,""))</x:f>
        <x:v>0</x:v>
      </x:c>
      <x:c r="I1010" s="444" t="n">
        <x:f>IF(OR(I1009=1,AND(E1010&gt;0,$B$78&lt;&gt;"Cash payoff",NOT(AND($B$78="Refinance",ISNUMBER($B$80),$B$80&gt;=0,$B$80&lt;=1,ROUND($B$81*12,0)&gt;=1,$B$81&lt;=100,SUM($B$82)&gt;=0,SUM($B$82)&lt;=1,SUM($B$83)&gt;=0))),AND(ISNUMBER(B1010),B1010&gt;0,$B$171=1,NOT(ISNUMBER(D1010)))),1,0)</x:f>
        <x:v>0</x:v>
      </x:c>
      <x:c r="J1010" s="440" t="n">
        <x:f>IF(ISNUMBER(L1009),L1009,"")</x:f>
        <x:v>0</x:v>
      </x:c>
      <x:c r="K1010" s="440" t="n">
        <x:f>IF(AND(ISNUMBER(J1010),J1010=0),0,IF(AND($B$176=1,ISNUMBER(J1010)),MIN(J1010*(1+$B$87/12),IF($B$86=0,0,IF($B$87=0,$B$86/ROUND($B$88*12,0),$B$86*($B$87/12)/(1-(1+$B$87/12)^(-ROUND($B$88*12,0)))))),""))</x:f>
        <x:v>0</x:v>
      </x:c>
      <x:c r="L1010" s="440" t="n">
        <x:f>IF(ISNUMBER(K1010),IF(MAX(0,J1010*(1+SUM($B$87)/12)-K1010)&lt;MAX(0.0000001,$B$86*0.00000000001),0,MAX(0,J1010*(1+SUM($B$87)/12)-K1010)),"")</x:f>
        <x:v>0</x:v>
      </x:c>
      <x:c r="M1010" s="440" t="n">
        <x:f>IF(AND(ISNUMBER(D1010),ISNUMBER(K1010)),D1010+K1010,"")</x:f>
        <x:v>0</x:v>
      </x:c>
      <x:c r="N1010" s="440" t="n">
        <x:f>IF(AND(ISNUMBER(H1010),ISNUMBER(L1010)),H1010+L1010,"")</x:f>
        <x:v>0</x:v>
      </x:c>
    </x:row>
    <x:row r="1011" ht="22" customHeight="1">
      <x:c r="A1011" s="254" t="n">
        <x:f>611</x:f>
        <x:v>611</x:v>
      </x:c>
      <x:c r="B1011" s="440" t="n">
        <x:f>IF(ISNUMBER(H1010),H1010,"")</x:f>
        <x:v>0</x:v>
      </x:c>
      <x:c r="C1011" s="442" t="n">
        <x:f>IF(ISNUMBER(B1011),IF(AND(611&gt;$B$173,$B$78="Refinance",ISNUMBER($B$80),$B$80&gt;=0,$B$80&lt;=1,ROUND($B$81*12,0)&gt;=1,$B$81&lt;=100,SUM($B$82)&gt;=0,SUM($B$82)&lt;=1,SUM($B$83)&gt;=0),$B$80,IF(AND($B$175&gt;0,611&gt;$B$175,ISNUMBER($B$75)),$B$75,$B$61)),"")</x:f>
        <x:v>0.0625</x:v>
      </x:c>
      <x:c r="D1011" s="440" t="n">
        <x:f>IF(AND(ISNUMBER(B1011),B1011=0),0,IF(AND($B$171=1,I1010=0,ISNUMBER(C1011),ISNUMBER(IF(AND(611&lt;=$B$174,611&lt;=$B$173),B1011*C1011/12,IF(AND(611=$B$173+1,AND(611&gt;$B$173,$B$78="Refinance",ISNUMBER($B$80),$B$80&gt;=0,$B$80&lt;=1,ROUND($B$81*12,0)&gt;=1,$B$81&lt;=100,SUM($B$82)&gt;=0,SUM($B$82)&lt;=1,SUM($B$83)&gt;=0)),IF(B1011=0,0,IF(C1011=0,B1011/ROUND($B$81*12,0),B1011*(C1011/12)/(1-(1+C1011/12)^(-ROUND($B$81*12,0))))),IF(AND(NOT(AND(611&gt;$B$173,$B$78="Refinance",ISNUMBER($B$80),$B$80&gt;=0,$B$80&lt;=1,ROUND($B$81*12,0)&gt;=1,$B$81&lt;=100,SUM($B$82)&gt;=0,SUM($B$82)&lt;=1,SUM($B$83)&gt;=0)),OR(611=1,611=$B$174+1,AND($B$175&gt;0,611=$B$175+1))),IF(AND($B$170=1,$B$66&gt;0,OR($B$175=0,611&lt;=$B$175)),$B$66,IF($B$172-MAX(611-1,$B$174)&gt;0,IF(B1011=0,0,IF(C1011=0,B1011/($B$172-MAX(611-1,$B$174)),B1011*(C1011/12)/(1-(1+C1011/12)^(-($B$172-MAX(611-1,$B$174)))))),"")),D1010))))),IF(IF(AND(611&lt;=$B$174,611&lt;=$B$173),B1011*C1011/12,IF(AND(611=$B$173+1,AND(611&gt;$B$173,$B$78="Refinance",ISNUMBER($B$80),$B$80&gt;=0,$B$80&lt;=1,ROUND($B$81*12,0)&gt;=1,$B$81&lt;=100,SUM($B$82)&gt;=0,SUM($B$82)&lt;=1,SUM($B$83)&gt;=0)),IF(B1011=0,0,IF(C1011=0,B1011/ROUND($B$81*12,0),B1011*(C1011/12)/(1-(1+C1011/12)^(-ROUND($B$81*12,0))))),IF(AND(NOT(AND(611&gt;$B$173,$B$78="Refinance",ISNUMBER($B$80),$B$80&gt;=0,$B$80&lt;=1,ROUND($B$81*12,0)&gt;=1,$B$81&lt;=100,SUM($B$82)&gt;=0,SUM($B$82)&lt;=1,SUM($B$83)&gt;=0)),OR(611=1,611=$B$174+1,AND($B$175&gt;0,611=$B$175+1))),IF(AND($B$170=1,$B$66&gt;0,OR($B$175=0,611&lt;=$B$175)),$B$66,IF($B$172-MAX(611-1,$B$174)&gt;0,IF(B1011=0,0,IF(C1011=0,B1011/($B$172-MAX(611-1,$B$174)),B1011*(C1011/12)/(1-(1+C1011/12)^(-($B$172-MAX(611-1,$B$174)))))),"")),D1010)))+0.0000001&gt;=B1011*C1011/12,MIN(B1011*(1+C1011/12),IF(AND(611&lt;=$B$174,611&lt;=$B$173),B1011*C1011/12,IF(AND(611=$B$173+1,AND(611&gt;$B$173,$B$78="Refinance",ISNUMBER($B$80),$B$80&gt;=0,$B$80&lt;=1,ROUND($B$81*12,0)&gt;=1,$B$81&lt;=100,SUM($B$82)&gt;=0,SUM($B$82)&lt;=1,SUM($B$83)&gt;=0)),IF(B1011=0,0,IF(C1011=0,B1011/ROUND($B$81*12,0),B1011*(C1011/12)/(1-(1+C1011/12)^(-ROUND($B$81*12,0))))),IF(AND(NOT(AND(611&gt;$B$173,$B$78="Refinance",ISNUMBER($B$80),$B$80&gt;=0,$B$80&lt;=1,ROUND($B$81*12,0)&gt;=1,$B$81&lt;=100,SUM($B$82)&gt;=0,SUM($B$82)&lt;=1,SUM($B$83)&gt;=0)),OR(611=1,611=$B$174+1,AND($B$175&gt;0,611=$B$175+1))),IF(AND($B$170=1,$B$66&gt;0,OR($B$175=0,611&lt;=$B$175)),$B$66,IF($B$172-MAX(611-1,$B$174)&gt;0,IF(B1011=0,0,IF(C1011=0,B1011/($B$172-MAX(611-1,$B$174)),B1011*(C1011/12)/(1-(1+C1011/12)^(-($B$172-MAX(611-1,$B$174)))))),"")),D1010)))),""),""))</x:f>
        <x:v>0</x:v>
      </x:c>
      <x:c r="E1011" s="440" t="n">
        <x:f>IF(AND(611=$B$173,ISNUMBER(D1011)),IF(MAX(0,B1011*(1+C1011/12)-D1011)&lt;MAX(0.0000001,$E$17*0.00000000001),0,MAX(0,B1011*(1+C1011/12)-D1011)),0)</x:f>
        <x:v>0</x:v>
      </x:c>
      <x:c r="F1011" s="440" t="n">
        <x:f>IF($B$78="Cash payoff",E1011,0)</x:f>
        <x:v>0</x:v>
      </x:c>
      <x:c r="G1011" s="440" t="n">
        <x:f>IF(AND(E1011&gt;0,AND($B$78="Refinance",ISNUMBER($B$80),$B$80&gt;=0,$B$80&lt;=1,ROUND($B$81*12,0)&gt;=1,$B$81&lt;=100,SUM($B$82)&gt;=0,SUM($B$82)&lt;=1,SUM($B$83)&gt;=0)),E1011*SUM($B$82)+SUM($B$83),0)</x:f>
        <x:v>0</x:v>
      </x:c>
      <x:c r="H1011" s="440" t="n">
        <x:f>IF(ISNUMBER(D1011),IF(MAX(0,B1011*(1+C1011/12)-D1011-F1011)&lt;MAX(0.0000001,$E$17*0.00000000001),0,MAX(0,B1011*(1+C1011/12)-D1011-F1011)),IF(AND($B$171=1,I1010=1),B1011,""))</x:f>
        <x:v>0</x:v>
      </x:c>
      <x:c r="I1011" s="444" t="n">
        <x:f>IF(OR(I1010=1,AND(E1011&gt;0,$B$78&lt;&gt;"Cash payoff",NOT(AND($B$78="Refinance",ISNUMBER($B$80),$B$80&gt;=0,$B$80&lt;=1,ROUND($B$81*12,0)&gt;=1,$B$81&lt;=100,SUM($B$82)&gt;=0,SUM($B$82)&lt;=1,SUM($B$83)&gt;=0))),AND(ISNUMBER(B1011),B1011&gt;0,$B$171=1,NOT(ISNUMBER(D1011)))),1,0)</x:f>
        <x:v>0</x:v>
      </x:c>
      <x:c r="J1011" s="440" t="n">
        <x:f>IF(ISNUMBER(L1010),L1010,"")</x:f>
        <x:v>0</x:v>
      </x:c>
      <x:c r="K1011" s="440" t="n">
        <x:f>IF(AND(ISNUMBER(J1011),J1011=0),0,IF(AND($B$176=1,ISNUMBER(J1011)),MIN(J1011*(1+$B$87/12),IF($B$86=0,0,IF($B$87=0,$B$86/ROUND($B$88*12,0),$B$86*($B$87/12)/(1-(1+$B$87/12)^(-ROUND($B$88*12,0)))))),""))</x:f>
        <x:v>0</x:v>
      </x:c>
      <x:c r="L1011" s="440" t="n">
        <x:f>IF(ISNUMBER(K1011),IF(MAX(0,J1011*(1+SUM($B$87)/12)-K1011)&lt;MAX(0.0000001,$B$86*0.00000000001),0,MAX(0,J1011*(1+SUM($B$87)/12)-K1011)),"")</x:f>
        <x:v>0</x:v>
      </x:c>
      <x:c r="M1011" s="440" t="n">
        <x:f>IF(AND(ISNUMBER(D1011),ISNUMBER(K1011)),D1011+K1011,"")</x:f>
        <x:v>0</x:v>
      </x:c>
      <x:c r="N1011" s="440" t="n">
        <x:f>IF(AND(ISNUMBER(H1011),ISNUMBER(L1011)),H1011+L1011,"")</x:f>
        <x:v>0</x:v>
      </x:c>
    </x:row>
    <x:row r="1012" ht="22" customHeight="1">
      <x:c r="A1012" s="254" t="n">
        <x:f>612</x:f>
        <x:v>612</x:v>
      </x:c>
      <x:c r="B1012" s="440" t="n">
        <x:f>IF(ISNUMBER(H1011),H1011,"")</x:f>
        <x:v>0</x:v>
      </x:c>
      <x:c r="C1012" s="442" t="n">
        <x:f>IF(ISNUMBER(B1012),IF(AND(612&gt;$B$173,$B$78="Refinance",ISNUMBER($B$80),$B$80&gt;=0,$B$80&lt;=1,ROUND($B$81*12,0)&gt;=1,$B$81&lt;=100,SUM($B$82)&gt;=0,SUM($B$82)&lt;=1,SUM($B$83)&gt;=0),$B$80,IF(AND($B$175&gt;0,612&gt;$B$175,ISNUMBER($B$75)),$B$75,$B$61)),"")</x:f>
        <x:v>0.0625</x:v>
      </x:c>
      <x:c r="D1012" s="440" t="n">
        <x:f>IF(AND(ISNUMBER(B1012),B1012=0),0,IF(AND($B$171=1,I1011=0,ISNUMBER(C1012),ISNUMBER(IF(AND(612&lt;=$B$174,612&lt;=$B$173),B1012*C1012/12,IF(AND(612=$B$173+1,AND(612&gt;$B$173,$B$78="Refinance",ISNUMBER($B$80),$B$80&gt;=0,$B$80&lt;=1,ROUND($B$81*12,0)&gt;=1,$B$81&lt;=100,SUM($B$82)&gt;=0,SUM($B$82)&lt;=1,SUM($B$83)&gt;=0)),IF(B1012=0,0,IF(C1012=0,B1012/ROUND($B$81*12,0),B1012*(C1012/12)/(1-(1+C1012/12)^(-ROUND($B$81*12,0))))),IF(AND(NOT(AND(612&gt;$B$173,$B$78="Refinance",ISNUMBER($B$80),$B$80&gt;=0,$B$80&lt;=1,ROUND($B$81*12,0)&gt;=1,$B$81&lt;=100,SUM($B$82)&gt;=0,SUM($B$82)&lt;=1,SUM($B$83)&gt;=0)),OR(612=1,612=$B$174+1,AND($B$175&gt;0,612=$B$175+1))),IF(AND($B$170=1,$B$66&gt;0,OR($B$175=0,612&lt;=$B$175)),$B$66,IF($B$172-MAX(612-1,$B$174)&gt;0,IF(B1012=0,0,IF(C1012=0,B1012/($B$172-MAX(612-1,$B$174)),B1012*(C1012/12)/(1-(1+C1012/12)^(-($B$172-MAX(612-1,$B$174)))))),"")),D1011))))),IF(IF(AND(612&lt;=$B$174,612&lt;=$B$173),B1012*C1012/12,IF(AND(612=$B$173+1,AND(612&gt;$B$173,$B$78="Refinance",ISNUMBER($B$80),$B$80&gt;=0,$B$80&lt;=1,ROUND($B$81*12,0)&gt;=1,$B$81&lt;=100,SUM($B$82)&gt;=0,SUM($B$82)&lt;=1,SUM($B$83)&gt;=0)),IF(B1012=0,0,IF(C1012=0,B1012/ROUND($B$81*12,0),B1012*(C1012/12)/(1-(1+C1012/12)^(-ROUND($B$81*12,0))))),IF(AND(NOT(AND(612&gt;$B$173,$B$78="Refinance",ISNUMBER($B$80),$B$80&gt;=0,$B$80&lt;=1,ROUND($B$81*12,0)&gt;=1,$B$81&lt;=100,SUM($B$82)&gt;=0,SUM($B$82)&lt;=1,SUM($B$83)&gt;=0)),OR(612=1,612=$B$174+1,AND($B$175&gt;0,612=$B$175+1))),IF(AND($B$170=1,$B$66&gt;0,OR($B$175=0,612&lt;=$B$175)),$B$66,IF($B$172-MAX(612-1,$B$174)&gt;0,IF(B1012=0,0,IF(C1012=0,B1012/($B$172-MAX(612-1,$B$174)),B1012*(C1012/12)/(1-(1+C1012/12)^(-($B$172-MAX(612-1,$B$174)))))),"")),D1011)))+0.0000001&gt;=B1012*C1012/12,MIN(B1012*(1+C1012/12),IF(AND(612&lt;=$B$174,612&lt;=$B$173),B1012*C1012/12,IF(AND(612=$B$173+1,AND(612&gt;$B$173,$B$78="Refinance",ISNUMBER($B$80),$B$80&gt;=0,$B$80&lt;=1,ROUND($B$81*12,0)&gt;=1,$B$81&lt;=100,SUM($B$82)&gt;=0,SUM($B$82)&lt;=1,SUM($B$83)&gt;=0)),IF(B1012=0,0,IF(C1012=0,B1012/ROUND($B$81*12,0),B1012*(C1012/12)/(1-(1+C1012/12)^(-ROUND($B$81*12,0))))),IF(AND(NOT(AND(612&gt;$B$173,$B$78="Refinance",ISNUMBER($B$80),$B$80&gt;=0,$B$80&lt;=1,ROUND($B$81*12,0)&gt;=1,$B$81&lt;=100,SUM($B$82)&gt;=0,SUM($B$82)&lt;=1,SUM($B$83)&gt;=0)),OR(612=1,612=$B$174+1,AND($B$175&gt;0,612=$B$175+1))),IF(AND($B$170=1,$B$66&gt;0,OR($B$175=0,612&lt;=$B$175)),$B$66,IF($B$172-MAX(612-1,$B$174)&gt;0,IF(B1012=0,0,IF(C1012=0,B1012/($B$172-MAX(612-1,$B$174)),B1012*(C1012/12)/(1-(1+C1012/12)^(-($B$172-MAX(612-1,$B$174)))))),"")),D1011)))),""),""))</x:f>
        <x:v>0</x:v>
      </x:c>
      <x:c r="E1012" s="440" t="n">
        <x:f>IF(AND(612=$B$173,ISNUMBER(D1012)),IF(MAX(0,B1012*(1+C1012/12)-D1012)&lt;MAX(0.0000001,$E$17*0.00000000001),0,MAX(0,B1012*(1+C1012/12)-D1012)),0)</x:f>
        <x:v>0</x:v>
      </x:c>
      <x:c r="F1012" s="440" t="n">
        <x:f>IF($B$78="Cash payoff",E1012,0)</x:f>
        <x:v>0</x:v>
      </x:c>
      <x:c r="G1012" s="440" t="n">
        <x:f>IF(AND(E1012&gt;0,AND($B$78="Refinance",ISNUMBER($B$80),$B$80&gt;=0,$B$80&lt;=1,ROUND($B$81*12,0)&gt;=1,$B$81&lt;=100,SUM($B$82)&gt;=0,SUM($B$82)&lt;=1,SUM($B$83)&gt;=0)),E1012*SUM($B$82)+SUM($B$83),0)</x:f>
        <x:v>0</x:v>
      </x:c>
      <x:c r="H1012" s="440" t="n">
        <x:f>IF(ISNUMBER(D1012),IF(MAX(0,B1012*(1+C1012/12)-D1012-F1012)&lt;MAX(0.0000001,$E$17*0.00000000001),0,MAX(0,B1012*(1+C1012/12)-D1012-F1012)),IF(AND($B$171=1,I1011=1),B1012,""))</x:f>
        <x:v>0</x:v>
      </x:c>
      <x:c r="I1012" s="444" t="n">
        <x:f>IF(OR(I1011=1,AND(E1012&gt;0,$B$78&lt;&gt;"Cash payoff",NOT(AND($B$78="Refinance",ISNUMBER($B$80),$B$80&gt;=0,$B$80&lt;=1,ROUND($B$81*12,0)&gt;=1,$B$81&lt;=100,SUM($B$82)&gt;=0,SUM($B$82)&lt;=1,SUM($B$83)&gt;=0))),AND(ISNUMBER(B1012),B1012&gt;0,$B$171=1,NOT(ISNUMBER(D1012)))),1,0)</x:f>
        <x:v>0</x:v>
      </x:c>
      <x:c r="J1012" s="440" t="n">
        <x:f>IF(ISNUMBER(L1011),L1011,"")</x:f>
        <x:v>0</x:v>
      </x:c>
      <x:c r="K1012" s="440" t="n">
        <x:f>IF(AND(ISNUMBER(J1012),J1012=0),0,IF(AND($B$176=1,ISNUMBER(J1012)),MIN(J1012*(1+$B$87/12),IF($B$86=0,0,IF($B$87=0,$B$86/ROUND($B$88*12,0),$B$86*($B$87/12)/(1-(1+$B$87/12)^(-ROUND($B$88*12,0)))))),""))</x:f>
        <x:v>0</x:v>
      </x:c>
      <x:c r="L1012" s="440" t="n">
        <x:f>IF(ISNUMBER(K1012),IF(MAX(0,J1012*(1+SUM($B$87)/12)-K1012)&lt;MAX(0.0000001,$B$86*0.00000000001),0,MAX(0,J1012*(1+SUM($B$87)/12)-K1012)),"")</x:f>
        <x:v>0</x:v>
      </x:c>
      <x:c r="M1012" s="440" t="n">
        <x:f>IF(AND(ISNUMBER(D1012),ISNUMBER(K1012)),D1012+K1012,"")</x:f>
        <x:v>0</x:v>
      </x:c>
      <x:c r="N1012" s="440" t="n">
        <x:f>IF(AND(ISNUMBER(H1012),ISNUMBER(L1012)),H1012+L1012,"")</x:f>
        <x:v>0</x:v>
      </x:c>
    </x:row>
    <x:row r="1013" ht="22" customHeight="1">
      <x:c r="A1013" s="254" t="n">
        <x:f>613</x:f>
        <x:v>613</x:v>
      </x:c>
      <x:c r="B1013" s="440" t="n">
        <x:f>IF(ISNUMBER(H1012),H1012,"")</x:f>
        <x:v>0</x:v>
      </x:c>
      <x:c r="C1013" s="442" t="n">
        <x:f>IF(ISNUMBER(B1013),IF(AND(613&gt;$B$173,$B$78="Refinance",ISNUMBER($B$80),$B$80&gt;=0,$B$80&lt;=1,ROUND($B$81*12,0)&gt;=1,$B$81&lt;=100,SUM($B$82)&gt;=0,SUM($B$82)&lt;=1,SUM($B$83)&gt;=0),$B$80,IF(AND($B$175&gt;0,613&gt;$B$175,ISNUMBER($B$75)),$B$75,$B$61)),"")</x:f>
        <x:v>0.0625</x:v>
      </x:c>
      <x:c r="D1013" s="440" t="n">
        <x:f>IF(AND(ISNUMBER(B1013),B1013=0),0,IF(AND($B$171=1,I1012=0,ISNUMBER(C1013),ISNUMBER(IF(AND(613&lt;=$B$174,613&lt;=$B$173),B1013*C1013/12,IF(AND(613=$B$173+1,AND(613&gt;$B$173,$B$78="Refinance",ISNUMBER($B$80),$B$80&gt;=0,$B$80&lt;=1,ROUND($B$81*12,0)&gt;=1,$B$81&lt;=100,SUM($B$82)&gt;=0,SUM($B$82)&lt;=1,SUM($B$83)&gt;=0)),IF(B1013=0,0,IF(C1013=0,B1013/ROUND($B$81*12,0),B1013*(C1013/12)/(1-(1+C1013/12)^(-ROUND($B$81*12,0))))),IF(AND(NOT(AND(613&gt;$B$173,$B$78="Refinance",ISNUMBER($B$80),$B$80&gt;=0,$B$80&lt;=1,ROUND($B$81*12,0)&gt;=1,$B$81&lt;=100,SUM($B$82)&gt;=0,SUM($B$82)&lt;=1,SUM($B$83)&gt;=0)),OR(613=1,613=$B$174+1,AND($B$175&gt;0,613=$B$175+1))),IF(AND($B$170=1,$B$66&gt;0,OR($B$175=0,613&lt;=$B$175)),$B$66,IF($B$172-MAX(613-1,$B$174)&gt;0,IF(B1013=0,0,IF(C1013=0,B1013/($B$172-MAX(613-1,$B$174)),B1013*(C1013/12)/(1-(1+C1013/12)^(-($B$172-MAX(613-1,$B$174)))))),"")),D1012))))),IF(IF(AND(613&lt;=$B$174,613&lt;=$B$173),B1013*C1013/12,IF(AND(613=$B$173+1,AND(613&gt;$B$173,$B$78="Refinance",ISNUMBER($B$80),$B$80&gt;=0,$B$80&lt;=1,ROUND($B$81*12,0)&gt;=1,$B$81&lt;=100,SUM($B$82)&gt;=0,SUM($B$82)&lt;=1,SUM($B$83)&gt;=0)),IF(B1013=0,0,IF(C1013=0,B1013/ROUND($B$81*12,0),B1013*(C1013/12)/(1-(1+C1013/12)^(-ROUND($B$81*12,0))))),IF(AND(NOT(AND(613&gt;$B$173,$B$78="Refinance",ISNUMBER($B$80),$B$80&gt;=0,$B$80&lt;=1,ROUND($B$81*12,0)&gt;=1,$B$81&lt;=100,SUM($B$82)&gt;=0,SUM($B$82)&lt;=1,SUM($B$83)&gt;=0)),OR(613=1,613=$B$174+1,AND($B$175&gt;0,613=$B$175+1))),IF(AND($B$170=1,$B$66&gt;0,OR($B$175=0,613&lt;=$B$175)),$B$66,IF($B$172-MAX(613-1,$B$174)&gt;0,IF(B1013=0,0,IF(C1013=0,B1013/($B$172-MAX(613-1,$B$174)),B1013*(C1013/12)/(1-(1+C1013/12)^(-($B$172-MAX(613-1,$B$174)))))),"")),D1012)))+0.0000001&gt;=B1013*C1013/12,MIN(B1013*(1+C1013/12),IF(AND(613&lt;=$B$174,613&lt;=$B$173),B1013*C1013/12,IF(AND(613=$B$173+1,AND(613&gt;$B$173,$B$78="Refinance",ISNUMBER($B$80),$B$80&gt;=0,$B$80&lt;=1,ROUND($B$81*12,0)&gt;=1,$B$81&lt;=100,SUM($B$82)&gt;=0,SUM($B$82)&lt;=1,SUM($B$83)&gt;=0)),IF(B1013=0,0,IF(C1013=0,B1013/ROUND($B$81*12,0),B1013*(C1013/12)/(1-(1+C1013/12)^(-ROUND($B$81*12,0))))),IF(AND(NOT(AND(613&gt;$B$173,$B$78="Refinance",ISNUMBER($B$80),$B$80&gt;=0,$B$80&lt;=1,ROUND($B$81*12,0)&gt;=1,$B$81&lt;=100,SUM($B$82)&gt;=0,SUM($B$82)&lt;=1,SUM($B$83)&gt;=0)),OR(613=1,613=$B$174+1,AND($B$175&gt;0,613=$B$175+1))),IF(AND($B$170=1,$B$66&gt;0,OR($B$175=0,613&lt;=$B$175)),$B$66,IF($B$172-MAX(613-1,$B$174)&gt;0,IF(B1013=0,0,IF(C1013=0,B1013/($B$172-MAX(613-1,$B$174)),B1013*(C1013/12)/(1-(1+C1013/12)^(-($B$172-MAX(613-1,$B$174)))))),"")),D1012)))),""),""))</x:f>
        <x:v>0</x:v>
      </x:c>
      <x:c r="E1013" s="440" t="n">
        <x:f>IF(AND(613=$B$173,ISNUMBER(D1013)),IF(MAX(0,B1013*(1+C1013/12)-D1013)&lt;MAX(0.0000001,$E$17*0.00000000001),0,MAX(0,B1013*(1+C1013/12)-D1013)),0)</x:f>
        <x:v>0</x:v>
      </x:c>
      <x:c r="F1013" s="440" t="n">
        <x:f>IF($B$78="Cash payoff",E1013,0)</x:f>
        <x:v>0</x:v>
      </x:c>
      <x:c r="G1013" s="440" t="n">
        <x:f>IF(AND(E1013&gt;0,AND($B$78="Refinance",ISNUMBER($B$80),$B$80&gt;=0,$B$80&lt;=1,ROUND($B$81*12,0)&gt;=1,$B$81&lt;=100,SUM($B$82)&gt;=0,SUM($B$82)&lt;=1,SUM($B$83)&gt;=0)),E1013*SUM($B$82)+SUM($B$83),0)</x:f>
        <x:v>0</x:v>
      </x:c>
      <x:c r="H1013" s="440" t="n">
        <x:f>IF(ISNUMBER(D1013),IF(MAX(0,B1013*(1+C1013/12)-D1013-F1013)&lt;MAX(0.0000001,$E$17*0.00000000001),0,MAX(0,B1013*(1+C1013/12)-D1013-F1013)),IF(AND($B$171=1,I1012=1),B1013,""))</x:f>
        <x:v>0</x:v>
      </x:c>
      <x:c r="I1013" s="444" t="n">
        <x:f>IF(OR(I1012=1,AND(E1013&gt;0,$B$78&lt;&gt;"Cash payoff",NOT(AND($B$78="Refinance",ISNUMBER($B$80),$B$80&gt;=0,$B$80&lt;=1,ROUND($B$81*12,0)&gt;=1,$B$81&lt;=100,SUM($B$82)&gt;=0,SUM($B$82)&lt;=1,SUM($B$83)&gt;=0))),AND(ISNUMBER(B1013),B1013&gt;0,$B$171=1,NOT(ISNUMBER(D1013)))),1,0)</x:f>
        <x:v>0</x:v>
      </x:c>
      <x:c r="J1013" s="440" t="n">
        <x:f>IF(ISNUMBER(L1012),L1012,"")</x:f>
        <x:v>0</x:v>
      </x:c>
      <x:c r="K1013" s="440" t="n">
        <x:f>IF(AND(ISNUMBER(J1013),J1013=0),0,IF(AND($B$176=1,ISNUMBER(J1013)),MIN(J1013*(1+$B$87/12),IF($B$86=0,0,IF($B$87=0,$B$86/ROUND($B$88*12,0),$B$86*($B$87/12)/(1-(1+$B$87/12)^(-ROUND($B$88*12,0)))))),""))</x:f>
        <x:v>0</x:v>
      </x:c>
      <x:c r="L1013" s="440" t="n">
        <x:f>IF(ISNUMBER(K1013),IF(MAX(0,J1013*(1+SUM($B$87)/12)-K1013)&lt;MAX(0.0000001,$B$86*0.00000000001),0,MAX(0,J1013*(1+SUM($B$87)/12)-K1013)),"")</x:f>
        <x:v>0</x:v>
      </x:c>
      <x:c r="M1013" s="440" t="n">
        <x:f>IF(AND(ISNUMBER(D1013),ISNUMBER(K1013)),D1013+K1013,"")</x:f>
        <x:v>0</x:v>
      </x:c>
      <x:c r="N1013" s="440" t="n">
        <x:f>IF(AND(ISNUMBER(H1013),ISNUMBER(L1013)),H1013+L1013,"")</x:f>
        <x:v>0</x:v>
      </x:c>
    </x:row>
    <x:row r="1014" ht="22" customHeight="1">
      <x:c r="A1014" s="254" t="n">
        <x:f>614</x:f>
        <x:v>614</x:v>
      </x:c>
      <x:c r="B1014" s="440" t="n">
        <x:f>IF(ISNUMBER(H1013),H1013,"")</x:f>
        <x:v>0</x:v>
      </x:c>
      <x:c r="C1014" s="442" t="n">
        <x:f>IF(ISNUMBER(B1014),IF(AND(614&gt;$B$173,$B$78="Refinance",ISNUMBER($B$80),$B$80&gt;=0,$B$80&lt;=1,ROUND($B$81*12,0)&gt;=1,$B$81&lt;=100,SUM($B$82)&gt;=0,SUM($B$82)&lt;=1,SUM($B$83)&gt;=0),$B$80,IF(AND($B$175&gt;0,614&gt;$B$175,ISNUMBER($B$75)),$B$75,$B$61)),"")</x:f>
        <x:v>0.0625</x:v>
      </x:c>
      <x:c r="D1014" s="440" t="n">
        <x:f>IF(AND(ISNUMBER(B1014),B1014=0),0,IF(AND($B$171=1,I1013=0,ISNUMBER(C1014),ISNUMBER(IF(AND(614&lt;=$B$174,614&lt;=$B$173),B1014*C1014/12,IF(AND(614=$B$173+1,AND(614&gt;$B$173,$B$78="Refinance",ISNUMBER($B$80),$B$80&gt;=0,$B$80&lt;=1,ROUND($B$81*12,0)&gt;=1,$B$81&lt;=100,SUM($B$82)&gt;=0,SUM($B$82)&lt;=1,SUM($B$83)&gt;=0)),IF(B1014=0,0,IF(C1014=0,B1014/ROUND($B$81*12,0),B1014*(C1014/12)/(1-(1+C1014/12)^(-ROUND($B$81*12,0))))),IF(AND(NOT(AND(614&gt;$B$173,$B$78="Refinance",ISNUMBER($B$80),$B$80&gt;=0,$B$80&lt;=1,ROUND($B$81*12,0)&gt;=1,$B$81&lt;=100,SUM($B$82)&gt;=0,SUM($B$82)&lt;=1,SUM($B$83)&gt;=0)),OR(614=1,614=$B$174+1,AND($B$175&gt;0,614=$B$175+1))),IF(AND($B$170=1,$B$66&gt;0,OR($B$175=0,614&lt;=$B$175)),$B$66,IF($B$172-MAX(614-1,$B$174)&gt;0,IF(B1014=0,0,IF(C1014=0,B1014/($B$172-MAX(614-1,$B$174)),B1014*(C1014/12)/(1-(1+C1014/12)^(-($B$172-MAX(614-1,$B$174)))))),"")),D1013))))),IF(IF(AND(614&lt;=$B$174,614&lt;=$B$173),B1014*C1014/12,IF(AND(614=$B$173+1,AND(614&gt;$B$173,$B$78="Refinance",ISNUMBER($B$80),$B$80&gt;=0,$B$80&lt;=1,ROUND($B$81*12,0)&gt;=1,$B$81&lt;=100,SUM($B$82)&gt;=0,SUM($B$82)&lt;=1,SUM($B$83)&gt;=0)),IF(B1014=0,0,IF(C1014=0,B1014/ROUND($B$81*12,0),B1014*(C1014/12)/(1-(1+C1014/12)^(-ROUND($B$81*12,0))))),IF(AND(NOT(AND(614&gt;$B$173,$B$78="Refinance",ISNUMBER($B$80),$B$80&gt;=0,$B$80&lt;=1,ROUND($B$81*12,0)&gt;=1,$B$81&lt;=100,SUM($B$82)&gt;=0,SUM($B$82)&lt;=1,SUM($B$83)&gt;=0)),OR(614=1,614=$B$174+1,AND($B$175&gt;0,614=$B$175+1))),IF(AND($B$170=1,$B$66&gt;0,OR($B$175=0,614&lt;=$B$175)),$B$66,IF($B$172-MAX(614-1,$B$174)&gt;0,IF(B1014=0,0,IF(C1014=0,B1014/($B$172-MAX(614-1,$B$174)),B1014*(C1014/12)/(1-(1+C1014/12)^(-($B$172-MAX(614-1,$B$174)))))),"")),D1013)))+0.0000001&gt;=B1014*C1014/12,MIN(B1014*(1+C1014/12),IF(AND(614&lt;=$B$174,614&lt;=$B$173),B1014*C1014/12,IF(AND(614=$B$173+1,AND(614&gt;$B$173,$B$78="Refinance",ISNUMBER($B$80),$B$80&gt;=0,$B$80&lt;=1,ROUND($B$81*12,0)&gt;=1,$B$81&lt;=100,SUM($B$82)&gt;=0,SUM($B$82)&lt;=1,SUM($B$83)&gt;=0)),IF(B1014=0,0,IF(C1014=0,B1014/ROUND($B$81*12,0),B1014*(C1014/12)/(1-(1+C1014/12)^(-ROUND($B$81*12,0))))),IF(AND(NOT(AND(614&gt;$B$173,$B$78="Refinance",ISNUMBER($B$80),$B$80&gt;=0,$B$80&lt;=1,ROUND($B$81*12,0)&gt;=1,$B$81&lt;=100,SUM($B$82)&gt;=0,SUM($B$82)&lt;=1,SUM($B$83)&gt;=0)),OR(614=1,614=$B$174+1,AND($B$175&gt;0,614=$B$175+1))),IF(AND($B$170=1,$B$66&gt;0,OR($B$175=0,614&lt;=$B$175)),$B$66,IF($B$172-MAX(614-1,$B$174)&gt;0,IF(B1014=0,0,IF(C1014=0,B1014/($B$172-MAX(614-1,$B$174)),B1014*(C1014/12)/(1-(1+C1014/12)^(-($B$172-MAX(614-1,$B$174)))))),"")),D1013)))),""),""))</x:f>
        <x:v>0</x:v>
      </x:c>
      <x:c r="E1014" s="440" t="n">
        <x:f>IF(AND(614=$B$173,ISNUMBER(D1014)),IF(MAX(0,B1014*(1+C1014/12)-D1014)&lt;MAX(0.0000001,$E$17*0.00000000001),0,MAX(0,B1014*(1+C1014/12)-D1014)),0)</x:f>
        <x:v>0</x:v>
      </x:c>
      <x:c r="F1014" s="440" t="n">
        <x:f>IF($B$78="Cash payoff",E1014,0)</x:f>
        <x:v>0</x:v>
      </x:c>
      <x:c r="G1014" s="440" t="n">
        <x:f>IF(AND(E1014&gt;0,AND($B$78="Refinance",ISNUMBER($B$80),$B$80&gt;=0,$B$80&lt;=1,ROUND($B$81*12,0)&gt;=1,$B$81&lt;=100,SUM($B$82)&gt;=0,SUM($B$82)&lt;=1,SUM($B$83)&gt;=0)),E1014*SUM($B$82)+SUM($B$83),0)</x:f>
        <x:v>0</x:v>
      </x:c>
      <x:c r="H1014" s="440" t="n">
        <x:f>IF(ISNUMBER(D1014),IF(MAX(0,B1014*(1+C1014/12)-D1014-F1014)&lt;MAX(0.0000001,$E$17*0.00000000001),0,MAX(0,B1014*(1+C1014/12)-D1014-F1014)),IF(AND($B$171=1,I1013=1),B1014,""))</x:f>
        <x:v>0</x:v>
      </x:c>
      <x:c r="I1014" s="444" t="n">
        <x:f>IF(OR(I1013=1,AND(E1014&gt;0,$B$78&lt;&gt;"Cash payoff",NOT(AND($B$78="Refinance",ISNUMBER($B$80),$B$80&gt;=0,$B$80&lt;=1,ROUND($B$81*12,0)&gt;=1,$B$81&lt;=100,SUM($B$82)&gt;=0,SUM($B$82)&lt;=1,SUM($B$83)&gt;=0))),AND(ISNUMBER(B1014),B1014&gt;0,$B$171=1,NOT(ISNUMBER(D1014)))),1,0)</x:f>
        <x:v>0</x:v>
      </x:c>
      <x:c r="J1014" s="440" t="n">
        <x:f>IF(ISNUMBER(L1013),L1013,"")</x:f>
        <x:v>0</x:v>
      </x:c>
      <x:c r="K1014" s="440" t="n">
        <x:f>IF(AND(ISNUMBER(J1014),J1014=0),0,IF(AND($B$176=1,ISNUMBER(J1014)),MIN(J1014*(1+$B$87/12),IF($B$86=0,0,IF($B$87=0,$B$86/ROUND($B$88*12,0),$B$86*($B$87/12)/(1-(1+$B$87/12)^(-ROUND($B$88*12,0)))))),""))</x:f>
        <x:v>0</x:v>
      </x:c>
      <x:c r="L1014" s="440" t="n">
        <x:f>IF(ISNUMBER(K1014),IF(MAX(0,J1014*(1+SUM($B$87)/12)-K1014)&lt;MAX(0.0000001,$B$86*0.00000000001),0,MAX(0,J1014*(1+SUM($B$87)/12)-K1014)),"")</x:f>
        <x:v>0</x:v>
      </x:c>
      <x:c r="M1014" s="440" t="n">
        <x:f>IF(AND(ISNUMBER(D1014),ISNUMBER(K1014)),D1014+K1014,"")</x:f>
        <x:v>0</x:v>
      </x:c>
      <x:c r="N1014" s="440" t="n">
        <x:f>IF(AND(ISNUMBER(H1014),ISNUMBER(L1014)),H1014+L1014,"")</x:f>
        <x:v>0</x:v>
      </x:c>
    </x:row>
    <x:row r="1015" ht="22" customHeight="1">
      <x:c r="A1015" s="254" t="n">
        <x:f>615</x:f>
        <x:v>615</x:v>
      </x:c>
      <x:c r="B1015" s="440" t="n">
        <x:f>IF(ISNUMBER(H1014),H1014,"")</x:f>
        <x:v>0</x:v>
      </x:c>
      <x:c r="C1015" s="442" t="n">
        <x:f>IF(ISNUMBER(B1015),IF(AND(615&gt;$B$173,$B$78="Refinance",ISNUMBER($B$80),$B$80&gt;=0,$B$80&lt;=1,ROUND($B$81*12,0)&gt;=1,$B$81&lt;=100,SUM($B$82)&gt;=0,SUM($B$82)&lt;=1,SUM($B$83)&gt;=0),$B$80,IF(AND($B$175&gt;0,615&gt;$B$175,ISNUMBER($B$75)),$B$75,$B$61)),"")</x:f>
        <x:v>0.0625</x:v>
      </x:c>
      <x:c r="D1015" s="440" t="n">
        <x:f>IF(AND(ISNUMBER(B1015),B1015=0),0,IF(AND($B$171=1,I1014=0,ISNUMBER(C1015),ISNUMBER(IF(AND(615&lt;=$B$174,615&lt;=$B$173),B1015*C1015/12,IF(AND(615=$B$173+1,AND(615&gt;$B$173,$B$78="Refinance",ISNUMBER($B$80),$B$80&gt;=0,$B$80&lt;=1,ROUND($B$81*12,0)&gt;=1,$B$81&lt;=100,SUM($B$82)&gt;=0,SUM($B$82)&lt;=1,SUM($B$83)&gt;=0)),IF(B1015=0,0,IF(C1015=0,B1015/ROUND($B$81*12,0),B1015*(C1015/12)/(1-(1+C1015/12)^(-ROUND($B$81*12,0))))),IF(AND(NOT(AND(615&gt;$B$173,$B$78="Refinance",ISNUMBER($B$80),$B$80&gt;=0,$B$80&lt;=1,ROUND($B$81*12,0)&gt;=1,$B$81&lt;=100,SUM($B$82)&gt;=0,SUM($B$82)&lt;=1,SUM($B$83)&gt;=0)),OR(615=1,615=$B$174+1,AND($B$175&gt;0,615=$B$175+1))),IF(AND($B$170=1,$B$66&gt;0,OR($B$175=0,615&lt;=$B$175)),$B$66,IF($B$172-MAX(615-1,$B$174)&gt;0,IF(B1015=0,0,IF(C1015=0,B1015/($B$172-MAX(615-1,$B$174)),B1015*(C1015/12)/(1-(1+C1015/12)^(-($B$172-MAX(615-1,$B$174)))))),"")),D1014))))),IF(IF(AND(615&lt;=$B$174,615&lt;=$B$173),B1015*C1015/12,IF(AND(615=$B$173+1,AND(615&gt;$B$173,$B$78="Refinance",ISNUMBER($B$80),$B$80&gt;=0,$B$80&lt;=1,ROUND($B$81*12,0)&gt;=1,$B$81&lt;=100,SUM($B$82)&gt;=0,SUM($B$82)&lt;=1,SUM($B$83)&gt;=0)),IF(B1015=0,0,IF(C1015=0,B1015/ROUND($B$81*12,0),B1015*(C1015/12)/(1-(1+C1015/12)^(-ROUND($B$81*12,0))))),IF(AND(NOT(AND(615&gt;$B$173,$B$78="Refinance",ISNUMBER($B$80),$B$80&gt;=0,$B$80&lt;=1,ROUND($B$81*12,0)&gt;=1,$B$81&lt;=100,SUM($B$82)&gt;=0,SUM($B$82)&lt;=1,SUM($B$83)&gt;=0)),OR(615=1,615=$B$174+1,AND($B$175&gt;0,615=$B$175+1))),IF(AND($B$170=1,$B$66&gt;0,OR($B$175=0,615&lt;=$B$175)),$B$66,IF($B$172-MAX(615-1,$B$174)&gt;0,IF(B1015=0,0,IF(C1015=0,B1015/($B$172-MAX(615-1,$B$174)),B1015*(C1015/12)/(1-(1+C1015/12)^(-($B$172-MAX(615-1,$B$174)))))),"")),D1014)))+0.0000001&gt;=B1015*C1015/12,MIN(B1015*(1+C1015/12),IF(AND(615&lt;=$B$174,615&lt;=$B$173),B1015*C1015/12,IF(AND(615=$B$173+1,AND(615&gt;$B$173,$B$78="Refinance",ISNUMBER($B$80),$B$80&gt;=0,$B$80&lt;=1,ROUND($B$81*12,0)&gt;=1,$B$81&lt;=100,SUM($B$82)&gt;=0,SUM($B$82)&lt;=1,SUM($B$83)&gt;=0)),IF(B1015=0,0,IF(C1015=0,B1015/ROUND($B$81*12,0),B1015*(C1015/12)/(1-(1+C1015/12)^(-ROUND($B$81*12,0))))),IF(AND(NOT(AND(615&gt;$B$173,$B$78="Refinance",ISNUMBER($B$80),$B$80&gt;=0,$B$80&lt;=1,ROUND($B$81*12,0)&gt;=1,$B$81&lt;=100,SUM($B$82)&gt;=0,SUM($B$82)&lt;=1,SUM($B$83)&gt;=0)),OR(615=1,615=$B$174+1,AND($B$175&gt;0,615=$B$175+1))),IF(AND($B$170=1,$B$66&gt;0,OR($B$175=0,615&lt;=$B$175)),$B$66,IF($B$172-MAX(615-1,$B$174)&gt;0,IF(B1015=0,0,IF(C1015=0,B1015/($B$172-MAX(615-1,$B$174)),B1015*(C1015/12)/(1-(1+C1015/12)^(-($B$172-MAX(615-1,$B$174)))))),"")),D1014)))),""),""))</x:f>
        <x:v>0</x:v>
      </x:c>
      <x:c r="E1015" s="440" t="n">
        <x:f>IF(AND(615=$B$173,ISNUMBER(D1015)),IF(MAX(0,B1015*(1+C1015/12)-D1015)&lt;MAX(0.0000001,$E$17*0.00000000001),0,MAX(0,B1015*(1+C1015/12)-D1015)),0)</x:f>
        <x:v>0</x:v>
      </x:c>
      <x:c r="F1015" s="440" t="n">
        <x:f>IF($B$78="Cash payoff",E1015,0)</x:f>
        <x:v>0</x:v>
      </x:c>
      <x:c r="G1015" s="440" t="n">
        <x:f>IF(AND(E1015&gt;0,AND($B$78="Refinance",ISNUMBER($B$80),$B$80&gt;=0,$B$80&lt;=1,ROUND($B$81*12,0)&gt;=1,$B$81&lt;=100,SUM($B$82)&gt;=0,SUM($B$82)&lt;=1,SUM($B$83)&gt;=0)),E1015*SUM($B$82)+SUM($B$83),0)</x:f>
        <x:v>0</x:v>
      </x:c>
      <x:c r="H1015" s="440" t="n">
        <x:f>IF(ISNUMBER(D1015),IF(MAX(0,B1015*(1+C1015/12)-D1015-F1015)&lt;MAX(0.0000001,$E$17*0.00000000001),0,MAX(0,B1015*(1+C1015/12)-D1015-F1015)),IF(AND($B$171=1,I1014=1),B1015,""))</x:f>
        <x:v>0</x:v>
      </x:c>
      <x:c r="I1015" s="444" t="n">
        <x:f>IF(OR(I1014=1,AND(E1015&gt;0,$B$78&lt;&gt;"Cash payoff",NOT(AND($B$78="Refinance",ISNUMBER($B$80),$B$80&gt;=0,$B$80&lt;=1,ROUND($B$81*12,0)&gt;=1,$B$81&lt;=100,SUM($B$82)&gt;=0,SUM($B$82)&lt;=1,SUM($B$83)&gt;=0))),AND(ISNUMBER(B1015),B1015&gt;0,$B$171=1,NOT(ISNUMBER(D1015)))),1,0)</x:f>
        <x:v>0</x:v>
      </x:c>
      <x:c r="J1015" s="440" t="n">
        <x:f>IF(ISNUMBER(L1014),L1014,"")</x:f>
        <x:v>0</x:v>
      </x:c>
      <x:c r="K1015" s="440" t="n">
        <x:f>IF(AND(ISNUMBER(J1015),J1015=0),0,IF(AND($B$176=1,ISNUMBER(J1015)),MIN(J1015*(1+$B$87/12),IF($B$86=0,0,IF($B$87=0,$B$86/ROUND($B$88*12,0),$B$86*($B$87/12)/(1-(1+$B$87/12)^(-ROUND($B$88*12,0)))))),""))</x:f>
        <x:v>0</x:v>
      </x:c>
      <x:c r="L1015" s="440" t="n">
        <x:f>IF(ISNUMBER(K1015),IF(MAX(0,J1015*(1+SUM($B$87)/12)-K1015)&lt;MAX(0.0000001,$B$86*0.00000000001),0,MAX(0,J1015*(1+SUM($B$87)/12)-K1015)),"")</x:f>
        <x:v>0</x:v>
      </x:c>
      <x:c r="M1015" s="440" t="n">
        <x:f>IF(AND(ISNUMBER(D1015),ISNUMBER(K1015)),D1015+K1015,"")</x:f>
        <x:v>0</x:v>
      </x:c>
      <x:c r="N1015" s="440" t="n">
        <x:f>IF(AND(ISNUMBER(H1015),ISNUMBER(L1015)),H1015+L1015,"")</x:f>
        <x:v>0</x:v>
      </x:c>
    </x:row>
    <x:row r="1016" ht="22" customHeight="1">
      <x:c r="A1016" s="254" t="n">
        <x:f>616</x:f>
        <x:v>616</x:v>
      </x:c>
      <x:c r="B1016" s="440" t="n">
        <x:f>IF(ISNUMBER(H1015),H1015,"")</x:f>
        <x:v>0</x:v>
      </x:c>
      <x:c r="C1016" s="442" t="n">
        <x:f>IF(ISNUMBER(B1016),IF(AND(616&gt;$B$173,$B$78="Refinance",ISNUMBER($B$80),$B$80&gt;=0,$B$80&lt;=1,ROUND($B$81*12,0)&gt;=1,$B$81&lt;=100,SUM($B$82)&gt;=0,SUM($B$82)&lt;=1,SUM($B$83)&gt;=0),$B$80,IF(AND($B$175&gt;0,616&gt;$B$175,ISNUMBER($B$75)),$B$75,$B$61)),"")</x:f>
        <x:v>0.0625</x:v>
      </x:c>
      <x:c r="D1016" s="440" t="n">
        <x:f>IF(AND(ISNUMBER(B1016),B1016=0),0,IF(AND($B$171=1,I1015=0,ISNUMBER(C1016),ISNUMBER(IF(AND(616&lt;=$B$174,616&lt;=$B$173),B1016*C1016/12,IF(AND(616=$B$173+1,AND(616&gt;$B$173,$B$78="Refinance",ISNUMBER($B$80),$B$80&gt;=0,$B$80&lt;=1,ROUND($B$81*12,0)&gt;=1,$B$81&lt;=100,SUM($B$82)&gt;=0,SUM($B$82)&lt;=1,SUM($B$83)&gt;=0)),IF(B1016=0,0,IF(C1016=0,B1016/ROUND($B$81*12,0),B1016*(C1016/12)/(1-(1+C1016/12)^(-ROUND($B$81*12,0))))),IF(AND(NOT(AND(616&gt;$B$173,$B$78="Refinance",ISNUMBER($B$80),$B$80&gt;=0,$B$80&lt;=1,ROUND($B$81*12,0)&gt;=1,$B$81&lt;=100,SUM($B$82)&gt;=0,SUM($B$82)&lt;=1,SUM($B$83)&gt;=0)),OR(616=1,616=$B$174+1,AND($B$175&gt;0,616=$B$175+1))),IF(AND($B$170=1,$B$66&gt;0,OR($B$175=0,616&lt;=$B$175)),$B$66,IF($B$172-MAX(616-1,$B$174)&gt;0,IF(B1016=0,0,IF(C1016=0,B1016/($B$172-MAX(616-1,$B$174)),B1016*(C1016/12)/(1-(1+C1016/12)^(-($B$172-MAX(616-1,$B$174)))))),"")),D1015))))),IF(IF(AND(616&lt;=$B$174,616&lt;=$B$173),B1016*C1016/12,IF(AND(616=$B$173+1,AND(616&gt;$B$173,$B$78="Refinance",ISNUMBER($B$80),$B$80&gt;=0,$B$80&lt;=1,ROUND($B$81*12,0)&gt;=1,$B$81&lt;=100,SUM($B$82)&gt;=0,SUM($B$82)&lt;=1,SUM($B$83)&gt;=0)),IF(B1016=0,0,IF(C1016=0,B1016/ROUND($B$81*12,0),B1016*(C1016/12)/(1-(1+C1016/12)^(-ROUND($B$81*12,0))))),IF(AND(NOT(AND(616&gt;$B$173,$B$78="Refinance",ISNUMBER($B$80),$B$80&gt;=0,$B$80&lt;=1,ROUND($B$81*12,0)&gt;=1,$B$81&lt;=100,SUM($B$82)&gt;=0,SUM($B$82)&lt;=1,SUM($B$83)&gt;=0)),OR(616=1,616=$B$174+1,AND($B$175&gt;0,616=$B$175+1))),IF(AND($B$170=1,$B$66&gt;0,OR($B$175=0,616&lt;=$B$175)),$B$66,IF($B$172-MAX(616-1,$B$174)&gt;0,IF(B1016=0,0,IF(C1016=0,B1016/($B$172-MAX(616-1,$B$174)),B1016*(C1016/12)/(1-(1+C1016/12)^(-($B$172-MAX(616-1,$B$174)))))),"")),D1015)))+0.0000001&gt;=B1016*C1016/12,MIN(B1016*(1+C1016/12),IF(AND(616&lt;=$B$174,616&lt;=$B$173),B1016*C1016/12,IF(AND(616=$B$173+1,AND(616&gt;$B$173,$B$78="Refinance",ISNUMBER($B$80),$B$80&gt;=0,$B$80&lt;=1,ROUND($B$81*12,0)&gt;=1,$B$81&lt;=100,SUM($B$82)&gt;=0,SUM($B$82)&lt;=1,SUM($B$83)&gt;=0)),IF(B1016=0,0,IF(C1016=0,B1016/ROUND($B$81*12,0),B1016*(C1016/12)/(1-(1+C1016/12)^(-ROUND($B$81*12,0))))),IF(AND(NOT(AND(616&gt;$B$173,$B$78="Refinance",ISNUMBER($B$80),$B$80&gt;=0,$B$80&lt;=1,ROUND($B$81*12,0)&gt;=1,$B$81&lt;=100,SUM($B$82)&gt;=0,SUM($B$82)&lt;=1,SUM($B$83)&gt;=0)),OR(616=1,616=$B$174+1,AND($B$175&gt;0,616=$B$175+1))),IF(AND($B$170=1,$B$66&gt;0,OR($B$175=0,616&lt;=$B$175)),$B$66,IF($B$172-MAX(616-1,$B$174)&gt;0,IF(B1016=0,0,IF(C1016=0,B1016/($B$172-MAX(616-1,$B$174)),B1016*(C1016/12)/(1-(1+C1016/12)^(-($B$172-MAX(616-1,$B$174)))))),"")),D1015)))),""),""))</x:f>
        <x:v>0</x:v>
      </x:c>
      <x:c r="E1016" s="440" t="n">
        <x:f>IF(AND(616=$B$173,ISNUMBER(D1016)),IF(MAX(0,B1016*(1+C1016/12)-D1016)&lt;MAX(0.0000001,$E$17*0.00000000001),0,MAX(0,B1016*(1+C1016/12)-D1016)),0)</x:f>
        <x:v>0</x:v>
      </x:c>
      <x:c r="F1016" s="440" t="n">
        <x:f>IF($B$78="Cash payoff",E1016,0)</x:f>
        <x:v>0</x:v>
      </x:c>
      <x:c r="G1016" s="440" t="n">
        <x:f>IF(AND(E1016&gt;0,AND($B$78="Refinance",ISNUMBER($B$80),$B$80&gt;=0,$B$80&lt;=1,ROUND($B$81*12,0)&gt;=1,$B$81&lt;=100,SUM($B$82)&gt;=0,SUM($B$82)&lt;=1,SUM($B$83)&gt;=0)),E1016*SUM($B$82)+SUM($B$83),0)</x:f>
        <x:v>0</x:v>
      </x:c>
      <x:c r="H1016" s="440" t="n">
        <x:f>IF(ISNUMBER(D1016),IF(MAX(0,B1016*(1+C1016/12)-D1016-F1016)&lt;MAX(0.0000001,$E$17*0.00000000001),0,MAX(0,B1016*(1+C1016/12)-D1016-F1016)),IF(AND($B$171=1,I1015=1),B1016,""))</x:f>
        <x:v>0</x:v>
      </x:c>
      <x:c r="I1016" s="444" t="n">
        <x:f>IF(OR(I1015=1,AND(E1016&gt;0,$B$78&lt;&gt;"Cash payoff",NOT(AND($B$78="Refinance",ISNUMBER($B$80),$B$80&gt;=0,$B$80&lt;=1,ROUND($B$81*12,0)&gt;=1,$B$81&lt;=100,SUM($B$82)&gt;=0,SUM($B$82)&lt;=1,SUM($B$83)&gt;=0))),AND(ISNUMBER(B1016),B1016&gt;0,$B$171=1,NOT(ISNUMBER(D1016)))),1,0)</x:f>
        <x:v>0</x:v>
      </x:c>
      <x:c r="J1016" s="440" t="n">
        <x:f>IF(ISNUMBER(L1015),L1015,"")</x:f>
        <x:v>0</x:v>
      </x:c>
      <x:c r="K1016" s="440" t="n">
        <x:f>IF(AND(ISNUMBER(J1016),J1016=0),0,IF(AND($B$176=1,ISNUMBER(J1016)),MIN(J1016*(1+$B$87/12),IF($B$86=0,0,IF($B$87=0,$B$86/ROUND($B$88*12,0),$B$86*($B$87/12)/(1-(1+$B$87/12)^(-ROUND($B$88*12,0)))))),""))</x:f>
        <x:v>0</x:v>
      </x:c>
      <x:c r="L1016" s="440" t="n">
        <x:f>IF(ISNUMBER(K1016),IF(MAX(0,J1016*(1+SUM($B$87)/12)-K1016)&lt;MAX(0.0000001,$B$86*0.00000000001),0,MAX(0,J1016*(1+SUM($B$87)/12)-K1016)),"")</x:f>
        <x:v>0</x:v>
      </x:c>
      <x:c r="M1016" s="440" t="n">
        <x:f>IF(AND(ISNUMBER(D1016),ISNUMBER(K1016)),D1016+K1016,"")</x:f>
        <x:v>0</x:v>
      </x:c>
      <x:c r="N1016" s="440" t="n">
        <x:f>IF(AND(ISNUMBER(H1016),ISNUMBER(L1016)),H1016+L1016,"")</x:f>
        <x:v>0</x:v>
      </x:c>
    </x:row>
    <x:row r="1017" ht="22" customHeight="1">
      <x:c r="A1017" s="254" t="n">
        <x:f>617</x:f>
        <x:v>617</x:v>
      </x:c>
      <x:c r="B1017" s="440" t="n">
        <x:f>IF(ISNUMBER(H1016),H1016,"")</x:f>
        <x:v>0</x:v>
      </x:c>
      <x:c r="C1017" s="442" t="n">
        <x:f>IF(ISNUMBER(B1017),IF(AND(617&gt;$B$173,$B$78="Refinance",ISNUMBER($B$80),$B$80&gt;=0,$B$80&lt;=1,ROUND($B$81*12,0)&gt;=1,$B$81&lt;=100,SUM($B$82)&gt;=0,SUM($B$82)&lt;=1,SUM($B$83)&gt;=0),$B$80,IF(AND($B$175&gt;0,617&gt;$B$175,ISNUMBER($B$75)),$B$75,$B$61)),"")</x:f>
        <x:v>0.0625</x:v>
      </x:c>
      <x:c r="D1017" s="440" t="n">
        <x:f>IF(AND(ISNUMBER(B1017),B1017=0),0,IF(AND($B$171=1,I1016=0,ISNUMBER(C1017),ISNUMBER(IF(AND(617&lt;=$B$174,617&lt;=$B$173),B1017*C1017/12,IF(AND(617=$B$173+1,AND(617&gt;$B$173,$B$78="Refinance",ISNUMBER($B$80),$B$80&gt;=0,$B$80&lt;=1,ROUND($B$81*12,0)&gt;=1,$B$81&lt;=100,SUM($B$82)&gt;=0,SUM($B$82)&lt;=1,SUM($B$83)&gt;=0)),IF(B1017=0,0,IF(C1017=0,B1017/ROUND($B$81*12,0),B1017*(C1017/12)/(1-(1+C1017/12)^(-ROUND($B$81*12,0))))),IF(AND(NOT(AND(617&gt;$B$173,$B$78="Refinance",ISNUMBER($B$80),$B$80&gt;=0,$B$80&lt;=1,ROUND($B$81*12,0)&gt;=1,$B$81&lt;=100,SUM($B$82)&gt;=0,SUM($B$82)&lt;=1,SUM($B$83)&gt;=0)),OR(617=1,617=$B$174+1,AND($B$175&gt;0,617=$B$175+1))),IF(AND($B$170=1,$B$66&gt;0,OR($B$175=0,617&lt;=$B$175)),$B$66,IF($B$172-MAX(617-1,$B$174)&gt;0,IF(B1017=0,0,IF(C1017=0,B1017/($B$172-MAX(617-1,$B$174)),B1017*(C1017/12)/(1-(1+C1017/12)^(-($B$172-MAX(617-1,$B$174)))))),"")),D1016))))),IF(IF(AND(617&lt;=$B$174,617&lt;=$B$173),B1017*C1017/12,IF(AND(617=$B$173+1,AND(617&gt;$B$173,$B$78="Refinance",ISNUMBER($B$80),$B$80&gt;=0,$B$80&lt;=1,ROUND($B$81*12,0)&gt;=1,$B$81&lt;=100,SUM($B$82)&gt;=0,SUM($B$82)&lt;=1,SUM($B$83)&gt;=0)),IF(B1017=0,0,IF(C1017=0,B1017/ROUND($B$81*12,0),B1017*(C1017/12)/(1-(1+C1017/12)^(-ROUND($B$81*12,0))))),IF(AND(NOT(AND(617&gt;$B$173,$B$78="Refinance",ISNUMBER($B$80),$B$80&gt;=0,$B$80&lt;=1,ROUND($B$81*12,0)&gt;=1,$B$81&lt;=100,SUM($B$82)&gt;=0,SUM($B$82)&lt;=1,SUM($B$83)&gt;=0)),OR(617=1,617=$B$174+1,AND($B$175&gt;0,617=$B$175+1))),IF(AND($B$170=1,$B$66&gt;0,OR($B$175=0,617&lt;=$B$175)),$B$66,IF($B$172-MAX(617-1,$B$174)&gt;0,IF(B1017=0,0,IF(C1017=0,B1017/($B$172-MAX(617-1,$B$174)),B1017*(C1017/12)/(1-(1+C1017/12)^(-($B$172-MAX(617-1,$B$174)))))),"")),D1016)))+0.0000001&gt;=B1017*C1017/12,MIN(B1017*(1+C1017/12),IF(AND(617&lt;=$B$174,617&lt;=$B$173),B1017*C1017/12,IF(AND(617=$B$173+1,AND(617&gt;$B$173,$B$78="Refinance",ISNUMBER($B$80),$B$80&gt;=0,$B$80&lt;=1,ROUND($B$81*12,0)&gt;=1,$B$81&lt;=100,SUM($B$82)&gt;=0,SUM($B$82)&lt;=1,SUM($B$83)&gt;=0)),IF(B1017=0,0,IF(C1017=0,B1017/ROUND($B$81*12,0),B1017*(C1017/12)/(1-(1+C1017/12)^(-ROUND($B$81*12,0))))),IF(AND(NOT(AND(617&gt;$B$173,$B$78="Refinance",ISNUMBER($B$80),$B$80&gt;=0,$B$80&lt;=1,ROUND($B$81*12,0)&gt;=1,$B$81&lt;=100,SUM($B$82)&gt;=0,SUM($B$82)&lt;=1,SUM($B$83)&gt;=0)),OR(617=1,617=$B$174+1,AND($B$175&gt;0,617=$B$175+1))),IF(AND($B$170=1,$B$66&gt;0,OR($B$175=0,617&lt;=$B$175)),$B$66,IF($B$172-MAX(617-1,$B$174)&gt;0,IF(B1017=0,0,IF(C1017=0,B1017/($B$172-MAX(617-1,$B$174)),B1017*(C1017/12)/(1-(1+C1017/12)^(-($B$172-MAX(617-1,$B$174)))))),"")),D1016)))),""),""))</x:f>
        <x:v>0</x:v>
      </x:c>
      <x:c r="E1017" s="440" t="n">
        <x:f>IF(AND(617=$B$173,ISNUMBER(D1017)),IF(MAX(0,B1017*(1+C1017/12)-D1017)&lt;MAX(0.0000001,$E$17*0.00000000001),0,MAX(0,B1017*(1+C1017/12)-D1017)),0)</x:f>
        <x:v>0</x:v>
      </x:c>
      <x:c r="F1017" s="440" t="n">
        <x:f>IF($B$78="Cash payoff",E1017,0)</x:f>
        <x:v>0</x:v>
      </x:c>
      <x:c r="G1017" s="440" t="n">
        <x:f>IF(AND(E1017&gt;0,AND($B$78="Refinance",ISNUMBER($B$80),$B$80&gt;=0,$B$80&lt;=1,ROUND($B$81*12,0)&gt;=1,$B$81&lt;=100,SUM($B$82)&gt;=0,SUM($B$82)&lt;=1,SUM($B$83)&gt;=0)),E1017*SUM($B$82)+SUM($B$83),0)</x:f>
        <x:v>0</x:v>
      </x:c>
      <x:c r="H1017" s="440" t="n">
        <x:f>IF(ISNUMBER(D1017),IF(MAX(0,B1017*(1+C1017/12)-D1017-F1017)&lt;MAX(0.0000001,$E$17*0.00000000001),0,MAX(0,B1017*(1+C1017/12)-D1017-F1017)),IF(AND($B$171=1,I1016=1),B1017,""))</x:f>
        <x:v>0</x:v>
      </x:c>
      <x:c r="I1017" s="444" t="n">
        <x:f>IF(OR(I1016=1,AND(E1017&gt;0,$B$78&lt;&gt;"Cash payoff",NOT(AND($B$78="Refinance",ISNUMBER($B$80),$B$80&gt;=0,$B$80&lt;=1,ROUND($B$81*12,0)&gt;=1,$B$81&lt;=100,SUM($B$82)&gt;=0,SUM($B$82)&lt;=1,SUM($B$83)&gt;=0))),AND(ISNUMBER(B1017),B1017&gt;0,$B$171=1,NOT(ISNUMBER(D1017)))),1,0)</x:f>
        <x:v>0</x:v>
      </x:c>
      <x:c r="J1017" s="440" t="n">
        <x:f>IF(ISNUMBER(L1016),L1016,"")</x:f>
        <x:v>0</x:v>
      </x:c>
      <x:c r="K1017" s="440" t="n">
        <x:f>IF(AND(ISNUMBER(J1017),J1017=0),0,IF(AND($B$176=1,ISNUMBER(J1017)),MIN(J1017*(1+$B$87/12),IF($B$86=0,0,IF($B$87=0,$B$86/ROUND($B$88*12,0),$B$86*($B$87/12)/(1-(1+$B$87/12)^(-ROUND($B$88*12,0)))))),""))</x:f>
        <x:v>0</x:v>
      </x:c>
      <x:c r="L1017" s="440" t="n">
        <x:f>IF(ISNUMBER(K1017),IF(MAX(0,J1017*(1+SUM($B$87)/12)-K1017)&lt;MAX(0.0000001,$B$86*0.00000000001),0,MAX(0,J1017*(1+SUM($B$87)/12)-K1017)),"")</x:f>
        <x:v>0</x:v>
      </x:c>
      <x:c r="M1017" s="440" t="n">
        <x:f>IF(AND(ISNUMBER(D1017),ISNUMBER(K1017)),D1017+K1017,"")</x:f>
        <x:v>0</x:v>
      </x:c>
      <x:c r="N1017" s="440" t="n">
        <x:f>IF(AND(ISNUMBER(H1017),ISNUMBER(L1017)),H1017+L1017,"")</x:f>
        <x:v>0</x:v>
      </x:c>
    </x:row>
    <x:row r="1018" ht="22" customHeight="1">
      <x:c r="A1018" s="254" t="n">
        <x:f>618</x:f>
        <x:v>618</x:v>
      </x:c>
      <x:c r="B1018" s="440" t="n">
        <x:f>IF(ISNUMBER(H1017),H1017,"")</x:f>
        <x:v>0</x:v>
      </x:c>
      <x:c r="C1018" s="442" t="n">
        <x:f>IF(ISNUMBER(B1018),IF(AND(618&gt;$B$173,$B$78="Refinance",ISNUMBER($B$80),$B$80&gt;=0,$B$80&lt;=1,ROUND($B$81*12,0)&gt;=1,$B$81&lt;=100,SUM($B$82)&gt;=0,SUM($B$82)&lt;=1,SUM($B$83)&gt;=0),$B$80,IF(AND($B$175&gt;0,618&gt;$B$175,ISNUMBER($B$75)),$B$75,$B$61)),"")</x:f>
        <x:v>0.0625</x:v>
      </x:c>
      <x:c r="D1018" s="440" t="n">
        <x:f>IF(AND(ISNUMBER(B1018),B1018=0),0,IF(AND($B$171=1,I1017=0,ISNUMBER(C1018),ISNUMBER(IF(AND(618&lt;=$B$174,618&lt;=$B$173),B1018*C1018/12,IF(AND(618=$B$173+1,AND(618&gt;$B$173,$B$78="Refinance",ISNUMBER($B$80),$B$80&gt;=0,$B$80&lt;=1,ROUND($B$81*12,0)&gt;=1,$B$81&lt;=100,SUM($B$82)&gt;=0,SUM($B$82)&lt;=1,SUM($B$83)&gt;=0)),IF(B1018=0,0,IF(C1018=0,B1018/ROUND($B$81*12,0),B1018*(C1018/12)/(1-(1+C1018/12)^(-ROUND($B$81*12,0))))),IF(AND(NOT(AND(618&gt;$B$173,$B$78="Refinance",ISNUMBER($B$80),$B$80&gt;=0,$B$80&lt;=1,ROUND($B$81*12,0)&gt;=1,$B$81&lt;=100,SUM($B$82)&gt;=0,SUM($B$82)&lt;=1,SUM($B$83)&gt;=0)),OR(618=1,618=$B$174+1,AND($B$175&gt;0,618=$B$175+1))),IF(AND($B$170=1,$B$66&gt;0,OR($B$175=0,618&lt;=$B$175)),$B$66,IF($B$172-MAX(618-1,$B$174)&gt;0,IF(B1018=0,0,IF(C1018=0,B1018/($B$172-MAX(618-1,$B$174)),B1018*(C1018/12)/(1-(1+C1018/12)^(-($B$172-MAX(618-1,$B$174)))))),"")),D1017))))),IF(IF(AND(618&lt;=$B$174,618&lt;=$B$173),B1018*C1018/12,IF(AND(618=$B$173+1,AND(618&gt;$B$173,$B$78="Refinance",ISNUMBER($B$80),$B$80&gt;=0,$B$80&lt;=1,ROUND($B$81*12,0)&gt;=1,$B$81&lt;=100,SUM($B$82)&gt;=0,SUM($B$82)&lt;=1,SUM($B$83)&gt;=0)),IF(B1018=0,0,IF(C1018=0,B1018/ROUND($B$81*12,0),B1018*(C1018/12)/(1-(1+C1018/12)^(-ROUND($B$81*12,0))))),IF(AND(NOT(AND(618&gt;$B$173,$B$78="Refinance",ISNUMBER($B$80),$B$80&gt;=0,$B$80&lt;=1,ROUND($B$81*12,0)&gt;=1,$B$81&lt;=100,SUM($B$82)&gt;=0,SUM($B$82)&lt;=1,SUM($B$83)&gt;=0)),OR(618=1,618=$B$174+1,AND($B$175&gt;0,618=$B$175+1))),IF(AND($B$170=1,$B$66&gt;0,OR($B$175=0,618&lt;=$B$175)),$B$66,IF($B$172-MAX(618-1,$B$174)&gt;0,IF(B1018=0,0,IF(C1018=0,B1018/($B$172-MAX(618-1,$B$174)),B1018*(C1018/12)/(1-(1+C1018/12)^(-($B$172-MAX(618-1,$B$174)))))),"")),D1017)))+0.0000001&gt;=B1018*C1018/12,MIN(B1018*(1+C1018/12),IF(AND(618&lt;=$B$174,618&lt;=$B$173),B1018*C1018/12,IF(AND(618=$B$173+1,AND(618&gt;$B$173,$B$78="Refinance",ISNUMBER($B$80),$B$80&gt;=0,$B$80&lt;=1,ROUND($B$81*12,0)&gt;=1,$B$81&lt;=100,SUM($B$82)&gt;=0,SUM($B$82)&lt;=1,SUM($B$83)&gt;=0)),IF(B1018=0,0,IF(C1018=0,B1018/ROUND($B$81*12,0),B1018*(C1018/12)/(1-(1+C1018/12)^(-ROUND($B$81*12,0))))),IF(AND(NOT(AND(618&gt;$B$173,$B$78="Refinance",ISNUMBER($B$80),$B$80&gt;=0,$B$80&lt;=1,ROUND($B$81*12,0)&gt;=1,$B$81&lt;=100,SUM($B$82)&gt;=0,SUM($B$82)&lt;=1,SUM($B$83)&gt;=0)),OR(618=1,618=$B$174+1,AND($B$175&gt;0,618=$B$175+1))),IF(AND($B$170=1,$B$66&gt;0,OR($B$175=0,618&lt;=$B$175)),$B$66,IF($B$172-MAX(618-1,$B$174)&gt;0,IF(B1018=0,0,IF(C1018=0,B1018/($B$172-MAX(618-1,$B$174)),B1018*(C1018/12)/(1-(1+C1018/12)^(-($B$172-MAX(618-1,$B$174)))))),"")),D1017)))),""),""))</x:f>
        <x:v>0</x:v>
      </x:c>
      <x:c r="E1018" s="440" t="n">
        <x:f>IF(AND(618=$B$173,ISNUMBER(D1018)),IF(MAX(0,B1018*(1+C1018/12)-D1018)&lt;MAX(0.0000001,$E$17*0.00000000001),0,MAX(0,B1018*(1+C1018/12)-D1018)),0)</x:f>
        <x:v>0</x:v>
      </x:c>
      <x:c r="F1018" s="440" t="n">
        <x:f>IF($B$78="Cash payoff",E1018,0)</x:f>
        <x:v>0</x:v>
      </x:c>
      <x:c r="G1018" s="440" t="n">
        <x:f>IF(AND(E1018&gt;0,AND($B$78="Refinance",ISNUMBER($B$80),$B$80&gt;=0,$B$80&lt;=1,ROUND($B$81*12,0)&gt;=1,$B$81&lt;=100,SUM($B$82)&gt;=0,SUM($B$82)&lt;=1,SUM($B$83)&gt;=0)),E1018*SUM($B$82)+SUM($B$83),0)</x:f>
        <x:v>0</x:v>
      </x:c>
      <x:c r="H1018" s="440" t="n">
        <x:f>IF(ISNUMBER(D1018),IF(MAX(0,B1018*(1+C1018/12)-D1018-F1018)&lt;MAX(0.0000001,$E$17*0.00000000001),0,MAX(0,B1018*(1+C1018/12)-D1018-F1018)),IF(AND($B$171=1,I1017=1),B1018,""))</x:f>
        <x:v>0</x:v>
      </x:c>
      <x:c r="I1018" s="444" t="n">
        <x:f>IF(OR(I1017=1,AND(E1018&gt;0,$B$78&lt;&gt;"Cash payoff",NOT(AND($B$78="Refinance",ISNUMBER($B$80),$B$80&gt;=0,$B$80&lt;=1,ROUND($B$81*12,0)&gt;=1,$B$81&lt;=100,SUM($B$82)&gt;=0,SUM($B$82)&lt;=1,SUM($B$83)&gt;=0))),AND(ISNUMBER(B1018),B1018&gt;0,$B$171=1,NOT(ISNUMBER(D1018)))),1,0)</x:f>
        <x:v>0</x:v>
      </x:c>
      <x:c r="J1018" s="440" t="n">
        <x:f>IF(ISNUMBER(L1017),L1017,"")</x:f>
        <x:v>0</x:v>
      </x:c>
      <x:c r="K1018" s="440" t="n">
        <x:f>IF(AND(ISNUMBER(J1018),J1018=0),0,IF(AND($B$176=1,ISNUMBER(J1018)),MIN(J1018*(1+$B$87/12),IF($B$86=0,0,IF($B$87=0,$B$86/ROUND($B$88*12,0),$B$86*($B$87/12)/(1-(1+$B$87/12)^(-ROUND($B$88*12,0)))))),""))</x:f>
        <x:v>0</x:v>
      </x:c>
      <x:c r="L1018" s="440" t="n">
        <x:f>IF(ISNUMBER(K1018),IF(MAX(0,J1018*(1+SUM($B$87)/12)-K1018)&lt;MAX(0.0000001,$B$86*0.00000000001),0,MAX(0,J1018*(1+SUM($B$87)/12)-K1018)),"")</x:f>
        <x:v>0</x:v>
      </x:c>
      <x:c r="M1018" s="440" t="n">
        <x:f>IF(AND(ISNUMBER(D1018),ISNUMBER(K1018)),D1018+K1018,"")</x:f>
        <x:v>0</x:v>
      </x:c>
      <x:c r="N1018" s="440" t="n">
        <x:f>IF(AND(ISNUMBER(H1018),ISNUMBER(L1018)),H1018+L1018,"")</x:f>
        <x:v>0</x:v>
      </x:c>
    </x:row>
    <x:row r="1019" ht="22" customHeight="1">
      <x:c r="A1019" s="254" t="n">
        <x:f>619</x:f>
        <x:v>619</x:v>
      </x:c>
      <x:c r="B1019" s="440" t="n">
        <x:f>IF(ISNUMBER(H1018),H1018,"")</x:f>
        <x:v>0</x:v>
      </x:c>
      <x:c r="C1019" s="442" t="n">
        <x:f>IF(ISNUMBER(B1019),IF(AND(619&gt;$B$173,$B$78="Refinance",ISNUMBER($B$80),$B$80&gt;=0,$B$80&lt;=1,ROUND($B$81*12,0)&gt;=1,$B$81&lt;=100,SUM($B$82)&gt;=0,SUM($B$82)&lt;=1,SUM($B$83)&gt;=0),$B$80,IF(AND($B$175&gt;0,619&gt;$B$175,ISNUMBER($B$75)),$B$75,$B$61)),"")</x:f>
        <x:v>0.0625</x:v>
      </x:c>
      <x:c r="D1019" s="440" t="n">
        <x:f>IF(AND(ISNUMBER(B1019),B1019=0),0,IF(AND($B$171=1,I1018=0,ISNUMBER(C1019),ISNUMBER(IF(AND(619&lt;=$B$174,619&lt;=$B$173),B1019*C1019/12,IF(AND(619=$B$173+1,AND(619&gt;$B$173,$B$78="Refinance",ISNUMBER($B$80),$B$80&gt;=0,$B$80&lt;=1,ROUND($B$81*12,0)&gt;=1,$B$81&lt;=100,SUM($B$82)&gt;=0,SUM($B$82)&lt;=1,SUM($B$83)&gt;=0)),IF(B1019=0,0,IF(C1019=0,B1019/ROUND($B$81*12,0),B1019*(C1019/12)/(1-(1+C1019/12)^(-ROUND($B$81*12,0))))),IF(AND(NOT(AND(619&gt;$B$173,$B$78="Refinance",ISNUMBER($B$80),$B$80&gt;=0,$B$80&lt;=1,ROUND($B$81*12,0)&gt;=1,$B$81&lt;=100,SUM($B$82)&gt;=0,SUM($B$82)&lt;=1,SUM($B$83)&gt;=0)),OR(619=1,619=$B$174+1,AND($B$175&gt;0,619=$B$175+1))),IF(AND($B$170=1,$B$66&gt;0,OR($B$175=0,619&lt;=$B$175)),$B$66,IF($B$172-MAX(619-1,$B$174)&gt;0,IF(B1019=0,0,IF(C1019=0,B1019/($B$172-MAX(619-1,$B$174)),B1019*(C1019/12)/(1-(1+C1019/12)^(-($B$172-MAX(619-1,$B$174)))))),"")),D1018))))),IF(IF(AND(619&lt;=$B$174,619&lt;=$B$173),B1019*C1019/12,IF(AND(619=$B$173+1,AND(619&gt;$B$173,$B$78="Refinance",ISNUMBER($B$80),$B$80&gt;=0,$B$80&lt;=1,ROUND($B$81*12,0)&gt;=1,$B$81&lt;=100,SUM($B$82)&gt;=0,SUM($B$82)&lt;=1,SUM($B$83)&gt;=0)),IF(B1019=0,0,IF(C1019=0,B1019/ROUND($B$81*12,0),B1019*(C1019/12)/(1-(1+C1019/12)^(-ROUND($B$81*12,0))))),IF(AND(NOT(AND(619&gt;$B$173,$B$78="Refinance",ISNUMBER($B$80),$B$80&gt;=0,$B$80&lt;=1,ROUND($B$81*12,0)&gt;=1,$B$81&lt;=100,SUM($B$82)&gt;=0,SUM($B$82)&lt;=1,SUM($B$83)&gt;=0)),OR(619=1,619=$B$174+1,AND($B$175&gt;0,619=$B$175+1))),IF(AND($B$170=1,$B$66&gt;0,OR($B$175=0,619&lt;=$B$175)),$B$66,IF($B$172-MAX(619-1,$B$174)&gt;0,IF(B1019=0,0,IF(C1019=0,B1019/($B$172-MAX(619-1,$B$174)),B1019*(C1019/12)/(1-(1+C1019/12)^(-($B$172-MAX(619-1,$B$174)))))),"")),D1018)))+0.0000001&gt;=B1019*C1019/12,MIN(B1019*(1+C1019/12),IF(AND(619&lt;=$B$174,619&lt;=$B$173),B1019*C1019/12,IF(AND(619=$B$173+1,AND(619&gt;$B$173,$B$78="Refinance",ISNUMBER($B$80),$B$80&gt;=0,$B$80&lt;=1,ROUND($B$81*12,0)&gt;=1,$B$81&lt;=100,SUM($B$82)&gt;=0,SUM($B$82)&lt;=1,SUM($B$83)&gt;=0)),IF(B1019=0,0,IF(C1019=0,B1019/ROUND($B$81*12,0),B1019*(C1019/12)/(1-(1+C1019/12)^(-ROUND($B$81*12,0))))),IF(AND(NOT(AND(619&gt;$B$173,$B$78="Refinance",ISNUMBER($B$80),$B$80&gt;=0,$B$80&lt;=1,ROUND($B$81*12,0)&gt;=1,$B$81&lt;=100,SUM($B$82)&gt;=0,SUM($B$82)&lt;=1,SUM($B$83)&gt;=0)),OR(619=1,619=$B$174+1,AND($B$175&gt;0,619=$B$175+1))),IF(AND($B$170=1,$B$66&gt;0,OR($B$175=0,619&lt;=$B$175)),$B$66,IF($B$172-MAX(619-1,$B$174)&gt;0,IF(B1019=0,0,IF(C1019=0,B1019/($B$172-MAX(619-1,$B$174)),B1019*(C1019/12)/(1-(1+C1019/12)^(-($B$172-MAX(619-1,$B$174)))))),"")),D1018)))),""),""))</x:f>
        <x:v>0</x:v>
      </x:c>
      <x:c r="E1019" s="440" t="n">
        <x:f>IF(AND(619=$B$173,ISNUMBER(D1019)),IF(MAX(0,B1019*(1+C1019/12)-D1019)&lt;MAX(0.0000001,$E$17*0.00000000001),0,MAX(0,B1019*(1+C1019/12)-D1019)),0)</x:f>
        <x:v>0</x:v>
      </x:c>
      <x:c r="F1019" s="440" t="n">
        <x:f>IF($B$78="Cash payoff",E1019,0)</x:f>
        <x:v>0</x:v>
      </x:c>
      <x:c r="G1019" s="440" t="n">
        <x:f>IF(AND(E1019&gt;0,AND($B$78="Refinance",ISNUMBER($B$80),$B$80&gt;=0,$B$80&lt;=1,ROUND($B$81*12,0)&gt;=1,$B$81&lt;=100,SUM($B$82)&gt;=0,SUM($B$82)&lt;=1,SUM($B$83)&gt;=0)),E1019*SUM($B$82)+SUM($B$83),0)</x:f>
        <x:v>0</x:v>
      </x:c>
      <x:c r="H1019" s="440" t="n">
        <x:f>IF(ISNUMBER(D1019),IF(MAX(0,B1019*(1+C1019/12)-D1019-F1019)&lt;MAX(0.0000001,$E$17*0.00000000001),0,MAX(0,B1019*(1+C1019/12)-D1019-F1019)),IF(AND($B$171=1,I1018=1),B1019,""))</x:f>
        <x:v>0</x:v>
      </x:c>
      <x:c r="I1019" s="444" t="n">
        <x:f>IF(OR(I1018=1,AND(E1019&gt;0,$B$78&lt;&gt;"Cash payoff",NOT(AND($B$78="Refinance",ISNUMBER($B$80),$B$80&gt;=0,$B$80&lt;=1,ROUND($B$81*12,0)&gt;=1,$B$81&lt;=100,SUM($B$82)&gt;=0,SUM($B$82)&lt;=1,SUM($B$83)&gt;=0))),AND(ISNUMBER(B1019),B1019&gt;0,$B$171=1,NOT(ISNUMBER(D1019)))),1,0)</x:f>
        <x:v>0</x:v>
      </x:c>
      <x:c r="J1019" s="440" t="n">
        <x:f>IF(ISNUMBER(L1018),L1018,"")</x:f>
        <x:v>0</x:v>
      </x:c>
      <x:c r="K1019" s="440" t="n">
        <x:f>IF(AND(ISNUMBER(J1019),J1019=0),0,IF(AND($B$176=1,ISNUMBER(J1019)),MIN(J1019*(1+$B$87/12),IF($B$86=0,0,IF($B$87=0,$B$86/ROUND($B$88*12,0),$B$86*($B$87/12)/(1-(1+$B$87/12)^(-ROUND($B$88*12,0)))))),""))</x:f>
        <x:v>0</x:v>
      </x:c>
      <x:c r="L1019" s="440" t="n">
        <x:f>IF(ISNUMBER(K1019),IF(MAX(0,J1019*(1+SUM($B$87)/12)-K1019)&lt;MAX(0.0000001,$B$86*0.00000000001),0,MAX(0,J1019*(1+SUM($B$87)/12)-K1019)),"")</x:f>
        <x:v>0</x:v>
      </x:c>
      <x:c r="M1019" s="440" t="n">
        <x:f>IF(AND(ISNUMBER(D1019),ISNUMBER(K1019)),D1019+K1019,"")</x:f>
        <x:v>0</x:v>
      </x:c>
      <x:c r="N1019" s="440" t="n">
        <x:f>IF(AND(ISNUMBER(H1019),ISNUMBER(L1019)),H1019+L1019,"")</x:f>
        <x:v>0</x:v>
      </x:c>
    </x:row>
    <x:row r="1020" ht="22" customHeight="1">
      <x:c r="A1020" s="254" t="n">
        <x:f>620</x:f>
        <x:v>620</x:v>
      </x:c>
      <x:c r="B1020" s="440" t="n">
        <x:f>IF(ISNUMBER(H1019),H1019,"")</x:f>
        <x:v>0</x:v>
      </x:c>
      <x:c r="C1020" s="442" t="n">
        <x:f>IF(ISNUMBER(B1020),IF(AND(620&gt;$B$173,$B$78="Refinance",ISNUMBER($B$80),$B$80&gt;=0,$B$80&lt;=1,ROUND($B$81*12,0)&gt;=1,$B$81&lt;=100,SUM($B$82)&gt;=0,SUM($B$82)&lt;=1,SUM($B$83)&gt;=0),$B$80,IF(AND($B$175&gt;0,620&gt;$B$175,ISNUMBER($B$75)),$B$75,$B$61)),"")</x:f>
        <x:v>0.0625</x:v>
      </x:c>
      <x:c r="D1020" s="440" t="n">
        <x:f>IF(AND(ISNUMBER(B1020),B1020=0),0,IF(AND($B$171=1,I1019=0,ISNUMBER(C1020),ISNUMBER(IF(AND(620&lt;=$B$174,620&lt;=$B$173),B1020*C1020/12,IF(AND(620=$B$173+1,AND(620&gt;$B$173,$B$78="Refinance",ISNUMBER($B$80),$B$80&gt;=0,$B$80&lt;=1,ROUND($B$81*12,0)&gt;=1,$B$81&lt;=100,SUM($B$82)&gt;=0,SUM($B$82)&lt;=1,SUM($B$83)&gt;=0)),IF(B1020=0,0,IF(C1020=0,B1020/ROUND($B$81*12,0),B1020*(C1020/12)/(1-(1+C1020/12)^(-ROUND($B$81*12,0))))),IF(AND(NOT(AND(620&gt;$B$173,$B$78="Refinance",ISNUMBER($B$80),$B$80&gt;=0,$B$80&lt;=1,ROUND($B$81*12,0)&gt;=1,$B$81&lt;=100,SUM($B$82)&gt;=0,SUM($B$82)&lt;=1,SUM($B$83)&gt;=0)),OR(620=1,620=$B$174+1,AND($B$175&gt;0,620=$B$175+1))),IF(AND($B$170=1,$B$66&gt;0,OR($B$175=0,620&lt;=$B$175)),$B$66,IF($B$172-MAX(620-1,$B$174)&gt;0,IF(B1020=0,0,IF(C1020=0,B1020/($B$172-MAX(620-1,$B$174)),B1020*(C1020/12)/(1-(1+C1020/12)^(-($B$172-MAX(620-1,$B$174)))))),"")),D1019))))),IF(IF(AND(620&lt;=$B$174,620&lt;=$B$173),B1020*C1020/12,IF(AND(620=$B$173+1,AND(620&gt;$B$173,$B$78="Refinance",ISNUMBER($B$80),$B$80&gt;=0,$B$80&lt;=1,ROUND($B$81*12,0)&gt;=1,$B$81&lt;=100,SUM($B$82)&gt;=0,SUM($B$82)&lt;=1,SUM($B$83)&gt;=0)),IF(B1020=0,0,IF(C1020=0,B1020/ROUND($B$81*12,0),B1020*(C1020/12)/(1-(1+C1020/12)^(-ROUND($B$81*12,0))))),IF(AND(NOT(AND(620&gt;$B$173,$B$78="Refinance",ISNUMBER($B$80),$B$80&gt;=0,$B$80&lt;=1,ROUND($B$81*12,0)&gt;=1,$B$81&lt;=100,SUM($B$82)&gt;=0,SUM($B$82)&lt;=1,SUM($B$83)&gt;=0)),OR(620=1,620=$B$174+1,AND($B$175&gt;0,620=$B$175+1))),IF(AND($B$170=1,$B$66&gt;0,OR($B$175=0,620&lt;=$B$175)),$B$66,IF($B$172-MAX(620-1,$B$174)&gt;0,IF(B1020=0,0,IF(C1020=0,B1020/($B$172-MAX(620-1,$B$174)),B1020*(C1020/12)/(1-(1+C1020/12)^(-($B$172-MAX(620-1,$B$174)))))),"")),D1019)))+0.0000001&gt;=B1020*C1020/12,MIN(B1020*(1+C1020/12),IF(AND(620&lt;=$B$174,620&lt;=$B$173),B1020*C1020/12,IF(AND(620=$B$173+1,AND(620&gt;$B$173,$B$78="Refinance",ISNUMBER($B$80),$B$80&gt;=0,$B$80&lt;=1,ROUND($B$81*12,0)&gt;=1,$B$81&lt;=100,SUM($B$82)&gt;=0,SUM($B$82)&lt;=1,SUM($B$83)&gt;=0)),IF(B1020=0,0,IF(C1020=0,B1020/ROUND($B$81*12,0),B1020*(C1020/12)/(1-(1+C1020/12)^(-ROUND($B$81*12,0))))),IF(AND(NOT(AND(620&gt;$B$173,$B$78="Refinance",ISNUMBER($B$80),$B$80&gt;=0,$B$80&lt;=1,ROUND($B$81*12,0)&gt;=1,$B$81&lt;=100,SUM($B$82)&gt;=0,SUM($B$82)&lt;=1,SUM($B$83)&gt;=0)),OR(620=1,620=$B$174+1,AND($B$175&gt;0,620=$B$175+1))),IF(AND($B$170=1,$B$66&gt;0,OR($B$175=0,620&lt;=$B$175)),$B$66,IF($B$172-MAX(620-1,$B$174)&gt;0,IF(B1020=0,0,IF(C1020=0,B1020/($B$172-MAX(620-1,$B$174)),B1020*(C1020/12)/(1-(1+C1020/12)^(-($B$172-MAX(620-1,$B$174)))))),"")),D1019)))),""),""))</x:f>
        <x:v>0</x:v>
      </x:c>
      <x:c r="E1020" s="440" t="n">
        <x:f>IF(AND(620=$B$173,ISNUMBER(D1020)),IF(MAX(0,B1020*(1+C1020/12)-D1020)&lt;MAX(0.0000001,$E$17*0.00000000001),0,MAX(0,B1020*(1+C1020/12)-D1020)),0)</x:f>
        <x:v>0</x:v>
      </x:c>
      <x:c r="F1020" s="440" t="n">
        <x:f>IF($B$78="Cash payoff",E1020,0)</x:f>
        <x:v>0</x:v>
      </x:c>
      <x:c r="G1020" s="440" t="n">
        <x:f>IF(AND(E1020&gt;0,AND($B$78="Refinance",ISNUMBER($B$80),$B$80&gt;=0,$B$80&lt;=1,ROUND($B$81*12,0)&gt;=1,$B$81&lt;=100,SUM($B$82)&gt;=0,SUM($B$82)&lt;=1,SUM($B$83)&gt;=0)),E1020*SUM($B$82)+SUM($B$83),0)</x:f>
        <x:v>0</x:v>
      </x:c>
      <x:c r="H1020" s="440" t="n">
        <x:f>IF(ISNUMBER(D1020),IF(MAX(0,B1020*(1+C1020/12)-D1020-F1020)&lt;MAX(0.0000001,$E$17*0.00000000001),0,MAX(0,B1020*(1+C1020/12)-D1020-F1020)),IF(AND($B$171=1,I1019=1),B1020,""))</x:f>
        <x:v>0</x:v>
      </x:c>
      <x:c r="I1020" s="444" t="n">
        <x:f>IF(OR(I1019=1,AND(E1020&gt;0,$B$78&lt;&gt;"Cash payoff",NOT(AND($B$78="Refinance",ISNUMBER($B$80),$B$80&gt;=0,$B$80&lt;=1,ROUND($B$81*12,0)&gt;=1,$B$81&lt;=100,SUM($B$82)&gt;=0,SUM($B$82)&lt;=1,SUM($B$83)&gt;=0))),AND(ISNUMBER(B1020),B1020&gt;0,$B$171=1,NOT(ISNUMBER(D1020)))),1,0)</x:f>
        <x:v>0</x:v>
      </x:c>
      <x:c r="J1020" s="440" t="n">
        <x:f>IF(ISNUMBER(L1019),L1019,"")</x:f>
        <x:v>0</x:v>
      </x:c>
      <x:c r="K1020" s="440" t="n">
        <x:f>IF(AND(ISNUMBER(J1020),J1020=0),0,IF(AND($B$176=1,ISNUMBER(J1020)),MIN(J1020*(1+$B$87/12),IF($B$86=0,0,IF($B$87=0,$B$86/ROUND($B$88*12,0),$B$86*($B$87/12)/(1-(1+$B$87/12)^(-ROUND($B$88*12,0)))))),""))</x:f>
        <x:v>0</x:v>
      </x:c>
      <x:c r="L1020" s="440" t="n">
        <x:f>IF(ISNUMBER(K1020),IF(MAX(0,J1020*(1+SUM($B$87)/12)-K1020)&lt;MAX(0.0000001,$B$86*0.00000000001),0,MAX(0,J1020*(1+SUM($B$87)/12)-K1020)),"")</x:f>
        <x:v>0</x:v>
      </x:c>
      <x:c r="M1020" s="440" t="n">
        <x:f>IF(AND(ISNUMBER(D1020),ISNUMBER(K1020)),D1020+K1020,"")</x:f>
        <x:v>0</x:v>
      </x:c>
      <x:c r="N1020" s="440" t="n">
        <x:f>IF(AND(ISNUMBER(H1020),ISNUMBER(L1020)),H1020+L1020,"")</x:f>
        <x:v>0</x:v>
      </x:c>
    </x:row>
    <x:row r="1021" ht="22" customHeight="1">
      <x:c r="A1021" s="254" t="n">
        <x:f>621</x:f>
        <x:v>621</x:v>
      </x:c>
      <x:c r="B1021" s="440" t="n">
        <x:f>IF(ISNUMBER(H1020),H1020,"")</x:f>
        <x:v>0</x:v>
      </x:c>
      <x:c r="C1021" s="442" t="n">
        <x:f>IF(ISNUMBER(B1021),IF(AND(621&gt;$B$173,$B$78="Refinance",ISNUMBER($B$80),$B$80&gt;=0,$B$80&lt;=1,ROUND($B$81*12,0)&gt;=1,$B$81&lt;=100,SUM($B$82)&gt;=0,SUM($B$82)&lt;=1,SUM($B$83)&gt;=0),$B$80,IF(AND($B$175&gt;0,621&gt;$B$175,ISNUMBER($B$75)),$B$75,$B$61)),"")</x:f>
        <x:v>0.0625</x:v>
      </x:c>
      <x:c r="D1021" s="440" t="n">
        <x:f>IF(AND(ISNUMBER(B1021),B1021=0),0,IF(AND($B$171=1,I1020=0,ISNUMBER(C1021),ISNUMBER(IF(AND(621&lt;=$B$174,621&lt;=$B$173),B1021*C1021/12,IF(AND(621=$B$173+1,AND(621&gt;$B$173,$B$78="Refinance",ISNUMBER($B$80),$B$80&gt;=0,$B$80&lt;=1,ROUND($B$81*12,0)&gt;=1,$B$81&lt;=100,SUM($B$82)&gt;=0,SUM($B$82)&lt;=1,SUM($B$83)&gt;=0)),IF(B1021=0,0,IF(C1021=0,B1021/ROUND($B$81*12,0),B1021*(C1021/12)/(1-(1+C1021/12)^(-ROUND($B$81*12,0))))),IF(AND(NOT(AND(621&gt;$B$173,$B$78="Refinance",ISNUMBER($B$80),$B$80&gt;=0,$B$80&lt;=1,ROUND($B$81*12,0)&gt;=1,$B$81&lt;=100,SUM($B$82)&gt;=0,SUM($B$82)&lt;=1,SUM($B$83)&gt;=0)),OR(621=1,621=$B$174+1,AND($B$175&gt;0,621=$B$175+1))),IF(AND($B$170=1,$B$66&gt;0,OR($B$175=0,621&lt;=$B$175)),$B$66,IF($B$172-MAX(621-1,$B$174)&gt;0,IF(B1021=0,0,IF(C1021=0,B1021/($B$172-MAX(621-1,$B$174)),B1021*(C1021/12)/(1-(1+C1021/12)^(-($B$172-MAX(621-1,$B$174)))))),"")),D1020))))),IF(IF(AND(621&lt;=$B$174,621&lt;=$B$173),B1021*C1021/12,IF(AND(621=$B$173+1,AND(621&gt;$B$173,$B$78="Refinance",ISNUMBER($B$80),$B$80&gt;=0,$B$80&lt;=1,ROUND($B$81*12,0)&gt;=1,$B$81&lt;=100,SUM($B$82)&gt;=0,SUM($B$82)&lt;=1,SUM($B$83)&gt;=0)),IF(B1021=0,0,IF(C1021=0,B1021/ROUND($B$81*12,0),B1021*(C1021/12)/(1-(1+C1021/12)^(-ROUND($B$81*12,0))))),IF(AND(NOT(AND(621&gt;$B$173,$B$78="Refinance",ISNUMBER($B$80),$B$80&gt;=0,$B$80&lt;=1,ROUND($B$81*12,0)&gt;=1,$B$81&lt;=100,SUM($B$82)&gt;=0,SUM($B$82)&lt;=1,SUM($B$83)&gt;=0)),OR(621=1,621=$B$174+1,AND($B$175&gt;0,621=$B$175+1))),IF(AND($B$170=1,$B$66&gt;0,OR($B$175=0,621&lt;=$B$175)),$B$66,IF($B$172-MAX(621-1,$B$174)&gt;0,IF(B1021=0,0,IF(C1021=0,B1021/($B$172-MAX(621-1,$B$174)),B1021*(C1021/12)/(1-(1+C1021/12)^(-($B$172-MAX(621-1,$B$174)))))),"")),D1020)))+0.0000001&gt;=B1021*C1021/12,MIN(B1021*(1+C1021/12),IF(AND(621&lt;=$B$174,621&lt;=$B$173),B1021*C1021/12,IF(AND(621=$B$173+1,AND(621&gt;$B$173,$B$78="Refinance",ISNUMBER($B$80),$B$80&gt;=0,$B$80&lt;=1,ROUND($B$81*12,0)&gt;=1,$B$81&lt;=100,SUM($B$82)&gt;=0,SUM($B$82)&lt;=1,SUM($B$83)&gt;=0)),IF(B1021=0,0,IF(C1021=0,B1021/ROUND($B$81*12,0),B1021*(C1021/12)/(1-(1+C1021/12)^(-ROUND($B$81*12,0))))),IF(AND(NOT(AND(621&gt;$B$173,$B$78="Refinance",ISNUMBER($B$80),$B$80&gt;=0,$B$80&lt;=1,ROUND($B$81*12,0)&gt;=1,$B$81&lt;=100,SUM($B$82)&gt;=0,SUM($B$82)&lt;=1,SUM($B$83)&gt;=0)),OR(621=1,621=$B$174+1,AND($B$175&gt;0,621=$B$175+1))),IF(AND($B$170=1,$B$66&gt;0,OR($B$175=0,621&lt;=$B$175)),$B$66,IF($B$172-MAX(621-1,$B$174)&gt;0,IF(B1021=0,0,IF(C1021=0,B1021/($B$172-MAX(621-1,$B$174)),B1021*(C1021/12)/(1-(1+C1021/12)^(-($B$172-MAX(621-1,$B$174)))))),"")),D1020)))),""),""))</x:f>
        <x:v>0</x:v>
      </x:c>
      <x:c r="E1021" s="440" t="n">
        <x:f>IF(AND(621=$B$173,ISNUMBER(D1021)),IF(MAX(0,B1021*(1+C1021/12)-D1021)&lt;MAX(0.0000001,$E$17*0.00000000001),0,MAX(0,B1021*(1+C1021/12)-D1021)),0)</x:f>
        <x:v>0</x:v>
      </x:c>
      <x:c r="F1021" s="440" t="n">
        <x:f>IF($B$78="Cash payoff",E1021,0)</x:f>
        <x:v>0</x:v>
      </x:c>
      <x:c r="G1021" s="440" t="n">
        <x:f>IF(AND(E1021&gt;0,AND($B$78="Refinance",ISNUMBER($B$80),$B$80&gt;=0,$B$80&lt;=1,ROUND($B$81*12,0)&gt;=1,$B$81&lt;=100,SUM($B$82)&gt;=0,SUM($B$82)&lt;=1,SUM($B$83)&gt;=0)),E1021*SUM($B$82)+SUM($B$83),0)</x:f>
        <x:v>0</x:v>
      </x:c>
      <x:c r="H1021" s="440" t="n">
        <x:f>IF(ISNUMBER(D1021),IF(MAX(0,B1021*(1+C1021/12)-D1021-F1021)&lt;MAX(0.0000001,$E$17*0.00000000001),0,MAX(0,B1021*(1+C1021/12)-D1021-F1021)),IF(AND($B$171=1,I1020=1),B1021,""))</x:f>
        <x:v>0</x:v>
      </x:c>
      <x:c r="I1021" s="444" t="n">
        <x:f>IF(OR(I1020=1,AND(E1021&gt;0,$B$78&lt;&gt;"Cash payoff",NOT(AND($B$78="Refinance",ISNUMBER($B$80),$B$80&gt;=0,$B$80&lt;=1,ROUND($B$81*12,0)&gt;=1,$B$81&lt;=100,SUM($B$82)&gt;=0,SUM($B$82)&lt;=1,SUM($B$83)&gt;=0))),AND(ISNUMBER(B1021),B1021&gt;0,$B$171=1,NOT(ISNUMBER(D1021)))),1,0)</x:f>
        <x:v>0</x:v>
      </x:c>
      <x:c r="J1021" s="440" t="n">
        <x:f>IF(ISNUMBER(L1020),L1020,"")</x:f>
        <x:v>0</x:v>
      </x:c>
      <x:c r="K1021" s="440" t="n">
        <x:f>IF(AND(ISNUMBER(J1021),J1021=0),0,IF(AND($B$176=1,ISNUMBER(J1021)),MIN(J1021*(1+$B$87/12),IF($B$86=0,0,IF($B$87=0,$B$86/ROUND($B$88*12,0),$B$86*($B$87/12)/(1-(1+$B$87/12)^(-ROUND($B$88*12,0)))))),""))</x:f>
        <x:v>0</x:v>
      </x:c>
      <x:c r="L1021" s="440" t="n">
        <x:f>IF(ISNUMBER(K1021),IF(MAX(0,J1021*(1+SUM($B$87)/12)-K1021)&lt;MAX(0.0000001,$B$86*0.00000000001),0,MAX(0,J1021*(1+SUM($B$87)/12)-K1021)),"")</x:f>
        <x:v>0</x:v>
      </x:c>
      <x:c r="M1021" s="440" t="n">
        <x:f>IF(AND(ISNUMBER(D1021),ISNUMBER(K1021)),D1021+K1021,"")</x:f>
        <x:v>0</x:v>
      </x:c>
      <x:c r="N1021" s="440" t="n">
        <x:f>IF(AND(ISNUMBER(H1021),ISNUMBER(L1021)),H1021+L1021,"")</x:f>
        <x:v>0</x:v>
      </x:c>
    </x:row>
    <x:row r="1022" ht="22" customHeight="1">
      <x:c r="A1022" s="254" t="n">
        <x:f>622</x:f>
        <x:v>622</x:v>
      </x:c>
      <x:c r="B1022" s="440" t="n">
        <x:f>IF(ISNUMBER(H1021),H1021,"")</x:f>
        <x:v>0</x:v>
      </x:c>
      <x:c r="C1022" s="442" t="n">
        <x:f>IF(ISNUMBER(B1022),IF(AND(622&gt;$B$173,$B$78="Refinance",ISNUMBER($B$80),$B$80&gt;=0,$B$80&lt;=1,ROUND($B$81*12,0)&gt;=1,$B$81&lt;=100,SUM($B$82)&gt;=0,SUM($B$82)&lt;=1,SUM($B$83)&gt;=0),$B$80,IF(AND($B$175&gt;0,622&gt;$B$175,ISNUMBER($B$75)),$B$75,$B$61)),"")</x:f>
        <x:v>0.0625</x:v>
      </x:c>
      <x:c r="D1022" s="440" t="n">
        <x:f>IF(AND(ISNUMBER(B1022),B1022=0),0,IF(AND($B$171=1,I1021=0,ISNUMBER(C1022),ISNUMBER(IF(AND(622&lt;=$B$174,622&lt;=$B$173),B1022*C1022/12,IF(AND(622=$B$173+1,AND(622&gt;$B$173,$B$78="Refinance",ISNUMBER($B$80),$B$80&gt;=0,$B$80&lt;=1,ROUND($B$81*12,0)&gt;=1,$B$81&lt;=100,SUM($B$82)&gt;=0,SUM($B$82)&lt;=1,SUM($B$83)&gt;=0)),IF(B1022=0,0,IF(C1022=0,B1022/ROUND($B$81*12,0),B1022*(C1022/12)/(1-(1+C1022/12)^(-ROUND($B$81*12,0))))),IF(AND(NOT(AND(622&gt;$B$173,$B$78="Refinance",ISNUMBER($B$80),$B$80&gt;=0,$B$80&lt;=1,ROUND($B$81*12,0)&gt;=1,$B$81&lt;=100,SUM($B$82)&gt;=0,SUM($B$82)&lt;=1,SUM($B$83)&gt;=0)),OR(622=1,622=$B$174+1,AND($B$175&gt;0,622=$B$175+1))),IF(AND($B$170=1,$B$66&gt;0,OR($B$175=0,622&lt;=$B$175)),$B$66,IF($B$172-MAX(622-1,$B$174)&gt;0,IF(B1022=0,0,IF(C1022=0,B1022/($B$172-MAX(622-1,$B$174)),B1022*(C1022/12)/(1-(1+C1022/12)^(-($B$172-MAX(622-1,$B$174)))))),"")),D1021))))),IF(IF(AND(622&lt;=$B$174,622&lt;=$B$173),B1022*C1022/12,IF(AND(622=$B$173+1,AND(622&gt;$B$173,$B$78="Refinance",ISNUMBER($B$80),$B$80&gt;=0,$B$80&lt;=1,ROUND($B$81*12,0)&gt;=1,$B$81&lt;=100,SUM($B$82)&gt;=0,SUM($B$82)&lt;=1,SUM($B$83)&gt;=0)),IF(B1022=0,0,IF(C1022=0,B1022/ROUND($B$81*12,0),B1022*(C1022/12)/(1-(1+C1022/12)^(-ROUND($B$81*12,0))))),IF(AND(NOT(AND(622&gt;$B$173,$B$78="Refinance",ISNUMBER($B$80),$B$80&gt;=0,$B$80&lt;=1,ROUND($B$81*12,0)&gt;=1,$B$81&lt;=100,SUM($B$82)&gt;=0,SUM($B$82)&lt;=1,SUM($B$83)&gt;=0)),OR(622=1,622=$B$174+1,AND($B$175&gt;0,622=$B$175+1))),IF(AND($B$170=1,$B$66&gt;0,OR($B$175=0,622&lt;=$B$175)),$B$66,IF($B$172-MAX(622-1,$B$174)&gt;0,IF(B1022=0,0,IF(C1022=0,B1022/($B$172-MAX(622-1,$B$174)),B1022*(C1022/12)/(1-(1+C1022/12)^(-($B$172-MAX(622-1,$B$174)))))),"")),D1021)))+0.0000001&gt;=B1022*C1022/12,MIN(B1022*(1+C1022/12),IF(AND(622&lt;=$B$174,622&lt;=$B$173),B1022*C1022/12,IF(AND(622=$B$173+1,AND(622&gt;$B$173,$B$78="Refinance",ISNUMBER($B$80),$B$80&gt;=0,$B$80&lt;=1,ROUND($B$81*12,0)&gt;=1,$B$81&lt;=100,SUM($B$82)&gt;=0,SUM($B$82)&lt;=1,SUM($B$83)&gt;=0)),IF(B1022=0,0,IF(C1022=0,B1022/ROUND($B$81*12,0),B1022*(C1022/12)/(1-(1+C1022/12)^(-ROUND($B$81*12,0))))),IF(AND(NOT(AND(622&gt;$B$173,$B$78="Refinance",ISNUMBER($B$80),$B$80&gt;=0,$B$80&lt;=1,ROUND($B$81*12,0)&gt;=1,$B$81&lt;=100,SUM($B$82)&gt;=0,SUM($B$82)&lt;=1,SUM($B$83)&gt;=0)),OR(622=1,622=$B$174+1,AND($B$175&gt;0,622=$B$175+1))),IF(AND($B$170=1,$B$66&gt;0,OR($B$175=0,622&lt;=$B$175)),$B$66,IF($B$172-MAX(622-1,$B$174)&gt;0,IF(B1022=0,0,IF(C1022=0,B1022/($B$172-MAX(622-1,$B$174)),B1022*(C1022/12)/(1-(1+C1022/12)^(-($B$172-MAX(622-1,$B$174)))))),"")),D1021)))),""),""))</x:f>
        <x:v>0</x:v>
      </x:c>
      <x:c r="E1022" s="440" t="n">
        <x:f>IF(AND(622=$B$173,ISNUMBER(D1022)),IF(MAX(0,B1022*(1+C1022/12)-D1022)&lt;MAX(0.0000001,$E$17*0.00000000001),0,MAX(0,B1022*(1+C1022/12)-D1022)),0)</x:f>
        <x:v>0</x:v>
      </x:c>
      <x:c r="F1022" s="440" t="n">
        <x:f>IF($B$78="Cash payoff",E1022,0)</x:f>
        <x:v>0</x:v>
      </x:c>
      <x:c r="G1022" s="440" t="n">
        <x:f>IF(AND(E1022&gt;0,AND($B$78="Refinance",ISNUMBER($B$80),$B$80&gt;=0,$B$80&lt;=1,ROUND($B$81*12,0)&gt;=1,$B$81&lt;=100,SUM($B$82)&gt;=0,SUM($B$82)&lt;=1,SUM($B$83)&gt;=0)),E1022*SUM($B$82)+SUM($B$83),0)</x:f>
        <x:v>0</x:v>
      </x:c>
      <x:c r="H1022" s="440" t="n">
        <x:f>IF(ISNUMBER(D1022),IF(MAX(0,B1022*(1+C1022/12)-D1022-F1022)&lt;MAX(0.0000001,$E$17*0.00000000001),0,MAX(0,B1022*(1+C1022/12)-D1022-F1022)),IF(AND($B$171=1,I1021=1),B1022,""))</x:f>
        <x:v>0</x:v>
      </x:c>
      <x:c r="I1022" s="444" t="n">
        <x:f>IF(OR(I1021=1,AND(E1022&gt;0,$B$78&lt;&gt;"Cash payoff",NOT(AND($B$78="Refinance",ISNUMBER($B$80),$B$80&gt;=0,$B$80&lt;=1,ROUND($B$81*12,0)&gt;=1,$B$81&lt;=100,SUM($B$82)&gt;=0,SUM($B$82)&lt;=1,SUM($B$83)&gt;=0))),AND(ISNUMBER(B1022),B1022&gt;0,$B$171=1,NOT(ISNUMBER(D1022)))),1,0)</x:f>
        <x:v>0</x:v>
      </x:c>
      <x:c r="J1022" s="440" t="n">
        <x:f>IF(ISNUMBER(L1021),L1021,"")</x:f>
        <x:v>0</x:v>
      </x:c>
      <x:c r="K1022" s="440" t="n">
        <x:f>IF(AND(ISNUMBER(J1022),J1022=0),0,IF(AND($B$176=1,ISNUMBER(J1022)),MIN(J1022*(1+$B$87/12),IF($B$86=0,0,IF($B$87=0,$B$86/ROUND($B$88*12,0),$B$86*($B$87/12)/(1-(1+$B$87/12)^(-ROUND($B$88*12,0)))))),""))</x:f>
        <x:v>0</x:v>
      </x:c>
      <x:c r="L1022" s="440" t="n">
        <x:f>IF(ISNUMBER(K1022),IF(MAX(0,J1022*(1+SUM($B$87)/12)-K1022)&lt;MAX(0.0000001,$B$86*0.00000000001),0,MAX(0,J1022*(1+SUM($B$87)/12)-K1022)),"")</x:f>
        <x:v>0</x:v>
      </x:c>
      <x:c r="M1022" s="440" t="n">
        <x:f>IF(AND(ISNUMBER(D1022),ISNUMBER(K1022)),D1022+K1022,"")</x:f>
        <x:v>0</x:v>
      </x:c>
      <x:c r="N1022" s="440" t="n">
        <x:f>IF(AND(ISNUMBER(H1022),ISNUMBER(L1022)),H1022+L1022,"")</x:f>
        <x:v>0</x:v>
      </x:c>
    </x:row>
    <x:row r="1023" ht="22" customHeight="1">
      <x:c r="A1023" s="254" t="n">
        <x:f>623</x:f>
        <x:v>623</x:v>
      </x:c>
      <x:c r="B1023" s="440" t="n">
        <x:f>IF(ISNUMBER(H1022),H1022,"")</x:f>
        <x:v>0</x:v>
      </x:c>
      <x:c r="C1023" s="442" t="n">
        <x:f>IF(ISNUMBER(B1023),IF(AND(623&gt;$B$173,$B$78="Refinance",ISNUMBER($B$80),$B$80&gt;=0,$B$80&lt;=1,ROUND($B$81*12,0)&gt;=1,$B$81&lt;=100,SUM($B$82)&gt;=0,SUM($B$82)&lt;=1,SUM($B$83)&gt;=0),$B$80,IF(AND($B$175&gt;0,623&gt;$B$175,ISNUMBER($B$75)),$B$75,$B$61)),"")</x:f>
        <x:v>0.0625</x:v>
      </x:c>
      <x:c r="D1023" s="440" t="n">
        <x:f>IF(AND(ISNUMBER(B1023),B1023=0),0,IF(AND($B$171=1,I1022=0,ISNUMBER(C1023),ISNUMBER(IF(AND(623&lt;=$B$174,623&lt;=$B$173),B1023*C1023/12,IF(AND(623=$B$173+1,AND(623&gt;$B$173,$B$78="Refinance",ISNUMBER($B$80),$B$80&gt;=0,$B$80&lt;=1,ROUND($B$81*12,0)&gt;=1,$B$81&lt;=100,SUM($B$82)&gt;=0,SUM($B$82)&lt;=1,SUM($B$83)&gt;=0)),IF(B1023=0,0,IF(C1023=0,B1023/ROUND($B$81*12,0),B1023*(C1023/12)/(1-(1+C1023/12)^(-ROUND($B$81*12,0))))),IF(AND(NOT(AND(623&gt;$B$173,$B$78="Refinance",ISNUMBER($B$80),$B$80&gt;=0,$B$80&lt;=1,ROUND($B$81*12,0)&gt;=1,$B$81&lt;=100,SUM($B$82)&gt;=0,SUM($B$82)&lt;=1,SUM($B$83)&gt;=0)),OR(623=1,623=$B$174+1,AND($B$175&gt;0,623=$B$175+1))),IF(AND($B$170=1,$B$66&gt;0,OR($B$175=0,623&lt;=$B$175)),$B$66,IF($B$172-MAX(623-1,$B$174)&gt;0,IF(B1023=0,0,IF(C1023=0,B1023/($B$172-MAX(623-1,$B$174)),B1023*(C1023/12)/(1-(1+C1023/12)^(-($B$172-MAX(623-1,$B$174)))))),"")),D1022))))),IF(IF(AND(623&lt;=$B$174,623&lt;=$B$173),B1023*C1023/12,IF(AND(623=$B$173+1,AND(623&gt;$B$173,$B$78="Refinance",ISNUMBER($B$80),$B$80&gt;=0,$B$80&lt;=1,ROUND($B$81*12,0)&gt;=1,$B$81&lt;=100,SUM($B$82)&gt;=0,SUM($B$82)&lt;=1,SUM($B$83)&gt;=0)),IF(B1023=0,0,IF(C1023=0,B1023/ROUND($B$81*12,0),B1023*(C1023/12)/(1-(1+C1023/12)^(-ROUND($B$81*12,0))))),IF(AND(NOT(AND(623&gt;$B$173,$B$78="Refinance",ISNUMBER($B$80),$B$80&gt;=0,$B$80&lt;=1,ROUND($B$81*12,0)&gt;=1,$B$81&lt;=100,SUM($B$82)&gt;=0,SUM($B$82)&lt;=1,SUM($B$83)&gt;=0)),OR(623=1,623=$B$174+1,AND($B$175&gt;0,623=$B$175+1))),IF(AND($B$170=1,$B$66&gt;0,OR($B$175=0,623&lt;=$B$175)),$B$66,IF($B$172-MAX(623-1,$B$174)&gt;0,IF(B1023=0,0,IF(C1023=0,B1023/($B$172-MAX(623-1,$B$174)),B1023*(C1023/12)/(1-(1+C1023/12)^(-($B$172-MAX(623-1,$B$174)))))),"")),D1022)))+0.0000001&gt;=B1023*C1023/12,MIN(B1023*(1+C1023/12),IF(AND(623&lt;=$B$174,623&lt;=$B$173),B1023*C1023/12,IF(AND(623=$B$173+1,AND(623&gt;$B$173,$B$78="Refinance",ISNUMBER($B$80),$B$80&gt;=0,$B$80&lt;=1,ROUND($B$81*12,0)&gt;=1,$B$81&lt;=100,SUM($B$82)&gt;=0,SUM($B$82)&lt;=1,SUM($B$83)&gt;=0)),IF(B1023=0,0,IF(C1023=0,B1023/ROUND($B$81*12,0),B1023*(C1023/12)/(1-(1+C1023/12)^(-ROUND($B$81*12,0))))),IF(AND(NOT(AND(623&gt;$B$173,$B$78="Refinance",ISNUMBER($B$80),$B$80&gt;=0,$B$80&lt;=1,ROUND($B$81*12,0)&gt;=1,$B$81&lt;=100,SUM($B$82)&gt;=0,SUM($B$82)&lt;=1,SUM($B$83)&gt;=0)),OR(623=1,623=$B$174+1,AND($B$175&gt;0,623=$B$175+1))),IF(AND($B$170=1,$B$66&gt;0,OR($B$175=0,623&lt;=$B$175)),$B$66,IF($B$172-MAX(623-1,$B$174)&gt;0,IF(B1023=0,0,IF(C1023=0,B1023/($B$172-MAX(623-1,$B$174)),B1023*(C1023/12)/(1-(1+C1023/12)^(-($B$172-MAX(623-1,$B$174)))))),"")),D1022)))),""),""))</x:f>
        <x:v>0</x:v>
      </x:c>
      <x:c r="E1023" s="440" t="n">
        <x:f>IF(AND(623=$B$173,ISNUMBER(D1023)),IF(MAX(0,B1023*(1+C1023/12)-D1023)&lt;MAX(0.0000001,$E$17*0.00000000001),0,MAX(0,B1023*(1+C1023/12)-D1023)),0)</x:f>
        <x:v>0</x:v>
      </x:c>
      <x:c r="F1023" s="440" t="n">
        <x:f>IF($B$78="Cash payoff",E1023,0)</x:f>
        <x:v>0</x:v>
      </x:c>
      <x:c r="G1023" s="440" t="n">
        <x:f>IF(AND(E1023&gt;0,AND($B$78="Refinance",ISNUMBER($B$80),$B$80&gt;=0,$B$80&lt;=1,ROUND($B$81*12,0)&gt;=1,$B$81&lt;=100,SUM($B$82)&gt;=0,SUM($B$82)&lt;=1,SUM($B$83)&gt;=0)),E1023*SUM($B$82)+SUM($B$83),0)</x:f>
        <x:v>0</x:v>
      </x:c>
      <x:c r="H1023" s="440" t="n">
        <x:f>IF(ISNUMBER(D1023),IF(MAX(0,B1023*(1+C1023/12)-D1023-F1023)&lt;MAX(0.0000001,$E$17*0.00000000001),0,MAX(0,B1023*(1+C1023/12)-D1023-F1023)),IF(AND($B$171=1,I1022=1),B1023,""))</x:f>
        <x:v>0</x:v>
      </x:c>
      <x:c r="I1023" s="444" t="n">
        <x:f>IF(OR(I1022=1,AND(E1023&gt;0,$B$78&lt;&gt;"Cash payoff",NOT(AND($B$78="Refinance",ISNUMBER($B$80),$B$80&gt;=0,$B$80&lt;=1,ROUND($B$81*12,0)&gt;=1,$B$81&lt;=100,SUM($B$82)&gt;=0,SUM($B$82)&lt;=1,SUM($B$83)&gt;=0))),AND(ISNUMBER(B1023),B1023&gt;0,$B$171=1,NOT(ISNUMBER(D1023)))),1,0)</x:f>
        <x:v>0</x:v>
      </x:c>
      <x:c r="J1023" s="440" t="n">
        <x:f>IF(ISNUMBER(L1022),L1022,"")</x:f>
        <x:v>0</x:v>
      </x:c>
      <x:c r="K1023" s="440" t="n">
        <x:f>IF(AND(ISNUMBER(J1023),J1023=0),0,IF(AND($B$176=1,ISNUMBER(J1023)),MIN(J1023*(1+$B$87/12),IF($B$86=0,0,IF($B$87=0,$B$86/ROUND($B$88*12,0),$B$86*($B$87/12)/(1-(1+$B$87/12)^(-ROUND($B$88*12,0)))))),""))</x:f>
        <x:v>0</x:v>
      </x:c>
      <x:c r="L1023" s="440" t="n">
        <x:f>IF(ISNUMBER(K1023),IF(MAX(0,J1023*(1+SUM($B$87)/12)-K1023)&lt;MAX(0.0000001,$B$86*0.00000000001),0,MAX(0,J1023*(1+SUM($B$87)/12)-K1023)),"")</x:f>
        <x:v>0</x:v>
      </x:c>
      <x:c r="M1023" s="440" t="n">
        <x:f>IF(AND(ISNUMBER(D1023),ISNUMBER(K1023)),D1023+K1023,"")</x:f>
        <x:v>0</x:v>
      </x:c>
      <x:c r="N1023" s="440" t="n">
        <x:f>IF(AND(ISNUMBER(H1023),ISNUMBER(L1023)),H1023+L1023,"")</x:f>
        <x:v>0</x:v>
      </x:c>
    </x:row>
    <x:row r="1024" ht="22" customHeight="1">
      <x:c r="A1024" s="254" t="n">
        <x:f>624</x:f>
        <x:v>624</x:v>
      </x:c>
      <x:c r="B1024" s="440" t="n">
        <x:f>IF(ISNUMBER(H1023),H1023,"")</x:f>
        <x:v>0</x:v>
      </x:c>
      <x:c r="C1024" s="442" t="n">
        <x:f>IF(ISNUMBER(B1024),IF(AND(624&gt;$B$173,$B$78="Refinance",ISNUMBER($B$80),$B$80&gt;=0,$B$80&lt;=1,ROUND($B$81*12,0)&gt;=1,$B$81&lt;=100,SUM($B$82)&gt;=0,SUM($B$82)&lt;=1,SUM($B$83)&gt;=0),$B$80,IF(AND($B$175&gt;0,624&gt;$B$175,ISNUMBER($B$75)),$B$75,$B$61)),"")</x:f>
        <x:v>0.0625</x:v>
      </x:c>
      <x:c r="D1024" s="440" t="n">
        <x:f>IF(AND(ISNUMBER(B1024),B1024=0),0,IF(AND($B$171=1,I1023=0,ISNUMBER(C1024),ISNUMBER(IF(AND(624&lt;=$B$174,624&lt;=$B$173),B1024*C1024/12,IF(AND(624=$B$173+1,AND(624&gt;$B$173,$B$78="Refinance",ISNUMBER($B$80),$B$80&gt;=0,$B$80&lt;=1,ROUND($B$81*12,0)&gt;=1,$B$81&lt;=100,SUM($B$82)&gt;=0,SUM($B$82)&lt;=1,SUM($B$83)&gt;=0)),IF(B1024=0,0,IF(C1024=0,B1024/ROUND($B$81*12,0),B1024*(C1024/12)/(1-(1+C1024/12)^(-ROUND($B$81*12,0))))),IF(AND(NOT(AND(624&gt;$B$173,$B$78="Refinance",ISNUMBER($B$80),$B$80&gt;=0,$B$80&lt;=1,ROUND($B$81*12,0)&gt;=1,$B$81&lt;=100,SUM($B$82)&gt;=0,SUM($B$82)&lt;=1,SUM($B$83)&gt;=0)),OR(624=1,624=$B$174+1,AND($B$175&gt;0,624=$B$175+1))),IF(AND($B$170=1,$B$66&gt;0,OR($B$175=0,624&lt;=$B$175)),$B$66,IF($B$172-MAX(624-1,$B$174)&gt;0,IF(B1024=0,0,IF(C1024=0,B1024/($B$172-MAX(624-1,$B$174)),B1024*(C1024/12)/(1-(1+C1024/12)^(-($B$172-MAX(624-1,$B$174)))))),"")),D1023))))),IF(IF(AND(624&lt;=$B$174,624&lt;=$B$173),B1024*C1024/12,IF(AND(624=$B$173+1,AND(624&gt;$B$173,$B$78="Refinance",ISNUMBER($B$80),$B$80&gt;=0,$B$80&lt;=1,ROUND($B$81*12,0)&gt;=1,$B$81&lt;=100,SUM($B$82)&gt;=0,SUM($B$82)&lt;=1,SUM($B$83)&gt;=0)),IF(B1024=0,0,IF(C1024=0,B1024/ROUND($B$81*12,0),B1024*(C1024/12)/(1-(1+C1024/12)^(-ROUND($B$81*12,0))))),IF(AND(NOT(AND(624&gt;$B$173,$B$78="Refinance",ISNUMBER($B$80),$B$80&gt;=0,$B$80&lt;=1,ROUND($B$81*12,0)&gt;=1,$B$81&lt;=100,SUM($B$82)&gt;=0,SUM($B$82)&lt;=1,SUM($B$83)&gt;=0)),OR(624=1,624=$B$174+1,AND($B$175&gt;0,624=$B$175+1))),IF(AND($B$170=1,$B$66&gt;0,OR($B$175=0,624&lt;=$B$175)),$B$66,IF($B$172-MAX(624-1,$B$174)&gt;0,IF(B1024=0,0,IF(C1024=0,B1024/($B$172-MAX(624-1,$B$174)),B1024*(C1024/12)/(1-(1+C1024/12)^(-($B$172-MAX(624-1,$B$174)))))),"")),D1023)))+0.0000001&gt;=B1024*C1024/12,MIN(B1024*(1+C1024/12),IF(AND(624&lt;=$B$174,624&lt;=$B$173),B1024*C1024/12,IF(AND(624=$B$173+1,AND(624&gt;$B$173,$B$78="Refinance",ISNUMBER($B$80),$B$80&gt;=0,$B$80&lt;=1,ROUND($B$81*12,0)&gt;=1,$B$81&lt;=100,SUM($B$82)&gt;=0,SUM($B$82)&lt;=1,SUM($B$83)&gt;=0)),IF(B1024=0,0,IF(C1024=0,B1024/ROUND($B$81*12,0),B1024*(C1024/12)/(1-(1+C1024/12)^(-ROUND($B$81*12,0))))),IF(AND(NOT(AND(624&gt;$B$173,$B$78="Refinance",ISNUMBER($B$80),$B$80&gt;=0,$B$80&lt;=1,ROUND($B$81*12,0)&gt;=1,$B$81&lt;=100,SUM($B$82)&gt;=0,SUM($B$82)&lt;=1,SUM($B$83)&gt;=0)),OR(624=1,624=$B$174+1,AND($B$175&gt;0,624=$B$175+1))),IF(AND($B$170=1,$B$66&gt;0,OR($B$175=0,624&lt;=$B$175)),$B$66,IF($B$172-MAX(624-1,$B$174)&gt;0,IF(B1024=0,0,IF(C1024=0,B1024/($B$172-MAX(624-1,$B$174)),B1024*(C1024/12)/(1-(1+C1024/12)^(-($B$172-MAX(624-1,$B$174)))))),"")),D1023)))),""),""))</x:f>
        <x:v>0</x:v>
      </x:c>
      <x:c r="E1024" s="440" t="n">
        <x:f>IF(AND(624=$B$173,ISNUMBER(D1024)),IF(MAX(0,B1024*(1+C1024/12)-D1024)&lt;MAX(0.0000001,$E$17*0.00000000001),0,MAX(0,B1024*(1+C1024/12)-D1024)),0)</x:f>
        <x:v>0</x:v>
      </x:c>
      <x:c r="F1024" s="440" t="n">
        <x:f>IF($B$78="Cash payoff",E1024,0)</x:f>
        <x:v>0</x:v>
      </x:c>
      <x:c r="G1024" s="440" t="n">
        <x:f>IF(AND(E1024&gt;0,AND($B$78="Refinance",ISNUMBER($B$80),$B$80&gt;=0,$B$80&lt;=1,ROUND($B$81*12,0)&gt;=1,$B$81&lt;=100,SUM($B$82)&gt;=0,SUM($B$82)&lt;=1,SUM($B$83)&gt;=0)),E1024*SUM($B$82)+SUM($B$83),0)</x:f>
        <x:v>0</x:v>
      </x:c>
      <x:c r="H1024" s="440" t="n">
        <x:f>IF(ISNUMBER(D1024),IF(MAX(0,B1024*(1+C1024/12)-D1024-F1024)&lt;MAX(0.0000001,$E$17*0.00000000001),0,MAX(0,B1024*(1+C1024/12)-D1024-F1024)),IF(AND($B$171=1,I1023=1),B1024,""))</x:f>
        <x:v>0</x:v>
      </x:c>
      <x:c r="I1024" s="444" t="n">
        <x:f>IF(OR(I1023=1,AND(E1024&gt;0,$B$78&lt;&gt;"Cash payoff",NOT(AND($B$78="Refinance",ISNUMBER($B$80),$B$80&gt;=0,$B$80&lt;=1,ROUND($B$81*12,0)&gt;=1,$B$81&lt;=100,SUM($B$82)&gt;=0,SUM($B$82)&lt;=1,SUM($B$83)&gt;=0))),AND(ISNUMBER(B1024),B1024&gt;0,$B$171=1,NOT(ISNUMBER(D1024)))),1,0)</x:f>
        <x:v>0</x:v>
      </x:c>
      <x:c r="J1024" s="440" t="n">
        <x:f>IF(ISNUMBER(L1023),L1023,"")</x:f>
        <x:v>0</x:v>
      </x:c>
      <x:c r="K1024" s="440" t="n">
        <x:f>IF(AND(ISNUMBER(J1024),J1024=0),0,IF(AND($B$176=1,ISNUMBER(J1024)),MIN(J1024*(1+$B$87/12),IF($B$86=0,0,IF($B$87=0,$B$86/ROUND($B$88*12,0),$B$86*($B$87/12)/(1-(1+$B$87/12)^(-ROUND($B$88*12,0)))))),""))</x:f>
        <x:v>0</x:v>
      </x:c>
      <x:c r="L1024" s="440" t="n">
        <x:f>IF(ISNUMBER(K1024),IF(MAX(0,J1024*(1+SUM($B$87)/12)-K1024)&lt;MAX(0.0000001,$B$86*0.00000000001),0,MAX(0,J1024*(1+SUM($B$87)/12)-K1024)),"")</x:f>
        <x:v>0</x:v>
      </x:c>
      <x:c r="M1024" s="440" t="n">
        <x:f>IF(AND(ISNUMBER(D1024),ISNUMBER(K1024)),D1024+K1024,"")</x:f>
        <x:v>0</x:v>
      </x:c>
      <x:c r="N1024" s="440" t="n">
        <x:f>IF(AND(ISNUMBER(H1024),ISNUMBER(L1024)),H1024+L1024,"")</x:f>
        <x:v>0</x:v>
      </x:c>
    </x:row>
    <x:row r="1025" ht="22" customHeight="1">
      <x:c r="A1025" s="254" t="n">
        <x:f>625</x:f>
        <x:v>625</x:v>
      </x:c>
      <x:c r="B1025" s="440" t="n">
        <x:f>IF(ISNUMBER(H1024),H1024,"")</x:f>
        <x:v>0</x:v>
      </x:c>
      <x:c r="C1025" s="442" t="n">
        <x:f>IF(ISNUMBER(B1025),IF(AND(625&gt;$B$173,$B$78="Refinance",ISNUMBER($B$80),$B$80&gt;=0,$B$80&lt;=1,ROUND($B$81*12,0)&gt;=1,$B$81&lt;=100,SUM($B$82)&gt;=0,SUM($B$82)&lt;=1,SUM($B$83)&gt;=0),$B$80,IF(AND($B$175&gt;0,625&gt;$B$175,ISNUMBER($B$75)),$B$75,$B$61)),"")</x:f>
        <x:v>0.0625</x:v>
      </x:c>
      <x:c r="D1025" s="440" t="n">
        <x:f>IF(AND(ISNUMBER(B1025),B1025=0),0,IF(AND($B$171=1,I1024=0,ISNUMBER(C1025),ISNUMBER(IF(AND(625&lt;=$B$174,625&lt;=$B$173),B1025*C1025/12,IF(AND(625=$B$173+1,AND(625&gt;$B$173,$B$78="Refinance",ISNUMBER($B$80),$B$80&gt;=0,$B$80&lt;=1,ROUND($B$81*12,0)&gt;=1,$B$81&lt;=100,SUM($B$82)&gt;=0,SUM($B$82)&lt;=1,SUM($B$83)&gt;=0)),IF(B1025=0,0,IF(C1025=0,B1025/ROUND($B$81*12,0),B1025*(C1025/12)/(1-(1+C1025/12)^(-ROUND($B$81*12,0))))),IF(AND(NOT(AND(625&gt;$B$173,$B$78="Refinance",ISNUMBER($B$80),$B$80&gt;=0,$B$80&lt;=1,ROUND($B$81*12,0)&gt;=1,$B$81&lt;=100,SUM($B$82)&gt;=0,SUM($B$82)&lt;=1,SUM($B$83)&gt;=0)),OR(625=1,625=$B$174+1,AND($B$175&gt;0,625=$B$175+1))),IF(AND($B$170=1,$B$66&gt;0,OR($B$175=0,625&lt;=$B$175)),$B$66,IF($B$172-MAX(625-1,$B$174)&gt;0,IF(B1025=0,0,IF(C1025=0,B1025/($B$172-MAX(625-1,$B$174)),B1025*(C1025/12)/(1-(1+C1025/12)^(-($B$172-MAX(625-1,$B$174)))))),"")),D1024))))),IF(IF(AND(625&lt;=$B$174,625&lt;=$B$173),B1025*C1025/12,IF(AND(625=$B$173+1,AND(625&gt;$B$173,$B$78="Refinance",ISNUMBER($B$80),$B$80&gt;=0,$B$80&lt;=1,ROUND($B$81*12,0)&gt;=1,$B$81&lt;=100,SUM($B$82)&gt;=0,SUM($B$82)&lt;=1,SUM($B$83)&gt;=0)),IF(B1025=0,0,IF(C1025=0,B1025/ROUND($B$81*12,0),B1025*(C1025/12)/(1-(1+C1025/12)^(-ROUND($B$81*12,0))))),IF(AND(NOT(AND(625&gt;$B$173,$B$78="Refinance",ISNUMBER($B$80),$B$80&gt;=0,$B$80&lt;=1,ROUND($B$81*12,0)&gt;=1,$B$81&lt;=100,SUM($B$82)&gt;=0,SUM($B$82)&lt;=1,SUM($B$83)&gt;=0)),OR(625=1,625=$B$174+1,AND($B$175&gt;0,625=$B$175+1))),IF(AND($B$170=1,$B$66&gt;0,OR($B$175=0,625&lt;=$B$175)),$B$66,IF($B$172-MAX(625-1,$B$174)&gt;0,IF(B1025=0,0,IF(C1025=0,B1025/($B$172-MAX(625-1,$B$174)),B1025*(C1025/12)/(1-(1+C1025/12)^(-($B$172-MAX(625-1,$B$174)))))),"")),D1024)))+0.0000001&gt;=B1025*C1025/12,MIN(B1025*(1+C1025/12),IF(AND(625&lt;=$B$174,625&lt;=$B$173),B1025*C1025/12,IF(AND(625=$B$173+1,AND(625&gt;$B$173,$B$78="Refinance",ISNUMBER($B$80),$B$80&gt;=0,$B$80&lt;=1,ROUND($B$81*12,0)&gt;=1,$B$81&lt;=100,SUM($B$82)&gt;=0,SUM($B$82)&lt;=1,SUM($B$83)&gt;=0)),IF(B1025=0,0,IF(C1025=0,B1025/ROUND($B$81*12,0),B1025*(C1025/12)/(1-(1+C1025/12)^(-ROUND($B$81*12,0))))),IF(AND(NOT(AND(625&gt;$B$173,$B$78="Refinance",ISNUMBER($B$80),$B$80&gt;=0,$B$80&lt;=1,ROUND($B$81*12,0)&gt;=1,$B$81&lt;=100,SUM($B$82)&gt;=0,SUM($B$82)&lt;=1,SUM($B$83)&gt;=0)),OR(625=1,625=$B$174+1,AND($B$175&gt;0,625=$B$175+1))),IF(AND($B$170=1,$B$66&gt;0,OR($B$175=0,625&lt;=$B$175)),$B$66,IF($B$172-MAX(625-1,$B$174)&gt;0,IF(B1025=0,0,IF(C1025=0,B1025/($B$172-MAX(625-1,$B$174)),B1025*(C1025/12)/(1-(1+C1025/12)^(-($B$172-MAX(625-1,$B$174)))))),"")),D1024)))),""),""))</x:f>
        <x:v>0</x:v>
      </x:c>
      <x:c r="E1025" s="440" t="n">
        <x:f>IF(AND(625=$B$173,ISNUMBER(D1025)),IF(MAX(0,B1025*(1+C1025/12)-D1025)&lt;MAX(0.0000001,$E$17*0.00000000001),0,MAX(0,B1025*(1+C1025/12)-D1025)),0)</x:f>
        <x:v>0</x:v>
      </x:c>
      <x:c r="F1025" s="440" t="n">
        <x:f>IF($B$78="Cash payoff",E1025,0)</x:f>
        <x:v>0</x:v>
      </x:c>
      <x:c r="G1025" s="440" t="n">
        <x:f>IF(AND(E1025&gt;0,AND($B$78="Refinance",ISNUMBER($B$80),$B$80&gt;=0,$B$80&lt;=1,ROUND($B$81*12,0)&gt;=1,$B$81&lt;=100,SUM($B$82)&gt;=0,SUM($B$82)&lt;=1,SUM($B$83)&gt;=0)),E1025*SUM($B$82)+SUM($B$83),0)</x:f>
        <x:v>0</x:v>
      </x:c>
      <x:c r="H1025" s="440" t="n">
        <x:f>IF(ISNUMBER(D1025),IF(MAX(0,B1025*(1+C1025/12)-D1025-F1025)&lt;MAX(0.0000001,$E$17*0.00000000001),0,MAX(0,B1025*(1+C1025/12)-D1025-F1025)),IF(AND($B$171=1,I1024=1),B1025,""))</x:f>
        <x:v>0</x:v>
      </x:c>
      <x:c r="I1025" s="444" t="n">
        <x:f>IF(OR(I1024=1,AND(E1025&gt;0,$B$78&lt;&gt;"Cash payoff",NOT(AND($B$78="Refinance",ISNUMBER($B$80),$B$80&gt;=0,$B$80&lt;=1,ROUND($B$81*12,0)&gt;=1,$B$81&lt;=100,SUM($B$82)&gt;=0,SUM($B$82)&lt;=1,SUM($B$83)&gt;=0))),AND(ISNUMBER(B1025),B1025&gt;0,$B$171=1,NOT(ISNUMBER(D1025)))),1,0)</x:f>
        <x:v>0</x:v>
      </x:c>
      <x:c r="J1025" s="440" t="n">
        <x:f>IF(ISNUMBER(L1024),L1024,"")</x:f>
        <x:v>0</x:v>
      </x:c>
      <x:c r="K1025" s="440" t="n">
        <x:f>IF(AND(ISNUMBER(J1025),J1025=0),0,IF(AND($B$176=1,ISNUMBER(J1025)),MIN(J1025*(1+$B$87/12),IF($B$86=0,0,IF($B$87=0,$B$86/ROUND($B$88*12,0),$B$86*($B$87/12)/(1-(1+$B$87/12)^(-ROUND($B$88*12,0)))))),""))</x:f>
        <x:v>0</x:v>
      </x:c>
      <x:c r="L1025" s="440" t="n">
        <x:f>IF(ISNUMBER(K1025),IF(MAX(0,J1025*(1+SUM($B$87)/12)-K1025)&lt;MAX(0.0000001,$B$86*0.00000000001),0,MAX(0,J1025*(1+SUM($B$87)/12)-K1025)),"")</x:f>
        <x:v>0</x:v>
      </x:c>
      <x:c r="M1025" s="440" t="n">
        <x:f>IF(AND(ISNUMBER(D1025),ISNUMBER(K1025)),D1025+K1025,"")</x:f>
        <x:v>0</x:v>
      </x:c>
      <x:c r="N1025" s="440" t="n">
        <x:f>IF(AND(ISNUMBER(H1025),ISNUMBER(L1025)),H1025+L1025,"")</x:f>
        <x:v>0</x:v>
      </x:c>
    </x:row>
    <x:row r="1026" ht="22" customHeight="1">
      <x:c r="A1026" s="254" t="n">
        <x:f>626</x:f>
        <x:v>626</x:v>
      </x:c>
      <x:c r="B1026" s="440" t="n">
        <x:f>IF(ISNUMBER(H1025),H1025,"")</x:f>
        <x:v>0</x:v>
      </x:c>
      <x:c r="C1026" s="442" t="n">
        <x:f>IF(ISNUMBER(B1026),IF(AND(626&gt;$B$173,$B$78="Refinance",ISNUMBER($B$80),$B$80&gt;=0,$B$80&lt;=1,ROUND($B$81*12,0)&gt;=1,$B$81&lt;=100,SUM($B$82)&gt;=0,SUM($B$82)&lt;=1,SUM($B$83)&gt;=0),$B$80,IF(AND($B$175&gt;0,626&gt;$B$175,ISNUMBER($B$75)),$B$75,$B$61)),"")</x:f>
        <x:v>0.0625</x:v>
      </x:c>
      <x:c r="D1026" s="440" t="n">
        <x:f>IF(AND(ISNUMBER(B1026),B1026=0),0,IF(AND($B$171=1,I1025=0,ISNUMBER(C1026),ISNUMBER(IF(AND(626&lt;=$B$174,626&lt;=$B$173),B1026*C1026/12,IF(AND(626=$B$173+1,AND(626&gt;$B$173,$B$78="Refinance",ISNUMBER($B$80),$B$80&gt;=0,$B$80&lt;=1,ROUND($B$81*12,0)&gt;=1,$B$81&lt;=100,SUM($B$82)&gt;=0,SUM($B$82)&lt;=1,SUM($B$83)&gt;=0)),IF(B1026=0,0,IF(C1026=0,B1026/ROUND($B$81*12,0),B1026*(C1026/12)/(1-(1+C1026/12)^(-ROUND($B$81*12,0))))),IF(AND(NOT(AND(626&gt;$B$173,$B$78="Refinance",ISNUMBER($B$80),$B$80&gt;=0,$B$80&lt;=1,ROUND($B$81*12,0)&gt;=1,$B$81&lt;=100,SUM($B$82)&gt;=0,SUM($B$82)&lt;=1,SUM($B$83)&gt;=0)),OR(626=1,626=$B$174+1,AND($B$175&gt;0,626=$B$175+1))),IF(AND($B$170=1,$B$66&gt;0,OR($B$175=0,626&lt;=$B$175)),$B$66,IF($B$172-MAX(626-1,$B$174)&gt;0,IF(B1026=0,0,IF(C1026=0,B1026/($B$172-MAX(626-1,$B$174)),B1026*(C1026/12)/(1-(1+C1026/12)^(-($B$172-MAX(626-1,$B$174)))))),"")),D1025))))),IF(IF(AND(626&lt;=$B$174,626&lt;=$B$173),B1026*C1026/12,IF(AND(626=$B$173+1,AND(626&gt;$B$173,$B$78="Refinance",ISNUMBER($B$80),$B$80&gt;=0,$B$80&lt;=1,ROUND($B$81*12,0)&gt;=1,$B$81&lt;=100,SUM($B$82)&gt;=0,SUM($B$82)&lt;=1,SUM($B$83)&gt;=0)),IF(B1026=0,0,IF(C1026=0,B1026/ROUND($B$81*12,0),B1026*(C1026/12)/(1-(1+C1026/12)^(-ROUND($B$81*12,0))))),IF(AND(NOT(AND(626&gt;$B$173,$B$78="Refinance",ISNUMBER($B$80),$B$80&gt;=0,$B$80&lt;=1,ROUND($B$81*12,0)&gt;=1,$B$81&lt;=100,SUM($B$82)&gt;=0,SUM($B$82)&lt;=1,SUM($B$83)&gt;=0)),OR(626=1,626=$B$174+1,AND($B$175&gt;0,626=$B$175+1))),IF(AND($B$170=1,$B$66&gt;0,OR($B$175=0,626&lt;=$B$175)),$B$66,IF($B$172-MAX(626-1,$B$174)&gt;0,IF(B1026=0,0,IF(C1026=0,B1026/($B$172-MAX(626-1,$B$174)),B1026*(C1026/12)/(1-(1+C1026/12)^(-($B$172-MAX(626-1,$B$174)))))),"")),D1025)))+0.0000001&gt;=B1026*C1026/12,MIN(B1026*(1+C1026/12),IF(AND(626&lt;=$B$174,626&lt;=$B$173),B1026*C1026/12,IF(AND(626=$B$173+1,AND(626&gt;$B$173,$B$78="Refinance",ISNUMBER($B$80),$B$80&gt;=0,$B$80&lt;=1,ROUND($B$81*12,0)&gt;=1,$B$81&lt;=100,SUM($B$82)&gt;=0,SUM($B$82)&lt;=1,SUM($B$83)&gt;=0)),IF(B1026=0,0,IF(C1026=0,B1026/ROUND($B$81*12,0),B1026*(C1026/12)/(1-(1+C1026/12)^(-ROUND($B$81*12,0))))),IF(AND(NOT(AND(626&gt;$B$173,$B$78="Refinance",ISNUMBER($B$80),$B$80&gt;=0,$B$80&lt;=1,ROUND($B$81*12,0)&gt;=1,$B$81&lt;=100,SUM($B$82)&gt;=0,SUM($B$82)&lt;=1,SUM($B$83)&gt;=0)),OR(626=1,626=$B$174+1,AND($B$175&gt;0,626=$B$175+1))),IF(AND($B$170=1,$B$66&gt;0,OR($B$175=0,626&lt;=$B$175)),$B$66,IF($B$172-MAX(626-1,$B$174)&gt;0,IF(B1026=0,0,IF(C1026=0,B1026/($B$172-MAX(626-1,$B$174)),B1026*(C1026/12)/(1-(1+C1026/12)^(-($B$172-MAX(626-1,$B$174)))))),"")),D1025)))),""),""))</x:f>
        <x:v>0</x:v>
      </x:c>
      <x:c r="E1026" s="440" t="n">
        <x:f>IF(AND(626=$B$173,ISNUMBER(D1026)),IF(MAX(0,B1026*(1+C1026/12)-D1026)&lt;MAX(0.0000001,$E$17*0.00000000001),0,MAX(0,B1026*(1+C1026/12)-D1026)),0)</x:f>
        <x:v>0</x:v>
      </x:c>
      <x:c r="F1026" s="440" t="n">
        <x:f>IF($B$78="Cash payoff",E1026,0)</x:f>
        <x:v>0</x:v>
      </x:c>
      <x:c r="G1026" s="440" t="n">
        <x:f>IF(AND(E1026&gt;0,AND($B$78="Refinance",ISNUMBER($B$80),$B$80&gt;=0,$B$80&lt;=1,ROUND($B$81*12,0)&gt;=1,$B$81&lt;=100,SUM($B$82)&gt;=0,SUM($B$82)&lt;=1,SUM($B$83)&gt;=0)),E1026*SUM($B$82)+SUM($B$83),0)</x:f>
        <x:v>0</x:v>
      </x:c>
      <x:c r="H1026" s="440" t="n">
        <x:f>IF(ISNUMBER(D1026),IF(MAX(0,B1026*(1+C1026/12)-D1026-F1026)&lt;MAX(0.0000001,$E$17*0.00000000001),0,MAX(0,B1026*(1+C1026/12)-D1026-F1026)),IF(AND($B$171=1,I1025=1),B1026,""))</x:f>
        <x:v>0</x:v>
      </x:c>
      <x:c r="I1026" s="444" t="n">
        <x:f>IF(OR(I1025=1,AND(E1026&gt;0,$B$78&lt;&gt;"Cash payoff",NOT(AND($B$78="Refinance",ISNUMBER($B$80),$B$80&gt;=0,$B$80&lt;=1,ROUND($B$81*12,0)&gt;=1,$B$81&lt;=100,SUM($B$82)&gt;=0,SUM($B$82)&lt;=1,SUM($B$83)&gt;=0))),AND(ISNUMBER(B1026),B1026&gt;0,$B$171=1,NOT(ISNUMBER(D1026)))),1,0)</x:f>
        <x:v>0</x:v>
      </x:c>
      <x:c r="J1026" s="440" t="n">
        <x:f>IF(ISNUMBER(L1025),L1025,"")</x:f>
        <x:v>0</x:v>
      </x:c>
      <x:c r="K1026" s="440" t="n">
        <x:f>IF(AND(ISNUMBER(J1026),J1026=0),0,IF(AND($B$176=1,ISNUMBER(J1026)),MIN(J1026*(1+$B$87/12),IF($B$86=0,0,IF($B$87=0,$B$86/ROUND($B$88*12,0),$B$86*($B$87/12)/(1-(1+$B$87/12)^(-ROUND($B$88*12,0)))))),""))</x:f>
        <x:v>0</x:v>
      </x:c>
      <x:c r="L1026" s="440" t="n">
        <x:f>IF(ISNUMBER(K1026),IF(MAX(0,J1026*(1+SUM($B$87)/12)-K1026)&lt;MAX(0.0000001,$B$86*0.00000000001),0,MAX(0,J1026*(1+SUM($B$87)/12)-K1026)),"")</x:f>
        <x:v>0</x:v>
      </x:c>
      <x:c r="M1026" s="440" t="n">
        <x:f>IF(AND(ISNUMBER(D1026),ISNUMBER(K1026)),D1026+K1026,"")</x:f>
        <x:v>0</x:v>
      </x:c>
      <x:c r="N1026" s="440" t="n">
        <x:f>IF(AND(ISNUMBER(H1026),ISNUMBER(L1026)),H1026+L1026,"")</x:f>
        <x:v>0</x:v>
      </x:c>
    </x:row>
    <x:row r="1027" ht="22" customHeight="1">
      <x:c r="A1027" s="254" t="n">
        <x:f>627</x:f>
        <x:v>627</x:v>
      </x:c>
      <x:c r="B1027" s="440" t="n">
        <x:f>IF(ISNUMBER(H1026),H1026,"")</x:f>
        <x:v>0</x:v>
      </x:c>
      <x:c r="C1027" s="442" t="n">
        <x:f>IF(ISNUMBER(B1027),IF(AND(627&gt;$B$173,$B$78="Refinance",ISNUMBER($B$80),$B$80&gt;=0,$B$80&lt;=1,ROUND($B$81*12,0)&gt;=1,$B$81&lt;=100,SUM($B$82)&gt;=0,SUM($B$82)&lt;=1,SUM($B$83)&gt;=0),$B$80,IF(AND($B$175&gt;0,627&gt;$B$175,ISNUMBER($B$75)),$B$75,$B$61)),"")</x:f>
        <x:v>0.0625</x:v>
      </x:c>
      <x:c r="D1027" s="440" t="n">
        <x:f>IF(AND(ISNUMBER(B1027),B1027=0),0,IF(AND($B$171=1,I1026=0,ISNUMBER(C1027),ISNUMBER(IF(AND(627&lt;=$B$174,627&lt;=$B$173),B1027*C1027/12,IF(AND(627=$B$173+1,AND(627&gt;$B$173,$B$78="Refinance",ISNUMBER($B$80),$B$80&gt;=0,$B$80&lt;=1,ROUND($B$81*12,0)&gt;=1,$B$81&lt;=100,SUM($B$82)&gt;=0,SUM($B$82)&lt;=1,SUM($B$83)&gt;=0)),IF(B1027=0,0,IF(C1027=0,B1027/ROUND($B$81*12,0),B1027*(C1027/12)/(1-(1+C1027/12)^(-ROUND($B$81*12,0))))),IF(AND(NOT(AND(627&gt;$B$173,$B$78="Refinance",ISNUMBER($B$80),$B$80&gt;=0,$B$80&lt;=1,ROUND($B$81*12,0)&gt;=1,$B$81&lt;=100,SUM($B$82)&gt;=0,SUM($B$82)&lt;=1,SUM($B$83)&gt;=0)),OR(627=1,627=$B$174+1,AND($B$175&gt;0,627=$B$175+1))),IF(AND($B$170=1,$B$66&gt;0,OR($B$175=0,627&lt;=$B$175)),$B$66,IF($B$172-MAX(627-1,$B$174)&gt;0,IF(B1027=0,0,IF(C1027=0,B1027/($B$172-MAX(627-1,$B$174)),B1027*(C1027/12)/(1-(1+C1027/12)^(-($B$172-MAX(627-1,$B$174)))))),"")),D1026))))),IF(IF(AND(627&lt;=$B$174,627&lt;=$B$173),B1027*C1027/12,IF(AND(627=$B$173+1,AND(627&gt;$B$173,$B$78="Refinance",ISNUMBER($B$80),$B$80&gt;=0,$B$80&lt;=1,ROUND($B$81*12,0)&gt;=1,$B$81&lt;=100,SUM($B$82)&gt;=0,SUM($B$82)&lt;=1,SUM($B$83)&gt;=0)),IF(B1027=0,0,IF(C1027=0,B1027/ROUND($B$81*12,0),B1027*(C1027/12)/(1-(1+C1027/12)^(-ROUND($B$81*12,0))))),IF(AND(NOT(AND(627&gt;$B$173,$B$78="Refinance",ISNUMBER($B$80),$B$80&gt;=0,$B$80&lt;=1,ROUND($B$81*12,0)&gt;=1,$B$81&lt;=100,SUM($B$82)&gt;=0,SUM($B$82)&lt;=1,SUM($B$83)&gt;=0)),OR(627=1,627=$B$174+1,AND($B$175&gt;0,627=$B$175+1))),IF(AND($B$170=1,$B$66&gt;0,OR($B$175=0,627&lt;=$B$175)),$B$66,IF($B$172-MAX(627-1,$B$174)&gt;0,IF(B1027=0,0,IF(C1027=0,B1027/($B$172-MAX(627-1,$B$174)),B1027*(C1027/12)/(1-(1+C1027/12)^(-($B$172-MAX(627-1,$B$174)))))),"")),D1026)))+0.0000001&gt;=B1027*C1027/12,MIN(B1027*(1+C1027/12),IF(AND(627&lt;=$B$174,627&lt;=$B$173),B1027*C1027/12,IF(AND(627=$B$173+1,AND(627&gt;$B$173,$B$78="Refinance",ISNUMBER($B$80),$B$80&gt;=0,$B$80&lt;=1,ROUND($B$81*12,0)&gt;=1,$B$81&lt;=100,SUM($B$82)&gt;=0,SUM($B$82)&lt;=1,SUM($B$83)&gt;=0)),IF(B1027=0,0,IF(C1027=0,B1027/ROUND($B$81*12,0),B1027*(C1027/12)/(1-(1+C1027/12)^(-ROUND($B$81*12,0))))),IF(AND(NOT(AND(627&gt;$B$173,$B$78="Refinance",ISNUMBER($B$80),$B$80&gt;=0,$B$80&lt;=1,ROUND($B$81*12,0)&gt;=1,$B$81&lt;=100,SUM($B$82)&gt;=0,SUM($B$82)&lt;=1,SUM($B$83)&gt;=0)),OR(627=1,627=$B$174+1,AND($B$175&gt;0,627=$B$175+1))),IF(AND($B$170=1,$B$66&gt;0,OR($B$175=0,627&lt;=$B$175)),$B$66,IF($B$172-MAX(627-1,$B$174)&gt;0,IF(B1027=0,0,IF(C1027=0,B1027/($B$172-MAX(627-1,$B$174)),B1027*(C1027/12)/(1-(1+C1027/12)^(-($B$172-MAX(627-1,$B$174)))))),"")),D1026)))),""),""))</x:f>
        <x:v>0</x:v>
      </x:c>
      <x:c r="E1027" s="440" t="n">
        <x:f>IF(AND(627=$B$173,ISNUMBER(D1027)),IF(MAX(0,B1027*(1+C1027/12)-D1027)&lt;MAX(0.0000001,$E$17*0.00000000001),0,MAX(0,B1027*(1+C1027/12)-D1027)),0)</x:f>
        <x:v>0</x:v>
      </x:c>
      <x:c r="F1027" s="440" t="n">
        <x:f>IF($B$78="Cash payoff",E1027,0)</x:f>
        <x:v>0</x:v>
      </x:c>
      <x:c r="G1027" s="440" t="n">
        <x:f>IF(AND(E1027&gt;0,AND($B$78="Refinance",ISNUMBER($B$80),$B$80&gt;=0,$B$80&lt;=1,ROUND($B$81*12,0)&gt;=1,$B$81&lt;=100,SUM($B$82)&gt;=0,SUM($B$82)&lt;=1,SUM($B$83)&gt;=0)),E1027*SUM($B$82)+SUM($B$83),0)</x:f>
        <x:v>0</x:v>
      </x:c>
      <x:c r="H1027" s="440" t="n">
        <x:f>IF(ISNUMBER(D1027),IF(MAX(0,B1027*(1+C1027/12)-D1027-F1027)&lt;MAX(0.0000001,$E$17*0.00000000001),0,MAX(0,B1027*(1+C1027/12)-D1027-F1027)),IF(AND($B$171=1,I1026=1),B1027,""))</x:f>
        <x:v>0</x:v>
      </x:c>
      <x:c r="I1027" s="444" t="n">
        <x:f>IF(OR(I1026=1,AND(E1027&gt;0,$B$78&lt;&gt;"Cash payoff",NOT(AND($B$78="Refinance",ISNUMBER($B$80),$B$80&gt;=0,$B$80&lt;=1,ROUND($B$81*12,0)&gt;=1,$B$81&lt;=100,SUM($B$82)&gt;=0,SUM($B$82)&lt;=1,SUM($B$83)&gt;=0))),AND(ISNUMBER(B1027),B1027&gt;0,$B$171=1,NOT(ISNUMBER(D1027)))),1,0)</x:f>
        <x:v>0</x:v>
      </x:c>
      <x:c r="J1027" s="440" t="n">
        <x:f>IF(ISNUMBER(L1026),L1026,"")</x:f>
        <x:v>0</x:v>
      </x:c>
      <x:c r="K1027" s="440" t="n">
        <x:f>IF(AND(ISNUMBER(J1027),J1027=0),0,IF(AND($B$176=1,ISNUMBER(J1027)),MIN(J1027*(1+$B$87/12),IF($B$86=0,0,IF($B$87=0,$B$86/ROUND($B$88*12,0),$B$86*($B$87/12)/(1-(1+$B$87/12)^(-ROUND($B$88*12,0)))))),""))</x:f>
        <x:v>0</x:v>
      </x:c>
      <x:c r="L1027" s="440" t="n">
        <x:f>IF(ISNUMBER(K1027),IF(MAX(0,J1027*(1+SUM($B$87)/12)-K1027)&lt;MAX(0.0000001,$B$86*0.00000000001),0,MAX(0,J1027*(1+SUM($B$87)/12)-K1027)),"")</x:f>
        <x:v>0</x:v>
      </x:c>
      <x:c r="M1027" s="440" t="n">
        <x:f>IF(AND(ISNUMBER(D1027),ISNUMBER(K1027)),D1027+K1027,"")</x:f>
        <x:v>0</x:v>
      </x:c>
      <x:c r="N1027" s="440" t="n">
        <x:f>IF(AND(ISNUMBER(H1027),ISNUMBER(L1027)),H1027+L1027,"")</x:f>
        <x:v>0</x:v>
      </x:c>
    </x:row>
    <x:row r="1028" ht="22" customHeight="1">
      <x:c r="A1028" s="254" t="n">
        <x:f>628</x:f>
        <x:v>628</x:v>
      </x:c>
      <x:c r="B1028" s="440" t="n">
        <x:f>IF(ISNUMBER(H1027),H1027,"")</x:f>
        <x:v>0</x:v>
      </x:c>
      <x:c r="C1028" s="442" t="n">
        <x:f>IF(ISNUMBER(B1028),IF(AND(628&gt;$B$173,$B$78="Refinance",ISNUMBER($B$80),$B$80&gt;=0,$B$80&lt;=1,ROUND($B$81*12,0)&gt;=1,$B$81&lt;=100,SUM($B$82)&gt;=0,SUM($B$82)&lt;=1,SUM($B$83)&gt;=0),$B$80,IF(AND($B$175&gt;0,628&gt;$B$175,ISNUMBER($B$75)),$B$75,$B$61)),"")</x:f>
        <x:v>0.0625</x:v>
      </x:c>
      <x:c r="D1028" s="440" t="n">
        <x:f>IF(AND(ISNUMBER(B1028),B1028=0),0,IF(AND($B$171=1,I1027=0,ISNUMBER(C1028),ISNUMBER(IF(AND(628&lt;=$B$174,628&lt;=$B$173),B1028*C1028/12,IF(AND(628=$B$173+1,AND(628&gt;$B$173,$B$78="Refinance",ISNUMBER($B$80),$B$80&gt;=0,$B$80&lt;=1,ROUND($B$81*12,0)&gt;=1,$B$81&lt;=100,SUM($B$82)&gt;=0,SUM($B$82)&lt;=1,SUM($B$83)&gt;=0)),IF(B1028=0,0,IF(C1028=0,B1028/ROUND($B$81*12,0),B1028*(C1028/12)/(1-(1+C1028/12)^(-ROUND($B$81*12,0))))),IF(AND(NOT(AND(628&gt;$B$173,$B$78="Refinance",ISNUMBER($B$80),$B$80&gt;=0,$B$80&lt;=1,ROUND($B$81*12,0)&gt;=1,$B$81&lt;=100,SUM($B$82)&gt;=0,SUM($B$82)&lt;=1,SUM($B$83)&gt;=0)),OR(628=1,628=$B$174+1,AND($B$175&gt;0,628=$B$175+1))),IF(AND($B$170=1,$B$66&gt;0,OR($B$175=0,628&lt;=$B$175)),$B$66,IF($B$172-MAX(628-1,$B$174)&gt;0,IF(B1028=0,0,IF(C1028=0,B1028/($B$172-MAX(628-1,$B$174)),B1028*(C1028/12)/(1-(1+C1028/12)^(-($B$172-MAX(628-1,$B$174)))))),"")),D1027))))),IF(IF(AND(628&lt;=$B$174,628&lt;=$B$173),B1028*C1028/12,IF(AND(628=$B$173+1,AND(628&gt;$B$173,$B$78="Refinance",ISNUMBER($B$80),$B$80&gt;=0,$B$80&lt;=1,ROUND($B$81*12,0)&gt;=1,$B$81&lt;=100,SUM($B$82)&gt;=0,SUM($B$82)&lt;=1,SUM($B$83)&gt;=0)),IF(B1028=0,0,IF(C1028=0,B1028/ROUND($B$81*12,0),B1028*(C1028/12)/(1-(1+C1028/12)^(-ROUND($B$81*12,0))))),IF(AND(NOT(AND(628&gt;$B$173,$B$78="Refinance",ISNUMBER($B$80),$B$80&gt;=0,$B$80&lt;=1,ROUND($B$81*12,0)&gt;=1,$B$81&lt;=100,SUM($B$82)&gt;=0,SUM($B$82)&lt;=1,SUM($B$83)&gt;=0)),OR(628=1,628=$B$174+1,AND($B$175&gt;0,628=$B$175+1))),IF(AND($B$170=1,$B$66&gt;0,OR($B$175=0,628&lt;=$B$175)),$B$66,IF($B$172-MAX(628-1,$B$174)&gt;0,IF(B1028=0,0,IF(C1028=0,B1028/($B$172-MAX(628-1,$B$174)),B1028*(C1028/12)/(1-(1+C1028/12)^(-($B$172-MAX(628-1,$B$174)))))),"")),D1027)))+0.0000001&gt;=B1028*C1028/12,MIN(B1028*(1+C1028/12),IF(AND(628&lt;=$B$174,628&lt;=$B$173),B1028*C1028/12,IF(AND(628=$B$173+1,AND(628&gt;$B$173,$B$78="Refinance",ISNUMBER($B$80),$B$80&gt;=0,$B$80&lt;=1,ROUND($B$81*12,0)&gt;=1,$B$81&lt;=100,SUM($B$82)&gt;=0,SUM($B$82)&lt;=1,SUM($B$83)&gt;=0)),IF(B1028=0,0,IF(C1028=0,B1028/ROUND($B$81*12,0),B1028*(C1028/12)/(1-(1+C1028/12)^(-ROUND($B$81*12,0))))),IF(AND(NOT(AND(628&gt;$B$173,$B$78="Refinance",ISNUMBER($B$80),$B$80&gt;=0,$B$80&lt;=1,ROUND($B$81*12,0)&gt;=1,$B$81&lt;=100,SUM($B$82)&gt;=0,SUM($B$82)&lt;=1,SUM($B$83)&gt;=0)),OR(628=1,628=$B$174+1,AND($B$175&gt;0,628=$B$175+1))),IF(AND($B$170=1,$B$66&gt;0,OR($B$175=0,628&lt;=$B$175)),$B$66,IF($B$172-MAX(628-1,$B$174)&gt;0,IF(B1028=0,0,IF(C1028=0,B1028/($B$172-MAX(628-1,$B$174)),B1028*(C1028/12)/(1-(1+C1028/12)^(-($B$172-MAX(628-1,$B$174)))))),"")),D1027)))),""),""))</x:f>
        <x:v>0</x:v>
      </x:c>
      <x:c r="E1028" s="440" t="n">
        <x:f>IF(AND(628=$B$173,ISNUMBER(D1028)),IF(MAX(0,B1028*(1+C1028/12)-D1028)&lt;MAX(0.0000001,$E$17*0.00000000001),0,MAX(0,B1028*(1+C1028/12)-D1028)),0)</x:f>
        <x:v>0</x:v>
      </x:c>
      <x:c r="F1028" s="440" t="n">
        <x:f>IF($B$78="Cash payoff",E1028,0)</x:f>
        <x:v>0</x:v>
      </x:c>
      <x:c r="G1028" s="440" t="n">
        <x:f>IF(AND(E1028&gt;0,AND($B$78="Refinance",ISNUMBER($B$80),$B$80&gt;=0,$B$80&lt;=1,ROUND($B$81*12,0)&gt;=1,$B$81&lt;=100,SUM($B$82)&gt;=0,SUM($B$82)&lt;=1,SUM($B$83)&gt;=0)),E1028*SUM($B$82)+SUM($B$83),0)</x:f>
        <x:v>0</x:v>
      </x:c>
      <x:c r="H1028" s="440" t="n">
        <x:f>IF(ISNUMBER(D1028),IF(MAX(0,B1028*(1+C1028/12)-D1028-F1028)&lt;MAX(0.0000001,$E$17*0.00000000001),0,MAX(0,B1028*(1+C1028/12)-D1028-F1028)),IF(AND($B$171=1,I1027=1),B1028,""))</x:f>
        <x:v>0</x:v>
      </x:c>
      <x:c r="I1028" s="444" t="n">
        <x:f>IF(OR(I1027=1,AND(E1028&gt;0,$B$78&lt;&gt;"Cash payoff",NOT(AND($B$78="Refinance",ISNUMBER($B$80),$B$80&gt;=0,$B$80&lt;=1,ROUND($B$81*12,0)&gt;=1,$B$81&lt;=100,SUM($B$82)&gt;=0,SUM($B$82)&lt;=1,SUM($B$83)&gt;=0))),AND(ISNUMBER(B1028),B1028&gt;0,$B$171=1,NOT(ISNUMBER(D1028)))),1,0)</x:f>
        <x:v>0</x:v>
      </x:c>
      <x:c r="J1028" s="440" t="n">
        <x:f>IF(ISNUMBER(L1027),L1027,"")</x:f>
        <x:v>0</x:v>
      </x:c>
      <x:c r="K1028" s="440" t="n">
        <x:f>IF(AND(ISNUMBER(J1028),J1028=0),0,IF(AND($B$176=1,ISNUMBER(J1028)),MIN(J1028*(1+$B$87/12),IF($B$86=0,0,IF($B$87=0,$B$86/ROUND($B$88*12,0),$B$86*($B$87/12)/(1-(1+$B$87/12)^(-ROUND($B$88*12,0)))))),""))</x:f>
        <x:v>0</x:v>
      </x:c>
      <x:c r="L1028" s="440" t="n">
        <x:f>IF(ISNUMBER(K1028),IF(MAX(0,J1028*(1+SUM($B$87)/12)-K1028)&lt;MAX(0.0000001,$B$86*0.00000000001),0,MAX(0,J1028*(1+SUM($B$87)/12)-K1028)),"")</x:f>
        <x:v>0</x:v>
      </x:c>
      <x:c r="M1028" s="440" t="n">
        <x:f>IF(AND(ISNUMBER(D1028),ISNUMBER(K1028)),D1028+K1028,"")</x:f>
        <x:v>0</x:v>
      </x:c>
      <x:c r="N1028" s="440" t="n">
        <x:f>IF(AND(ISNUMBER(H1028),ISNUMBER(L1028)),H1028+L1028,"")</x:f>
        <x:v>0</x:v>
      </x:c>
    </x:row>
    <x:row r="1029" ht="22" customHeight="1">
      <x:c r="A1029" s="254" t="n">
        <x:f>629</x:f>
        <x:v>629</x:v>
      </x:c>
      <x:c r="B1029" s="440" t="n">
        <x:f>IF(ISNUMBER(H1028),H1028,"")</x:f>
        <x:v>0</x:v>
      </x:c>
      <x:c r="C1029" s="442" t="n">
        <x:f>IF(ISNUMBER(B1029),IF(AND(629&gt;$B$173,$B$78="Refinance",ISNUMBER($B$80),$B$80&gt;=0,$B$80&lt;=1,ROUND($B$81*12,0)&gt;=1,$B$81&lt;=100,SUM($B$82)&gt;=0,SUM($B$82)&lt;=1,SUM($B$83)&gt;=0),$B$80,IF(AND($B$175&gt;0,629&gt;$B$175,ISNUMBER($B$75)),$B$75,$B$61)),"")</x:f>
        <x:v>0.0625</x:v>
      </x:c>
      <x:c r="D1029" s="440" t="n">
        <x:f>IF(AND(ISNUMBER(B1029),B1029=0),0,IF(AND($B$171=1,I1028=0,ISNUMBER(C1029),ISNUMBER(IF(AND(629&lt;=$B$174,629&lt;=$B$173),B1029*C1029/12,IF(AND(629=$B$173+1,AND(629&gt;$B$173,$B$78="Refinance",ISNUMBER($B$80),$B$80&gt;=0,$B$80&lt;=1,ROUND($B$81*12,0)&gt;=1,$B$81&lt;=100,SUM($B$82)&gt;=0,SUM($B$82)&lt;=1,SUM($B$83)&gt;=0)),IF(B1029=0,0,IF(C1029=0,B1029/ROUND($B$81*12,0),B1029*(C1029/12)/(1-(1+C1029/12)^(-ROUND($B$81*12,0))))),IF(AND(NOT(AND(629&gt;$B$173,$B$78="Refinance",ISNUMBER($B$80),$B$80&gt;=0,$B$80&lt;=1,ROUND($B$81*12,0)&gt;=1,$B$81&lt;=100,SUM($B$82)&gt;=0,SUM($B$82)&lt;=1,SUM($B$83)&gt;=0)),OR(629=1,629=$B$174+1,AND($B$175&gt;0,629=$B$175+1))),IF(AND($B$170=1,$B$66&gt;0,OR($B$175=0,629&lt;=$B$175)),$B$66,IF($B$172-MAX(629-1,$B$174)&gt;0,IF(B1029=0,0,IF(C1029=0,B1029/($B$172-MAX(629-1,$B$174)),B1029*(C1029/12)/(1-(1+C1029/12)^(-($B$172-MAX(629-1,$B$174)))))),"")),D1028))))),IF(IF(AND(629&lt;=$B$174,629&lt;=$B$173),B1029*C1029/12,IF(AND(629=$B$173+1,AND(629&gt;$B$173,$B$78="Refinance",ISNUMBER($B$80),$B$80&gt;=0,$B$80&lt;=1,ROUND($B$81*12,0)&gt;=1,$B$81&lt;=100,SUM($B$82)&gt;=0,SUM($B$82)&lt;=1,SUM($B$83)&gt;=0)),IF(B1029=0,0,IF(C1029=0,B1029/ROUND($B$81*12,0),B1029*(C1029/12)/(1-(1+C1029/12)^(-ROUND($B$81*12,0))))),IF(AND(NOT(AND(629&gt;$B$173,$B$78="Refinance",ISNUMBER($B$80),$B$80&gt;=0,$B$80&lt;=1,ROUND($B$81*12,0)&gt;=1,$B$81&lt;=100,SUM($B$82)&gt;=0,SUM($B$82)&lt;=1,SUM($B$83)&gt;=0)),OR(629=1,629=$B$174+1,AND($B$175&gt;0,629=$B$175+1))),IF(AND($B$170=1,$B$66&gt;0,OR($B$175=0,629&lt;=$B$175)),$B$66,IF($B$172-MAX(629-1,$B$174)&gt;0,IF(B1029=0,0,IF(C1029=0,B1029/($B$172-MAX(629-1,$B$174)),B1029*(C1029/12)/(1-(1+C1029/12)^(-($B$172-MAX(629-1,$B$174)))))),"")),D1028)))+0.0000001&gt;=B1029*C1029/12,MIN(B1029*(1+C1029/12),IF(AND(629&lt;=$B$174,629&lt;=$B$173),B1029*C1029/12,IF(AND(629=$B$173+1,AND(629&gt;$B$173,$B$78="Refinance",ISNUMBER($B$80),$B$80&gt;=0,$B$80&lt;=1,ROUND($B$81*12,0)&gt;=1,$B$81&lt;=100,SUM($B$82)&gt;=0,SUM($B$82)&lt;=1,SUM($B$83)&gt;=0)),IF(B1029=0,0,IF(C1029=0,B1029/ROUND($B$81*12,0),B1029*(C1029/12)/(1-(1+C1029/12)^(-ROUND($B$81*12,0))))),IF(AND(NOT(AND(629&gt;$B$173,$B$78="Refinance",ISNUMBER($B$80),$B$80&gt;=0,$B$80&lt;=1,ROUND($B$81*12,0)&gt;=1,$B$81&lt;=100,SUM($B$82)&gt;=0,SUM($B$82)&lt;=1,SUM($B$83)&gt;=0)),OR(629=1,629=$B$174+1,AND($B$175&gt;0,629=$B$175+1))),IF(AND($B$170=1,$B$66&gt;0,OR($B$175=0,629&lt;=$B$175)),$B$66,IF($B$172-MAX(629-1,$B$174)&gt;0,IF(B1029=0,0,IF(C1029=0,B1029/($B$172-MAX(629-1,$B$174)),B1029*(C1029/12)/(1-(1+C1029/12)^(-($B$172-MAX(629-1,$B$174)))))),"")),D1028)))),""),""))</x:f>
        <x:v>0</x:v>
      </x:c>
      <x:c r="E1029" s="440" t="n">
        <x:f>IF(AND(629=$B$173,ISNUMBER(D1029)),IF(MAX(0,B1029*(1+C1029/12)-D1029)&lt;MAX(0.0000001,$E$17*0.00000000001),0,MAX(0,B1029*(1+C1029/12)-D1029)),0)</x:f>
        <x:v>0</x:v>
      </x:c>
      <x:c r="F1029" s="440" t="n">
        <x:f>IF($B$78="Cash payoff",E1029,0)</x:f>
        <x:v>0</x:v>
      </x:c>
      <x:c r="G1029" s="440" t="n">
        <x:f>IF(AND(E1029&gt;0,AND($B$78="Refinance",ISNUMBER($B$80),$B$80&gt;=0,$B$80&lt;=1,ROUND($B$81*12,0)&gt;=1,$B$81&lt;=100,SUM($B$82)&gt;=0,SUM($B$82)&lt;=1,SUM($B$83)&gt;=0)),E1029*SUM($B$82)+SUM($B$83),0)</x:f>
        <x:v>0</x:v>
      </x:c>
      <x:c r="H1029" s="440" t="n">
        <x:f>IF(ISNUMBER(D1029),IF(MAX(0,B1029*(1+C1029/12)-D1029-F1029)&lt;MAX(0.0000001,$E$17*0.00000000001),0,MAX(0,B1029*(1+C1029/12)-D1029-F1029)),IF(AND($B$171=1,I1028=1),B1029,""))</x:f>
        <x:v>0</x:v>
      </x:c>
      <x:c r="I1029" s="444" t="n">
        <x:f>IF(OR(I1028=1,AND(E1029&gt;0,$B$78&lt;&gt;"Cash payoff",NOT(AND($B$78="Refinance",ISNUMBER($B$80),$B$80&gt;=0,$B$80&lt;=1,ROUND($B$81*12,0)&gt;=1,$B$81&lt;=100,SUM($B$82)&gt;=0,SUM($B$82)&lt;=1,SUM($B$83)&gt;=0))),AND(ISNUMBER(B1029),B1029&gt;0,$B$171=1,NOT(ISNUMBER(D1029)))),1,0)</x:f>
        <x:v>0</x:v>
      </x:c>
      <x:c r="J1029" s="440" t="n">
        <x:f>IF(ISNUMBER(L1028),L1028,"")</x:f>
        <x:v>0</x:v>
      </x:c>
      <x:c r="K1029" s="440" t="n">
        <x:f>IF(AND(ISNUMBER(J1029),J1029=0),0,IF(AND($B$176=1,ISNUMBER(J1029)),MIN(J1029*(1+$B$87/12),IF($B$86=0,0,IF($B$87=0,$B$86/ROUND($B$88*12,0),$B$86*($B$87/12)/(1-(1+$B$87/12)^(-ROUND($B$88*12,0)))))),""))</x:f>
        <x:v>0</x:v>
      </x:c>
      <x:c r="L1029" s="440" t="n">
        <x:f>IF(ISNUMBER(K1029),IF(MAX(0,J1029*(1+SUM($B$87)/12)-K1029)&lt;MAX(0.0000001,$B$86*0.00000000001),0,MAX(0,J1029*(1+SUM($B$87)/12)-K1029)),"")</x:f>
        <x:v>0</x:v>
      </x:c>
      <x:c r="M1029" s="440" t="n">
        <x:f>IF(AND(ISNUMBER(D1029),ISNUMBER(K1029)),D1029+K1029,"")</x:f>
        <x:v>0</x:v>
      </x:c>
      <x:c r="N1029" s="440" t="n">
        <x:f>IF(AND(ISNUMBER(H1029),ISNUMBER(L1029)),H1029+L1029,"")</x:f>
        <x:v>0</x:v>
      </x:c>
    </x:row>
    <x:row r="1030" ht="22" customHeight="1">
      <x:c r="A1030" s="254" t="n">
        <x:f>630</x:f>
        <x:v>630</x:v>
      </x:c>
      <x:c r="B1030" s="440" t="n">
        <x:f>IF(ISNUMBER(H1029),H1029,"")</x:f>
        <x:v>0</x:v>
      </x:c>
      <x:c r="C1030" s="442" t="n">
        <x:f>IF(ISNUMBER(B1030),IF(AND(630&gt;$B$173,$B$78="Refinance",ISNUMBER($B$80),$B$80&gt;=0,$B$80&lt;=1,ROUND($B$81*12,0)&gt;=1,$B$81&lt;=100,SUM($B$82)&gt;=0,SUM($B$82)&lt;=1,SUM($B$83)&gt;=0),$B$80,IF(AND($B$175&gt;0,630&gt;$B$175,ISNUMBER($B$75)),$B$75,$B$61)),"")</x:f>
        <x:v>0.0625</x:v>
      </x:c>
      <x:c r="D1030" s="440" t="n">
        <x:f>IF(AND(ISNUMBER(B1030),B1030=0),0,IF(AND($B$171=1,I1029=0,ISNUMBER(C1030),ISNUMBER(IF(AND(630&lt;=$B$174,630&lt;=$B$173),B1030*C1030/12,IF(AND(630=$B$173+1,AND(630&gt;$B$173,$B$78="Refinance",ISNUMBER($B$80),$B$80&gt;=0,$B$80&lt;=1,ROUND($B$81*12,0)&gt;=1,$B$81&lt;=100,SUM($B$82)&gt;=0,SUM($B$82)&lt;=1,SUM($B$83)&gt;=0)),IF(B1030=0,0,IF(C1030=0,B1030/ROUND($B$81*12,0),B1030*(C1030/12)/(1-(1+C1030/12)^(-ROUND($B$81*12,0))))),IF(AND(NOT(AND(630&gt;$B$173,$B$78="Refinance",ISNUMBER($B$80),$B$80&gt;=0,$B$80&lt;=1,ROUND($B$81*12,0)&gt;=1,$B$81&lt;=100,SUM($B$82)&gt;=0,SUM($B$82)&lt;=1,SUM($B$83)&gt;=0)),OR(630=1,630=$B$174+1,AND($B$175&gt;0,630=$B$175+1))),IF(AND($B$170=1,$B$66&gt;0,OR($B$175=0,630&lt;=$B$175)),$B$66,IF($B$172-MAX(630-1,$B$174)&gt;0,IF(B1030=0,0,IF(C1030=0,B1030/($B$172-MAX(630-1,$B$174)),B1030*(C1030/12)/(1-(1+C1030/12)^(-($B$172-MAX(630-1,$B$174)))))),"")),D1029))))),IF(IF(AND(630&lt;=$B$174,630&lt;=$B$173),B1030*C1030/12,IF(AND(630=$B$173+1,AND(630&gt;$B$173,$B$78="Refinance",ISNUMBER($B$80),$B$80&gt;=0,$B$80&lt;=1,ROUND($B$81*12,0)&gt;=1,$B$81&lt;=100,SUM($B$82)&gt;=0,SUM($B$82)&lt;=1,SUM($B$83)&gt;=0)),IF(B1030=0,0,IF(C1030=0,B1030/ROUND($B$81*12,0),B1030*(C1030/12)/(1-(1+C1030/12)^(-ROUND($B$81*12,0))))),IF(AND(NOT(AND(630&gt;$B$173,$B$78="Refinance",ISNUMBER($B$80),$B$80&gt;=0,$B$80&lt;=1,ROUND($B$81*12,0)&gt;=1,$B$81&lt;=100,SUM($B$82)&gt;=0,SUM($B$82)&lt;=1,SUM($B$83)&gt;=0)),OR(630=1,630=$B$174+1,AND($B$175&gt;0,630=$B$175+1))),IF(AND($B$170=1,$B$66&gt;0,OR($B$175=0,630&lt;=$B$175)),$B$66,IF($B$172-MAX(630-1,$B$174)&gt;0,IF(B1030=0,0,IF(C1030=0,B1030/($B$172-MAX(630-1,$B$174)),B1030*(C1030/12)/(1-(1+C1030/12)^(-($B$172-MAX(630-1,$B$174)))))),"")),D1029)))+0.0000001&gt;=B1030*C1030/12,MIN(B1030*(1+C1030/12),IF(AND(630&lt;=$B$174,630&lt;=$B$173),B1030*C1030/12,IF(AND(630=$B$173+1,AND(630&gt;$B$173,$B$78="Refinance",ISNUMBER($B$80),$B$80&gt;=0,$B$80&lt;=1,ROUND($B$81*12,0)&gt;=1,$B$81&lt;=100,SUM($B$82)&gt;=0,SUM($B$82)&lt;=1,SUM($B$83)&gt;=0)),IF(B1030=0,0,IF(C1030=0,B1030/ROUND($B$81*12,0),B1030*(C1030/12)/(1-(1+C1030/12)^(-ROUND($B$81*12,0))))),IF(AND(NOT(AND(630&gt;$B$173,$B$78="Refinance",ISNUMBER($B$80),$B$80&gt;=0,$B$80&lt;=1,ROUND($B$81*12,0)&gt;=1,$B$81&lt;=100,SUM($B$82)&gt;=0,SUM($B$82)&lt;=1,SUM($B$83)&gt;=0)),OR(630=1,630=$B$174+1,AND($B$175&gt;0,630=$B$175+1))),IF(AND($B$170=1,$B$66&gt;0,OR($B$175=0,630&lt;=$B$175)),$B$66,IF($B$172-MAX(630-1,$B$174)&gt;0,IF(B1030=0,0,IF(C1030=0,B1030/($B$172-MAX(630-1,$B$174)),B1030*(C1030/12)/(1-(1+C1030/12)^(-($B$172-MAX(630-1,$B$174)))))),"")),D1029)))),""),""))</x:f>
        <x:v>0</x:v>
      </x:c>
      <x:c r="E1030" s="440" t="n">
        <x:f>IF(AND(630=$B$173,ISNUMBER(D1030)),IF(MAX(0,B1030*(1+C1030/12)-D1030)&lt;MAX(0.0000001,$E$17*0.00000000001),0,MAX(0,B1030*(1+C1030/12)-D1030)),0)</x:f>
        <x:v>0</x:v>
      </x:c>
      <x:c r="F1030" s="440" t="n">
        <x:f>IF($B$78="Cash payoff",E1030,0)</x:f>
        <x:v>0</x:v>
      </x:c>
      <x:c r="G1030" s="440" t="n">
        <x:f>IF(AND(E1030&gt;0,AND($B$78="Refinance",ISNUMBER($B$80),$B$80&gt;=0,$B$80&lt;=1,ROUND($B$81*12,0)&gt;=1,$B$81&lt;=100,SUM($B$82)&gt;=0,SUM($B$82)&lt;=1,SUM($B$83)&gt;=0)),E1030*SUM($B$82)+SUM($B$83),0)</x:f>
        <x:v>0</x:v>
      </x:c>
      <x:c r="H1030" s="440" t="n">
        <x:f>IF(ISNUMBER(D1030),IF(MAX(0,B1030*(1+C1030/12)-D1030-F1030)&lt;MAX(0.0000001,$E$17*0.00000000001),0,MAX(0,B1030*(1+C1030/12)-D1030-F1030)),IF(AND($B$171=1,I1029=1),B1030,""))</x:f>
        <x:v>0</x:v>
      </x:c>
      <x:c r="I1030" s="444" t="n">
        <x:f>IF(OR(I1029=1,AND(E1030&gt;0,$B$78&lt;&gt;"Cash payoff",NOT(AND($B$78="Refinance",ISNUMBER($B$80),$B$80&gt;=0,$B$80&lt;=1,ROUND($B$81*12,0)&gt;=1,$B$81&lt;=100,SUM($B$82)&gt;=0,SUM($B$82)&lt;=1,SUM($B$83)&gt;=0))),AND(ISNUMBER(B1030),B1030&gt;0,$B$171=1,NOT(ISNUMBER(D1030)))),1,0)</x:f>
        <x:v>0</x:v>
      </x:c>
      <x:c r="J1030" s="440" t="n">
        <x:f>IF(ISNUMBER(L1029),L1029,"")</x:f>
        <x:v>0</x:v>
      </x:c>
      <x:c r="K1030" s="440" t="n">
        <x:f>IF(AND(ISNUMBER(J1030),J1030=0),0,IF(AND($B$176=1,ISNUMBER(J1030)),MIN(J1030*(1+$B$87/12),IF($B$86=0,0,IF($B$87=0,$B$86/ROUND($B$88*12,0),$B$86*($B$87/12)/(1-(1+$B$87/12)^(-ROUND($B$88*12,0)))))),""))</x:f>
        <x:v>0</x:v>
      </x:c>
      <x:c r="L1030" s="440" t="n">
        <x:f>IF(ISNUMBER(K1030),IF(MAX(0,J1030*(1+SUM($B$87)/12)-K1030)&lt;MAX(0.0000001,$B$86*0.00000000001),0,MAX(0,J1030*(1+SUM($B$87)/12)-K1030)),"")</x:f>
        <x:v>0</x:v>
      </x:c>
      <x:c r="M1030" s="440" t="n">
        <x:f>IF(AND(ISNUMBER(D1030),ISNUMBER(K1030)),D1030+K1030,"")</x:f>
        <x:v>0</x:v>
      </x:c>
      <x:c r="N1030" s="440" t="n">
        <x:f>IF(AND(ISNUMBER(H1030),ISNUMBER(L1030)),H1030+L1030,"")</x:f>
        <x:v>0</x:v>
      </x:c>
    </x:row>
    <x:row r="1031" ht="22" customHeight="1">
      <x:c r="A1031" s="254" t="n">
        <x:f>631</x:f>
        <x:v>631</x:v>
      </x:c>
      <x:c r="B1031" s="440" t="n">
        <x:f>IF(ISNUMBER(H1030),H1030,"")</x:f>
        <x:v>0</x:v>
      </x:c>
      <x:c r="C1031" s="442" t="n">
        <x:f>IF(ISNUMBER(B1031),IF(AND(631&gt;$B$173,$B$78="Refinance",ISNUMBER($B$80),$B$80&gt;=0,$B$80&lt;=1,ROUND($B$81*12,0)&gt;=1,$B$81&lt;=100,SUM($B$82)&gt;=0,SUM($B$82)&lt;=1,SUM($B$83)&gt;=0),$B$80,IF(AND($B$175&gt;0,631&gt;$B$175,ISNUMBER($B$75)),$B$75,$B$61)),"")</x:f>
        <x:v>0.0625</x:v>
      </x:c>
      <x:c r="D1031" s="440" t="n">
        <x:f>IF(AND(ISNUMBER(B1031),B1031=0),0,IF(AND($B$171=1,I1030=0,ISNUMBER(C1031),ISNUMBER(IF(AND(631&lt;=$B$174,631&lt;=$B$173),B1031*C1031/12,IF(AND(631=$B$173+1,AND(631&gt;$B$173,$B$78="Refinance",ISNUMBER($B$80),$B$80&gt;=0,$B$80&lt;=1,ROUND($B$81*12,0)&gt;=1,$B$81&lt;=100,SUM($B$82)&gt;=0,SUM($B$82)&lt;=1,SUM($B$83)&gt;=0)),IF(B1031=0,0,IF(C1031=0,B1031/ROUND($B$81*12,0),B1031*(C1031/12)/(1-(1+C1031/12)^(-ROUND($B$81*12,0))))),IF(AND(NOT(AND(631&gt;$B$173,$B$78="Refinance",ISNUMBER($B$80),$B$80&gt;=0,$B$80&lt;=1,ROUND($B$81*12,0)&gt;=1,$B$81&lt;=100,SUM($B$82)&gt;=0,SUM($B$82)&lt;=1,SUM($B$83)&gt;=0)),OR(631=1,631=$B$174+1,AND($B$175&gt;0,631=$B$175+1))),IF(AND($B$170=1,$B$66&gt;0,OR($B$175=0,631&lt;=$B$175)),$B$66,IF($B$172-MAX(631-1,$B$174)&gt;0,IF(B1031=0,0,IF(C1031=0,B1031/($B$172-MAX(631-1,$B$174)),B1031*(C1031/12)/(1-(1+C1031/12)^(-($B$172-MAX(631-1,$B$174)))))),"")),D1030))))),IF(IF(AND(631&lt;=$B$174,631&lt;=$B$173),B1031*C1031/12,IF(AND(631=$B$173+1,AND(631&gt;$B$173,$B$78="Refinance",ISNUMBER($B$80),$B$80&gt;=0,$B$80&lt;=1,ROUND($B$81*12,0)&gt;=1,$B$81&lt;=100,SUM($B$82)&gt;=0,SUM($B$82)&lt;=1,SUM($B$83)&gt;=0)),IF(B1031=0,0,IF(C1031=0,B1031/ROUND($B$81*12,0),B1031*(C1031/12)/(1-(1+C1031/12)^(-ROUND($B$81*12,0))))),IF(AND(NOT(AND(631&gt;$B$173,$B$78="Refinance",ISNUMBER($B$80),$B$80&gt;=0,$B$80&lt;=1,ROUND($B$81*12,0)&gt;=1,$B$81&lt;=100,SUM($B$82)&gt;=0,SUM($B$82)&lt;=1,SUM($B$83)&gt;=0)),OR(631=1,631=$B$174+1,AND($B$175&gt;0,631=$B$175+1))),IF(AND($B$170=1,$B$66&gt;0,OR($B$175=0,631&lt;=$B$175)),$B$66,IF($B$172-MAX(631-1,$B$174)&gt;0,IF(B1031=0,0,IF(C1031=0,B1031/($B$172-MAX(631-1,$B$174)),B1031*(C1031/12)/(1-(1+C1031/12)^(-($B$172-MAX(631-1,$B$174)))))),"")),D1030)))+0.0000001&gt;=B1031*C1031/12,MIN(B1031*(1+C1031/12),IF(AND(631&lt;=$B$174,631&lt;=$B$173),B1031*C1031/12,IF(AND(631=$B$173+1,AND(631&gt;$B$173,$B$78="Refinance",ISNUMBER($B$80),$B$80&gt;=0,$B$80&lt;=1,ROUND($B$81*12,0)&gt;=1,$B$81&lt;=100,SUM($B$82)&gt;=0,SUM($B$82)&lt;=1,SUM($B$83)&gt;=0)),IF(B1031=0,0,IF(C1031=0,B1031/ROUND($B$81*12,0),B1031*(C1031/12)/(1-(1+C1031/12)^(-ROUND($B$81*12,0))))),IF(AND(NOT(AND(631&gt;$B$173,$B$78="Refinance",ISNUMBER($B$80),$B$80&gt;=0,$B$80&lt;=1,ROUND($B$81*12,0)&gt;=1,$B$81&lt;=100,SUM($B$82)&gt;=0,SUM($B$82)&lt;=1,SUM($B$83)&gt;=0)),OR(631=1,631=$B$174+1,AND($B$175&gt;0,631=$B$175+1))),IF(AND($B$170=1,$B$66&gt;0,OR($B$175=0,631&lt;=$B$175)),$B$66,IF($B$172-MAX(631-1,$B$174)&gt;0,IF(B1031=0,0,IF(C1031=0,B1031/($B$172-MAX(631-1,$B$174)),B1031*(C1031/12)/(1-(1+C1031/12)^(-($B$172-MAX(631-1,$B$174)))))),"")),D1030)))),""),""))</x:f>
        <x:v>0</x:v>
      </x:c>
      <x:c r="E1031" s="440" t="n">
        <x:f>IF(AND(631=$B$173,ISNUMBER(D1031)),IF(MAX(0,B1031*(1+C1031/12)-D1031)&lt;MAX(0.0000001,$E$17*0.00000000001),0,MAX(0,B1031*(1+C1031/12)-D1031)),0)</x:f>
        <x:v>0</x:v>
      </x:c>
      <x:c r="F1031" s="440" t="n">
        <x:f>IF($B$78="Cash payoff",E1031,0)</x:f>
        <x:v>0</x:v>
      </x:c>
      <x:c r="G1031" s="440" t="n">
        <x:f>IF(AND(E1031&gt;0,AND($B$78="Refinance",ISNUMBER($B$80),$B$80&gt;=0,$B$80&lt;=1,ROUND($B$81*12,0)&gt;=1,$B$81&lt;=100,SUM($B$82)&gt;=0,SUM($B$82)&lt;=1,SUM($B$83)&gt;=0)),E1031*SUM($B$82)+SUM($B$83),0)</x:f>
        <x:v>0</x:v>
      </x:c>
      <x:c r="H1031" s="440" t="n">
        <x:f>IF(ISNUMBER(D1031),IF(MAX(0,B1031*(1+C1031/12)-D1031-F1031)&lt;MAX(0.0000001,$E$17*0.00000000001),0,MAX(0,B1031*(1+C1031/12)-D1031-F1031)),IF(AND($B$171=1,I1030=1),B1031,""))</x:f>
        <x:v>0</x:v>
      </x:c>
      <x:c r="I1031" s="444" t="n">
        <x:f>IF(OR(I1030=1,AND(E1031&gt;0,$B$78&lt;&gt;"Cash payoff",NOT(AND($B$78="Refinance",ISNUMBER($B$80),$B$80&gt;=0,$B$80&lt;=1,ROUND($B$81*12,0)&gt;=1,$B$81&lt;=100,SUM($B$82)&gt;=0,SUM($B$82)&lt;=1,SUM($B$83)&gt;=0))),AND(ISNUMBER(B1031),B1031&gt;0,$B$171=1,NOT(ISNUMBER(D1031)))),1,0)</x:f>
        <x:v>0</x:v>
      </x:c>
      <x:c r="J1031" s="440" t="n">
        <x:f>IF(ISNUMBER(L1030),L1030,"")</x:f>
        <x:v>0</x:v>
      </x:c>
      <x:c r="K1031" s="440" t="n">
        <x:f>IF(AND(ISNUMBER(J1031),J1031=0),0,IF(AND($B$176=1,ISNUMBER(J1031)),MIN(J1031*(1+$B$87/12),IF($B$86=0,0,IF($B$87=0,$B$86/ROUND($B$88*12,0),$B$86*($B$87/12)/(1-(1+$B$87/12)^(-ROUND($B$88*12,0)))))),""))</x:f>
        <x:v>0</x:v>
      </x:c>
      <x:c r="L1031" s="440" t="n">
        <x:f>IF(ISNUMBER(K1031),IF(MAX(0,J1031*(1+SUM($B$87)/12)-K1031)&lt;MAX(0.0000001,$B$86*0.00000000001),0,MAX(0,J1031*(1+SUM($B$87)/12)-K1031)),"")</x:f>
        <x:v>0</x:v>
      </x:c>
      <x:c r="M1031" s="440" t="n">
        <x:f>IF(AND(ISNUMBER(D1031),ISNUMBER(K1031)),D1031+K1031,"")</x:f>
        <x:v>0</x:v>
      </x:c>
      <x:c r="N1031" s="440" t="n">
        <x:f>IF(AND(ISNUMBER(H1031),ISNUMBER(L1031)),H1031+L1031,"")</x:f>
        <x:v>0</x:v>
      </x:c>
    </x:row>
    <x:row r="1032" ht="22" customHeight="1">
      <x:c r="A1032" s="254" t="n">
        <x:f>632</x:f>
        <x:v>632</x:v>
      </x:c>
      <x:c r="B1032" s="440" t="n">
        <x:f>IF(ISNUMBER(H1031),H1031,"")</x:f>
        <x:v>0</x:v>
      </x:c>
      <x:c r="C1032" s="442" t="n">
        <x:f>IF(ISNUMBER(B1032),IF(AND(632&gt;$B$173,$B$78="Refinance",ISNUMBER($B$80),$B$80&gt;=0,$B$80&lt;=1,ROUND($B$81*12,0)&gt;=1,$B$81&lt;=100,SUM($B$82)&gt;=0,SUM($B$82)&lt;=1,SUM($B$83)&gt;=0),$B$80,IF(AND($B$175&gt;0,632&gt;$B$175,ISNUMBER($B$75)),$B$75,$B$61)),"")</x:f>
        <x:v>0.0625</x:v>
      </x:c>
      <x:c r="D1032" s="440" t="n">
        <x:f>IF(AND(ISNUMBER(B1032),B1032=0),0,IF(AND($B$171=1,I1031=0,ISNUMBER(C1032),ISNUMBER(IF(AND(632&lt;=$B$174,632&lt;=$B$173),B1032*C1032/12,IF(AND(632=$B$173+1,AND(632&gt;$B$173,$B$78="Refinance",ISNUMBER($B$80),$B$80&gt;=0,$B$80&lt;=1,ROUND($B$81*12,0)&gt;=1,$B$81&lt;=100,SUM($B$82)&gt;=0,SUM($B$82)&lt;=1,SUM($B$83)&gt;=0)),IF(B1032=0,0,IF(C1032=0,B1032/ROUND($B$81*12,0),B1032*(C1032/12)/(1-(1+C1032/12)^(-ROUND($B$81*12,0))))),IF(AND(NOT(AND(632&gt;$B$173,$B$78="Refinance",ISNUMBER($B$80),$B$80&gt;=0,$B$80&lt;=1,ROUND($B$81*12,0)&gt;=1,$B$81&lt;=100,SUM($B$82)&gt;=0,SUM($B$82)&lt;=1,SUM($B$83)&gt;=0)),OR(632=1,632=$B$174+1,AND($B$175&gt;0,632=$B$175+1))),IF(AND($B$170=1,$B$66&gt;0,OR($B$175=0,632&lt;=$B$175)),$B$66,IF($B$172-MAX(632-1,$B$174)&gt;0,IF(B1032=0,0,IF(C1032=0,B1032/($B$172-MAX(632-1,$B$174)),B1032*(C1032/12)/(1-(1+C1032/12)^(-($B$172-MAX(632-1,$B$174)))))),"")),D1031))))),IF(IF(AND(632&lt;=$B$174,632&lt;=$B$173),B1032*C1032/12,IF(AND(632=$B$173+1,AND(632&gt;$B$173,$B$78="Refinance",ISNUMBER($B$80),$B$80&gt;=0,$B$80&lt;=1,ROUND($B$81*12,0)&gt;=1,$B$81&lt;=100,SUM($B$82)&gt;=0,SUM($B$82)&lt;=1,SUM($B$83)&gt;=0)),IF(B1032=0,0,IF(C1032=0,B1032/ROUND($B$81*12,0),B1032*(C1032/12)/(1-(1+C1032/12)^(-ROUND($B$81*12,0))))),IF(AND(NOT(AND(632&gt;$B$173,$B$78="Refinance",ISNUMBER($B$80),$B$80&gt;=0,$B$80&lt;=1,ROUND($B$81*12,0)&gt;=1,$B$81&lt;=100,SUM($B$82)&gt;=0,SUM($B$82)&lt;=1,SUM($B$83)&gt;=0)),OR(632=1,632=$B$174+1,AND($B$175&gt;0,632=$B$175+1))),IF(AND($B$170=1,$B$66&gt;0,OR($B$175=0,632&lt;=$B$175)),$B$66,IF($B$172-MAX(632-1,$B$174)&gt;0,IF(B1032=0,0,IF(C1032=0,B1032/($B$172-MAX(632-1,$B$174)),B1032*(C1032/12)/(1-(1+C1032/12)^(-($B$172-MAX(632-1,$B$174)))))),"")),D1031)))+0.0000001&gt;=B1032*C1032/12,MIN(B1032*(1+C1032/12),IF(AND(632&lt;=$B$174,632&lt;=$B$173),B1032*C1032/12,IF(AND(632=$B$173+1,AND(632&gt;$B$173,$B$78="Refinance",ISNUMBER($B$80),$B$80&gt;=0,$B$80&lt;=1,ROUND($B$81*12,0)&gt;=1,$B$81&lt;=100,SUM($B$82)&gt;=0,SUM($B$82)&lt;=1,SUM($B$83)&gt;=0)),IF(B1032=0,0,IF(C1032=0,B1032/ROUND($B$81*12,0),B1032*(C1032/12)/(1-(1+C1032/12)^(-ROUND($B$81*12,0))))),IF(AND(NOT(AND(632&gt;$B$173,$B$78="Refinance",ISNUMBER($B$80),$B$80&gt;=0,$B$80&lt;=1,ROUND($B$81*12,0)&gt;=1,$B$81&lt;=100,SUM($B$82)&gt;=0,SUM($B$82)&lt;=1,SUM($B$83)&gt;=0)),OR(632=1,632=$B$174+1,AND($B$175&gt;0,632=$B$175+1))),IF(AND($B$170=1,$B$66&gt;0,OR($B$175=0,632&lt;=$B$175)),$B$66,IF($B$172-MAX(632-1,$B$174)&gt;0,IF(B1032=0,0,IF(C1032=0,B1032/($B$172-MAX(632-1,$B$174)),B1032*(C1032/12)/(1-(1+C1032/12)^(-($B$172-MAX(632-1,$B$174)))))),"")),D1031)))),""),""))</x:f>
        <x:v>0</x:v>
      </x:c>
      <x:c r="E1032" s="440" t="n">
        <x:f>IF(AND(632=$B$173,ISNUMBER(D1032)),IF(MAX(0,B1032*(1+C1032/12)-D1032)&lt;MAX(0.0000001,$E$17*0.00000000001),0,MAX(0,B1032*(1+C1032/12)-D1032)),0)</x:f>
        <x:v>0</x:v>
      </x:c>
      <x:c r="F1032" s="440" t="n">
        <x:f>IF($B$78="Cash payoff",E1032,0)</x:f>
        <x:v>0</x:v>
      </x:c>
      <x:c r="G1032" s="440" t="n">
        <x:f>IF(AND(E1032&gt;0,AND($B$78="Refinance",ISNUMBER($B$80),$B$80&gt;=0,$B$80&lt;=1,ROUND($B$81*12,0)&gt;=1,$B$81&lt;=100,SUM($B$82)&gt;=0,SUM($B$82)&lt;=1,SUM($B$83)&gt;=0)),E1032*SUM($B$82)+SUM($B$83),0)</x:f>
        <x:v>0</x:v>
      </x:c>
      <x:c r="H1032" s="440" t="n">
        <x:f>IF(ISNUMBER(D1032),IF(MAX(0,B1032*(1+C1032/12)-D1032-F1032)&lt;MAX(0.0000001,$E$17*0.00000000001),0,MAX(0,B1032*(1+C1032/12)-D1032-F1032)),IF(AND($B$171=1,I1031=1),B1032,""))</x:f>
        <x:v>0</x:v>
      </x:c>
      <x:c r="I1032" s="444" t="n">
        <x:f>IF(OR(I1031=1,AND(E1032&gt;0,$B$78&lt;&gt;"Cash payoff",NOT(AND($B$78="Refinance",ISNUMBER($B$80),$B$80&gt;=0,$B$80&lt;=1,ROUND($B$81*12,0)&gt;=1,$B$81&lt;=100,SUM($B$82)&gt;=0,SUM($B$82)&lt;=1,SUM($B$83)&gt;=0))),AND(ISNUMBER(B1032),B1032&gt;0,$B$171=1,NOT(ISNUMBER(D1032)))),1,0)</x:f>
        <x:v>0</x:v>
      </x:c>
      <x:c r="J1032" s="440" t="n">
        <x:f>IF(ISNUMBER(L1031),L1031,"")</x:f>
        <x:v>0</x:v>
      </x:c>
      <x:c r="K1032" s="440" t="n">
        <x:f>IF(AND(ISNUMBER(J1032),J1032=0),0,IF(AND($B$176=1,ISNUMBER(J1032)),MIN(J1032*(1+$B$87/12),IF($B$86=0,0,IF($B$87=0,$B$86/ROUND($B$88*12,0),$B$86*($B$87/12)/(1-(1+$B$87/12)^(-ROUND($B$88*12,0)))))),""))</x:f>
        <x:v>0</x:v>
      </x:c>
      <x:c r="L1032" s="440" t="n">
        <x:f>IF(ISNUMBER(K1032),IF(MAX(0,J1032*(1+SUM($B$87)/12)-K1032)&lt;MAX(0.0000001,$B$86*0.00000000001),0,MAX(0,J1032*(1+SUM($B$87)/12)-K1032)),"")</x:f>
        <x:v>0</x:v>
      </x:c>
      <x:c r="M1032" s="440" t="n">
        <x:f>IF(AND(ISNUMBER(D1032),ISNUMBER(K1032)),D1032+K1032,"")</x:f>
        <x:v>0</x:v>
      </x:c>
      <x:c r="N1032" s="440" t="n">
        <x:f>IF(AND(ISNUMBER(H1032),ISNUMBER(L1032)),H1032+L1032,"")</x:f>
        <x:v>0</x:v>
      </x:c>
    </x:row>
    <x:row r="1033" ht="22" customHeight="1">
      <x:c r="A1033" s="254" t="n">
        <x:f>633</x:f>
        <x:v>633</x:v>
      </x:c>
      <x:c r="B1033" s="440" t="n">
        <x:f>IF(ISNUMBER(H1032),H1032,"")</x:f>
        <x:v>0</x:v>
      </x:c>
      <x:c r="C1033" s="442" t="n">
        <x:f>IF(ISNUMBER(B1033),IF(AND(633&gt;$B$173,$B$78="Refinance",ISNUMBER($B$80),$B$80&gt;=0,$B$80&lt;=1,ROUND($B$81*12,0)&gt;=1,$B$81&lt;=100,SUM($B$82)&gt;=0,SUM($B$82)&lt;=1,SUM($B$83)&gt;=0),$B$80,IF(AND($B$175&gt;0,633&gt;$B$175,ISNUMBER($B$75)),$B$75,$B$61)),"")</x:f>
        <x:v>0.0625</x:v>
      </x:c>
      <x:c r="D1033" s="440" t="n">
        <x:f>IF(AND(ISNUMBER(B1033),B1033=0),0,IF(AND($B$171=1,I1032=0,ISNUMBER(C1033),ISNUMBER(IF(AND(633&lt;=$B$174,633&lt;=$B$173),B1033*C1033/12,IF(AND(633=$B$173+1,AND(633&gt;$B$173,$B$78="Refinance",ISNUMBER($B$80),$B$80&gt;=0,$B$80&lt;=1,ROUND($B$81*12,0)&gt;=1,$B$81&lt;=100,SUM($B$82)&gt;=0,SUM($B$82)&lt;=1,SUM($B$83)&gt;=0)),IF(B1033=0,0,IF(C1033=0,B1033/ROUND($B$81*12,0),B1033*(C1033/12)/(1-(1+C1033/12)^(-ROUND($B$81*12,0))))),IF(AND(NOT(AND(633&gt;$B$173,$B$78="Refinance",ISNUMBER($B$80),$B$80&gt;=0,$B$80&lt;=1,ROUND($B$81*12,0)&gt;=1,$B$81&lt;=100,SUM($B$82)&gt;=0,SUM($B$82)&lt;=1,SUM($B$83)&gt;=0)),OR(633=1,633=$B$174+1,AND($B$175&gt;0,633=$B$175+1))),IF(AND($B$170=1,$B$66&gt;0,OR($B$175=0,633&lt;=$B$175)),$B$66,IF($B$172-MAX(633-1,$B$174)&gt;0,IF(B1033=0,0,IF(C1033=0,B1033/($B$172-MAX(633-1,$B$174)),B1033*(C1033/12)/(1-(1+C1033/12)^(-($B$172-MAX(633-1,$B$174)))))),"")),D1032))))),IF(IF(AND(633&lt;=$B$174,633&lt;=$B$173),B1033*C1033/12,IF(AND(633=$B$173+1,AND(633&gt;$B$173,$B$78="Refinance",ISNUMBER($B$80),$B$80&gt;=0,$B$80&lt;=1,ROUND($B$81*12,0)&gt;=1,$B$81&lt;=100,SUM($B$82)&gt;=0,SUM($B$82)&lt;=1,SUM($B$83)&gt;=0)),IF(B1033=0,0,IF(C1033=0,B1033/ROUND($B$81*12,0),B1033*(C1033/12)/(1-(1+C1033/12)^(-ROUND($B$81*12,0))))),IF(AND(NOT(AND(633&gt;$B$173,$B$78="Refinance",ISNUMBER($B$80),$B$80&gt;=0,$B$80&lt;=1,ROUND($B$81*12,0)&gt;=1,$B$81&lt;=100,SUM($B$82)&gt;=0,SUM($B$82)&lt;=1,SUM($B$83)&gt;=0)),OR(633=1,633=$B$174+1,AND($B$175&gt;0,633=$B$175+1))),IF(AND($B$170=1,$B$66&gt;0,OR($B$175=0,633&lt;=$B$175)),$B$66,IF($B$172-MAX(633-1,$B$174)&gt;0,IF(B1033=0,0,IF(C1033=0,B1033/($B$172-MAX(633-1,$B$174)),B1033*(C1033/12)/(1-(1+C1033/12)^(-($B$172-MAX(633-1,$B$174)))))),"")),D1032)))+0.0000001&gt;=B1033*C1033/12,MIN(B1033*(1+C1033/12),IF(AND(633&lt;=$B$174,633&lt;=$B$173),B1033*C1033/12,IF(AND(633=$B$173+1,AND(633&gt;$B$173,$B$78="Refinance",ISNUMBER($B$80),$B$80&gt;=0,$B$80&lt;=1,ROUND($B$81*12,0)&gt;=1,$B$81&lt;=100,SUM($B$82)&gt;=0,SUM($B$82)&lt;=1,SUM($B$83)&gt;=0)),IF(B1033=0,0,IF(C1033=0,B1033/ROUND($B$81*12,0),B1033*(C1033/12)/(1-(1+C1033/12)^(-ROUND($B$81*12,0))))),IF(AND(NOT(AND(633&gt;$B$173,$B$78="Refinance",ISNUMBER($B$80),$B$80&gt;=0,$B$80&lt;=1,ROUND($B$81*12,0)&gt;=1,$B$81&lt;=100,SUM($B$82)&gt;=0,SUM($B$82)&lt;=1,SUM($B$83)&gt;=0)),OR(633=1,633=$B$174+1,AND($B$175&gt;0,633=$B$175+1))),IF(AND($B$170=1,$B$66&gt;0,OR($B$175=0,633&lt;=$B$175)),$B$66,IF($B$172-MAX(633-1,$B$174)&gt;0,IF(B1033=0,0,IF(C1033=0,B1033/($B$172-MAX(633-1,$B$174)),B1033*(C1033/12)/(1-(1+C1033/12)^(-($B$172-MAX(633-1,$B$174)))))),"")),D1032)))),""),""))</x:f>
        <x:v>0</x:v>
      </x:c>
      <x:c r="E1033" s="440" t="n">
        <x:f>IF(AND(633=$B$173,ISNUMBER(D1033)),IF(MAX(0,B1033*(1+C1033/12)-D1033)&lt;MAX(0.0000001,$E$17*0.00000000001),0,MAX(0,B1033*(1+C1033/12)-D1033)),0)</x:f>
        <x:v>0</x:v>
      </x:c>
      <x:c r="F1033" s="440" t="n">
        <x:f>IF($B$78="Cash payoff",E1033,0)</x:f>
        <x:v>0</x:v>
      </x:c>
      <x:c r="G1033" s="440" t="n">
        <x:f>IF(AND(E1033&gt;0,AND($B$78="Refinance",ISNUMBER($B$80),$B$80&gt;=0,$B$80&lt;=1,ROUND($B$81*12,0)&gt;=1,$B$81&lt;=100,SUM($B$82)&gt;=0,SUM($B$82)&lt;=1,SUM($B$83)&gt;=0)),E1033*SUM($B$82)+SUM($B$83),0)</x:f>
        <x:v>0</x:v>
      </x:c>
      <x:c r="H1033" s="440" t="n">
        <x:f>IF(ISNUMBER(D1033),IF(MAX(0,B1033*(1+C1033/12)-D1033-F1033)&lt;MAX(0.0000001,$E$17*0.00000000001),0,MAX(0,B1033*(1+C1033/12)-D1033-F1033)),IF(AND($B$171=1,I1032=1),B1033,""))</x:f>
        <x:v>0</x:v>
      </x:c>
      <x:c r="I1033" s="444" t="n">
        <x:f>IF(OR(I1032=1,AND(E1033&gt;0,$B$78&lt;&gt;"Cash payoff",NOT(AND($B$78="Refinance",ISNUMBER($B$80),$B$80&gt;=0,$B$80&lt;=1,ROUND($B$81*12,0)&gt;=1,$B$81&lt;=100,SUM($B$82)&gt;=0,SUM($B$82)&lt;=1,SUM($B$83)&gt;=0))),AND(ISNUMBER(B1033),B1033&gt;0,$B$171=1,NOT(ISNUMBER(D1033)))),1,0)</x:f>
        <x:v>0</x:v>
      </x:c>
      <x:c r="J1033" s="440" t="n">
        <x:f>IF(ISNUMBER(L1032),L1032,"")</x:f>
        <x:v>0</x:v>
      </x:c>
      <x:c r="K1033" s="440" t="n">
        <x:f>IF(AND(ISNUMBER(J1033),J1033=0),0,IF(AND($B$176=1,ISNUMBER(J1033)),MIN(J1033*(1+$B$87/12),IF($B$86=0,0,IF($B$87=0,$B$86/ROUND($B$88*12,0),$B$86*($B$87/12)/(1-(1+$B$87/12)^(-ROUND($B$88*12,0)))))),""))</x:f>
        <x:v>0</x:v>
      </x:c>
      <x:c r="L1033" s="440" t="n">
        <x:f>IF(ISNUMBER(K1033),IF(MAX(0,J1033*(1+SUM($B$87)/12)-K1033)&lt;MAX(0.0000001,$B$86*0.00000000001),0,MAX(0,J1033*(1+SUM($B$87)/12)-K1033)),"")</x:f>
        <x:v>0</x:v>
      </x:c>
      <x:c r="M1033" s="440" t="n">
        <x:f>IF(AND(ISNUMBER(D1033),ISNUMBER(K1033)),D1033+K1033,"")</x:f>
        <x:v>0</x:v>
      </x:c>
      <x:c r="N1033" s="440" t="n">
        <x:f>IF(AND(ISNUMBER(H1033),ISNUMBER(L1033)),H1033+L1033,"")</x:f>
        <x:v>0</x:v>
      </x:c>
    </x:row>
    <x:row r="1034" ht="22" customHeight="1">
      <x:c r="A1034" s="254" t="n">
        <x:f>634</x:f>
        <x:v>634</x:v>
      </x:c>
      <x:c r="B1034" s="440" t="n">
        <x:f>IF(ISNUMBER(H1033),H1033,"")</x:f>
        <x:v>0</x:v>
      </x:c>
      <x:c r="C1034" s="442" t="n">
        <x:f>IF(ISNUMBER(B1034),IF(AND(634&gt;$B$173,$B$78="Refinance",ISNUMBER($B$80),$B$80&gt;=0,$B$80&lt;=1,ROUND($B$81*12,0)&gt;=1,$B$81&lt;=100,SUM($B$82)&gt;=0,SUM($B$82)&lt;=1,SUM($B$83)&gt;=0),$B$80,IF(AND($B$175&gt;0,634&gt;$B$175,ISNUMBER($B$75)),$B$75,$B$61)),"")</x:f>
        <x:v>0.0625</x:v>
      </x:c>
      <x:c r="D1034" s="440" t="n">
        <x:f>IF(AND(ISNUMBER(B1034),B1034=0),0,IF(AND($B$171=1,I1033=0,ISNUMBER(C1034),ISNUMBER(IF(AND(634&lt;=$B$174,634&lt;=$B$173),B1034*C1034/12,IF(AND(634=$B$173+1,AND(634&gt;$B$173,$B$78="Refinance",ISNUMBER($B$80),$B$80&gt;=0,$B$80&lt;=1,ROUND($B$81*12,0)&gt;=1,$B$81&lt;=100,SUM($B$82)&gt;=0,SUM($B$82)&lt;=1,SUM($B$83)&gt;=0)),IF(B1034=0,0,IF(C1034=0,B1034/ROUND($B$81*12,0),B1034*(C1034/12)/(1-(1+C1034/12)^(-ROUND($B$81*12,0))))),IF(AND(NOT(AND(634&gt;$B$173,$B$78="Refinance",ISNUMBER($B$80),$B$80&gt;=0,$B$80&lt;=1,ROUND($B$81*12,0)&gt;=1,$B$81&lt;=100,SUM($B$82)&gt;=0,SUM($B$82)&lt;=1,SUM($B$83)&gt;=0)),OR(634=1,634=$B$174+1,AND($B$175&gt;0,634=$B$175+1))),IF(AND($B$170=1,$B$66&gt;0,OR($B$175=0,634&lt;=$B$175)),$B$66,IF($B$172-MAX(634-1,$B$174)&gt;0,IF(B1034=0,0,IF(C1034=0,B1034/($B$172-MAX(634-1,$B$174)),B1034*(C1034/12)/(1-(1+C1034/12)^(-($B$172-MAX(634-1,$B$174)))))),"")),D1033))))),IF(IF(AND(634&lt;=$B$174,634&lt;=$B$173),B1034*C1034/12,IF(AND(634=$B$173+1,AND(634&gt;$B$173,$B$78="Refinance",ISNUMBER($B$80),$B$80&gt;=0,$B$80&lt;=1,ROUND($B$81*12,0)&gt;=1,$B$81&lt;=100,SUM($B$82)&gt;=0,SUM($B$82)&lt;=1,SUM($B$83)&gt;=0)),IF(B1034=0,0,IF(C1034=0,B1034/ROUND($B$81*12,0),B1034*(C1034/12)/(1-(1+C1034/12)^(-ROUND($B$81*12,0))))),IF(AND(NOT(AND(634&gt;$B$173,$B$78="Refinance",ISNUMBER($B$80),$B$80&gt;=0,$B$80&lt;=1,ROUND($B$81*12,0)&gt;=1,$B$81&lt;=100,SUM($B$82)&gt;=0,SUM($B$82)&lt;=1,SUM($B$83)&gt;=0)),OR(634=1,634=$B$174+1,AND($B$175&gt;0,634=$B$175+1))),IF(AND($B$170=1,$B$66&gt;0,OR($B$175=0,634&lt;=$B$175)),$B$66,IF($B$172-MAX(634-1,$B$174)&gt;0,IF(B1034=0,0,IF(C1034=0,B1034/($B$172-MAX(634-1,$B$174)),B1034*(C1034/12)/(1-(1+C1034/12)^(-($B$172-MAX(634-1,$B$174)))))),"")),D1033)))+0.0000001&gt;=B1034*C1034/12,MIN(B1034*(1+C1034/12),IF(AND(634&lt;=$B$174,634&lt;=$B$173),B1034*C1034/12,IF(AND(634=$B$173+1,AND(634&gt;$B$173,$B$78="Refinance",ISNUMBER($B$80),$B$80&gt;=0,$B$80&lt;=1,ROUND($B$81*12,0)&gt;=1,$B$81&lt;=100,SUM($B$82)&gt;=0,SUM($B$82)&lt;=1,SUM($B$83)&gt;=0)),IF(B1034=0,0,IF(C1034=0,B1034/ROUND($B$81*12,0),B1034*(C1034/12)/(1-(1+C1034/12)^(-ROUND($B$81*12,0))))),IF(AND(NOT(AND(634&gt;$B$173,$B$78="Refinance",ISNUMBER($B$80),$B$80&gt;=0,$B$80&lt;=1,ROUND($B$81*12,0)&gt;=1,$B$81&lt;=100,SUM($B$82)&gt;=0,SUM($B$82)&lt;=1,SUM($B$83)&gt;=0)),OR(634=1,634=$B$174+1,AND($B$175&gt;0,634=$B$175+1))),IF(AND($B$170=1,$B$66&gt;0,OR($B$175=0,634&lt;=$B$175)),$B$66,IF($B$172-MAX(634-1,$B$174)&gt;0,IF(B1034=0,0,IF(C1034=0,B1034/($B$172-MAX(634-1,$B$174)),B1034*(C1034/12)/(1-(1+C1034/12)^(-($B$172-MAX(634-1,$B$174)))))),"")),D1033)))),""),""))</x:f>
        <x:v>0</x:v>
      </x:c>
      <x:c r="E1034" s="440" t="n">
        <x:f>IF(AND(634=$B$173,ISNUMBER(D1034)),IF(MAX(0,B1034*(1+C1034/12)-D1034)&lt;MAX(0.0000001,$E$17*0.00000000001),0,MAX(0,B1034*(1+C1034/12)-D1034)),0)</x:f>
        <x:v>0</x:v>
      </x:c>
      <x:c r="F1034" s="440" t="n">
        <x:f>IF($B$78="Cash payoff",E1034,0)</x:f>
        <x:v>0</x:v>
      </x:c>
      <x:c r="G1034" s="440" t="n">
        <x:f>IF(AND(E1034&gt;0,AND($B$78="Refinance",ISNUMBER($B$80),$B$80&gt;=0,$B$80&lt;=1,ROUND($B$81*12,0)&gt;=1,$B$81&lt;=100,SUM($B$82)&gt;=0,SUM($B$82)&lt;=1,SUM($B$83)&gt;=0)),E1034*SUM($B$82)+SUM($B$83),0)</x:f>
        <x:v>0</x:v>
      </x:c>
      <x:c r="H1034" s="440" t="n">
        <x:f>IF(ISNUMBER(D1034),IF(MAX(0,B1034*(1+C1034/12)-D1034-F1034)&lt;MAX(0.0000001,$E$17*0.00000000001),0,MAX(0,B1034*(1+C1034/12)-D1034-F1034)),IF(AND($B$171=1,I1033=1),B1034,""))</x:f>
        <x:v>0</x:v>
      </x:c>
      <x:c r="I1034" s="444" t="n">
        <x:f>IF(OR(I1033=1,AND(E1034&gt;0,$B$78&lt;&gt;"Cash payoff",NOT(AND($B$78="Refinance",ISNUMBER($B$80),$B$80&gt;=0,$B$80&lt;=1,ROUND($B$81*12,0)&gt;=1,$B$81&lt;=100,SUM($B$82)&gt;=0,SUM($B$82)&lt;=1,SUM($B$83)&gt;=0))),AND(ISNUMBER(B1034),B1034&gt;0,$B$171=1,NOT(ISNUMBER(D1034)))),1,0)</x:f>
        <x:v>0</x:v>
      </x:c>
      <x:c r="J1034" s="440" t="n">
        <x:f>IF(ISNUMBER(L1033),L1033,"")</x:f>
        <x:v>0</x:v>
      </x:c>
      <x:c r="K1034" s="440" t="n">
        <x:f>IF(AND(ISNUMBER(J1034),J1034=0),0,IF(AND($B$176=1,ISNUMBER(J1034)),MIN(J1034*(1+$B$87/12),IF($B$86=0,0,IF($B$87=0,$B$86/ROUND($B$88*12,0),$B$86*($B$87/12)/(1-(1+$B$87/12)^(-ROUND($B$88*12,0)))))),""))</x:f>
        <x:v>0</x:v>
      </x:c>
      <x:c r="L1034" s="440" t="n">
        <x:f>IF(ISNUMBER(K1034),IF(MAX(0,J1034*(1+SUM($B$87)/12)-K1034)&lt;MAX(0.0000001,$B$86*0.00000000001),0,MAX(0,J1034*(1+SUM($B$87)/12)-K1034)),"")</x:f>
        <x:v>0</x:v>
      </x:c>
      <x:c r="M1034" s="440" t="n">
        <x:f>IF(AND(ISNUMBER(D1034),ISNUMBER(K1034)),D1034+K1034,"")</x:f>
        <x:v>0</x:v>
      </x:c>
      <x:c r="N1034" s="440" t="n">
        <x:f>IF(AND(ISNUMBER(H1034),ISNUMBER(L1034)),H1034+L1034,"")</x:f>
        <x:v>0</x:v>
      </x:c>
    </x:row>
    <x:row r="1035" ht="22" customHeight="1">
      <x:c r="A1035" s="254" t="n">
        <x:f>635</x:f>
        <x:v>635</x:v>
      </x:c>
      <x:c r="B1035" s="440" t="n">
        <x:f>IF(ISNUMBER(H1034),H1034,"")</x:f>
        <x:v>0</x:v>
      </x:c>
      <x:c r="C1035" s="442" t="n">
        <x:f>IF(ISNUMBER(B1035),IF(AND(635&gt;$B$173,$B$78="Refinance",ISNUMBER($B$80),$B$80&gt;=0,$B$80&lt;=1,ROUND($B$81*12,0)&gt;=1,$B$81&lt;=100,SUM($B$82)&gt;=0,SUM($B$82)&lt;=1,SUM($B$83)&gt;=0),$B$80,IF(AND($B$175&gt;0,635&gt;$B$175,ISNUMBER($B$75)),$B$75,$B$61)),"")</x:f>
        <x:v>0.0625</x:v>
      </x:c>
      <x:c r="D1035" s="440" t="n">
        <x:f>IF(AND(ISNUMBER(B1035),B1035=0),0,IF(AND($B$171=1,I1034=0,ISNUMBER(C1035),ISNUMBER(IF(AND(635&lt;=$B$174,635&lt;=$B$173),B1035*C1035/12,IF(AND(635=$B$173+1,AND(635&gt;$B$173,$B$78="Refinance",ISNUMBER($B$80),$B$80&gt;=0,$B$80&lt;=1,ROUND($B$81*12,0)&gt;=1,$B$81&lt;=100,SUM($B$82)&gt;=0,SUM($B$82)&lt;=1,SUM($B$83)&gt;=0)),IF(B1035=0,0,IF(C1035=0,B1035/ROUND($B$81*12,0),B1035*(C1035/12)/(1-(1+C1035/12)^(-ROUND($B$81*12,0))))),IF(AND(NOT(AND(635&gt;$B$173,$B$78="Refinance",ISNUMBER($B$80),$B$80&gt;=0,$B$80&lt;=1,ROUND($B$81*12,0)&gt;=1,$B$81&lt;=100,SUM($B$82)&gt;=0,SUM($B$82)&lt;=1,SUM($B$83)&gt;=0)),OR(635=1,635=$B$174+1,AND($B$175&gt;0,635=$B$175+1))),IF(AND($B$170=1,$B$66&gt;0,OR($B$175=0,635&lt;=$B$175)),$B$66,IF($B$172-MAX(635-1,$B$174)&gt;0,IF(B1035=0,0,IF(C1035=0,B1035/($B$172-MAX(635-1,$B$174)),B1035*(C1035/12)/(1-(1+C1035/12)^(-($B$172-MAX(635-1,$B$174)))))),"")),D1034))))),IF(IF(AND(635&lt;=$B$174,635&lt;=$B$173),B1035*C1035/12,IF(AND(635=$B$173+1,AND(635&gt;$B$173,$B$78="Refinance",ISNUMBER($B$80),$B$80&gt;=0,$B$80&lt;=1,ROUND($B$81*12,0)&gt;=1,$B$81&lt;=100,SUM($B$82)&gt;=0,SUM($B$82)&lt;=1,SUM($B$83)&gt;=0)),IF(B1035=0,0,IF(C1035=0,B1035/ROUND($B$81*12,0),B1035*(C1035/12)/(1-(1+C1035/12)^(-ROUND($B$81*12,0))))),IF(AND(NOT(AND(635&gt;$B$173,$B$78="Refinance",ISNUMBER($B$80),$B$80&gt;=0,$B$80&lt;=1,ROUND($B$81*12,0)&gt;=1,$B$81&lt;=100,SUM($B$82)&gt;=0,SUM($B$82)&lt;=1,SUM($B$83)&gt;=0)),OR(635=1,635=$B$174+1,AND($B$175&gt;0,635=$B$175+1))),IF(AND($B$170=1,$B$66&gt;0,OR($B$175=0,635&lt;=$B$175)),$B$66,IF($B$172-MAX(635-1,$B$174)&gt;0,IF(B1035=0,0,IF(C1035=0,B1035/($B$172-MAX(635-1,$B$174)),B1035*(C1035/12)/(1-(1+C1035/12)^(-($B$172-MAX(635-1,$B$174)))))),"")),D1034)))+0.0000001&gt;=B1035*C1035/12,MIN(B1035*(1+C1035/12),IF(AND(635&lt;=$B$174,635&lt;=$B$173),B1035*C1035/12,IF(AND(635=$B$173+1,AND(635&gt;$B$173,$B$78="Refinance",ISNUMBER($B$80),$B$80&gt;=0,$B$80&lt;=1,ROUND($B$81*12,0)&gt;=1,$B$81&lt;=100,SUM($B$82)&gt;=0,SUM($B$82)&lt;=1,SUM($B$83)&gt;=0)),IF(B1035=0,0,IF(C1035=0,B1035/ROUND($B$81*12,0),B1035*(C1035/12)/(1-(1+C1035/12)^(-ROUND($B$81*12,0))))),IF(AND(NOT(AND(635&gt;$B$173,$B$78="Refinance",ISNUMBER($B$80),$B$80&gt;=0,$B$80&lt;=1,ROUND($B$81*12,0)&gt;=1,$B$81&lt;=100,SUM($B$82)&gt;=0,SUM($B$82)&lt;=1,SUM($B$83)&gt;=0)),OR(635=1,635=$B$174+1,AND($B$175&gt;0,635=$B$175+1))),IF(AND($B$170=1,$B$66&gt;0,OR($B$175=0,635&lt;=$B$175)),$B$66,IF($B$172-MAX(635-1,$B$174)&gt;0,IF(B1035=0,0,IF(C1035=0,B1035/($B$172-MAX(635-1,$B$174)),B1035*(C1035/12)/(1-(1+C1035/12)^(-($B$172-MAX(635-1,$B$174)))))),"")),D1034)))),""),""))</x:f>
        <x:v>0</x:v>
      </x:c>
      <x:c r="E1035" s="440" t="n">
        <x:f>IF(AND(635=$B$173,ISNUMBER(D1035)),IF(MAX(0,B1035*(1+C1035/12)-D1035)&lt;MAX(0.0000001,$E$17*0.00000000001),0,MAX(0,B1035*(1+C1035/12)-D1035)),0)</x:f>
        <x:v>0</x:v>
      </x:c>
      <x:c r="F1035" s="440" t="n">
        <x:f>IF($B$78="Cash payoff",E1035,0)</x:f>
        <x:v>0</x:v>
      </x:c>
      <x:c r="G1035" s="440" t="n">
        <x:f>IF(AND(E1035&gt;0,AND($B$78="Refinance",ISNUMBER($B$80),$B$80&gt;=0,$B$80&lt;=1,ROUND($B$81*12,0)&gt;=1,$B$81&lt;=100,SUM($B$82)&gt;=0,SUM($B$82)&lt;=1,SUM($B$83)&gt;=0)),E1035*SUM($B$82)+SUM($B$83),0)</x:f>
        <x:v>0</x:v>
      </x:c>
      <x:c r="H1035" s="440" t="n">
        <x:f>IF(ISNUMBER(D1035),IF(MAX(0,B1035*(1+C1035/12)-D1035-F1035)&lt;MAX(0.0000001,$E$17*0.00000000001),0,MAX(0,B1035*(1+C1035/12)-D1035-F1035)),IF(AND($B$171=1,I1034=1),B1035,""))</x:f>
        <x:v>0</x:v>
      </x:c>
      <x:c r="I1035" s="444" t="n">
        <x:f>IF(OR(I1034=1,AND(E1035&gt;0,$B$78&lt;&gt;"Cash payoff",NOT(AND($B$78="Refinance",ISNUMBER($B$80),$B$80&gt;=0,$B$80&lt;=1,ROUND($B$81*12,0)&gt;=1,$B$81&lt;=100,SUM($B$82)&gt;=0,SUM($B$82)&lt;=1,SUM($B$83)&gt;=0))),AND(ISNUMBER(B1035),B1035&gt;0,$B$171=1,NOT(ISNUMBER(D1035)))),1,0)</x:f>
        <x:v>0</x:v>
      </x:c>
      <x:c r="J1035" s="440" t="n">
        <x:f>IF(ISNUMBER(L1034),L1034,"")</x:f>
        <x:v>0</x:v>
      </x:c>
      <x:c r="K1035" s="440" t="n">
        <x:f>IF(AND(ISNUMBER(J1035),J1035=0),0,IF(AND($B$176=1,ISNUMBER(J1035)),MIN(J1035*(1+$B$87/12),IF($B$86=0,0,IF($B$87=0,$B$86/ROUND($B$88*12,0),$B$86*($B$87/12)/(1-(1+$B$87/12)^(-ROUND($B$88*12,0)))))),""))</x:f>
        <x:v>0</x:v>
      </x:c>
      <x:c r="L1035" s="440" t="n">
        <x:f>IF(ISNUMBER(K1035),IF(MAX(0,J1035*(1+SUM($B$87)/12)-K1035)&lt;MAX(0.0000001,$B$86*0.00000000001),0,MAX(0,J1035*(1+SUM($B$87)/12)-K1035)),"")</x:f>
        <x:v>0</x:v>
      </x:c>
      <x:c r="M1035" s="440" t="n">
        <x:f>IF(AND(ISNUMBER(D1035),ISNUMBER(K1035)),D1035+K1035,"")</x:f>
        <x:v>0</x:v>
      </x:c>
      <x:c r="N1035" s="440" t="n">
        <x:f>IF(AND(ISNUMBER(H1035),ISNUMBER(L1035)),H1035+L1035,"")</x:f>
        <x:v>0</x:v>
      </x:c>
    </x:row>
    <x:row r="1036" ht="22" customHeight="1">
      <x:c r="A1036" s="254" t="n">
        <x:f>636</x:f>
        <x:v>636</x:v>
      </x:c>
      <x:c r="B1036" s="440" t="n">
        <x:f>IF(ISNUMBER(H1035),H1035,"")</x:f>
        <x:v>0</x:v>
      </x:c>
      <x:c r="C1036" s="442" t="n">
        <x:f>IF(ISNUMBER(B1036),IF(AND(636&gt;$B$173,$B$78="Refinance",ISNUMBER($B$80),$B$80&gt;=0,$B$80&lt;=1,ROUND($B$81*12,0)&gt;=1,$B$81&lt;=100,SUM($B$82)&gt;=0,SUM($B$82)&lt;=1,SUM($B$83)&gt;=0),$B$80,IF(AND($B$175&gt;0,636&gt;$B$175,ISNUMBER($B$75)),$B$75,$B$61)),"")</x:f>
        <x:v>0.0625</x:v>
      </x:c>
      <x:c r="D1036" s="440" t="n">
        <x:f>IF(AND(ISNUMBER(B1036),B1036=0),0,IF(AND($B$171=1,I1035=0,ISNUMBER(C1036),ISNUMBER(IF(AND(636&lt;=$B$174,636&lt;=$B$173),B1036*C1036/12,IF(AND(636=$B$173+1,AND(636&gt;$B$173,$B$78="Refinance",ISNUMBER($B$80),$B$80&gt;=0,$B$80&lt;=1,ROUND($B$81*12,0)&gt;=1,$B$81&lt;=100,SUM($B$82)&gt;=0,SUM($B$82)&lt;=1,SUM($B$83)&gt;=0)),IF(B1036=0,0,IF(C1036=0,B1036/ROUND($B$81*12,0),B1036*(C1036/12)/(1-(1+C1036/12)^(-ROUND($B$81*12,0))))),IF(AND(NOT(AND(636&gt;$B$173,$B$78="Refinance",ISNUMBER($B$80),$B$80&gt;=0,$B$80&lt;=1,ROUND($B$81*12,0)&gt;=1,$B$81&lt;=100,SUM($B$82)&gt;=0,SUM($B$82)&lt;=1,SUM($B$83)&gt;=0)),OR(636=1,636=$B$174+1,AND($B$175&gt;0,636=$B$175+1))),IF(AND($B$170=1,$B$66&gt;0,OR($B$175=0,636&lt;=$B$175)),$B$66,IF($B$172-MAX(636-1,$B$174)&gt;0,IF(B1036=0,0,IF(C1036=0,B1036/($B$172-MAX(636-1,$B$174)),B1036*(C1036/12)/(1-(1+C1036/12)^(-($B$172-MAX(636-1,$B$174)))))),"")),D1035))))),IF(IF(AND(636&lt;=$B$174,636&lt;=$B$173),B1036*C1036/12,IF(AND(636=$B$173+1,AND(636&gt;$B$173,$B$78="Refinance",ISNUMBER($B$80),$B$80&gt;=0,$B$80&lt;=1,ROUND($B$81*12,0)&gt;=1,$B$81&lt;=100,SUM($B$82)&gt;=0,SUM($B$82)&lt;=1,SUM($B$83)&gt;=0)),IF(B1036=0,0,IF(C1036=0,B1036/ROUND($B$81*12,0),B1036*(C1036/12)/(1-(1+C1036/12)^(-ROUND($B$81*12,0))))),IF(AND(NOT(AND(636&gt;$B$173,$B$78="Refinance",ISNUMBER($B$80),$B$80&gt;=0,$B$80&lt;=1,ROUND($B$81*12,0)&gt;=1,$B$81&lt;=100,SUM($B$82)&gt;=0,SUM($B$82)&lt;=1,SUM($B$83)&gt;=0)),OR(636=1,636=$B$174+1,AND($B$175&gt;0,636=$B$175+1))),IF(AND($B$170=1,$B$66&gt;0,OR($B$175=0,636&lt;=$B$175)),$B$66,IF($B$172-MAX(636-1,$B$174)&gt;0,IF(B1036=0,0,IF(C1036=0,B1036/($B$172-MAX(636-1,$B$174)),B1036*(C1036/12)/(1-(1+C1036/12)^(-($B$172-MAX(636-1,$B$174)))))),"")),D1035)))+0.0000001&gt;=B1036*C1036/12,MIN(B1036*(1+C1036/12),IF(AND(636&lt;=$B$174,636&lt;=$B$173),B1036*C1036/12,IF(AND(636=$B$173+1,AND(636&gt;$B$173,$B$78="Refinance",ISNUMBER($B$80),$B$80&gt;=0,$B$80&lt;=1,ROUND($B$81*12,0)&gt;=1,$B$81&lt;=100,SUM($B$82)&gt;=0,SUM($B$82)&lt;=1,SUM($B$83)&gt;=0)),IF(B1036=0,0,IF(C1036=0,B1036/ROUND($B$81*12,0),B1036*(C1036/12)/(1-(1+C1036/12)^(-ROUND($B$81*12,0))))),IF(AND(NOT(AND(636&gt;$B$173,$B$78="Refinance",ISNUMBER($B$80),$B$80&gt;=0,$B$80&lt;=1,ROUND($B$81*12,0)&gt;=1,$B$81&lt;=100,SUM($B$82)&gt;=0,SUM($B$82)&lt;=1,SUM($B$83)&gt;=0)),OR(636=1,636=$B$174+1,AND($B$175&gt;0,636=$B$175+1))),IF(AND($B$170=1,$B$66&gt;0,OR($B$175=0,636&lt;=$B$175)),$B$66,IF($B$172-MAX(636-1,$B$174)&gt;0,IF(B1036=0,0,IF(C1036=0,B1036/($B$172-MAX(636-1,$B$174)),B1036*(C1036/12)/(1-(1+C1036/12)^(-($B$172-MAX(636-1,$B$174)))))),"")),D1035)))),""),""))</x:f>
        <x:v>0</x:v>
      </x:c>
      <x:c r="E1036" s="440" t="n">
        <x:f>IF(AND(636=$B$173,ISNUMBER(D1036)),IF(MAX(0,B1036*(1+C1036/12)-D1036)&lt;MAX(0.0000001,$E$17*0.00000000001),0,MAX(0,B1036*(1+C1036/12)-D1036)),0)</x:f>
        <x:v>0</x:v>
      </x:c>
      <x:c r="F1036" s="440" t="n">
        <x:f>IF($B$78="Cash payoff",E1036,0)</x:f>
        <x:v>0</x:v>
      </x:c>
      <x:c r="G1036" s="440" t="n">
        <x:f>IF(AND(E1036&gt;0,AND($B$78="Refinance",ISNUMBER($B$80),$B$80&gt;=0,$B$80&lt;=1,ROUND($B$81*12,0)&gt;=1,$B$81&lt;=100,SUM($B$82)&gt;=0,SUM($B$82)&lt;=1,SUM($B$83)&gt;=0)),E1036*SUM($B$82)+SUM($B$83),0)</x:f>
        <x:v>0</x:v>
      </x:c>
      <x:c r="H1036" s="440" t="n">
        <x:f>IF(ISNUMBER(D1036),IF(MAX(0,B1036*(1+C1036/12)-D1036-F1036)&lt;MAX(0.0000001,$E$17*0.00000000001),0,MAX(0,B1036*(1+C1036/12)-D1036-F1036)),IF(AND($B$171=1,I1035=1),B1036,""))</x:f>
        <x:v>0</x:v>
      </x:c>
      <x:c r="I1036" s="444" t="n">
        <x:f>IF(OR(I1035=1,AND(E1036&gt;0,$B$78&lt;&gt;"Cash payoff",NOT(AND($B$78="Refinance",ISNUMBER($B$80),$B$80&gt;=0,$B$80&lt;=1,ROUND($B$81*12,0)&gt;=1,$B$81&lt;=100,SUM($B$82)&gt;=0,SUM($B$82)&lt;=1,SUM($B$83)&gt;=0))),AND(ISNUMBER(B1036),B1036&gt;0,$B$171=1,NOT(ISNUMBER(D1036)))),1,0)</x:f>
        <x:v>0</x:v>
      </x:c>
      <x:c r="J1036" s="440" t="n">
        <x:f>IF(ISNUMBER(L1035),L1035,"")</x:f>
        <x:v>0</x:v>
      </x:c>
      <x:c r="K1036" s="440" t="n">
        <x:f>IF(AND(ISNUMBER(J1036),J1036=0),0,IF(AND($B$176=1,ISNUMBER(J1036)),MIN(J1036*(1+$B$87/12),IF($B$86=0,0,IF($B$87=0,$B$86/ROUND($B$88*12,0),$B$86*($B$87/12)/(1-(1+$B$87/12)^(-ROUND($B$88*12,0)))))),""))</x:f>
        <x:v>0</x:v>
      </x:c>
      <x:c r="L1036" s="440" t="n">
        <x:f>IF(ISNUMBER(K1036),IF(MAX(0,J1036*(1+SUM($B$87)/12)-K1036)&lt;MAX(0.0000001,$B$86*0.00000000001),0,MAX(0,J1036*(1+SUM($B$87)/12)-K1036)),"")</x:f>
        <x:v>0</x:v>
      </x:c>
      <x:c r="M1036" s="440" t="n">
        <x:f>IF(AND(ISNUMBER(D1036),ISNUMBER(K1036)),D1036+K1036,"")</x:f>
        <x:v>0</x:v>
      </x:c>
      <x:c r="N1036" s="440" t="n">
        <x:f>IF(AND(ISNUMBER(H1036),ISNUMBER(L1036)),H1036+L1036,"")</x:f>
        <x:v>0</x:v>
      </x:c>
    </x:row>
    <x:row r="1037" ht="22" customHeight="1">
      <x:c r="A1037" s="254" t="n">
        <x:f>637</x:f>
        <x:v>637</x:v>
      </x:c>
      <x:c r="B1037" s="440" t="n">
        <x:f>IF(ISNUMBER(H1036),H1036,"")</x:f>
        <x:v>0</x:v>
      </x:c>
      <x:c r="C1037" s="442" t="n">
        <x:f>IF(ISNUMBER(B1037),IF(AND(637&gt;$B$173,$B$78="Refinance",ISNUMBER($B$80),$B$80&gt;=0,$B$80&lt;=1,ROUND($B$81*12,0)&gt;=1,$B$81&lt;=100,SUM($B$82)&gt;=0,SUM($B$82)&lt;=1,SUM($B$83)&gt;=0),$B$80,IF(AND($B$175&gt;0,637&gt;$B$175,ISNUMBER($B$75)),$B$75,$B$61)),"")</x:f>
        <x:v>0.0625</x:v>
      </x:c>
      <x:c r="D1037" s="440" t="n">
        <x:f>IF(AND(ISNUMBER(B1037),B1037=0),0,IF(AND($B$171=1,I1036=0,ISNUMBER(C1037),ISNUMBER(IF(AND(637&lt;=$B$174,637&lt;=$B$173),B1037*C1037/12,IF(AND(637=$B$173+1,AND(637&gt;$B$173,$B$78="Refinance",ISNUMBER($B$80),$B$80&gt;=0,$B$80&lt;=1,ROUND($B$81*12,0)&gt;=1,$B$81&lt;=100,SUM($B$82)&gt;=0,SUM($B$82)&lt;=1,SUM($B$83)&gt;=0)),IF(B1037=0,0,IF(C1037=0,B1037/ROUND($B$81*12,0),B1037*(C1037/12)/(1-(1+C1037/12)^(-ROUND($B$81*12,0))))),IF(AND(NOT(AND(637&gt;$B$173,$B$78="Refinance",ISNUMBER($B$80),$B$80&gt;=0,$B$80&lt;=1,ROUND($B$81*12,0)&gt;=1,$B$81&lt;=100,SUM($B$82)&gt;=0,SUM($B$82)&lt;=1,SUM($B$83)&gt;=0)),OR(637=1,637=$B$174+1,AND($B$175&gt;0,637=$B$175+1))),IF(AND($B$170=1,$B$66&gt;0,OR($B$175=0,637&lt;=$B$175)),$B$66,IF($B$172-MAX(637-1,$B$174)&gt;0,IF(B1037=0,0,IF(C1037=0,B1037/($B$172-MAX(637-1,$B$174)),B1037*(C1037/12)/(1-(1+C1037/12)^(-($B$172-MAX(637-1,$B$174)))))),"")),D1036))))),IF(IF(AND(637&lt;=$B$174,637&lt;=$B$173),B1037*C1037/12,IF(AND(637=$B$173+1,AND(637&gt;$B$173,$B$78="Refinance",ISNUMBER($B$80),$B$80&gt;=0,$B$80&lt;=1,ROUND($B$81*12,0)&gt;=1,$B$81&lt;=100,SUM($B$82)&gt;=0,SUM($B$82)&lt;=1,SUM($B$83)&gt;=0)),IF(B1037=0,0,IF(C1037=0,B1037/ROUND($B$81*12,0),B1037*(C1037/12)/(1-(1+C1037/12)^(-ROUND($B$81*12,0))))),IF(AND(NOT(AND(637&gt;$B$173,$B$78="Refinance",ISNUMBER($B$80),$B$80&gt;=0,$B$80&lt;=1,ROUND($B$81*12,0)&gt;=1,$B$81&lt;=100,SUM($B$82)&gt;=0,SUM($B$82)&lt;=1,SUM($B$83)&gt;=0)),OR(637=1,637=$B$174+1,AND($B$175&gt;0,637=$B$175+1))),IF(AND($B$170=1,$B$66&gt;0,OR($B$175=0,637&lt;=$B$175)),$B$66,IF($B$172-MAX(637-1,$B$174)&gt;0,IF(B1037=0,0,IF(C1037=0,B1037/($B$172-MAX(637-1,$B$174)),B1037*(C1037/12)/(1-(1+C1037/12)^(-($B$172-MAX(637-1,$B$174)))))),"")),D1036)))+0.0000001&gt;=B1037*C1037/12,MIN(B1037*(1+C1037/12),IF(AND(637&lt;=$B$174,637&lt;=$B$173),B1037*C1037/12,IF(AND(637=$B$173+1,AND(637&gt;$B$173,$B$78="Refinance",ISNUMBER($B$80),$B$80&gt;=0,$B$80&lt;=1,ROUND($B$81*12,0)&gt;=1,$B$81&lt;=100,SUM($B$82)&gt;=0,SUM($B$82)&lt;=1,SUM($B$83)&gt;=0)),IF(B1037=0,0,IF(C1037=0,B1037/ROUND($B$81*12,0),B1037*(C1037/12)/(1-(1+C1037/12)^(-ROUND($B$81*12,0))))),IF(AND(NOT(AND(637&gt;$B$173,$B$78="Refinance",ISNUMBER($B$80),$B$80&gt;=0,$B$80&lt;=1,ROUND($B$81*12,0)&gt;=1,$B$81&lt;=100,SUM($B$82)&gt;=0,SUM($B$82)&lt;=1,SUM($B$83)&gt;=0)),OR(637=1,637=$B$174+1,AND($B$175&gt;0,637=$B$175+1))),IF(AND($B$170=1,$B$66&gt;0,OR($B$175=0,637&lt;=$B$175)),$B$66,IF($B$172-MAX(637-1,$B$174)&gt;0,IF(B1037=0,0,IF(C1037=0,B1037/($B$172-MAX(637-1,$B$174)),B1037*(C1037/12)/(1-(1+C1037/12)^(-($B$172-MAX(637-1,$B$174)))))),"")),D1036)))),""),""))</x:f>
        <x:v>0</x:v>
      </x:c>
      <x:c r="E1037" s="440" t="n">
        <x:f>IF(AND(637=$B$173,ISNUMBER(D1037)),IF(MAX(0,B1037*(1+C1037/12)-D1037)&lt;MAX(0.0000001,$E$17*0.00000000001),0,MAX(0,B1037*(1+C1037/12)-D1037)),0)</x:f>
        <x:v>0</x:v>
      </x:c>
      <x:c r="F1037" s="440" t="n">
        <x:f>IF($B$78="Cash payoff",E1037,0)</x:f>
        <x:v>0</x:v>
      </x:c>
      <x:c r="G1037" s="440" t="n">
        <x:f>IF(AND(E1037&gt;0,AND($B$78="Refinance",ISNUMBER($B$80),$B$80&gt;=0,$B$80&lt;=1,ROUND($B$81*12,0)&gt;=1,$B$81&lt;=100,SUM($B$82)&gt;=0,SUM($B$82)&lt;=1,SUM($B$83)&gt;=0)),E1037*SUM($B$82)+SUM($B$83),0)</x:f>
        <x:v>0</x:v>
      </x:c>
      <x:c r="H1037" s="440" t="n">
        <x:f>IF(ISNUMBER(D1037),IF(MAX(0,B1037*(1+C1037/12)-D1037-F1037)&lt;MAX(0.0000001,$E$17*0.00000000001),0,MAX(0,B1037*(1+C1037/12)-D1037-F1037)),IF(AND($B$171=1,I1036=1),B1037,""))</x:f>
        <x:v>0</x:v>
      </x:c>
      <x:c r="I1037" s="444" t="n">
        <x:f>IF(OR(I1036=1,AND(E1037&gt;0,$B$78&lt;&gt;"Cash payoff",NOT(AND($B$78="Refinance",ISNUMBER($B$80),$B$80&gt;=0,$B$80&lt;=1,ROUND($B$81*12,0)&gt;=1,$B$81&lt;=100,SUM($B$82)&gt;=0,SUM($B$82)&lt;=1,SUM($B$83)&gt;=0))),AND(ISNUMBER(B1037),B1037&gt;0,$B$171=1,NOT(ISNUMBER(D1037)))),1,0)</x:f>
        <x:v>0</x:v>
      </x:c>
      <x:c r="J1037" s="440" t="n">
        <x:f>IF(ISNUMBER(L1036),L1036,"")</x:f>
        <x:v>0</x:v>
      </x:c>
      <x:c r="K1037" s="440" t="n">
        <x:f>IF(AND(ISNUMBER(J1037),J1037=0),0,IF(AND($B$176=1,ISNUMBER(J1037)),MIN(J1037*(1+$B$87/12),IF($B$86=0,0,IF($B$87=0,$B$86/ROUND($B$88*12,0),$B$86*($B$87/12)/(1-(1+$B$87/12)^(-ROUND($B$88*12,0)))))),""))</x:f>
        <x:v>0</x:v>
      </x:c>
      <x:c r="L1037" s="440" t="n">
        <x:f>IF(ISNUMBER(K1037),IF(MAX(0,J1037*(1+SUM($B$87)/12)-K1037)&lt;MAX(0.0000001,$B$86*0.00000000001),0,MAX(0,J1037*(1+SUM($B$87)/12)-K1037)),"")</x:f>
        <x:v>0</x:v>
      </x:c>
      <x:c r="M1037" s="440" t="n">
        <x:f>IF(AND(ISNUMBER(D1037),ISNUMBER(K1037)),D1037+K1037,"")</x:f>
        <x:v>0</x:v>
      </x:c>
      <x:c r="N1037" s="440" t="n">
        <x:f>IF(AND(ISNUMBER(H1037),ISNUMBER(L1037)),H1037+L1037,"")</x:f>
        <x:v>0</x:v>
      </x:c>
    </x:row>
    <x:row r="1038" ht="22" customHeight="1">
      <x:c r="A1038" s="254" t="n">
        <x:f>638</x:f>
        <x:v>638</x:v>
      </x:c>
      <x:c r="B1038" s="440" t="n">
        <x:f>IF(ISNUMBER(H1037),H1037,"")</x:f>
        <x:v>0</x:v>
      </x:c>
      <x:c r="C1038" s="442" t="n">
        <x:f>IF(ISNUMBER(B1038),IF(AND(638&gt;$B$173,$B$78="Refinance",ISNUMBER($B$80),$B$80&gt;=0,$B$80&lt;=1,ROUND($B$81*12,0)&gt;=1,$B$81&lt;=100,SUM($B$82)&gt;=0,SUM($B$82)&lt;=1,SUM($B$83)&gt;=0),$B$80,IF(AND($B$175&gt;0,638&gt;$B$175,ISNUMBER($B$75)),$B$75,$B$61)),"")</x:f>
        <x:v>0.0625</x:v>
      </x:c>
      <x:c r="D1038" s="440" t="n">
        <x:f>IF(AND(ISNUMBER(B1038),B1038=0),0,IF(AND($B$171=1,I1037=0,ISNUMBER(C1038),ISNUMBER(IF(AND(638&lt;=$B$174,638&lt;=$B$173),B1038*C1038/12,IF(AND(638=$B$173+1,AND(638&gt;$B$173,$B$78="Refinance",ISNUMBER($B$80),$B$80&gt;=0,$B$80&lt;=1,ROUND($B$81*12,0)&gt;=1,$B$81&lt;=100,SUM($B$82)&gt;=0,SUM($B$82)&lt;=1,SUM($B$83)&gt;=0)),IF(B1038=0,0,IF(C1038=0,B1038/ROUND($B$81*12,0),B1038*(C1038/12)/(1-(1+C1038/12)^(-ROUND($B$81*12,0))))),IF(AND(NOT(AND(638&gt;$B$173,$B$78="Refinance",ISNUMBER($B$80),$B$80&gt;=0,$B$80&lt;=1,ROUND($B$81*12,0)&gt;=1,$B$81&lt;=100,SUM($B$82)&gt;=0,SUM($B$82)&lt;=1,SUM($B$83)&gt;=0)),OR(638=1,638=$B$174+1,AND($B$175&gt;0,638=$B$175+1))),IF(AND($B$170=1,$B$66&gt;0,OR($B$175=0,638&lt;=$B$175)),$B$66,IF($B$172-MAX(638-1,$B$174)&gt;0,IF(B1038=0,0,IF(C1038=0,B1038/($B$172-MAX(638-1,$B$174)),B1038*(C1038/12)/(1-(1+C1038/12)^(-($B$172-MAX(638-1,$B$174)))))),"")),D1037))))),IF(IF(AND(638&lt;=$B$174,638&lt;=$B$173),B1038*C1038/12,IF(AND(638=$B$173+1,AND(638&gt;$B$173,$B$78="Refinance",ISNUMBER($B$80),$B$80&gt;=0,$B$80&lt;=1,ROUND($B$81*12,0)&gt;=1,$B$81&lt;=100,SUM($B$82)&gt;=0,SUM($B$82)&lt;=1,SUM($B$83)&gt;=0)),IF(B1038=0,0,IF(C1038=0,B1038/ROUND($B$81*12,0),B1038*(C1038/12)/(1-(1+C1038/12)^(-ROUND($B$81*12,0))))),IF(AND(NOT(AND(638&gt;$B$173,$B$78="Refinance",ISNUMBER($B$80),$B$80&gt;=0,$B$80&lt;=1,ROUND($B$81*12,0)&gt;=1,$B$81&lt;=100,SUM($B$82)&gt;=0,SUM($B$82)&lt;=1,SUM($B$83)&gt;=0)),OR(638=1,638=$B$174+1,AND($B$175&gt;0,638=$B$175+1))),IF(AND($B$170=1,$B$66&gt;0,OR($B$175=0,638&lt;=$B$175)),$B$66,IF($B$172-MAX(638-1,$B$174)&gt;0,IF(B1038=0,0,IF(C1038=0,B1038/($B$172-MAX(638-1,$B$174)),B1038*(C1038/12)/(1-(1+C1038/12)^(-($B$172-MAX(638-1,$B$174)))))),"")),D1037)))+0.0000001&gt;=B1038*C1038/12,MIN(B1038*(1+C1038/12),IF(AND(638&lt;=$B$174,638&lt;=$B$173),B1038*C1038/12,IF(AND(638=$B$173+1,AND(638&gt;$B$173,$B$78="Refinance",ISNUMBER($B$80),$B$80&gt;=0,$B$80&lt;=1,ROUND($B$81*12,0)&gt;=1,$B$81&lt;=100,SUM($B$82)&gt;=0,SUM($B$82)&lt;=1,SUM($B$83)&gt;=0)),IF(B1038=0,0,IF(C1038=0,B1038/ROUND($B$81*12,0),B1038*(C1038/12)/(1-(1+C1038/12)^(-ROUND($B$81*12,0))))),IF(AND(NOT(AND(638&gt;$B$173,$B$78="Refinance",ISNUMBER($B$80),$B$80&gt;=0,$B$80&lt;=1,ROUND($B$81*12,0)&gt;=1,$B$81&lt;=100,SUM($B$82)&gt;=0,SUM($B$82)&lt;=1,SUM($B$83)&gt;=0)),OR(638=1,638=$B$174+1,AND($B$175&gt;0,638=$B$175+1))),IF(AND($B$170=1,$B$66&gt;0,OR($B$175=0,638&lt;=$B$175)),$B$66,IF($B$172-MAX(638-1,$B$174)&gt;0,IF(B1038=0,0,IF(C1038=0,B1038/($B$172-MAX(638-1,$B$174)),B1038*(C1038/12)/(1-(1+C1038/12)^(-($B$172-MAX(638-1,$B$174)))))),"")),D1037)))),""),""))</x:f>
        <x:v>0</x:v>
      </x:c>
      <x:c r="E1038" s="440" t="n">
        <x:f>IF(AND(638=$B$173,ISNUMBER(D1038)),IF(MAX(0,B1038*(1+C1038/12)-D1038)&lt;MAX(0.0000001,$E$17*0.00000000001),0,MAX(0,B1038*(1+C1038/12)-D1038)),0)</x:f>
        <x:v>0</x:v>
      </x:c>
      <x:c r="F1038" s="440" t="n">
        <x:f>IF($B$78="Cash payoff",E1038,0)</x:f>
        <x:v>0</x:v>
      </x:c>
      <x:c r="G1038" s="440" t="n">
        <x:f>IF(AND(E1038&gt;0,AND($B$78="Refinance",ISNUMBER($B$80),$B$80&gt;=0,$B$80&lt;=1,ROUND($B$81*12,0)&gt;=1,$B$81&lt;=100,SUM($B$82)&gt;=0,SUM($B$82)&lt;=1,SUM($B$83)&gt;=0)),E1038*SUM($B$82)+SUM($B$83),0)</x:f>
        <x:v>0</x:v>
      </x:c>
      <x:c r="H1038" s="440" t="n">
        <x:f>IF(ISNUMBER(D1038),IF(MAX(0,B1038*(1+C1038/12)-D1038-F1038)&lt;MAX(0.0000001,$E$17*0.00000000001),0,MAX(0,B1038*(1+C1038/12)-D1038-F1038)),IF(AND($B$171=1,I1037=1),B1038,""))</x:f>
        <x:v>0</x:v>
      </x:c>
      <x:c r="I1038" s="444" t="n">
        <x:f>IF(OR(I1037=1,AND(E1038&gt;0,$B$78&lt;&gt;"Cash payoff",NOT(AND($B$78="Refinance",ISNUMBER($B$80),$B$80&gt;=0,$B$80&lt;=1,ROUND($B$81*12,0)&gt;=1,$B$81&lt;=100,SUM($B$82)&gt;=0,SUM($B$82)&lt;=1,SUM($B$83)&gt;=0))),AND(ISNUMBER(B1038),B1038&gt;0,$B$171=1,NOT(ISNUMBER(D1038)))),1,0)</x:f>
        <x:v>0</x:v>
      </x:c>
      <x:c r="J1038" s="440" t="n">
        <x:f>IF(ISNUMBER(L1037),L1037,"")</x:f>
        <x:v>0</x:v>
      </x:c>
      <x:c r="K1038" s="440" t="n">
        <x:f>IF(AND(ISNUMBER(J1038),J1038=0),0,IF(AND($B$176=1,ISNUMBER(J1038)),MIN(J1038*(1+$B$87/12),IF($B$86=0,0,IF($B$87=0,$B$86/ROUND($B$88*12,0),$B$86*($B$87/12)/(1-(1+$B$87/12)^(-ROUND($B$88*12,0)))))),""))</x:f>
        <x:v>0</x:v>
      </x:c>
      <x:c r="L1038" s="440" t="n">
        <x:f>IF(ISNUMBER(K1038),IF(MAX(0,J1038*(1+SUM($B$87)/12)-K1038)&lt;MAX(0.0000001,$B$86*0.00000000001),0,MAX(0,J1038*(1+SUM($B$87)/12)-K1038)),"")</x:f>
        <x:v>0</x:v>
      </x:c>
      <x:c r="M1038" s="440" t="n">
        <x:f>IF(AND(ISNUMBER(D1038),ISNUMBER(K1038)),D1038+K1038,"")</x:f>
        <x:v>0</x:v>
      </x:c>
      <x:c r="N1038" s="440" t="n">
        <x:f>IF(AND(ISNUMBER(H1038),ISNUMBER(L1038)),H1038+L1038,"")</x:f>
        <x:v>0</x:v>
      </x:c>
    </x:row>
    <x:row r="1039" ht="22" customHeight="1">
      <x:c r="A1039" s="254" t="n">
        <x:f>639</x:f>
        <x:v>639</x:v>
      </x:c>
      <x:c r="B1039" s="440" t="n">
        <x:f>IF(ISNUMBER(H1038),H1038,"")</x:f>
        <x:v>0</x:v>
      </x:c>
      <x:c r="C1039" s="442" t="n">
        <x:f>IF(ISNUMBER(B1039),IF(AND(639&gt;$B$173,$B$78="Refinance",ISNUMBER($B$80),$B$80&gt;=0,$B$80&lt;=1,ROUND($B$81*12,0)&gt;=1,$B$81&lt;=100,SUM($B$82)&gt;=0,SUM($B$82)&lt;=1,SUM($B$83)&gt;=0),$B$80,IF(AND($B$175&gt;0,639&gt;$B$175,ISNUMBER($B$75)),$B$75,$B$61)),"")</x:f>
        <x:v>0.0625</x:v>
      </x:c>
      <x:c r="D1039" s="440" t="n">
        <x:f>IF(AND(ISNUMBER(B1039),B1039=0),0,IF(AND($B$171=1,I1038=0,ISNUMBER(C1039),ISNUMBER(IF(AND(639&lt;=$B$174,639&lt;=$B$173),B1039*C1039/12,IF(AND(639=$B$173+1,AND(639&gt;$B$173,$B$78="Refinance",ISNUMBER($B$80),$B$80&gt;=0,$B$80&lt;=1,ROUND($B$81*12,0)&gt;=1,$B$81&lt;=100,SUM($B$82)&gt;=0,SUM($B$82)&lt;=1,SUM($B$83)&gt;=0)),IF(B1039=0,0,IF(C1039=0,B1039/ROUND($B$81*12,0),B1039*(C1039/12)/(1-(1+C1039/12)^(-ROUND($B$81*12,0))))),IF(AND(NOT(AND(639&gt;$B$173,$B$78="Refinance",ISNUMBER($B$80),$B$80&gt;=0,$B$80&lt;=1,ROUND($B$81*12,0)&gt;=1,$B$81&lt;=100,SUM($B$82)&gt;=0,SUM($B$82)&lt;=1,SUM($B$83)&gt;=0)),OR(639=1,639=$B$174+1,AND($B$175&gt;0,639=$B$175+1))),IF(AND($B$170=1,$B$66&gt;0,OR($B$175=0,639&lt;=$B$175)),$B$66,IF($B$172-MAX(639-1,$B$174)&gt;0,IF(B1039=0,0,IF(C1039=0,B1039/($B$172-MAX(639-1,$B$174)),B1039*(C1039/12)/(1-(1+C1039/12)^(-($B$172-MAX(639-1,$B$174)))))),"")),D1038))))),IF(IF(AND(639&lt;=$B$174,639&lt;=$B$173),B1039*C1039/12,IF(AND(639=$B$173+1,AND(639&gt;$B$173,$B$78="Refinance",ISNUMBER($B$80),$B$80&gt;=0,$B$80&lt;=1,ROUND($B$81*12,0)&gt;=1,$B$81&lt;=100,SUM($B$82)&gt;=0,SUM($B$82)&lt;=1,SUM($B$83)&gt;=0)),IF(B1039=0,0,IF(C1039=0,B1039/ROUND($B$81*12,0),B1039*(C1039/12)/(1-(1+C1039/12)^(-ROUND($B$81*12,0))))),IF(AND(NOT(AND(639&gt;$B$173,$B$78="Refinance",ISNUMBER($B$80),$B$80&gt;=0,$B$80&lt;=1,ROUND($B$81*12,0)&gt;=1,$B$81&lt;=100,SUM($B$82)&gt;=0,SUM($B$82)&lt;=1,SUM($B$83)&gt;=0)),OR(639=1,639=$B$174+1,AND($B$175&gt;0,639=$B$175+1))),IF(AND($B$170=1,$B$66&gt;0,OR($B$175=0,639&lt;=$B$175)),$B$66,IF($B$172-MAX(639-1,$B$174)&gt;0,IF(B1039=0,0,IF(C1039=0,B1039/($B$172-MAX(639-1,$B$174)),B1039*(C1039/12)/(1-(1+C1039/12)^(-($B$172-MAX(639-1,$B$174)))))),"")),D1038)))+0.0000001&gt;=B1039*C1039/12,MIN(B1039*(1+C1039/12),IF(AND(639&lt;=$B$174,639&lt;=$B$173),B1039*C1039/12,IF(AND(639=$B$173+1,AND(639&gt;$B$173,$B$78="Refinance",ISNUMBER($B$80),$B$80&gt;=0,$B$80&lt;=1,ROUND($B$81*12,0)&gt;=1,$B$81&lt;=100,SUM($B$82)&gt;=0,SUM($B$82)&lt;=1,SUM($B$83)&gt;=0)),IF(B1039=0,0,IF(C1039=0,B1039/ROUND($B$81*12,0),B1039*(C1039/12)/(1-(1+C1039/12)^(-ROUND($B$81*12,0))))),IF(AND(NOT(AND(639&gt;$B$173,$B$78="Refinance",ISNUMBER($B$80),$B$80&gt;=0,$B$80&lt;=1,ROUND($B$81*12,0)&gt;=1,$B$81&lt;=100,SUM($B$82)&gt;=0,SUM($B$82)&lt;=1,SUM($B$83)&gt;=0)),OR(639=1,639=$B$174+1,AND($B$175&gt;0,639=$B$175+1))),IF(AND($B$170=1,$B$66&gt;0,OR($B$175=0,639&lt;=$B$175)),$B$66,IF($B$172-MAX(639-1,$B$174)&gt;0,IF(B1039=0,0,IF(C1039=0,B1039/($B$172-MAX(639-1,$B$174)),B1039*(C1039/12)/(1-(1+C1039/12)^(-($B$172-MAX(639-1,$B$174)))))),"")),D1038)))),""),""))</x:f>
        <x:v>0</x:v>
      </x:c>
      <x:c r="E1039" s="440" t="n">
        <x:f>IF(AND(639=$B$173,ISNUMBER(D1039)),IF(MAX(0,B1039*(1+C1039/12)-D1039)&lt;MAX(0.0000001,$E$17*0.00000000001),0,MAX(0,B1039*(1+C1039/12)-D1039)),0)</x:f>
        <x:v>0</x:v>
      </x:c>
      <x:c r="F1039" s="440" t="n">
        <x:f>IF($B$78="Cash payoff",E1039,0)</x:f>
        <x:v>0</x:v>
      </x:c>
      <x:c r="G1039" s="440" t="n">
        <x:f>IF(AND(E1039&gt;0,AND($B$78="Refinance",ISNUMBER($B$80),$B$80&gt;=0,$B$80&lt;=1,ROUND($B$81*12,0)&gt;=1,$B$81&lt;=100,SUM($B$82)&gt;=0,SUM($B$82)&lt;=1,SUM($B$83)&gt;=0)),E1039*SUM($B$82)+SUM($B$83),0)</x:f>
        <x:v>0</x:v>
      </x:c>
      <x:c r="H1039" s="440" t="n">
        <x:f>IF(ISNUMBER(D1039),IF(MAX(0,B1039*(1+C1039/12)-D1039-F1039)&lt;MAX(0.0000001,$E$17*0.00000000001),0,MAX(0,B1039*(1+C1039/12)-D1039-F1039)),IF(AND($B$171=1,I1038=1),B1039,""))</x:f>
        <x:v>0</x:v>
      </x:c>
      <x:c r="I1039" s="444" t="n">
        <x:f>IF(OR(I1038=1,AND(E1039&gt;0,$B$78&lt;&gt;"Cash payoff",NOT(AND($B$78="Refinance",ISNUMBER($B$80),$B$80&gt;=0,$B$80&lt;=1,ROUND($B$81*12,0)&gt;=1,$B$81&lt;=100,SUM($B$82)&gt;=0,SUM($B$82)&lt;=1,SUM($B$83)&gt;=0))),AND(ISNUMBER(B1039),B1039&gt;0,$B$171=1,NOT(ISNUMBER(D1039)))),1,0)</x:f>
        <x:v>0</x:v>
      </x:c>
      <x:c r="J1039" s="440" t="n">
        <x:f>IF(ISNUMBER(L1038),L1038,"")</x:f>
        <x:v>0</x:v>
      </x:c>
      <x:c r="K1039" s="440" t="n">
        <x:f>IF(AND(ISNUMBER(J1039),J1039=0),0,IF(AND($B$176=1,ISNUMBER(J1039)),MIN(J1039*(1+$B$87/12),IF($B$86=0,0,IF($B$87=0,$B$86/ROUND($B$88*12,0),$B$86*($B$87/12)/(1-(1+$B$87/12)^(-ROUND($B$88*12,0)))))),""))</x:f>
        <x:v>0</x:v>
      </x:c>
      <x:c r="L1039" s="440" t="n">
        <x:f>IF(ISNUMBER(K1039),IF(MAX(0,J1039*(1+SUM($B$87)/12)-K1039)&lt;MAX(0.0000001,$B$86*0.00000000001),0,MAX(0,J1039*(1+SUM($B$87)/12)-K1039)),"")</x:f>
        <x:v>0</x:v>
      </x:c>
      <x:c r="M1039" s="440" t="n">
        <x:f>IF(AND(ISNUMBER(D1039),ISNUMBER(K1039)),D1039+K1039,"")</x:f>
        <x:v>0</x:v>
      </x:c>
      <x:c r="N1039" s="440" t="n">
        <x:f>IF(AND(ISNUMBER(H1039),ISNUMBER(L1039)),H1039+L1039,"")</x:f>
        <x:v>0</x:v>
      </x:c>
    </x:row>
    <x:row r="1040" ht="22" customHeight="1">
      <x:c r="A1040" s="254" t="n">
        <x:f>640</x:f>
        <x:v>640</x:v>
      </x:c>
      <x:c r="B1040" s="440" t="n">
        <x:f>IF(ISNUMBER(H1039),H1039,"")</x:f>
        <x:v>0</x:v>
      </x:c>
      <x:c r="C1040" s="442" t="n">
        <x:f>IF(ISNUMBER(B1040),IF(AND(640&gt;$B$173,$B$78="Refinance",ISNUMBER($B$80),$B$80&gt;=0,$B$80&lt;=1,ROUND($B$81*12,0)&gt;=1,$B$81&lt;=100,SUM($B$82)&gt;=0,SUM($B$82)&lt;=1,SUM($B$83)&gt;=0),$B$80,IF(AND($B$175&gt;0,640&gt;$B$175,ISNUMBER($B$75)),$B$75,$B$61)),"")</x:f>
        <x:v>0.0625</x:v>
      </x:c>
      <x:c r="D1040" s="440" t="n">
        <x:f>IF(AND(ISNUMBER(B1040),B1040=0),0,IF(AND($B$171=1,I1039=0,ISNUMBER(C1040),ISNUMBER(IF(AND(640&lt;=$B$174,640&lt;=$B$173),B1040*C1040/12,IF(AND(640=$B$173+1,AND(640&gt;$B$173,$B$78="Refinance",ISNUMBER($B$80),$B$80&gt;=0,$B$80&lt;=1,ROUND($B$81*12,0)&gt;=1,$B$81&lt;=100,SUM($B$82)&gt;=0,SUM($B$82)&lt;=1,SUM($B$83)&gt;=0)),IF(B1040=0,0,IF(C1040=0,B1040/ROUND($B$81*12,0),B1040*(C1040/12)/(1-(1+C1040/12)^(-ROUND($B$81*12,0))))),IF(AND(NOT(AND(640&gt;$B$173,$B$78="Refinance",ISNUMBER($B$80),$B$80&gt;=0,$B$80&lt;=1,ROUND($B$81*12,0)&gt;=1,$B$81&lt;=100,SUM($B$82)&gt;=0,SUM($B$82)&lt;=1,SUM($B$83)&gt;=0)),OR(640=1,640=$B$174+1,AND($B$175&gt;0,640=$B$175+1))),IF(AND($B$170=1,$B$66&gt;0,OR($B$175=0,640&lt;=$B$175)),$B$66,IF($B$172-MAX(640-1,$B$174)&gt;0,IF(B1040=0,0,IF(C1040=0,B1040/($B$172-MAX(640-1,$B$174)),B1040*(C1040/12)/(1-(1+C1040/12)^(-($B$172-MAX(640-1,$B$174)))))),"")),D1039))))),IF(IF(AND(640&lt;=$B$174,640&lt;=$B$173),B1040*C1040/12,IF(AND(640=$B$173+1,AND(640&gt;$B$173,$B$78="Refinance",ISNUMBER($B$80),$B$80&gt;=0,$B$80&lt;=1,ROUND($B$81*12,0)&gt;=1,$B$81&lt;=100,SUM($B$82)&gt;=0,SUM($B$82)&lt;=1,SUM($B$83)&gt;=0)),IF(B1040=0,0,IF(C1040=0,B1040/ROUND($B$81*12,0),B1040*(C1040/12)/(1-(1+C1040/12)^(-ROUND($B$81*12,0))))),IF(AND(NOT(AND(640&gt;$B$173,$B$78="Refinance",ISNUMBER($B$80),$B$80&gt;=0,$B$80&lt;=1,ROUND($B$81*12,0)&gt;=1,$B$81&lt;=100,SUM($B$82)&gt;=0,SUM($B$82)&lt;=1,SUM($B$83)&gt;=0)),OR(640=1,640=$B$174+1,AND($B$175&gt;0,640=$B$175+1))),IF(AND($B$170=1,$B$66&gt;0,OR($B$175=0,640&lt;=$B$175)),$B$66,IF($B$172-MAX(640-1,$B$174)&gt;0,IF(B1040=0,0,IF(C1040=0,B1040/($B$172-MAX(640-1,$B$174)),B1040*(C1040/12)/(1-(1+C1040/12)^(-($B$172-MAX(640-1,$B$174)))))),"")),D1039)))+0.0000001&gt;=B1040*C1040/12,MIN(B1040*(1+C1040/12),IF(AND(640&lt;=$B$174,640&lt;=$B$173),B1040*C1040/12,IF(AND(640=$B$173+1,AND(640&gt;$B$173,$B$78="Refinance",ISNUMBER($B$80),$B$80&gt;=0,$B$80&lt;=1,ROUND($B$81*12,0)&gt;=1,$B$81&lt;=100,SUM($B$82)&gt;=0,SUM($B$82)&lt;=1,SUM($B$83)&gt;=0)),IF(B1040=0,0,IF(C1040=0,B1040/ROUND($B$81*12,0),B1040*(C1040/12)/(1-(1+C1040/12)^(-ROUND($B$81*12,0))))),IF(AND(NOT(AND(640&gt;$B$173,$B$78="Refinance",ISNUMBER($B$80),$B$80&gt;=0,$B$80&lt;=1,ROUND($B$81*12,0)&gt;=1,$B$81&lt;=100,SUM($B$82)&gt;=0,SUM($B$82)&lt;=1,SUM($B$83)&gt;=0)),OR(640=1,640=$B$174+1,AND($B$175&gt;0,640=$B$175+1))),IF(AND($B$170=1,$B$66&gt;0,OR($B$175=0,640&lt;=$B$175)),$B$66,IF($B$172-MAX(640-1,$B$174)&gt;0,IF(B1040=0,0,IF(C1040=0,B1040/($B$172-MAX(640-1,$B$174)),B1040*(C1040/12)/(1-(1+C1040/12)^(-($B$172-MAX(640-1,$B$174)))))),"")),D1039)))),""),""))</x:f>
        <x:v>0</x:v>
      </x:c>
      <x:c r="E1040" s="440" t="n">
        <x:f>IF(AND(640=$B$173,ISNUMBER(D1040)),IF(MAX(0,B1040*(1+C1040/12)-D1040)&lt;MAX(0.0000001,$E$17*0.00000000001),0,MAX(0,B1040*(1+C1040/12)-D1040)),0)</x:f>
        <x:v>0</x:v>
      </x:c>
      <x:c r="F1040" s="440" t="n">
        <x:f>IF($B$78="Cash payoff",E1040,0)</x:f>
        <x:v>0</x:v>
      </x:c>
      <x:c r="G1040" s="440" t="n">
        <x:f>IF(AND(E1040&gt;0,AND($B$78="Refinance",ISNUMBER($B$80),$B$80&gt;=0,$B$80&lt;=1,ROUND($B$81*12,0)&gt;=1,$B$81&lt;=100,SUM($B$82)&gt;=0,SUM($B$82)&lt;=1,SUM($B$83)&gt;=0)),E1040*SUM($B$82)+SUM($B$83),0)</x:f>
        <x:v>0</x:v>
      </x:c>
      <x:c r="H1040" s="440" t="n">
        <x:f>IF(ISNUMBER(D1040),IF(MAX(0,B1040*(1+C1040/12)-D1040-F1040)&lt;MAX(0.0000001,$E$17*0.00000000001),0,MAX(0,B1040*(1+C1040/12)-D1040-F1040)),IF(AND($B$171=1,I1039=1),B1040,""))</x:f>
        <x:v>0</x:v>
      </x:c>
      <x:c r="I1040" s="444" t="n">
        <x:f>IF(OR(I1039=1,AND(E1040&gt;0,$B$78&lt;&gt;"Cash payoff",NOT(AND($B$78="Refinance",ISNUMBER($B$80),$B$80&gt;=0,$B$80&lt;=1,ROUND($B$81*12,0)&gt;=1,$B$81&lt;=100,SUM($B$82)&gt;=0,SUM($B$82)&lt;=1,SUM($B$83)&gt;=0))),AND(ISNUMBER(B1040),B1040&gt;0,$B$171=1,NOT(ISNUMBER(D1040)))),1,0)</x:f>
        <x:v>0</x:v>
      </x:c>
      <x:c r="J1040" s="440" t="n">
        <x:f>IF(ISNUMBER(L1039),L1039,"")</x:f>
        <x:v>0</x:v>
      </x:c>
      <x:c r="K1040" s="440" t="n">
        <x:f>IF(AND(ISNUMBER(J1040),J1040=0),0,IF(AND($B$176=1,ISNUMBER(J1040)),MIN(J1040*(1+$B$87/12),IF($B$86=0,0,IF($B$87=0,$B$86/ROUND($B$88*12,0),$B$86*($B$87/12)/(1-(1+$B$87/12)^(-ROUND($B$88*12,0)))))),""))</x:f>
        <x:v>0</x:v>
      </x:c>
      <x:c r="L1040" s="440" t="n">
        <x:f>IF(ISNUMBER(K1040),IF(MAX(0,J1040*(1+SUM($B$87)/12)-K1040)&lt;MAX(0.0000001,$B$86*0.00000000001),0,MAX(0,J1040*(1+SUM($B$87)/12)-K1040)),"")</x:f>
        <x:v>0</x:v>
      </x:c>
      <x:c r="M1040" s="440" t="n">
        <x:f>IF(AND(ISNUMBER(D1040),ISNUMBER(K1040)),D1040+K1040,"")</x:f>
        <x:v>0</x:v>
      </x:c>
      <x:c r="N1040" s="440" t="n">
        <x:f>IF(AND(ISNUMBER(H1040),ISNUMBER(L1040)),H1040+L1040,"")</x:f>
        <x:v>0</x:v>
      </x:c>
    </x:row>
    <x:row r="1041" ht="22" customHeight="1">
      <x:c r="A1041" s="254" t="n">
        <x:f>641</x:f>
        <x:v>641</x:v>
      </x:c>
      <x:c r="B1041" s="440" t="n">
        <x:f>IF(ISNUMBER(H1040),H1040,"")</x:f>
        <x:v>0</x:v>
      </x:c>
      <x:c r="C1041" s="442" t="n">
        <x:f>IF(ISNUMBER(B1041),IF(AND(641&gt;$B$173,$B$78="Refinance",ISNUMBER($B$80),$B$80&gt;=0,$B$80&lt;=1,ROUND($B$81*12,0)&gt;=1,$B$81&lt;=100,SUM($B$82)&gt;=0,SUM($B$82)&lt;=1,SUM($B$83)&gt;=0),$B$80,IF(AND($B$175&gt;0,641&gt;$B$175,ISNUMBER($B$75)),$B$75,$B$61)),"")</x:f>
        <x:v>0.0625</x:v>
      </x:c>
      <x:c r="D1041" s="440" t="n">
        <x:f>IF(AND(ISNUMBER(B1041),B1041=0),0,IF(AND($B$171=1,I1040=0,ISNUMBER(C1041),ISNUMBER(IF(AND(641&lt;=$B$174,641&lt;=$B$173),B1041*C1041/12,IF(AND(641=$B$173+1,AND(641&gt;$B$173,$B$78="Refinance",ISNUMBER($B$80),$B$80&gt;=0,$B$80&lt;=1,ROUND($B$81*12,0)&gt;=1,$B$81&lt;=100,SUM($B$82)&gt;=0,SUM($B$82)&lt;=1,SUM($B$83)&gt;=0)),IF(B1041=0,0,IF(C1041=0,B1041/ROUND($B$81*12,0),B1041*(C1041/12)/(1-(1+C1041/12)^(-ROUND($B$81*12,0))))),IF(AND(NOT(AND(641&gt;$B$173,$B$78="Refinance",ISNUMBER($B$80),$B$80&gt;=0,$B$80&lt;=1,ROUND($B$81*12,0)&gt;=1,$B$81&lt;=100,SUM($B$82)&gt;=0,SUM($B$82)&lt;=1,SUM($B$83)&gt;=0)),OR(641=1,641=$B$174+1,AND($B$175&gt;0,641=$B$175+1))),IF(AND($B$170=1,$B$66&gt;0,OR($B$175=0,641&lt;=$B$175)),$B$66,IF($B$172-MAX(641-1,$B$174)&gt;0,IF(B1041=0,0,IF(C1041=0,B1041/($B$172-MAX(641-1,$B$174)),B1041*(C1041/12)/(1-(1+C1041/12)^(-($B$172-MAX(641-1,$B$174)))))),"")),D1040))))),IF(IF(AND(641&lt;=$B$174,641&lt;=$B$173),B1041*C1041/12,IF(AND(641=$B$173+1,AND(641&gt;$B$173,$B$78="Refinance",ISNUMBER($B$80),$B$80&gt;=0,$B$80&lt;=1,ROUND($B$81*12,0)&gt;=1,$B$81&lt;=100,SUM($B$82)&gt;=0,SUM($B$82)&lt;=1,SUM($B$83)&gt;=0)),IF(B1041=0,0,IF(C1041=0,B1041/ROUND($B$81*12,0),B1041*(C1041/12)/(1-(1+C1041/12)^(-ROUND($B$81*12,0))))),IF(AND(NOT(AND(641&gt;$B$173,$B$78="Refinance",ISNUMBER($B$80),$B$80&gt;=0,$B$80&lt;=1,ROUND($B$81*12,0)&gt;=1,$B$81&lt;=100,SUM($B$82)&gt;=0,SUM($B$82)&lt;=1,SUM($B$83)&gt;=0)),OR(641=1,641=$B$174+1,AND($B$175&gt;0,641=$B$175+1))),IF(AND($B$170=1,$B$66&gt;0,OR($B$175=0,641&lt;=$B$175)),$B$66,IF($B$172-MAX(641-1,$B$174)&gt;0,IF(B1041=0,0,IF(C1041=0,B1041/($B$172-MAX(641-1,$B$174)),B1041*(C1041/12)/(1-(1+C1041/12)^(-($B$172-MAX(641-1,$B$174)))))),"")),D1040)))+0.0000001&gt;=B1041*C1041/12,MIN(B1041*(1+C1041/12),IF(AND(641&lt;=$B$174,641&lt;=$B$173),B1041*C1041/12,IF(AND(641=$B$173+1,AND(641&gt;$B$173,$B$78="Refinance",ISNUMBER($B$80),$B$80&gt;=0,$B$80&lt;=1,ROUND($B$81*12,0)&gt;=1,$B$81&lt;=100,SUM($B$82)&gt;=0,SUM($B$82)&lt;=1,SUM($B$83)&gt;=0)),IF(B1041=0,0,IF(C1041=0,B1041/ROUND($B$81*12,0),B1041*(C1041/12)/(1-(1+C1041/12)^(-ROUND($B$81*12,0))))),IF(AND(NOT(AND(641&gt;$B$173,$B$78="Refinance",ISNUMBER($B$80),$B$80&gt;=0,$B$80&lt;=1,ROUND($B$81*12,0)&gt;=1,$B$81&lt;=100,SUM($B$82)&gt;=0,SUM($B$82)&lt;=1,SUM($B$83)&gt;=0)),OR(641=1,641=$B$174+1,AND($B$175&gt;0,641=$B$175+1))),IF(AND($B$170=1,$B$66&gt;0,OR($B$175=0,641&lt;=$B$175)),$B$66,IF($B$172-MAX(641-1,$B$174)&gt;0,IF(B1041=0,0,IF(C1041=0,B1041/($B$172-MAX(641-1,$B$174)),B1041*(C1041/12)/(1-(1+C1041/12)^(-($B$172-MAX(641-1,$B$174)))))),"")),D1040)))),""),""))</x:f>
        <x:v>0</x:v>
      </x:c>
      <x:c r="E1041" s="440" t="n">
        <x:f>IF(AND(641=$B$173,ISNUMBER(D1041)),IF(MAX(0,B1041*(1+C1041/12)-D1041)&lt;MAX(0.0000001,$E$17*0.00000000001),0,MAX(0,B1041*(1+C1041/12)-D1041)),0)</x:f>
        <x:v>0</x:v>
      </x:c>
      <x:c r="F1041" s="440" t="n">
        <x:f>IF($B$78="Cash payoff",E1041,0)</x:f>
        <x:v>0</x:v>
      </x:c>
      <x:c r="G1041" s="440" t="n">
        <x:f>IF(AND(E1041&gt;0,AND($B$78="Refinance",ISNUMBER($B$80),$B$80&gt;=0,$B$80&lt;=1,ROUND($B$81*12,0)&gt;=1,$B$81&lt;=100,SUM($B$82)&gt;=0,SUM($B$82)&lt;=1,SUM($B$83)&gt;=0)),E1041*SUM($B$82)+SUM($B$83),0)</x:f>
        <x:v>0</x:v>
      </x:c>
      <x:c r="H1041" s="440" t="n">
        <x:f>IF(ISNUMBER(D1041),IF(MAX(0,B1041*(1+C1041/12)-D1041-F1041)&lt;MAX(0.0000001,$E$17*0.00000000001),0,MAX(0,B1041*(1+C1041/12)-D1041-F1041)),IF(AND($B$171=1,I1040=1),B1041,""))</x:f>
        <x:v>0</x:v>
      </x:c>
      <x:c r="I1041" s="444" t="n">
        <x:f>IF(OR(I1040=1,AND(E1041&gt;0,$B$78&lt;&gt;"Cash payoff",NOT(AND($B$78="Refinance",ISNUMBER($B$80),$B$80&gt;=0,$B$80&lt;=1,ROUND($B$81*12,0)&gt;=1,$B$81&lt;=100,SUM($B$82)&gt;=0,SUM($B$82)&lt;=1,SUM($B$83)&gt;=0))),AND(ISNUMBER(B1041),B1041&gt;0,$B$171=1,NOT(ISNUMBER(D1041)))),1,0)</x:f>
        <x:v>0</x:v>
      </x:c>
      <x:c r="J1041" s="440" t="n">
        <x:f>IF(ISNUMBER(L1040),L1040,"")</x:f>
        <x:v>0</x:v>
      </x:c>
      <x:c r="K1041" s="440" t="n">
        <x:f>IF(AND(ISNUMBER(J1041),J1041=0),0,IF(AND($B$176=1,ISNUMBER(J1041)),MIN(J1041*(1+$B$87/12),IF($B$86=0,0,IF($B$87=0,$B$86/ROUND($B$88*12,0),$B$86*($B$87/12)/(1-(1+$B$87/12)^(-ROUND($B$88*12,0)))))),""))</x:f>
        <x:v>0</x:v>
      </x:c>
      <x:c r="L1041" s="440" t="n">
        <x:f>IF(ISNUMBER(K1041),IF(MAX(0,J1041*(1+SUM($B$87)/12)-K1041)&lt;MAX(0.0000001,$B$86*0.00000000001),0,MAX(0,J1041*(1+SUM($B$87)/12)-K1041)),"")</x:f>
        <x:v>0</x:v>
      </x:c>
      <x:c r="M1041" s="440" t="n">
        <x:f>IF(AND(ISNUMBER(D1041),ISNUMBER(K1041)),D1041+K1041,"")</x:f>
        <x:v>0</x:v>
      </x:c>
      <x:c r="N1041" s="440" t="n">
        <x:f>IF(AND(ISNUMBER(H1041),ISNUMBER(L1041)),H1041+L1041,"")</x:f>
        <x:v>0</x:v>
      </x:c>
    </x:row>
    <x:row r="1042" ht="22" customHeight="1">
      <x:c r="A1042" s="254" t="n">
        <x:f>642</x:f>
        <x:v>642</x:v>
      </x:c>
      <x:c r="B1042" s="440" t="n">
        <x:f>IF(ISNUMBER(H1041),H1041,"")</x:f>
        <x:v>0</x:v>
      </x:c>
      <x:c r="C1042" s="442" t="n">
        <x:f>IF(ISNUMBER(B1042),IF(AND(642&gt;$B$173,$B$78="Refinance",ISNUMBER($B$80),$B$80&gt;=0,$B$80&lt;=1,ROUND($B$81*12,0)&gt;=1,$B$81&lt;=100,SUM($B$82)&gt;=0,SUM($B$82)&lt;=1,SUM($B$83)&gt;=0),$B$80,IF(AND($B$175&gt;0,642&gt;$B$175,ISNUMBER($B$75)),$B$75,$B$61)),"")</x:f>
        <x:v>0.0625</x:v>
      </x:c>
      <x:c r="D1042" s="440" t="n">
        <x:f>IF(AND(ISNUMBER(B1042),B1042=0),0,IF(AND($B$171=1,I1041=0,ISNUMBER(C1042),ISNUMBER(IF(AND(642&lt;=$B$174,642&lt;=$B$173),B1042*C1042/12,IF(AND(642=$B$173+1,AND(642&gt;$B$173,$B$78="Refinance",ISNUMBER($B$80),$B$80&gt;=0,$B$80&lt;=1,ROUND($B$81*12,0)&gt;=1,$B$81&lt;=100,SUM($B$82)&gt;=0,SUM($B$82)&lt;=1,SUM($B$83)&gt;=0)),IF(B1042=0,0,IF(C1042=0,B1042/ROUND($B$81*12,0),B1042*(C1042/12)/(1-(1+C1042/12)^(-ROUND($B$81*12,0))))),IF(AND(NOT(AND(642&gt;$B$173,$B$78="Refinance",ISNUMBER($B$80),$B$80&gt;=0,$B$80&lt;=1,ROUND($B$81*12,0)&gt;=1,$B$81&lt;=100,SUM($B$82)&gt;=0,SUM($B$82)&lt;=1,SUM($B$83)&gt;=0)),OR(642=1,642=$B$174+1,AND($B$175&gt;0,642=$B$175+1))),IF(AND($B$170=1,$B$66&gt;0,OR($B$175=0,642&lt;=$B$175)),$B$66,IF($B$172-MAX(642-1,$B$174)&gt;0,IF(B1042=0,0,IF(C1042=0,B1042/($B$172-MAX(642-1,$B$174)),B1042*(C1042/12)/(1-(1+C1042/12)^(-($B$172-MAX(642-1,$B$174)))))),"")),D1041))))),IF(IF(AND(642&lt;=$B$174,642&lt;=$B$173),B1042*C1042/12,IF(AND(642=$B$173+1,AND(642&gt;$B$173,$B$78="Refinance",ISNUMBER($B$80),$B$80&gt;=0,$B$80&lt;=1,ROUND($B$81*12,0)&gt;=1,$B$81&lt;=100,SUM($B$82)&gt;=0,SUM($B$82)&lt;=1,SUM($B$83)&gt;=0)),IF(B1042=0,0,IF(C1042=0,B1042/ROUND($B$81*12,0),B1042*(C1042/12)/(1-(1+C1042/12)^(-ROUND($B$81*12,0))))),IF(AND(NOT(AND(642&gt;$B$173,$B$78="Refinance",ISNUMBER($B$80),$B$80&gt;=0,$B$80&lt;=1,ROUND($B$81*12,0)&gt;=1,$B$81&lt;=100,SUM($B$82)&gt;=0,SUM($B$82)&lt;=1,SUM($B$83)&gt;=0)),OR(642=1,642=$B$174+1,AND($B$175&gt;0,642=$B$175+1))),IF(AND($B$170=1,$B$66&gt;0,OR($B$175=0,642&lt;=$B$175)),$B$66,IF($B$172-MAX(642-1,$B$174)&gt;0,IF(B1042=0,0,IF(C1042=0,B1042/($B$172-MAX(642-1,$B$174)),B1042*(C1042/12)/(1-(1+C1042/12)^(-($B$172-MAX(642-1,$B$174)))))),"")),D1041)))+0.0000001&gt;=B1042*C1042/12,MIN(B1042*(1+C1042/12),IF(AND(642&lt;=$B$174,642&lt;=$B$173),B1042*C1042/12,IF(AND(642=$B$173+1,AND(642&gt;$B$173,$B$78="Refinance",ISNUMBER($B$80),$B$80&gt;=0,$B$80&lt;=1,ROUND($B$81*12,0)&gt;=1,$B$81&lt;=100,SUM($B$82)&gt;=0,SUM($B$82)&lt;=1,SUM($B$83)&gt;=0)),IF(B1042=0,0,IF(C1042=0,B1042/ROUND($B$81*12,0),B1042*(C1042/12)/(1-(1+C1042/12)^(-ROUND($B$81*12,0))))),IF(AND(NOT(AND(642&gt;$B$173,$B$78="Refinance",ISNUMBER($B$80),$B$80&gt;=0,$B$80&lt;=1,ROUND($B$81*12,0)&gt;=1,$B$81&lt;=100,SUM($B$82)&gt;=0,SUM($B$82)&lt;=1,SUM($B$83)&gt;=0)),OR(642=1,642=$B$174+1,AND($B$175&gt;0,642=$B$175+1))),IF(AND($B$170=1,$B$66&gt;0,OR($B$175=0,642&lt;=$B$175)),$B$66,IF($B$172-MAX(642-1,$B$174)&gt;0,IF(B1042=0,0,IF(C1042=0,B1042/($B$172-MAX(642-1,$B$174)),B1042*(C1042/12)/(1-(1+C1042/12)^(-($B$172-MAX(642-1,$B$174)))))),"")),D1041)))),""),""))</x:f>
        <x:v>0</x:v>
      </x:c>
      <x:c r="E1042" s="440" t="n">
        <x:f>IF(AND(642=$B$173,ISNUMBER(D1042)),IF(MAX(0,B1042*(1+C1042/12)-D1042)&lt;MAX(0.0000001,$E$17*0.00000000001),0,MAX(0,B1042*(1+C1042/12)-D1042)),0)</x:f>
        <x:v>0</x:v>
      </x:c>
      <x:c r="F1042" s="440" t="n">
        <x:f>IF($B$78="Cash payoff",E1042,0)</x:f>
        <x:v>0</x:v>
      </x:c>
      <x:c r="G1042" s="440" t="n">
        <x:f>IF(AND(E1042&gt;0,AND($B$78="Refinance",ISNUMBER($B$80),$B$80&gt;=0,$B$80&lt;=1,ROUND($B$81*12,0)&gt;=1,$B$81&lt;=100,SUM($B$82)&gt;=0,SUM($B$82)&lt;=1,SUM($B$83)&gt;=0)),E1042*SUM($B$82)+SUM($B$83),0)</x:f>
        <x:v>0</x:v>
      </x:c>
      <x:c r="H1042" s="440" t="n">
        <x:f>IF(ISNUMBER(D1042),IF(MAX(0,B1042*(1+C1042/12)-D1042-F1042)&lt;MAX(0.0000001,$E$17*0.00000000001),0,MAX(0,B1042*(1+C1042/12)-D1042-F1042)),IF(AND($B$171=1,I1041=1),B1042,""))</x:f>
        <x:v>0</x:v>
      </x:c>
      <x:c r="I1042" s="444" t="n">
        <x:f>IF(OR(I1041=1,AND(E1042&gt;0,$B$78&lt;&gt;"Cash payoff",NOT(AND($B$78="Refinance",ISNUMBER($B$80),$B$80&gt;=0,$B$80&lt;=1,ROUND($B$81*12,0)&gt;=1,$B$81&lt;=100,SUM($B$82)&gt;=0,SUM($B$82)&lt;=1,SUM($B$83)&gt;=0))),AND(ISNUMBER(B1042),B1042&gt;0,$B$171=1,NOT(ISNUMBER(D1042)))),1,0)</x:f>
        <x:v>0</x:v>
      </x:c>
      <x:c r="J1042" s="440" t="n">
        <x:f>IF(ISNUMBER(L1041),L1041,"")</x:f>
        <x:v>0</x:v>
      </x:c>
      <x:c r="K1042" s="440" t="n">
        <x:f>IF(AND(ISNUMBER(J1042),J1042=0),0,IF(AND($B$176=1,ISNUMBER(J1042)),MIN(J1042*(1+$B$87/12),IF($B$86=0,0,IF($B$87=0,$B$86/ROUND($B$88*12,0),$B$86*($B$87/12)/(1-(1+$B$87/12)^(-ROUND($B$88*12,0)))))),""))</x:f>
        <x:v>0</x:v>
      </x:c>
      <x:c r="L1042" s="440" t="n">
        <x:f>IF(ISNUMBER(K1042),IF(MAX(0,J1042*(1+SUM($B$87)/12)-K1042)&lt;MAX(0.0000001,$B$86*0.00000000001),0,MAX(0,J1042*(1+SUM($B$87)/12)-K1042)),"")</x:f>
        <x:v>0</x:v>
      </x:c>
      <x:c r="M1042" s="440" t="n">
        <x:f>IF(AND(ISNUMBER(D1042),ISNUMBER(K1042)),D1042+K1042,"")</x:f>
        <x:v>0</x:v>
      </x:c>
      <x:c r="N1042" s="440" t="n">
        <x:f>IF(AND(ISNUMBER(H1042),ISNUMBER(L1042)),H1042+L1042,"")</x:f>
        <x:v>0</x:v>
      </x:c>
    </x:row>
    <x:row r="1043" ht="22" customHeight="1">
      <x:c r="A1043" s="254" t="n">
        <x:f>643</x:f>
        <x:v>643</x:v>
      </x:c>
      <x:c r="B1043" s="440" t="n">
        <x:f>IF(ISNUMBER(H1042),H1042,"")</x:f>
        <x:v>0</x:v>
      </x:c>
      <x:c r="C1043" s="442" t="n">
        <x:f>IF(ISNUMBER(B1043),IF(AND(643&gt;$B$173,$B$78="Refinance",ISNUMBER($B$80),$B$80&gt;=0,$B$80&lt;=1,ROUND($B$81*12,0)&gt;=1,$B$81&lt;=100,SUM($B$82)&gt;=0,SUM($B$82)&lt;=1,SUM($B$83)&gt;=0),$B$80,IF(AND($B$175&gt;0,643&gt;$B$175,ISNUMBER($B$75)),$B$75,$B$61)),"")</x:f>
        <x:v>0.0625</x:v>
      </x:c>
      <x:c r="D1043" s="440" t="n">
        <x:f>IF(AND(ISNUMBER(B1043),B1043=0),0,IF(AND($B$171=1,I1042=0,ISNUMBER(C1043),ISNUMBER(IF(AND(643&lt;=$B$174,643&lt;=$B$173),B1043*C1043/12,IF(AND(643=$B$173+1,AND(643&gt;$B$173,$B$78="Refinance",ISNUMBER($B$80),$B$80&gt;=0,$B$80&lt;=1,ROUND($B$81*12,0)&gt;=1,$B$81&lt;=100,SUM($B$82)&gt;=0,SUM($B$82)&lt;=1,SUM($B$83)&gt;=0)),IF(B1043=0,0,IF(C1043=0,B1043/ROUND($B$81*12,0),B1043*(C1043/12)/(1-(1+C1043/12)^(-ROUND($B$81*12,0))))),IF(AND(NOT(AND(643&gt;$B$173,$B$78="Refinance",ISNUMBER($B$80),$B$80&gt;=0,$B$80&lt;=1,ROUND($B$81*12,0)&gt;=1,$B$81&lt;=100,SUM($B$82)&gt;=0,SUM($B$82)&lt;=1,SUM($B$83)&gt;=0)),OR(643=1,643=$B$174+1,AND($B$175&gt;0,643=$B$175+1))),IF(AND($B$170=1,$B$66&gt;0,OR($B$175=0,643&lt;=$B$175)),$B$66,IF($B$172-MAX(643-1,$B$174)&gt;0,IF(B1043=0,0,IF(C1043=0,B1043/($B$172-MAX(643-1,$B$174)),B1043*(C1043/12)/(1-(1+C1043/12)^(-($B$172-MAX(643-1,$B$174)))))),"")),D1042))))),IF(IF(AND(643&lt;=$B$174,643&lt;=$B$173),B1043*C1043/12,IF(AND(643=$B$173+1,AND(643&gt;$B$173,$B$78="Refinance",ISNUMBER($B$80),$B$80&gt;=0,$B$80&lt;=1,ROUND($B$81*12,0)&gt;=1,$B$81&lt;=100,SUM($B$82)&gt;=0,SUM($B$82)&lt;=1,SUM($B$83)&gt;=0)),IF(B1043=0,0,IF(C1043=0,B1043/ROUND($B$81*12,0),B1043*(C1043/12)/(1-(1+C1043/12)^(-ROUND($B$81*12,0))))),IF(AND(NOT(AND(643&gt;$B$173,$B$78="Refinance",ISNUMBER($B$80),$B$80&gt;=0,$B$80&lt;=1,ROUND($B$81*12,0)&gt;=1,$B$81&lt;=100,SUM($B$82)&gt;=0,SUM($B$82)&lt;=1,SUM($B$83)&gt;=0)),OR(643=1,643=$B$174+1,AND($B$175&gt;0,643=$B$175+1))),IF(AND($B$170=1,$B$66&gt;0,OR($B$175=0,643&lt;=$B$175)),$B$66,IF($B$172-MAX(643-1,$B$174)&gt;0,IF(B1043=0,0,IF(C1043=0,B1043/($B$172-MAX(643-1,$B$174)),B1043*(C1043/12)/(1-(1+C1043/12)^(-($B$172-MAX(643-1,$B$174)))))),"")),D1042)))+0.0000001&gt;=B1043*C1043/12,MIN(B1043*(1+C1043/12),IF(AND(643&lt;=$B$174,643&lt;=$B$173),B1043*C1043/12,IF(AND(643=$B$173+1,AND(643&gt;$B$173,$B$78="Refinance",ISNUMBER($B$80),$B$80&gt;=0,$B$80&lt;=1,ROUND($B$81*12,0)&gt;=1,$B$81&lt;=100,SUM($B$82)&gt;=0,SUM($B$82)&lt;=1,SUM($B$83)&gt;=0)),IF(B1043=0,0,IF(C1043=0,B1043/ROUND($B$81*12,0),B1043*(C1043/12)/(1-(1+C1043/12)^(-ROUND($B$81*12,0))))),IF(AND(NOT(AND(643&gt;$B$173,$B$78="Refinance",ISNUMBER($B$80),$B$80&gt;=0,$B$80&lt;=1,ROUND($B$81*12,0)&gt;=1,$B$81&lt;=100,SUM($B$82)&gt;=0,SUM($B$82)&lt;=1,SUM($B$83)&gt;=0)),OR(643=1,643=$B$174+1,AND($B$175&gt;0,643=$B$175+1))),IF(AND($B$170=1,$B$66&gt;0,OR($B$175=0,643&lt;=$B$175)),$B$66,IF($B$172-MAX(643-1,$B$174)&gt;0,IF(B1043=0,0,IF(C1043=0,B1043/($B$172-MAX(643-1,$B$174)),B1043*(C1043/12)/(1-(1+C1043/12)^(-($B$172-MAX(643-1,$B$174)))))),"")),D1042)))),""),""))</x:f>
        <x:v>0</x:v>
      </x:c>
      <x:c r="E1043" s="440" t="n">
        <x:f>IF(AND(643=$B$173,ISNUMBER(D1043)),IF(MAX(0,B1043*(1+C1043/12)-D1043)&lt;MAX(0.0000001,$E$17*0.00000000001),0,MAX(0,B1043*(1+C1043/12)-D1043)),0)</x:f>
        <x:v>0</x:v>
      </x:c>
      <x:c r="F1043" s="440" t="n">
        <x:f>IF($B$78="Cash payoff",E1043,0)</x:f>
        <x:v>0</x:v>
      </x:c>
      <x:c r="G1043" s="440" t="n">
        <x:f>IF(AND(E1043&gt;0,AND($B$78="Refinance",ISNUMBER($B$80),$B$80&gt;=0,$B$80&lt;=1,ROUND($B$81*12,0)&gt;=1,$B$81&lt;=100,SUM($B$82)&gt;=0,SUM($B$82)&lt;=1,SUM($B$83)&gt;=0)),E1043*SUM($B$82)+SUM($B$83),0)</x:f>
        <x:v>0</x:v>
      </x:c>
      <x:c r="H1043" s="440" t="n">
        <x:f>IF(ISNUMBER(D1043),IF(MAX(0,B1043*(1+C1043/12)-D1043-F1043)&lt;MAX(0.0000001,$E$17*0.00000000001),0,MAX(0,B1043*(1+C1043/12)-D1043-F1043)),IF(AND($B$171=1,I1042=1),B1043,""))</x:f>
        <x:v>0</x:v>
      </x:c>
      <x:c r="I1043" s="444" t="n">
        <x:f>IF(OR(I1042=1,AND(E1043&gt;0,$B$78&lt;&gt;"Cash payoff",NOT(AND($B$78="Refinance",ISNUMBER($B$80),$B$80&gt;=0,$B$80&lt;=1,ROUND($B$81*12,0)&gt;=1,$B$81&lt;=100,SUM($B$82)&gt;=0,SUM($B$82)&lt;=1,SUM($B$83)&gt;=0))),AND(ISNUMBER(B1043),B1043&gt;0,$B$171=1,NOT(ISNUMBER(D1043)))),1,0)</x:f>
        <x:v>0</x:v>
      </x:c>
      <x:c r="J1043" s="440" t="n">
        <x:f>IF(ISNUMBER(L1042),L1042,"")</x:f>
        <x:v>0</x:v>
      </x:c>
      <x:c r="K1043" s="440" t="n">
        <x:f>IF(AND(ISNUMBER(J1043),J1043=0),0,IF(AND($B$176=1,ISNUMBER(J1043)),MIN(J1043*(1+$B$87/12),IF($B$86=0,0,IF($B$87=0,$B$86/ROUND($B$88*12,0),$B$86*($B$87/12)/(1-(1+$B$87/12)^(-ROUND($B$88*12,0)))))),""))</x:f>
        <x:v>0</x:v>
      </x:c>
      <x:c r="L1043" s="440" t="n">
        <x:f>IF(ISNUMBER(K1043),IF(MAX(0,J1043*(1+SUM($B$87)/12)-K1043)&lt;MAX(0.0000001,$B$86*0.00000000001),0,MAX(0,J1043*(1+SUM($B$87)/12)-K1043)),"")</x:f>
        <x:v>0</x:v>
      </x:c>
      <x:c r="M1043" s="440" t="n">
        <x:f>IF(AND(ISNUMBER(D1043),ISNUMBER(K1043)),D1043+K1043,"")</x:f>
        <x:v>0</x:v>
      </x:c>
      <x:c r="N1043" s="440" t="n">
        <x:f>IF(AND(ISNUMBER(H1043),ISNUMBER(L1043)),H1043+L1043,"")</x:f>
        <x:v>0</x:v>
      </x:c>
    </x:row>
    <x:row r="1044" ht="22" customHeight="1">
      <x:c r="A1044" s="254" t="n">
        <x:f>644</x:f>
        <x:v>644</x:v>
      </x:c>
      <x:c r="B1044" s="440" t="n">
        <x:f>IF(ISNUMBER(H1043),H1043,"")</x:f>
        <x:v>0</x:v>
      </x:c>
      <x:c r="C1044" s="442" t="n">
        <x:f>IF(ISNUMBER(B1044),IF(AND(644&gt;$B$173,$B$78="Refinance",ISNUMBER($B$80),$B$80&gt;=0,$B$80&lt;=1,ROUND($B$81*12,0)&gt;=1,$B$81&lt;=100,SUM($B$82)&gt;=0,SUM($B$82)&lt;=1,SUM($B$83)&gt;=0),$B$80,IF(AND($B$175&gt;0,644&gt;$B$175,ISNUMBER($B$75)),$B$75,$B$61)),"")</x:f>
        <x:v>0.0625</x:v>
      </x:c>
      <x:c r="D1044" s="440" t="n">
        <x:f>IF(AND(ISNUMBER(B1044),B1044=0),0,IF(AND($B$171=1,I1043=0,ISNUMBER(C1044),ISNUMBER(IF(AND(644&lt;=$B$174,644&lt;=$B$173),B1044*C1044/12,IF(AND(644=$B$173+1,AND(644&gt;$B$173,$B$78="Refinance",ISNUMBER($B$80),$B$80&gt;=0,$B$80&lt;=1,ROUND($B$81*12,0)&gt;=1,$B$81&lt;=100,SUM($B$82)&gt;=0,SUM($B$82)&lt;=1,SUM($B$83)&gt;=0)),IF(B1044=0,0,IF(C1044=0,B1044/ROUND($B$81*12,0),B1044*(C1044/12)/(1-(1+C1044/12)^(-ROUND($B$81*12,0))))),IF(AND(NOT(AND(644&gt;$B$173,$B$78="Refinance",ISNUMBER($B$80),$B$80&gt;=0,$B$80&lt;=1,ROUND($B$81*12,0)&gt;=1,$B$81&lt;=100,SUM($B$82)&gt;=0,SUM($B$82)&lt;=1,SUM($B$83)&gt;=0)),OR(644=1,644=$B$174+1,AND($B$175&gt;0,644=$B$175+1))),IF(AND($B$170=1,$B$66&gt;0,OR($B$175=0,644&lt;=$B$175)),$B$66,IF($B$172-MAX(644-1,$B$174)&gt;0,IF(B1044=0,0,IF(C1044=0,B1044/($B$172-MAX(644-1,$B$174)),B1044*(C1044/12)/(1-(1+C1044/12)^(-($B$172-MAX(644-1,$B$174)))))),"")),D1043))))),IF(IF(AND(644&lt;=$B$174,644&lt;=$B$173),B1044*C1044/12,IF(AND(644=$B$173+1,AND(644&gt;$B$173,$B$78="Refinance",ISNUMBER($B$80),$B$80&gt;=0,$B$80&lt;=1,ROUND($B$81*12,0)&gt;=1,$B$81&lt;=100,SUM($B$82)&gt;=0,SUM($B$82)&lt;=1,SUM($B$83)&gt;=0)),IF(B1044=0,0,IF(C1044=0,B1044/ROUND($B$81*12,0),B1044*(C1044/12)/(1-(1+C1044/12)^(-ROUND($B$81*12,0))))),IF(AND(NOT(AND(644&gt;$B$173,$B$78="Refinance",ISNUMBER($B$80),$B$80&gt;=0,$B$80&lt;=1,ROUND($B$81*12,0)&gt;=1,$B$81&lt;=100,SUM($B$82)&gt;=0,SUM($B$82)&lt;=1,SUM($B$83)&gt;=0)),OR(644=1,644=$B$174+1,AND($B$175&gt;0,644=$B$175+1))),IF(AND($B$170=1,$B$66&gt;0,OR($B$175=0,644&lt;=$B$175)),$B$66,IF($B$172-MAX(644-1,$B$174)&gt;0,IF(B1044=0,0,IF(C1044=0,B1044/($B$172-MAX(644-1,$B$174)),B1044*(C1044/12)/(1-(1+C1044/12)^(-($B$172-MAX(644-1,$B$174)))))),"")),D1043)))+0.0000001&gt;=B1044*C1044/12,MIN(B1044*(1+C1044/12),IF(AND(644&lt;=$B$174,644&lt;=$B$173),B1044*C1044/12,IF(AND(644=$B$173+1,AND(644&gt;$B$173,$B$78="Refinance",ISNUMBER($B$80),$B$80&gt;=0,$B$80&lt;=1,ROUND($B$81*12,0)&gt;=1,$B$81&lt;=100,SUM($B$82)&gt;=0,SUM($B$82)&lt;=1,SUM($B$83)&gt;=0)),IF(B1044=0,0,IF(C1044=0,B1044/ROUND($B$81*12,0),B1044*(C1044/12)/(1-(1+C1044/12)^(-ROUND($B$81*12,0))))),IF(AND(NOT(AND(644&gt;$B$173,$B$78="Refinance",ISNUMBER($B$80),$B$80&gt;=0,$B$80&lt;=1,ROUND($B$81*12,0)&gt;=1,$B$81&lt;=100,SUM($B$82)&gt;=0,SUM($B$82)&lt;=1,SUM($B$83)&gt;=0)),OR(644=1,644=$B$174+1,AND($B$175&gt;0,644=$B$175+1))),IF(AND($B$170=1,$B$66&gt;0,OR($B$175=0,644&lt;=$B$175)),$B$66,IF($B$172-MAX(644-1,$B$174)&gt;0,IF(B1044=0,0,IF(C1044=0,B1044/($B$172-MAX(644-1,$B$174)),B1044*(C1044/12)/(1-(1+C1044/12)^(-($B$172-MAX(644-1,$B$174)))))),"")),D1043)))),""),""))</x:f>
        <x:v>0</x:v>
      </x:c>
      <x:c r="E1044" s="440" t="n">
        <x:f>IF(AND(644=$B$173,ISNUMBER(D1044)),IF(MAX(0,B1044*(1+C1044/12)-D1044)&lt;MAX(0.0000001,$E$17*0.00000000001),0,MAX(0,B1044*(1+C1044/12)-D1044)),0)</x:f>
        <x:v>0</x:v>
      </x:c>
      <x:c r="F1044" s="440" t="n">
        <x:f>IF($B$78="Cash payoff",E1044,0)</x:f>
        <x:v>0</x:v>
      </x:c>
      <x:c r="G1044" s="440" t="n">
        <x:f>IF(AND(E1044&gt;0,AND($B$78="Refinance",ISNUMBER($B$80),$B$80&gt;=0,$B$80&lt;=1,ROUND($B$81*12,0)&gt;=1,$B$81&lt;=100,SUM($B$82)&gt;=0,SUM($B$82)&lt;=1,SUM($B$83)&gt;=0)),E1044*SUM($B$82)+SUM($B$83),0)</x:f>
        <x:v>0</x:v>
      </x:c>
      <x:c r="H1044" s="440" t="n">
        <x:f>IF(ISNUMBER(D1044),IF(MAX(0,B1044*(1+C1044/12)-D1044-F1044)&lt;MAX(0.0000001,$E$17*0.00000000001),0,MAX(0,B1044*(1+C1044/12)-D1044-F1044)),IF(AND($B$171=1,I1043=1),B1044,""))</x:f>
        <x:v>0</x:v>
      </x:c>
      <x:c r="I1044" s="444" t="n">
        <x:f>IF(OR(I1043=1,AND(E1044&gt;0,$B$78&lt;&gt;"Cash payoff",NOT(AND($B$78="Refinance",ISNUMBER($B$80),$B$80&gt;=0,$B$80&lt;=1,ROUND($B$81*12,0)&gt;=1,$B$81&lt;=100,SUM($B$82)&gt;=0,SUM($B$82)&lt;=1,SUM($B$83)&gt;=0))),AND(ISNUMBER(B1044),B1044&gt;0,$B$171=1,NOT(ISNUMBER(D1044)))),1,0)</x:f>
        <x:v>0</x:v>
      </x:c>
      <x:c r="J1044" s="440" t="n">
        <x:f>IF(ISNUMBER(L1043),L1043,"")</x:f>
        <x:v>0</x:v>
      </x:c>
      <x:c r="K1044" s="440" t="n">
        <x:f>IF(AND(ISNUMBER(J1044),J1044=0),0,IF(AND($B$176=1,ISNUMBER(J1044)),MIN(J1044*(1+$B$87/12),IF($B$86=0,0,IF($B$87=0,$B$86/ROUND($B$88*12,0),$B$86*($B$87/12)/(1-(1+$B$87/12)^(-ROUND($B$88*12,0)))))),""))</x:f>
        <x:v>0</x:v>
      </x:c>
      <x:c r="L1044" s="440" t="n">
        <x:f>IF(ISNUMBER(K1044),IF(MAX(0,J1044*(1+SUM($B$87)/12)-K1044)&lt;MAX(0.0000001,$B$86*0.00000000001),0,MAX(0,J1044*(1+SUM($B$87)/12)-K1044)),"")</x:f>
        <x:v>0</x:v>
      </x:c>
      <x:c r="M1044" s="440" t="n">
        <x:f>IF(AND(ISNUMBER(D1044),ISNUMBER(K1044)),D1044+K1044,"")</x:f>
        <x:v>0</x:v>
      </x:c>
      <x:c r="N1044" s="440" t="n">
        <x:f>IF(AND(ISNUMBER(H1044),ISNUMBER(L1044)),H1044+L1044,"")</x:f>
        <x:v>0</x:v>
      </x:c>
    </x:row>
    <x:row r="1045" ht="22" customHeight="1">
      <x:c r="A1045" s="254" t="n">
        <x:f>645</x:f>
        <x:v>645</x:v>
      </x:c>
      <x:c r="B1045" s="440" t="n">
        <x:f>IF(ISNUMBER(H1044),H1044,"")</x:f>
        <x:v>0</x:v>
      </x:c>
      <x:c r="C1045" s="442" t="n">
        <x:f>IF(ISNUMBER(B1045),IF(AND(645&gt;$B$173,$B$78="Refinance",ISNUMBER($B$80),$B$80&gt;=0,$B$80&lt;=1,ROUND($B$81*12,0)&gt;=1,$B$81&lt;=100,SUM($B$82)&gt;=0,SUM($B$82)&lt;=1,SUM($B$83)&gt;=0),$B$80,IF(AND($B$175&gt;0,645&gt;$B$175,ISNUMBER($B$75)),$B$75,$B$61)),"")</x:f>
        <x:v>0.0625</x:v>
      </x:c>
      <x:c r="D1045" s="440" t="n">
        <x:f>IF(AND(ISNUMBER(B1045),B1045=0),0,IF(AND($B$171=1,I1044=0,ISNUMBER(C1045),ISNUMBER(IF(AND(645&lt;=$B$174,645&lt;=$B$173),B1045*C1045/12,IF(AND(645=$B$173+1,AND(645&gt;$B$173,$B$78="Refinance",ISNUMBER($B$80),$B$80&gt;=0,$B$80&lt;=1,ROUND($B$81*12,0)&gt;=1,$B$81&lt;=100,SUM($B$82)&gt;=0,SUM($B$82)&lt;=1,SUM($B$83)&gt;=0)),IF(B1045=0,0,IF(C1045=0,B1045/ROUND($B$81*12,0),B1045*(C1045/12)/(1-(1+C1045/12)^(-ROUND($B$81*12,0))))),IF(AND(NOT(AND(645&gt;$B$173,$B$78="Refinance",ISNUMBER($B$80),$B$80&gt;=0,$B$80&lt;=1,ROUND($B$81*12,0)&gt;=1,$B$81&lt;=100,SUM($B$82)&gt;=0,SUM($B$82)&lt;=1,SUM($B$83)&gt;=0)),OR(645=1,645=$B$174+1,AND($B$175&gt;0,645=$B$175+1))),IF(AND($B$170=1,$B$66&gt;0,OR($B$175=0,645&lt;=$B$175)),$B$66,IF($B$172-MAX(645-1,$B$174)&gt;0,IF(B1045=0,0,IF(C1045=0,B1045/($B$172-MAX(645-1,$B$174)),B1045*(C1045/12)/(1-(1+C1045/12)^(-($B$172-MAX(645-1,$B$174)))))),"")),D1044))))),IF(IF(AND(645&lt;=$B$174,645&lt;=$B$173),B1045*C1045/12,IF(AND(645=$B$173+1,AND(645&gt;$B$173,$B$78="Refinance",ISNUMBER($B$80),$B$80&gt;=0,$B$80&lt;=1,ROUND($B$81*12,0)&gt;=1,$B$81&lt;=100,SUM($B$82)&gt;=0,SUM($B$82)&lt;=1,SUM($B$83)&gt;=0)),IF(B1045=0,0,IF(C1045=0,B1045/ROUND($B$81*12,0),B1045*(C1045/12)/(1-(1+C1045/12)^(-ROUND($B$81*12,0))))),IF(AND(NOT(AND(645&gt;$B$173,$B$78="Refinance",ISNUMBER($B$80),$B$80&gt;=0,$B$80&lt;=1,ROUND($B$81*12,0)&gt;=1,$B$81&lt;=100,SUM($B$82)&gt;=0,SUM($B$82)&lt;=1,SUM($B$83)&gt;=0)),OR(645=1,645=$B$174+1,AND($B$175&gt;0,645=$B$175+1))),IF(AND($B$170=1,$B$66&gt;0,OR($B$175=0,645&lt;=$B$175)),$B$66,IF($B$172-MAX(645-1,$B$174)&gt;0,IF(B1045=0,0,IF(C1045=0,B1045/($B$172-MAX(645-1,$B$174)),B1045*(C1045/12)/(1-(1+C1045/12)^(-($B$172-MAX(645-1,$B$174)))))),"")),D1044)))+0.0000001&gt;=B1045*C1045/12,MIN(B1045*(1+C1045/12),IF(AND(645&lt;=$B$174,645&lt;=$B$173),B1045*C1045/12,IF(AND(645=$B$173+1,AND(645&gt;$B$173,$B$78="Refinance",ISNUMBER($B$80),$B$80&gt;=0,$B$80&lt;=1,ROUND($B$81*12,0)&gt;=1,$B$81&lt;=100,SUM($B$82)&gt;=0,SUM($B$82)&lt;=1,SUM($B$83)&gt;=0)),IF(B1045=0,0,IF(C1045=0,B1045/ROUND($B$81*12,0),B1045*(C1045/12)/(1-(1+C1045/12)^(-ROUND($B$81*12,0))))),IF(AND(NOT(AND(645&gt;$B$173,$B$78="Refinance",ISNUMBER($B$80),$B$80&gt;=0,$B$80&lt;=1,ROUND($B$81*12,0)&gt;=1,$B$81&lt;=100,SUM($B$82)&gt;=0,SUM($B$82)&lt;=1,SUM($B$83)&gt;=0)),OR(645=1,645=$B$174+1,AND($B$175&gt;0,645=$B$175+1))),IF(AND($B$170=1,$B$66&gt;0,OR($B$175=0,645&lt;=$B$175)),$B$66,IF($B$172-MAX(645-1,$B$174)&gt;0,IF(B1045=0,0,IF(C1045=0,B1045/($B$172-MAX(645-1,$B$174)),B1045*(C1045/12)/(1-(1+C1045/12)^(-($B$172-MAX(645-1,$B$174)))))),"")),D1044)))),""),""))</x:f>
        <x:v>0</x:v>
      </x:c>
      <x:c r="E1045" s="440" t="n">
        <x:f>IF(AND(645=$B$173,ISNUMBER(D1045)),IF(MAX(0,B1045*(1+C1045/12)-D1045)&lt;MAX(0.0000001,$E$17*0.00000000001),0,MAX(0,B1045*(1+C1045/12)-D1045)),0)</x:f>
        <x:v>0</x:v>
      </x:c>
      <x:c r="F1045" s="440" t="n">
        <x:f>IF($B$78="Cash payoff",E1045,0)</x:f>
        <x:v>0</x:v>
      </x:c>
      <x:c r="G1045" s="440" t="n">
        <x:f>IF(AND(E1045&gt;0,AND($B$78="Refinance",ISNUMBER($B$80),$B$80&gt;=0,$B$80&lt;=1,ROUND($B$81*12,0)&gt;=1,$B$81&lt;=100,SUM($B$82)&gt;=0,SUM($B$82)&lt;=1,SUM($B$83)&gt;=0)),E1045*SUM($B$82)+SUM($B$83),0)</x:f>
        <x:v>0</x:v>
      </x:c>
      <x:c r="H1045" s="440" t="n">
        <x:f>IF(ISNUMBER(D1045),IF(MAX(0,B1045*(1+C1045/12)-D1045-F1045)&lt;MAX(0.0000001,$E$17*0.00000000001),0,MAX(0,B1045*(1+C1045/12)-D1045-F1045)),IF(AND($B$171=1,I1044=1),B1045,""))</x:f>
        <x:v>0</x:v>
      </x:c>
      <x:c r="I1045" s="444" t="n">
        <x:f>IF(OR(I1044=1,AND(E1045&gt;0,$B$78&lt;&gt;"Cash payoff",NOT(AND($B$78="Refinance",ISNUMBER($B$80),$B$80&gt;=0,$B$80&lt;=1,ROUND($B$81*12,0)&gt;=1,$B$81&lt;=100,SUM($B$82)&gt;=0,SUM($B$82)&lt;=1,SUM($B$83)&gt;=0))),AND(ISNUMBER(B1045),B1045&gt;0,$B$171=1,NOT(ISNUMBER(D1045)))),1,0)</x:f>
        <x:v>0</x:v>
      </x:c>
      <x:c r="J1045" s="440" t="n">
        <x:f>IF(ISNUMBER(L1044),L1044,"")</x:f>
        <x:v>0</x:v>
      </x:c>
      <x:c r="K1045" s="440" t="n">
        <x:f>IF(AND(ISNUMBER(J1045),J1045=0),0,IF(AND($B$176=1,ISNUMBER(J1045)),MIN(J1045*(1+$B$87/12),IF($B$86=0,0,IF($B$87=0,$B$86/ROUND($B$88*12,0),$B$86*($B$87/12)/(1-(1+$B$87/12)^(-ROUND($B$88*12,0)))))),""))</x:f>
        <x:v>0</x:v>
      </x:c>
      <x:c r="L1045" s="440" t="n">
        <x:f>IF(ISNUMBER(K1045),IF(MAX(0,J1045*(1+SUM($B$87)/12)-K1045)&lt;MAX(0.0000001,$B$86*0.00000000001),0,MAX(0,J1045*(1+SUM($B$87)/12)-K1045)),"")</x:f>
        <x:v>0</x:v>
      </x:c>
      <x:c r="M1045" s="440" t="n">
        <x:f>IF(AND(ISNUMBER(D1045),ISNUMBER(K1045)),D1045+K1045,"")</x:f>
        <x:v>0</x:v>
      </x:c>
      <x:c r="N1045" s="440" t="n">
        <x:f>IF(AND(ISNUMBER(H1045),ISNUMBER(L1045)),H1045+L1045,"")</x:f>
        <x:v>0</x:v>
      </x:c>
    </x:row>
    <x:row r="1046" ht="22" customHeight="1">
      <x:c r="A1046" s="254" t="n">
        <x:f>646</x:f>
        <x:v>646</x:v>
      </x:c>
      <x:c r="B1046" s="440" t="n">
        <x:f>IF(ISNUMBER(H1045),H1045,"")</x:f>
        <x:v>0</x:v>
      </x:c>
      <x:c r="C1046" s="442" t="n">
        <x:f>IF(ISNUMBER(B1046),IF(AND(646&gt;$B$173,$B$78="Refinance",ISNUMBER($B$80),$B$80&gt;=0,$B$80&lt;=1,ROUND($B$81*12,0)&gt;=1,$B$81&lt;=100,SUM($B$82)&gt;=0,SUM($B$82)&lt;=1,SUM($B$83)&gt;=0),$B$80,IF(AND($B$175&gt;0,646&gt;$B$175,ISNUMBER($B$75)),$B$75,$B$61)),"")</x:f>
        <x:v>0.0625</x:v>
      </x:c>
      <x:c r="D1046" s="440" t="n">
        <x:f>IF(AND(ISNUMBER(B1046),B1046=0),0,IF(AND($B$171=1,I1045=0,ISNUMBER(C1046),ISNUMBER(IF(AND(646&lt;=$B$174,646&lt;=$B$173),B1046*C1046/12,IF(AND(646=$B$173+1,AND(646&gt;$B$173,$B$78="Refinance",ISNUMBER($B$80),$B$80&gt;=0,$B$80&lt;=1,ROUND($B$81*12,0)&gt;=1,$B$81&lt;=100,SUM($B$82)&gt;=0,SUM($B$82)&lt;=1,SUM($B$83)&gt;=0)),IF(B1046=0,0,IF(C1046=0,B1046/ROUND($B$81*12,0),B1046*(C1046/12)/(1-(1+C1046/12)^(-ROUND($B$81*12,0))))),IF(AND(NOT(AND(646&gt;$B$173,$B$78="Refinance",ISNUMBER($B$80),$B$80&gt;=0,$B$80&lt;=1,ROUND($B$81*12,0)&gt;=1,$B$81&lt;=100,SUM($B$82)&gt;=0,SUM($B$82)&lt;=1,SUM($B$83)&gt;=0)),OR(646=1,646=$B$174+1,AND($B$175&gt;0,646=$B$175+1))),IF(AND($B$170=1,$B$66&gt;0,OR($B$175=0,646&lt;=$B$175)),$B$66,IF($B$172-MAX(646-1,$B$174)&gt;0,IF(B1046=0,0,IF(C1046=0,B1046/($B$172-MAX(646-1,$B$174)),B1046*(C1046/12)/(1-(1+C1046/12)^(-($B$172-MAX(646-1,$B$174)))))),"")),D1045))))),IF(IF(AND(646&lt;=$B$174,646&lt;=$B$173),B1046*C1046/12,IF(AND(646=$B$173+1,AND(646&gt;$B$173,$B$78="Refinance",ISNUMBER($B$80),$B$80&gt;=0,$B$80&lt;=1,ROUND($B$81*12,0)&gt;=1,$B$81&lt;=100,SUM($B$82)&gt;=0,SUM($B$82)&lt;=1,SUM($B$83)&gt;=0)),IF(B1046=0,0,IF(C1046=0,B1046/ROUND($B$81*12,0),B1046*(C1046/12)/(1-(1+C1046/12)^(-ROUND($B$81*12,0))))),IF(AND(NOT(AND(646&gt;$B$173,$B$78="Refinance",ISNUMBER($B$80),$B$80&gt;=0,$B$80&lt;=1,ROUND($B$81*12,0)&gt;=1,$B$81&lt;=100,SUM($B$82)&gt;=0,SUM($B$82)&lt;=1,SUM($B$83)&gt;=0)),OR(646=1,646=$B$174+1,AND($B$175&gt;0,646=$B$175+1))),IF(AND($B$170=1,$B$66&gt;0,OR($B$175=0,646&lt;=$B$175)),$B$66,IF($B$172-MAX(646-1,$B$174)&gt;0,IF(B1046=0,0,IF(C1046=0,B1046/($B$172-MAX(646-1,$B$174)),B1046*(C1046/12)/(1-(1+C1046/12)^(-($B$172-MAX(646-1,$B$174)))))),"")),D1045)))+0.0000001&gt;=B1046*C1046/12,MIN(B1046*(1+C1046/12),IF(AND(646&lt;=$B$174,646&lt;=$B$173),B1046*C1046/12,IF(AND(646=$B$173+1,AND(646&gt;$B$173,$B$78="Refinance",ISNUMBER($B$80),$B$80&gt;=0,$B$80&lt;=1,ROUND($B$81*12,0)&gt;=1,$B$81&lt;=100,SUM($B$82)&gt;=0,SUM($B$82)&lt;=1,SUM($B$83)&gt;=0)),IF(B1046=0,0,IF(C1046=0,B1046/ROUND($B$81*12,0),B1046*(C1046/12)/(1-(1+C1046/12)^(-ROUND($B$81*12,0))))),IF(AND(NOT(AND(646&gt;$B$173,$B$78="Refinance",ISNUMBER($B$80),$B$80&gt;=0,$B$80&lt;=1,ROUND($B$81*12,0)&gt;=1,$B$81&lt;=100,SUM($B$82)&gt;=0,SUM($B$82)&lt;=1,SUM($B$83)&gt;=0)),OR(646=1,646=$B$174+1,AND($B$175&gt;0,646=$B$175+1))),IF(AND($B$170=1,$B$66&gt;0,OR($B$175=0,646&lt;=$B$175)),$B$66,IF($B$172-MAX(646-1,$B$174)&gt;0,IF(B1046=0,0,IF(C1046=0,B1046/($B$172-MAX(646-1,$B$174)),B1046*(C1046/12)/(1-(1+C1046/12)^(-($B$172-MAX(646-1,$B$174)))))),"")),D1045)))),""),""))</x:f>
        <x:v>0</x:v>
      </x:c>
      <x:c r="E1046" s="440" t="n">
        <x:f>IF(AND(646=$B$173,ISNUMBER(D1046)),IF(MAX(0,B1046*(1+C1046/12)-D1046)&lt;MAX(0.0000001,$E$17*0.00000000001),0,MAX(0,B1046*(1+C1046/12)-D1046)),0)</x:f>
        <x:v>0</x:v>
      </x:c>
      <x:c r="F1046" s="440" t="n">
        <x:f>IF($B$78="Cash payoff",E1046,0)</x:f>
        <x:v>0</x:v>
      </x:c>
      <x:c r="G1046" s="440" t="n">
        <x:f>IF(AND(E1046&gt;0,AND($B$78="Refinance",ISNUMBER($B$80),$B$80&gt;=0,$B$80&lt;=1,ROUND($B$81*12,0)&gt;=1,$B$81&lt;=100,SUM($B$82)&gt;=0,SUM($B$82)&lt;=1,SUM($B$83)&gt;=0)),E1046*SUM($B$82)+SUM($B$83),0)</x:f>
        <x:v>0</x:v>
      </x:c>
      <x:c r="H1046" s="440" t="n">
        <x:f>IF(ISNUMBER(D1046),IF(MAX(0,B1046*(1+C1046/12)-D1046-F1046)&lt;MAX(0.0000001,$E$17*0.00000000001),0,MAX(0,B1046*(1+C1046/12)-D1046-F1046)),IF(AND($B$171=1,I1045=1),B1046,""))</x:f>
        <x:v>0</x:v>
      </x:c>
      <x:c r="I1046" s="444" t="n">
        <x:f>IF(OR(I1045=1,AND(E1046&gt;0,$B$78&lt;&gt;"Cash payoff",NOT(AND($B$78="Refinance",ISNUMBER($B$80),$B$80&gt;=0,$B$80&lt;=1,ROUND($B$81*12,0)&gt;=1,$B$81&lt;=100,SUM($B$82)&gt;=0,SUM($B$82)&lt;=1,SUM($B$83)&gt;=0))),AND(ISNUMBER(B1046),B1046&gt;0,$B$171=1,NOT(ISNUMBER(D1046)))),1,0)</x:f>
        <x:v>0</x:v>
      </x:c>
      <x:c r="J1046" s="440" t="n">
        <x:f>IF(ISNUMBER(L1045),L1045,"")</x:f>
        <x:v>0</x:v>
      </x:c>
      <x:c r="K1046" s="440" t="n">
        <x:f>IF(AND(ISNUMBER(J1046),J1046=0),0,IF(AND($B$176=1,ISNUMBER(J1046)),MIN(J1046*(1+$B$87/12),IF($B$86=0,0,IF($B$87=0,$B$86/ROUND($B$88*12,0),$B$86*($B$87/12)/(1-(1+$B$87/12)^(-ROUND($B$88*12,0)))))),""))</x:f>
        <x:v>0</x:v>
      </x:c>
      <x:c r="L1046" s="440" t="n">
        <x:f>IF(ISNUMBER(K1046),IF(MAX(0,J1046*(1+SUM($B$87)/12)-K1046)&lt;MAX(0.0000001,$B$86*0.00000000001),0,MAX(0,J1046*(1+SUM($B$87)/12)-K1046)),"")</x:f>
        <x:v>0</x:v>
      </x:c>
      <x:c r="M1046" s="440" t="n">
        <x:f>IF(AND(ISNUMBER(D1046),ISNUMBER(K1046)),D1046+K1046,"")</x:f>
        <x:v>0</x:v>
      </x:c>
      <x:c r="N1046" s="440" t="n">
        <x:f>IF(AND(ISNUMBER(H1046),ISNUMBER(L1046)),H1046+L1046,"")</x:f>
        <x:v>0</x:v>
      </x:c>
    </x:row>
    <x:row r="1047" ht="22" customHeight="1">
      <x:c r="A1047" s="254" t="n">
        <x:f>647</x:f>
        <x:v>647</x:v>
      </x:c>
      <x:c r="B1047" s="440" t="n">
        <x:f>IF(ISNUMBER(H1046),H1046,"")</x:f>
        <x:v>0</x:v>
      </x:c>
      <x:c r="C1047" s="442" t="n">
        <x:f>IF(ISNUMBER(B1047),IF(AND(647&gt;$B$173,$B$78="Refinance",ISNUMBER($B$80),$B$80&gt;=0,$B$80&lt;=1,ROUND($B$81*12,0)&gt;=1,$B$81&lt;=100,SUM($B$82)&gt;=0,SUM($B$82)&lt;=1,SUM($B$83)&gt;=0),$B$80,IF(AND($B$175&gt;0,647&gt;$B$175,ISNUMBER($B$75)),$B$75,$B$61)),"")</x:f>
        <x:v>0.0625</x:v>
      </x:c>
      <x:c r="D1047" s="440" t="n">
        <x:f>IF(AND(ISNUMBER(B1047),B1047=0),0,IF(AND($B$171=1,I1046=0,ISNUMBER(C1047),ISNUMBER(IF(AND(647&lt;=$B$174,647&lt;=$B$173),B1047*C1047/12,IF(AND(647=$B$173+1,AND(647&gt;$B$173,$B$78="Refinance",ISNUMBER($B$80),$B$80&gt;=0,$B$80&lt;=1,ROUND($B$81*12,0)&gt;=1,$B$81&lt;=100,SUM($B$82)&gt;=0,SUM($B$82)&lt;=1,SUM($B$83)&gt;=0)),IF(B1047=0,0,IF(C1047=0,B1047/ROUND($B$81*12,0),B1047*(C1047/12)/(1-(1+C1047/12)^(-ROUND($B$81*12,0))))),IF(AND(NOT(AND(647&gt;$B$173,$B$78="Refinance",ISNUMBER($B$80),$B$80&gt;=0,$B$80&lt;=1,ROUND($B$81*12,0)&gt;=1,$B$81&lt;=100,SUM($B$82)&gt;=0,SUM($B$82)&lt;=1,SUM($B$83)&gt;=0)),OR(647=1,647=$B$174+1,AND($B$175&gt;0,647=$B$175+1))),IF(AND($B$170=1,$B$66&gt;0,OR($B$175=0,647&lt;=$B$175)),$B$66,IF($B$172-MAX(647-1,$B$174)&gt;0,IF(B1047=0,0,IF(C1047=0,B1047/($B$172-MAX(647-1,$B$174)),B1047*(C1047/12)/(1-(1+C1047/12)^(-($B$172-MAX(647-1,$B$174)))))),"")),D1046))))),IF(IF(AND(647&lt;=$B$174,647&lt;=$B$173),B1047*C1047/12,IF(AND(647=$B$173+1,AND(647&gt;$B$173,$B$78="Refinance",ISNUMBER($B$80),$B$80&gt;=0,$B$80&lt;=1,ROUND($B$81*12,0)&gt;=1,$B$81&lt;=100,SUM($B$82)&gt;=0,SUM($B$82)&lt;=1,SUM($B$83)&gt;=0)),IF(B1047=0,0,IF(C1047=0,B1047/ROUND($B$81*12,0),B1047*(C1047/12)/(1-(1+C1047/12)^(-ROUND($B$81*12,0))))),IF(AND(NOT(AND(647&gt;$B$173,$B$78="Refinance",ISNUMBER($B$80),$B$80&gt;=0,$B$80&lt;=1,ROUND($B$81*12,0)&gt;=1,$B$81&lt;=100,SUM($B$82)&gt;=0,SUM($B$82)&lt;=1,SUM($B$83)&gt;=0)),OR(647=1,647=$B$174+1,AND($B$175&gt;0,647=$B$175+1))),IF(AND($B$170=1,$B$66&gt;0,OR($B$175=0,647&lt;=$B$175)),$B$66,IF($B$172-MAX(647-1,$B$174)&gt;0,IF(B1047=0,0,IF(C1047=0,B1047/($B$172-MAX(647-1,$B$174)),B1047*(C1047/12)/(1-(1+C1047/12)^(-($B$172-MAX(647-1,$B$174)))))),"")),D1046)))+0.0000001&gt;=B1047*C1047/12,MIN(B1047*(1+C1047/12),IF(AND(647&lt;=$B$174,647&lt;=$B$173),B1047*C1047/12,IF(AND(647=$B$173+1,AND(647&gt;$B$173,$B$78="Refinance",ISNUMBER($B$80),$B$80&gt;=0,$B$80&lt;=1,ROUND($B$81*12,0)&gt;=1,$B$81&lt;=100,SUM($B$82)&gt;=0,SUM($B$82)&lt;=1,SUM($B$83)&gt;=0)),IF(B1047=0,0,IF(C1047=0,B1047/ROUND($B$81*12,0),B1047*(C1047/12)/(1-(1+C1047/12)^(-ROUND($B$81*12,0))))),IF(AND(NOT(AND(647&gt;$B$173,$B$78="Refinance",ISNUMBER($B$80),$B$80&gt;=0,$B$80&lt;=1,ROUND($B$81*12,0)&gt;=1,$B$81&lt;=100,SUM($B$82)&gt;=0,SUM($B$82)&lt;=1,SUM($B$83)&gt;=0)),OR(647=1,647=$B$174+1,AND($B$175&gt;0,647=$B$175+1))),IF(AND($B$170=1,$B$66&gt;0,OR($B$175=0,647&lt;=$B$175)),$B$66,IF($B$172-MAX(647-1,$B$174)&gt;0,IF(B1047=0,0,IF(C1047=0,B1047/($B$172-MAX(647-1,$B$174)),B1047*(C1047/12)/(1-(1+C1047/12)^(-($B$172-MAX(647-1,$B$174)))))),"")),D1046)))),""),""))</x:f>
        <x:v>0</x:v>
      </x:c>
      <x:c r="E1047" s="440" t="n">
        <x:f>IF(AND(647=$B$173,ISNUMBER(D1047)),IF(MAX(0,B1047*(1+C1047/12)-D1047)&lt;MAX(0.0000001,$E$17*0.00000000001),0,MAX(0,B1047*(1+C1047/12)-D1047)),0)</x:f>
        <x:v>0</x:v>
      </x:c>
      <x:c r="F1047" s="440" t="n">
        <x:f>IF($B$78="Cash payoff",E1047,0)</x:f>
        <x:v>0</x:v>
      </x:c>
      <x:c r="G1047" s="440" t="n">
        <x:f>IF(AND(E1047&gt;0,AND($B$78="Refinance",ISNUMBER($B$80),$B$80&gt;=0,$B$80&lt;=1,ROUND($B$81*12,0)&gt;=1,$B$81&lt;=100,SUM($B$82)&gt;=0,SUM($B$82)&lt;=1,SUM($B$83)&gt;=0)),E1047*SUM($B$82)+SUM($B$83),0)</x:f>
        <x:v>0</x:v>
      </x:c>
      <x:c r="H1047" s="440" t="n">
        <x:f>IF(ISNUMBER(D1047),IF(MAX(0,B1047*(1+C1047/12)-D1047-F1047)&lt;MAX(0.0000001,$E$17*0.00000000001),0,MAX(0,B1047*(1+C1047/12)-D1047-F1047)),IF(AND($B$171=1,I1046=1),B1047,""))</x:f>
        <x:v>0</x:v>
      </x:c>
      <x:c r="I1047" s="444" t="n">
        <x:f>IF(OR(I1046=1,AND(E1047&gt;0,$B$78&lt;&gt;"Cash payoff",NOT(AND($B$78="Refinance",ISNUMBER($B$80),$B$80&gt;=0,$B$80&lt;=1,ROUND($B$81*12,0)&gt;=1,$B$81&lt;=100,SUM($B$82)&gt;=0,SUM($B$82)&lt;=1,SUM($B$83)&gt;=0))),AND(ISNUMBER(B1047),B1047&gt;0,$B$171=1,NOT(ISNUMBER(D1047)))),1,0)</x:f>
        <x:v>0</x:v>
      </x:c>
      <x:c r="J1047" s="440" t="n">
        <x:f>IF(ISNUMBER(L1046),L1046,"")</x:f>
        <x:v>0</x:v>
      </x:c>
      <x:c r="K1047" s="440" t="n">
        <x:f>IF(AND(ISNUMBER(J1047),J1047=0),0,IF(AND($B$176=1,ISNUMBER(J1047)),MIN(J1047*(1+$B$87/12),IF($B$86=0,0,IF($B$87=0,$B$86/ROUND($B$88*12,0),$B$86*($B$87/12)/(1-(1+$B$87/12)^(-ROUND($B$88*12,0)))))),""))</x:f>
        <x:v>0</x:v>
      </x:c>
      <x:c r="L1047" s="440" t="n">
        <x:f>IF(ISNUMBER(K1047),IF(MAX(0,J1047*(1+SUM($B$87)/12)-K1047)&lt;MAX(0.0000001,$B$86*0.00000000001),0,MAX(0,J1047*(1+SUM($B$87)/12)-K1047)),"")</x:f>
        <x:v>0</x:v>
      </x:c>
      <x:c r="M1047" s="440" t="n">
        <x:f>IF(AND(ISNUMBER(D1047),ISNUMBER(K1047)),D1047+K1047,"")</x:f>
        <x:v>0</x:v>
      </x:c>
      <x:c r="N1047" s="440" t="n">
        <x:f>IF(AND(ISNUMBER(H1047),ISNUMBER(L1047)),H1047+L1047,"")</x:f>
        <x:v>0</x:v>
      </x:c>
    </x:row>
    <x:row r="1048" ht="22" customHeight="1">
      <x:c r="A1048" s="254" t="n">
        <x:f>648</x:f>
        <x:v>648</x:v>
      </x:c>
      <x:c r="B1048" s="440" t="n">
        <x:f>IF(ISNUMBER(H1047),H1047,"")</x:f>
        <x:v>0</x:v>
      </x:c>
      <x:c r="C1048" s="442" t="n">
        <x:f>IF(ISNUMBER(B1048),IF(AND(648&gt;$B$173,$B$78="Refinance",ISNUMBER($B$80),$B$80&gt;=0,$B$80&lt;=1,ROUND($B$81*12,0)&gt;=1,$B$81&lt;=100,SUM($B$82)&gt;=0,SUM($B$82)&lt;=1,SUM($B$83)&gt;=0),$B$80,IF(AND($B$175&gt;0,648&gt;$B$175,ISNUMBER($B$75)),$B$75,$B$61)),"")</x:f>
        <x:v>0.0625</x:v>
      </x:c>
      <x:c r="D1048" s="440" t="n">
        <x:f>IF(AND(ISNUMBER(B1048),B1048=0),0,IF(AND($B$171=1,I1047=0,ISNUMBER(C1048),ISNUMBER(IF(AND(648&lt;=$B$174,648&lt;=$B$173),B1048*C1048/12,IF(AND(648=$B$173+1,AND(648&gt;$B$173,$B$78="Refinance",ISNUMBER($B$80),$B$80&gt;=0,$B$80&lt;=1,ROUND($B$81*12,0)&gt;=1,$B$81&lt;=100,SUM($B$82)&gt;=0,SUM($B$82)&lt;=1,SUM($B$83)&gt;=0)),IF(B1048=0,0,IF(C1048=0,B1048/ROUND($B$81*12,0),B1048*(C1048/12)/(1-(1+C1048/12)^(-ROUND($B$81*12,0))))),IF(AND(NOT(AND(648&gt;$B$173,$B$78="Refinance",ISNUMBER($B$80),$B$80&gt;=0,$B$80&lt;=1,ROUND($B$81*12,0)&gt;=1,$B$81&lt;=100,SUM($B$82)&gt;=0,SUM($B$82)&lt;=1,SUM($B$83)&gt;=0)),OR(648=1,648=$B$174+1,AND($B$175&gt;0,648=$B$175+1))),IF(AND($B$170=1,$B$66&gt;0,OR($B$175=0,648&lt;=$B$175)),$B$66,IF($B$172-MAX(648-1,$B$174)&gt;0,IF(B1048=0,0,IF(C1048=0,B1048/($B$172-MAX(648-1,$B$174)),B1048*(C1048/12)/(1-(1+C1048/12)^(-($B$172-MAX(648-1,$B$174)))))),"")),D1047))))),IF(IF(AND(648&lt;=$B$174,648&lt;=$B$173),B1048*C1048/12,IF(AND(648=$B$173+1,AND(648&gt;$B$173,$B$78="Refinance",ISNUMBER($B$80),$B$80&gt;=0,$B$80&lt;=1,ROUND($B$81*12,0)&gt;=1,$B$81&lt;=100,SUM($B$82)&gt;=0,SUM($B$82)&lt;=1,SUM($B$83)&gt;=0)),IF(B1048=0,0,IF(C1048=0,B1048/ROUND($B$81*12,0),B1048*(C1048/12)/(1-(1+C1048/12)^(-ROUND($B$81*12,0))))),IF(AND(NOT(AND(648&gt;$B$173,$B$78="Refinance",ISNUMBER($B$80),$B$80&gt;=0,$B$80&lt;=1,ROUND($B$81*12,0)&gt;=1,$B$81&lt;=100,SUM($B$82)&gt;=0,SUM($B$82)&lt;=1,SUM($B$83)&gt;=0)),OR(648=1,648=$B$174+1,AND($B$175&gt;0,648=$B$175+1))),IF(AND($B$170=1,$B$66&gt;0,OR($B$175=0,648&lt;=$B$175)),$B$66,IF($B$172-MAX(648-1,$B$174)&gt;0,IF(B1048=0,0,IF(C1048=0,B1048/($B$172-MAX(648-1,$B$174)),B1048*(C1048/12)/(1-(1+C1048/12)^(-($B$172-MAX(648-1,$B$174)))))),"")),D1047)))+0.0000001&gt;=B1048*C1048/12,MIN(B1048*(1+C1048/12),IF(AND(648&lt;=$B$174,648&lt;=$B$173),B1048*C1048/12,IF(AND(648=$B$173+1,AND(648&gt;$B$173,$B$78="Refinance",ISNUMBER($B$80),$B$80&gt;=0,$B$80&lt;=1,ROUND($B$81*12,0)&gt;=1,$B$81&lt;=100,SUM($B$82)&gt;=0,SUM($B$82)&lt;=1,SUM($B$83)&gt;=0)),IF(B1048=0,0,IF(C1048=0,B1048/ROUND($B$81*12,0),B1048*(C1048/12)/(1-(1+C1048/12)^(-ROUND($B$81*12,0))))),IF(AND(NOT(AND(648&gt;$B$173,$B$78="Refinance",ISNUMBER($B$80),$B$80&gt;=0,$B$80&lt;=1,ROUND($B$81*12,0)&gt;=1,$B$81&lt;=100,SUM($B$82)&gt;=0,SUM($B$82)&lt;=1,SUM($B$83)&gt;=0)),OR(648=1,648=$B$174+1,AND($B$175&gt;0,648=$B$175+1))),IF(AND($B$170=1,$B$66&gt;0,OR($B$175=0,648&lt;=$B$175)),$B$66,IF($B$172-MAX(648-1,$B$174)&gt;0,IF(B1048=0,0,IF(C1048=0,B1048/($B$172-MAX(648-1,$B$174)),B1048*(C1048/12)/(1-(1+C1048/12)^(-($B$172-MAX(648-1,$B$174)))))),"")),D1047)))),""),""))</x:f>
        <x:v>0</x:v>
      </x:c>
      <x:c r="E1048" s="440" t="n">
        <x:f>IF(AND(648=$B$173,ISNUMBER(D1048)),IF(MAX(0,B1048*(1+C1048/12)-D1048)&lt;MAX(0.0000001,$E$17*0.00000000001),0,MAX(0,B1048*(1+C1048/12)-D1048)),0)</x:f>
        <x:v>0</x:v>
      </x:c>
      <x:c r="F1048" s="440" t="n">
        <x:f>IF($B$78="Cash payoff",E1048,0)</x:f>
        <x:v>0</x:v>
      </x:c>
      <x:c r="G1048" s="440" t="n">
        <x:f>IF(AND(E1048&gt;0,AND($B$78="Refinance",ISNUMBER($B$80),$B$80&gt;=0,$B$80&lt;=1,ROUND($B$81*12,0)&gt;=1,$B$81&lt;=100,SUM($B$82)&gt;=0,SUM($B$82)&lt;=1,SUM($B$83)&gt;=0)),E1048*SUM($B$82)+SUM($B$83),0)</x:f>
        <x:v>0</x:v>
      </x:c>
      <x:c r="H1048" s="440" t="n">
        <x:f>IF(ISNUMBER(D1048),IF(MAX(0,B1048*(1+C1048/12)-D1048-F1048)&lt;MAX(0.0000001,$E$17*0.00000000001),0,MAX(0,B1048*(1+C1048/12)-D1048-F1048)),IF(AND($B$171=1,I1047=1),B1048,""))</x:f>
        <x:v>0</x:v>
      </x:c>
      <x:c r="I1048" s="444" t="n">
        <x:f>IF(OR(I1047=1,AND(E1048&gt;0,$B$78&lt;&gt;"Cash payoff",NOT(AND($B$78="Refinance",ISNUMBER($B$80),$B$80&gt;=0,$B$80&lt;=1,ROUND($B$81*12,0)&gt;=1,$B$81&lt;=100,SUM($B$82)&gt;=0,SUM($B$82)&lt;=1,SUM($B$83)&gt;=0))),AND(ISNUMBER(B1048),B1048&gt;0,$B$171=1,NOT(ISNUMBER(D1048)))),1,0)</x:f>
        <x:v>0</x:v>
      </x:c>
      <x:c r="J1048" s="440" t="n">
        <x:f>IF(ISNUMBER(L1047),L1047,"")</x:f>
        <x:v>0</x:v>
      </x:c>
      <x:c r="K1048" s="440" t="n">
        <x:f>IF(AND(ISNUMBER(J1048),J1048=0),0,IF(AND($B$176=1,ISNUMBER(J1048)),MIN(J1048*(1+$B$87/12),IF($B$86=0,0,IF($B$87=0,$B$86/ROUND($B$88*12,0),$B$86*($B$87/12)/(1-(1+$B$87/12)^(-ROUND($B$88*12,0)))))),""))</x:f>
        <x:v>0</x:v>
      </x:c>
      <x:c r="L1048" s="440" t="n">
        <x:f>IF(ISNUMBER(K1048),IF(MAX(0,J1048*(1+SUM($B$87)/12)-K1048)&lt;MAX(0.0000001,$B$86*0.00000000001),0,MAX(0,J1048*(1+SUM($B$87)/12)-K1048)),"")</x:f>
        <x:v>0</x:v>
      </x:c>
      <x:c r="M1048" s="440" t="n">
        <x:f>IF(AND(ISNUMBER(D1048),ISNUMBER(K1048)),D1048+K1048,"")</x:f>
        <x:v>0</x:v>
      </x:c>
      <x:c r="N1048" s="440" t="n">
        <x:f>IF(AND(ISNUMBER(H1048),ISNUMBER(L1048)),H1048+L1048,"")</x:f>
        <x:v>0</x:v>
      </x:c>
    </x:row>
    <x:row r="1049" ht="22" customHeight="1">
      <x:c r="A1049" s="254" t="n">
        <x:f>649</x:f>
        <x:v>649</x:v>
      </x:c>
      <x:c r="B1049" s="440" t="n">
        <x:f>IF(ISNUMBER(H1048),H1048,"")</x:f>
        <x:v>0</x:v>
      </x:c>
      <x:c r="C1049" s="442" t="n">
        <x:f>IF(ISNUMBER(B1049),IF(AND(649&gt;$B$173,$B$78="Refinance",ISNUMBER($B$80),$B$80&gt;=0,$B$80&lt;=1,ROUND($B$81*12,0)&gt;=1,$B$81&lt;=100,SUM($B$82)&gt;=0,SUM($B$82)&lt;=1,SUM($B$83)&gt;=0),$B$80,IF(AND($B$175&gt;0,649&gt;$B$175,ISNUMBER($B$75)),$B$75,$B$61)),"")</x:f>
        <x:v>0.0625</x:v>
      </x:c>
      <x:c r="D1049" s="440" t="n">
        <x:f>IF(AND(ISNUMBER(B1049),B1049=0),0,IF(AND($B$171=1,I1048=0,ISNUMBER(C1049),ISNUMBER(IF(AND(649&lt;=$B$174,649&lt;=$B$173),B1049*C1049/12,IF(AND(649=$B$173+1,AND(649&gt;$B$173,$B$78="Refinance",ISNUMBER($B$80),$B$80&gt;=0,$B$80&lt;=1,ROUND($B$81*12,0)&gt;=1,$B$81&lt;=100,SUM($B$82)&gt;=0,SUM($B$82)&lt;=1,SUM($B$83)&gt;=0)),IF(B1049=0,0,IF(C1049=0,B1049/ROUND($B$81*12,0),B1049*(C1049/12)/(1-(1+C1049/12)^(-ROUND($B$81*12,0))))),IF(AND(NOT(AND(649&gt;$B$173,$B$78="Refinance",ISNUMBER($B$80),$B$80&gt;=0,$B$80&lt;=1,ROUND($B$81*12,0)&gt;=1,$B$81&lt;=100,SUM($B$82)&gt;=0,SUM($B$82)&lt;=1,SUM($B$83)&gt;=0)),OR(649=1,649=$B$174+1,AND($B$175&gt;0,649=$B$175+1))),IF(AND($B$170=1,$B$66&gt;0,OR($B$175=0,649&lt;=$B$175)),$B$66,IF($B$172-MAX(649-1,$B$174)&gt;0,IF(B1049=0,0,IF(C1049=0,B1049/($B$172-MAX(649-1,$B$174)),B1049*(C1049/12)/(1-(1+C1049/12)^(-($B$172-MAX(649-1,$B$174)))))),"")),D1048))))),IF(IF(AND(649&lt;=$B$174,649&lt;=$B$173),B1049*C1049/12,IF(AND(649=$B$173+1,AND(649&gt;$B$173,$B$78="Refinance",ISNUMBER($B$80),$B$80&gt;=0,$B$80&lt;=1,ROUND($B$81*12,0)&gt;=1,$B$81&lt;=100,SUM($B$82)&gt;=0,SUM($B$82)&lt;=1,SUM($B$83)&gt;=0)),IF(B1049=0,0,IF(C1049=0,B1049/ROUND($B$81*12,0),B1049*(C1049/12)/(1-(1+C1049/12)^(-ROUND($B$81*12,0))))),IF(AND(NOT(AND(649&gt;$B$173,$B$78="Refinance",ISNUMBER($B$80),$B$80&gt;=0,$B$80&lt;=1,ROUND($B$81*12,0)&gt;=1,$B$81&lt;=100,SUM($B$82)&gt;=0,SUM($B$82)&lt;=1,SUM($B$83)&gt;=0)),OR(649=1,649=$B$174+1,AND($B$175&gt;0,649=$B$175+1))),IF(AND($B$170=1,$B$66&gt;0,OR($B$175=0,649&lt;=$B$175)),$B$66,IF($B$172-MAX(649-1,$B$174)&gt;0,IF(B1049=0,0,IF(C1049=0,B1049/($B$172-MAX(649-1,$B$174)),B1049*(C1049/12)/(1-(1+C1049/12)^(-($B$172-MAX(649-1,$B$174)))))),"")),D1048)))+0.0000001&gt;=B1049*C1049/12,MIN(B1049*(1+C1049/12),IF(AND(649&lt;=$B$174,649&lt;=$B$173),B1049*C1049/12,IF(AND(649=$B$173+1,AND(649&gt;$B$173,$B$78="Refinance",ISNUMBER($B$80),$B$80&gt;=0,$B$80&lt;=1,ROUND($B$81*12,0)&gt;=1,$B$81&lt;=100,SUM($B$82)&gt;=0,SUM($B$82)&lt;=1,SUM($B$83)&gt;=0)),IF(B1049=0,0,IF(C1049=0,B1049/ROUND($B$81*12,0),B1049*(C1049/12)/(1-(1+C1049/12)^(-ROUND($B$81*12,0))))),IF(AND(NOT(AND(649&gt;$B$173,$B$78="Refinance",ISNUMBER($B$80),$B$80&gt;=0,$B$80&lt;=1,ROUND($B$81*12,0)&gt;=1,$B$81&lt;=100,SUM($B$82)&gt;=0,SUM($B$82)&lt;=1,SUM($B$83)&gt;=0)),OR(649=1,649=$B$174+1,AND($B$175&gt;0,649=$B$175+1))),IF(AND($B$170=1,$B$66&gt;0,OR($B$175=0,649&lt;=$B$175)),$B$66,IF($B$172-MAX(649-1,$B$174)&gt;0,IF(B1049=0,0,IF(C1049=0,B1049/($B$172-MAX(649-1,$B$174)),B1049*(C1049/12)/(1-(1+C1049/12)^(-($B$172-MAX(649-1,$B$174)))))),"")),D1048)))),""),""))</x:f>
        <x:v>0</x:v>
      </x:c>
      <x:c r="E1049" s="440" t="n">
        <x:f>IF(AND(649=$B$173,ISNUMBER(D1049)),IF(MAX(0,B1049*(1+C1049/12)-D1049)&lt;MAX(0.0000001,$E$17*0.00000000001),0,MAX(0,B1049*(1+C1049/12)-D1049)),0)</x:f>
        <x:v>0</x:v>
      </x:c>
      <x:c r="F1049" s="440" t="n">
        <x:f>IF($B$78="Cash payoff",E1049,0)</x:f>
        <x:v>0</x:v>
      </x:c>
      <x:c r="G1049" s="440" t="n">
        <x:f>IF(AND(E1049&gt;0,AND($B$78="Refinance",ISNUMBER($B$80),$B$80&gt;=0,$B$80&lt;=1,ROUND($B$81*12,0)&gt;=1,$B$81&lt;=100,SUM($B$82)&gt;=0,SUM($B$82)&lt;=1,SUM($B$83)&gt;=0)),E1049*SUM($B$82)+SUM($B$83),0)</x:f>
        <x:v>0</x:v>
      </x:c>
      <x:c r="H1049" s="440" t="n">
        <x:f>IF(ISNUMBER(D1049),IF(MAX(0,B1049*(1+C1049/12)-D1049-F1049)&lt;MAX(0.0000001,$E$17*0.00000000001),0,MAX(0,B1049*(1+C1049/12)-D1049-F1049)),IF(AND($B$171=1,I1048=1),B1049,""))</x:f>
        <x:v>0</x:v>
      </x:c>
      <x:c r="I1049" s="444" t="n">
        <x:f>IF(OR(I1048=1,AND(E1049&gt;0,$B$78&lt;&gt;"Cash payoff",NOT(AND($B$78="Refinance",ISNUMBER($B$80),$B$80&gt;=0,$B$80&lt;=1,ROUND($B$81*12,0)&gt;=1,$B$81&lt;=100,SUM($B$82)&gt;=0,SUM($B$82)&lt;=1,SUM($B$83)&gt;=0))),AND(ISNUMBER(B1049),B1049&gt;0,$B$171=1,NOT(ISNUMBER(D1049)))),1,0)</x:f>
        <x:v>0</x:v>
      </x:c>
      <x:c r="J1049" s="440" t="n">
        <x:f>IF(ISNUMBER(L1048),L1048,"")</x:f>
        <x:v>0</x:v>
      </x:c>
      <x:c r="K1049" s="440" t="n">
        <x:f>IF(AND(ISNUMBER(J1049),J1049=0),0,IF(AND($B$176=1,ISNUMBER(J1049)),MIN(J1049*(1+$B$87/12),IF($B$86=0,0,IF($B$87=0,$B$86/ROUND($B$88*12,0),$B$86*($B$87/12)/(1-(1+$B$87/12)^(-ROUND($B$88*12,0)))))),""))</x:f>
        <x:v>0</x:v>
      </x:c>
      <x:c r="L1049" s="440" t="n">
        <x:f>IF(ISNUMBER(K1049),IF(MAX(0,J1049*(1+SUM($B$87)/12)-K1049)&lt;MAX(0.0000001,$B$86*0.00000000001),0,MAX(0,J1049*(1+SUM($B$87)/12)-K1049)),"")</x:f>
        <x:v>0</x:v>
      </x:c>
      <x:c r="M1049" s="440" t="n">
        <x:f>IF(AND(ISNUMBER(D1049),ISNUMBER(K1049)),D1049+K1049,"")</x:f>
        <x:v>0</x:v>
      </x:c>
      <x:c r="N1049" s="440" t="n">
        <x:f>IF(AND(ISNUMBER(H1049),ISNUMBER(L1049)),H1049+L1049,"")</x:f>
        <x:v>0</x:v>
      </x:c>
    </x:row>
    <x:row r="1050" ht="22" customHeight="1">
      <x:c r="A1050" s="254" t="n">
        <x:f>650</x:f>
        <x:v>650</x:v>
      </x:c>
      <x:c r="B1050" s="440" t="n">
        <x:f>IF(ISNUMBER(H1049),H1049,"")</x:f>
        <x:v>0</x:v>
      </x:c>
      <x:c r="C1050" s="442" t="n">
        <x:f>IF(ISNUMBER(B1050),IF(AND(650&gt;$B$173,$B$78="Refinance",ISNUMBER($B$80),$B$80&gt;=0,$B$80&lt;=1,ROUND($B$81*12,0)&gt;=1,$B$81&lt;=100,SUM($B$82)&gt;=0,SUM($B$82)&lt;=1,SUM($B$83)&gt;=0),$B$80,IF(AND($B$175&gt;0,650&gt;$B$175,ISNUMBER($B$75)),$B$75,$B$61)),"")</x:f>
        <x:v>0.0625</x:v>
      </x:c>
      <x:c r="D1050" s="440" t="n">
        <x:f>IF(AND(ISNUMBER(B1050),B1050=0),0,IF(AND($B$171=1,I1049=0,ISNUMBER(C1050),ISNUMBER(IF(AND(650&lt;=$B$174,650&lt;=$B$173),B1050*C1050/12,IF(AND(650=$B$173+1,AND(650&gt;$B$173,$B$78="Refinance",ISNUMBER($B$80),$B$80&gt;=0,$B$80&lt;=1,ROUND($B$81*12,0)&gt;=1,$B$81&lt;=100,SUM($B$82)&gt;=0,SUM($B$82)&lt;=1,SUM($B$83)&gt;=0)),IF(B1050=0,0,IF(C1050=0,B1050/ROUND($B$81*12,0),B1050*(C1050/12)/(1-(1+C1050/12)^(-ROUND($B$81*12,0))))),IF(AND(NOT(AND(650&gt;$B$173,$B$78="Refinance",ISNUMBER($B$80),$B$80&gt;=0,$B$80&lt;=1,ROUND($B$81*12,0)&gt;=1,$B$81&lt;=100,SUM($B$82)&gt;=0,SUM($B$82)&lt;=1,SUM($B$83)&gt;=0)),OR(650=1,650=$B$174+1,AND($B$175&gt;0,650=$B$175+1))),IF(AND($B$170=1,$B$66&gt;0,OR($B$175=0,650&lt;=$B$175)),$B$66,IF($B$172-MAX(650-1,$B$174)&gt;0,IF(B1050=0,0,IF(C1050=0,B1050/($B$172-MAX(650-1,$B$174)),B1050*(C1050/12)/(1-(1+C1050/12)^(-($B$172-MAX(650-1,$B$174)))))),"")),D1049))))),IF(IF(AND(650&lt;=$B$174,650&lt;=$B$173),B1050*C1050/12,IF(AND(650=$B$173+1,AND(650&gt;$B$173,$B$78="Refinance",ISNUMBER($B$80),$B$80&gt;=0,$B$80&lt;=1,ROUND($B$81*12,0)&gt;=1,$B$81&lt;=100,SUM($B$82)&gt;=0,SUM($B$82)&lt;=1,SUM($B$83)&gt;=0)),IF(B1050=0,0,IF(C1050=0,B1050/ROUND($B$81*12,0),B1050*(C1050/12)/(1-(1+C1050/12)^(-ROUND($B$81*12,0))))),IF(AND(NOT(AND(650&gt;$B$173,$B$78="Refinance",ISNUMBER($B$80),$B$80&gt;=0,$B$80&lt;=1,ROUND($B$81*12,0)&gt;=1,$B$81&lt;=100,SUM($B$82)&gt;=0,SUM($B$82)&lt;=1,SUM($B$83)&gt;=0)),OR(650=1,650=$B$174+1,AND($B$175&gt;0,650=$B$175+1))),IF(AND($B$170=1,$B$66&gt;0,OR($B$175=0,650&lt;=$B$175)),$B$66,IF($B$172-MAX(650-1,$B$174)&gt;0,IF(B1050=0,0,IF(C1050=0,B1050/($B$172-MAX(650-1,$B$174)),B1050*(C1050/12)/(1-(1+C1050/12)^(-($B$172-MAX(650-1,$B$174)))))),"")),D1049)))+0.0000001&gt;=B1050*C1050/12,MIN(B1050*(1+C1050/12),IF(AND(650&lt;=$B$174,650&lt;=$B$173),B1050*C1050/12,IF(AND(650=$B$173+1,AND(650&gt;$B$173,$B$78="Refinance",ISNUMBER($B$80),$B$80&gt;=0,$B$80&lt;=1,ROUND($B$81*12,0)&gt;=1,$B$81&lt;=100,SUM($B$82)&gt;=0,SUM($B$82)&lt;=1,SUM($B$83)&gt;=0)),IF(B1050=0,0,IF(C1050=0,B1050/ROUND($B$81*12,0),B1050*(C1050/12)/(1-(1+C1050/12)^(-ROUND($B$81*12,0))))),IF(AND(NOT(AND(650&gt;$B$173,$B$78="Refinance",ISNUMBER($B$80),$B$80&gt;=0,$B$80&lt;=1,ROUND($B$81*12,0)&gt;=1,$B$81&lt;=100,SUM($B$82)&gt;=0,SUM($B$82)&lt;=1,SUM($B$83)&gt;=0)),OR(650=1,650=$B$174+1,AND($B$175&gt;0,650=$B$175+1))),IF(AND($B$170=1,$B$66&gt;0,OR($B$175=0,650&lt;=$B$175)),$B$66,IF($B$172-MAX(650-1,$B$174)&gt;0,IF(B1050=0,0,IF(C1050=0,B1050/($B$172-MAX(650-1,$B$174)),B1050*(C1050/12)/(1-(1+C1050/12)^(-($B$172-MAX(650-1,$B$174)))))),"")),D1049)))),""),""))</x:f>
        <x:v>0</x:v>
      </x:c>
      <x:c r="E1050" s="440" t="n">
        <x:f>IF(AND(650=$B$173,ISNUMBER(D1050)),IF(MAX(0,B1050*(1+C1050/12)-D1050)&lt;MAX(0.0000001,$E$17*0.00000000001),0,MAX(0,B1050*(1+C1050/12)-D1050)),0)</x:f>
        <x:v>0</x:v>
      </x:c>
      <x:c r="F1050" s="440" t="n">
        <x:f>IF($B$78="Cash payoff",E1050,0)</x:f>
        <x:v>0</x:v>
      </x:c>
      <x:c r="G1050" s="440" t="n">
        <x:f>IF(AND(E1050&gt;0,AND($B$78="Refinance",ISNUMBER($B$80),$B$80&gt;=0,$B$80&lt;=1,ROUND($B$81*12,0)&gt;=1,$B$81&lt;=100,SUM($B$82)&gt;=0,SUM($B$82)&lt;=1,SUM($B$83)&gt;=0)),E1050*SUM($B$82)+SUM($B$83),0)</x:f>
        <x:v>0</x:v>
      </x:c>
      <x:c r="H1050" s="440" t="n">
        <x:f>IF(ISNUMBER(D1050),IF(MAX(0,B1050*(1+C1050/12)-D1050-F1050)&lt;MAX(0.0000001,$E$17*0.00000000001),0,MAX(0,B1050*(1+C1050/12)-D1050-F1050)),IF(AND($B$171=1,I1049=1),B1050,""))</x:f>
        <x:v>0</x:v>
      </x:c>
      <x:c r="I1050" s="444" t="n">
        <x:f>IF(OR(I1049=1,AND(E1050&gt;0,$B$78&lt;&gt;"Cash payoff",NOT(AND($B$78="Refinance",ISNUMBER($B$80),$B$80&gt;=0,$B$80&lt;=1,ROUND($B$81*12,0)&gt;=1,$B$81&lt;=100,SUM($B$82)&gt;=0,SUM($B$82)&lt;=1,SUM($B$83)&gt;=0))),AND(ISNUMBER(B1050),B1050&gt;0,$B$171=1,NOT(ISNUMBER(D1050)))),1,0)</x:f>
        <x:v>0</x:v>
      </x:c>
      <x:c r="J1050" s="440" t="n">
        <x:f>IF(ISNUMBER(L1049),L1049,"")</x:f>
        <x:v>0</x:v>
      </x:c>
      <x:c r="K1050" s="440" t="n">
        <x:f>IF(AND(ISNUMBER(J1050),J1050=0),0,IF(AND($B$176=1,ISNUMBER(J1050)),MIN(J1050*(1+$B$87/12),IF($B$86=0,0,IF($B$87=0,$B$86/ROUND($B$88*12,0),$B$86*($B$87/12)/(1-(1+$B$87/12)^(-ROUND($B$88*12,0)))))),""))</x:f>
        <x:v>0</x:v>
      </x:c>
      <x:c r="L1050" s="440" t="n">
        <x:f>IF(ISNUMBER(K1050),IF(MAX(0,J1050*(1+SUM($B$87)/12)-K1050)&lt;MAX(0.0000001,$B$86*0.00000000001),0,MAX(0,J1050*(1+SUM($B$87)/12)-K1050)),"")</x:f>
        <x:v>0</x:v>
      </x:c>
      <x:c r="M1050" s="440" t="n">
        <x:f>IF(AND(ISNUMBER(D1050),ISNUMBER(K1050)),D1050+K1050,"")</x:f>
        <x:v>0</x:v>
      </x:c>
      <x:c r="N1050" s="440" t="n">
        <x:f>IF(AND(ISNUMBER(H1050),ISNUMBER(L1050)),H1050+L1050,"")</x:f>
        <x:v>0</x:v>
      </x:c>
    </x:row>
    <x:row r="1051" ht="22" customHeight="1">
      <x:c r="A1051" s="254" t="n">
        <x:f>651</x:f>
        <x:v>651</x:v>
      </x:c>
      <x:c r="B1051" s="440" t="n">
        <x:f>IF(ISNUMBER(H1050),H1050,"")</x:f>
        <x:v>0</x:v>
      </x:c>
      <x:c r="C1051" s="442" t="n">
        <x:f>IF(ISNUMBER(B1051),IF(AND(651&gt;$B$173,$B$78="Refinance",ISNUMBER($B$80),$B$80&gt;=0,$B$80&lt;=1,ROUND($B$81*12,0)&gt;=1,$B$81&lt;=100,SUM($B$82)&gt;=0,SUM($B$82)&lt;=1,SUM($B$83)&gt;=0),$B$80,IF(AND($B$175&gt;0,651&gt;$B$175,ISNUMBER($B$75)),$B$75,$B$61)),"")</x:f>
        <x:v>0.0625</x:v>
      </x:c>
      <x:c r="D1051" s="440" t="n">
        <x:f>IF(AND(ISNUMBER(B1051),B1051=0),0,IF(AND($B$171=1,I1050=0,ISNUMBER(C1051),ISNUMBER(IF(AND(651&lt;=$B$174,651&lt;=$B$173),B1051*C1051/12,IF(AND(651=$B$173+1,AND(651&gt;$B$173,$B$78="Refinance",ISNUMBER($B$80),$B$80&gt;=0,$B$80&lt;=1,ROUND($B$81*12,0)&gt;=1,$B$81&lt;=100,SUM($B$82)&gt;=0,SUM($B$82)&lt;=1,SUM($B$83)&gt;=0)),IF(B1051=0,0,IF(C1051=0,B1051/ROUND($B$81*12,0),B1051*(C1051/12)/(1-(1+C1051/12)^(-ROUND($B$81*12,0))))),IF(AND(NOT(AND(651&gt;$B$173,$B$78="Refinance",ISNUMBER($B$80),$B$80&gt;=0,$B$80&lt;=1,ROUND($B$81*12,0)&gt;=1,$B$81&lt;=100,SUM($B$82)&gt;=0,SUM($B$82)&lt;=1,SUM($B$83)&gt;=0)),OR(651=1,651=$B$174+1,AND($B$175&gt;0,651=$B$175+1))),IF(AND($B$170=1,$B$66&gt;0,OR($B$175=0,651&lt;=$B$175)),$B$66,IF($B$172-MAX(651-1,$B$174)&gt;0,IF(B1051=0,0,IF(C1051=0,B1051/($B$172-MAX(651-1,$B$174)),B1051*(C1051/12)/(1-(1+C1051/12)^(-($B$172-MAX(651-1,$B$174)))))),"")),D1050))))),IF(IF(AND(651&lt;=$B$174,651&lt;=$B$173),B1051*C1051/12,IF(AND(651=$B$173+1,AND(651&gt;$B$173,$B$78="Refinance",ISNUMBER($B$80),$B$80&gt;=0,$B$80&lt;=1,ROUND($B$81*12,0)&gt;=1,$B$81&lt;=100,SUM($B$82)&gt;=0,SUM($B$82)&lt;=1,SUM($B$83)&gt;=0)),IF(B1051=0,0,IF(C1051=0,B1051/ROUND($B$81*12,0),B1051*(C1051/12)/(1-(1+C1051/12)^(-ROUND($B$81*12,0))))),IF(AND(NOT(AND(651&gt;$B$173,$B$78="Refinance",ISNUMBER($B$80),$B$80&gt;=0,$B$80&lt;=1,ROUND($B$81*12,0)&gt;=1,$B$81&lt;=100,SUM($B$82)&gt;=0,SUM($B$82)&lt;=1,SUM($B$83)&gt;=0)),OR(651=1,651=$B$174+1,AND($B$175&gt;0,651=$B$175+1))),IF(AND($B$170=1,$B$66&gt;0,OR($B$175=0,651&lt;=$B$175)),$B$66,IF($B$172-MAX(651-1,$B$174)&gt;0,IF(B1051=0,0,IF(C1051=0,B1051/($B$172-MAX(651-1,$B$174)),B1051*(C1051/12)/(1-(1+C1051/12)^(-($B$172-MAX(651-1,$B$174)))))),"")),D1050)))+0.0000001&gt;=B1051*C1051/12,MIN(B1051*(1+C1051/12),IF(AND(651&lt;=$B$174,651&lt;=$B$173),B1051*C1051/12,IF(AND(651=$B$173+1,AND(651&gt;$B$173,$B$78="Refinance",ISNUMBER($B$80),$B$80&gt;=0,$B$80&lt;=1,ROUND($B$81*12,0)&gt;=1,$B$81&lt;=100,SUM($B$82)&gt;=0,SUM($B$82)&lt;=1,SUM($B$83)&gt;=0)),IF(B1051=0,0,IF(C1051=0,B1051/ROUND($B$81*12,0),B1051*(C1051/12)/(1-(1+C1051/12)^(-ROUND($B$81*12,0))))),IF(AND(NOT(AND(651&gt;$B$173,$B$78="Refinance",ISNUMBER($B$80),$B$80&gt;=0,$B$80&lt;=1,ROUND($B$81*12,0)&gt;=1,$B$81&lt;=100,SUM($B$82)&gt;=0,SUM($B$82)&lt;=1,SUM($B$83)&gt;=0)),OR(651=1,651=$B$174+1,AND($B$175&gt;0,651=$B$175+1))),IF(AND($B$170=1,$B$66&gt;0,OR($B$175=0,651&lt;=$B$175)),$B$66,IF($B$172-MAX(651-1,$B$174)&gt;0,IF(B1051=0,0,IF(C1051=0,B1051/($B$172-MAX(651-1,$B$174)),B1051*(C1051/12)/(1-(1+C1051/12)^(-($B$172-MAX(651-1,$B$174)))))),"")),D1050)))),""),""))</x:f>
        <x:v>0</x:v>
      </x:c>
      <x:c r="E1051" s="440" t="n">
        <x:f>IF(AND(651=$B$173,ISNUMBER(D1051)),IF(MAX(0,B1051*(1+C1051/12)-D1051)&lt;MAX(0.0000001,$E$17*0.00000000001),0,MAX(0,B1051*(1+C1051/12)-D1051)),0)</x:f>
        <x:v>0</x:v>
      </x:c>
      <x:c r="F1051" s="440" t="n">
        <x:f>IF($B$78="Cash payoff",E1051,0)</x:f>
        <x:v>0</x:v>
      </x:c>
      <x:c r="G1051" s="440" t="n">
        <x:f>IF(AND(E1051&gt;0,AND($B$78="Refinance",ISNUMBER($B$80),$B$80&gt;=0,$B$80&lt;=1,ROUND($B$81*12,0)&gt;=1,$B$81&lt;=100,SUM($B$82)&gt;=0,SUM($B$82)&lt;=1,SUM($B$83)&gt;=0)),E1051*SUM($B$82)+SUM($B$83),0)</x:f>
        <x:v>0</x:v>
      </x:c>
      <x:c r="H1051" s="440" t="n">
        <x:f>IF(ISNUMBER(D1051),IF(MAX(0,B1051*(1+C1051/12)-D1051-F1051)&lt;MAX(0.0000001,$E$17*0.00000000001),0,MAX(0,B1051*(1+C1051/12)-D1051-F1051)),IF(AND($B$171=1,I1050=1),B1051,""))</x:f>
        <x:v>0</x:v>
      </x:c>
      <x:c r="I1051" s="444" t="n">
        <x:f>IF(OR(I1050=1,AND(E1051&gt;0,$B$78&lt;&gt;"Cash payoff",NOT(AND($B$78="Refinance",ISNUMBER($B$80),$B$80&gt;=0,$B$80&lt;=1,ROUND($B$81*12,0)&gt;=1,$B$81&lt;=100,SUM($B$82)&gt;=0,SUM($B$82)&lt;=1,SUM($B$83)&gt;=0))),AND(ISNUMBER(B1051),B1051&gt;0,$B$171=1,NOT(ISNUMBER(D1051)))),1,0)</x:f>
        <x:v>0</x:v>
      </x:c>
      <x:c r="J1051" s="440" t="n">
        <x:f>IF(ISNUMBER(L1050),L1050,"")</x:f>
        <x:v>0</x:v>
      </x:c>
      <x:c r="K1051" s="440" t="n">
        <x:f>IF(AND(ISNUMBER(J1051),J1051=0),0,IF(AND($B$176=1,ISNUMBER(J1051)),MIN(J1051*(1+$B$87/12),IF($B$86=0,0,IF($B$87=0,$B$86/ROUND($B$88*12,0),$B$86*($B$87/12)/(1-(1+$B$87/12)^(-ROUND($B$88*12,0)))))),""))</x:f>
        <x:v>0</x:v>
      </x:c>
      <x:c r="L1051" s="440" t="n">
        <x:f>IF(ISNUMBER(K1051),IF(MAX(0,J1051*(1+SUM($B$87)/12)-K1051)&lt;MAX(0.0000001,$B$86*0.00000000001),0,MAX(0,J1051*(1+SUM($B$87)/12)-K1051)),"")</x:f>
        <x:v>0</x:v>
      </x:c>
      <x:c r="M1051" s="440" t="n">
        <x:f>IF(AND(ISNUMBER(D1051),ISNUMBER(K1051)),D1051+K1051,"")</x:f>
        <x:v>0</x:v>
      </x:c>
      <x:c r="N1051" s="440" t="n">
        <x:f>IF(AND(ISNUMBER(H1051),ISNUMBER(L1051)),H1051+L1051,"")</x:f>
        <x:v>0</x:v>
      </x:c>
    </x:row>
    <x:row r="1052" ht="22" customHeight="1">
      <x:c r="A1052" s="254" t="n">
        <x:f>652</x:f>
        <x:v>652</x:v>
      </x:c>
      <x:c r="B1052" s="440" t="n">
        <x:f>IF(ISNUMBER(H1051),H1051,"")</x:f>
        <x:v>0</x:v>
      </x:c>
      <x:c r="C1052" s="442" t="n">
        <x:f>IF(ISNUMBER(B1052),IF(AND(652&gt;$B$173,$B$78="Refinance",ISNUMBER($B$80),$B$80&gt;=0,$B$80&lt;=1,ROUND($B$81*12,0)&gt;=1,$B$81&lt;=100,SUM($B$82)&gt;=0,SUM($B$82)&lt;=1,SUM($B$83)&gt;=0),$B$80,IF(AND($B$175&gt;0,652&gt;$B$175,ISNUMBER($B$75)),$B$75,$B$61)),"")</x:f>
        <x:v>0.0625</x:v>
      </x:c>
      <x:c r="D1052" s="440" t="n">
        <x:f>IF(AND(ISNUMBER(B1052),B1052=0),0,IF(AND($B$171=1,I1051=0,ISNUMBER(C1052),ISNUMBER(IF(AND(652&lt;=$B$174,652&lt;=$B$173),B1052*C1052/12,IF(AND(652=$B$173+1,AND(652&gt;$B$173,$B$78="Refinance",ISNUMBER($B$80),$B$80&gt;=0,$B$80&lt;=1,ROUND($B$81*12,0)&gt;=1,$B$81&lt;=100,SUM($B$82)&gt;=0,SUM($B$82)&lt;=1,SUM($B$83)&gt;=0)),IF(B1052=0,0,IF(C1052=0,B1052/ROUND($B$81*12,0),B1052*(C1052/12)/(1-(1+C1052/12)^(-ROUND($B$81*12,0))))),IF(AND(NOT(AND(652&gt;$B$173,$B$78="Refinance",ISNUMBER($B$80),$B$80&gt;=0,$B$80&lt;=1,ROUND($B$81*12,0)&gt;=1,$B$81&lt;=100,SUM($B$82)&gt;=0,SUM($B$82)&lt;=1,SUM($B$83)&gt;=0)),OR(652=1,652=$B$174+1,AND($B$175&gt;0,652=$B$175+1))),IF(AND($B$170=1,$B$66&gt;0,OR($B$175=0,652&lt;=$B$175)),$B$66,IF($B$172-MAX(652-1,$B$174)&gt;0,IF(B1052=0,0,IF(C1052=0,B1052/($B$172-MAX(652-1,$B$174)),B1052*(C1052/12)/(1-(1+C1052/12)^(-($B$172-MAX(652-1,$B$174)))))),"")),D1051))))),IF(IF(AND(652&lt;=$B$174,652&lt;=$B$173),B1052*C1052/12,IF(AND(652=$B$173+1,AND(652&gt;$B$173,$B$78="Refinance",ISNUMBER($B$80),$B$80&gt;=0,$B$80&lt;=1,ROUND($B$81*12,0)&gt;=1,$B$81&lt;=100,SUM($B$82)&gt;=0,SUM($B$82)&lt;=1,SUM($B$83)&gt;=0)),IF(B1052=0,0,IF(C1052=0,B1052/ROUND($B$81*12,0),B1052*(C1052/12)/(1-(1+C1052/12)^(-ROUND($B$81*12,0))))),IF(AND(NOT(AND(652&gt;$B$173,$B$78="Refinance",ISNUMBER($B$80),$B$80&gt;=0,$B$80&lt;=1,ROUND($B$81*12,0)&gt;=1,$B$81&lt;=100,SUM($B$82)&gt;=0,SUM($B$82)&lt;=1,SUM($B$83)&gt;=0)),OR(652=1,652=$B$174+1,AND($B$175&gt;0,652=$B$175+1))),IF(AND($B$170=1,$B$66&gt;0,OR($B$175=0,652&lt;=$B$175)),$B$66,IF($B$172-MAX(652-1,$B$174)&gt;0,IF(B1052=0,0,IF(C1052=0,B1052/($B$172-MAX(652-1,$B$174)),B1052*(C1052/12)/(1-(1+C1052/12)^(-($B$172-MAX(652-1,$B$174)))))),"")),D1051)))+0.0000001&gt;=B1052*C1052/12,MIN(B1052*(1+C1052/12),IF(AND(652&lt;=$B$174,652&lt;=$B$173),B1052*C1052/12,IF(AND(652=$B$173+1,AND(652&gt;$B$173,$B$78="Refinance",ISNUMBER($B$80),$B$80&gt;=0,$B$80&lt;=1,ROUND($B$81*12,0)&gt;=1,$B$81&lt;=100,SUM($B$82)&gt;=0,SUM($B$82)&lt;=1,SUM($B$83)&gt;=0)),IF(B1052=0,0,IF(C1052=0,B1052/ROUND($B$81*12,0),B1052*(C1052/12)/(1-(1+C1052/12)^(-ROUND($B$81*12,0))))),IF(AND(NOT(AND(652&gt;$B$173,$B$78="Refinance",ISNUMBER($B$80),$B$80&gt;=0,$B$80&lt;=1,ROUND($B$81*12,0)&gt;=1,$B$81&lt;=100,SUM($B$82)&gt;=0,SUM($B$82)&lt;=1,SUM($B$83)&gt;=0)),OR(652=1,652=$B$174+1,AND($B$175&gt;0,652=$B$175+1))),IF(AND($B$170=1,$B$66&gt;0,OR($B$175=0,652&lt;=$B$175)),$B$66,IF($B$172-MAX(652-1,$B$174)&gt;0,IF(B1052=0,0,IF(C1052=0,B1052/($B$172-MAX(652-1,$B$174)),B1052*(C1052/12)/(1-(1+C1052/12)^(-($B$172-MAX(652-1,$B$174)))))),"")),D1051)))),""),""))</x:f>
        <x:v>0</x:v>
      </x:c>
      <x:c r="E1052" s="440" t="n">
        <x:f>IF(AND(652=$B$173,ISNUMBER(D1052)),IF(MAX(0,B1052*(1+C1052/12)-D1052)&lt;MAX(0.0000001,$E$17*0.00000000001),0,MAX(0,B1052*(1+C1052/12)-D1052)),0)</x:f>
        <x:v>0</x:v>
      </x:c>
      <x:c r="F1052" s="440" t="n">
        <x:f>IF($B$78="Cash payoff",E1052,0)</x:f>
        <x:v>0</x:v>
      </x:c>
      <x:c r="G1052" s="440" t="n">
        <x:f>IF(AND(E1052&gt;0,AND($B$78="Refinance",ISNUMBER($B$80),$B$80&gt;=0,$B$80&lt;=1,ROUND($B$81*12,0)&gt;=1,$B$81&lt;=100,SUM($B$82)&gt;=0,SUM($B$82)&lt;=1,SUM($B$83)&gt;=0)),E1052*SUM($B$82)+SUM($B$83),0)</x:f>
        <x:v>0</x:v>
      </x:c>
      <x:c r="H1052" s="440" t="n">
        <x:f>IF(ISNUMBER(D1052),IF(MAX(0,B1052*(1+C1052/12)-D1052-F1052)&lt;MAX(0.0000001,$E$17*0.00000000001),0,MAX(0,B1052*(1+C1052/12)-D1052-F1052)),IF(AND($B$171=1,I1051=1),B1052,""))</x:f>
        <x:v>0</x:v>
      </x:c>
      <x:c r="I1052" s="444" t="n">
        <x:f>IF(OR(I1051=1,AND(E1052&gt;0,$B$78&lt;&gt;"Cash payoff",NOT(AND($B$78="Refinance",ISNUMBER($B$80),$B$80&gt;=0,$B$80&lt;=1,ROUND($B$81*12,0)&gt;=1,$B$81&lt;=100,SUM($B$82)&gt;=0,SUM($B$82)&lt;=1,SUM($B$83)&gt;=0))),AND(ISNUMBER(B1052),B1052&gt;0,$B$171=1,NOT(ISNUMBER(D1052)))),1,0)</x:f>
        <x:v>0</x:v>
      </x:c>
      <x:c r="J1052" s="440" t="n">
        <x:f>IF(ISNUMBER(L1051),L1051,"")</x:f>
        <x:v>0</x:v>
      </x:c>
      <x:c r="K1052" s="440" t="n">
        <x:f>IF(AND(ISNUMBER(J1052),J1052=0),0,IF(AND($B$176=1,ISNUMBER(J1052)),MIN(J1052*(1+$B$87/12),IF($B$86=0,0,IF($B$87=0,$B$86/ROUND($B$88*12,0),$B$86*($B$87/12)/(1-(1+$B$87/12)^(-ROUND($B$88*12,0)))))),""))</x:f>
        <x:v>0</x:v>
      </x:c>
      <x:c r="L1052" s="440" t="n">
        <x:f>IF(ISNUMBER(K1052),IF(MAX(0,J1052*(1+SUM($B$87)/12)-K1052)&lt;MAX(0.0000001,$B$86*0.00000000001),0,MAX(0,J1052*(1+SUM($B$87)/12)-K1052)),"")</x:f>
        <x:v>0</x:v>
      </x:c>
      <x:c r="M1052" s="440" t="n">
        <x:f>IF(AND(ISNUMBER(D1052),ISNUMBER(K1052)),D1052+K1052,"")</x:f>
        <x:v>0</x:v>
      </x:c>
      <x:c r="N1052" s="440" t="n">
        <x:f>IF(AND(ISNUMBER(H1052),ISNUMBER(L1052)),H1052+L1052,"")</x:f>
        <x:v>0</x:v>
      </x:c>
    </x:row>
    <x:row r="1053" ht="22" customHeight="1">
      <x:c r="A1053" s="254" t="n">
        <x:f>653</x:f>
        <x:v>653</x:v>
      </x:c>
      <x:c r="B1053" s="440" t="n">
        <x:f>IF(ISNUMBER(H1052),H1052,"")</x:f>
        <x:v>0</x:v>
      </x:c>
      <x:c r="C1053" s="442" t="n">
        <x:f>IF(ISNUMBER(B1053),IF(AND(653&gt;$B$173,$B$78="Refinance",ISNUMBER($B$80),$B$80&gt;=0,$B$80&lt;=1,ROUND($B$81*12,0)&gt;=1,$B$81&lt;=100,SUM($B$82)&gt;=0,SUM($B$82)&lt;=1,SUM($B$83)&gt;=0),$B$80,IF(AND($B$175&gt;0,653&gt;$B$175,ISNUMBER($B$75)),$B$75,$B$61)),"")</x:f>
        <x:v>0.0625</x:v>
      </x:c>
      <x:c r="D1053" s="440" t="n">
        <x:f>IF(AND(ISNUMBER(B1053),B1053=0),0,IF(AND($B$171=1,I1052=0,ISNUMBER(C1053),ISNUMBER(IF(AND(653&lt;=$B$174,653&lt;=$B$173),B1053*C1053/12,IF(AND(653=$B$173+1,AND(653&gt;$B$173,$B$78="Refinance",ISNUMBER($B$80),$B$80&gt;=0,$B$80&lt;=1,ROUND($B$81*12,0)&gt;=1,$B$81&lt;=100,SUM($B$82)&gt;=0,SUM($B$82)&lt;=1,SUM($B$83)&gt;=0)),IF(B1053=0,0,IF(C1053=0,B1053/ROUND($B$81*12,0),B1053*(C1053/12)/(1-(1+C1053/12)^(-ROUND($B$81*12,0))))),IF(AND(NOT(AND(653&gt;$B$173,$B$78="Refinance",ISNUMBER($B$80),$B$80&gt;=0,$B$80&lt;=1,ROUND($B$81*12,0)&gt;=1,$B$81&lt;=100,SUM($B$82)&gt;=0,SUM($B$82)&lt;=1,SUM($B$83)&gt;=0)),OR(653=1,653=$B$174+1,AND($B$175&gt;0,653=$B$175+1))),IF(AND($B$170=1,$B$66&gt;0,OR($B$175=0,653&lt;=$B$175)),$B$66,IF($B$172-MAX(653-1,$B$174)&gt;0,IF(B1053=0,0,IF(C1053=0,B1053/($B$172-MAX(653-1,$B$174)),B1053*(C1053/12)/(1-(1+C1053/12)^(-($B$172-MAX(653-1,$B$174)))))),"")),D1052))))),IF(IF(AND(653&lt;=$B$174,653&lt;=$B$173),B1053*C1053/12,IF(AND(653=$B$173+1,AND(653&gt;$B$173,$B$78="Refinance",ISNUMBER($B$80),$B$80&gt;=0,$B$80&lt;=1,ROUND($B$81*12,0)&gt;=1,$B$81&lt;=100,SUM($B$82)&gt;=0,SUM($B$82)&lt;=1,SUM($B$83)&gt;=0)),IF(B1053=0,0,IF(C1053=0,B1053/ROUND($B$81*12,0),B1053*(C1053/12)/(1-(1+C1053/12)^(-ROUND($B$81*12,0))))),IF(AND(NOT(AND(653&gt;$B$173,$B$78="Refinance",ISNUMBER($B$80),$B$80&gt;=0,$B$80&lt;=1,ROUND($B$81*12,0)&gt;=1,$B$81&lt;=100,SUM($B$82)&gt;=0,SUM($B$82)&lt;=1,SUM($B$83)&gt;=0)),OR(653=1,653=$B$174+1,AND($B$175&gt;0,653=$B$175+1))),IF(AND($B$170=1,$B$66&gt;0,OR($B$175=0,653&lt;=$B$175)),$B$66,IF($B$172-MAX(653-1,$B$174)&gt;0,IF(B1053=0,0,IF(C1053=0,B1053/($B$172-MAX(653-1,$B$174)),B1053*(C1053/12)/(1-(1+C1053/12)^(-($B$172-MAX(653-1,$B$174)))))),"")),D1052)))+0.0000001&gt;=B1053*C1053/12,MIN(B1053*(1+C1053/12),IF(AND(653&lt;=$B$174,653&lt;=$B$173),B1053*C1053/12,IF(AND(653=$B$173+1,AND(653&gt;$B$173,$B$78="Refinance",ISNUMBER($B$80),$B$80&gt;=0,$B$80&lt;=1,ROUND($B$81*12,0)&gt;=1,$B$81&lt;=100,SUM($B$82)&gt;=0,SUM($B$82)&lt;=1,SUM($B$83)&gt;=0)),IF(B1053=0,0,IF(C1053=0,B1053/ROUND($B$81*12,0),B1053*(C1053/12)/(1-(1+C1053/12)^(-ROUND($B$81*12,0))))),IF(AND(NOT(AND(653&gt;$B$173,$B$78="Refinance",ISNUMBER($B$80),$B$80&gt;=0,$B$80&lt;=1,ROUND($B$81*12,0)&gt;=1,$B$81&lt;=100,SUM($B$82)&gt;=0,SUM($B$82)&lt;=1,SUM($B$83)&gt;=0)),OR(653=1,653=$B$174+1,AND($B$175&gt;0,653=$B$175+1))),IF(AND($B$170=1,$B$66&gt;0,OR($B$175=0,653&lt;=$B$175)),$B$66,IF($B$172-MAX(653-1,$B$174)&gt;0,IF(B1053=0,0,IF(C1053=0,B1053/($B$172-MAX(653-1,$B$174)),B1053*(C1053/12)/(1-(1+C1053/12)^(-($B$172-MAX(653-1,$B$174)))))),"")),D1052)))),""),""))</x:f>
        <x:v>0</x:v>
      </x:c>
      <x:c r="E1053" s="440" t="n">
        <x:f>IF(AND(653=$B$173,ISNUMBER(D1053)),IF(MAX(0,B1053*(1+C1053/12)-D1053)&lt;MAX(0.0000001,$E$17*0.00000000001),0,MAX(0,B1053*(1+C1053/12)-D1053)),0)</x:f>
        <x:v>0</x:v>
      </x:c>
      <x:c r="F1053" s="440" t="n">
        <x:f>IF($B$78="Cash payoff",E1053,0)</x:f>
        <x:v>0</x:v>
      </x:c>
      <x:c r="G1053" s="440" t="n">
        <x:f>IF(AND(E1053&gt;0,AND($B$78="Refinance",ISNUMBER($B$80),$B$80&gt;=0,$B$80&lt;=1,ROUND($B$81*12,0)&gt;=1,$B$81&lt;=100,SUM($B$82)&gt;=0,SUM($B$82)&lt;=1,SUM($B$83)&gt;=0)),E1053*SUM($B$82)+SUM($B$83),0)</x:f>
        <x:v>0</x:v>
      </x:c>
      <x:c r="H1053" s="440" t="n">
        <x:f>IF(ISNUMBER(D1053),IF(MAX(0,B1053*(1+C1053/12)-D1053-F1053)&lt;MAX(0.0000001,$E$17*0.00000000001),0,MAX(0,B1053*(1+C1053/12)-D1053-F1053)),IF(AND($B$171=1,I1052=1),B1053,""))</x:f>
        <x:v>0</x:v>
      </x:c>
      <x:c r="I1053" s="444" t="n">
        <x:f>IF(OR(I1052=1,AND(E1053&gt;0,$B$78&lt;&gt;"Cash payoff",NOT(AND($B$78="Refinance",ISNUMBER($B$80),$B$80&gt;=0,$B$80&lt;=1,ROUND($B$81*12,0)&gt;=1,$B$81&lt;=100,SUM($B$82)&gt;=0,SUM($B$82)&lt;=1,SUM($B$83)&gt;=0))),AND(ISNUMBER(B1053),B1053&gt;0,$B$171=1,NOT(ISNUMBER(D1053)))),1,0)</x:f>
        <x:v>0</x:v>
      </x:c>
      <x:c r="J1053" s="440" t="n">
        <x:f>IF(ISNUMBER(L1052),L1052,"")</x:f>
        <x:v>0</x:v>
      </x:c>
      <x:c r="K1053" s="440" t="n">
        <x:f>IF(AND(ISNUMBER(J1053),J1053=0),0,IF(AND($B$176=1,ISNUMBER(J1053)),MIN(J1053*(1+$B$87/12),IF($B$86=0,0,IF($B$87=0,$B$86/ROUND($B$88*12,0),$B$86*($B$87/12)/(1-(1+$B$87/12)^(-ROUND($B$88*12,0)))))),""))</x:f>
        <x:v>0</x:v>
      </x:c>
      <x:c r="L1053" s="440" t="n">
        <x:f>IF(ISNUMBER(K1053),IF(MAX(0,J1053*(1+SUM($B$87)/12)-K1053)&lt;MAX(0.0000001,$B$86*0.00000000001),0,MAX(0,J1053*(1+SUM($B$87)/12)-K1053)),"")</x:f>
        <x:v>0</x:v>
      </x:c>
      <x:c r="M1053" s="440" t="n">
        <x:f>IF(AND(ISNUMBER(D1053),ISNUMBER(K1053)),D1053+K1053,"")</x:f>
        <x:v>0</x:v>
      </x:c>
      <x:c r="N1053" s="440" t="n">
        <x:f>IF(AND(ISNUMBER(H1053),ISNUMBER(L1053)),H1053+L1053,"")</x:f>
        <x:v>0</x:v>
      </x:c>
    </x:row>
    <x:row r="1054" ht="22" customHeight="1">
      <x:c r="A1054" s="254" t="n">
        <x:f>654</x:f>
        <x:v>654</x:v>
      </x:c>
      <x:c r="B1054" s="440" t="n">
        <x:f>IF(ISNUMBER(H1053),H1053,"")</x:f>
        <x:v>0</x:v>
      </x:c>
      <x:c r="C1054" s="442" t="n">
        <x:f>IF(ISNUMBER(B1054),IF(AND(654&gt;$B$173,$B$78="Refinance",ISNUMBER($B$80),$B$80&gt;=0,$B$80&lt;=1,ROUND($B$81*12,0)&gt;=1,$B$81&lt;=100,SUM($B$82)&gt;=0,SUM($B$82)&lt;=1,SUM($B$83)&gt;=0),$B$80,IF(AND($B$175&gt;0,654&gt;$B$175,ISNUMBER($B$75)),$B$75,$B$61)),"")</x:f>
        <x:v>0.0625</x:v>
      </x:c>
      <x:c r="D1054" s="440" t="n">
        <x:f>IF(AND(ISNUMBER(B1054),B1054=0),0,IF(AND($B$171=1,I1053=0,ISNUMBER(C1054),ISNUMBER(IF(AND(654&lt;=$B$174,654&lt;=$B$173),B1054*C1054/12,IF(AND(654=$B$173+1,AND(654&gt;$B$173,$B$78="Refinance",ISNUMBER($B$80),$B$80&gt;=0,$B$80&lt;=1,ROUND($B$81*12,0)&gt;=1,$B$81&lt;=100,SUM($B$82)&gt;=0,SUM($B$82)&lt;=1,SUM($B$83)&gt;=0)),IF(B1054=0,0,IF(C1054=0,B1054/ROUND($B$81*12,0),B1054*(C1054/12)/(1-(1+C1054/12)^(-ROUND($B$81*12,0))))),IF(AND(NOT(AND(654&gt;$B$173,$B$78="Refinance",ISNUMBER($B$80),$B$80&gt;=0,$B$80&lt;=1,ROUND($B$81*12,0)&gt;=1,$B$81&lt;=100,SUM($B$82)&gt;=0,SUM($B$82)&lt;=1,SUM($B$83)&gt;=0)),OR(654=1,654=$B$174+1,AND($B$175&gt;0,654=$B$175+1))),IF(AND($B$170=1,$B$66&gt;0,OR($B$175=0,654&lt;=$B$175)),$B$66,IF($B$172-MAX(654-1,$B$174)&gt;0,IF(B1054=0,0,IF(C1054=0,B1054/($B$172-MAX(654-1,$B$174)),B1054*(C1054/12)/(1-(1+C1054/12)^(-($B$172-MAX(654-1,$B$174)))))),"")),D1053))))),IF(IF(AND(654&lt;=$B$174,654&lt;=$B$173),B1054*C1054/12,IF(AND(654=$B$173+1,AND(654&gt;$B$173,$B$78="Refinance",ISNUMBER($B$80),$B$80&gt;=0,$B$80&lt;=1,ROUND($B$81*12,0)&gt;=1,$B$81&lt;=100,SUM($B$82)&gt;=0,SUM($B$82)&lt;=1,SUM($B$83)&gt;=0)),IF(B1054=0,0,IF(C1054=0,B1054/ROUND($B$81*12,0),B1054*(C1054/12)/(1-(1+C1054/12)^(-ROUND($B$81*12,0))))),IF(AND(NOT(AND(654&gt;$B$173,$B$78="Refinance",ISNUMBER($B$80),$B$80&gt;=0,$B$80&lt;=1,ROUND($B$81*12,0)&gt;=1,$B$81&lt;=100,SUM($B$82)&gt;=0,SUM($B$82)&lt;=1,SUM($B$83)&gt;=0)),OR(654=1,654=$B$174+1,AND($B$175&gt;0,654=$B$175+1))),IF(AND($B$170=1,$B$66&gt;0,OR($B$175=0,654&lt;=$B$175)),$B$66,IF($B$172-MAX(654-1,$B$174)&gt;0,IF(B1054=0,0,IF(C1054=0,B1054/($B$172-MAX(654-1,$B$174)),B1054*(C1054/12)/(1-(1+C1054/12)^(-($B$172-MAX(654-1,$B$174)))))),"")),D1053)))+0.0000001&gt;=B1054*C1054/12,MIN(B1054*(1+C1054/12),IF(AND(654&lt;=$B$174,654&lt;=$B$173),B1054*C1054/12,IF(AND(654=$B$173+1,AND(654&gt;$B$173,$B$78="Refinance",ISNUMBER($B$80),$B$80&gt;=0,$B$80&lt;=1,ROUND($B$81*12,0)&gt;=1,$B$81&lt;=100,SUM($B$82)&gt;=0,SUM($B$82)&lt;=1,SUM($B$83)&gt;=0)),IF(B1054=0,0,IF(C1054=0,B1054/ROUND($B$81*12,0),B1054*(C1054/12)/(1-(1+C1054/12)^(-ROUND($B$81*12,0))))),IF(AND(NOT(AND(654&gt;$B$173,$B$78="Refinance",ISNUMBER($B$80),$B$80&gt;=0,$B$80&lt;=1,ROUND($B$81*12,0)&gt;=1,$B$81&lt;=100,SUM($B$82)&gt;=0,SUM($B$82)&lt;=1,SUM($B$83)&gt;=0)),OR(654=1,654=$B$174+1,AND($B$175&gt;0,654=$B$175+1))),IF(AND($B$170=1,$B$66&gt;0,OR($B$175=0,654&lt;=$B$175)),$B$66,IF($B$172-MAX(654-1,$B$174)&gt;0,IF(B1054=0,0,IF(C1054=0,B1054/($B$172-MAX(654-1,$B$174)),B1054*(C1054/12)/(1-(1+C1054/12)^(-($B$172-MAX(654-1,$B$174)))))),"")),D1053)))),""),""))</x:f>
        <x:v>0</x:v>
      </x:c>
      <x:c r="E1054" s="440" t="n">
        <x:f>IF(AND(654=$B$173,ISNUMBER(D1054)),IF(MAX(0,B1054*(1+C1054/12)-D1054)&lt;MAX(0.0000001,$E$17*0.00000000001),0,MAX(0,B1054*(1+C1054/12)-D1054)),0)</x:f>
        <x:v>0</x:v>
      </x:c>
      <x:c r="F1054" s="440" t="n">
        <x:f>IF($B$78="Cash payoff",E1054,0)</x:f>
        <x:v>0</x:v>
      </x:c>
      <x:c r="G1054" s="440" t="n">
        <x:f>IF(AND(E1054&gt;0,AND($B$78="Refinance",ISNUMBER($B$80),$B$80&gt;=0,$B$80&lt;=1,ROUND($B$81*12,0)&gt;=1,$B$81&lt;=100,SUM($B$82)&gt;=0,SUM($B$82)&lt;=1,SUM($B$83)&gt;=0)),E1054*SUM($B$82)+SUM($B$83),0)</x:f>
        <x:v>0</x:v>
      </x:c>
      <x:c r="H1054" s="440" t="n">
        <x:f>IF(ISNUMBER(D1054),IF(MAX(0,B1054*(1+C1054/12)-D1054-F1054)&lt;MAX(0.0000001,$E$17*0.00000000001),0,MAX(0,B1054*(1+C1054/12)-D1054-F1054)),IF(AND($B$171=1,I1053=1),B1054,""))</x:f>
        <x:v>0</x:v>
      </x:c>
      <x:c r="I1054" s="444" t="n">
        <x:f>IF(OR(I1053=1,AND(E1054&gt;0,$B$78&lt;&gt;"Cash payoff",NOT(AND($B$78="Refinance",ISNUMBER($B$80),$B$80&gt;=0,$B$80&lt;=1,ROUND($B$81*12,0)&gt;=1,$B$81&lt;=100,SUM($B$82)&gt;=0,SUM($B$82)&lt;=1,SUM($B$83)&gt;=0))),AND(ISNUMBER(B1054),B1054&gt;0,$B$171=1,NOT(ISNUMBER(D1054)))),1,0)</x:f>
        <x:v>0</x:v>
      </x:c>
      <x:c r="J1054" s="440" t="n">
        <x:f>IF(ISNUMBER(L1053),L1053,"")</x:f>
        <x:v>0</x:v>
      </x:c>
      <x:c r="K1054" s="440" t="n">
        <x:f>IF(AND(ISNUMBER(J1054),J1054=0),0,IF(AND($B$176=1,ISNUMBER(J1054)),MIN(J1054*(1+$B$87/12),IF($B$86=0,0,IF($B$87=0,$B$86/ROUND($B$88*12,0),$B$86*($B$87/12)/(1-(1+$B$87/12)^(-ROUND($B$88*12,0)))))),""))</x:f>
        <x:v>0</x:v>
      </x:c>
      <x:c r="L1054" s="440" t="n">
        <x:f>IF(ISNUMBER(K1054),IF(MAX(0,J1054*(1+SUM($B$87)/12)-K1054)&lt;MAX(0.0000001,$B$86*0.00000000001),0,MAX(0,J1054*(1+SUM($B$87)/12)-K1054)),"")</x:f>
        <x:v>0</x:v>
      </x:c>
      <x:c r="M1054" s="440" t="n">
        <x:f>IF(AND(ISNUMBER(D1054),ISNUMBER(K1054)),D1054+K1054,"")</x:f>
        <x:v>0</x:v>
      </x:c>
      <x:c r="N1054" s="440" t="n">
        <x:f>IF(AND(ISNUMBER(H1054),ISNUMBER(L1054)),H1054+L1054,"")</x:f>
        <x:v>0</x:v>
      </x:c>
    </x:row>
    <x:row r="1055" ht="22" customHeight="1">
      <x:c r="A1055" s="254" t="n">
        <x:f>655</x:f>
        <x:v>655</x:v>
      </x:c>
      <x:c r="B1055" s="440" t="n">
        <x:f>IF(ISNUMBER(H1054),H1054,"")</x:f>
        <x:v>0</x:v>
      </x:c>
      <x:c r="C1055" s="442" t="n">
        <x:f>IF(ISNUMBER(B1055),IF(AND(655&gt;$B$173,$B$78="Refinance",ISNUMBER($B$80),$B$80&gt;=0,$B$80&lt;=1,ROUND($B$81*12,0)&gt;=1,$B$81&lt;=100,SUM($B$82)&gt;=0,SUM($B$82)&lt;=1,SUM($B$83)&gt;=0),$B$80,IF(AND($B$175&gt;0,655&gt;$B$175,ISNUMBER($B$75)),$B$75,$B$61)),"")</x:f>
        <x:v>0.0625</x:v>
      </x:c>
      <x:c r="D1055" s="440" t="n">
        <x:f>IF(AND(ISNUMBER(B1055),B1055=0),0,IF(AND($B$171=1,I1054=0,ISNUMBER(C1055),ISNUMBER(IF(AND(655&lt;=$B$174,655&lt;=$B$173),B1055*C1055/12,IF(AND(655=$B$173+1,AND(655&gt;$B$173,$B$78="Refinance",ISNUMBER($B$80),$B$80&gt;=0,$B$80&lt;=1,ROUND($B$81*12,0)&gt;=1,$B$81&lt;=100,SUM($B$82)&gt;=0,SUM($B$82)&lt;=1,SUM($B$83)&gt;=0)),IF(B1055=0,0,IF(C1055=0,B1055/ROUND($B$81*12,0),B1055*(C1055/12)/(1-(1+C1055/12)^(-ROUND($B$81*12,0))))),IF(AND(NOT(AND(655&gt;$B$173,$B$78="Refinance",ISNUMBER($B$80),$B$80&gt;=0,$B$80&lt;=1,ROUND($B$81*12,0)&gt;=1,$B$81&lt;=100,SUM($B$82)&gt;=0,SUM($B$82)&lt;=1,SUM($B$83)&gt;=0)),OR(655=1,655=$B$174+1,AND($B$175&gt;0,655=$B$175+1))),IF(AND($B$170=1,$B$66&gt;0,OR($B$175=0,655&lt;=$B$175)),$B$66,IF($B$172-MAX(655-1,$B$174)&gt;0,IF(B1055=0,0,IF(C1055=0,B1055/($B$172-MAX(655-1,$B$174)),B1055*(C1055/12)/(1-(1+C1055/12)^(-($B$172-MAX(655-1,$B$174)))))),"")),D1054))))),IF(IF(AND(655&lt;=$B$174,655&lt;=$B$173),B1055*C1055/12,IF(AND(655=$B$173+1,AND(655&gt;$B$173,$B$78="Refinance",ISNUMBER($B$80),$B$80&gt;=0,$B$80&lt;=1,ROUND($B$81*12,0)&gt;=1,$B$81&lt;=100,SUM($B$82)&gt;=0,SUM($B$82)&lt;=1,SUM($B$83)&gt;=0)),IF(B1055=0,0,IF(C1055=0,B1055/ROUND($B$81*12,0),B1055*(C1055/12)/(1-(1+C1055/12)^(-ROUND($B$81*12,0))))),IF(AND(NOT(AND(655&gt;$B$173,$B$78="Refinance",ISNUMBER($B$80),$B$80&gt;=0,$B$80&lt;=1,ROUND($B$81*12,0)&gt;=1,$B$81&lt;=100,SUM($B$82)&gt;=0,SUM($B$82)&lt;=1,SUM($B$83)&gt;=0)),OR(655=1,655=$B$174+1,AND($B$175&gt;0,655=$B$175+1))),IF(AND($B$170=1,$B$66&gt;0,OR($B$175=0,655&lt;=$B$175)),$B$66,IF($B$172-MAX(655-1,$B$174)&gt;0,IF(B1055=0,0,IF(C1055=0,B1055/($B$172-MAX(655-1,$B$174)),B1055*(C1055/12)/(1-(1+C1055/12)^(-($B$172-MAX(655-1,$B$174)))))),"")),D1054)))+0.0000001&gt;=B1055*C1055/12,MIN(B1055*(1+C1055/12),IF(AND(655&lt;=$B$174,655&lt;=$B$173),B1055*C1055/12,IF(AND(655=$B$173+1,AND(655&gt;$B$173,$B$78="Refinance",ISNUMBER($B$80),$B$80&gt;=0,$B$80&lt;=1,ROUND($B$81*12,0)&gt;=1,$B$81&lt;=100,SUM($B$82)&gt;=0,SUM($B$82)&lt;=1,SUM($B$83)&gt;=0)),IF(B1055=0,0,IF(C1055=0,B1055/ROUND($B$81*12,0),B1055*(C1055/12)/(1-(1+C1055/12)^(-ROUND($B$81*12,0))))),IF(AND(NOT(AND(655&gt;$B$173,$B$78="Refinance",ISNUMBER($B$80),$B$80&gt;=0,$B$80&lt;=1,ROUND($B$81*12,0)&gt;=1,$B$81&lt;=100,SUM($B$82)&gt;=0,SUM($B$82)&lt;=1,SUM($B$83)&gt;=0)),OR(655=1,655=$B$174+1,AND($B$175&gt;0,655=$B$175+1))),IF(AND($B$170=1,$B$66&gt;0,OR($B$175=0,655&lt;=$B$175)),$B$66,IF($B$172-MAX(655-1,$B$174)&gt;0,IF(B1055=0,0,IF(C1055=0,B1055/($B$172-MAX(655-1,$B$174)),B1055*(C1055/12)/(1-(1+C1055/12)^(-($B$172-MAX(655-1,$B$174)))))),"")),D1054)))),""),""))</x:f>
        <x:v>0</x:v>
      </x:c>
      <x:c r="E1055" s="440" t="n">
        <x:f>IF(AND(655=$B$173,ISNUMBER(D1055)),IF(MAX(0,B1055*(1+C1055/12)-D1055)&lt;MAX(0.0000001,$E$17*0.00000000001),0,MAX(0,B1055*(1+C1055/12)-D1055)),0)</x:f>
        <x:v>0</x:v>
      </x:c>
      <x:c r="F1055" s="440" t="n">
        <x:f>IF($B$78="Cash payoff",E1055,0)</x:f>
        <x:v>0</x:v>
      </x:c>
      <x:c r="G1055" s="440" t="n">
        <x:f>IF(AND(E1055&gt;0,AND($B$78="Refinance",ISNUMBER($B$80),$B$80&gt;=0,$B$80&lt;=1,ROUND($B$81*12,0)&gt;=1,$B$81&lt;=100,SUM($B$82)&gt;=0,SUM($B$82)&lt;=1,SUM($B$83)&gt;=0)),E1055*SUM($B$82)+SUM($B$83),0)</x:f>
        <x:v>0</x:v>
      </x:c>
      <x:c r="H1055" s="440" t="n">
        <x:f>IF(ISNUMBER(D1055),IF(MAX(0,B1055*(1+C1055/12)-D1055-F1055)&lt;MAX(0.0000001,$E$17*0.00000000001),0,MAX(0,B1055*(1+C1055/12)-D1055-F1055)),IF(AND($B$171=1,I1054=1),B1055,""))</x:f>
        <x:v>0</x:v>
      </x:c>
      <x:c r="I1055" s="444" t="n">
        <x:f>IF(OR(I1054=1,AND(E1055&gt;0,$B$78&lt;&gt;"Cash payoff",NOT(AND($B$78="Refinance",ISNUMBER($B$80),$B$80&gt;=0,$B$80&lt;=1,ROUND($B$81*12,0)&gt;=1,$B$81&lt;=100,SUM($B$82)&gt;=0,SUM($B$82)&lt;=1,SUM($B$83)&gt;=0))),AND(ISNUMBER(B1055),B1055&gt;0,$B$171=1,NOT(ISNUMBER(D1055)))),1,0)</x:f>
        <x:v>0</x:v>
      </x:c>
      <x:c r="J1055" s="440" t="n">
        <x:f>IF(ISNUMBER(L1054),L1054,"")</x:f>
        <x:v>0</x:v>
      </x:c>
      <x:c r="K1055" s="440" t="n">
        <x:f>IF(AND(ISNUMBER(J1055),J1055=0),0,IF(AND($B$176=1,ISNUMBER(J1055)),MIN(J1055*(1+$B$87/12),IF($B$86=0,0,IF($B$87=0,$B$86/ROUND($B$88*12,0),$B$86*($B$87/12)/(1-(1+$B$87/12)^(-ROUND($B$88*12,0)))))),""))</x:f>
        <x:v>0</x:v>
      </x:c>
      <x:c r="L1055" s="440" t="n">
        <x:f>IF(ISNUMBER(K1055),IF(MAX(0,J1055*(1+SUM($B$87)/12)-K1055)&lt;MAX(0.0000001,$B$86*0.00000000001),0,MAX(0,J1055*(1+SUM($B$87)/12)-K1055)),"")</x:f>
        <x:v>0</x:v>
      </x:c>
      <x:c r="M1055" s="440" t="n">
        <x:f>IF(AND(ISNUMBER(D1055),ISNUMBER(K1055)),D1055+K1055,"")</x:f>
        <x:v>0</x:v>
      </x:c>
      <x:c r="N1055" s="440" t="n">
        <x:f>IF(AND(ISNUMBER(H1055),ISNUMBER(L1055)),H1055+L1055,"")</x:f>
        <x:v>0</x:v>
      </x:c>
    </x:row>
    <x:row r="1056" ht="22" customHeight="1">
      <x:c r="A1056" s="254" t="n">
        <x:f>656</x:f>
        <x:v>656</x:v>
      </x:c>
      <x:c r="B1056" s="440" t="n">
        <x:f>IF(ISNUMBER(H1055),H1055,"")</x:f>
        <x:v>0</x:v>
      </x:c>
      <x:c r="C1056" s="442" t="n">
        <x:f>IF(ISNUMBER(B1056),IF(AND(656&gt;$B$173,$B$78="Refinance",ISNUMBER($B$80),$B$80&gt;=0,$B$80&lt;=1,ROUND($B$81*12,0)&gt;=1,$B$81&lt;=100,SUM($B$82)&gt;=0,SUM($B$82)&lt;=1,SUM($B$83)&gt;=0),$B$80,IF(AND($B$175&gt;0,656&gt;$B$175,ISNUMBER($B$75)),$B$75,$B$61)),"")</x:f>
        <x:v>0.0625</x:v>
      </x:c>
      <x:c r="D1056" s="440" t="n">
        <x:f>IF(AND(ISNUMBER(B1056),B1056=0),0,IF(AND($B$171=1,I1055=0,ISNUMBER(C1056),ISNUMBER(IF(AND(656&lt;=$B$174,656&lt;=$B$173),B1056*C1056/12,IF(AND(656=$B$173+1,AND(656&gt;$B$173,$B$78="Refinance",ISNUMBER($B$80),$B$80&gt;=0,$B$80&lt;=1,ROUND($B$81*12,0)&gt;=1,$B$81&lt;=100,SUM($B$82)&gt;=0,SUM($B$82)&lt;=1,SUM($B$83)&gt;=0)),IF(B1056=0,0,IF(C1056=0,B1056/ROUND($B$81*12,0),B1056*(C1056/12)/(1-(1+C1056/12)^(-ROUND($B$81*12,0))))),IF(AND(NOT(AND(656&gt;$B$173,$B$78="Refinance",ISNUMBER($B$80),$B$80&gt;=0,$B$80&lt;=1,ROUND($B$81*12,0)&gt;=1,$B$81&lt;=100,SUM($B$82)&gt;=0,SUM($B$82)&lt;=1,SUM($B$83)&gt;=0)),OR(656=1,656=$B$174+1,AND($B$175&gt;0,656=$B$175+1))),IF(AND($B$170=1,$B$66&gt;0,OR($B$175=0,656&lt;=$B$175)),$B$66,IF($B$172-MAX(656-1,$B$174)&gt;0,IF(B1056=0,0,IF(C1056=0,B1056/($B$172-MAX(656-1,$B$174)),B1056*(C1056/12)/(1-(1+C1056/12)^(-($B$172-MAX(656-1,$B$174)))))),"")),D1055))))),IF(IF(AND(656&lt;=$B$174,656&lt;=$B$173),B1056*C1056/12,IF(AND(656=$B$173+1,AND(656&gt;$B$173,$B$78="Refinance",ISNUMBER($B$80),$B$80&gt;=0,$B$80&lt;=1,ROUND($B$81*12,0)&gt;=1,$B$81&lt;=100,SUM($B$82)&gt;=0,SUM($B$82)&lt;=1,SUM($B$83)&gt;=0)),IF(B1056=0,0,IF(C1056=0,B1056/ROUND($B$81*12,0),B1056*(C1056/12)/(1-(1+C1056/12)^(-ROUND($B$81*12,0))))),IF(AND(NOT(AND(656&gt;$B$173,$B$78="Refinance",ISNUMBER($B$80),$B$80&gt;=0,$B$80&lt;=1,ROUND($B$81*12,0)&gt;=1,$B$81&lt;=100,SUM($B$82)&gt;=0,SUM($B$82)&lt;=1,SUM($B$83)&gt;=0)),OR(656=1,656=$B$174+1,AND($B$175&gt;0,656=$B$175+1))),IF(AND($B$170=1,$B$66&gt;0,OR($B$175=0,656&lt;=$B$175)),$B$66,IF($B$172-MAX(656-1,$B$174)&gt;0,IF(B1056=0,0,IF(C1056=0,B1056/($B$172-MAX(656-1,$B$174)),B1056*(C1056/12)/(1-(1+C1056/12)^(-($B$172-MAX(656-1,$B$174)))))),"")),D1055)))+0.0000001&gt;=B1056*C1056/12,MIN(B1056*(1+C1056/12),IF(AND(656&lt;=$B$174,656&lt;=$B$173),B1056*C1056/12,IF(AND(656=$B$173+1,AND(656&gt;$B$173,$B$78="Refinance",ISNUMBER($B$80),$B$80&gt;=0,$B$80&lt;=1,ROUND($B$81*12,0)&gt;=1,$B$81&lt;=100,SUM($B$82)&gt;=0,SUM($B$82)&lt;=1,SUM($B$83)&gt;=0)),IF(B1056=0,0,IF(C1056=0,B1056/ROUND($B$81*12,0),B1056*(C1056/12)/(1-(1+C1056/12)^(-ROUND($B$81*12,0))))),IF(AND(NOT(AND(656&gt;$B$173,$B$78="Refinance",ISNUMBER($B$80),$B$80&gt;=0,$B$80&lt;=1,ROUND($B$81*12,0)&gt;=1,$B$81&lt;=100,SUM($B$82)&gt;=0,SUM($B$82)&lt;=1,SUM($B$83)&gt;=0)),OR(656=1,656=$B$174+1,AND($B$175&gt;0,656=$B$175+1))),IF(AND($B$170=1,$B$66&gt;0,OR($B$175=0,656&lt;=$B$175)),$B$66,IF($B$172-MAX(656-1,$B$174)&gt;0,IF(B1056=0,0,IF(C1056=0,B1056/($B$172-MAX(656-1,$B$174)),B1056*(C1056/12)/(1-(1+C1056/12)^(-($B$172-MAX(656-1,$B$174)))))),"")),D1055)))),""),""))</x:f>
        <x:v>0</x:v>
      </x:c>
      <x:c r="E1056" s="440" t="n">
        <x:f>IF(AND(656=$B$173,ISNUMBER(D1056)),IF(MAX(0,B1056*(1+C1056/12)-D1056)&lt;MAX(0.0000001,$E$17*0.00000000001),0,MAX(0,B1056*(1+C1056/12)-D1056)),0)</x:f>
        <x:v>0</x:v>
      </x:c>
      <x:c r="F1056" s="440" t="n">
        <x:f>IF($B$78="Cash payoff",E1056,0)</x:f>
        <x:v>0</x:v>
      </x:c>
      <x:c r="G1056" s="440" t="n">
        <x:f>IF(AND(E1056&gt;0,AND($B$78="Refinance",ISNUMBER($B$80),$B$80&gt;=0,$B$80&lt;=1,ROUND($B$81*12,0)&gt;=1,$B$81&lt;=100,SUM($B$82)&gt;=0,SUM($B$82)&lt;=1,SUM($B$83)&gt;=0)),E1056*SUM($B$82)+SUM($B$83),0)</x:f>
        <x:v>0</x:v>
      </x:c>
      <x:c r="H1056" s="440" t="n">
        <x:f>IF(ISNUMBER(D1056),IF(MAX(0,B1056*(1+C1056/12)-D1056-F1056)&lt;MAX(0.0000001,$E$17*0.00000000001),0,MAX(0,B1056*(1+C1056/12)-D1056-F1056)),IF(AND($B$171=1,I1055=1),B1056,""))</x:f>
        <x:v>0</x:v>
      </x:c>
      <x:c r="I1056" s="444" t="n">
        <x:f>IF(OR(I1055=1,AND(E1056&gt;0,$B$78&lt;&gt;"Cash payoff",NOT(AND($B$78="Refinance",ISNUMBER($B$80),$B$80&gt;=0,$B$80&lt;=1,ROUND($B$81*12,0)&gt;=1,$B$81&lt;=100,SUM($B$82)&gt;=0,SUM($B$82)&lt;=1,SUM($B$83)&gt;=0))),AND(ISNUMBER(B1056),B1056&gt;0,$B$171=1,NOT(ISNUMBER(D1056)))),1,0)</x:f>
        <x:v>0</x:v>
      </x:c>
      <x:c r="J1056" s="440" t="n">
        <x:f>IF(ISNUMBER(L1055),L1055,"")</x:f>
        <x:v>0</x:v>
      </x:c>
      <x:c r="K1056" s="440" t="n">
        <x:f>IF(AND(ISNUMBER(J1056),J1056=0),0,IF(AND($B$176=1,ISNUMBER(J1056)),MIN(J1056*(1+$B$87/12),IF($B$86=0,0,IF($B$87=0,$B$86/ROUND($B$88*12,0),$B$86*($B$87/12)/(1-(1+$B$87/12)^(-ROUND($B$88*12,0)))))),""))</x:f>
        <x:v>0</x:v>
      </x:c>
      <x:c r="L1056" s="440" t="n">
        <x:f>IF(ISNUMBER(K1056),IF(MAX(0,J1056*(1+SUM($B$87)/12)-K1056)&lt;MAX(0.0000001,$B$86*0.00000000001),0,MAX(0,J1056*(1+SUM($B$87)/12)-K1056)),"")</x:f>
        <x:v>0</x:v>
      </x:c>
      <x:c r="M1056" s="440" t="n">
        <x:f>IF(AND(ISNUMBER(D1056),ISNUMBER(K1056)),D1056+K1056,"")</x:f>
        <x:v>0</x:v>
      </x:c>
      <x:c r="N1056" s="440" t="n">
        <x:f>IF(AND(ISNUMBER(H1056),ISNUMBER(L1056)),H1056+L1056,"")</x:f>
        <x:v>0</x:v>
      </x:c>
    </x:row>
    <x:row r="1057" ht="22" customHeight="1">
      <x:c r="A1057" s="254" t="n">
        <x:f>657</x:f>
        <x:v>657</x:v>
      </x:c>
      <x:c r="B1057" s="440" t="n">
        <x:f>IF(ISNUMBER(H1056),H1056,"")</x:f>
        <x:v>0</x:v>
      </x:c>
      <x:c r="C1057" s="442" t="n">
        <x:f>IF(ISNUMBER(B1057),IF(AND(657&gt;$B$173,$B$78="Refinance",ISNUMBER($B$80),$B$80&gt;=0,$B$80&lt;=1,ROUND($B$81*12,0)&gt;=1,$B$81&lt;=100,SUM($B$82)&gt;=0,SUM($B$82)&lt;=1,SUM($B$83)&gt;=0),$B$80,IF(AND($B$175&gt;0,657&gt;$B$175,ISNUMBER($B$75)),$B$75,$B$61)),"")</x:f>
        <x:v>0.0625</x:v>
      </x:c>
      <x:c r="D1057" s="440" t="n">
        <x:f>IF(AND(ISNUMBER(B1057),B1057=0),0,IF(AND($B$171=1,I1056=0,ISNUMBER(C1057),ISNUMBER(IF(AND(657&lt;=$B$174,657&lt;=$B$173),B1057*C1057/12,IF(AND(657=$B$173+1,AND(657&gt;$B$173,$B$78="Refinance",ISNUMBER($B$80),$B$80&gt;=0,$B$80&lt;=1,ROUND($B$81*12,0)&gt;=1,$B$81&lt;=100,SUM($B$82)&gt;=0,SUM($B$82)&lt;=1,SUM($B$83)&gt;=0)),IF(B1057=0,0,IF(C1057=0,B1057/ROUND($B$81*12,0),B1057*(C1057/12)/(1-(1+C1057/12)^(-ROUND($B$81*12,0))))),IF(AND(NOT(AND(657&gt;$B$173,$B$78="Refinance",ISNUMBER($B$80),$B$80&gt;=0,$B$80&lt;=1,ROUND($B$81*12,0)&gt;=1,$B$81&lt;=100,SUM($B$82)&gt;=0,SUM($B$82)&lt;=1,SUM($B$83)&gt;=0)),OR(657=1,657=$B$174+1,AND($B$175&gt;0,657=$B$175+1))),IF(AND($B$170=1,$B$66&gt;0,OR($B$175=0,657&lt;=$B$175)),$B$66,IF($B$172-MAX(657-1,$B$174)&gt;0,IF(B1057=0,0,IF(C1057=0,B1057/($B$172-MAX(657-1,$B$174)),B1057*(C1057/12)/(1-(1+C1057/12)^(-($B$172-MAX(657-1,$B$174)))))),"")),D1056))))),IF(IF(AND(657&lt;=$B$174,657&lt;=$B$173),B1057*C1057/12,IF(AND(657=$B$173+1,AND(657&gt;$B$173,$B$78="Refinance",ISNUMBER($B$80),$B$80&gt;=0,$B$80&lt;=1,ROUND($B$81*12,0)&gt;=1,$B$81&lt;=100,SUM($B$82)&gt;=0,SUM($B$82)&lt;=1,SUM($B$83)&gt;=0)),IF(B1057=0,0,IF(C1057=0,B1057/ROUND($B$81*12,0),B1057*(C1057/12)/(1-(1+C1057/12)^(-ROUND($B$81*12,0))))),IF(AND(NOT(AND(657&gt;$B$173,$B$78="Refinance",ISNUMBER($B$80),$B$80&gt;=0,$B$80&lt;=1,ROUND($B$81*12,0)&gt;=1,$B$81&lt;=100,SUM($B$82)&gt;=0,SUM($B$82)&lt;=1,SUM($B$83)&gt;=0)),OR(657=1,657=$B$174+1,AND($B$175&gt;0,657=$B$175+1))),IF(AND($B$170=1,$B$66&gt;0,OR($B$175=0,657&lt;=$B$175)),$B$66,IF($B$172-MAX(657-1,$B$174)&gt;0,IF(B1057=0,0,IF(C1057=0,B1057/($B$172-MAX(657-1,$B$174)),B1057*(C1057/12)/(1-(1+C1057/12)^(-($B$172-MAX(657-1,$B$174)))))),"")),D1056)))+0.0000001&gt;=B1057*C1057/12,MIN(B1057*(1+C1057/12),IF(AND(657&lt;=$B$174,657&lt;=$B$173),B1057*C1057/12,IF(AND(657=$B$173+1,AND(657&gt;$B$173,$B$78="Refinance",ISNUMBER($B$80),$B$80&gt;=0,$B$80&lt;=1,ROUND($B$81*12,0)&gt;=1,$B$81&lt;=100,SUM($B$82)&gt;=0,SUM($B$82)&lt;=1,SUM($B$83)&gt;=0)),IF(B1057=0,0,IF(C1057=0,B1057/ROUND($B$81*12,0),B1057*(C1057/12)/(1-(1+C1057/12)^(-ROUND($B$81*12,0))))),IF(AND(NOT(AND(657&gt;$B$173,$B$78="Refinance",ISNUMBER($B$80),$B$80&gt;=0,$B$80&lt;=1,ROUND($B$81*12,0)&gt;=1,$B$81&lt;=100,SUM($B$82)&gt;=0,SUM($B$82)&lt;=1,SUM($B$83)&gt;=0)),OR(657=1,657=$B$174+1,AND($B$175&gt;0,657=$B$175+1))),IF(AND($B$170=1,$B$66&gt;0,OR($B$175=0,657&lt;=$B$175)),$B$66,IF($B$172-MAX(657-1,$B$174)&gt;0,IF(B1057=0,0,IF(C1057=0,B1057/($B$172-MAX(657-1,$B$174)),B1057*(C1057/12)/(1-(1+C1057/12)^(-($B$172-MAX(657-1,$B$174)))))),"")),D1056)))),""),""))</x:f>
        <x:v>0</x:v>
      </x:c>
      <x:c r="E1057" s="440" t="n">
        <x:f>IF(AND(657=$B$173,ISNUMBER(D1057)),IF(MAX(0,B1057*(1+C1057/12)-D1057)&lt;MAX(0.0000001,$E$17*0.00000000001),0,MAX(0,B1057*(1+C1057/12)-D1057)),0)</x:f>
        <x:v>0</x:v>
      </x:c>
      <x:c r="F1057" s="440" t="n">
        <x:f>IF($B$78="Cash payoff",E1057,0)</x:f>
        <x:v>0</x:v>
      </x:c>
      <x:c r="G1057" s="440" t="n">
        <x:f>IF(AND(E1057&gt;0,AND($B$78="Refinance",ISNUMBER($B$80),$B$80&gt;=0,$B$80&lt;=1,ROUND($B$81*12,0)&gt;=1,$B$81&lt;=100,SUM($B$82)&gt;=0,SUM($B$82)&lt;=1,SUM($B$83)&gt;=0)),E1057*SUM($B$82)+SUM($B$83),0)</x:f>
        <x:v>0</x:v>
      </x:c>
      <x:c r="H1057" s="440" t="n">
        <x:f>IF(ISNUMBER(D1057),IF(MAX(0,B1057*(1+C1057/12)-D1057-F1057)&lt;MAX(0.0000001,$E$17*0.00000000001),0,MAX(0,B1057*(1+C1057/12)-D1057-F1057)),IF(AND($B$171=1,I1056=1),B1057,""))</x:f>
        <x:v>0</x:v>
      </x:c>
      <x:c r="I1057" s="444" t="n">
        <x:f>IF(OR(I1056=1,AND(E1057&gt;0,$B$78&lt;&gt;"Cash payoff",NOT(AND($B$78="Refinance",ISNUMBER($B$80),$B$80&gt;=0,$B$80&lt;=1,ROUND($B$81*12,0)&gt;=1,$B$81&lt;=100,SUM($B$82)&gt;=0,SUM($B$82)&lt;=1,SUM($B$83)&gt;=0))),AND(ISNUMBER(B1057),B1057&gt;0,$B$171=1,NOT(ISNUMBER(D1057)))),1,0)</x:f>
        <x:v>0</x:v>
      </x:c>
      <x:c r="J1057" s="440" t="n">
        <x:f>IF(ISNUMBER(L1056),L1056,"")</x:f>
        <x:v>0</x:v>
      </x:c>
      <x:c r="K1057" s="440" t="n">
        <x:f>IF(AND(ISNUMBER(J1057),J1057=0),0,IF(AND($B$176=1,ISNUMBER(J1057)),MIN(J1057*(1+$B$87/12),IF($B$86=0,0,IF($B$87=0,$B$86/ROUND($B$88*12,0),$B$86*($B$87/12)/(1-(1+$B$87/12)^(-ROUND($B$88*12,0)))))),""))</x:f>
        <x:v>0</x:v>
      </x:c>
      <x:c r="L1057" s="440" t="n">
        <x:f>IF(ISNUMBER(K1057),IF(MAX(0,J1057*(1+SUM($B$87)/12)-K1057)&lt;MAX(0.0000001,$B$86*0.00000000001),0,MAX(0,J1057*(1+SUM($B$87)/12)-K1057)),"")</x:f>
        <x:v>0</x:v>
      </x:c>
      <x:c r="M1057" s="440" t="n">
        <x:f>IF(AND(ISNUMBER(D1057),ISNUMBER(K1057)),D1057+K1057,"")</x:f>
        <x:v>0</x:v>
      </x:c>
      <x:c r="N1057" s="440" t="n">
        <x:f>IF(AND(ISNUMBER(H1057),ISNUMBER(L1057)),H1057+L1057,"")</x:f>
        <x:v>0</x:v>
      </x:c>
    </x:row>
    <x:row r="1058" ht="22" customHeight="1">
      <x:c r="A1058" s="254" t="n">
        <x:f>658</x:f>
        <x:v>658</x:v>
      </x:c>
      <x:c r="B1058" s="440" t="n">
        <x:f>IF(ISNUMBER(H1057),H1057,"")</x:f>
        <x:v>0</x:v>
      </x:c>
      <x:c r="C1058" s="442" t="n">
        <x:f>IF(ISNUMBER(B1058),IF(AND(658&gt;$B$173,$B$78="Refinance",ISNUMBER($B$80),$B$80&gt;=0,$B$80&lt;=1,ROUND($B$81*12,0)&gt;=1,$B$81&lt;=100,SUM($B$82)&gt;=0,SUM($B$82)&lt;=1,SUM($B$83)&gt;=0),$B$80,IF(AND($B$175&gt;0,658&gt;$B$175,ISNUMBER($B$75)),$B$75,$B$61)),"")</x:f>
        <x:v>0.0625</x:v>
      </x:c>
      <x:c r="D1058" s="440" t="n">
        <x:f>IF(AND(ISNUMBER(B1058),B1058=0),0,IF(AND($B$171=1,I1057=0,ISNUMBER(C1058),ISNUMBER(IF(AND(658&lt;=$B$174,658&lt;=$B$173),B1058*C1058/12,IF(AND(658=$B$173+1,AND(658&gt;$B$173,$B$78="Refinance",ISNUMBER($B$80),$B$80&gt;=0,$B$80&lt;=1,ROUND($B$81*12,0)&gt;=1,$B$81&lt;=100,SUM($B$82)&gt;=0,SUM($B$82)&lt;=1,SUM($B$83)&gt;=0)),IF(B1058=0,0,IF(C1058=0,B1058/ROUND($B$81*12,0),B1058*(C1058/12)/(1-(1+C1058/12)^(-ROUND($B$81*12,0))))),IF(AND(NOT(AND(658&gt;$B$173,$B$78="Refinance",ISNUMBER($B$80),$B$80&gt;=0,$B$80&lt;=1,ROUND($B$81*12,0)&gt;=1,$B$81&lt;=100,SUM($B$82)&gt;=0,SUM($B$82)&lt;=1,SUM($B$83)&gt;=0)),OR(658=1,658=$B$174+1,AND($B$175&gt;0,658=$B$175+1))),IF(AND($B$170=1,$B$66&gt;0,OR($B$175=0,658&lt;=$B$175)),$B$66,IF($B$172-MAX(658-1,$B$174)&gt;0,IF(B1058=0,0,IF(C1058=0,B1058/($B$172-MAX(658-1,$B$174)),B1058*(C1058/12)/(1-(1+C1058/12)^(-($B$172-MAX(658-1,$B$174)))))),"")),D1057))))),IF(IF(AND(658&lt;=$B$174,658&lt;=$B$173),B1058*C1058/12,IF(AND(658=$B$173+1,AND(658&gt;$B$173,$B$78="Refinance",ISNUMBER($B$80),$B$80&gt;=0,$B$80&lt;=1,ROUND($B$81*12,0)&gt;=1,$B$81&lt;=100,SUM($B$82)&gt;=0,SUM($B$82)&lt;=1,SUM($B$83)&gt;=0)),IF(B1058=0,0,IF(C1058=0,B1058/ROUND($B$81*12,0),B1058*(C1058/12)/(1-(1+C1058/12)^(-ROUND($B$81*12,0))))),IF(AND(NOT(AND(658&gt;$B$173,$B$78="Refinance",ISNUMBER($B$80),$B$80&gt;=0,$B$80&lt;=1,ROUND($B$81*12,0)&gt;=1,$B$81&lt;=100,SUM($B$82)&gt;=0,SUM($B$82)&lt;=1,SUM($B$83)&gt;=0)),OR(658=1,658=$B$174+1,AND($B$175&gt;0,658=$B$175+1))),IF(AND($B$170=1,$B$66&gt;0,OR($B$175=0,658&lt;=$B$175)),$B$66,IF($B$172-MAX(658-1,$B$174)&gt;0,IF(B1058=0,0,IF(C1058=0,B1058/($B$172-MAX(658-1,$B$174)),B1058*(C1058/12)/(1-(1+C1058/12)^(-($B$172-MAX(658-1,$B$174)))))),"")),D1057)))+0.0000001&gt;=B1058*C1058/12,MIN(B1058*(1+C1058/12),IF(AND(658&lt;=$B$174,658&lt;=$B$173),B1058*C1058/12,IF(AND(658=$B$173+1,AND(658&gt;$B$173,$B$78="Refinance",ISNUMBER($B$80),$B$80&gt;=0,$B$80&lt;=1,ROUND($B$81*12,0)&gt;=1,$B$81&lt;=100,SUM($B$82)&gt;=0,SUM($B$82)&lt;=1,SUM($B$83)&gt;=0)),IF(B1058=0,0,IF(C1058=0,B1058/ROUND($B$81*12,0),B1058*(C1058/12)/(1-(1+C1058/12)^(-ROUND($B$81*12,0))))),IF(AND(NOT(AND(658&gt;$B$173,$B$78="Refinance",ISNUMBER($B$80),$B$80&gt;=0,$B$80&lt;=1,ROUND($B$81*12,0)&gt;=1,$B$81&lt;=100,SUM($B$82)&gt;=0,SUM($B$82)&lt;=1,SUM($B$83)&gt;=0)),OR(658=1,658=$B$174+1,AND($B$175&gt;0,658=$B$175+1))),IF(AND($B$170=1,$B$66&gt;0,OR($B$175=0,658&lt;=$B$175)),$B$66,IF($B$172-MAX(658-1,$B$174)&gt;0,IF(B1058=0,0,IF(C1058=0,B1058/($B$172-MAX(658-1,$B$174)),B1058*(C1058/12)/(1-(1+C1058/12)^(-($B$172-MAX(658-1,$B$174)))))),"")),D1057)))),""),""))</x:f>
        <x:v>0</x:v>
      </x:c>
      <x:c r="E1058" s="440" t="n">
        <x:f>IF(AND(658=$B$173,ISNUMBER(D1058)),IF(MAX(0,B1058*(1+C1058/12)-D1058)&lt;MAX(0.0000001,$E$17*0.00000000001),0,MAX(0,B1058*(1+C1058/12)-D1058)),0)</x:f>
        <x:v>0</x:v>
      </x:c>
      <x:c r="F1058" s="440" t="n">
        <x:f>IF($B$78="Cash payoff",E1058,0)</x:f>
        <x:v>0</x:v>
      </x:c>
      <x:c r="G1058" s="440" t="n">
        <x:f>IF(AND(E1058&gt;0,AND($B$78="Refinance",ISNUMBER($B$80),$B$80&gt;=0,$B$80&lt;=1,ROUND($B$81*12,0)&gt;=1,$B$81&lt;=100,SUM($B$82)&gt;=0,SUM($B$82)&lt;=1,SUM($B$83)&gt;=0)),E1058*SUM($B$82)+SUM($B$83),0)</x:f>
        <x:v>0</x:v>
      </x:c>
      <x:c r="H1058" s="440" t="n">
        <x:f>IF(ISNUMBER(D1058),IF(MAX(0,B1058*(1+C1058/12)-D1058-F1058)&lt;MAX(0.0000001,$E$17*0.00000000001),0,MAX(0,B1058*(1+C1058/12)-D1058-F1058)),IF(AND($B$171=1,I1057=1),B1058,""))</x:f>
        <x:v>0</x:v>
      </x:c>
      <x:c r="I1058" s="444" t="n">
        <x:f>IF(OR(I1057=1,AND(E1058&gt;0,$B$78&lt;&gt;"Cash payoff",NOT(AND($B$78="Refinance",ISNUMBER($B$80),$B$80&gt;=0,$B$80&lt;=1,ROUND($B$81*12,0)&gt;=1,$B$81&lt;=100,SUM($B$82)&gt;=0,SUM($B$82)&lt;=1,SUM($B$83)&gt;=0))),AND(ISNUMBER(B1058),B1058&gt;0,$B$171=1,NOT(ISNUMBER(D1058)))),1,0)</x:f>
        <x:v>0</x:v>
      </x:c>
      <x:c r="J1058" s="440" t="n">
        <x:f>IF(ISNUMBER(L1057),L1057,"")</x:f>
        <x:v>0</x:v>
      </x:c>
      <x:c r="K1058" s="440" t="n">
        <x:f>IF(AND(ISNUMBER(J1058),J1058=0),0,IF(AND($B$176=1,ISNUMBER(J1058)),MIN(J1058*(1+$B$87/12),IF($B$86=0,0,IF($B$87=0,$B$86/ROUND($B$88*12,0),$B$86*($B$87/12)/(1-(1+$B$87/12)^(-ROUND($B$88*12,0)))))),""))</x:f>
        <x:v>0</x:v>
      </x:c>
      <x:c r="L1058" s="440" t="n">
        <x:f>IF(ISNUMBER(K1058),IF(MAX(0,J1058*(1+SUM($B$87)/12)-K1058)&lt;MAX(0.0000001,$B$86*0.00000000001),0,MAX(0,J1058*(1+SUM($B$87)/12)-K1058)),"")</x:f>
        <x:v>0</x:v>
      </x:c>
      <x:c r="M1058" s="440" t="n">
        <x:f>IF(AND(ISNUMBER(D1058),ISNUMBER(K1058)),D1058+K1058,"")</x:f>
        <x:v>0</x:v>
      </x:c>
      <x:c r="N1058" s="440" t="n">
        <x:f>IF(AND(ISNUMBER(H1058),ISNUMBER(L1058)),H1058+L1058,"")</x:f>
        <x:v>0</x:v>
      </x:c>
    </x:row>
    <x:row r="1059" ht="22" customHeight="1">
      <x:c r="A1059" s="254" t="n">
        <x:f>659</x:f>
        <x:v>659</x:v>
      </x:c>
      <x:c r="B1059" s="440" t="n">
        <x:f>IF(ISNUMBER(H1058),H1058,"")</x:f>
        <x:v>0</x:v>
      </x:c>
      <x:c r="C1059" s="442" t="n">
        <x:f>IF(ISNUMBER(B1059),IF(AND(659&gt;$B$173,$B$78="Refinance",ISNUMBER($B$80),$B$80&gt;=0,$B$80&lt;=1,ROUND($B$81*12,0)&gt;=1,$B$81&lt;=100,SUM($B$82)&gt;=0,SUM($B$82)&lt;=1,SUM($B$83)&gt;=0),$B$80,IF(AND($B$175&gt;0,659&gt;$B$175,ISNUMBER($B$75)),$B$75,$B$61)),"")</x:f>
        <x:v>0.0625</x:v>
      </x:c>
      <x:c r="D1059" s="440" t="n">
        <x:f>IF(AND(ISNUMBER(B1059),B1059=0),0,IF(AND($B$171=1,I1058=0,ISNUMBER(C1059),ISNUMBER(IF(AND(659&lt;=$B$174,659&lt;=$B$173),B1059*C1059/12,IF(AND(659=$B$173+1,AND(659&gt;$B$173,$B$78="Refinance",ISNUMBER($B$80),$B$80&gt;=0,$B$80&lt;=1,ROUND($B$81*12,0)&gt;=1,$B$81&lt;=100,SUM($B$82)&gt;=0,SUM($B$82)&lt;=1,SUM($B$83)&gt;=0)),IF(B1059=0,0,IF(C1059=0,B1059/ROUND($B$81*12,0),B1059*(C1059/12)/(1-(1+C1059/12)^(-ROUND($B$81*12,0))))),IF(AND(NOT(AND(659&gt;$B$173,$B$78="Refinance",ISNUMBER($B$80),$B$80&gt;=0,$B$80&lt;=1,ROUND($B$81*12,0)&gt;=1,$B$81&lt;=100,SUM($B$82)&gt;=0,SUM($B$82)&lt;=1,SUM($B$83)&gt;=0)),OR(659=1,659=$B$174+1,AND($B$175&gt;0,659=$B$175+1))),IF(AND($B$170=1,$B$66&gt;0,OR($B$175=0,659&lt;=$B$175)),$B$66,IF($B$172-MAX(659-1,$B$174)&gt;0,IF(B1059=0,0,IF(C1059=0,B1059/($B$172-MAX(659-1,$B$174)),B1059*(C1059/12)/(1-(1+C1059/12)^(-($B$172-MAX(659-1,$B$174)))))),"")),D1058))))),IF(IF(AND(659&lt;=$B$174,659&lt;=$B$173),B1059*C1059/12,IF(AND(659=$B$173+1,AND(659&gt;$B$173,$B$78="Refinance",ISNUMBER($B$80),$B$80&gt;=0,$B$80&lt;=1,ROUND($B$81*12,0)&gt;=1,$B$81&lt;=100,SUM($B$82)&gt;=0,SUM($B$82)&lt;=1,SUM($B$83)&gt;=0)),IF(B1059=0,0,IF(C1059=0,B1059/ROUND($B$81*12,0),B1059*(C1059/12)/(1-(1+C1059/12)^(-ROUND($B$81*12,0))))),IF(AND(NOT(AND(659&gt;$B$173,$B$78="Refinance",ISNUMBER($B$80),$B$80&gt;=0,$B$80&lt;=1,ROUND($B$81*12,0)&gt;=1,$B$81&lt;=100,SUM($B$82)&gt;=0,SUM($B$82)&lt;=1,SUM($B$83)&gt;=0)),OR(659=1,659=$B$174+1,AND($B$175&gt;0,659=$B$175+1))),IF(AND($B$170=1,$B$66&gt;0,OR($B$175=0,659&lt;=$B$175)),$B$66,IF($B$172-MAX(659-1,$B$174)&gt;0,IF(B1059=0,0,IF(C1059=0,B1059/($B$172-MAX(659-1,$B$174)),B1059*(C1059/12)/(1-(1+C1059/12)^(-($B$172-MAX(659-1,$B$174)))))),"")),D1058)))+0.0000001&gt;=B1059*C1059/12,MIN(B1059*(1+C1059/12),IF(AND(659&lt;=$B$174,659&lt;=$B$173),B1059*C1059/12,IF(AND(659=$B$173+1,AND(659&gt;$B$173,$B$78="Refinance",ISNUMBER($B$80),$B$80&gt;=0,$B$80&lt;=1,ROUND($B$81*12,0)&gt;=1,$B$81&lt;=100,SUM($B$82)&gt;=0,SUM($B$82)&lt;=1,SUM($B$83)&gt;=0)),IF(B1059=0,0,IF(C1059=0,B1059/ROUND($B$81*12,0),B1059*(C1059/12)/(1-(1+C1059/12)^(-ROUND($B$81*12,0))))),IF(AND(NOT(AND(659&gt;$B$173,$B$78="Refinance",ISNUMBER($B$80),$B$80&gt;=0,$B$80&lt;=1,ROUND($B$81*12,0)&gt;=1,$B$81&lt;=100,SUM($B$82)&gt;=0,SUM($B$82)&lt;=1,SUM($B$83)&gt;=0)),OR(659=1,659=$B$174+1,AND($B$175&gt;0,659=$B$175+1))),IF(AND($B$170=1,$B$66&gt;0,OR($B$175=0,659&lt;=$B$175)),$B$66,IF($B$172-MAX(659-1,$B$174)&gt;0,IF(B1059=0,0,IF(C1059=0,B1059/($B$172-MAX(659-1,$B$174)),B1059*(C1059/12)/(1-(1+C1059/12)^(-($B$172-MAX(659-1,$B$174)))))),"")),D1058)))),""),""))</x:f>
        <x:v>0</x:v>
      </x:c>
      <x:c r="E1059" s="440" t="n">
        <x:f>IF(AND(659=$B$173,ISNUMBER(D1059)),IF(MAX(0,B1059*(1+C1059/12)-D1059)&lt;MAX(0.0000001,$E$17*0.00000000001),0,MAX(0,B1059*(1+C1059/12)-D1059)),0)</x:f>
        <x:v>0</x:v>
      </x:c>
      <x:c r="F1059" s="440" t="n">
        <x:f>IF($B$78="Cash payoff",E1059,0)</x:f>
        <x:v>0</x:v>
      </x:c>
      <x:c r="G1059" s="440" t="n">
        <x:f>IF(AND(E1059&gt;0,AND($B$78="Refinance",ISNUMBER($B$80),$B$80&gt;=0,$B$80&lt;=1,ROUND($B$81*12,0)&gt;=1,$B$81&lt;=100,SUM($B$82)&gt;=0,SUM($B$82)&lt;=1,SUM($B$83)&gt;=0)),E1059*SUM($B$82)+SUM($B$83),0)</x:f>
        <x:v>0</x:v>
      </x:c>
      <x:c r="H1059" s="440" t="n">
        <x:f>IF(ISNUMBER(D1059),IF(MAX(0,B1059*(1+C1059/12)-D1059-F1059)&lt;MAX(0.0000001,$E$17*0.00000000001),0,MAX(0,B1059*(1+C1059/12)-D1059-F1059)),IF(AND($B$171=1,I1058=1),B1059,""))</x:f>
        <x:v>0</x:v>
      </x:c>
      <x:c r="I1059" s="444" t="n">
        <x:f>IF(OR(I1058=1,AND(E1059&gt;0,$B$78&lt;&gt;"Cash payoff",NOT(AND($B$78="Refinance",ISNUMBER($B$80),$B$80&gt;=0,$B$80&lt;=1,ROUND($B$81*12,0)&gt;=1,$B$81&lt;=100,SUM($B$82)&gt;=0,SUM($B$82)&lt;=1,SUM($B$83)&gt;=0))),AND(ISNUMBER(B1059),B1059&gt;0,$B$171=1,NOT(ISNUMBER(D1059)))),1,0)</x:f>
        <x:v>0</x:v>
      </x:c>
      <x:c r="J1059" s="440" t="n">
        <x:f>IF(ISNUMBER(L1058),L1058,"")</x:f>
        <x:v>0</x:v>
      </x:c>
      <x:c r="K1059" s="440" t="n">
        <x:f>IF(AND(ISNUMBER(J1059),J1059=0),0,IF(AND($B$176=1,ISNUMBER(J1059)),MIN(J1059*(1+$B$87/12),IF($B$86=0,0,IF($B$87=0,$B$86/ROUND($B$88*12,0),$B$86*($B$87/12)/(1-(1+$B$87/12)^(-ROUND($B$88*12,0)))))),""))</x:f>
        <x:v>0</x:v>
      </x:c>
      <x:c r="L1059" s="440" t="n">
        <x:f>IF(ISNUMBER(K1059),IF(MAX(0,J1059*(1+SUM($B$87)/12)-K1059)&lt;MAX(0.0000001,$B$86*0.00000000001),0,MAX(0,J1059*(1+SUM($B$87)/12)-K1059)),"")</x:f>
        <x:v>0</x:v>
      </x:c>
      <x:c r="M1059" s="440" t="n">
        <x:f>IF(AND(ISNUMBER(D1059),ISNUMBER(K1059)),D1059+K1059,"")</x:f>
        <x:v>0</x:v>
      </x:c>
      <x:c r="N1059" s="440" t="n">
        <x:f>IF(AND(ISNUMBER(H1059),ISNUMBER(L1059)),H1059+L1059,"")</x:f>
        <x:v>0</x:v>
      </x:c>
    </x:row>
    <x:row r="1060" ht="22" customHeight="1">
      <x:c r="A1060" s="254" t="n">
        <x:f>660</x:f>
        <x:v>660</x:v>
      </x:c>
      <x:c r="B1060" s="440" t="n">
        <x:f>IF(ISNUMBER(H1059),H1059,"")</x:f>
        <x:v>0</x:v>
      </x:c>
      <x:c r="C1060" s="442" t="n">
        <x:f>IF(ISNUMBER(B1060),IF(AND(660&gt;$B$173,$B$78="Refinance",ISNUMBER($B$80),$B$80&gt;=0,$B$80&lt;=1,ROUND($B$81*12,0)&gt;=1,$B$81&lt;=100,SUM($B$82)&gt;=0,SUM($B$82)&lt;=1,SUM($B$83)&gt;=0),$B$80,IF(AND($B$175&gt;0,660&gt;$B$175,ISNUMBER($B$75)),$B$75,$B$61)),"")</x:f>
        <x:v>0.0625</x:v>
      </x:c>
      <x:c r="D1060" s="440" t="n">
        <x:f>IF(AND(ISNUMBER(B1060),B1060=0),0,IF(AND($B$171=1,I1059=0,ISNUMBER(C1060),ISNUMBER(IF(AND(660&lt;=$B$174,660&lt;=$B$173),B1060*C1060/12,IF(AND(660=$B$173+1,AND(660&gt;$B$173,$B$78="Refinance",ISNUMBER($B$80),$B$80&gt;=0,$B$80&lt;=1,ROUND($B$81*12,0)&gt;=1,$B$81&lt;=100,SUM($B$82)&gt;=0,SUM($B$82)&lt;=1,SUM($B$83)&gt;=0)),IF(B1060=0,0,IF(C1060=0,B1060/ROUND($B$81*12,0),B1060*(C1060/12)/(1-(1+C1060/12)^(-ROUND($B$81*12,0))))),IF(AND(NOT(AND(660&gt;$B$173,$B$78="Refinance",ISNUMBER($B$80),$B$80&gt;=0,$B$80&lt;=1,ROUND($B$81*12,0)&gt;=1,$B$81&lt;=100,SUM($B$82)&gt;=0,SUM($B$82)&lt;=1,SUM($B$83)&gt;=0)),OR(660=1,660=$B$174+1,AND($B$175&gt;0,660=$B$175+1))),IF(AND($B$170=1,$B$66&gt;0,OR($B$175=0,660&lt;=$B$175)),$B$66,IF($B$172-MAX(660-1,$B$174)&gt;0,IF(B1060=0,0,IF(C1060=0,B1060/($B$172-MAX(660-1,$B$174)),B1060*(C1060/12)/(1-(1+C1060/12)^(-($B$172-MAX(660-1,$B$174)))))),"")),D1059))))),IF(IF(AND(660&lt;=$B$174,660&lt;=$B$173),B1060*C1060/12,IF(AND(660=$B$173+1,AND(660&gt;$B$173,$B$78="Refinance",ISNUMBER($B$80),$B$80&gt;=0,$B$80&lt;=1,ROUND($B$81*12,0)&gt;=1,$B$81&lt;=100,SUM($B$82)&gt;=0,SUM($B$82)&lt;=1,SUM($B$83)&gt;=0)),IF(B1060=0,0,IF(C1060=0,B1060/ROUND($B$81*12,0),B1060*(C1060/12)/(1-(1+C1060/12)^(-ROUND($B$81*12,0))))),IF(AND(NOT(AND(660&gt;$B$173,$B$78="Refinance",ISNUMBER($B$80),$B$80&gt;=0,$B$80&lt;=1,ROUND($B$81*12,0)&gt;=1,$B$81&lt;=100,SUM($B$82)&gt;=0,SUM($B$82)&lt;=1,SUM($B$83)&gt;=0)),OR(660=1,660=$B$174+1,AND($B$175&gt;0,660=$B$175+1))),IF(AND($B$170=1,$B$66&gt;0,OR($B$175=0,660&lt;=$B$175)),$B$66,IF($B$172-MAX(660-1,$B$174)&gt;0,IF(B1060=0,0,IF(C1060=0,B1060/($B$172-MAX(660-1,$B$174)),B1060*(C1060/12)/(1-(1+C1060/12)^(-($B$172-MAX(660-1,$B$174)))))),"")),D1059)))+0.0000001&gt;=B1060*C1060/12,MIN(B1060*(1+C1060/12),IF(AND(660&lt;=$B$174,660&lt;=$B$173),B1060*C1060/12,IF(AND(660=$B$173+1,AND(660&gt;$B$173,$B$78="Refinance",ISNUMBER($B$80),$B$80&gt;=0,$B$80&lt;=1,ROUND($B$81*12,0)&gt;=1,$B$81&lt;=100,SUM($B$82)&gt;=0,SUM($B$82)&lt;=1,SUM($B$83)&gt;=0)),IF(B1060=0,0,IF(C1060=0,B1060/ROUND($B$81*12,0),B1060*(C1060/12)/(1-(1+C1060/12)^(-ROUND($B$81*12,0))))),IF(AND(NOT(AND(660&gt;$B$173,$B$78="Refinance",ISNUMBER($B$80),$B$80&gt;=0,$B$80&lt;=1,ROUND($B$81*12,0)&gt;=1,$B$81&lt;=100,SUM($B$82)&gt;=0,SUM($B$82)&lt;=1,SUM($B$83)&gt;=0)),OR(660=1,660=$B$174+1,AND($B$175&gt;0,660=$B$175+1))),IF(AND($B$170=1,$B$66&gt;0,OR($B$175=0,660&lt;=$B$175)),$B$66,IF($B$172-MAX(660-1,$B$174)&gt;0,IF(B1060=0,0,IF(C1060=0,B1060/($B$172-MAX(660-1,$B$174)),B1060*(C1060/12)/(1-(1+C1060/12)^(-($B$172-MAX(660-1,$B$174)))))),"")),D1059)))),""),""))</x:f>
        <x:v>0</x:v>
      </x:c>
      <x:c r="E1060" s="440" t="n">
        <x:f>IF(AND(660=$B$173,ISNUMBER(D1060)),IF(MAX(0,B1060*(1+C1060/12)-D1060)&lt;MAX(0.0000001,$E$17*0.00000000001),0,MAX(0,B1060*(1+C1060/12)-D1060)),0)</x:f>
        <x:v>0</x:v>
      </x:c>
      <x:c r="F1060" s="440" t="n">
        <x:f>IF($B$78="Cash payoff",E1060,0)</x:f>
        <x:v>0</x:v>
      </x:c>
      <x:c r="G1060" s="440" t="n">
        <x:f>IF(AND(E1060&gt;0,AND($B$78="Refinance",ISNUMBER($B$80),$B$80&gt;=0,$B$80&lt;=1,ROUND($B$81*12,0)&gt;=1,$B$81&lt;=100,SUM($B$82)&gt;=0,SUM($B$82)&lt;=1,SUM($B$83)&gt;=0)),E1060*SUM($B$82)+SUM($B$83),0)</x:f>
        <x:v>0</x:v>
      </x:c>
      <x:c r="H1060" s="440" t="n">
        <x:f>IF(ISNUMBER(D1060),IF(MAX(0,B1060*(1+C1060/12)-D1060-F1060)&lt;MAX(0.0000001,$E$17*0.00000000001),0,MAX(0,B1060*(1+C1060/12)-D1060-F1060)),IF(AND($B$171=1,I1059=1),B1060,""))</x:f>
        <x:v>0</x:v>
      </x:c>
      <x:c r="I1060" s="444" t="n">
        <x:f>IF(OR(I1059=1,AND(E1060&gt;0,$B$78&lt;&gt;"Cash payoff",NOT(AND($B$78="Refinance",ISNUMBER($B$80),$B$80&gt;=0,$B$80&lt;=1,ROUND($B$81*12,0)&gt;=1,$B$81&lt;=100,SUM($B$82)&gt;=0,SUM($B$82)&lt;=1,SUM($B$83)&gt;=0))),AND(ISNUMBER(B1060),B1060&gt;0,$B$171=1,NOT(ISNUMBER(D1060)))),1,0)</x:f>
        <x:v>0</x:v>
      </x:c>
      <x:c r="J1060" s="440" t="n">
        <x:f>IF(ISNUMBER(L1059),L1059,"")</x:f>
        <x:v>0</x:v>
      </x:c>
      <x:c r="K1060" s="440" t="n">
        <x:f>IF(AND(ISNUMBER(J1060),J1060=0),0,IF(AND($B$176=1,ISNUMBER(J1060)),MIN(J1060*(1+$B$87/12),IF($B$86=0,0,IF($B$87=0,$B$86/ROUND($B$88*12,0),$B$86*($B$87/12)/(1-(1+$B$87/12)^(-ROUND($B$88*12,0)))))),""))</x:f>
        <x:v>0</x:v>
      </x:c>
      <x:c r="L1060" s="440" t="n">
        <x:f>IF(ISNUMBER(K1060),IF(MAX(0,J1060*(1+SUM($B$87)/12)-K1060)&lt;MAX(0.0000001,$B$86*0.00000000001),0,MAX(0,J1060*(1+SUM($B$87)/12)-K1060)),"")</x:f>
        <x:v>0</x:v>
      </x:c>
      <x:c r="M1060" s="440" t="n">
        <x:f>IF(AND(ISNUMBER(D1060),ISNUMBER(K1060)),D1060+K1060,"")</x:f>
        <x:v>0</x:v>
      </x:c>
      <x:c r="N1060" s="440" t="n">
        <x:f>IF(AND(ISNUMBER(H1060),ISNUMBER(L1060)),H1060+L1060,"")</x:f>
        <x:v>0</x:v>
      </x:c>
    </x:row>
    <x:row r="1061" ht="22" customHeight="1">
      <x:c r="A1061" s="254" t="n">
        <x:f>661</x:f>
        <x:v>661</x:v>
      </x:c>
      <x:c r="B1061" s="440" t="n">
        <x:f>IF(ISNUMBER(H1060),H1060,"")</x:f>
        <x:v>0</x:v>
      </x:c>
      <x:c r="C1061" s="442" t="n">
        <x:f>IF(ISNUMBER(B1061),IF(AND(661&gt;$B$173,$B$78="Refinance",ISNUMBER($B$80),$B$80&gt;=0,$B$80&lt;=1,ROUND($B$81*12,0)&gt;=1,$B$81&lt;=100,SUM($B$82)&gt;=0,SUM($B$82)&lt;=1,SUM($B$83)&gt;=0),$B$80,IF(AND($B$175&gt;0,661&gt;$B$175,ISNUMBER($B$75)),$B$75,$B$61)),"")</x:f>
        <x:v>0.0625</x:v>
      </x:c>
      <x:c r="D1061" s="440" t="n">
        <x:f>IF(AND(ISNUMBER(B1061),B1061=0),0,IF(AND($B$171=1,I1060=0,ISNUMBER(C1061),ISNUMBER(IF(AND(661&lt;=$B$174,661&lt;=$B$173),B1061*C1061/12,IF(AND(661=$B$173+1,AND(661&gt;$B$173,$B$78="Refinance",ISNUMBER($B$80),$B$80&gt;=0,$B$80&lt;=1,ROUND($B$81*12,0)&gt;=1,$B$81&lt;=100,SUM($B$82)&gt;=0,SUM($B$82)&lt;=1,SUM($B$83)&gt;=0)),IF(B1061=0,0,IF(C1061=0,B1061/ROUND($B$81*12,0),B1061*(C1061/12)/(1-(1+C1061/12)^(-ROUND($B$81*12,0))))),IF(AND(NOT(AND(661&gt;$B$173,$B$78="Refinance",ISNUMBER($B$80),$B$80&gt;=0,$B$80&lt;=1,ROUND($B$81*12,0)&gt;=1,$B$81&lt;=100,SUM($B$82)&gt;=0,SUM($B$82)&lt;=1,SUM($B$83)&gt;=0)),OR(661=1,661=$B$174+1,AND($B$175&gt;0,661=$B$175+1))),IF(AND($B$170=1,$B$66&gt;0,OR($B$175=0,661&lt;=$B$175)),$B$66,IF($B$172-MAX(661-1,$B$174)&gt;0,IF(B1061=0,0,IF(C1061=0,B1061/($B$172-MAX(661-1,$B$174)),B1061*(C1061/12)/(1-(1+C1061/12)^(-($B$172-MAX(661-1,$B$174)))))),"")),D1060))))),IF(IF(AND(661&lt;=$B$174,661&lt;=$B$173),B1061*C1061/12,IF(AND(661=$B$173+1,AND(661&gt;$B$173,$B$78="Refinance",ISNUMBER($B$80),$B$80&gt;=0,$B$80&lt;=1,ROUND($B$81*12,0)&gt;=1,$B$81&lt;=100,SUM($B$82)&gt;=0,SUM($B$82)&lt;=1,SUM($B$83)&gt;=0)),IF(B1061=0,0,IF(C1061=0,B1061/ROUND($B$81*12,0),B1061*(C1061/12)/(1-(1+C1061/12)^(-ROUND($B$81*12,0))))),IF(AND(NOT(AND(661&gt;$B$173,$B$78="Refinance",ISNUMBER($B$80),$B$80&gt;=0,$B$80&lt;=1,ROUND($B$81*12,0)&gt;=1,$B$81&lt;=100,SUM($B$82)&gt;=0,SUM($B$82)&lt;=1,SUM($B$83)&gt;=0)),OR(661=1,661=$B$174+1,AND($B$175&gt;0,661=$B$175+1))),IF(AND($B$170=1,$B$66&gt;0,OR($B$175=0,661&lt;=$B$175)),$B$66,IF($B$172-MAX(661-1,$B$174)&gt;0,IF(B1061=0,0,IF(C1061=0,B1061/($B$172-MAX(661-1,$B$174)),B1061*(C1061/12)/(1-(1+C1061/12)^(-($B$172-MAX(661-1,$B$174)))))),"")),D1060)))+0.0000001&gt;=B1061*C1061/12,MIN(B1061*(1+C1061/12),IF(AND(661&lt;=$B$174,661&lt;=$B$173),B1061*C1061/12,IF(AND(661=$B$173+1,AND(661&gt;$B$173,$B$78="Refinance",ISNUMBER($B$80),$B$80&gt;=0,$B$80&lt;=1,ROUND($B$81*12,0)&gt;=1,$B$81&lt;=100,SUM($B$82)&gt;=0,SUM($B$82)&lt;=1,SUM($B$83)&gt;=0)),IF(B1061=0,0,IF(C1061=0,B1061/ROUND($B$81*12,0),B1061*(C1061/12)/(1-(1+C1061/12)^(-ROUND($B$81*12,0))))),IF(AND(NOT(AND(661&gt;$B$173,$B$78="Refinance",ISNUMBER($B$80),$B$80&gt;=0,$B$80&lt;=1,ROUND($B$81*12,0)&gt;=1,$B$81&lt;=100,SUM($B$82)&gt;=0,SUM($B$82)&lt;=1,SUM($B$83)&gt;=0)),OR(661=1,661=$B$174+1,AND($B$175&gt;0,661=$B$175+1))),IF(AND($B$170=1,$B$66&gt;0,OR($B$175=0,661&lt;=$B$175)),$B$66,IF($B$172-MAX(661-1,$B$174)&gt;0,IF(B1061=0,0,IF(C1061=0,B1061/($B$172-MAX(661-1,$B$174)),B1061*(C1061/12)/(1-(1+C1061/12)^(-($B$172-MAX(661-1,$B$174)))))),"")),D1060)))),""),""))</x:f>
        <x:v>0</x:v>
      </x:c>
      <x:c r="E1061" s="440" t="n">
        <x:f>IF(AND(661=$B$173,ISNUMBER(D1061)),IF(MAX(0,B1061*(1+C1061/12)-D1061)&lt;MAX(0.0000001,$E$17*0.00000000001),0,MAX(0,B1061*(1+C1061/12)-D1061)),0)</x:f>
        <x:v>0</x:v>
      </x:c>
      <x:c r="F1061" s="440" t="n">
        <x:f>IF($B$78="Cash payoff",E1061,0)</x:f>
        <x:v>0</x:v>
      </x:c>
      <x:c r="G1061" s="440" t="n">
        <x:f>IF(AND(E1061&gt;0,AND($B$78="Refinance",ISNUMBER($B$80),$B$80&gt;=0,$B$80&lt;=1,ROUND($B$81*12,0)&gt;=1,$B$81&lt;=100,SUM($B$82)&gt;=0,SUM($B$82)&lt;=1,SUM($B$83)&gt;=0)),E1061*SUM($B$82)+SUM($B$83),0)</x:f>
        <x:v>0</x:v>
      </x:c>
      <x:c r="H1061" s="440" t="n">
        <x:f>IF(ISNUMBER(D1061),IF(MAX(0,B1061*(1+C1061/12)-D1061-F1061)&lt;MAX(0.0000001,$E$17*0.00000000001),0,MAX(0,B1061*(1+C1061/12)-D1061-F1061)),IF(AND($B$171=1,I1060=1),B1061,""))</x:f>
        <x:v>0</x:v>
      </x:c>
      <x:c r="I1061" s="444" t="n">
        <x:f>IF(OR(I1060=1,AND(E1061&gt;0,$B$78&lt;&gt;"Cash payoff",NOT(AND($B$78="Refinance",ISNUMBER($B$80),$B$80&gt;=0,$B$80&lt;=1,ROUND($B$81*12,0)&gt;=1,$B$81&lt;=100,SUM($B$82)&gt;=0,SUM($B$82)&lt;=1,SUM($B$83)&gt;=0))),AND(ISNUMBER(B1061),B1061&gt;0,$B$171=1,NOT(ISNUMBER(D1061)))),1,0)</x:f>
        <x:v>0</x:v>
      </x:c>
      <x:c r="J1061" s="440" t="n">
        <x:f>IF(ISNUMBER(L1060),L1060,"")</x:f>
        <x:v>0</x:v>
      </x:c>
      <x:c r="K1061" s="440" t="n">
        <x:f>IF(AND(ISNUMBER(J1061),J1061=0),0,IF(AND($B$176=1,ISNUMBER(J1061)),MIN(J1061*(1+$B$87/12),IF($B$86=0,0,IF($B$87=0,$B$86/ROUND($B$88*12,0),$B$86*($B$87/12)/(1-(1+$B$87/12)^(-ROUND($B$88*12,0)))))),""))</x:f>
        <x:v>0</x:v>
      </x:c>
      <x:c r="L1061" s="440" t="n">
        <x:f>IF(ISNUMBER(K1061),IF(MAX(0,J1061*(1+SUM($B$87)/12)-K1061)&lt;MAX(0.0000001,$B$86*0.00000000001),0,MAX(0,J1061*(1+SUM($B$87)/12)-K1061)),"")</x:f>
        <x:v>0</x:v>
      </x:c>
      <x:c r="M1061" s="440" t="n">
        <x:f>IF(AND(ISNUMBER(D1061),ISNUMBER(K1061)),D1061+K1061,"")</x:f>
        <x:v>0</x:v>
      </x:c>
      <x:c r="N1061" s="440" t="n">
        <x:f>IF(AND(ISNUMBER(H1061),ISNUMBER(L1061)),H1061+L1061,"")</x:f>
        <x:v>0</x:v>
      </x:c>
    </x:row>
    <x:row r="1062" ht="22" customHeight="1">
      <x:c r="A1062" s="254" t="n">
        <x:f>662</x:f>
        <x:v>662</x:v>
      </x:c>
      <x:c r="B1062" s="440" t="n">
        <x:f>IF(ISNUMBER(H1061),H1061,"")</x:f>
        <x:v>0</x:v>
      </x:c>
      <x:c r="C1062" s="442" t="n">
        <x:f>IF(ISNUMBER(B1062),IF(AND(662&gt;$B$173,$B$78="Refinance",ISNUMBER($B$80),$B$80&gt;=0,$B$80&lt;=1,ROUND($B$81*12,0)&gt;=1,$B$81&lt;=100,SUM($B$82)&gt;=0,SUM($B$82)&lt;=1,SUM($B$83)&gt;=0),$B$80,IF(AND($B$175&gt;0,662&gt;$B$175,ISNUMBER($B$75)),$B$75,$B$61)),"")</x:f>
        <x:v>0.0625</x:v>
      </x:c>
      <x:c r="D1062" s="440" t="n">
        <x:f>IF(AND(ISNUMBER(B1062),B1062=0),0,IF(AND($B$171=1,I1061=0,ISNUMBER(C1062),ISNUMBER(IF(AND(662&lt;=$B$174,662&lt;=$B$173),B1062*C1062/12,IF(AND(662=$B$173+1,AND(662&gt;$B$173,$B$78="Refinance",ISNUMBER($B$80),$B$80&gt;=0,$B$80&lt;=1,ROUND($B$81*12,0)&gt;=1,$B$81&lt;=100,SUM($B$82)&gt;=0,SUM($B$82)&lt;=1,SUM($B$83)&gt;=0)),IF(B1062=0,0,IF(C1062=0,B1062/ROUND($B$81*12,0),B1062*(C1062/12)/(1-(1+C1062/12)^(-ROUND($B$81*12,0))))),IF(AND(NOT(AND(662&gt;$B$173,$B$78="Refinance",ISNUMBER($B$80),$B$80&gt;=0,$B$80&lt;=1,ROUND($B$81*12,0)&gt;=1,$B$81&lt;=100,SUM($B$82)&gt;=0,SUM($B$82)&lt;=1,SUM($B$83)&gt;=0)),OR(662=1,662=$B$174+1,AND($B$175&gt;0,662=$B$175+1))),IF(AND($B$170=1,$B$66&gt;0,OR($B$175=0,662&lt;=$B$175)),$B$66,IF($B$172-MAX(662-1,$B$174)&gt;0,IF(B1062=0,0,IF(C1062=0,B1062/($B$172-MAX(662-1,$B$174)),B1062*(C1062/12)/(1-(1+C1062/12)^(-($B$172-MAX(662-1,$B$174)))))),"")),D1061))))),IF(IF(AND(662&lt;=$B$174,662&lt;=$B$173),B1062*C1062/12,IF(AND(662=$B$173+1,AND(662&gt;$B$173,$B$78="Refinance",ISNUMBER($B$80),$B$80&gt;=0,$B$80&lt;=1,ROUND($B$81*12,0)&gt;=1,$B$81&lt;=100,SUM($B$82)&gt;=0,SUM($B$82)&lt;=1,SUM($B$83)&gt;=0)),IF(B1062=0,0,IF(C1062=0,B1062/ROUND($B$81*12,0),B1062*(C1062/12)/(1-(1+C1062/12)^(-ROUND($B$81*12,0))))),IF(AND(NOT(AND(662&gt;$B$173,$B$78="Refinance",ISNUMBER($B$80),$B$80&gt;=0,$B$80&lt;=1,ROUND($B$81*12,0)&gt;=1,$B$81&lt;=100,SUM($B$82)&gt;=0,SUM($B$82)&lt;=1,SUM($B$83)&gt;=0)),OR(662=1,662=$B$174+1,AND($B$175&gt;0,662=$B$175+1))),IF(AND($B$170=1,$B$66&gt;0,OR($B$175=0,662&lt;=$B$175)),$B$66,IF($B$172-MAX(662-1,$B$174)&gt;0,IF(B1062=0,0,IF(C1062=0,B1062/($B$172-MAX(662-1,$B$174)),B1062*(C1062/12)/(1-(1+C1062/12)^(-($B$172-MAX(662-1,$B$174)))))),"")),D1061)))+0.0000001&gt;=B1062*C1062/12,MIN(B1062*(1+C1062/12),IF(AND(662&lt;=$B$174,662&lt;=$B$173),B1062*C1062/12,IF(AND(662=$B$173+1,AND(662&gt;$B$173,$B$78="Refinance",ISNUMBER($B$80),$B$80&gt;=0,$B$80&lt;=1,ROUND($B$81*12,0)&gt;=1,$B$81&lt;=100,SUM($B$82)&gt;=0,SUM($B$82)&lt;=1,SUM($B$83)&gt;=0)),IF(B1062=0,0,IF(C1062=0,B1062/ROUND($B$81*12,0),B1062*(C1062/12)/(1-(1+C1062/12)^(-ROUND($B$81*12,0))))),IF(AND(NOT(AND(662&gt;$B$173,$B$78="Refinance",ISNUMBER($B$80),$B$80&gt;=0,$B$80&lt;=1,ROUND($B$81*12,0)&gt;=1,$B$81&lt;=100,SUM($B$82)&gt;=0,SUM($B$82)&lt;=1,SUM($B$83)&gt;=0)),OR(662=1,662=$B$174+1,AND($B$175&gt;0,662=$B$175+1))),IF(AND($B$170=1,$B$66&gt;0,OR($B$175=0,662&lt;=$B$175)),$B$66,IF($B$172-MAX(662-1,$B$174)&gt;0,IF(B1062=0,0,IF(C1062=0,B1062/($B$172-MAX(662-1,$B$174)),B1062*(C1062/12)/(1-(1+C1062/12)^(-($B$172-MAX(662-1,$B$174)))))),"")),D1061)))),""),""))</x:f>
        <x:v>0</x:v>
      </x:c>
      <x:c r="E1062" s="440" t="n">
        <x:f>IF(AND(662=$B$173,ISNUMBER(D1062)),IF(MAX(0,B1062*(1+C1062/12)-D1062)&lt;MAX(0.0000001,$E$17*0.00000000001),0,MAX(0,B1062*(1+C1062/12)-D1062)),0)</x:f>
        <x:v>0</x:v>
      </x:c>
      <x:c r="F1062" s="440" t="n">
        <x:f>IF($B$78="Cash payoff",E1062,0)</x:f>
        <x:v>0</x:v>
      </x:c>
      <x:c r="G1062" s="440" t="n">
        <x:f>IF(AND(E1062&gt;0,AND($B$78="Refinance",ISNUMBER($B$80),$B$80&gt;=0,$B$80&lt;=1,ROUND($B$81*12,0)&gt;=1,$B$81&lt;=100,SUM($B$82)&gt;=0,SUM($B$82)&lt;=1,SUM($B$83)&gt;=0)),E1062*SUM($B$82)+SUM($B$83),0)</x:f>
        <x:v>0</x:v>
      </x:c>
      <x:c r="H1062" s="440" t="n">
        <x:f>IF(ISNUMBER(D1062),IF(MAX(0,B1062*(1+C1062/12)-D1062-F1062)&lt;MAX(0.0000001,$E$17*0.00000000001),0,MAX(0,B1062*(1+C1062/12)-D1062-F1062)),IF(AND($B$171=1,I1061=1),B1062,""))</x:f>
        <x:v>0</x:v>
      </x:c>
      <x:c r="I1062" s="444" t="n">
        <x:f>IF(OR(I1061=1,AND(E1062&gt;0,$B$78&lt;&gt;"Cash payoff",NOT(AND($B$78="Refinance",ISNUMBER($B$80),$B$80&gt;=0,$B$80&lt;=1,ROUND($B$81*12,0)&gt;=1,$B$81&lt;=100,SUM($B$82)&gt;=0,SUM($B$82)&lt;=1,SUM($B$83)&gt;=0))),AND(ISNUMBER(B1062),B1062&gt;0,$B$171=1,NOT(ISNUMBER(D1062)))),1,0)</x:f>
        <x:v>0</x:v>
      </x:c>
      <x:c r="J1062" s="440" t="n">
        <x:f>IF(ISNUMBER(L1061),L1061,"")</x:f>
        <x:v>0</x:v>
      </x:c>
      <x:c r="K1062" s="440" t="n">
        <x:f>IF(AND(ISNUMBER(J1062),J1062=0),0,IF(AND($B$176=1,ISNUMBER(J1062)),MIN(J1062*(1+$B$87/12),IF($B$86=0,0,IF($B$87=0,$B$86/ROUND($B$88*12,0),$B$86*($B$87/12)/(1-(1+$B$87/12)^(-ROUND($B$88*12,0)))))),""))</x:f>
        <x:v>0</x:v>
      </x:c>
      <x:c r="L1062" s="440" t="n">
        <x:f>IF(ISNUMBER(K1062),IF(MAX(0,J1062*(1+SUM($B$87)/12)-K1062)&lt;MAX(0.0000001,$B$86*0.00000000001),0,MAX(0,J1062*(1+SUM($B$87)/12)-K1062)),"")</x:f>
        <x:v>0</x:v>
      </x:c>
      <x:c r="M1062" s="440" t="n">
        <x:f>IF(AND(ISNUMBER(D1062),ISNUMBER(K1062)),D1062+K1062,"")</x:f>
        <x:v>0</x:v>
      </x:c>
      <x:c r="N1062" s="440" t="n">
        <x:f>IF(AND(ISNUMBER(H1062),ISNUMBER(L1062)),H1062+L1062,"")</x:f>
        <x:v>0</x:v>
      </x:c>
    </x:row>
    <x:row r="1063" ht="22" customHeight="1">
      <x:c r="A1063" s="254" t="n">
        <x:f>663</x:f>
        <x:v>663</x:v>
      </x:c>
      <x:c r="B1063" s="440" t="n">
        <x:f>IF(ISNUMBER(H1062),H1062,"")</x:f>
        <x:v>0</x:v>
      </x:c>
      <x:c r="C1063" s="442" t="n">
        <x:f>IF(ISNUMBER(B1063),IF(AND(663&gt;$B$173,$B$78="Refinance",ISNUMBER($B$80),$B$80&gt;=0,$B$80&lt;=1,ROUND($B$81*12,0)&gt;=1,$B$81&lt;=100,SUM($B$82)&gt;=0,SUM($B$82)&lt;=1,SUM($B$83)&gt;=0),$B$80,IF(AND($B$175&gt;0,663&gt;$B$175,ISNUMBER($B$75)),$B$75,$B$61)),"")</x:f>
        <x:v>0.0625</x:v>
      </x:c>
      <x:c r="D1063" s="440" t="n">
        <x:f>IF(AND(ISNUMBER(B1063),B1063=0),0,IF(AND($B$171=1,I1062=0,ISNUMBER(C1063),ISNUMBER(IF(AND(663&lt;=$B$174,663&lt;=$B$173),B1063*C1063/12,IF(AND(663=$B$173+1,AND(663&gt;$B$173,$B$78="Refinance",ISNUMBER($B$80),$B$80&gt;=0,$B$80&lt;=1,ROUND($B$81*12,0)&gt;=1,$B$81&lt;=100,SUM($B$82)&gt;=0,SUM($B$82)&lt;=1,SUM($B$83)&gt;=0)),IF(B1063=0,0,IF(C1063=0,B1063/ROUND($B$81*12,0),B1063*(C1063/12)/(1-(1+C1063/12)^(-ROUND($B$81*12,0))))),IF(AND(NOT(AND(663&gt;$B$173,$B$78="Refinance",ISNUMBER($B$80),$B$80&gt;=0,$B$80&lt;=1,ROUND($B$81*12,0)&gt;=1,$B$81&lt;=100,SUM($B$82)&gt;=0,SUM($B$82)&lt;=1,SUM($B$83)&gt;=0)),OR(663=1,663=$B$174+1,AND($B$175&gt;0,663=$B$175+1))),IF(AND($B$170=1,$B$66&gt;0,OR($B$175=0,663&lt;=$B$175)),$B$66,IF($B$172-MAX(663-1,$B$174)&gt;0,IF(B1063=0,0,IF(C1063=0,B1063/($B$172-MAX(663-1,$B$174)),B1063*(C1063/12)/(1-(1+C1063/12)^(-($B$172-MAX(663-1,$B$174)))))),"")),D1062))))),IF(IF(AND(663&lt;=$B$174,663&lt;=$B$173),B1063*C1063/12,IF(AND(663=$B$173+1,AND(663&gt;$B$173,$B$78="Refinance",ISNUMBER($B$80),$B$80&gt;=0,$B$80&lt;=1,ROUND($B$81*12,0)&gt;=1,$B$81&lt;=100,SUM($B$82)&gt;=0,SUM($B$82)&lt;=1,SUM($B$83)&gt;=0)),IF(B1063=0,0,IF(C1063=0,B1063/ROUND($B$81*12,0),B1063*(C1063/12)/(1-(1+C1063/12)^(-ROUND($B$81*12,0))))),IF(AND(NOT(AND(663&gt;$B$173,$B$78="Refinance",ISNUMBER($B$80),$B$80&gt;=0,$B$80&lt;=1,ROUND($B$81*12,0)&gt;=1,$B$81&lt;=100,SUM($B$82)&gt;=0,SUM($B$82)&lt;=1,SUM($B$83)&gt;=0)),OR(663=1,663=$B$174+1,AND($B$175&gt;0,663=$B$175+1))),IF(AND($B$170=1,$B$66&gt;0,OR($B$175=0,663&lt;=$B$175)),$B$66,IF($B$172-MAX(663-1,$B$174)&gt;0,IF(B1063=0,0,IF(C1063=0,B1063/($B$172-MAX(663-1,$B$174)),B1063*(C1063/12)/(1-(1+C1063/12)^(-($B$172-MAX(663-1,$B$174)))))),"")),D1062)))+0.0000001&gt;=B1063*C1063/12,MIN(B1063*(1+C1063/12),IF(AND(663&lt;=$B$174,663&lt;=$B$173),B1063*C1063/12,IF(AND(663=$B$173+1,AND(663&gt;$B$173,$B$78="Refinance",ISNUMBER($B$80),$B$80&gt;=0,$B$80&lt;=1,ROUND($B$81*12,0)&gt;=1,$B$81&lt;=100,SUM($B$82)&gt;=0,SUM($B$82)&lt;=1,SUM($B$83)&gt;=0)),IF(B1063=0,0,IF(C1063=0,B1063/ROUND($B$81*12,0),B1063*(C1063/12)/(1-(1+C1063/12)^(-ROUND($B$81*12,0))))),IF(AND(NOT(AND(663&gt;$B$173,$B$78="Refinance",ISNUMBER($B$80),$B$80&gt;=0,$B$80&lt;=1,ROUND($B$81*12,0)&gt;=1,$B$81&lt;=100,SUM($B$82)&gt;=0,SUM($B$82)&lt;=1,SUM($B$83)&gt;=0)),OR(663=1,663=$B$174+1,AND($B$175&gt;0,663=$B$175+1))),IF(AND($B$170=1,$B$66&gt;0,OR($B$175=0,663&lt;=$B$175)),$B$66,IF($B$172-MAX(663-1,$B$174)&gt;0,IF(B1063=0,0,IF(C1063=0,B1063/($B$172-MAX(663-1,$B$174)),B1063*(C1063/12)/(1-(1+C1063/12)^(-($B$172-MAX(663-1,$B$174)))))),"")),D1062)))),""),""))</x:f>
        <x:v>0</x:v>
      </x:c>
      <x:c r="E1063" s="440" t="n">
        <x:f>IF(AND(663=$B$173,ISNUMBER(D1063)),IF(MAX(0,B1063*(1+C1063/12)-D1063)&lt;MAX(0.0000001,$E$17*0.00000000001),0,MAX(0,B1063*(1+C1063/12)-D1063)),0)</x:f>
        <x:v>0</x:v>
      </x:c>
      <x:c r="F1063" s="440" t="n">
        <x:f>IF($B$78="Cash payoff",E1063,0)</x:f>
        <x:v>0</x:v>
      </x:c>
      <x:c r="G1063" s="440" t="n">
        <x:f>IF(AND(E1063&gt;0,AND($B$78="Refinance",ISNUMBER($B$80),$B$80&gt;=0,$B$80&lt;=1,ROUND($B$81*12,0)&gt;=1,$B$81&lt;=100,SUM($B$82)&gt;=0,SUM($B$82)&lt;=1,SUM($B$83)&gt;=0)),E1063*SUM($B$82)+SUM($B$83),0)</x:f>
        <x:v>0</x:v>
      </x:c>
      <x:c r="H1063" s="440" t="n">
        <x:f>IF(ISNUMBER(D1063),IF(MAX(0,B1063*(1+C1063/12)-D1063-F1063)&lt;MAX(0.0000001,$E$17*0.00000000001),0,MAX(0,B1063*(1+C1063/12)-D1063-F1063)),IF(AND($B$171=1,I1062=1),B1063,""))</x:f>
        <x:v>0</x:v>
      </x:c>
      <x:c r="I1063" s="444" t="n">
        <x:f>IF(OR(I1062=1,AND(E1063&gt;0,$B$78&lt;&gt;"Cash payoff",NOT(AND($B$78="Refinance",ISNUMBER($B$80),$B$80&gt;=0,$B$80&lt;=1,ROUND($B$81*12,0)&gt;=1,$B$81&lt;=100,SUM($B$82)&gt;=0,SUM($B$82)&lt;=1,SUM($B$83)&gt;=0))),AND(ISNUMBER(B1063),B1063&gt;0,$B$171=1,NOT(ISNUMBER(D1063)))),1,0)</x:f>
        <x:v>0</x:v>
      </x:c>
      <x:c r="J1063" s="440" t="n">
        <x:f>IF(ISNUMBER(L1062),L1062,"")</x:f>
        <x:v>0</x:v>
      </x:c>
      <x:c r="K1063" s="440" t="n">
        <x:f>IF(AND(ISNUMBER(J1063),J1063=0),0,IF(AND($B$176=1,ISNUMBER(J1063)),MIN(J1063*(1+$B$87/12),IF($B$86=0,0,IF($B$87=0,$B$86/ROUND($B$88*12,0),$B$86*($B$87/12)/(1-(1+$B$87/12)^(-ROUND($B$88*12,0)))))),""))</x:f>
        <x:v>0</x:v>
      </x:c>
      <x:c r="L1063" s="440" t="n">
        <x:f>IF(ISNUMBER(K1063),IF(MAX(0,J1063*(1+SUM($B$87)/12)-K1063)&lt;MAX(0.0000001,$B$86*0.00000000001),0,MAX(0,J1063*(1+SUM($B$87)/12)-K1063)),"")</x:f>
        <x:v>0</x:v>
      </x:c>
      <x:c r="M1063" s="440" t="n">
        <x:f>IF(AND(ISNUMBER(D1063),ISNUMBER(K1063)),D1063+K1063,"")</x:f>
        <x:v>0</x:v>
      </x:c>
      <x:c r="N1063" s="440" t="n">
        <x:f>IF(AND(ISNUMBER(H1063),ISNUMBER(L1063)),H1063+L1063,"")</x:f>
        <x:v>0</x:v>
      </x:c>
    </x:row>
    <x:row r="1064" ht="22" customHeight="1">
      <x:c r="A1064" s="254" t="n">
        <x:f>664</x:f>
        <x:v>664</x:v>
      </x:c>
      <x:c r="B1064" s="440" t="n">
        <x:f>IF(ISNUMBER(H1063),H1063,"")</x:f>
        <x:v>0</x:v>
      </x:c>
      <x:c r="C1064" s="442" t="n">
        <x:f>IF(ISNUMBER(B1064),IF(AND(664&gt;$B$173,$B$78="Refinance",ISNUMBER($B$80),$B$80&gt;=0,$B$80&lt;=1,ROUND($B$81*12,0)&gt;=1,$B$81&lt;=100,SUM($B$82)&gt;=0,SUM($B$82)&lt;=1,SUM($B$83)&gt;=0),$B$80,IF(AND($B$175&gt;0,664&gt;$B$175,ISNUMBER($B$75)),$B$75,$B$61)),"")</x:f>
        <x:v>0.0625</x:v>
      </x:c>
      <x:c r="D1064" s="440" t="n">
        <x:f>IF(AND(ISNUMBER(B1064),B1064=0),0,IF(AND($B$171=1,I1063=0,ISNUMBER(C1064),ISNUMBER(IF(AND(664&lt;=$B$174,664&lt;=$B$173),B1064*C1064/12,IF(AND(664=$B$173+1,AND(664&gt;$B$173,$B$78="Refinance",ISNUMBER($B$80),$B$80&gt;=0,$B$80&lt;=1,ROUND($B$81*12,0)&gt;=1,$B$81&lt;=100,SUM($B$82)&gt;=0,SUM($B$82)&lt;=1,SUM($B$83)&gt;=0)),IF(B1064=0,0,IF(C1064=0,B1064/ROUND($B$81*12,0),B1064*(C1064/12)/(1-(1+C1064/12)^(-ROUND($B$81*12,0))))),IF(AND(NOT(AND(664&gt;$B$173,$B$78="Refinance",ISNUMBER($B$80),$B$80&gt;=0,$B$80&lt;=1,ROUND($B$81*12,0)&gt;=1,$B$81&lt;=100,SUM($B$82)&gt;=0,SUM($B$82)&lt;=1,SUM($B$83)&gt;=0)),OR(664=1,664=$B$174+1,AND($B$175&gt;0,664=$B$175+1))),IF(AND($B$170=1,$B$66&gt;0,OR($B$175=0,664&lt;=$B$175)),$B$66,IF($B$172-MAX(664-1,$B$174)&gt;0,IF(B1064=0,0,IF(C1064=0,B1064/($B$172-MAX(664-1,$B$174)),B1064*(C1064/12)/(1-(1+C1064/12)^(-($B$172-MAX(664-1,$B$174)))))),"")),D1063))))),IF(IF(AND(664&lt;=$B$174,664&lt;=$B$173),B1064*C1064/12,IF(AND(664=$B$173+1,AND(664&gt;$B$173,$B$78="Refinance",ISNUMBER($B$80),$B$80&gt;=0,$B$80&lt;=1,ROUND($B$81*12,0)&gt;=1,$B$81&lt;=100,SUM($B$82)&gt;=0,SUM($B$82)&lt;=1,SUM($B$83)&gt;=0)),IF(B1064=0,0,IF(C1064=0,B1064/ROUND($B$81*12,0),B1064*(C1064/12)/(1-(1+C1064/12)^(-ROUND($B$81*12,0))))),IF(AND(NOT(AND(664&gt;$B$173,$B$78="Refinance",ISNUMBER($B$80),$B$80&gt;=0,$B$80&lt;=1,ROUND($B$81*12,0)&gt;=1,$B$81&lt;=100,SUM($B$82)&gt;=0,SUM($B$82)&lt;=1,SUM($B$83)&gt;=0)),OR(664=1,664=$B$174+1,AND($B$175&gt;0,664=$B$175+1))),IF(AND($B$170=1,$B$66&gt;0,OR($B$175=0,664&lt;=$B$175)),$B$66,IF($B$172-MAX(664-1,$B$174)&gt;0,IF(B1064=0,0,IF(C1064=0,B1064/($B$172-MAX(664-1,$B$174)),B1064*(C1064/12)/(1-(1+C1064/12)^(-($B$172-MAX(664-1,$B$174)))))),"")),D1063)))+0.0000001&gt;=B1064*C1064/12,MIN(B1064*(1+C1064/12),IF(AND(664&lt;=$B$174,664&lt;=$B$173),B1064*C1064/12,IF(AND(664=$B$173+1,AND(664&gt;$B$173,$B$78="Refinance",ISNUMBER($B$80),$B$80&gt;=0,$B$80&lt;=1,ROUND($B$81*12,0)&gt;=1,$B$81&lt;=100,SUM($B$82)&gt;=0,SUM($B$82)&lt;=1,SUM($B$83)&gt;=0)),IF(B1064=0,0,IF(C1064=0,B1064/ROUND($B$81*12,0),B1064*(C1064/12)/(1-(1+C1064/12)^(-ROUND($B$81*12,0))))),IF(AND(NOT(AND(664&gt;$B$173,$B$78="Refinance",ISNUMBER($B$80),$B$80&gt;=0,$B$80&lt;=1,ROUND($B$81*12,0)&gt;=1,$B$81&lt;=100,SUM($B$82)&gt;=0,SUM($B$82)&lt;=1,SUM($B$83)&gt;=0)),OR(664=1,664=$B$174+1,AND($B$175&gt;0,664=$B$175+1))),IF(AND($B$170=1,$B$66&gt;0,OR($B$175=0,664&lt;=$B$175)),$B$66,IF($B$172-MAX(664-1,$B$174)&gt;0,IF(B1064=0,0,IF(C1064=0,B1064/($B$172-MAX(664-1,$B$174)),B1064*(C1064/12)/(1-(1+C1064/12)^(-($B$172-MAX(664-1,$B$174)))))),"")),D1063)))),""),""))</x:f>
        <x:v>0</x:v>
      </x:c>
      <x:c r="E1064" s="440" t="n">
        <x:f>IF(AND(664=$B$173,ISNUMBER(D1064)),IF(MAX(0,B1064*(1+C1064/12)-D1064)&lt;MAX(0.0000001,$E$17*0.00000000001),0,MAX(0,B1064*(1+C1064/12)-D1064)),0)</x:f>
        <x:v>0</x:v>
      </x:c>
      <x:c r="F1064" s="440" t="n">
        <x:f>IF($B$78="Cash payoff",E1064,0)</x:f>
        <x:v>0</x:v>
      </x:c>
      <x:c r="G1064" s="440" t="n">
        <x:f>IF(AND(E1064&gt;0,AND($B$78="Refinance",ISNUMBER($B$80),$B$80&gt;=0,$B$80&lt;=1,ROUND($B$81*12,0)&gt;=1,$B$81&lt;=100,SUM($B$82)&gt;=0,SUM($B$82)&lt;=1,SUM($B$83)&gt;=0)),E1064*SUM($B$82)+SUM($B$83),0)</x:f>
        <x:v>0</x:v>
      </x:c>
      <x:c r="H1064" s="440" t="n">
        <x:f>IF(ISNUMBER(D1064),IF(MAX(0,B1064*(1+C1064/12)-D1064-F1064)&lt;MAX(0.0000001,$E$17*0.00000000001),0,MAX(0,B1064*(1+C1064/12)-D1064-F1064)),IF(AND($B$171=1,I1063=1),B1064,""))</x:f>
        <x:v>0</x:v>
      </x:c>
      <x:c r="I1064" s="444" t="n">
        <x:f>IF(OR(I1063=1,AND(E1064&gt;0,$B$78&lt;&gt;"Cash payoff",NOT(AND($B$78="Refinance",ISNUMBER($B$80),$B$80&gt;=0,$B$80&lt;=1,ROUND($B$81*12,0)&gt;=1,$B$81&lt;=100,SUM($B$82)&gt;=0,SUM($B$82)&lt;=1,SUM($B$83)&gt;=0))),AND(ISNUMBER(B1064),B1064&gt;0,$B$171=1,NOT(ISNUMBER(D1064)))),1,0)</x:f>
        <x:v>0</x:v>
      </x:c>
      <x:c r="J1064" s="440" t="n">
        <x:f>IF(ISNUMBER(L1063),L1063,"")</x:f>
        <x:v>0</x:v>
      </x:c>
      <x:c r="K1064" s="440" t="n">
        <x:f>IF(AND(ISNUMBER(J1064),J1064=0),0,IF(AND($B$176=1,ISNUMBER(J1064)),MIN(J1064*(1+$B$87/12),IF($B$86=0,0,IF($B$87=0,$B$86/ROUND($B$88*12,0),$B$86*($B$87/12)/(1-(1+$B$87/12)^(-ROUND($B$88*12,0)))))),""))</x:f>
        <x:v>0</x:v>
      </x:c>
      <x:c r="L1064" s="440" t="n">
        <x:f>IF(ISNUMBER(K1064),IF(MAX(0,J1064*(1+SUM($B$87)/12)-K1064)&lt;MAX(0.0000001,$B$86*0.00000000001),0,MAX(0,J1064*(1+SUM($B$87)/12)-K1064)),"")</x:f>
        <x:v>0</x:v>
      </x:c>
      <x:c r="M1064" s="440" t="n">
        <x:f>IF(AND(ISNUMBER(D1064),ISNUMBER(K1064)),D1064+K1064,"")</x:f>
        <x:v>0</x:v>
      </x:c>
      <x:c r="N1064" s="440" t="n">
        <x:f>IF(AND(ISNUMBER(H1064),ISNUMBER(L1064)),H1064+L1064,"")</x:f>
        <x:v>0</x:v>
      </x:c>
    </x:row>
    <x:row r="1065" ht="22" customHeight="1">
      <x:c r="A1065" s="254" t="n">
        <x:f>665</x:f>
        <x:v>665</x:v>
      </x:c>
      <x:c r="B1065" s="440" t="n">
        <x:f>IF(ISNUMBER(H1064),H1064,"")</x:f>
        <x:v>0</x:v>
      </x:c>
      <x:c r="C1065" s="442" t="n">
        <x:f>IF(ISNUMBER(B1065),IF(AND(665&gt;$B$173,$B$78="Refinance",ISNUMBER($B$80),$B$80&gt;=0,$B$80&lt;=1,ROUND($B$81*12,0)&gt;=1,$B$81&lt;=100,SUM($B$82)&gt;=0,SUM($B$82)&lt;=1,SUM($B$83)&gt;=0),$B$80,IF(AND($B$175&gt;0,665&gt;$B$175,ISNUMBER($B$75)),$B$75,$B$61)),"")</x:f>
        <x:v>0.0625</x:v>
      </x:c>
      <x:c r="D1065" s="440" t="n">
        <x:f>IF(AND(ISNUMBER(B1065),B1065=0),0,IF(AND($B$171=1,I1064=0,ISNUMBER(C1065),ISNUMBER(IF(AND(665&lt;=$B$174,665&lt;=$B$173),B1065*C1065/12,IF(AND(665=$B$173+1,AND(665&gt;$B$173,$B$78="Refinance",ISNUMBER($B$80),$B$80&gt;=0,$B$80&lt;=1,ROUND($B$81*12,0)&gt;=1,$B$81&lt;=100,SUM($B$82)&gt;=0,SUM($B$82)&lt;=1,SUM($B$83)&gt;=0)),IF(B1065=0,0,IF(C1065=0,B1065/ROUND($B$81*12,0),B1065*(C1065/12)/(1-(1+C1065/12)^(-ROUND($B$81*12,0))))),IF(AND(NOT(AND(665&gt;$B$173,$B$78="Refinance",ISNUMBER($B$80),$B$80&gt;=0,$B$80&lt;=1,ROUND($B$81*12,0)&gt;=1,$B$81&lt;=100,SUM($B$82)&gt;=0,SUM($B$82)&lt;=1,SUM($B$83)&gt;=0)),OR(665=1,665=$B$174+1,AND($B$175&gt;0,665=$B$175+1))),IF(AND($B$170=1,$B$66&gt;0,OR($B$175=0,665&lt;=$B$175)),$B$66,IF($B$172-MAX(665-1,$B$174)&gt;0,IF(B1065=0,0,IF(C1065=0,B1065/($B$172-MAX(665-1,$B$174)),B1065*(C1065/12)/(1-(1+C1065/12)^(-($B$172-MAX(665-1,$B$174)))))),"")),D1064))))),IF(IF(AND(665&lt;=$B$174,665&lt;=$B$173),B1065*C1065/12,IF(AND(665=$B$173+1,AND(665&gt;$B$173,$B$78="Refinance",ISNUMBER($B$80),$B$80&gt;=0,$B$80&lt;=1,ROUND($B$81*12,0)&gt;=1,$B$81&lt;=100,SUM($B$82)&gt;=0,SUM($B$82)&lt;=1,SUM($B$83)&gt;=0)),IF(B1065=0,0,IF(C1065=0,B1065/ROUND($B$81*12,0),B1065*(C1065/12)/(1-(1+C1065/12)^(-ROUND($B$81*12,0))))),IF(AND(NOT(AND(665&gt;$B$173,$B$78="Refinance",ISNUMBER($B$80),$B$80&gt;=0,$B$80&lt;=1,ROUND($B$81*12,0)&gt;=1,$B$81&lt;=100,SUM($B$82)&gt;=0,SUM($B$82)&lt;=1,SUM($B$83)&gt;=0)),OR(665=1,665=$B$174+1,AND($B$175&gt;0,665=$B$175+1))),IF(AND($B$170=1,$B$66&gt;0,OR($B$175=0,665&lt;=$B$175)),$B$66,IF($B$172-MAX(665-1,$B$174)&gt;0,IF(B1065=0,0,IF(C1065=0,B1065/($B$172-MAX(665-1,$B$174)),B1065*(C1065/12)/(1-(1+C1065/12)^(-($B$172-MAX(665-1,$B$174)))))),"")),D1064)))+0.0000001&gt;=B1065*C1065/12,MIN(B1065*(1+C1065/12),IF(AND(665&lt;=$B$174,665&lt;=$B$173),B1065*C1065/12,IF(AND(665=$B$173+1,AND(665&gt;$B$173,$B$78="Refinance",ISNUMBER($B$80),$B$80&gt;=0,$B$80&lt;=1,ROUND($B$81*12,0)&gt;=1,$B$81&lt;=100,SUM($B$82)&gt;=0,SUM($B$82)&lt;=1,SUM($B$83)&gt;=0)),IF(B1065=0,0,IF(C1065=0,B1065/ROUND($B$81*12,0),B1065*(C1065/12)/(1-(1+C1065/12)^(-ROUND($B$81*12,0))))),IF(AND(NOT(AND(665&gt;$B$173,$B$78="Refinance",ISNUMBER($B$80),$B$80&gt;=0,$B$80&lt;=1,ROUND($B$81*12,0)&gt;=1,$B$81&lt;=100,SUM($B$82)&gt;=0,SUM($B$82)&lt;=1,SUM($B$83)&gt;=0)),OR(665=1,665=$B$174+1,AND($B$175&gt;0,665=$B$175+1))),IF(AND($B$170=1,$B$66&gt;0,OR($B$175=0,665&lt;=$B$175)),$B$66,IF($B$172-MAX(665-1,$B$174)&gt;0,IF(B1065=0,0,IF(C1065=0,B1065/($B$172-MAX(665-1,$B$174)),B1065*(C1065/12)/(1-(1+C1065/12)^(-($B$172-MAX(665-1,$B$174)))))),"")),D1064)))),""),""))</x:f>
        <x:v>0</x:v>
      </x:c>
      <x:c r="E1065" s="440" t="n">
        <x:f>IF(AND(665=$B$173,ISNUMBER(D1065)),IF(MAX(0,B1065*(1+C1065/12)-D1065)&lt;MAX(0.0000001,$E$17*0.00000000001),0,MAX(0,B1065*(1+C1065/12)-D1065)),0)</x:f>
        <x:v>0</x:v>
      </x:c>
      <x:c r="F1065" s="440" t="n">
        <x:f>IF($B$78="Cash payoff",E1065,0)</x:f>
        <x:v>0</x:v>
      </x:c>
      <x:c r="G1065" s="440" t="n">
        <x:f>IF(AND(E1065&gt;0,AND($B$78="Refinance",ISNUMBER($B$80),$B$80&gt;=0,$B$80&lt;=1,ROUND($B$81*12,0)&gt;=1,$B$81&lt;=100,SUM($B$82)&gt;=0,SUM($B$82)&lt;=1,SUM($B$83)&gt;=0)),E1065*SUM($B$82)+SUM($B$83),0)</x:f>
        <x:v>0</x:v>
      </x:c>
      <x:c r="H1065" s="440" t="n">
        <x:f>IF(ISNUMBER(D1065),IF(MAX(0,B1065*(1+C1065/12)-D1065-F1065)&lt;MAX(0.0000001,$E$17*0.00000000001),0,MAX(0,B1065*(1+C1065/12)-D1065-F1065)),IF(AND($B$171=1,I1064=1),B1065,""))</x:f>
        <x:v>0</x:v>
      </x:c>
      <x:c r="I1065" s="444" t="n">
        <x:f>IF(OR(I1064=1,AND(E1065&gt;0,$B$78&lt;&gt;"Cash payoff",NOT(AND($B$78="Refinance",ISNUMBER($B$80),$B$80&gt;=0,$B$80&lt;=1,ROUND($B$81*12,0)&gt;=1,$B$81&lt;=100,SUM($B$82)&gt;=0,SUM($B$82)&lt;=1,SUM($B$83)&gt;=0))),AND(ISNUMBER(B1065),B1065&gt;0,$B$171=1,NOT(ISNUMBER(D1065)))),1,0)</x:f>
        <x:v>0</x:v>
      </x:c>
      <x:c r="J1065" s="440" t="n">
        <x:f>IF(ISNUMBER(L1064),L1064,"")</x:f>
        <x:v>0</x:v>
      </x:c>
      <x:c r="K1065" s="440" t="n">
        <x:f>IF(AND(ISNUMBER(J1065),J1065=0),0,IF(AND($B$176=1,ISNUMBER(J1065)),MIN(J1065*(1+$B$87/12),IF($B$86=0,0,IF($B$87=0,$B$86/ROUND($B$88*12,0),$B$86*($B$87/12)/(1-(1+$B$87/12)^(-ROUND($B$88*12,0)))))),""))</x:f>
        <x:v>0</x:v>
      </x:c>
      <x:c r="L1065" s="440" t="n">
        <x:f>IF(ISNUMBER(K1065),IF(MAX(0,J1065*(1+SUM($B$87)/12)-K1065)&lt;MAX(0.0000001,$B$86*0.00000000001),0,MAX(0,J1065*(1+SUM($B$87)/12)-K1065)),"")</x:f>
        <x:v>0</x:v>
      </x:c>
      <x:c r="M1065" s="440" t="n">
        <x:f>IF(AND(ISNUMBER(D1065),ISNUMBER(K1065)),D1065+K1065,"")</x:f>
        <x:v>0</x:v>
      </x:c>
      <x:c r="N1065" s="440" t="n">
        <x:f>IF(AND(ISNUMBER(H1065),ISNUMBER(L1065)),H1065+L1065,"")</x:f>
        <x:v>0</x:v>
      </x:c>
    </x:row>
    <x:row r="1066" ht="22" customHeight="1">
      <x:c r="A1066" s="254" t="n">
        <x:f>666</x:f>
        <x:v>666</x:v>
      </x:c>
      <x:c r="B1066" s="440" t="n">
        <x:f>IF(ISNUMBER(H1065),H1065,"")</x:f>
        <x:v>0</x:v>
      </x:c>
      <x:c r="C1066" s="442" t="n">
        <x:f>IF(ISNUMBER(B1066),IF(AND(666&gt;$B$173,$B$78="Refinance",ISNUMBER($B$80),$B$80&gt;=0,$B$80&lt;=1,ROUND($B$81*12,0)&gt;=1,$B$81&lt;=100,SUM($B$82)&gt;=0,SUM($B$82)&lt;=1,SUM($B$83)&gt;=0),$B$80,IF(AND($B$175&gt;0,666&gt;$B$175,ISNUMBER($B$75)),$B$75,$B$61)),"")</x:f>
        <x:v>0.0625</x:v>
      </x:c>
      <x:c r="D1066" s="440" t="n">
        <x:f>IF(AND(ISNUMBER(B1066),B1066=0),0,IF(AND($B$171=1,I1065=0,ISNUMBER(C1066),ISNUMBER(IF(AND(666&lt;=$B$174,666&lt;=$B$173),B1066*C1066/12,IF(AND(666=$B$173+1,AND(666&gt;$B$173,$B$78="Refinance",ISNUMBER($B$80),$B$80&gt;=0,$B$80&lt;=1,ROUND($B$81*12,0)&gt;=1,$B$81&lt;=100,SUM($B$82)&gt;=0,SUM($B$82)&lt;=1,SUM($B$83)&gt;=0)),IF(B1066=0,0,IF(C1066=0,B1066/ROUND($B$81*12,0),B1066*(C1066/12)/(1-(1+C1066/12)^(-ROUND($B$81*12,0))))),IF(AND(NOT(AND(666&gt;$B$173,$B$78="Refinance",ISNUMBER($B$80),$B$80&gt;=0,$B$80&lt;=1,ROUND($B$81*12,0)&gt;=1,$B$81&lt;=100,SUM($B$82)&gt;=0,SUM($B$82)&lt;=1,SUM($B$83)&gt;=0)),OR(666=1,666=$B$174+1,AND($B$175&gt;0,666=$B$175+1))),IF(AND($B$170=1,$B$66&gt;0,OR($B$175=0,666&lt;=$B$175)),$B$66,IF($B$172-MAX(666-1,$B$174)&gt;0,IF(B1066=0,0,IF(C1066=0,B1066/($B$172-MAX(666-1,$B$174)),B1066*(C1066/12)/(1-(1+C1066/12)^(-($B$172-MAX(666-1,$B$174)))))),"")),D1065))))),IF(IF(AND(666&lt;=$B$174,666&lt;=$B$173),B1066*C1066/12,IF(AND(666=$B$173+1,AND(666&gt;$B$173,$B$78="Refinance",ISNUMBER($B$80),$B$80&gt;=0,$B$80&lt;=1,ROUND($B$81*12,0)&gt;=1,$B$81&lt;=100,SUM($B$82)&gt;=0,SUM($B$82)&lt;=1,SUM($B$83)&gt;=0)),IF(B1066=0,0,IF(C1066=0,B1066/ROUND($B$81*12,0),B1066*(C1066/12)/(1-(1+C1066/12)^(-ROUND($B$81*12,0))))),IF(AND(NOT(AND(666&gt;$B$173,$B$78="Refinance",ISNUMBER($B$80),$B$80&gt;=0,$B$80&lt;=1,ROUND($B$81*12,0)&gt;=1,$B$81&lt;=100,SUM($B$82)&gt;=0,SUM($B$82)&lt;=1,SUM($B$83)&gt;=0)),OR(666=1,666=$B$174+1,AND($B$175&gt;0,666=$B$175+1))),IF(AND($B$170=1,$B$66&gt;0,OR($B$175=0,666&lt;=$B$175)),$B$66,IF($B$172-MAX(666-1,$B$174)&gt;0,IF(B1066=0,0,IF(C1066=0,B1066/($B$172-MAX(666-1,$B$174)),B1066*(C1066/12)/(1-(1+C1066/12)^(-($B$172-MAX(666-1,$B$174)))))),"")),D1065)))+0.0000001&gt;=B1066*C1066/12,MIN(B1066*(1+C1066/12),IF(AND(666&lt;=$B$174,666&lt;=$B$173),B1066*C1066/12,IF(AND(666=$B$173+1,AND(666&gt;$B$173,$B$78="Refinance",ISNUMBER($B$80),$B$80&gt;=0,$B$80&lt;=1,ROUND($B$81*12,0)&gt;=1,$B$81&lt;=100,SUM($B$82)&gt;=0,SUM($B$82)&lt;=1,SUM($B$83)&gt;=0)),IF(B1066=0,0,IF(C1066=0,B1066/ROUND($B$81*12,0),B1066*(C1066/12)/(1-(1+C1066/12)^(-ROUND($B$81*12,0))))),IF(AND(NOT(AND(666&gt;$B$173,$B$78="Refinance",ISNUMBER($B$80),$B$80&gt;=0,$B$80&lt;=1,ROUND($B$81*12,0)&gt;=1,$B$81&lt;=100,SUM($B$82)&gt;=0,SUM($B$82)&lt;=1,SUM($B$83)&gt;=0)),OR(666=1,666=$B$174+1,AND($B$175&gt;0,666=$B$175+1))),IF(AND($B$170=1,$B$66&gt;0,OR($B$175=0,666&lt;=$B$175)),$B$66,IF($B$172-MAX(666-1,$B$174)&gt;0,IF(B1066=0,0,IF(C1066=0,B1066/($B$172-MAX(666-1,$B$174)),B1066*(C1066/12)/(1-(1+C1066/12)^(-($B$172-MAX(666-1,$B$174)))))),"")),D1065)))),""),""))</x:f>
        <x:v>0</x:v>
      </x:c>
      <x:c r="E1066" s="440" t="n">
        <x:f>IF(AND(666=$B$173,ISNUMBER(D1066)),IF(MAX(0,B1066*(1+C1066/12)-D1066)&lt;MAX(0.0000001,$E$17*0.00000000001),0,MAX(0,B1066*(1+C1066/12)-D1066)),0)</x:f>
        <x:v>0</x:v>
      </x:c>
      <x:c r="F1066" s="440" t="n">
        <x:f>IF($B$78="Cash payoff",E1066,0)</x:f>
        <x:v>0</x:v>
      </x:c>
      <x:c r="G1066" s="440" t="n">
        <x:f>IF(AND(E1066&gt;0,AND($B$78="Refinance",ISNUMBER($B$80),$B$80&gt;=0,$B$80&lt;=1,ROUND($B$81*12,0)&gt;=1,$B$81&lt;=100,SUM($B$82)&gt;=0,SUM($B$82)&lt;=1,SUM($B$83)&gt;=0)),E1066*SUM($B$82)+SUM($B$83),0)</x:f>
        <x:v>0</x:v>
      </x:c>
      <x:c r="H1066" s="440" t="n">
        <x:f>IF(ISNUMBER(D1066),IF(MAX(0,B1066*(1+C1066/12)-D1066-F1066)&lt;MAX(0.0000001,$E$17*0.00000000001),0,MAX(0,B1066*(1+C1066/12)-D1066-F1066)),IF(AND($B$171=1,I1065=1),B1066,""))</x:f>
        <x:v>0</x:v>
      </x:c>
      <x:c r="I1066" s="444" t="n">
        <x:f>IF(OR(I1065=1,AND(E1066&gt;0,$B$78&lt;&gt;"Cash payoff",NOT(AND($B$78="Refinance",ISNUMBER($B$80),$B$80&gt;=0,$B$80&lt;=1,ROUND($B$81*12,0)&gt;=1,$B$81&lt;=100,SUM($B$82)&gt;=0,SUM($B$82)&lt;=1,SUM($B$83)&gt;=0))),AND(ISNUMBER(B1066),B1066&gt;0,$B$171=1,NOT(ISNUMBER(D1066)))),1,0)</x:f>
        <x:v>0</x:v>
      </x:c>
      <x:c r="J1066" s="440" t="n">
        <x:f>IF(ISNUMBER(L1065),L1065,"")</x:f>
        <x:v>0</x:v>
      </x:c>
      <x:c r="K1066" s="440" t="n">
        <x:f>IF(AND(ISNUMBER(J1066),J1066=0),0,IF(AND($B$176=1,ISNUMBER(J1066)),MIN(J1066*(1+$B$87/12),IF($B$86=0,0,IF($B$87=0,$B$86/ROUND($B$88*12,0),$B$86*($B$87/12)/(1-(1+$B$87/12)^(-ROUND($B$88*12,0)))))),""))</x:f>
        <x:v>0</x:v>
      </x:c>
      <x:c r="L1066" s="440" t="n">
        <x:f>IF(ISNUMBER(K1066),IF(MAX(0,J1066*(1+SUM($B$87)/12)-K1066)&lt;MAX(0.0000001,$B$86*0.00000000001),0,MAX(0,J1066*(1+SUM($B$87)/12)-K1066)),"")</x:f>
        <x:v>0</x:v>
      </x:c>
      <x:c r="M1066" s="440" t="n">
        <x:f>IF(AND(ISNUMBER(D1066),ISNUMBER(K1066)),D1066+K1066,"")</x:f>
        <x:v>0</x:v>
      </x:c>
      <x:c r="N1066" s="440" t="n">
        <x:f>IF(AND(ISNUMBER(H1066),ISNUMBER(L1066)),H1066+L1066,"")</x:f>
        <x:v>0</x:v>
      </x:c>
    </x:row>
    <x:row r="1067" ht="22" customHeight="1">
      <x:c r="A1067" s="254" t="n">
        <x:f>667</x:f>
        <x:v>667</x:v>
      </x:c>
      <x:c r="B1067" s="440" t="n">
        <x:f>IF(ISNUMBER(H1066),H1066,"")</x:f>
        <x:v>0</x:v>
      </x:c>
      <x:c r="C1067" s="442" t="n">
        <x:f>IF(ISNUMBER(B1067),IF(AND(667&gt;$B$173,$B$78="Refinance",ISNUMBER($B$80),$B$80&gt;=0,$B$80&lt;=1,ROUND($B$81*12,0)&gt;=1,$B$81&lt;=100,SUM($B$82)&gt;=0,SUM($B$82)&lt;=1,SUM($B$83)&gt;=0),$B$80,IF(AND($B$175&gt;0,667&gt;$B$175,ISNUMBER($B$75)),$B$75,$B$61)),"")</x:f>
        <x:v>0.0625</x:v>
      </x:c>
      <x:c r="D1067" s="440" t="n">
        <x:f>IF(AND(ISNUMBER(B1067),B1067=0),0,IF(AND($B$171=1,I1066=0,ISNUMBER(C1067),ISNUMBER(IF(AND(667&lt;=$B$174,667&lt;=$B$173),B1067*C1067/12,IF(AND(667=$B$173+1,AND(667&gt;$B$173,$B$78="Refinance",ISNUMBER($B$80),$B$80&gt;=0,$B$80&lt;=1,ROUND($B$81*12,0)&gt;=1,$B$81&lt;=100,SUM($B$82)&gt;=0,SUM($B$82)&lt;=1,SUM($B$83)&gt;=0)),IF(B1067=0,0,IF(C1067=0,B1067/ROUND($B$81*12,0),B1067*(C1067/12)/(1-(1+C1067/12)^(-ROUND($B$81*12,0))))),IF(AND(NOT(AND(667&gt;$B$173,$B$78="Refinance",ISNUMBER($B$80),$B$80&gt;=0,$B$80&lt;=1,ROUND($B$81*12,0)&gt;=1,$B$81&lt;=100,SUM($B$82)&gt;=0,SUM($B$82)&lt;=1,SUM($B$83)&gt;=0)),OR(667=1,667=$B$174+1,AND($B$175&gt;0,667=$B$175+1))),IF(AND($B$170=1,$B$66&gt;0,OR($B$175=0,667&lt;=$B$175)),$B$66,IF($B$172-MAX(667-1,$B$174)&gt;0,IF(B1067=0,0,IF(C1067=0,B1067/($B$172-MAX(667-1,$B$174)),B1067*(C1067/12)/(1-(1+C1067/12)^(-($B$172-MAX(667-1,$B$174)))))),"")),D1066))))),IF(IF(AND(667&lt;=$B$174,667&lt;=$B$173),B1067*C1067/12,IF(AND(667=$B$173+1,AND(667&gt;$B$173,$B$78="Refinance",ISNUMBER($B$80),$B$80&gt;=0,$B$80&lt;=1,ROUND($B$81*12,0)&gt;=1,$B$81&lt;=100,SUM($B$82)&gt;=0,SUM($B$82)&lt;=1,SUM($B$83)&gt;=0)),IF(B1067=0,0,IF(C1067=0,B1067/ROUND($B$81*12,0),B1067*(C1067/12)/(1-(1+C1067/12)^(-ROUND($B$81*12,0))))),IF(AND(NOT(AND(667&gt;$B$173,$B$78="Refinance",ISNUMBER($B$80),$B$80&gt;=0,$B$80&lt;=1,ROUND($B$81*12,0)&gt;=1,$B$81&lt;=100,SUM($B$82)&gt;=0,SUM($B$82)&lt;=1,SUM($B$83)&gt;=0)),OR(667=1,667=$B$174+1,AND($B$175&gt;0,667=$B$175+1))),IF(AND($B$170=1,$B$66&gt;0,OR($B$175=0,667&lt;=$B$175)),$B$66,IF($B$172-MAX(667-1,$B$174)&gt;0,IF(B1067=0,0,IF(C1067=0,B1067/($B$172-MAX(667-1,$B$174)),B1067*(C1067/12)/(1-(1+C1067/12)^(-($B$172-MAX(667-1,$B$174)))))),"")),D1066)))+0.0000001&gt;=B1067*C1067/12,MIN(B1067*(1+C1067/12),IF(AND(667&lt;=$B$174,667&lt;=$B$173),B1067*C1067/12,IF(AND(667=$B$173+1,AND(667&gt;$B$173,$B$78="Refinance",ISNUMBER($B$80),$B$80&gt;=0,$B$80&lt;=1,ROUND($B$81*12,0)&gt;=1,$B$81&lt;=100,SUM($B$82)&gt;=0,SUM($B$82)&lt;=1,SUM($B$83)&gt;=0)),IF(B1067=0,0,IF(C1067=0,B1067/ROUND($B$81*12,0),B1067*(C1067/12)/(1-(1+C1067/12)^(-ROUND($B$81*12,0))))),IF(AND(NOT(AND(667&gt;$B$173,$B$78="Refinance",ISNUMBER($B$80),$B$80&gt;=0,$B$80&lt;=1,ROUND($B$81*12,0)&gt;=1,$B$81&lt;=100,SUM($B$82)&gt;=0,SUM($B$82)&lt;=1,SUM($B$83)&gt;=0)),OR(667=1,667=$B$174+1,AND($B$175&gt;0,667=$B$175+1))),IF(AND($B$170=1,$B$66&gt;0,OR($B$175=0,667&lt;=$B$175)),$B$66,IF($B$172-MAX(667-1,$B$174)&gt;0,IF(B1067=0,0,IF(C1067=0,B1067/($B$172-MAX(667-1,$B$174)),B1067*(C1067/12)/(1-(1+C1067/12)^(-($B$172-MAX(667-1,$B$174)))))),"")),D1066)))),""),""))</x:f>
        <x:v>0</x:v>
      </x:c>
      <x:c r="E1067" s="440" t="n">
        <x:f>IF(AND(667=$B$173,ISNUMBER(D1067)),IF(MAX(0,B1067*(1+C1067/12)-D1067)&lt;MAX(0.0000001,$E$17*0.00000000001),0,MAX(0,B1067*(1+C1067/12)-D1067)),0)</x:f>
        <x:v>0</x:v>
      </x:c>
      <x:c r="F1067" s="440" t="n">
        <x:f>IF($B$78="Cash payoff",E1067,0)</x:f>
        <x:v>0</x:v>
      </x:c>
      <x:c r="G1067" s="440" t="n">
        <x:f>IF(AND(E1067&gt;0,AND($B$78="Refinance",ISNUMBER($B$80),$B$80&gt;=0,$B$80&lt;=1,ROUND($B$81*12,0)&gt;=1,$B$81&lt;=100,SUM($B$82)&gt;=0,SUM($B$82)&lt;=1,SUM($B$83)&gt;=0)),E1067*SUM($B$82)+SUM($B$83),0)</x:f>
        <x:v>0</x:v>
      </x:c>
      <x:c r="H1067" s="440" t="n">
        <x:f>IF(ISNUMBER(D1067),IF(MAX(0,B1067*(1+C1067/12)-D1067-F1067)&lt;MAX(0.0000001,$E$17*0.00000000001),0,MAX(0,B1067*(1+C1067/12)-D1067-F1067)),IF(AND($B$171=1,I1066=1),B1067,""))</x:f>
        <x:v>0</x:v>
      </x:c>
      <x:c r="I1067" s="444" t="n">
        <x:f>IF(OR(I1066=1,AND(E1067&gt;0,$B$78&lt;&gt;"Cash payoff",NOT(AND($B$78="Refinance",ISNUMBER($B$80),$B$80&gt;=0,$B$80&lt;=1,ROUND($B$81*12,0)&gt;=1,$B$81&lt;=100,SUM($B$82)&gt;=0,SUM($B$82)&lt;=1,SUM($B$83)&gt;=0))),AND(ISNUMBER(B1067),B1067&gt;0,$B$171=1,NOT(ISNUMBER(D1067)))),1,0)</x:f>
        <x:v>0</x:v>
      </x:c>
      <x:c r="J1067" s="440" t="n">
        <x:f>IF(ISNUMBER(L1066),L1066,"")</x:f>
        <x:v>0</x:v>
      </x:c>
      <x:c r="K1067" s="440" t="n">
        <x:f>IF(AND(ISNUMBER(J1067),J1067=0),0,IF(AND($B$176=1,ISNUMBER(J1067)),MIN(J1067*(1+$B$87/12),IF($B$86=0,0,IF($B$87=0,$B$86/ROUND($B$88*12,0),$B$86*($B$87/12)/(1-(1+$B$87/12)^(-ROUND($B$88*12,0)))))),""))</x:f>
        <x:v>0</x:v>
      </x:c>
      <x:c r="L1067" s="440" t="n">
        <x:f>IF(ISNUMBER(K1067),IF(MAX(0,J1067*(1+SUM($B$87)/12)-K1067)&lt;MAX(0.0000001,$B$86*0.00000000001),0,MAX(0,J1067*(1+SUM($B$87)/12)-K1067)),"")</x:f>
        <x:v>0</x:v>
      </x:c>
      <x:c r="M1067" s="440" t="n">
        <x:f>IF(AND(ISNUMBER(D1067),ISNUMBER(K1067)),D1067+K1067,"")</x:f>
        <x:v>0</x:v>
      </x:c>
      <x:c r="N1067" s="440" t="n">
        <x:f>IF(AND(ISNUMBER(H1067),ISNUMBER(L1067)),H1067+L1067,"")</x:f>
        <x:v>0</x:v>
      </x:c>
    </x:row>
    <x:row r="1068" ht="22" customHeight="1">
      <x:c r="A1068" s="254" t="n">
        <x:f>668</x:f>
        <x:v>668</x:v>
      </x:c>
      <x:c r="B1068" s="440" t="n">
        <x:f>IF(ISNUMBER(H1067),H1067,"")</x:f>
        <x:v>0</x:v>
      </x:c>
      <x:c r="C1068" s="442" t="n">
        <x:f>IF(ISNUMBER(B1068),IF(AND(668&gt;$B$173,$B$78="Refinance",ISNUMBER($B$80),$B$80&gt;=0,$B$80&lt;=1,ROUND($B$81*12,0)&gt;=1,$B$81&lt;=100,SUM($B$82)&gt;=0,SUM($B$82)&lt;=1,SUM($B$83)&gt;=0),$B$80,IF(AND($B$175&gt;0,668&gt;$B$175,ISNUMBER($B$75)),$B$75,$B$61)),"")</x:f>
        <x:v>0.0625</x:v>
      </x:c>
      <x:c r="D1068" s="440" t="n">
        <x:f>IF(AND(ISNUMBER(B1068),B1068=0),0,IF(AND($B$171=1,I1067=0,ISNUMBER(C1068),ISNUMBER(IF(AND(668&lt;=$B$174,668&lt;=$B$173),B1068*C1068/12,IF(AND(668=$B$173+1,AND(668&gt;$B$173,$B$78="Refinance",ISNUMBER($B$80),$B$80&gt;=0,$B$80&lt;=1,ROUND($B$81*12,0)&gt;=1,$B$81&lt;=100,SUM($B$82)&gt;=0,SUM($B$82)&lt;=1,SUM($B$83)&gt;=0)),IF(B1068=0,0,IF(C1068=0,B1068/ROUND($B$81*12,0),B1068*(C1068/12)/(1-(1+C1068/12)^(-ROUND($B$81*12,0))))),IF(AND(NOT(AND(668&gt;$B$173,$B$78="Refinance",ISNUMBER($B$80),$B$80&gt;=0,$B$80&lt;=1,ROUND($B$81*12,0)&gt;=1,$B$81&lt;=100,SUM($B$82)&gt;=0,SUM($B$82)&lt;=1,SUM($B$83)&gt;=0)),OR(668=1,668=$B$174+1,AND($B$175&gt;0,668=$B$175+1))),IF(AND($B$170=1,$B$66&gt;0,OR($B$175=0,668&lt;=$B$175)),$B$66,IF($B$172-MAX(668-1,$B$174)&gt;0,IF(B1068=0,0,IF(C1068=0,B1068/($B$172-MAX(668-1,$B$174)),B1068*(C1068/12)/(1-(1+C1068/12)^(-($B$172-MAX(668-1,$B$174)))))),"")),D1067))))),IF(IF(AND(668&lt;=$B$174,668&lt;=$B$173),B1068*C1068/12,IF(AND(668=$B$173+1,AND(668&gt;$B$173,$B$78="Refinance",ISNUMBER($B$80),$B$80&gt;=0,$B$80&lt;=1,ROUND($B$81*12,0)&gt;=1,$B$81&lt;=100,SUM($B$82)&gt;=0,SUM($B$82)&lt;=1,SUM($B$83)&gt;=0)),IF(B1068=0,0,IF(C1068=0,B1068/ROUND($B$81*12,0),B1068*(C1068/12)/(1-(1+C1068/12)^(-ROUND($B$81*12,0))))),IF(AND(NOT(AND(668&gt;$B$173,$B$78="Refinance",ISNUMBER($B$80),$B$80&gt;=0,$B$80&lt;=1,ROUND($B$81*12,0)&gt;=1,$B$81&lt;=100,SUM($B$82)&gt;=0,SUM($B$82)&lt;=1,SUM($B$83)&gt;=0)),OR(668=1,668=$B$174+1,AND($B$175&gt;0,668=$B$175+1))),IF(AND($B$170=1,$B$66&gt;0,OR($B$175=0,668&lt;=$B$175)),$B$66,IF($B$172-MAX(668-1,$B$174)&gt;0,IF(B1068=0,0,IF(C1068=0,B1068/($B$172-MAX(668-1,$B$174)),B1068*(C1068/12)/(1-(1+C1068/12)^(-($B$172-MAX(668-1,$B$174)))))),"")),D1067)))+0.0000001&gt;=B1068*C1068/12,MIN(B1068*(1+C1068/12),IF(AND(668&lt;=$B$174,668&lt;=$B$173),B1068*C1068/12,IF(AND(668=$B$173+1,AND(668&gt;$B$173,$B$78="Refinance",ISNUMBER($B$80),$B$80&gt;=0,$B$80&lt;=1,ROUND($B$81*12,0)&gt;=1,$B$81&lt;=100,SUM($B$82)&gt;=0,SUM($B$82)&lt;=1,SUM($B$83)&gt;=0)),IF(B1068=0,0,IF(C1068=0,B1068/ROUND($B$81*12,0),B1068*(C1068/12)/(1-(1+C1068/12)^(-ROUND($B$81*12,0))))),IF(AND(NOT(AND(668&gt;$B$173,$B$78="Refinance",ISNUMBER($B$80),$B$80&gt;=0,$B$80&lt;=1,ROUND($B$81*12,0)&gt;=1,$B$81&lt;=100,SUM($B$82)&gt;=0,SUM($B$82)&lt;=1,SUM($B$83)&gt;=0)),OR(668=1,668=$B$174+1,AND($B$175&gt;0,668=$B$175+1))),IF(AND($B$170=1,$B$66&gt;0,OR($B$175=0,668&lt;=$B$175)),$B$66,IF($B$172-MAX(668-1,$B$174)&gt;0,IF(B1068=0,0,IF(C1068=0,B1068/($B$172-MAX(668-1,$B$174)),B1068*(C1068/12)/(1-(1+C1068/12)^(-($B$172-MAX(668-1,$B$174)))))),"")),D1067)))),""),""))</x:f>
        <x:v>0</x:v>
      </x:c>
      <x:c r="E1068" s="440" t="n">
        <x:f>IF(AND(668=$B$173,ISNUMBER(D1068)),IF(MAX(0,B1068*(1+C1068/12)-D1068)&lt;MAX(0.0000001,$E$17*0.00000000001),0,MAX(0,B1068*(1+C1068/12)-D1068)),0)</x:f>
        <x:v>0</x:v>
      </x:c>
      <x:c r="F1068" s="440" t="n">
        <x:f>IF($B$78="Cash payoff",E1068,0)</x:f>
        <x:v>0</x:v>
      </x:c>
      <x:c r="G1068" s="440" t="n">
        <x:f>IF(AND(E1068&gt;0,AND($B$78="Refinance",ISNUMBER($B$80),$B$80&gt;=0,$B$80&lt;=1,ROUND($B$81*12,0)&gt;=1,$B$81&lt;=100,SUM($B$82)&gt;=0,SUM($B$82)&lt;=1,SUM($B$83)&gt;=0)),E1068*SUM($B$82)+SUM($B$83),0)</x:f>
        <x:v>0</x:v>
      </x:c>
      <x:c r="H1068" s="440" t="n">
        <x:f>IF(ISNUMBER(D1068),IF(MAX(0,B1068*(1+C1068/12)-D1068-F1068)&lt;MAX(0.0000001,$E$17*0.00000000001),0,MAX(0,B1068*(1+C1068/12)-D1068-F1068)),IF(AND($B$171=1,I1067=1),B1068,""))</x:f>
        <x:v>0</x:v>
      </x:c>
      <x:c r="I1068" s="444" t="n">
        <x:f>IF(OR(I1067=1,AND(E1068&gt;0,$B$78&lt;&gt;"Cash payoff",NOT(AND($B$78="Refinance",ISNUMBER($B$80),$B$80&gt;=0,$B$80&lt;=1,ROUND($B$81*12,0)&gt;=1,$B$81&lt;=100,SUM($B$82)&gt;=0,SUM($B$82)&lt;=1,SUM($B$83)&gt;=0))),AND(ISNUMBER(B1068),B1068&gt;0,$B$171=1,NOT(ISNUMBER(D1068)))),1,0)</x:f>
        <x:v>0</x:v>
      </x:c>
      <x:c r="J1068" s="440" t="n">
        <x:f>IF(ISNUMBER(L1067),L1067,"")</x:f>
        <x:v>0</x:v>
      </x:c>
      <x:c r="K1068" s="440" t="n">
        <x:f>IF(AND(ISNUMBER(J1068),J1068=0),0,IF(AND($B$176=1,ISNUMBER(J1068)),MIN(J1068*(1+$B$87/12),IF($B$86=0,0,IF($B$87=0,$B$86/ROUND($B$88*12,0),$B$86*($B$87/12)/(1-(1+$B$87/12)^(-ROUND($B$88*12,0)))))),""))</x:f>
        <x:v>0</x:v>
      </x:c>
      <x:c r="L1068" s="440" t="n">
        <x:f>IF(ISNUMBER(K1068),IF(MAX(0,J1068*(1+SUM($B$87)/12)-K1068)&lt;MAX(0.0000001,$B$86*0.00000000001),0,MAX(0,J1068*(1+SUM($B$87)/12)-K1068)),"")</x:f>
        <x:v>0</x:v>
      </x:c>
      <x:c r="M1068" s="440" t="n">
        <x:f>IF(AND(ISNUMBER(D1068),ISNUMBER(K1068)),D1068+K1068,"")</x:f>
        <x:v>0</x:v>
      </x:c>
      <x:c r="N1068" s="440" t="n">
        <x:f>IF(AND(ISNUMBER(H1068),ISNUMBER(L1068)),H1068+L1068,"")</x:f>
        <x:v>0</x:v>
      </x:c>
    </x:row>
    <x:row r="1069" ht="22" customHeight="1">
      <x:c r="A1069" s="254" t="n">
        <x:f>669</x:f>
        <x:v>669</x:v>
      </x:c>
      <x:c r="B1069" s="440" t="n">
        <x:f>IF(ISNUMBER(H1068),H1068,"")</x:f>
        <x:v>0</x:v>
      </x:c>
      <x:c r="C1069" s="442" t="n">
        <x:f>IF(ISNUMBER(B1069),IF(AND(669&gt;$B$173,$B$78="Refinance",ISNUMBER($B$80),$B$80&gt;=0,$B$80&lt;=1,ROUND($B$81*12,0)&gt;=1,$B$81&lt;=100,SUM($B$82)&gt;=0,SUM($B$82)&lt;=1,SUM($B$83)&gt;=0),$B$80,IF(AND($B$175&gt;0,669&gt;$B$175,ISNUMBER($B$75)),$B$75,$B$61)),"")</x:f>
        <x:v>0.0625</x:v>
      </x:c>
      <x:c r="D1069" s="440" t="n">
        <x:f>IF(AND(ISNUMBER(B1069),B1069=0),0,IF(AND($B$171=1,I1068=0,ISNUMBER(C1069),ISNUMBER(IF(AND(669&lt;=$B$174,669&lt;=$B$173),B1069*C1069/12,IF(AND(669=$B$173+1,AND(669&gt;$B$173,$B$78="Refinance",ISNUMBER($B$80),$B$80&gt;=0,$B$80&lt;=1,ROUND($B$81*12,0)&gt;=1,$B$81&lt;=100,SUM($B$82)&gt;=0,SUM($B$82)&lt;=1,SUM($B$83)&gt;=0)),IF(B1069=0,0,IF(C1069=0,B1069/ROUND($B$81*12,0),B1069*(C1069/12)/(1-(1+C1069/12)^(-ROUND($B$81*12,0))))),IF(AND(NOT(AND(669&gt;$B$173,$B$78="Refinance",ISNUMBER($B$80),$B$80&gt;=0,$B$80&lt;=1,ROUND($B$81*12,0)&gt;=1,$B$81&lt;=100,SUM($B$82)&gt;=0,SUM($B$82)&lt;=1,SUM($B$83)&gt;=0)),OR(669=1,669=$B$174+1,AND($B$175&gt;0,669=$B$175+1))),IF(AND($B$170=1,$B$66&gt;0,OR($B$175=0,669&lt;=$B$175)),$B$66,IF($B$172-MAX(669-1,$B$174)&gt;0,IF(B1069=0,0,IF(C1069=0,B1069/($B$172-MAX(669-1,$B$174)),B1069*(C1069/12)/(1-(1+C1069/12)^(-($B$172-MAX(669-1,$B$174)))))),"")),D1068))))),IF(IF(AND(669&lt;=$B$174,669&lt;=$B$173),B1069*C1069/12,IF(AND(669=$B$173+1,AND(669&gt;$B$173,$B$78="Refinance",ISNUMBER($B$80),$B$80&gt;=0,$B$80&lt;=1,ROUND($B$81*12,0)&gt;=1,$B$81&lt;=100,SUM($B$82)&gt;=0,SUM($B$82)&lt;=1,SUM($B$83)&gt;=0)),IF(B1069=0,0,IF(C1069=0,B1069/ROUND($B$81*12,0),B1069*(C1069/12)/(1-(1+C1069/12)^(-ROUND($B$81*12,0))))),IF(AND(NOT(AND(669&gt;$B$173,$B$78="Refinance",ISNUMBER($B$80),$B$80&gt;=0,$B$80&lt;=1,ROUND($B$81*12,0)&gt;=1,$B$81&lt;=100,SUM($B$82)&gt;=0,SUM($B$82)&lt;=1,SUM($B$83)&gt;=0)),OR(669=1,669=$B$174+1,AND($B$175&gt;0,669=$B$175+1))),IF(AND($B$170=1,$B$66&gt;0,OR($B$175=0,669&lt;=$B$175)),$B$66,IF($B$172-MAX(669-1,$B$174)&gt;0,IF(B1069=0,0,IF(C1069=0,B1069/($B$172-MAX(669-1,$B$174)),B1069*(C1069/12)/(1-(1+C1069/12)^(-($B$172-MAX(669-1,$B$174)))))),"")),D1068)))+0.0000001&gt;=B1069*C1069/12,MIN(B1069*(1+C1069/12),IF(AND(669&lt;=$B$174,669&lt;=$B$173),B1069*C1069/12,IF(AND(669=$B$173+1,AND(669&gt;$B$173,$B$78="Refinance",ISNUMBER($B$80),$B$80&gt;=0,$B$80&lt;=1,ROUND($B$81*12,0)&gt;=1,$B$81&lt;=100,SUM($B$82)&gt;=0,SUM($B$82)&lt;=1,SUM($B$83)&gt;=0)),IF(B1069=0,0,IF(C1069=0,B1069/ROUND($B$81*12,0),B1069*(C1069/12)/(1-(1+C1069/12)^(-ROUND($B$81*12,0))))),IF(AND(NOT(AND(669&gt;$B$173,$B$78="Refinance",ISNUMBER($B$80),$B$80&gt;=0,$B$80&lt;=1,ROUND($B$81*12,0)&gt;=1,$B$81&lt;=100,SUM($B$82)&gt;=0,SUM($B$82)&lt;=1,SUM($B$83)&gt;=0)),OR(669=1,669=$B$174+1,AND($B$175&gt;0,669=$B$175+1))),IF(AND($B$170=1,$B$66&gt;0,OR($B$175=0,669&lt;=$B$175)),$B$66,IF($B$172-MAX(669-1,$B$174)&gt;0,IF(B1069=0,0,IF(C1069=0,B1069/($B$172-MAX(669-1,$B$174)),B1069*(C1069/12)/(1-(1+C1069/12)^(-($B$172-MAX(669-1,$B$174)))))),"")),D1068)))),""),""))</x:f>
        <x:v>0</x:v>
      </x:c>
      <x:c r="E1069" s="440" t="n">
        <x:f>IF(AND(669=$B$173,ISNUMBER(D1069)),IF(MAX(0,B1069*(1+C1069/12)-D1069)&lt;MAX(0.0000001,$E$17*0.00000000001),0,MAX(0,B1069*(1+C1069/12)-D1069)),0)</x:f>
        <x:v>0</x:v>
      </x:c>
      <x:c r="F1069" s="440" t="n">
        <x:f>IF($B$78="Cash payoff",E1069,0)</x:f>
        <x:v>0</x:v>
      </x:c>
      <x:c r="G1069" s="440" t="n">
        <x:f>IF(AND(E1069&gt;0,AND($B$78="Refinance",ISNUMBER($B$80),$B$80&gt;=0,$B$80&lt;=1,ROUND($B$81*12,0)&gt;=1,$B$81&lt;=100,SUM($B$82)&gt;=0,SUM($B$82)&lt;=1,SUM($B$83)&gt;=0)),E1069*SUM($B$82)+SUM($B$83),0)</x:f>
        <x:v>0</x:v>
      </x:c>
      <x:c r="H1069" s="440" t="n">
        <x:f>IF(ISNUMBER(D1069),IF(MAX(0,B1069*(1+C1069/12)-D1069-F1069)&lt;MAX(0.0000001,$E$17*0.00000000001),0,MAX(0,B1069*(1+C1069/12)-D1069-F1069)),IF(AND($B$171=1,I1068=1),B1069,""))</x:f>
        <x:v>0</x:v>
      </x:c>
      <x:c r="I1069" s="444" t="n">
        <x:f>IF(OR(I1068=1,AND(E1069&gt;0,$B$78&lt;&gt;"Cash payoff",NOT(AND($B$78="Refinance",ISNUMBER($B$80),$B$80&gt;=0,$B$80&lt;=1,ROUND($B$81*12,0)&gt;=1,$B$81&lt;=100,SUM($B$82)&gt;=0,SUM($B$82)&lt;=1,SUM($B$83)&gt;=0))),AND(ISNUMBER(B1069),B1069&gt;0,$B$171=1,NOT(ISNUMBER(D1069)))),1,0)</x:f>
        <x:v>0</x:v>
      </x:c>
      <x:c r="J1069" s="440" t="n">
        <x:f>IF(ISNUMBER(L1068),L1068,"")</x:f>
        <x:v>0</x:v>
      </x:c>
      <x:c r="K1069" s="440" t="n">
        <x:f>IF(AND(ISNUMBER(J1069),J1069=0),0,IF(AND($B$176=1,ISNUMBER(J1069)),MIN(J1069*(1+$B$87/12),IF($B$86=0,0,IF($B$87=0,$B$86/ROUND($B$88*12,0),$B$86*($B$87/12)/(1-(1+$B$87/12)^(-ROUND($B$88*12,0)))))),""))</x:f>
        <x:v>0</x:v>
      </x:c>
      <x:c r="L1069" s="440" t="n">
        <x:f>IF(ISNUMBER(K1069),IF(MAX(0,J1069*(1+SUM($B$87)/12)-K1069)&lt;MAX(0.0000001,$B$86*0.00000000001),0,MAX(0,J1069*(1+SUM($B$87)/12)-K1069)),"")</x:f>
        <x:v>0</x:v>
      </x:c>
      <x:c r="M1069" s="440" t="n">
        <x:f>IF(AND(ISNUMBER(D1069),ISNUMBER(K1069)),D1069+K1069,"")</x:f>
        <x:v>0</x:v>
      </x:c>
      <x:c r="N1069" s="440" t="n">
        <x:f>IF(AND(ISNUMBER(H1069),ISNUMBER(L1069)),H1069+L1069,"")</x:f>
        <x:v>0</x:v>
      </x:c>
    </x:row>
    <x:row r="1070" ht="22" customHeight="1">
      <x:c r="A1070" s="254" t="n">
        <x:f>670</x:f>
        <x:v>670</x:v>
      </x:c>
      <x:c r="B1070" s="440" t="n">
        <x:f>IF(ISNUMBER(H1069),H1069,"")</x:f>
        <x:v>0</x:v>
      </x:c>
      <x:c r="C1070" s="442" t="n">
        <x:f>IF(ISNUMBER(B1070),IF(AND(670&gt;$B$173,$B$78="Refinance",ISNUMBER($B$80),$B$80&gt;=0,$B$80&lt;=1,ROUND($B$81*12,0)&gt;=1,$B$81&lt;=100,SUM($B$82)&gt;=0,SUM($B$82)&lt;=1,SUM($B$83)&gt;=0),$B$80,IF(AND($B$175&gt;0,670&gt;$B$175,ISNUMBER($B$75)),$B$75,$B$61)),"")</x:f>
        <x:v>0.0625</x:v>
      </x:c>
      <x:c r="D1070" s="440" t="n">
        <x:f>IF(AND(ISNUMBER(B1070),B1070=0),0,IF(AND($B$171=1,I1069=0,ISNUMBER(C1070),ISNUMBER(IF(AND(670&lt;=$B$174,670&lt;=$B$173),B1070*C1070/12,IF(AND(670=$B$173+1,AND(670&gt;$B$173,$B$78="Refinance",ISNUMBER($B$80),$B$80&gt;=0,$B$80&lt;=1,ROUND($B$81*12,0)&gt;=1,$B$81&lt;=100,SUM($B$82)&gt;=0,SUM($B$82)&lt;=1,SUM($B$83)&gt;=0)),IF(B1070=0,0,IF(C1070=0,B1070/ROUND($B$81*12,0),B1070*(C1070/12)/(1-(1+C1070/12)^(-ROUND($B$81*12,0))))),IF(AND(NOT(AND(670&gt;$B$173,$B$78="Refinance",ISNUMBER($B$80),$B$80&gt;=0,$B$80&lt;=1,ROUND($B$81*12,0)&gt;=1,$B$81&lt;=100,SUM($B$82)&gt;=0,SUM($B$82)&lt;=1,SUM($B$83)&gt;=0)),OR(670=1,670=$B$174+1,AND($B$175&gt;0,670=$B$175+1))),IF(AND($B$170=1,$B$66&gt;0,OR($B$175=0,670&lt;=$B$175)),$B$66,IF($B$172-MAX(670-1,$B$174)&gt;0,IF(B1070=0,0,IF(C1070=0,B1070/($B$172-MAX(670-1,$B$174)),B1070*(C1070/12)/(1-(1+C1070/12)^(-($B$172-MAX(670-1,$B$174)))))),"")),D1069))))),IF(IF(AND(670&lt;=$B$174,670&lt;=$B$173),B1070*C1070/12,IF(AND(670=$B$173+1,AND(670&gt;$B$173,$B$78="Refinance",ISNUMBER($B$80),$B$80&gt;=0,$B$80&lt;=1,ROUND($B$81*12,0)&gt;=1,$B$81&lt;=100,SUM($B$82)&gt;=0,SUM($B$82)&lt;=1,SUM($B$83)&gt;=0)),IF(B1070=0,0,IF(C1070=0,B1070/ROUND($B$81*12,0),B1070*(C1070/12)/(1-(1+C1070/12)^(-ROUND($B$81*12,0))))),IF(AND(NOT(AND(670&gt;$B$173,$B$78="Refinance",ISNUMBER($B$80),$B$80&gt;=0,$B$80&lt;=1,ROUND($B$81*12,0)&gt;=1,$B$81&lt;=100,SUM($B$82)&gt;=0,SUM($B$82)&lt;=1,SUM($B$83)&gt;=0)),OR(670=1,670=$B$174+1,AND($B$175&gt;0,670=$B$175+1))),IF(AND($B$170=1,$B$66&gt;0,OR($B$175=0,670&lt;=$B$175)),$B$66,IF($B$172-MAX(670-1,$B$174)&gt;0,IF(B1070=0,0,IF(C1070=0,B1070/($B$172-MAX(670-1,$B$174)),B1070*(C1070/12)/(1-(1+C1070/12)^(-($B$172-MAX(670-1,$B$174)))))),"")),D1069)))+0.0000001&gt;=B1070*C1070/12,MIN(B1070*(1+C1070/12),IF(AND(670&lt;=$B$174,670&lt;=$B$173),B1070*C1070/12,IF(AND(670=$B$173+1,AND(670&gt;$B$173,$B$78="Refinance",ISNUMBER($B$80),$B$80&gt;=0,$B$80&lt;=1,ROUND($B$81*12,0)&gt;=1,$B$81&lt;=100,SUM($B$82)&gt;=0,SUM($B$82)&lt;=1,SUM($B$83)&gt;=0)),IF(B1070=0,0,IF(C1070=0,B1070/ROUND($B$81*12,0),B1070*(C1070/12)/(1-(1+C1070/12)^(-ROUND($B$81*12,0))))),IF(AND(NOT(AND(670&gt;$B$173,$B$78="Refinance",ISNUMBER($B$80),$B$80&gt;=0,$B$80&lt;=1,ROUND($B$81*12,0)&gt;=1,$B$81&lt;=100,SUM($B$82)&gt;=0,SUM($B$82)&lt;=1,SUM($B$83)&gt;=0)),OR(670=1,670=$B$174+1,AND($B$175&gt;0,670=$B$175+1))),IF(AND($B$170=1,$B$66&gt;0,OR($B$175=0,670&lt;=$B$175)),$B$66,IF($B$172-MAX(670-1,$B$174)&gt;0,IF(B1070=0,0,IF(C1070=0,B1070/($B$172-MAX(670-1,$B$174)),B1070*(C1070/12)/(1-(1+C1070/12)^(-($B$172-MAX(670-1,$B$174)))))),"")),D1069)))),""),""))</x:f>
        <x:v>0</x:v>
      </x:c>
      <x:c r="E1070" s="440" t="n">
        <x:f>IF(AND(670=$B$173,ISNUMBER(D1070)),IF(MAX(0,B1070*(1+C1070/12)-D1070)&lt;MAX(0.0000001,$E$17*0.00000000001),0,MAX(0,B1070*(1+C1070/12)-D1070)),0)</x:f>
        <x:v>0</x:v>
      </x:c>
      <x:c r="F1070" s="440" t="n">
        <x:f>IF($B$78="Cash payoff",E1070,0)</x:f>
        <x:v>0</x:v>
      </x:c>
      <x:c r="G1070" s="440" t="n">
        <x:f>IF(AND(E1070&gt;0,AND($B$78="Refinance",ISNUMBER($B$80),$B$80&gt;=0,$B$80&lt;=1,ROUND($B$81*12,0)&gt;=1,$B$81&lt;=100,SUM($B$82)&gt;=0,SUM($B$82)&lt;=1,SUM($B$83)&gt;=0)),E1070*SUM($B$82)+SUM($B$83),0)</x:f>
        <x:v>0</x:v>
      </x:c>
      <x:c r="H1070" s="440" t="n">
        <x:f>IF(ISNUMBER(D1070),IF(MAX(0,B1070*(1+C1070/12)-D1070-F1070)&lt;MAX(0.0000001,$E$17*0.00000000001),0,MAX(0,B1070*(1+C1070/12)-D1070-F1070)),IF(AND($B$171=1,I1069=1),B1070,""))</x:f>
        <x:v>0</x:v>
      </x:c>
      <x:c r="I1070" s="444" t="n">
        <x:f>IF(OR(I1069=1,AND(E1070&gt;0,$B$78&lt;&gt;"Cash payoff",NOT(AND($B$78="Refinance",ISNUMBER($B$80),$B$80&gt;=0,$B$80&lt;=1,ROUND($B$81*12,0)&gt;=1,$B$81&lt;=100,SUM($B$82)&gt;=0,SUM($B$82)&lt;=1,SUM($B$83)&gt;=0))),AND(ISNUMBER(B1070),B1070&gt;0,$B$171=1,NOT(ISNUMBER(D1070)))),1,0)</x:f>
        <x:v>0</x:v>
      </x:c>
      <x:c r="J1070" s="440" t="n">
        <x:f>IF(ISNUMBER(L1069),L1069,"")</x:f>
        <x:v>0</x:v>
      </x:c>
      <x:c r="K1070" s="440" t="n">
        <x:f>IF(AND(ISNUMBER(J1070),J1070=0),0,IF(AND($B$176=1,ISNUMBER(J1070)),MIN(J1070*(1+$B$87/12),IF($B$86=0,0,IF($B$87=0,$B$86/ROUND($B$88*12,0),$B$86*($B$87/12)/(1-(1+$B$87/12)^(-ROUND($B$88*12,0)))))),""))</x:f>
        <x:v>0</x:v>
      </x:c>
      <x:c r="L1070" s="440" t="n">
        <x:f>IF(ISNUMBER(K1070),IF(MAX(0,J1070*(1+SUM($B$87)/12)-K1070)&lt;MAX(0.0000001,$B$86*0.00000000001),0,MAX(0,J1070*(1+SUM($B$87)/12)-K1070)),"")</x:f>
        <x:v>0</x:v>
      </x:c>
      <x:c r="M1070" s="440" t="n">
        <x:f>IF(AND(ISNUMBER(D1070),ISNUMBER(K1070)),D1070+K1070,"")</x:f>
        <x:v>0</x:v>
      </x:c>
      <x:c r="N1070" s="440" t="n">
        <x:f>IF(AND(ISNUMBER(H1070),ISNUMBER(L1070)),H1070+L1070,"")</x:f>
        <x:v>0</x:v>
      </x:c>
    </x:row>
    <x:row r="1071" ht="22" customHeight="1">
      <x:c r="A1071" s="254" t="n">
        <x:f>671</x:f>
        <x:v>671</x:v>
      </x:c>
      <x:c r="B1071" s="440" t="n">
        <x:f>IF(ISNUMBER(H1070),H1070,"")</x:f>
        <x:v>0</x:v>
      </x:c>
      <x:c r="C1071" s="442" t="n">
        <x:f>IF(ISNUMBER(B1071),IF(AND(671&gt;$B$173,$B$78="Refinance",ISNUMBER($B$80),$B$80&gt;=0,$B$80&lt;=1,ROUND($B$81*12,0)&gt;=1,$B$81&lt;=100,SUM($B$82)&gt;=0,SUM($B$82)&lt;=1,SUM($B$83)&gt;=0),$B$80,IF(AND($B$175&gt;0,671&gt;$B$175,ISNUMBER($B$75)),$B$75,$B$61)),"")</x:f>
        <x:v>0.0625</x:v>
      </x:c>
      <x:c r="D1071" s="440" t="n">
        <x:f>IF(AND(ISNUMBER(B1071),B1071=0),0,IF(AND($B$171=1,I1070=0,ISNUMBER(C1071),ISNUMBER(IF(AND(671&lt;=$B$174,671&lt;=$B$173),B1071*C1071/12,IF(AND(671=$B$173+1,AND(671&gt;$B$173,$B$78="Refinance",ISNUMBER($B$80),$B$80&gt;=0,$B$80&lt;=1,ROUND($B$81*12,0)&gt;=1,$B$81&lt;=100,SUM($B$82)&gt;=0,SUM($B$82)&lt;=1,SUM($B$83)&gt;=0)),IF(B1071=0,0,IF(C1071=0,B1071/ROUND($B$81*12,0),B1071*(C1071/12)/(1-(1+C1071/12)^(-ROUND($B$81*12,0))))),IF(AND(NOT(AND(671&gt;$B$173,$B$78="Refinance",ISNUMBER($B$80),$B$80&gt;=0,$B$80&lt;=1,ROUND($B$81*12,0)&gt;=1,$B$81&lt;=100,SUM($B$82)&gt;=0,SUM($B$82)&lt;=1,SUM($B$83)&gt;=0)),OR(671=1,671=$B$174+1,AND($B$175&gt;0,671=$B$175+1))),IF(AND($B$170=1,$B$66&gt;0,OR($B$175=0,671&lt;=$B$175)),$B$66,IF($B$172-MAX(671-1,$B$174)&gt;0,IF(B1071=0,0,IF(C1071=0,B1071/($B$172-MAX(671-1,$B$174)),B1071*(C1071/12)/(1-(1+C1071/12)^(-($B$172-MAX(671-1,$B$174)))))),"")),D1070))))),IF(IF(AND(671&lt;=$B$174,671&lt;=$B$173),B1071*C1071/12,IF(AND(671=$B$173+1,AND(671&gt;$B$173,$B$78="Refinance",ISNUMBER($B$80),$B$80&gt;=0,$B$80&lt;=1,ROUND($B$81*12,0)&gt;=1,$B$81&lt;=100,SUM($B$82)&gt;=0,SUM($B$82)&lt;=1,SUM($B$83)&gt;=0)),IF(B1071=0,0,IF(C1071=0,B1071/ROUND($B$81*12,0),B1071*(C1071/12)/(1-(1+C1071/12)^(-ROUND($B$81*12,0))))),IF(AND(NOT(AND(671&gt;$B$173,$B$78="Refinance",ISNUMBER($B$80),$B$80&gt;=0,$B$80&lt;=1,ROUND($B$81*12,0)&gt;=1,$B$81&lt;=100,SUM($B$82)&gt;=0,SUM($B$82)&lt;=1,SUM($B$83)&gt;=0)),OR(671=1,671=$B$174+1,AND($B$175&gt;0,671=$B$175+1))),IF(AND($B$170=1,$B$66&gt;0,OR($B$175=0,671&lt;=$B$175)),$B$66,IF($B$172-MAX(671-1,$B$174)&gt;0,IF(B1071=0,0,IF(C1071=0,B1071/($B$172-MAX(671-1,$B$174)),B1071*(C1071/12)/(1-(1+C1071/12)^(-($B$172-MAX(671-1,$B$174)))))),"")),D1070)))+0.0000001&gt;=B1071*C1071/12,MIN(B1071*(1+C1071/12),IF(AND(671&lt;=$B$174,671&lt;=$B$173),B1071*C1071/12,IF(AND(671=$B$173+1,AND(671&gt;$B$173,$B$78="Refinance",ISNUMBER($B$80),$B$80&gt;=0,$B$80&lt;=1,ROUND($B$81*12,0)&gt;=1,$B$81&lt;=100,SUM($B$82)&gt;=0,SUM($B$82)&lt;=1,SUM($B$83)&gt;=0)),IF(B1071=0,0,IF(C1071=0,B1071/ROUND($B$81*12,0),B1071*(C1071/12)/(1-(1+C1071/12)^(-ROUND($B$81*12,0))))),IF(AND(NOT(AND(671&gt;$B$173,$B$78="Refinance",ISNUMBER($B$80),$B$80&gt;=0,$B$80&lt;=1,ROUND($B$81*12,0)&gt;=1,$B$81&lt;=100,SUM($B$82)&gt;=0,SUM($B$82)&lt;=1,SUM($B$83)&gt;=0)),OR(671=1,671=$B$174+1,AND($B$175&gt;0,671=$B$175+1))),IF(AND($B$170=1,$B$66&gt;0,OR($B$175=0,671&lt;=$B$175)),$B$66,IF($B$172-MAX(671-1,$B$174)&gt;0,IF(B1071=0,0,IF(C1071=0,B1071/($B$172-MAX(671-1,$B$174)),B1071*(C1071/12)/(1-(1+C1071/12)^(-($B$172-MAX(671-1,$B$174)))))),"")),D1070)))),""),""))</x:f>
        <x:v>0</x:v>
      </x:c>
      <x:c r="E1071" s="440" t="n">
        <x:f>IF(AND(671=$B$173,ISNUMBER(D1071)),IF(MAX(0,B1071*(1+C1071/12)-D1071)&lt;MAX(0.0000001,$E$17*0.00000000001),0,MAX(0,B1071*(1+C1071/12)-D1071)),0)</x:f>
        <x:v>0</x:v>
      </x:c>
      <x:c r="F1071" s="440" t="n">
        <x:f>IF($B$78="Cash payoff",E1071,0)</x:f>
        <x:v>0</x:v>
      </x:c>
      <x:c r="G1071" s="440" t="n">
        <x:f>IF(AND(E1071&gt;0,AND($B$78="Refinance",ISNUMBER($B$80),$B$80&gt;=0,$B$80&lt;=1,ROUND($B$81*12,0)&gt;=1,$B$81&lt;=100,SUM($B$82)&gt;=0,SUM($B$82)&lt;=1,SUM($B$83)&gt;=0)),E1071*SUM($B$82)+SUM($B$83),0)</x:f>
        <x:v>0</x:v>
      </x:c>
      <x:c r="H1071" s="440" t="n">
        <x:f>IF(ISNUMBER(D1071),IF(MAX(0,B1071*(1+C1071/12)-D1071-F1071)&lt;MAX(0.0000001,$E$17*0.00000000001),0,MAX(0,B1071*(1+C1071/12)-D1071-F1071)),IF(AND($B$171=1,I1070=1),B1071,""))</x:f>
        <x:v>0</x:v>
      </x:c>
      <x:c r="I1071" s="444" t="n">
        <x:f>IF(OR(I1070=1,AND(E1071&gt;0,$B$78&lt;&gt;"Cash payoff",NOT(AND($B$78="Refinance",ISNUMBER($B$80),$B$80&gt;=0,$B$80&lt;=1,ROUND($B$81*12,0)&gt;=1,$B$81&lt;=100,SUM($B$82)&gt;=0,SUM($B$82)&lt;=1,SUM($B$83)&gt;=0))),AND(ISNUMBER(B1071),B1071&gt;0,$B$171=1,NOT(ISNUMBER(D1071)))),1,0)</x:f>
        <x:v>0</x:v>
      </x:c>
      <x:c r="J1071" s="440" t="n">
        <x:f>IF(ISNUMBER(L1070),L1070,"")</x:f>
        <x:v>0</x:v>
      </x:c>
      <x:c r="K1071" s="440" t="n">
        <x:f>IF(AND(ISNUMBER(J1071),J1071=0),0,IF(AND($B$176=1,ISNUMBER(J1071)),MIN(J1071*(1+$B$87/12),IF($B$86=0,0,IF($B$87=0,$B$86/ROUND($B$88*12,0),$B$86*($B$87/12)/(1-(1+$B$87/12)^(-ROUND($B$88*12,0)))))),""))</x:f>
        <x:v>0</x:v>
      </x:c>
      <x:c r="L1071" s="440" t="n">
        <x:f>IF(ISNUMBER(K1071),IF(MAX(0,J1071*(1+SUM($B$87)/12)-K1071)&lt;MAX(0.0000001,$B$86*0.00000000001),0,MAX(0,J1071*(1+SUM($B$87)/12)-K1071)),"")</x:f>
        <x:v>0</x:v>
      </x:c>
      <x:c r="M1071" s="440" t="n">
        <x:f>IF(AND(ISNUMBER(D1071),ISNUMBER(K1071)),D1071+K1071,"")</x:f>
        <x:v>0</x:v>
      </x:c>
      <x:c r="N1071" s="440" t="n">
        <x:f>IF(AND(ISNUMBER(H1071),ISNUMBER(L1071)),H1071+L1071,"")</x:f>
        <x:v>0</x:v>
      </x:c>
    </x:row>
    <x:row r="1072" ht="22" customHeight="1">
      <x:c r="A1072" s="254" t="n">
        <x:f>672</x:f>
        <x:v>672</x:v>
      </x:c>
      <x:c r="B1072" s="440" t="n">
        <x:f>IF(ISNUMBER(H1071),H1071,"")</x:f>
        <x:v>0</x:v>
      </x:c>
      <x:c r="C1072" s="442" t="n">
        <x:f>IF(ISNUMBER(B1072),IF(AND(672&gt;$B$173,$B$78="Refinance",ISNUMBER($B$80),$B$80&gt;=0,$B$80&lt;=1,ROUND($B$81*12,0)&gt;=1,$B$81&lt;=100,SUM($B$82)&gt;=0,SUM($B$82)&lt;=1,SUM($B$83)&gt;=0),$B$80,IF(AND($B$175&gt;0,672&gt;$B$175,ISNUMBER($B$75)),$B$75,$B$61)),"")</x:f>
        <x:v>0.0625</x:v>
      </x:c>
      <x:c r="D1072" s="440" t="n">
        <x:f>IF(AND(ISNUMBER(B1072),B1072=0),0,IF(AND($B$171=1,I1071=0,ISNUMBER(C1072),ISNUMBER(IF(AND(672&lt;=$B$174,672&lt;=$B$173),B1072*C1072/12,IF(AND(672=$B$173+1,AND(672&gt;$B$173,$B$78="Refinance",ISNUMBER($B$80),$B$80&gt;=0,$B$80&lt;=1,ROUND($B$81*12,0)&gt;=1,$B$81&lt;=100,SUM($B$82)&gt;=0,SUM($B$82)&lt;=1,SUM($B$83)&gt;=0)),IF(B1072=0,0,IF(C1072=0,B1072/ROUND($B$81*12,0),B1072*(C1072/12)/(1-(1+C1072/12)^(-ROUND($B$81*12,0))))),IF(AND(NOT(AND(672&gt;$B$173,$B$78="Refinance",ISNUMBER($B$80),$B$80&gt;=0,$B$80&lt;=1,ROUND($B$81*12,0)&gt;=1,$B$81&lt;=100,SUM($B$82)&gt;=0,SUM($B$82)&lt;=1,SUM($B$83)&gt;=0)),OR(672=1,672=$B$174+1,AND($B$175&gt;0,672=$B$175+1))),IF(AND($B$170=1,$B$66&gt;0,OR($B$175=0,672&lt;=$B$175)),$B$66,IF($B$172-MAX(672-1,$B$174)&gt;0,IF(B1072=0,0,IF(C1072=0,B1072/($B$172-MAX(672-1,$B$174)),B1072*(C1072/12)/(1-(1+C1072/12)^(-($B$172-MAX(672-1,$B$174)))))),"")),D1071))))),IF(IF(AND(672&lt;=$B$174,672&lt;=$B$173),B1072*C1072/12,IF(AND(672=$B$173+1,AND(672&gt;$B$173,$B$78="Refinance",ISNUMBER($B$80),$B$80&gt;=0,$B$80&lt;=1,ROUND($B$81*12,0)&gt;=1,$B$81&lt;=100,SUM($B$82)&gt;=0,SUM($B$82)&lt;=1,SUM($B$83)&gt;=0)),IF(B1072=0,0,IF(C1072=0,B1072/ROUND($B$81*12,0),B1072*(C1072/12)/(1-(1+C1072/12)^(-ROUND($B$81*12,0))))),IF(AND(NOT(AND(672&gt;$B$173,$B$78="Refinance",ISNUMBER($B$80),$B$80&gt;=0,$B$80&lt;=1,ROUND($B$81*12,0)&gt;=1,$B$81&lt;=100,SUM($B$82)&gt;=0,SUM($B$82)&lt;=1,SUM($B$83)&gt;=0)),OR(672=1,672=$B$174+1,AND($B$175&gt;0,672=$B$175+1))),IF(AND($B$170=1,$B$66&gt;0,OR($B$175=0,672&lt;=$B$175)),$B$66,IF($B$172-MAX(672-1,$B$174)&gt;0,IF(B1072=0,0,IF(C1072=0,B1072/($B$172-MAX(672-1,$B$174)),B1072*(C1072/12)/(1-(1+C1072/12)^(-($B$172-MAX(672-1,$B$174)))))),"")),D1071)))+0.0000001&gt;=B1072*C1072/12,MIN(B1072*(1+C1072/12),IF(AND(672&lt;=$B$174,672&lt;=$B$173),B1072*C1072/12,IF(AND(672=$B$173+1,AND(672&gt;$B$173,$B$78="Refinance",ISNUMBER($B$80),$B$80&gt;=0,$B$80&lt;=1,ROUND($B$81*12,0)&gt;=1,$B$81&lt;=100,SUM($B$82)&gt;=0,SUM($B$82)&lt;=1,SUM($B$83)&gt;=0)),IF(B1072=0,0,IF(C1072=0,B1072/ROUND($B$81*12,0),B1072*(C1072/12)/(1-(1+C1072/12)^(-ROUND($B$81*12,0))))),IF(AND(NOT(AND(672&gt;$B$173,$B$78="Refinance",ISNUMBER($B$80),$B$80&gt;=0,$B$80&lt;=1,ROUND($B$81*12,0)&gt;=1,$B$81&lt;=100,SUM($B$82)&gt;=0,SUM($B$82)&lt;=1,SUM($B$83)&gt;=0)),OR(672=1,672=$B$174+1,AND($B$175&gt;0,672=$B$175+1))),IF(AND($B$170=1,$B$66&gt;0,OR($B$175=0,672&lt;=$B$175)),$B$66,IF($B$172-MAX(672-1,$B$174)&gt;0,IF(B1072=0,0,IF(C1072=0,B1072/($B$172-MAX(672-1,$B$174)),B1072*(C1072/12)/(1-(1+C1072/12)^(-($B$172-MAX(672-1,$B$174)))))),"")),D1071)))),""),""))</x:f>
        <x:v>0</x:v>
      </x:c>
      <x:c r="E1072" s="440" t="n">
        <x:f>IF(AND(672=$B$173,ISNUMBER(D1072)),IF(MAX(0,B1072*(1+C1072/12)-D1072)&lt;MAX(0.0000001,$E$17*0.00000000001),0,MAX(0,B1072*(1+C1072/12)-D1072)),0)</x:f>
        <x:v>0</x:v>
      </x:c>
      <x:c r="F1072" s="440" t="n">
        <x:f>IF($B$78="Cash payoff",E1072,0)</x:f>
        <x:v>0</x:v>
      </x:c>
      <x:c r="G1072" s="440" t="n">
        <x:f>IF(AND(E1072&gt;0,AND($B$78="Refinance",ISNUMBER($B$80),$B$80&gt;=0,$B$80&lt;=1,ROUND($B$81*12,0)&gt;=1,$B$81&lt;=100,SUM($B$82)&gt;=0,SUM($B$82)&lt;=1,SUM($B$83)&gt;=0)),E1072*SUM($B$82)+SUM($B$83),0)</x:f>
        <x:v>0</x:v>
      </x:c>
      <x:c r="H1072" s="440" t="n">
        <x:f>IF(ISNUMBER(D1072),IF(MAX(0,B1072*(1+C1072/12)-D1072-F1072)&lt;MAX(0.0000001,$E$17*0.00000000001),0,MAX(0,B1072*(1+C1072/12)-D1072-F1072)),IF(AND($B$171=1,I1071=1),B1072,""))</x:f>
        <x:v>0</x:v>
      </x:c>
      <x:c r="I1072" s="444" t="n">
        <x:f>IF(OR(I1071=1,AND(E1072&gt;0,$B$78&lt;&gt;"Cash payoff",NOT(AND($B$78="Refinance",ISNUMBER($B$80),$B$80&gt;=0,$B$80&lt;=1,ROUND($B$81*12,0)&gt;=1,$B$81&lt;=100,SUM($B$82)&gt;=0,SUM($B$82)&lt;=1,SUM($B$83)&gt;=0))),AND(ISNUMBER(B1072),B1072&gt;0,$B$171=1,NOT(ISNUMBER(D1072)))),1,0)</x:f>
        <x:v>0</x:v>
      </x:c>
      <x:c r="J1072" s="440" t="n">
        <x:f>IF(ISNUMBER(L1071),L1071,"")</x:f>
        <x:v>0</x:v>
      </x:c>
      <x:c r="K1072" s="440" t="n">
        <x:f>IF(AND(ISNUMBER(J1072),J1072=0),0,IF(AND($B$176=1,ISNUMBER(J1072)),MIN(J1072*(1+$B$87/12),IF($B$86=0,0,IF($B$87=0,$B$86/ROUND($B$88*12,0),$B$86*($B$87/12)/(1-(1+$B$87/12)^(-ROUND($B$88*12,0)))))),""))</x:f>
        <x:v>0</x:v>
      </x:c>
      <x:c r="L1072" s="440" t="n">
        <x:f>IF(ISNUMBER(K1072),IF(MAX(0,J1072*(1+SUM($B$87)/12)-K1072)&lt;MAX(0.0000001,$B$86*0.00000000001),0,MAX(0,J1072*(1+SUM($B$87)/12)-K1072)),"")</x:f>
        <x:v>0</x:v>
      </x:c>
      <x:c r="M1072" s="440" t="n">
        <x:f>IF(AND(ISNUMBER(D1072),ISNUMBER(K1072)),D1072+K1072,"")</x:f>
        <x:v>0</x:v>
      </x:c>
      <x:c r="N1072" s="440" t="n">
        <x:f>IF(AND(ISNUMBER(H1072),ISNUMBER(L1072)),H1072+L1072,"")</x:f>
        <x:v>0</x:v>
      </x:c>
    </x:row>
    <x:row r="1073" ht="22" customHeight="1">
      <x:c r="A1073" s="254" t="n">
        <x:f>673</x:f>
        <x:v>673</x:v>
      </x:c>
      <x:c r="B1073" s="440" t="n">
        <x:f>IF(ISNUMBER(H1072),H1072,"")</x:f>
        <x:v>0</x:v>
      </x:c>
      <x:c r="C1073" s="442" t="n">
        <x:f>IF(ISNUMBER(B1073),IF(AND(673&gt;$B$173,$B$78="Refinance",ISNUMBER($B$80),$B$80&gt;=0,$B$80&lt;=1,ROUND($B$81*12,0)&gt;=1,$B$81&lt;=100,SUM($B$82)&gt;=0,SUM($B$82)&lt;=1,SUM($B$83)&gt;=0),$B$80,IF(AND($B$175&gt;0,673&gt;$B$175,ISNUMBER($B$75)),$B$75,$B$61)),"")</x:f>
        <x:v>0.0625</x:v>
      </x:c>
      <x:c r="D1073" s="440" t="n">
        <x:f>IF(AND(ISNUMBER(B1073),B1073=0),0,IF(AND($B$171=1,I1072=0,ISNUMBER(C1073),ISNUMBER(IF(AND(673&lt;=$B$174,673&lt;=$B$173),B1073*C1073/12,IF(AND(673=$B$173+1,AND(673&gt;$B$173,$B$78="Refinance",ISNUMBER($B$80),$B$80&gt;=0,$B$80&lt;=1,ROUND($B$81*12,0)&gt;=1,$B$81&lt;=100,SUM($B$82)&gt;=0,SUM($B$82)&lt;=1,SUM($B$83)&gt;=0)),IF(B1073=0,0,IF(C1073=0,B1073/ROUND($B$81*12,0),B1073*(C1073/12)/(1-(1+C1073/12)^(-ROUND($B$81*12,0))))),IF(AND(NOT(AND(673&gt;$B$173,$B$78="Refinance",ISNUMBER($B$80),$B$80&gt;=0,$B$80&lt;=1,ROUND($B$81*12,0)&gt;=1,$B$81&lt;=100,SUM($B$82)&gt;=0,SUM($B$82)&lt;=1,SUM($B$83)&gt;=0)),OR(673=1,673=$B$174+1,AND($B$175&gt;0,673=$B$175+1))),IF(AND($B$170=1,$B$66&gt;0,OR($B$175=0,673&lt;=$B$175)),$B$66,IF($B$172-MAX(673-1,$B$174)&gt;0,IF(B1073=0,0,IF(C1073=0,B1073/($B$172-MAX(673-1,$B$174)),B1073*(C1073/12)/(1-(1+C1073/12)^(-($B$172-MAX(673-1,$B$174)))))),"")),D1072))))),IF(IF(AND(673&lt;=$B$174,673&lt;=$B$173),B1073*C1073/12,IF(AND(673=$B$173+1,AND(673&gt;$B$173,$B$78="Refinance",ISNUMBER($B$80),$B$80&gt;=0,$B$80&lt;=1,ROUND($B$81*12,0)&gt;=1,$B$81&lt;=100,SUM($B$82)&gt;=0,SUM($B$82)&lt;=1,SUM($B$83)&gt;=0)),IF(B1073=0,0,IF(C1073=0,B1073/ROUND($B$81*12,0),B1073*(C1073/12)/(1-(1+C1073/12)^(-ROUND($B$81*12,0))))),IF(AND(NOT(AND(673&gt;$B$173,$B$78="Refinance",ISNUMBER($B$80),$B$80&gt;=0,$B$80&lt;=1,ROUND($B$81*12,0)&gt;=1,$B$81&lt;=100,SUM($B$82)&gt;=0,SUM($B$82)&lt;=1,SUM($B$83)&gt;=0)),OR(673=1,673=$B$174+1,AND($B$175&gt;0,673=$B$175+1))),IF(AND($B$170=1,$B$66&gt;0,OR($B$175=0,673&lt;=$B$175)),$B$66,IF($B$172-MAX(673-1,$B$174)&gt;0,IF(B1073=0,0,IF(C1073=0,B1073/($B$172-MAX(673-1,$B$174)),B1073*(C1073/12)/(1-(1+C1073/12)^(-($B$172-MAX(673-1,$B$174)))))),"")),D1072)))+0.0000001&gt;=B1073*C1073/12,MIN(B1073*(1+C1073/12),IF(AND(673&lt;=$B$174,673&lt;=$B$173),B1073*C1073/12,IF(AND(673=$B$173+1,AND(673&gt;$B$173,$B$78="Refinance",ISNUMBER($B$80),$B$80&gt;=0,$B$80&lt;=1,ROUND($B$81*12,0)&gt;=1,$B$81&lt;=100,SUM($B$82)&gt;=0,SUM($B$82)&lt;=1,SUM($B$83)&gt;=0)),IF(B1073=0,0,IF(C1073=0,B1073/ROUND($B$81*12,0),B1073*(C1073/12)/(1-(1+C1073/12)^(-ROUND($B$81*12,0))))),IF(AND(NOT(AND(673&gt;$B$173,$B$78="Refinance",ISNUMBER($B$80),$B$80&gt;=0,$B$80&lt;=1,ROUND($B$81*12,0)&gt;=1,$B$81&lt;=100,SUM($B$82)&gt;=0,SUM($B$82)&lt;=1,SUM($B$83)&gt;=0)),OR(673=1,673=$B$174+1,AND($B$175&gt;0,673=$B$175+1))),IF(AND($B$170=1,$B$66&gt;0,OR($B$175=0,673&lt;=$B$175)),$B$66,IF($B$172-MAX(673-1,$B$174)&gt;0,IF(B1073=0,0,IF(C1073=0,B1073/($B$172-MAX(673-1,$B$174)),B1073*(C1073/12)/(1-(1+C1073/12)^(-($B$172-MAX(673-1,$B$174)))))),"")),D1072)))),""),""))</x:f>
        <x:v>0</x:v>
      </x:c>
      <x:c r="E1073" s="440" t="n">
        <x:f>IF(AND(673=$B$173,ISNUMBER(D1073)),IF(MAX(0,B1073*(1+C1073/12)-D1073)&lt;MAX(0.0000001,$E$17*0.00000000001),0,MAX(0,B1073*(1+C1073/12)-D1073)),0)</x:f>
        <x:v>0</x:v>
      </x:c>
      <x:c r="F1073" s="440" t="n">
        <x:f>IF($B$78="Cash payoff",E1073,0)</x:f>
        <x:v>0</x:v>
      </x:c>
      <x:c r="G1073" s="440" t="n">
        <x:f>IF(AND(E1073&gt;0,AND($B$78="Refinance",ISNUMBER($B$80),$B$80&gt;=0,$B$80&lt;=1,ROUND($B$81*12,0)&gt;=1,$B$81&lt;=100,SUM($B$82)&gt;=0,SUM($B$82)&lt;=1,SUM($B$83)&gt;=0)),E1073*SUM($B$82)+SUM($B$83),0)</x:f>
        <x:v>0</x:v>
      </x:c>
      <x:c r="H1073" s="440" t="n">
        <x:f>IF(ISNUMBER(D1073),IF(MAX(0,B1073*(1+C1073/12)-D1073-F1073)&lt;MAX(0.0000001,$E$17*0.00000000001),0,MAX(0,B1073*(1+C1073/12)-D1073-F1073)),IF(AND($B$171=1,I1072=1),B1073,""))</x:f>
        <x:v>0</x:v>
      </x:c>
      <x:c r="I1073" s="444" t="n">
        <x:f>IF(OR(I1072=1,AND(E1073&gt;0,$B$78&lt;&gt;"Cash payoff",NOT(AND($B$78="Refinance",ISNUMBER($B$80),$B$80&gt;=0,$B$80&lt;=1,ROUND($B$81*12,0)&gt;=1,$B$81&lt;=100,SUM($B$82)&gt;=0,SUM($B$82)&lt;=1,SUM($B$83)&gt;=0))),AND(ISNUMBER(B1073),B1073&gt;0,$B$171=1,NOT(ISNUMBER(D1073)))),1,0)</x:f>
        <x:v>0</x:v>
      </x:c>
      <x:c r="J1073" s="440" t="n">
        <x:f>IF(ISNUMBER(L1072),L1072,"")</x:f>
        <x:v>0</x:v>
      </x:c>
      <x:c r="K1073" s="440" t="n">
        <x:f>IF(AND(ISNUMBER(J1073),J1073=0),0,IF(AND($B$176=1,ISNUMBER(J1073)),MIN(J1073*(1+$B$87/12),IF($B$86=0,0,IF($B$87=0,$B$86/ROUND($B$88*12,0),$B$86*($B$87/12)/(1-(1+$B$87/12)^(-ROUND($B$88*12,0)))))),""))</x:f>
        <x:v>0</x:v>
      </x:c>
      <x:c r="L1073" s="440" t="n">
        <x:f>IF(ISNUMBER(K1073),IF(MAX(0,J1073*(1+SUM($B$87)/12)-K1073)&lt;MAX(0.0000001,$B$86*0.00000000001),0,MAX(0,J1073*(1+SUM($B$87)/12)-K1073)),"")</x:f>
        <x:v>0</x:v>
      </x:c>
      <x:c r="M1073" s="440" t="n">
        <x:f>IF(AND(ISNUMBER(D1073),ISNUMBER(K1073)),D1073+K1073,"")</x:f>
        <x:v>0</x:v>
      </x:c>
      <x:c r="N1073" s="440" t="n">
        <x:f>IF(AND(ISNUMBER(H1073),ISNUMBER(L1073)),H1073+L1073,"")</x:f>
        <x:v>0</x:v>
      </x:c>
    </x:row>
    <x:row r="1074" ht="22" customHeight="1">
      <x:c r="A1074" s="254" t="n">
        <x:f>674</x:f>
        <x:v>674</x:v>
      </x:c>
      <x:c r="B1074" s="440" t="n">
        <x:f>IF(ISNUMBER(H1073),H1073,"")</x:f>
        <x:v>0</x:v>
      </x:c>
      <x:c r="C1074" s="442" t="n">
        <x:f>IF(ISNUMBER(B1074),IF(AND(674&gt;$B$173,$B$78="Refinance",ISNUMBER($B$80),$B$80&gt;=0,$B$80&lt;=1,ROUND($B$81*12,0)&gt;=1,$B$81&lt;=100,SUM($B$82)&gt;=0,SUM($B$82)&lt;=1,SUM($B$83)&gt;=0),$B$80,IF(AND($B$175&gt;0,674&gt;$B$175,ISNUMBER($B$75)),$B$75,$B$61)),"")</x:f>
        <x:v>0.0625</x:v>
      </x:c>
      <x:c r="D1074" s="440" t="n">
        <x:f>IF(AND(ISNUMBER(B1074),B1074=0),0,IF(AND($B$171=1,I1073=0,ISNUMBER(C1074),ISNUMBER(IF(AND(674&lt;=$B$174,674&lt;=$B$173),B1074*C1074/12,IF(AND(674=$B$173+1,AND(674&gt;$B$173,$B$78="Refinance",ISNUMBER($B$80),$B$80&gt;=0,$B$80&lt;=1,ROUND($B$81*12,0)&gt;=1,$B$81&lt;=100,SUM($B$82)&gt;=0,SUM($B$82)&lt;=1,SUM($B$83)&gt;=0)),IF(B1074=0,0,IF(C1074=0,B1074/ROUND($B$81*12,0),B1074*(C1074/12)/(1-(1+C1074/12)^(-ROUND($B$81*12,0))))),IF(AND(NOT(AND(674&gt;$B$173,$B$78="Refinance",ISNUMBER($B$80),$B$80&gt;=0,$B$80&lt;=1,ROUND($B$81*12,0)&gt;=1,$B$81&lt;=100,SUM($B$82)&gt;=0,SUM($B$82)&lt;=1,SUM($B$83)&gt;=0)),OR(674=1,674=$B$174+1,AND($B$175&gt;0,674=$B$175+1))),IF(AND($B$170=1,$B$66&gt;0,OR($B$175=0,674&lt;=$B$175)),$B$66,IF($B$172-MAX(674-1,$B$174)&gt;0,IF(B1074=0,0,IF(C1074=0,B1074/($B$172-MAX(674-1,$B$174)),B1074*(C1074/12)/(1-(1+C1074/12)^(-($B$172-MAX(674-1,$B$174)))))),"")),D1073))))),IF(IF(AND(674&lt;=$B$174,674&lt;=$B$173),B1074*C1074/12,IF(AND(674=$B$173+1,AND(674&gt;$B$173,$B$78="Refinance",ISNUMBER($B$80),$B$80&gt;=0,$B$80&lt;=1,ROUND($B$81*12,0)&gt;=1,$B$81&lt;=100,SUM($B$82)&gt;=0,SUM($B$82)&lt;=1,SUM($B$83)&gt;=0)),IF(B1074=0,0,IF(C1074=0,B1074/ROUND($B$81*12,0),B1074*(C1074/12)/(1-(1+C1074/12)^(-ROUND($B$81*12,0))))),IF(AND(NOT(AND(674&gt;$B$173,$B$78="Refinance",ISNUMBER($B$80),$B$80&gt;=0,$B$80&lt;=1,ROUND($B$81*12,0)&gt;=1,$B$81&lt;=100,SUM($B$82)&gt;=0,SUM($B$82)&lt;=1,SUM($B$83)&gt;=0)),OR(674=1,674=$B$174+1,AND($B$175&gt;0,674=$B$175+1))),IF(AND($B$170=1,$B$66&gt;0,OR($B$175=0,674&lt;=$B$175)),$B$66,IF($B$172-MAX(674-1,$B$174)&gt;0,IF(B1074=0,0,IF(C1074=0,B1074/($B$172-MAX(674-1,$B$174)),B1074*(C1074/12)/(1-(1+C1074/12)^(-($B$172-MAX(674-1,$B$174)))))),"")),D1073)))+0.0000001&gt;=B1074*C1074/12,MIN(B1074*(1+C1074/12),IF(AND(674&lt;=$B$174,674&lt;=$B$173),B1074*C1074/12,IF(AND(674=$B$173+1,AND(674&gt;$B$173,$B$78="Refinance",ISNUMBER($B$80),$B$80&gt;=0,$B$80&lt;=1,ROUND($B$81*12,0)&gt;=1,$B$81&lt;=100,SUM($B$82)&gt;=0,SUM($B$82)&lt;=1,SUM($B$83)&gt;=0)),IF(B1074=0,0,IF(C1074=0,B1074/ROUND($B$81*12,0),B1074*(C1074/12)/(1-(1+C1074/12)^(-ROUND($B$81*12,0))))),IF(AND(NOT(AND(674&gt;$B$173,$B$78="Refinance",ISNUMBER($B$80),$B$80&gt;=0,$B$80&lt;=1,ROUND($B$81*12,0)&gt;=1,$B$81&lt;=100,SUM($B$82)&gt;=0,SUM($B$82)&lt;=1,SUM($B$83)&gt;=0)),OR(674=1,674=$B$174+1,AND($B$175&gt;0,674=$B$175+1))),IF(AND($B$170=1,$B$66&gt;0,OR($B$175=0,674&lt;=$B$175)),$B$66,IF($B$172-MAX(674-1,$B$174)&gt;0,IF(B1074=0,0,IF(C1074=0,B1074/($B$172-MAX(674-1,$B$174)),B1074*(C1074/12)/(1-(1+C1074/12)^(-($B$172-MAX(674-1,$B$174)))))),"")),D1073)))),""),""))</x:f>
        <x:v>0</x:v>
      </x:c>
      <x:c r="E1074" s="440" t="n">
        <x:f>IF(AND(674=$B$173,ISNUMBER(D1074)),IF(MAX(0,B1074*(1+C1074/12)-D1074)&lt;MAX(0.0000001,$E$17*0.00000000001),0,MAX(0,B1074*(1+C1074/12)-D1074)),0)</x:f>
        <x:v>0</x:v>
      </x:c>
      <x:c r="F1074" s="440" t="n">
        <x:f>IF($B$78="Cash payoff",E1074,0)</x:f>
        <x:v>0</x:v>
      </x:c>
      <x:c r="G1074" s="440" t="n">
        <x:f>IF(AND(E1074&gt;0,AND($B$78="Refinance",ISNUMBER($B$80),$B$80&gt;=0,$B$80&lt;=1,ROUND($B$81*12,0)&gt;=1,$B$81&lt;=100,SUM($B$82)&gt;=0,SUM($B$82)&lt;=1,SUM($B$83)&gt;=0)),E1074*SUM($B$82)+SUM($B$83),0)</x:f>
        <x:v>0</x:v>
      </x:c>
      <x:c r="H1074" s="440" t="n">
        <x:f>IF(ISNUMBER(D1074),IF(MAX(0,B1074*(1+C1074/12)-D1074-F1074)&lt;MAX(0.0000001,$E$17*0.00000000001),0,MAX(0,B1074*(1+C1074/12)-D1074-F1074)),IF(AND($B$171=1,I1073=1),B1074,""))</x:f>
        <x:v>0</x:v>
      </x:c>
      <x:c r="I1074" s="444" t="n">
        <x:f>IF(OR(I1073=1,AND(E1074&gt;0,$B$78&lt;&gt;"Cash payoff",NOT(AND($B$78="Refinance",ISNUMBER($B$80),$B$80&gt;=0,$B$80&lt;=1,ROUND($B$81*12,0)&gt;=1,$B$81&lt;=100,SUM($B$82)&gt;=0,SUM($B$82)&lt;=1,SUM($B$83)&gt;=0))),AND(ISNUMBER(B1074),B1074&gt;0,$B$171=1,NOT(ISNUMBER(D1074)))),1,0)</x:f>
        <x:v>0</x:v>
      </x:c>
      <x:c r="J1074" s="440" t="n">
        <x:f>IF(ISNUMBER(L1073),L1073,"")</x:f>
        <x:v>0</x:v>
      </x:c>
      <x:c r="K1074" s="440" t="n">
        <x:f>IF(AND(ISNUMBER(J1074),J1074=0),0,IF(AND($B$176=1,ISNUMBER(J1074)),MIN(J1074*(1+$B$87/12),IF($B$86=0,0,IF($B$87=0,$B$86/ROUND($B$88*12,0),$B$86*($B$87/12)/(1-(1+$B$87/12)^(-ROUND($B$88*12,0)))))),""))</x:f>
        <x:v>0</x:v>
      </x:c>
      <x:c r="L1074" s="440" t="n">
        <x:f>IF(ISNUMBER(K1074),IF(MAX(0,J1074*(1+SUM($B$87)/12)-K1074)&lt;MAX(0.0000001,$B$86*0.00000000001),0,MAX(0,J1074*(1+SUM($B$87)/12)-K1074)),"")</x:f>
        <x:v>0</x:v>
      </x:c>
      <x:c r="M1074" s="440" t="n">
        <x:f>IF(AND(ISNUMBER(D1074),ISNUMBER(K1074)),D1074+K1074,"")</x:f>
        <x:v>0</x:v>
      </x:c>
      <x:c r="N1074" s="440" t="n">
        <x:f>IF(AND(ISNUMBER(H1074),ISNUMBER(L1074)),H1074+L1074,"")</x:f>
        <x:v>0</x:v>
      </x:c>
    </x:row>
    <x:row r="1075" ht="22" customHeight="1">
      <x:c r="A1075" s="254" t="n">
        <x:f>675</x:f>
        <x:v>675</x:v>
      </x:c>
      <x:c r="B1075" s="440" t="n">
        <x:f>IF(ISNUMBER(H1074),H1074,"")</x:f>
        <x:v>0</x:v>
      </x:c>
      <x:c r="C1075" s="442" t="n">
        <x:f>IF(ISNUMBER(B1075),IF(AND(675&gt;$B$173,$B$78="Refinance",ISNUMBER($B$80),$B$80&gt;=0,$B$80&lt;=1,ROUND($B$81*12,0)&gt;=1,$B$81&lt;=100,SUM($B$82)&gt;=0,SUM($B$82)&lt;=1,SUM($B$83)&gt;=0),$B$80,IF(AND($B$175&gt;0,675&gt;$B$175,ISNUMBER($B$75)),$B$75,$B$61)),"")</x:f>
        <x:v>0.0625</x:v>
      </x:c>
      <x:c r="D1075" s="440" t="n">
        <x:f>IF(AND(ISNUMBER(B1075),B1075=0),0,IF(AND($B$171=1,I1074=0,ISNUMBER(C1075),ISNUMBER(IF(AND(675&lt;=$B$174,675&lt;=$B$173),B1075*C1075/12,IF(AND(675=$B$173+1,AND(675&gt;$B$173,$B$78="Refinance",ISNUMBER($B$80),$B$80&gt;=0,$B$80&lt;=1,ROUND($B$81*12,0)&gt;=1,$B$81&lt;=100,SUM($B$82)&gt;=0,SUM($B$82)&lt;=1,SUM($B$83)&gt;=0)),IF(B1075=0,0,IF(C1075=0,B1075/ROUND($B$81*12,0),B1075*(C1075/12)/(1-(1+C1075/12)^(-ROUND($B$81*12,0))))),IF(AND(NOT(AND(675&gt;$B$173,$B$78="Refinance",ISNUMBER($B$80),$B$80&gt;=0,$B$80&lt;=1,ROUND($B$81*12,0)&gt;=1,$B$81&lt;=100,SUM($B$82)&gt;=0,SUM($B$82)&lt;=1,SUM($B$83)&gt;=0)),OR(675=1,675=$B$174+1,AND($B$175&gt;0,675=$B$175+1))),IF(AND($B$170=1,$B$66&gt;0,OR($B$175=0,675&lt;=$B$175)),$B$66,IF($B$172-MAX(675-1,$B$174)&gt;0,IF(B1075=0,0,IF(C1075=0,B1075/($B$172-MAX(675-1,$B$174)),B1075*(C1075/12)/(1-(1+C1075/12)^(-($B$172-MAX(675-1,$B$174)))))),"")),D1074))))),IF(IF(AND(675&lt;=$B$174,675&lt;=$B$173),B1075*C1075/12,IF(AND(675=$B$173+1,AND(675&gt;$B$173,$B$78="Refinance",ISNUMBER($B$80),$B$80&gt;=0,$B$80&lt;=1,ROUND($B$81*12,0)&gt;=1,$B$81&lt;=100,SUM($B$82)&gt;=0,SUM($B$82)&lt;=1,SUM($B$83)&gt;=0)),IF(B1075=0,0,IF(C1075=0,B1075/ROUND($B$81*12,0),B1075*(C1075/12)/(1-(1+C1075/12)^(-ROUND($B$81*12,0))))),IF(AND(NOT(AND(675&gt;$B$173,$B$78="Refinance",ISNUMBER($B$80),$B$80&gt;=0,$B$80&lt;=1,ROUND($B$81*12,0)&gt;=1,$B$81&lt;=100,SUM($B$82)&gt;=0,SUM($B$82)&lt;=1,SUM($B$83)&gt;=0)),OR(675=1,675=$B$174+1,AND($B$175&gt;0,675=$B$175+1))),IF(AND($B$170=1,$B$66&gt;0,OR($B$175=0,675&lt;=$B$175)),$B$66,IF($B$172-MAX(675-1,$B$174)&gt;0,IF(B1075=0,0,IF(C1075=0,B1075/($B$172-MAX(675-1,$B$174)),B1075*(C1075/12)/(1-(1+C1075/12)^(-($B$172-MAX(675-1,$B$174)))))),"")),D1074)))+0.0000001&gt;=B1075*C1075/12,MIN(B1075*(1+C1075/12),IF(AND(675&lt;=$B$174,675&lt;=$B$173),B1075*C1075/12,IF(AND(675=$B$173+1,AND(675&gt;$B$173,$B$78="Refinance",ISNUMBER($B$80),$B$80&gt;=0,$B$80&lt;=1,ROUND($B$81*12,0)&gt;=1,$B$81&lt;=100,SUM($B$82)&gt;=0,SUM($B$82)&lt;=1,SUM($B$83)&gt;=0)),IF(B1075=0,0,IF(C1075=0,B1075/ROUND($B$81*12,0),B1075*(C1075/12)/(1-(1+C1075/12)^(-ROUND($B$81*12,0))))),IF(AND(NOT(AND(675&gt;$B$173,$B$78="Refinance",ISNUMBER($B$80),$B$80&gt;=0,$B$80&lt;=1,ROUND($B$81*12,0)&gt;=1,$B$81&lt;=100,SUM($B$82)&gt;=0,SUM($B$82)&lt;=1,SUM($B$83)&gt;=0)),OR(675=1,675=$B$174+1,AND($B$175&gt;0,675=$B$175+1))),IF(AND($B$170=1,$B$66&gt;0,OR($B$175=0,675&lt;=$B$175)),$B$66,IF($B$172-MAX(675-1,$B$174)&gt;0,IF(B1075=0,0,IF(C1075=0,B1075/($B$172-MAX(675-1,$B$174)),B1075*(C1075/12)/(1-(1+C1075/12)^(-($B$172-MAX(675-1,$B$174)))))),"")),D1074)))),""),""))</x:f>
        <x:v>0</x:v>
      </x:c>
      <x:c r="E1075" s="440" t="n">
        <x:f>IF(AND(675=$B$173,ISNUMBER(D1075)),IF(MAX(0,B1075*(1+C1075/12)-D1075)&lt;MAX(0.0000001,$E$17*0.00000000001),0,MAX(0,B1075*(1+C1075/12)-D1075)),0)</x:f>
        <x:v>0</x:v>
      </x:c>
      <x:c r="F1075" s="440" t="n">
        <x:f>IF($B$78="Cash payoff",E1075,0)</x:f>
        <x:v>0</x:v>
      </x:c>
      <x:c r="G1075" s="440" t="n">
        <x:f>IF(AND(E1075&gt;0,AND($B$78="Refinance",ISNUMBER($B$80),$B$80&gt;=0,$B$80&lt;=1,ROUND($B$81*12,0)&gt;=1,$B$81&lt;=100,SUM($B$82)&gt;=0,SUM($B$82)&lt;=1,SUM($B$83)&gt;=0)),E1075*SUM($B$82)+SUM($B$83),0)</x:f>
        <x:v>0</x:v>
      </x:c>
      <x:c r="H1075" s="440" t="n">
        <x:f>IF(ISNUMBER(D1075),IF(MAX(0,B1075*(1+C1075/12)-D1075-F1075)&lt;MAX(0.0000001,$E$17*0.00000000001),0,MAX(0,B1075*(1+C1075/12)-D1075-F1075)),IF(AND($B$171=1,I1074=1),B1075,""))</x:f>
        <x:v>0</x:v>
      </x:c>
      <x:c r="I1075" s="444" t="n">
        <x:f>IF(OR(I1074=1,AND(E1075&gt;0,$B$78&lt;&gt;"Cash payoff",NOT(AND($B$78="Refinance",ISNUMBER($B$80),$B$80&gt;=0,$B$80&lt;=1,ROUND($B$81*12,0)&gt;=1,$B$81&lt;=100,SUM($B$82)&gt;=0,SUM($B$82)&lt;=1,SUM($B$83)&gt;=0))),AND(ISNUMBER(B1075),B1075&gt;0,$B$171=1,NOT(ISNUMBER(D1075)))),1,0)</x:f>
        <x:v>0</x:v>
      </x:c>
      <x:c r="J1075" s="440" t="n">
        <x:f>IF(ISNUMBER(L1074),L1074,"")</x:f>
        <x:v>0</x:v>
      </x:c>
      <x:c r="K1075" s="440" t="n">
        <x:f>IF(AND(ISNUMBER(J1075),J1075=0),0,IF(AND($B$176=1,ISNUMBER(J1075)),MIN(J1075*(1+$B$87/12),IF($B$86=0,0,IF($B$87=0,$B$86/ROUND($B$88*12,0),$B$86*($B$87/12)/(1-(1+$B$87/12)^(-ROUND($B$88*12,0)))))),""))</x:f>
        <x:v>0</x:v>
      </x:c>
      <x:c r="L1075" s="440" t="n">
        <x:f>IF(ISNUMBER(K1075),IF(MAX(0,J1075*(1+SUM($B$87)/12)-K1075)&lt;MAX(0.0000001,$B$86*0.00000000001),0,MAX(0,J1075*(1+SUM($B$87)/12)-K1075)),"")</x:f>
        <x:v>0</x:v>
      </x:c>
      <x:c r="M1075" s="440" t="n">
        <x:f>IF(AND(ISNUMBER(D1075),ISNUMBER(K1075)),D1075+K1075,"")</x:f>
        <x:v>0</x:v>
      </x:c>
      <x:c r="N1075" s="440" t="n">
        <x:f>IF(AND(ISNUMBER(H1075),ISNUMBER(L1075)),H1075+L1075,"")</x:f>
        <x:v>0</x:v>
      </x:c>
    </x:row>
    <x:row r="1076" ht="22" customHeight="1">
      <x:c r="A1076" s="254" t="n">
        <x:f>676</x:f>
        <x:v>676</x:v>
      </x:c>
      <x:c r="B1076" s="440" t="n">
        <x:f>IF(ISNUMBER(H1075),H1075,"")</x:f>
        <x:v>0</x:v>
      </x:c>
      <x:c r="C1076" s="442" t="n">
        <x:f>IF(ISNUMBER(B1076),IF(AND(676&gt;$B$173,$B$78="Refinance",ISNUMBER($B$80),$B$80&gt;=0,$B$80&lt;=1,ROUND($B$81*12,0)&gt;=1,$B$81&lt;=100,SUM($B$82)&gt;=0,SUM($B$82)&lt;=1,SUM($B$83)&gt;=0),$B$80,IF(AND($B$175&gt;0,676&gt;$B$175,ISNUMBER($B$75)),$B$75,$B$61)),"")</x:f>
        <x:v>0.0625</x:v>
      </x:c>
      <x:c r="D1076" s="440" t="n">
        <x:f>IF(AND(ISNUMBER(B1076),B1076=0),0,IF(AND($B$171=1,I1075=0,ISNUMBER(C1076),ISNUMBER(IF(AND(676&lt;=$B$174,676&lt;=$B$173),B1076*C1076/12,IF(AND(676=$B$173+1,AND(676&gt;$B$173,$B$78="Refinance",ISNUMBER($B$80),$B$80&gt;=0,$B$80&lt;=1,ROUND($B$81*12,0)&gt;=1,$B$81&lt;=100,SUM($B$82)&gt;=0,SUM($B$82)&lt;=1,SUM($B$83)&gt;=0)),IF(B1076=0,0,IF(C1076=0,B1076/ROUND($B$81*12,0),B1076*(C1076/12)/(1-(1+C1076/12)^(-ROUND($B$81*12,0))))),IF(AND(NOT(AND(676&gt;$B$173,$B$78="Refinance",ISNUMBER($B$80),$B$80&gt;=0,$B$80&lt;=1,ROUND($B$81*12,0)&gt;=1,$B$81&lt;=100,SUM($B$82)&gt;=0,SUM($B$82)&lt;=1,SUM($B$83)&gt;=0)),OR(676=1,676=$B$174+1,AND($B$175&gt;0,676=$B$175+1))),IF(AND($B$170=1,$B$66&gt;0,OR($B$175=0,676&lt;=$B$175)),$B$66,IF($B$172-MAX(676-1,$B$174)&gt;0,IF(B1076=0,0,IF(C1076=0,B1076/($B$172-MAX(676-1,$B$174)),B1076*(C1076/12)/(1-(1+C1076/12)^(-($B$172-MAX(676-1,$B$174)))))),"")),D1075))))),IF(IF(AND(676&lt;=$B$174,676&lt;=$B$173),B1076*C1076/12,IF(AND(676=$B$173+1,AND(676&gt;$B$173,$B$78="Refinance",ISNUMBER($B$80),$B$80&gt;=0,$B$80&lt;=1,ROUND($B$81*12,0)&gt;=1,$B$81&lt;=100,SUM($B$82)&gt;=0,SUM($B$82)&lt;=1,SUM($B$83)&gt;=0)),IF(B1076=0,0,IF(C1076=0,B1076/ROUND($B$81*12,0),B1076*(C1076/12)/(1-(1+C1076/12)^(-ROUND($B$81*12,0))))),IF(AND(NOT(AND(676&gt;$B$173,$B$78="Refinance",ISNUMBER($B$80),$B$80&gt;=0,$B$80&lt;=1,ROUND($B$81*12,0)&gt;=1,$B$81&lt;=100,SUM($B$82)&gt;=0,SUM($B$82)&lt;=1,SUM($B$83)&gt;=0)),OR(676=1,676=$B$174+1,AND($B$175&gt;0,676=$B$175+1))),IF(AND($B$170=1,$B$66&gt;0,OR($B$175=0,676&lt;=$B$175)),$B$66,IF($B$172-MAX(676-1,$B$174)&gt;0,IF(B1076=0,0,IF(C1076=0,B1076/($B$172-MAX(676-1,$B$174)),B1076*(C1076/12)/(1-(1+C1076/12)^(-($B$172-MAX(676-1,$B$174)))))),"")),D1075)))+0.0000001&gt;=B1076*C1076/12,MIN(B1076*(1+C1076/12),IF(AND(676&lt;=$B$174,676&lt;=$B$173),B1076*C1076/12,IF(AND(676=$B$173+1,AND(676&gt;$B$173,$B$78="Refinance",ISNUMBER($B$80),$B$80&gt;=0,$B$80&lt;=1,ROUND($B$81*12,0)&gt;=1,$B$81&lt;=100,SUM($B$82)&gt;=0,SUM($B$82)&lt;=1,SUM($B$83)&gt;=0)),IF(B1076=0,0,IF(C1076=0,B1076/ROUND($B$81*12,0),B1076*(C1076/12)/(1-(1+C1076/12)^(-ROUND($B$81*12,0))))),IF(AND(NOT(AND(676&gt;$B$173,$B$78="Refinance",ISNUMBER($B$80),$B$80&gt;=0,$B$80&lt;=1,ROUND($B$81*12,0)&gt;=1,$B$81&lt;=100,SUM($B$82)&gt;=0,SUM($B$82)&lt;=1,SUM($B$83)&gt;=0)),OR(676=1,676=$B$174+1,AND($B$175&gt;0,676=$B$175+1))),IF(AND($B$170=1,$B$66&gt;0,OR($B$175=0,676&lt;=$B$175)),$B$66,IF($B$172-MAX(676-1,$B$174)&gt;0,IF(B1076=0,0,IF(C1076=0,B1076/($B$172-MAX(676-1,$B$174)),B1076*(C1076/12)/(1-(1+C1076/12)^(-($B$172-MAX(676-1,$B$174)))))),"")),D1075)))),""),""))</x:f>
        <x:v>0</x:v>
      </x:c>
      <x:c r="E1076" s="440" t="n">
        <x:f>IF(AND(676=$B$173,ISNUMBER(D1076)),IF(MAX(0,B1076*(1+C1076/12)-D1076)&lt;MAX(0.0000001,$E$17*0.00000000001),0,MAX(0,B1076*(1+C1076/12)-D1076)),0)</x:f>
        <x:v>0</x:v>
      </x:c>
      <x:c r="F1076" s="440" t="n">
        <x:f>IF($B$78="Cash payoff",E1076,0)</x:f>
        <x:v>0</x:v>
      </x:c>
      <x:c r="G1076" s="440" t="n">
        <x:f>IF(AND(E1076&gt;0,AND($B$78="Refinance",ISNUMBER($B$80),$B$80&gt;=0,$B$80&lt;=1,ROUND($B$81*12,0)&gt;=1,$B$81&lt;=100,SUM($B$82)&gt;=0,SUM($B$82)&lt;=1,SUM($B$83)&gt;=0)),E1076*SUM($B$82)+SUM($B$83),0)</x:f>
        <x:v>0</x:v>
      </x:c>
      <x:c r="H1076" s="440" t="n">
        <x:f>IF(ISNUMBER(D1076),IF(MAX(0,B1076*(1+C1076/12)-D1076-F1076)&lt;MAX(0.0000001,$E$17*0.00000000001),0,MAX(0,B1076*(1+C1076/12)-D1076-F1076)),IF(AND($B$171=1,I1075=1),B1076,""))</x:f>
        <x:v>0</x:v>
      </x:c>
      <x:c r="I1076" s="444" t="n">
        <x:f>IF(OR(I1075=1,AND(E1076&gt;0,$B$78&lt;&gt;"Cash payoff",NOT(AND($B$78="Refinance",ISNUMBER($B$80),$B$80&gt;=0,$B$80&lt;=1,ROUND($B$81*12,0)&gt;=1,$B$81&lt;=100,SUM($B$82)&gt;=0,SUM($B$82)&lt;=1,SUM($B$83)&gt;=0))),AND(ISNUMBER(B1076),B1076&gt;0,$B$171=1,NOT(ISNUMBER(D1076)))),1,0)</x:f>
        <x:v>0</x:v>
      </x:c>
      <x:c r="J1076" s="440" t="n">
        <x:f>IF(ISNUMBER(L1075),L1075,"")</x:f>
        <x:v>0</x:v>
      </x:c>
      <x:c r="K1076" s="440" t="n">
        <x:f>IF(AND(ISNUMBER(J1076),J1076=0),0,IF(AND($B$176=1,ISNUMBER(J1076)),MIN(J1076*(1+$B$87/12),IF($B$86=0,0,IF($B$87=0,$B$86/ROUND($B$88*12,0),$B$86*($B$87/12)/(1-(1+$B$87/12)^(-ROUND($B$88*12,0)))))),""))</x:f>
        <x:v>0</x:v>
      </x:c>
      <x:c r="L1076" s="440" t="n">
        <x:f>IF(ISNUMBER(K1076),IF(MAX(0,J1076*(1+SUM($B$87)/12)-K1076)&lt;MAX(0.0000001,$B$86*0.00000000001),0,MAX(0,J1076*(1+SUM($B$87)/12)-K1076)),"")</x:f>
        <x:v>0</x:v>
      </x:c>
      <x:c r="M1076" s="440" t="n">
        <x:f>IF(AND(ISNUMBER(D1076),ISNUMBER(K1076)),D1076+K1076,"")</x:f>
        <x:v>0</x:v>
      </x:c>
      <x:c r="N1076" s="440" t="n">
        <x:f>IF(AND(ISNUMBER(H1076),ISNUMBER(L1076)),H1076+L1076,"")</x:f>
        <x:v>0</x:v>
      </x:c>
    </x:row>
    <x:row r="1077" ht="22" customHeight="1">
      <x:c r="A1077" s="254" t="n">
        <x:f>677</x:f>
        <x:v>677</x:v>
      </x:c>
      <x:c r="B1077" s="440" t="n">
        <x:f>IF(ISNUMBER(H1076),H1076,"")</x:f>
        <x:v>0</x:v>
      </x:c>
      <x:c r="C1077" s="442" t="n">
        <x:f>IF(ISNUMBER(B1077),IF(AND(677&gt;$B$173,$B$78="Refinance",ISNUMBER($B$80),$B$80&gt;=0,$B$80&lt;=1,ROUND($B$81*12,0)&gt;=1,$B$81&lt;=100,SUM($B$82)&gt;=0,SUM($B$82)&lt;=1,SUM($B$83)&gt;=0),$B$80,IF(AND($B$175&gt;0,677&gt;$B$175,ISNUMBER($B$75)),$B$75,$B$61)),"")</x:f>
        <x:v>0.0625</x:v>
      </x:c>
      <x:c r="D1077" s="440" t="n">
        <x:f>IF(AND(ISNUMBER(B1077),B1077=0),0,IF(AND($B$171=1,I1076=0,ISNUMBER(C1077),ISNUMBER(IF(AND(677&lt;=$B$174,677&lt;=$B$173),B1077*C1077/12,IF(AND(677=$B$173+1,AND(677&gt;$B$173,$B$78="Refinance",ISNUMBER($B$80),$B$80&gt;=0,$B$80&lt;=1,ROUND($B$81*12,0)&gt;=1,$B$81&lt;=100,SUM($B$82)&gt;=0,SUM($B$82)&lt;=1,SUM($B$83)&gt;=0)),IF(B1077=0,0,IF(C1077=0,B1077/ROUND($B$81*12,0),B1077*(C1077/12)/(1-(1+C1077/12)^(-ROUND($B$81*12,0))))),IF(AND(NOT(AND(677&gt;$B$173,$B$78="Refinance",ISNUMBER($B$80),$B$80&gt;=0,$B$80&lt;=1,ROUND($B$81*12,0)&gt;=1,$B$81&lt;=100,SUM($B$82)&gt;=0,SUM($B$82)&lt;=1,SUM($B$83)&gt;=0)),OR(677=1,677=$B$174+1,AND($B$175&gt;0,677=$B$175+1))),IF(AND($B$170=1,$B$66&gt;0,OR($B$175=0,677&lt;=$B$175)),$B$66,IF($B$172-MAX(677-1,$B$174)&gt;0,IF(B1077=0,0,IF(C1077=0,B1077/($B$172-MAX(677-1,$B$174)),B1077*(C1077/12)/(1-(1+C1077/12)^(-($B$172-MAX(677-1,$B$174)))))),"")),D1076))))),IF(IF(AND(677&lt;=$B$174,677&lt;=$B$173),B1077*C1077/12,IF(AND(677=$B$173+1,AND(677&gt;$B$173,$B$78="Refinance",ISNUMBER($B$80),$B$80&gt;=0,$B$80&lt;=1,ROUND($B$81*12,0)&gt;=1,$B$81&lt;=100,SUM($B$82)&gt;=0,SUM($B$82)&lt;=1,SUM($B$83)&gt;=0)),IF(B1077=0,0,IF(C1077=0,B1077/ROUND($B$81*12,0),B1077*(C1077/12)/(1-(1+C1077/12)^(-ROUND($B$81*12,0))))),IF(AND(NOT(AND(677&gt;$B$173,$B$78="Refinance",ISNUMBER($B$80),$B$80&gt;=0,$B$80&lt;=1,ROUND($B$81*12,0)&gt;=1,$B$81&lt;=100,SUM($B$82)&gt;=0,SUM($B$82)&lt;=1,SUM($B$83)&gt;=0)),OR(677=1,677=$B$174+1,AND($B$175&gt;0,677=$B$175+1))),IF(AND($B$170=1,$B$66&gt;0,OR($B$175=0,677&lt;=$B$175)),$B$66,IF($B$172-MAX(677-1,$B$174)&gt;0,IF(B1077=0,0,IF(C1077=0,B1077/($B$172-MAX(677-1,$B$174)),B1077*(C1077/12)/(1-(1+C1077/12)^(-($B$172-MAX(677-1,$B$174)))))),"")),D1076)))+0.0000001&gt;=B1077*C1077/12,MIN(B1077*(1+C1077/12),IF(AND(677&lt;=$B$174,677&lt;=$B$173),B1077*C1077/12,IF(AND(677=$B$173+1,AND(677&gt;$B$173,$B$78="Refinance",ISNUMBER($B$80),$B$80&gt;=0,$B$80&lt;=1,ROUND($B$81*12,0)&gt;=1,$B$81&lt;=100,SUM($B$82)&gt;=0,SUM($B$82)&lt;=1,SUM($B$83)&gt;=0)),IF(B1077=0,0,IF(C1077=0,B1077/ROUND($B$81*12,0),B1077*(C1077/12)/(1-(1+C1077/12)^(-ROUND($B$81*12,0))))),IF(AND(NOT(AND(677&gt;$B$173,$B$78="Refinance",ISNUMBER($B$80),$B$80&gt;=0,$B$80&lt;=1,ROUND($B$81*12,0)&gt;=1,$B$81&lt;=100,SUM($B$82)&gt;=0,SUM($B$82)&lt;=1,SUM($B$83)&gt;=0)),OR(677=1,677=$B$174+1,AND($B$175&gt;0,677=$B$175+1))),IF(AND($B$170=1,$B$66&gt;0,OR($B$175=0,677&lt;=$B$175)),$B$66,IF($B$172-MAX(677-1,$B$174)&gt;0,IF(B1077=0,0,IF(C1077=0,B1077/($B$172-MAX(677-1,$B$174)),B1077*(C1077/12)/(1-(1+C1077/12)^(-($B$172-MAX(677-1,$B$174)))))),"")),D1076)))),""),""))</x:f>
        <x:v>0</x:v>
      </x:c>
      <x:c r="E1077" s="440" t="n">
        <x:f>IF(AND(677=$B$173,ISNUMBER(D1077)),IF(MAX(0,B1077*(1+C1077/12)-D1077)&lt;MAX(0.0000001,$E$17*0.00000000001),0,MAX(0,B1077*(1+C1077/12)-D1077)),0)</x:f>
        <x:v>0</x:v>
      </x:c>
      <x:c r="F1077" s="440" t="n">
        <x:f>IF($B$78="Cash payoff",E1077,0)</x:f>
        <x:v>0</x:v>
      </x:c>
      <x:c r="G1077" s="440" t="n">
        <x:f>IF(AND(E1077&gt;0,AND($B$78="Refinance",ISNUMBER($B$80),$B$80&gt;=0,$B$80&lt;=1,ROUND($B$81*12,0)&gt;=1,$B$81&lt;=100,SUM($B$82)&gt;=0,SUM($B$82)&lt;=1,SUM($B$83)&gt;=0)),E1077*SUM($B$82)+SUM($B$83),0)</x:f>
        <x:v>0</x:v>
      </x:c>
      <x:c r="H1077" s="440" t="n">
        <x:f>IF(ISNUMBER(D1077),IF(MAX(0,B1077*(1+C1077/12)-D1077-F1077)&lt;MAX(0.0000001,$E$17*0.00000000001),0,MAX(0,B1077*(1+C1077/12)-D1077-F1077)),IF(AND($B$171=1,I1076=1),B1077,""))</x:f>
        <x:v>0</x:v>
      </x:c>
      <x:c r="I1077" s="444" t="n">
        <x:f>IF(OR(I1076=1,AND(E1077&gt;0,$B$78&lt;&gt;"Cash payoff",NOT(AND($B$78="Refinance",ISNUMBER($B$80),$B$80&gt;=0,$B$80&lt;=1,ROUND($B$81*12,0)&gt;=1,$B$81&lt;=100,SUM($B$82)&gt;=0,SUM($B$82)&lt;=1,SUM($B$83)&gt;=0))),AND(ISNUMBER(B1077),B1077&gt;0,$B$171=1,NOT(ISNUMBER(D1077)))),1,0)</x:f>
        <x:v>0</x:v>
      </x:c>
      <x:c r="J1077" s="440" t="n">
        <x:f>IF(ISNUMBER(L1076),L1076,"")</x:f>
        <x:v>0</x:v>
      </x:c>
      <x:c r="K1077" s="440" t="n">
        <x:f>IF(AND(ISNUMBER(J1077),J1077=0),0,IF(AND($B$176=1,ISNUMBER(J1077)),MIN(J1077*(1+$B$87/12),IF($B$86=0,0,IF($B$87=0,$B$86/ROUND($B$88*12,0),$B$86*($B$87/12)/(1-(1+$B$87/12)^(-ROUND($B$88*12,0)))))),""))</x:f>
        <x:v>0</x:v>
      </x:c>
      <x:c r="L1077" s="440" t="n">
        <x:f>IF(ISNUMBER(K1077),IF(MAX(0,J1077*(1+SUM($B$87)/12)-K1077)&lt;MAX(0.0000001,$B$86*0.00000000001),0,MAX(0,J1077*(1+SUM($B$87)/12)-K1077)),"")</x:f>
        <x:v>0</x:v>
      </x:c>
      <x:c r="M1077" s="440" t="n">
        <x:f>IF(AND(ISNUMBER(D1077),ISNUMBER(K1077)),D1077+K1077,"")</x:f>
        <x:v>0</x:v>
      </x:c>
      <x:c r="N1077" s="440" t="n">
        <x:f>IF(AND(ISNUMBER(H1077),ISNUMBER(L1077)),H1077+L1077,"")</x:f>
        <x:v>0</x:v>
      </x:c>
    </x:row>
    <x:row r="1078" ht="22" customHeight="1">
      <x:c r="A1078" s="254" t="n">
        <x:f>678</x:f>
        <x:v>678</x:v>
      </x:c>
      <x:c r="B1078" s="440" t="n">
        <x:f>IF(ISNUMBER(H1077),H1077,"")</x:f>
        <x:v>0</x:v>
      </x:c>
      <x:c r="C1078" s="442" t="n">
        <x:f>IF(ISNUMBER(B1078),IF(AND(678&gt;$B$173,$B$78="Refinance",ISNUMBER($B$80),$B$80&gt;=0,$B$80&lt;=1,ROUND($B$81*12,0)&gt;=1,$B$81&lt;=100,SUM($B$82)&gt;=0,SUM($B$82)&lt;=1,SUM($B$83)&gt;=0),$B$80,IF(AND($B$175&gt;0,678&gt;$B$175,ISNUMBER($B$75)),$B$75,$B$61)),"")</x:f>
        <x:v>0.0625</x:v>
      </x:c>
      <x:c r="D1078" s="440" t="n">
        <x:f>IF(AND(ISNUMBER(B1078),B1078=0),0,IF(AND($B$171=1,I1077=0,ISNUMBER(C1078),ISNUMBER(IF(AND(678&lt;=$B$174,678&lt;=$B$173),B1078*C1078/12,IF(AND(678=$B$173+1,AND(678&gt;$B$173,$B$78="Refinance",ISNUMBER($B$80),$B$80&gt;=0,$B$80&lt;=1,ROUND($B$81*12,0)&gt;=1,$B$81&lt;=100,SUM($B$82)&gt;=0,SUM($B$82)&lt;=1,SUM($B$83)&gt;=0)),IF(B1078=0,0,IF(C1078=0,B1078/ROUND($B$81*12,0),B1078*(C1078/12)/(1-(1+C1078/12)^(-ROUND($B$81*12,0))))),IF(AND(NOT(AND(678&gt;$B$173,$B$78="Refinance",ISNUMBER($B$80),$B$80&gt;=0,$B$80&lt;=1,ROUND($B$81*12,0)&gt;=1,$B$81&lt;=100,SUM($B$82)&gt;=0,SUM($B$82)&lt;=1,SUM($B$83)&gt;=0)),OR(678=1,678=$B$174+1,AND($B$175&gt;0,678=$B$175+1))),IF(AND($B$170=1,$B$66&gt;0,OR($B$175=0,678&lt;=$B$175)),$B$66,IF($B$172-MAX(678-1,$B$174)&gt;0,IF(B1078=0,0,IF(C1078=0,B1078/($B$172-MAX(678-1,$B$174)),B1078*(C1078/12)/(1-(1+C1078/12)^(-($B$172-MAX(678-1,$B$174)))))),"")),D1077))))),IF(IF(AND(678&lt;=$B$174,678&lt;=$B$173),B1078*C1078/12,IF(AND(678=$B$173+1,AND(678&gt;$B$173,$B$78="Refinance",ISNUMBER($B$80),$B$80&gt;=0,$B$80&lt;=1,ROUND($B$81*12,0)&gt;=1,$B$81&lt;=100,SUM($B$82)&gt;=0,SUM($B$82)&lt;=1,SUM($B$83)&gt;=0)),IF(B1078=0,0,IF(C1078=0,B1078/ROUND($B$81*12,0),B1078*(C1078/12)/(1-(1+C1078/12)^(-ROUND($B$81*12,0))))),IF(AND(NOT(AND(678&gt;$B$173,$B$78="Refinance",ISNUMBER($B$80),$B$80&gt;=0,$B$80&lt;=1,ROUND($B$81*12,0)&gt;=1,$B$81&lt;=100,SUM($B$82)&gt;=0,SUM($B$82)&lt;=1,SUM($B$83)&gt;=0)),OR(678=1,678=$B$174+1,AND($B$175&gt;0,678=$B$175+1))),IF(AND($B$170=1,$B$66&gt;0,OR($B$175=0,678&lt;=$B$175)),$B$66,IF($B$172-MAX(678-1,$B$174)&gt;0,IF(B1078=0,0,IF(C1078=0,B1078/($B$172-MAX(678-1,$B$174)),B1078*(C1078/12)/(1-(1+C1078/12)^(-($B$172-MAX(678-1,$B$174)))))),"")),D1077)))+0.0000001&gt;=B1078*C1078/12,MIN(B1078*(1+C1078/12),IF(AND(678&lt;=$B$174,678&lt;=$B$173),B1078*C1078/12,IF(AND(678=$B$173+1,AND(678&gt;$B$173,$B$78="Refinance",ISNUMBER($B$80),$B$80&gt;=0,$B$80&lt;=1,ROUND($B$81*12,0)&gt;=1,$B$81&lt;=100,SUM($B$82)&gt;=0,SUM($B$82)&lt;=1,SUM($B$83)&gt;=0)),IF(B1078=0,0,IF(C1078=0,B1078/ROUND($B$81*12,0),B1078*(C1078/12)/(1-(1+C1078/12)^(-ROUND($B$81*12,0))))),IF(AND(NOT(AND(678&gt;$B$173,$B$78="Refinance",ISNUMBER($B$80),$B$80&gt;=0,$B$80&lt;=1,ROUND($B$81*12,0)&gt;=1,$B$81&lt;=100,SUM($B$82)&gt;=0,SUM($B$82)&lt;=1,SUM($B$83)&gt;=0)),OR(678=1,678=$B$174+1,AND($B$175&gt;0,678=$B$175+1))),IF(AND($B$170=1,$B$66&gt;0,OR($B$175=0,678&lt;=$B$175)),$B$66,IF($B$172-MAX(678-1,$B$174)&gt;0,IF(B1078=0,0,IF(C1078=0,B1078/($B$172-MAX(678-1,$B$174)),B1078*(C1078/12)/(1-(1+C1078/12)^(-($B$172-MAX(678-1,$B$174)))))),"")),D1077)))),""),""))</x:f>
        <x:v>0</x:v>
      </x:c>
      <x:c r="E1078" s="440" t="n">
        <x:f>IF(AND(678=$B$173,ISNUMBER(D1078)),IF(MAX(0,B1078*(1+C1078/12)-D1078)&lt;MAX(0.0000001,$E$17*0.00000000001),0,MAX(0,B1078*(1+C1078/12)-D1078)),0)</x:f>
        <x:v>0</x:v>
      </x:c>
      <x:c r="F1078" s="440" t="n">
        <x:f>IF($B$78="Cash payoff",E1078,0)</x:f>
        <x:v>0</x:v>
      </x:c>
      <x:c r="G1078" s="440" t="n">
        <x:f>IF(AND(E1078&gt;0,AND($B$78="Refinance",ISNUMBER($B$80),$B$80&gt;=0,$B$80&lt;=1,ROUND($B$81*12,0)&gt;=1,$B$81&lt;=100,SUM($B$82)&gt;=0,SUM($B$82)&lt;=1,SUM($B$83)&gt;=0)),E1078*SUM($B$82)+SUM($B$83),0)</x:f>
        <x:v>0</x:v>
      </x:c>
      <x:c r="H1078" s="440" t="n">
        <x:f>IF(ISNUMBER(D1078),IF(MAX(0,B1078*(1+C1078/12)-D1078-F1078)&lt;MAX(0.0000001,$E$17*0.00000000001),0,MAX(0,B1078*(1+C1078/12)-D1078-F1078)),IF(AND($B$171=1,I1077=1),B1078,""))</x:f>
        <x:v>0</x:v>
      </x:c>
      <x:c r="I1078" s="444" t="n">
        <x:f>IF(OR(I1077=1,AND(E1078&gt;0,$B$78&lt;&gt;"Cash payoff",NOT(AND($B$78="Refinance",ISNUMBER($B$80),$B$80&gt;=0,$B$80&lt;=1,ROUND($B$81*12,0)&gt;=1,$B$81&lt;=100,SUM($B$82)&gt;=0,SUM($B$82)&lt;=1,SUM($B$83)&gt;=0))),AND(ISNUMBER(B1078),B1078&gt;0,$B$171=1,NOT(ISNUMBER(D1078)))),1,0)</x:f>
        <x:v>0</x:v>
      </x:c>
      <x:c r="J1078" s="440" t="n">
        <x:f>IF(ISNUMBER(L1077),L1077,"")</x:f>
        <x:v>0</x:v>
      </x:c>
      <x:c r="K1078" s="440" t="n">
        <x:f>IF(AND(ISNUMBER(J1078),J1078=0),0,IF(AND($B$176=1,ISNUMBER(J1078)),MIN(J1078*(1+$B$87/12),IF($B$86=0,0,IF($B$87=0,$B$86/ROUND($B$88*12,0),$B$86*($B$87/12)/(1-(1+$B$87/12)^(-ROUND($B$88*12,0)))))),""))</x:f>
        <x:v>0</x:v>
      </x:c>
      <x:c r="L1078" s="440" t="n">
        <x:f>IF(ISNUMBER(K1078),IF(MAX(0,J1078*(1+SUM($B$87)/12)-K1078)&lt;MAX(0.0000001,$B$86*0.00000000001),0,MAX(0,J1078*(1+SUM($B$87)/12)-K1078)),"")</x:f>
        <x:v>0</x:v>
      </x:c>
      <x:c r="M1078" s="440" t="n">
        <x:f>IF(AND(ISNUMBER(D1078),ISNUMBER(K1078)),D1078+K1078,"")</x:f>
        <x:v>0</x:v>
      </x:c>
      <x:c r="N1078" s="440" t="n">
        <x:f>IF(AND(ISNUMBER(H1078),ISNUMBER(L1078)),H1078+L1078,"")</x:f>
        <x:v>0</x:v>
      </x:c>
    </x:row>
    <x:row r="1079" ht="22" customHeight="1">
      <x:c r="A1079" s="254" t="n">
        <x:f>679</x:f>
        <x:v>679</x:v>
      </x:c>
      <x:c r="B1079" s="440" t="n">
        <x:f>IF(ISNUMBER(H1078),H1078,"")</x:f>
        <x:v>0</x:v>
      </x:c>
      <x:c r="C1079" s="442" t="n">
        <x:f>IF(ISNUMBER(B1079),IF(AND(679&gt;$B$173,$B$78="Refinance",ISNUMBER($B$80),$B$80&gt;=0,$B$80&lt;=1,ROUND($B$81*12,0)&gt;=1,$B$81&lt;=100,SUM($B$82)&gt;=0,SUM($B$82)&lt;=1,SUM($B$83)&gt;=0),$B$80,IF(AND($B$175&gt;0,679&gt;$B$175,ISNUMBER($B$75)),$B$75,$B$61)),"")</x:f>
        <x:v>0.0625</x:v>
      </x:c>
      <x:c r="D1079" s="440" t="n">
        <x:f>IF(AND(ISNUMBER(B1079),B1079=0),0,IF(AND($B$171=1,I1078=0,ISNUMBER(C1079),ISNUMBER(IF(AND(679&lt;=$B$174,679&lt;=$B$173),B1079*C1079/12,IF(AND(679=$B$173+1,AND(679&gt;$B$173,$B$78="Refinance",ISNUMBER($B$80),$B$80&gt;=0,$B$80&lt;=1,ROUND($B$81*12,0)&gt;=1,$B$81&lt;=100,SUM($B$82)&gt;=0,SUM($B$82)&lt;=1,SUM($B$83)&gt;=0)),IF(B1079=0,0,IF(C1079=0,B1079/ROUND($B$81*12,0),B1079*(C1079/12)/(1-(1+C1079/12)^(-ROUND($B$81*12,0))))),IF(AND(NOT(AND(679&gt;$B$173,$B$78="Refinance",ISNUMBER($B$80),$B$80&gt;=0,$B$80&lt;=1,ROUND($B$81*12,0)&gt;=1,$B$81&lt;=100,SUM($B$82)&gt;=0,SUM($B$82)&lt;=1,SUM($B$83)&gt;=0)),OR(679=1,679=$B$174+1,AND($B$175&gt;0,679=$B$175+1))),IF(AND($B$170=1,$B$66&gt;0,OR($B$175=0,679&lt;=$B$175)),$B$66,IF($B$172-MAX(679-1,$B$174)&gt;0,IF(B1079=0,0,IF(C1079=0,B1079/($B$172-MAX(679-1,$B$174)),B1079*(C1079/12)/(1-(1+C1079/12)^(-($B$172-MAX(679-1,$B$174)))))),"")),D1078))))),IF(IF(AND(679&lt;=$B$174,679&lt;=$B$173),B1079*C1079/12,IF(AND(679=$B$173+1,AND(679&gt;$B$173,$B$78="Refinance",ISNUMBER($B$80),$B$80&gt;=0,$B$80&lt;=1,ROUND($B$81*12,0)&gt;=1,$B$81&lt;=100,SUM($B$82)&gt;=0,SUM($B$82)&lt;=1,SUM($B$83)&gt;=0)),IF(B1079=0,0,IF(C1079=0,B1079/ROUND($B$81*12,0),B1079*(C1079/12)/(1-(1+C1079/12)^(-ROUND($B$81*12,0))))),IF(AND(NOT(AND(679&gt;$B$173,$B$78="Refinance",ISNUMBER($B$80),$B$80&gt;=0,$B$80&lt;=1,ROUND($B$81*12,0)&gt;=1,$B$81&lt;=100,SUM($B$82)&gt;=0,SUM($B$82)&lt;=1,SUM($B$83)&gt;=0)),OR(679=1,679=$B$174+1,AND($B$175&gt;0,679=$B$175+1))),IF(AND($B$170=1,$B$66&gt;0,OR($B$175=0,679&lt;=$B$175)),$B$66,IF($B$172-MAX(679-1,$B$174)&gt;0,IF(B1079=0,0,IF(C1079=0,B1079/($B$172-MAX(679-1,$B$174)),B1079*(C1079/12)/(1-(1+C1079/12)^(-($B$172-MAX(679-1,$B$174)))))),"")),D1078)))+0.0000001&gt;=B1079*C1079/12,MIN(B1079*(1+C1079/12),IF(AND(679&lt;=$B$174,679&lt;=$B$173),B1079*C1079/12,IF(AND(679=$B$173+1,AND(679&gt;$B$173,$B$78="Refinance",ISNUMBER($B$80),$B$80&gt;=0,$B$80&lt;=1,ROUND($B$81*12,0)&gt;=1,$B$81&lt;=100,SUM($B$82)&gt;=0,SUM($B$82)&lt;=1,SUM($B$83)&gt;=0)),IF(B1079=0,0,IF(C1079=0,B1079/ROUND($B$81*12,0),B1079*(C1079/12)/(1-(1+C1079/12)^(-ROUND($B$81*12,0))))),IF(AND(NOT(AND(679&gt;$B$173,$B$78="Refinance",ISNUMBER($B$80),$B$80&gt;=0,$B$80&lt;=1,ROUND($B$81*12,0)&gt;=1,$B$81&lt;=100,SUM($B$82)&gt;=0,SUM($B$82)&lt;=1,SUM($B$83)&gt;=0)),OR(679=1,679=$B$174+1,AND($B$175&gt;0,679=$B$175+1))),IF(AND($B$170=1,$B$66&gt;0,OR($B$175=0,679&lt;=$B$175)),$B$66,IF($B$172-MAX(679-1,$B$174)&gt;0,IF(B1079=0,0,IF(C1079=0,B1079/($B$172-MAX(679-1,$B$174)),B1079*(C1079/12)/(1-(1+C1079/12)^(-($B$172-MAX(679-1,$B$174)))))),"")),D1078)))),""),""))</x:f>
        <x:v>0</x:v>
      </x:c>
      <x:c r="E1079" s="440" t="n">
        <x:f>IF(AND(679=$B$173,ISNUMBER(D1079)),IF(MAX(0,B1079*(1+C1079/12)-D1079)&lt;MAX(0.0000001,$E$17*0.00000000001),0,MAX(0,B1079*(1+C1079/12)-D1079)),0)</x:f>
        <x:v>0</x:v>
      </x:c>
      <x:c r="F1079" s="440" t="n">
        <x:f>IF($B$78="Cash payoff",E1079,0)</x:f>
        <x:v>0</x:v>
      </x:c>
      <x:c r="G1079" s="440" t="n">
        <x:f>IF(AND(E1079&gt;0,AND($B$78="Refinance",ISNUMBER($B$80),$B$80&gt;=0,$B$80&lt;=1,ROUND($B$81*12,0)&gt;=1,$B$81&lt;=100,SUM($B$82)&gt;=0,SUM($B$82)&lt;=1,SUM($B$83)&gt;=0)),E1079*SUM($B$82)+SUM($B$83),0)</x:f>
        <x:v>0</x:v>
      </x:c>
      <x:c r="H1079" s="440" t="n">
        <x:f>IF(ISNUMBER(D1079),IF(MAX(0,B1079*(1+C1079/12)-D1079-F1079)&lt;MAX(0.0000001,$E$17*0.00000000001),0,MAX(0,B1079*(1+C1079/12)-D1079-F1079)),IF(AND($B$171=1,I1078=1),B1079,""))</x:f>
        <x:v>0</x:v>
      </x:c>
      <x:c r="I1079" s="444" t="n">
        <x:f>IF(OR(I1078=1,AND(E1079&gt;0,$B$78&lt;&gt;"Cash payoff",NOT(AND($B$78="Refinance",ISNUMBER($B$80),$B$80&gt;=0,$B$80&lt;=1,ROUND($B$81*12,0)&gt;=1,$B$81&lt;=100,SUM($B$82)&gt;=0,SUM($B$82)&lt;=1,SUM($B$83)&gt;=0))),AND(ISNUMBER(B1079),B1079&gt;0,$B$171=1,NOT(ISNUMBER(D1079)))),1,0)</x:f>
        <x:v>0</x:v>
      </x:c>
      <x:c r="J1079" s="440" t="n">
        <x:f>IF(ISNUMBER(L1078),L1078,"")</x:f>
        <x:v>0</x:v>
      </x:c>
      <x:c r="K1079" s="440" t="n">
        <x:f>IF(AND(ISNUMBER(J1079),J1079=0),0,IF(AND($B$176=1,ISNUMBER(J1079)),MIN(J1079*(1+$B$87/12),IF($B$86=0,0,IF($B$87=0,$B$86/ROUND($B$88*12,0),$B$86*($B$87/12)/(1-(1+$B$87/12)^(-ROUND($B$88*12,0)))))),""))</x:f>
        <x:v>0</x:v>
      </x:c>
      <x:c r="L1079" s="440" t="n">
        <x:f>IF(ISNUMBER(K1079),IF(MAX(0,J1079*(1+SUM($B$87)/12)-K1079)&lt;MAX(0.0000001,$B$86*0.00000000001),0,MAX(0,J1079*(1+SUM($B$87)/12)-K1079)),"")</x:f>
        <x:v>0</x:v>
      </x:c>
      <x:c r="M1079" s="440" t="n">
        <x:f>IF(AND(ISNUMBER(D1079),ISNUMBER(K1079)),D1079+K1079,"")</x:f>
        <x:v>0</x:v>
      </x:c>
      <x:c r="N1079" s="440" t="n">
        <x:f>IF(AND(ISNUMBER(H1079),ISNUMBER(L1079)),H1079+L1079,"")</x:f>
        <x:v>0</x:v>
      </x:c>
    </x:row>
    <x:row r="1080" ht="22" customHeight="1">
      <x:c r="A1080" s="254" t="n">
        <x:f>680</x:f>
        <x:v>680</x:v>
      </x:c>
      <x:c r="B1080" s="440" t="n">
        <x:f>IF(ISNUMBER(H1079),H1079,"")</x:f>
        <x:v>0</x:v>
      </x:c>
      <x:c r="C1080" s="442" t="n">
        <x:f>IF(ISNUMBER(B1080),IF(AND(680&gt;$B$173,$B$78="Refinance",ISNUMBER($B$80),$B$80&gt;=0,$B$80&lt;=1,ROUND($B$81*12,0)&gt;=1,$B$81&lt;=100,SUM($B$82)&gt;=0,SUM($B$82)&lt;=1,SUM($B$83)&gt;=0),$B$80,IF(AND($B$175&gt;0,680&gt;$B$175,ISNUMBER($B$75)),$B$75,$B$61)),"")</x:f>
        <x:v>0.0625</x:v>
      </x:c>
      <x:c r="D1080" s="440" t="n">
        <x:f>IF(AND(ISNUMBER(B1080),B1080=0),0,IF(AND($B$171=1,I1079=0,ISNUMBER(C1080),ISNUMBER(IF(AND(680&lt;=$B$174,680&lt;=$B$173),B1080*C1080/12,IF(AND(680=$B$173+1,AND(680&gt;$B$173,$B$78="Refinance",ISNUMBER($B$80),$B$80&gt;=0,$B$80&lt;=1,ROUND($B$81*12,0)&gt;=1,$B$81&lt;=100,SUM($B$82)&gt;=0,SUM($B$82)&lt;=1,SUM($B$83)&gt;=0)),IF(B1080=0,0,IF(C1080=0,B1080/ROUND($B$81*12,0),B1080*(C1080/12)/(1-(1+C1080/12)^(-ROUND($B$81*12,0))))),IF(AND(NOT(AND(680&gt;$B$173,$B$78="Refinance",ISNUMBER($B$80),$B$80&gt;=0,$B$80&lt;=1,ROUND($B$81*12,0)&gt;=1,$B$81&lt;=100,SUM($B$82)&gt;=0,SUM($B$82)&lt;=1,SUM($B$83)&gt;=0)),OR(680=1,680=$B$174+1,AND($B$175&gt;0,680=$B$175+1))),IF(AND($B$170=1,$B$66&gt;0,OR($B$175=0,680&lt;=$B$175)),$B$66,IF($B$172-MAX(680-1,$B$174)&gt;0,IF(B1080=0,0,IF(C1080=0,B1080/($B$172-MAX(680-1,$B$174)),B1080*(C1080/12)/(1-(1+C1080/12)^(-($B$172-MAX(680-1,$B$174)))))),"")),D1079))))),IF(IF(AND(680&lt;=$B$174,680&lt;=$B$173),B1080*C1080/12,IF(AND(680=$B$173+1,AND(680&gt;$B$173,$B$78="Refinance",ISNUMBER($B$80),$B$80&gt;=0,$B$80&lt;=1,ROUND($B$81*12,0)&gt;=1,$B$81&lt;=100,SUM($B$82)&gt;=0,SUM($B$82)&lt;=1,SUM($B$83)&gt;=0)),IF(B1080=0,0,IF(C1080=0,B1080/ROUND($B$81*12,0),B1080*(C1080/12)/(1-(1+C1080/12)^(-ROUND($B$81*12,0))))),IF(AND(NOT(AND(680&gt;$B$173,$B$78="Refinance",ISNUMBER($B$80),$B$80&gt;=0,$B$80&lt;=1,ROUND($B$81*12,0)&gt;=1,$B$81&lt;=100,SUM($B$82)&gt;=0,SUM($B$82)&lt;=1,SUM($B$83)&gt;=0)),OR(680=1,680=$B$174+1,AND($B$175&gt;0,680=$B$175+1))),IF(AND($B$170=1,$B$66&gt;0,OR($B$175=0,680&lt;=$B$175)),$B$66,IF($B$172-MAX(680-1,$B$174)&gt;0,IF(B1080=0,0,IF(C1080=0,B1080/($B$172-MAX(680-1,$B$174)),B1080*(C1080/12)/(1-(1+C1080/12)^(-($B$172-MAX(680-1,$B$174)))))),"")),D1079)))+0.0000001&gt;=B1080*C1080/12,MIN(B1080*(1+C1080/12),IF(AND(680&lt;=$B$174,680&lt;=$B$173),B1080*C1080/12,IF(AND(680=$B$173+1,AND(680&gt;$B$173,$B$78="Refinance",ISNUMBER($B$80),$B$80&gt;=0,$B$80&lt;=1,ROUND($B$81*12,0)&gt;=1,$B$81&lt;=100,SUM($B$82)&gt;=0,SUM($B$82)&lt;=1,SUM($B$83)&gt;=0)),IF(B1080=0,0,IF(C1080=0,B1080/ROUND($B$81*12,0),B1080*(C1080/12)/(1-(1+C1080/12)^(-ROUND($B$81*12,0))))),IF(AND(NOT(AND(680&gt;$B$173,$B$78="Refinance",ISNUMBER($B$80),$B$80&gt;=0,$B$80&lt;=1,ROUND($B$81*12,0)&gt;=1,$B$81&lt;=100,SUM($B$82)&gt;=0,SUM($B$82)&lt;=1,SUM($B$83)&gt;=0)),OR(680=1,680=$B$174+1,AND($B$175&gt;0,680=$B$175+1))),IF(AND($B$170=1,$B$66&gt;0,OR($B$175=0,680&lt;=$B$175)),$B$66,IF($B$172-MAX(680-1,$B$174)&gt;0,IF(B1080=0,0,IF(C1080=0,B1080/($B$172-MAX(680-1,$B$174)),B1080*(C1080/12)/(1-(1+C1080/12)^(-($B$172-MAX(680-1,$B$174)))))),"")),D1079)))),""),""))</x:f>
        <x:v>0</x:v>
      </x:c>
      <x:c r="E1080" s="440" t="n">
        <x:f>IF(AND(680=$B$173,ISNUMBER(D1080)),IF(MAX(0,B1080*(1+C1080/12)-D1080)&lt;MAX(0.0000001,$E$17*0.00000000001),0,MAX(0,B1080*(1+C1080/12)-D1080)),0)</x:f>
        <x:v>0</x:v>
      </x:c>
      <x:c r="F1080" s="440" t="n">
        <x:f>IF($B$78="Cash payoff",E1080,0)</x:f>
        <x:v>0</x:v>
      </x:c>
      <x:c r="G1080" s="440" t="n">
        <x:f>IF(AND(E1080&gt;0,AND($B$78="Refinance",ISNUMBER($B$80),$B$80&gt;=0,$B$80&lt;=1,ROUND($B$81*12,0)&gt;=1,$B$81&lt;=100,SUM($B$82)&gt;=0,SUM($B$82)&lt;=1,SUM($B$83)&gt;=0)),E1080*SUM($B$82)+SUM($B$83),0)</x:f>
        <x:v>0</x:v>
      </x:c>
      <x:c r="H1080" s="440" t="n">
        <x:f>IF(ISNUMBER(D1080),IF(MAX(0,B1080*(1+C1080/12)-D1080-F1080)&lt;MAX(0.0000001,$E$17*0.00000000001),0,MAX(0,B1080*(1+C1080/12)-D1080-F1080)),IF(AND($B$171=1,I1079=1),B1080,""))</x:f>
        <x:v>0</x:v>
      </x:c>
      <x:c r="I1080" s="444" t="n">
        <x:f>IF(OR(I1079=1,AND(E1080&gt;0,$B$78&lt;&gt;"Cash payoff",NOT(AND($B$78="Refinance",ISNUMBER($B$80),$B$80&gt;=0,$B$80&lt;=1,ROUND($B$81*12,0)&gt;=1,$B$81&lt;=100,SUM($B$82)&gt;=0,SUM($B$82)&lt;=1,SUM($B$83)&gt;=0))),AND(ISNUMBER(B1080),B1080&gt;0,$B$171=1,NOT(ISNUMBER(D1080)))),1,0)</x:f>
        <x:v>0</x:v>
      </x:c>
      <x:c r="J1080" s="440" t="n">
        <x:f>IF(ISNUMBER(L1079),L1079,"")</x:f>
        <x:v>0</x:v>
      </x:c>
      <x:c r="K1080" s="440" t="n">
        <x:f>IF(AND(ISNUMBER(J1080),J1080=0),0,IF(AND($B$176=1,ISNUMBER(J1080)),MIN(J1080*(1+$B$87/12),IF($B$86=0,0,IF($B$87=0,$B$86/ROUND($B$88*12,0),$B$86*($B$87/12)/(1-(1+$B$87/12)^(-ROUND($B$88*12,0)))))),""))</x:f>
        <x:v>0</x:v>
      </x:c>
      <x:c r="L1080" s="440" t="n">
        <x:f>IF(ISNUMBER(K1080),IF(MAX(0,J1080*(1+SUM($B$87)/12)-K1080)&lt;MAX(0.0000001,$B$86*0.00000000001),0,MAX(0,J1080*(1+SUM($B$87)/12)-K1080)),"")</x:f>
        <x:v>0</x:v>
      </x:c>
      <x:c r="M1080" s="440" t="n">
        <x:f>IF(AND(ISNUMBER(D1080),ISNUMBER(K1080)),D1080+K1080,"")</x:f>
        <x:v>0</x:v>
      </x:c>
      <x:c r="N1080" s="440" t="n">
        <x:f>IF(AND(ISNUMBER(H1080),ISNUMBER(L1080)),H1080+L1080,"")</x:f>
        <x:v>0</x:v>
      </x:c>
    </x:row>
    <x:row r="1081" ht="22" customHeight="1">
      <x:c r="A1081" s="254" t="n">
        <x:f>681</x:f>
        <x:v>681</x:v>
      </x:c>
      <x:c r="B1081" s="440" t="n">
        <x:f>IF(ISNUMBER(H1080),H1080,"")</x:f>
        <x:v>0</x:v>
      </x:c>
      <x:c r="C1081" s="442" t="n">
        <x:f>IF(ISNUMBER(B1081),IF(AND(681&gt;$B$173,$B$78="Refinance",ISNUMBER($B$80),$B$80&gt;=0,$B$80&lt;=1,ROUND($B$81*12,0)&gt;=1,$B$81&lt;=100,SUM($B$82)&gt;=0,SUM($B$82)&lt;=1,SUM($B$83)&gt;=0),$B$80,IF(AND($B$175&gt;0,681&gt;$B$175,ISNUMBER($B$75)),$B$75,$B$61)),"")</x:f>
        <x:v>0.0625</x:v>
      </x:c>
      <x:c r="D1081" s="440" t="n">
        <x:f>IF(AND(ISNUMBER(B1081),B1081=0),0,IF(AND($B$171=1,I1080=0,ISNUMBER(C1081),ISNUMBER(IF(AND(681&lt;=$B$174,681&lt;=$B$173),B1081*C1081/12,IF(AND(681=$B$173+1,AND(681&gt;$B$173,$B$78="Refinance",ISNUMBER($B$80),$B$80&gt;=0,$B$80&lt;=1,ROUND($B$81*12,0)&gt;=1,$B$81&lt;=100,SUM($B$82)&gt;=0,SUM($B$82)&lt;=1,SUM($B$83)&gt;=0)),IF(B1081=0,0,IF(C1081=0,B1081/ROUND($B$81*12,0),B1081*(C1081/12)/(1-(1+C1081/12)^(-ROUND($B$81*12,0))))),IF(AND(NOT(AND(681&gt;$B$173,$B$78="Refinance",ISNUMBER($B$80),$B$80&gt;=0,$B$80&lt;=1,ROUND($B$81*12,0)&gt;=1,$B$81&lt;=100,SUM($B$82)&gt;=0,SUM($B$82)&lt;=1,SUM($B$83)&gt;=0)),OR(681=1,681=$B$174+1,AND($B$175&gt;0,681=$B$175+1))),IF(AND($B$170=1,$B$66&gt;0,OR($B$175=0,681&lt;=$B$175)),$B$66,IF($B$172-MAX(681-1,$B$174)&gt;0,IF(B1081=0,0,IF(C1081=0,B1081/($B$172-MAX(681-1,$B$174)),B1081*(C1081/12)/(1-(1+C1081/12)^(-($B$172-MAX(681-1,$B$174)))))),"")),D1080))))),IF(IF(AND(681&lt;=$B$174,681&lt;=$B$173),B1081*C1081/12,IF(AND(681=$B$173+1,AND(681&gt;$B$173,$B$78="Refinance",ISNUMBER($B$80),$B$80&gt;=0,$B$80&lt;=1,ROUND($B$81*12,0)&gt;=1,$B$81&lt;=100,SUM($B$82)&gt;=0,SUM($B$82)&lt;=1,SUM($B$83)&gt;=0)),IF(B1081=0,0,IF(C1081=0,B1081/ROUND($B$81*12,0),B1081*(C1081/12)/(1-(1+C1081/12)^(-ROUND($B$81*12,0))))),IF(AND(NOT(AND(681&gt;$B$173,$B$78="Refinance",ISNUMBER($B$80),$B$80&gt;=0,$B$80&lt;=1,ROUND($B$81*12,0)&gt;=1,$B$81&lt;=100,SUM($B$82)&gt;=0,SUM($B$82)&lt;=1,SUM($B$83)&gt;=0)),OR(681=1,681=$B$174+1,AND($B$175&gt;0,681=$B$175+1))),IF(AND($B$170=1,$B$66&gt;0,OR($B$175=0,681&lt;=$B$175)),$B$66,IF($B$172-MAX(681-1,$B$174)&gt;0,IF(B1081=0,0,IF(C1081=0,B1081/($B$172-MAX(681-1,$B$174)),B1081*(C1081/12)/(1-(1+C1081/12)^(-($B$172-MAX(681-1,$B$174)))))),"")),D1080)))+0.0000001&gt;=B1081*C1081/12,MIN(B1081*(1+C1081/12),IF(AND(681&lt;=$B$174,681&lt;=$B$173),B1081*C1081/12,IF(AND(681=$B$173+1,AND(681&gt;$B$173,$B$78="Refinance",ISNUMBER($B$80),$B$80&gt;=0,$B$80&lt;=1,ROUND($B$81*12,0)&gt;=1,$B$81&lt;=100,SUM($B$82)&gt;=0,SUM($B$82)&lt;=1,SUM($B$83)&gt;=0)),IF(B1081=0,0,IF(C1081=0,B1081/ROUND($B$81*12,0),B1081*(C1081/12)/(1-(1+C1081/12)^(-ROUND($B$81*12,0))))),IF(AND(NOT(AND(681&gt;$B$173,$B$78="Refinance",ISNUMBER($B$80),$B$80&gt;=0,$B$80&lt;=1,ROUND($B$81*12,0)&gt;=1,$B$81&lt;=100,SUM($B$82)&gt;=0,SUM($B$82)&lt;=1,SUM($B$83)&gt;=0)),OR(681=1,681=$B$174+1,AND($B$175&gt;0,681=$B$175+1))),IF(AND($B$170=1,$B$66&gt;0,OR($B$175=0,681&lt;=$B$175)),$B$66,IF($B$172-MAX(681-1,$B$174)&gt;0,IF(B1081=0,0,IF(C1081=0,B1081/($B$172-MAX(681-1,$B$174)),B1081*(C1081/12)/(1-(1+C1081/12)^(-($B$172-MAX(681-1,$B$174)))))),"")),D1080)))),""),""))</x:f>
        <x:v>0</x:v>
      </x:c>
      <x:c r="E1081" s="440" t="n">
        <x:f>IF(AND(681=$B$173,ISNUMBER(D1081)),IF(MAX(0,B1081*(1+C1081/12)-D1081)&lt;MAX(0.0000001,$E$17*0.00000000001),0,MAX(0,B1081*(1+C1081/12)-D1081)),0)</x:f>
        <x:v>0</x:v>
      </x:c>
      <x:c r="F1081" s="440" t="n">
        <x:f>IF($B$78="Cash payoff",E1081,0)</x:f>
        <x:v>0</x:v>
      </x:c>
      <x:c r="G1081" s="440" t="n">
        <x:f>IF(AND(E1081&gt;0,AND($B$78="Refinance",ISNUMBER($B$80),$B$80&gt;=0,$B$80&lt;=1,ROUND($B$81*12,0)&gt;=1,$B$81&lt;=100,SUM($B$82)&gt;=0,SUM($B$82)&lt;=1,SUM($B$83)&gt;=0)),E1081*SUM($B$82)+SUM($B$83),0)</x:f>
        <x:v>0</x:v>
      </x:c>
      <x:c r="H1081" s="440" t="n">
        <x:f>IF(ISNUMBER(D1081),IF(MAX(0,B1081*(1+C1081/12)-D1081-F1081)&lt;MAX(0.0000001,$E$17*0.00000000001),0,MAX(0,B1081*(1+C1081/12)-D1081-F1081)),IF(AND($B$171=1,I1080=1),B1081,""))</x:f>
        <x:v>0</x:v>
      </x:c>
      <x:c r="I1081" s="444" t="n">
        <x:f>IF(OR(I1080=1,AND(E1081&gt;0,$B$78&lt;&gt;"Cash payoff",NOT(AND($B$78="Refinance",ISNUMBER($B$80),$B$80&gt;=0,$B$80&lt;=1,ROUND($B$81*12,0)&gt;=1,$B$81&lt;=100,SUM($B$82)&gt;=0,SUM($B$82)&lt;=1,SUM($B$83)&gt;=0))),AND(ISNUMBER(B1081),B1081&gt;0,$B$171=1,NOT(ISNUMBER(D1081)))),1,0)</x:f>
        <x:v>0</x:v>
      </x:c>
      <x:c r="J1081" s="440" t="n">
        <x:f>IF(ISNUMBER(L1080),L1080,"")</x:f>
        <x:v>0</x:v>
      </x:c>
      <x:c r="K1081" s="440" t="n">
        <x:f>IF(AND(ISNUMBER(J1081),J1081=0),0,IF(AND($B$176=1,ISNUMBER(J1081)),MIN(J1081*(1+$B$87/12),IF($B$86=0,0,IF($B$87=0,$B$86/ROUND($B$88*12,0),$B$86*($B$87/12)/(1-(1+$B$87/12)^(-ROUND($B$88*12,0)))))),""))</x:f>
        <x:v>0</x:v>
      </x:c>
      <x:c r="L1081" s="440" t="n">
        <x:f>IF(ISNUMBER(K1081),IF(MAX(0,J1081*(1+SUM($B$87)/12)-K1081)&lt;MAX(0.0000001,$B$86*0.00000000001),0,MAX(0,J1081*(1+SUM($B$87)/12)-K1081)),"")</x:f>
        <x:v>0</x:v>
      </x:c>
      <x:c r="M1081" s="440" t="n">
        <x:f>IF(AND(ISNUMBER(D1081),ISNUMBER(K1081)),D1081+K1081,"")</x:f>
        <x:v>0</x:v>
      </x:c>
      <x:c r="N1081" s="440" t="n">
        <x:f>IF(AND(ISNUMBER(H1081),ISNUMBER(L1081)),H1081+L1081,"")</x:f>
        <x:v>0</x:v>
      </x:c>
    </x:row>
    <x:row r="1082" ht="22" customHeight="1">
      <x:c r="A1082" s="254" t="n">
        <x:f>682</x:f>
        <x:v>682</x:v>
      </x:c>
      <x:c r="B1082" s="440" t="n">
        <x:f>IF(ISNUMBER(H1081),H1081,"")</x:f>
        <x:v>0</x:v>
      </x:c>
      <x:c r="C1082" s="442" t="n">
        <x:f>IF(ISNUMBER(B1082),IF(AND(682&gt;$B$173,$B$78="Refinance",ISNUMBER($B$80),$B$80&gt;=0,$B$80&lt;=1,ROUND($B$81*12,0)&gt;=1,$B$81&lt;=100,SUM($B$82)&gt;=0,SUM($B$82)&lt;=1,SUM($B$83)&gt;=0),$B$80,IF(AND($B$175&gt;0,682&gt;$B$175,ISNUMBER($B$75)),$B$75,$B$61)),"")</x:f>
        <x:v>0.0625</x:v>
      </x:c>
      <x:c r="D1082" s="440" t="n">
        <x:f>IF(AND(ISNUMBER(B1082),B1082=0),0,IF(AND($B$171=1,I1081=0,ISNUMBER(C1082),ISNUMBER(IF(AND(682&lt;=$B$174,682&lt;=$B$173),B1082*C1082/12,IF(AND(682=$B$173+1,AND(682&gt;$B$173,$B$78="Refinance",ISNUMBER($B$80),$B$80&gt;=0,$B$80&lt;=1,ROUND($B$81*12,0)&gt;=1,$B$81&lt;=100,SUM($B$82)&gt;=0,SUM($B$82)&lt;=1,SUM($B$83)&gt;=0)),IF(B1082=0,0,IF(C1082=0,B1082/ROUND($B$81*12,0),B1082*(C1082/12)/(1-(1+C1082/12)^(-ROUND($B$81*12,0))))),IF(AND(NOT(AND(682&gt;$B$173,$B$78="Refinance",ISNUMBER($B$80),$B$80&gt;=0,$B$80&lt;=1,ROUND($B$81*12,0)&gt;=1,$B$81&lt;=100,SUM($B$82)&gt;=0,SUM($B$82)&lt;=1,SUM($B$83)&gt;=0)),OR(682=1,682=$B$174+1,AND($B$175&gt;0,682=$B$175+1))),IF(AND($B$170=1,$B$66&gt;0,OR($B$175=0,682&lt;=$B$175)),$B$66,IF($B$172-MAX(682-1,$B$174)&gt;0,IF(B1082=0,0,IF(C1082=0,B1082/($B$172-MAX(682-1,$B$174)),B1082*(C1082/12)/(1-(1+C1082/12)^(-($B$172-MAX(682-1,$B$174)))))),"")),D1081))))),IF(IF(AND(682&lt;=$B$174,682&lt;=$B$173),B1082*C1082/12,IF(AND(682=$B$173+1,AND(682&gt;$B$173,$B$78="Refinance",ISNUMBER($B$80),$B$80&gt;=0,$B$80&lt;=1,ROUND($B$81*12,0)&gt;=1,$B$81&lt;=100,SUM($B$82)&gt;=0,SUM($B$82)&lt;=1,SUM($B$83)&gt;=0)),IF(B1082=0,0,IF(C1082=0,B1082/ROUND($B$81*12,0),B1082*(C1082/12)/(1-(1+C1082/12)^(-ROUND($B$81*12,0))))),IF(AND(NOT(AND(682&gt;$B$173,$B$78="Refinance",ISNUMBER($B$80),$B$80&gt;=0,$B$80&lt;=1,ROUND($B$81*12,0)&gt;=1,$B$81&lt;=100,SUM($B$82)&gt;=0,SUM($B$82)&lt;=1,SUM($B$83)&gt;=0)),OR(682=1,682=$B$174+1,AND($B$175&gt;0,682=$B$175+1))),IF(AND($B$170=1,$B$66&gt;0,OR($B$175=0,682&lt;=$B$175)),$B$66,IF($B$172-MAX(682-1,$B$174)&gt;0,IF(B1082=0,0,IF(C1082=0,B1082/($B$172-MAX(682-1,$B$174)),B1082*(C1082/12)/(1-(1+C1082/12)^(-($B$172-MAX(682-1,$B$174)))))),"")),D1081)))+0.0000001&gt;=B1082*C1082/12,MIN(B1082*(1+C1082/12),IF(AND(682&lt;=$B$174,682&lt;=$B$173),B1082*C1082/12,IF(AND(682=$B$173+1,AND(682&gt;$B$173,$B$78="Refinance",ISNUMBER($B$80),$B$80&gt;=0,$B$80&lt;=1,ROUND($B$81*12,0)&gt;=1,$B$81&lt;=100,SUM($B$82)&gt;=0,SUM($B$82)&lt;=1,SUM($B$83)&gt;=0)),IF(B1082=0,0,IF(C1082=0,B1082/ROUND($B$81*12,0),B1082*(C1082/12)/(1-(1+C1082/12)^(-ROUND($B$81*12,0))))),IF(AND(NOT(AND(682&gt;$B$173,$B$78="Refinance",ISNUMBER($B$80),$B$80&gt;=0,$B$80&lt;=1,ROUND($B$81*12,0)&gt;=1,$B$81&lt;=100,SUM($B$82)&gt;=0,SUM($B$82)&lt;=1,SUM($B$83)&gt;=0)),OR(682=1,682=$B$174+1,AND($B$175&gt;0,682=$B$175+1))),IF(AND($B$170=1,$B$66&gt;0,OR($B$175=0,682&lt;=$B$175)),$B$66,IF($B$172-MAX(682-1,$B$174)&gt;0,IF(B1082=0,0,IF(C1082=0,B1082/($B$172-MAX(682-1,$B$174)),B1082*(C1082/12)/(1-(1+C1082/12)^(-($B$172-MAX(682-1,$B$174)))))),"")),D1081)))),""),""))</x:f>
        <x:v>0</x:v>
      </x:c>
      <x:c r="E1082" s="440" t="n">
        <x:f>IF(AND(682=$B$173,ISNUMBER(D1082)),IF(MAX(0,B1082*(1+C1082/12)-D1082)&lt;MAX(0.0000001,$E$17*0.00000000001),0,MAX(0,B1082*(1+C1082/12)-D1082)),0)</x:f>
        <x:v>0</x:v>
      </x:c>
      <x:c r="F1082" s="440" t="n">
        <x:f>IF($B$78="Cash payoff",E1082,0)</x:f>
        <x:v>0</x:v>
      </x:c>
      <x:c r="G1082" s="440" t="n">
        <x:f>IF(AND(E1082&gt;0,AND($B$78="Refinance",ISNUMBER($B$80),$B$80&gt;=0,$B$80&lt;=1,ROUND($B$81*12,0)&gt;=1,$B$81&lt;=100,SUM($B$82)&gt;=0,SUM($B$82)&lt;=1,SUM($B$83)&gt;=0)),E1082*SUM($B$82)+SUM($B$83),0)</x:f>
        <x:v>0</x:v>
      </x:c>
      <x:c r="H1082" s="440" t="n">
        <x:f>IF(ISNUMBER(D1082),IF(MAX(0,B1082*(1+C1082/12)-D1082-F1082)&lt;MAX(0.0000001,$E$17*0.00000000001),0,MAX(0,B1082*(1+C1082/12)-D1082-F1082)),IF(AND($B$171=1,I1081=1),B1082,""))</x:f>
        <x:v>0</x:v>
      </x:c>
      <x:c r="I1082" s="444" t="n">
        <x:f>IF(OR(I1081=1,AND(E1082&gt;0,$B$78&lt;&gt;"Cash payoff",NOT(AND($B$78="Refinance",ISNUMBER($B$80),$B$80&gt;=0,$B$80&lt;=1,ROUND($B$81*12,0)&gt;=1,$B$81&lt;=100,SUM($B$82)&gt;=0,SUM($B$82)&lt;=1,SUM($B$83)&gt;=0))),AND(ISNUMBER(B1082),B1082&gt;0,$B$171=1,NOT(ISNUMBER(D1082)))),1,0)</x:f>
        <x:v>0</x:v>
      </x:c>
      <x:c r="J1082" s="440" t="n">
        <x:f>IF(ISNUMBER(L1081),L1081,"")</x:f>
        <x:v>0</x:v>
      </x:c>
      <x:c r="K1082" s="440" t="n">
        <x:f>IF(AND(ISNUMBER(J1082),J1082=0),0,IF(AND($B$176=1,ISNUMBER(J1082)),MIN(J1082*(1+$B$87/12),IF($B$86=0,0,IF($B$87=0,$B$86/ROUND($B$88*12,0),$B$86*($B$87/12)/(1-(1+$B$87/12)^(-ROUND($B$88*12,0)))))),""))</x:f>
        <x:v>0</x:v>
      </x:c>
      <x:c r="L1082" s="440" t="n">
        <x:f>IF(ISNUMBER(K1082),IF(MAX(0,J1082*(1+SUM($B$87)/12)-K1082)&lt;MAX(0.0000001,$B$86*0.00000000001),0,MAX(0,J1082*(1+SUM($B$87)/12)-K1082)),"")</x:f>
        <x:v>0</x:v>
      </x:c>
      <x:c r="M1082" s="440" t="n">
        <x:f>IF(AND(ISNUMBER(D1082),ISNUMBER(K1082)),D1082+K1082,"")</x:f>
        <x:v>0</x:v>
      </x:c>
      <x:c r="N1082" s="440" t="n">
        <x:f>IF(AND(ISNUMBER(H1082),ISNUMBER(L1082)),H1082+L1082,"")</x:f>
        <x:v>0</x:v>
      </x:c>
    </x:row>
    <x:row r="1083" ht="22" customHeight="1">
      <x:c r="A1083" s="254" t="n">
        <x:f>683</x:f>
        <x:v>683</x:v>
      </x:c>
      <x:c r="B1083" s="440" t="n">
        <x:f>IF(ISNUMBER(H1082),H1082,"")</x:f>
        <x:v>0</x:v>
      </x:c>
      <x:c r="C1083" s="442" t="n">
        <x:f>IF(ISNUMBER(B1083),IF(AND(683&gt;$B$173,$B$78="Refinance",ISNUMBER($B$80),$B$80&gt;=0,$B$80&lt;=1,ROUND($B$81*12,0)&gt;=1,$B$81&lt;=100,SUM($B$82)&gt;=0,SUM($B$82)&lt;=1,SUM($B$83)&gt;=0),$B$80,IF(AND($B$175&gt;0,683&gt;$B$175,ISNUMBER($B$75)),$B$75,$B$61)),"")</x:f>
        <x:v>0.0625</x:v>
      </x:c>
      <x:c r="D1083" s="440" t="n">
        <x:f>IF(AND(ISNUMBER(B1083),B1083=0),0,IF(AND($B$171=1,I1082=0,ISNUMBER(C1083),ISNUMBER(IF(AND(683&lt;=$B$174,683&lt;=$B$173),B1083*C1083/12,IF(AND(683=$B$173+1,AND(683&gt;$B$173,$B$78="Refinance",ISNUMBER($B$80),$B$80&gt;=0,$B$80&lt;=1,ROUND($B$81*12,0)&gt;=1,$B$81&lt;=100,SUM($B$82)&gt;=0,SUM($B$82)&lt;=1,SUM($B$83)&gt;=0)),IF(B1083=0,0,IF(C1083=0,B1083/ROUND($B$81*12,0),B1083*(C1083/12)/(1-(1+C1083/12)^(-ROUND($B$81*12,0))))),IF(AND(NOT(AND(683&gt;$B$173,$B$78="Refinance",ISNUMBER($B$80),$B$80&gt;=0,$B$80&lt;=1,ROUND($B$81*12,0)&gt;=1,$B$81&lt;=100,SUM($B$82)&gt;=0,SUM($B$82)&lt;=1,SUM($B$83)&gt;=0)),OR(683=1,683=$B$174+1,AND($B$175&gt;0,683=$B$175+1))),IF(AND($B$170=1,$B$66&gt;0,OR($B$175=0,683&lt;=$B$175)),$B$66,IF($B$172-MAX(683-1,$B$174)&gt;0,IF(B1083=0,0,IF(C1083=0,B1083/($B$172-MAX(683-1,$B$174)),B1083*(C1083/12)/(1-(1+C1083/12)^(-($B$172-MAX(683-1,$B$174)))))),"")),D1082))))),IF(IF(AND(683&lt;=$B$174,683&lt;=$B$173),B1083*C1083/12,IF(AND(683=$B$173+1,AND(683&gt;$B$173,$B$78="Refinance",ISNUMBER($B$80),$B$80&gt;=0,$B$80&lt;=1,ROUND($B$81*12,0)&gt;=1,$B$81&lt;=100,SUM($B$82)&gt;=0,SUM($B$82)&lt;=1,SUM($B$83)&gt;=0)),IF(B1083=0,0,IF(C1083=0,B1083/ROUND($B$81*12,0),B1083*(C1083/12)/(1-(1+C1083/12)^(-ROUND($B$81*12,0))))),IF(AND(NOT(AND(683&gt;$B$173,$B$78="Refinance",ISNUMBER($B$80),$B$80&gt;=0,$B$80&lt;=1,ROUND($B$81*12,0)&gt;=1,$B$81&lt;=100,SUM($B$82)&gt;=0,SUM($B$82)&lt;=1,SUM($B$83)&gt;=0)),OR(683=1,683=$B$174+1,AND($B$175&gt;0,683=$B$175+1))),IF(AND($B$170=1,$B$66&gt;0,OR($B$175=0,683&lt;=$B$175)),$B$66,IF($B$172-MAX(683-1,$B$174)&gt;0,IF(B1083=0,0,IF(C1083=0,B1083/($B$172-MAX(683-1,$B$174)),B1083*(C1083/12)/(1-(1+C1083/12)^(-($B$172-MAX(683-1,$B$174)))))),"")),D1082)))+0.0000001&gt;=B1083*C1083/12,MIN(B1083*(1+C1083/12),IF(AND(683&lt;=$B$174,683&lt;=$B$173),B1083*C1083/12,IF(AND(683=$B$173+1,AND(683&gt;$B$173,$B$78="Refinance",ISNUMBER($B$80),$B$80&gt;=0,$B$80&lt;=1,ROUND($B$81*12,0)&gt;=1,$B$81&lt;=100,SUM($B$82)&gt;=0,SUM($B$82)&lt;=1,SUM($B$83)&gt;=0)),IF(B1083=0,0,IF(C1083=0,B1083/ROUND($B$81*12,0),B1083*(C1083/12)/(1-(1+C1083/12)^(-ROUND($B$81*12,0))))),IF(AND(NOT(AND(683&gt;$B$173,$B$78="Refinance",ISNUMBER($B$80),$B$80&gt;=0,$B$80&lt;=1,ROUND($B$81*12,0)&gt;=1,$B$81&lt;=100,SUM($B$82)&gt;=0,SUM($B$82)&lt;=1,SUM($B$83)&gt;=0)),OR(683=1,683=$B$174+1,AND($B$175&gt;0,683=$B$175+1))),IF(AND($B$170=1,$B$66&gt;0,OR($B$175=0,683&lt;=$B$175)),$B$66,IF($B$172-MAX(683-1,$B$174)&gt;0,IF(B1083=0,0,IF(C1083=0,B1083/($B$172-MAX(683-1,$B$174)),B1083*(C1083/12)/(1-(1+C1083/12)^(-($B$172-MAX(683-1,$B$174)))))),"")),D1082)))),""),""))</x:f>
        <x:v>0</x:v>
      </x:c>
      <x:c r="E1083" s="440" t="n">
        <x:f>IF(AND(683=$B$173,ISNUMBER(D1083)),IF(MAX(0,B1083*(1+C1083/12)-D1083)&lt;MAX(0.0000001,$E$17*0.00000000001),0,MAX(0,B1083*(1+C1083/12)-D1083)),0)</x:f>
        <x:v>0</x:v>
      </x:c>
      <x:c r="F1083" s="440" t="n">
        <x:f>IF($B$78="Cash payoff",E1083,0)</x:f>
        <x:v>0</x:v>
      </x:c>
      <x:c r="G1083" s="440" t="n">
        <x:f>IF(AND(E1083&gt;0,AND($B$78="Refinance",ISNUMBER($B$80),$B$80&gt;=0,$B$80&lt;=1,ROUND($B$81*12,0)&gt;=1,$B$81&lt;=100,SUM($B$82)&gt;=0,SUM($B$82)&lt;=1,SUM($B$83)&gt;=0)),E1083*SUM($B$82)+SUM($B$83),0)</x:f>
        <x:v>0</x:v>
      </x:c>
      <x:c r="H1083" s="440" t="n">
        <x:f>IF(ISNUMBER(D1083),IF(MAX(0,B1083*(1+C1083/12)-D1083-F1083)&lt;MAX(0.0000001,$E$17*0.00000000001),0,MAX(0,B1083*(1+C1083/12)-D1083-F1083)),IF(AND($B$171=1,I1082=1),B1083,""))</x:f>
        <x:v>0</x:v>
      </x:c>
      <x:c r="I1083" s="444" t="n">
        <x:f>IF(OR(I1082=1,AND(E1083&gt;0,$B$78&lt;&gt;"Cash payoff",NOT(AND($B$78="Refinance",ISNUMBER($B$80),$B$80&gt;=0,$B$80&lt;=1,ROUND($B$81*12,0)&gt;=1,$B$81&lt;=100,SUM($B$82)&gt;=0,SUM($B$82)&lt;=1,SUM($B$83)&gt;=0))),AND(ISNUMBER(B1083),B1083&gt;0,$B$171=1,NOT(ISNUMBER(D1083)))),1,0)</x:f>
        <x:v>0</x:v>
      </x:c>
      <x:c r="J1083" s="440" t="n">
        <x:f>IF(ISNUMBER(L1082),L1082,"")</x:f>
        <x:v>0</x:v>
      </x:c>
      <x:c r="K1083" s="440" t="n">
        <x:f>IF(AND(ISNUMBER(J1083),J1083=0),0,IF(AND($B$176=1,ISNUMBER(J1083)),MIN(J1083*(1+$B$87/12),IF($B$86=0,0,IF($B$87=0,$B$86/ROUND($B$88*12,0),$B$86*($B$87/12)/(1-(1+$B$87/12)^(-ROUND($B$88*12,0)))))),""))</x:f>
        <x:v>0</x:v>
      </x:c>
      <x:c r="L1083" s="440" t="n">
        <x:f>IF(ISNUMBER(K1083),IF(MAX(0,J1083*(1+SUM($B$87)/12)-K1083)&lt;MAX(0.0000001,$B$86*0.00000000001),0,MAX(0,J1083*(1+SUM($B$87)/12)-K1083)),"")</x:f>
        <x:v>0</x:v>
      </x:c>
      <x:c r="M1083" s="440" t="n">
        <x:f>IF(AND(ISNUMBER(D1083),ISNUMBER(K1083)),D1083+K1083,"")</x:f>
        <x:v>0</x:v>
      </x:c>
      <x:c r="N1083" s="440" t="n">
        <x:f>IF(AND(ISNUMBER(H1083),ISNUMBER(L1083)),H1083+L1083,"")</x:f>
        <x:v>0</x:v>
      </x:c>
    </x:row>
    <x:row r="1084" ht="22" customHeight="1">
      <x:c r="A1084" s="254" t="n">
        <x:f>684</x:f>
        <x:v>684</x:v>
      </x:c>
      <x:c r="B1084" s="440" t="n">
        <x:f>IF(ISNUMBER(H1083),H1083,"")</x:f>
        <x:v>0</x:v>
      </x:c>
      <x:c r="C1084" s="442" t="n">
        <x:f>IF(ISNUMBER(B1084),IF(AND(684&gt;$B$173,$B$78="Refinance",ISNUMBER($B$80),$B$80&gt;=0,$B$80&lt;=1,ROUND($B$81*12,0)&gt;=1,$B$81&lt;=100,SUM($B$82)&gt;=0,SUM($B$82)&lt;=1,SUM($B$83)&gt;=0),$B$80,IF(AND($B$175&gt;0,684&gt;$B$175,ISNUMBER($B$75)),$B$75,$B$61)),"")</x:f>
        <x:v>0.0625</x:v>
      </x:c>
      <x:c r="D1084" s="440" t="n">
        <x:f>IF(AND(ISNUMBER(B1084),B1084=0),0,IF(AND($B$171=1,I1083=0,ISNUMBER(C1084),ISNUMBER(IF(AND(684&lt;=$B$174,684&lt;=$B$173),B1084*C1084/12,IF(AND(684=$B$173+1,AND(684&gt;$B$173,$B$78="Refinance",ISNUMBER($B$80),$B$80&gt;=0,$B$80&lt;=1,ROUND($B$81*12,0)&gt;=1,$B$81&lt;=100,SUM($B$82)&gt;=0,SUM($B$82)&lt;=1,SUM($B$83)&gt;=0)),IF(B1084=0,0,IF(C1084=0,B1084/ROUND($B$81*12,0),B1084*(C1084/12)/(1-(1+C1084/12)^(-ROUND($B$81*12,0))))),IF(AND(NOT(AND(684&gt;$B$173,$B$78="Refinance",ISNUMBER($B$80),$B$80&gt;=0,$B$80&lt;=1,ROUND($B$81*12,0)&gt;=1,$B$81&lt;=100,SUM($B$82)&gt;=0,SUM($B$82)&lt;=1,SUM($B$83)&gt;=0)),OR(684=1,684=$B$174+1,AND($B$175&gt;0,684=$B$175+1))),IF(AND($B$170=1,$B$66&gt;0,OR($B$175=0,684&lt;=$B$175)),$B$66,IF($B$172-MAX(684-1,$B$174)&gt;0,IF(B1084=0,0,IF(C1084=0,B1084/($B$172-MAX(684-1,$B$174)),B1084*(C1084/12)/(1-(1+C1084/12)^(-($B$172-MAX(684-1,$B$174)))))),"")),D1083))))),IF(IF(AND(684&lt;=$B$174,684&lt;=$B$173),B1084*C1084/12,IF(AND(684=$B$173+1,AND(684&gt;$B$173,$B$78="Refinance",ISNUMBER($B$80),$B$80&gt;=0,$B$80&lt;=1,ROUND($B$81*12,0)&gt;=1,$B$81&lt;=100,SUM($B$82)&gt;=0,SUM($B$82)&lt;=1,SUM($B$83)&gt;=0)),IF(B1084=0,0,IF(C1084=0,B1084/ROUND($B$81*12,0),B1084*(C1084/12)/(1-(1+C1084/12)^(-ROUND($B$81*12,0))))),IF(AND(NOT(AND(684&gt;$B$173,$B$78="Refinance",ISNUMBER($B$80),$B$80&gt;=0,$B$80&lt;=1,ROUND($B$81*12,0)&gt;=1,$B$81&lt;=100,SUM($B$82)&gt;=0,SUM($B$82)&lt;=1,SUM($B$83)&gt;=0)),OR(684=1,684=$B$174+1,AND($B$175&gt;0,684=$B$175+1))),IF(AND($B$170=1,$B$66&gt;0,OR($B$175=0,684&lt;=$B$175)),$B$66,IF($B$172-MAX(684-1,$B$174)&gt;0,IF(B1084=0,0,IF(C1084=0,B1084/($B$172-MAX(684-1,$B$174)),B1084*(C1084/12)/(1-(1+C1084/12)^(-($B$172-MAX(684-1,$B$174)))))),"")),D1083)))+0.0000001&gt;=B1084*C1084/12,MIN(B1084*(1+C1084/12),IF(AND(684&lt;=$B$174,684&lt;=$B$173),B1084*C1084/12,IF(AND(684=$B$173+1,AND(684&gt;$B$173,$B$78="Refinance",ISNUMBER($B$80),$B$80&gt;=0,$B$80&lt;=1,ROUND($B$81*12,0)&gt;=1,$B$81&lt;=100,SUM($B$82)&gt;=0,SUM($B$82)&lt;=1,SUM($B$83)&gt;=0)),IF(B1084=0,0,IF(C1084=0,B1084/ROUND($B$81*12,0),B1084*(C1084/12)/(1-(1+C1084/12)^(-ROUND($B$81*12,0))))),IF(AND(NOT(AND(684&gt;$B$173,$B$78="Refinance",ISNUMBER($B$80),$B$80&gt;=0,$B$80&lt;=1,ROUND($B$81*12,0)&gt;=1,$B$81&lt;=100,SUM($B$82)&gt;=0,SUM($B$82)&lt;=1,SUM($B$83)&gt;=0)),OR(684=1,684=$B$174+1,AND($B$175&gt;0,684=$B$175+1))),IF(AND($B$170=1,$B$66&gt;0,OR($B$175=0,684&lt;=$B$175)),$B$66,IF($B$172-MAX(684-1,$B$174)&gt;0,IF(B1084=0,0,IF(C1084=0,B1084/($B$172-MAX(684-1,$B$174)),B1084*(C1084/12)/(1-(1+C1084/12)^(-($B$172-MAX(684-1,$B$174)))))),"")),D1083)))),""),""))</x:f>
        <x:v>0</x:v>
      </x:c>
      <x:c r="E1084" s="440" t="n">
        <x:f>IF(AND(684=$B$173,ISNUMBER(D1084)),IF(MAX(0,B1084*(1+C1084/12)-D1084)&lt;MAX(0.0000001,$E$17*0.00000000001),0,MAX(0,B1084*(1+C1084/12)-D1084)),0)</x:f>
        <x:v>0</x:v>
      </x:c>
      <x:c r="F1084" s="440" t="n">
        <x:f>IF($B$78="Cash payoff",E1084,0)</x:f>
        <x:v>0</x:v>
      </x:c>
      <x:c r="G1084" s="440" t="n">
        <x:f>IF(AND(E1084&gt;0,AND($B$78="Refinance",ISNUMBER($B$80),$B$80&gt;=0,$B$80&lt;=1,ROUND($B$81*12,0)&gt;=1,$B$81&lt;=100,SUM($B$82)&gt;=0,SUM($B$82)&lt;=1,SUM($B$83)&gt;=0)),E1084*SUM($B$82)+SUM($B$83),0)</x:f>
        <x:v>0</x:v>
      </x:c>
      <x:c r="H1084" s="440" t="n">
        <x:f>IF(ISNUMBER(D1084),IF(MAX(0,B1084*(1+C1084/12)-D1084-F1084)&lt;MAX(0.0000001,$E$17*0.00000000001),0,MAX(0,B1084*(1+C1084/12)-D1084-F1084)),IF(AND($B$171=1,I1083=1),B1084,""))</x:f>
        <x:v>0</x:v>
      </x:c>
      <x:c r="I1084" s="444" t="n">
        <x:f>IF(OR(I1083=1,AND(E1084&gt;0,$B$78&lt;&gt;"Cash payoff",NOT(AND($B$78="Refinance",ISNUMBER($B$80),$B$80&gt;=0,$B$80&lt;=1,ROUND($B$81*12,0)&gt;=1,$B$81&lt;=100,SUM($B$82)&gt;=0,SUM($B$82)&lt;=1,SUM($B$83)&gt;=0))),AND(ISNUMBER(B1084),B1084&gt;0,$B$171=1,NOT(ISNUMBER(D1084)))),1,0)</x:f>
        <x:v>0</x:v>
      </x:c>
      <x:c r="J1084" s="440" t="n">
        <x:f>IF(ISNUMBER(L1083),L1083,"")</x:f>
        <x:v>0</x:v>
      </x:c>
      <x:c r="K1084" s="440" t="n">
        <x:f>IF(AND(ISNUMBER(J1084),J1084=0),0,IF(AND($B$176=1,ISNUMBER(J1084)),MIN(J1084*(1+$B$87/12),IF($B$86=0,0,IF($B$87=0,$B$86/ROUND($B$88*12,0),$B$86*($B$87/12)/(1-(1+$B$87/12)^(-ROUND($B$88*12,0)))))),""))</x:f>
        <x:v>0</x:v>
      </x:c>
      <x:c r="L1084" s="440" t="n">
        <x:f>IF(ISNUMBER(K1084),IF(MAX(0,J1084*(1+SUM($B$87)/12)-K1084)&lt;MAX(0.0000001,$B$86*0.00000000001),0,MAX(0,J1084*(1+SUM($B$87)/12)-K1084)),"")</x:f>
        <x:v>0</x:v>
      </x:c>
      <x:c r="M1084" s="440" t="n">
        <x:f>IF(AND(ISNUMBER(D1084),ISNUMBER(K1084)),D1084+K1084,"")</x:f>
        <x:v>0</x:v>
      </x:c>
      <x:c r="N1084" s="440" t="n">
        <x:f>IF(AND(ISNUMBER(H1084),ISNUMBER(L1084)),H1084+L1084,"")</x:f>
        <x:v>0</x:v>
      </x:c>
    </x:row>
    <x:row r="1085" ht="22" customHeight="1">
      <x:c r="A1085" s="254" t="n">
        <x:f>685</x:f>
        <x:v>685</x:v>
      </x:c>
      <x:c r="B1085" s="440" t="n">
        <x:f>IF(ISNUMBER(H1084),H1084,"")</x:f>
        <x:v>0</x:v>
      </x:c>
      <x:c r="C1085" s="442" t="n">
        <x:f>IF(ISNUMBER(B1085),IF(AND(685&gt;$B$173,$B$78="Refinance",ISNUMBER($B$80),$B$80&gt;=0,$B$80&lt;=1,ROUND($B$81*12,0)&gt;=1,$B$81&lt;=100,SUM($B$82)&gt;=0,SUM($B$82)&lt;=1,SUM($B$83)&gt;=0),$B$80,IF(AND($B$175&gt;0,685&gt;$B$175,ISNUMBER($B$75)),$B$75,$B$61)),"")</x:f>
        <x:v>0.0625</x:v>
      </x:c>
      <x:c r="D1085" s="440" t="n">
        <x:f>IF(AND(ISNUMBER(B1085),B1085=0),0,IF(AND($B$171=1,I1084=0,ISNUMBER(C1085),ISNUMBER(IF(AND(685&lt;=$B$174,685&lt;=$B$173),B1085*C1085/12,IF(AND(685=$B$173+1,AND(685&gt;$B$173,$B$78="Refinance",ISNUMBER($B$80),$B$80&gt;=0,$B$80&lt;=1,ROUND($B$81*12,0)&gt;=1,$B$81&lt;=100,SUM($B$82)&gt;=0,SUM($B$82)&lt;=1,SUM($B$83)&gt;=0)),IF(B1085=0,0,IF(C1085=0,B1085/ROUND($B$81*12,0),B1085*(C1085/12)/(1-(1+C1085/12)^(-ROUND($B$81*12,0))))),IF(AND(NOT(AND(685&gt;$B$173,$B$78="Refinance",ISNUMBER($B$80),$B$80&gt;=0,$B$80&lt;=1,ROUND($B$81*12,0)&gt;=1,$B$81&lt;=100,SUM($B$82)&gt;=0,SUM($B$82)&lt;=1,SUM($B$83)&gt;=0)),OR(685=1,685=$B$174+1,AND($B$175&gt;0,685=$B$175+1))),IF(AND($B$170=1,$B$66&gt;0,OR($B$175=0,685&lt;=$B$175)),$B$66,IF($B$172-MAX(685-1,$B$174)&gt;0,IF(B1085=0,0,IF(C1085=0,B1085/($B$172-MAX(685-1,$B$174)),B1085*(C1085/12)/(1-(1+C1085/12)^(-($B$172-MAX(685-1,$B$174)))))),"")),D1084))))),IF(IF(AND(685&lt;=$B$174,685&lt;=$B$173),B1085*C1085/12,IF(AND(685=$B$173+1,AND(685&gt;$B$173,$B$78="Refinance",ISNUMBER($B$80),$B$80&gt;=0,$B$80&lt;=1,ROUND($B$81*12,0)&gt;=1,$B$81&lt;=100,SUM($B$82)&gt;=0,SUM($B$82)&lt;=1,SUM($B$83)&gt;=0)),IF(B1085=0,0,IF(C1085=0,B1085/ROUND($B$81*12,0),B1085*(C1085/12)/(1-(1+C1085/12)^(-ROUND($B$81*12,0))))),IF(AND(NOT(AND(685&gt;$B$173,$B$78="Refinance",ISNUMBER($B$80),$B$80&gt;=0,$B$80&lt;=1,ROUND($B$81*12,0)&gt;=1,$B$81&lt;=100,SUM($B$82)&gt;=0,SUM($B$82)&lt;=1,SUM($B$83)&gt;=0)),OR(685=1,685=$B$174+1,AND($B$175&gt;0,685=$B$175+1))),IF(AND($B$170=1,$B$66&gt;0,OR($B$175=0,685&lt;=$B$175)),$B$66,IF($B$172-MAX(685-1,$B$174)&gt;0,IF(B1085=0,0,IF(C1085=0,B1085/($B$172-MAX(685-1,$B$174)),B1085*(C1085/12)/(1-(1+C1085/12)^(-($B$172-MAX(685-1,$B$174)))))),"")),D1084)))+0.0000001&gt;=B1085*C1085/12,MIN(B1085*(1+C1085/12),IF(AND(685&lt;=$B$174,685&lt;=$B$173),B1085*C1085/12,IF(AND(685=$B$173+1,AND(685&gt;$B$173,$B$78="Refinance",ISNUMBER($B$80),$B$80&gt;=0,$B$80&lt;=1,ROUND($B$81*12,0)&gt;=1,$B$81&lt;=100,SUM($B$82)&gt;=0,SUM($B$82)&lt;=1,SUM($B$83)&gt;=0)),IF(B1085=0,0,IF(C1085=0,B1085/ROUND($B$81*12,0),B1085*(C1085/12)/(1-(1+C1085/12)^(-ROUND($B$81*12,0))))),IF(AND(NOT(AND(685&gt;$B$173,$B$78="Refinance",ISNUMBER($B$80),$B$80&gt;=0,$B$80&lt;=1,ROUND($B$81*12,0)&gt;=1,$B$81&lt;=100,SUM($B$82)&gt;=0,SUM($B$82)&lt;=1,SUM($B$83)&gt;=0)),OR(685=1,685=$B$174+1,AND($B$175&gt;0,685=$B$175+1))),IF(AND($B$170=1,$B$66&gt;0,OR($B$175=0,685&lt;=$B$175)),$B$66,IF($B$172-MAX(685-1,$B$174)&gt;0,IF(B1085=0,0,IF(C1085=0,B1085/($B$172-MAX(685-1,$B$174)),B1085*(C1085/12)/(1-(1+C1085/12)^(-($B$172-MAX(685-1,$B$174)))))),"")),D1084)))),""),""))</x:f>
        <x:v>0</x:v>
      </x:c>
      <x:c r="E1085" s="440" t="n">
        <x:f>IF(AND(685=$B$173,ISNUMBER(D1085)),IF(MAX(0,B1085*(1+C1085/12)-D1085)&lt;MAX(0.0000001,$E$17*0.00000000001),0,MAX(0,B1085*(1+C1085/12)-D1085)),0)</x:f>
        <x:v>0</x:v>
      </x:c>
      <x:c r="F1085" s="440" t="n">
        <x:f>IF($B$78="Cash payoff",E1085,0)</x:f>
        <x:v>0</x:v>
      </x:c>
      <x:c r="G1085" s="440" t="n">
        <x:f>IF(AND(E1085&gt;0,AND($B$78="Refinance",ISNUMBER($B$80),$B$80&gt;=0,$B$80&lt;=1,ROUND($B$81*12,0)&gt;=1,$B$81&lt;=100,SUM($B$82)&gt;=0,SUM($B$82)&lt;=1,SUM($B$83)&gt;=0)),E1085*SUM($B$82)+SUM($B$83),0)</x:f>
        <x:v>0</x:v>
      </x:c>
      <x:c r="H1085" s="440" t="n">
        <x:f>IF(ISNUMBER(D1085),IF(MAX(0,B1085*(1+C1085/12)-D1085-F1085)&lt;MAX(0.0000001,$E$17*0.00000000001),0,MAX(0,B1085*(1+C1085/12)-D1085-F1085)),IF(AND($B$171=1,I1084=1),B1085,""))</x:f>
        <x:v>0</x:v>
      </x:c>
      <x:c r="I1085" s="444" t="n">
        <x:f>IF(OR(I1084=1,AND(E1085&gt;0,$B$78&lt;&gt;"Cash payoff",NOT(AND($B$78="Refinance",ISNUMBER($B$80),$B$80&gt;=0,$B$80&lt;=1,ROUND($B$81*12,0)&gt;=1,$B$81&lt;=100,SUM($B$82)&gt;=0,SUM($B$82)&lt;=1,SUM($B$83)&gt;=0))),AND(ISNUMBER(B1085),B1085&gt;0,$B$171=1,NOT(ISNUMBER(D1085)))),1,0)</x:f>
        <x:v>0</x:v>
      </x:c>
      <x:c r="J1085" s="440" t="n">
        <x:f>IF(ISNUMBER(L1084),L1084,"")</x:f>
        <x:v>0</x:v>
      </x:c>
      <x:c r="K1085" s="440" t="n">
        <x:f>IF(AND(ISNUMBER(J1085),J1085=0),0,IF(AND($B$176=1,ISNUMBER(J1085)),MIN(J1085*(1+$B$87/12),IF($B$86=0,0,IF($B$87=0,$B$86/ROUND($B$88*12,0),$B$86*($B$87/12)/(1-(1+$B$87/12)^(-ROUND($B$88*12,0)))))),""))</x:f>
        <x:v>0</x:v>
      </x:c>
      <x:c r="L1085" s="440" t="n">
        <x:f>IF(ISNUMBER(K1085),IF(MAX(0,J1085*(1+SUM($B$87)/12)-K1085)&lt;MAX(0.0000001,$B$86*0.00000000001),0,MAX(0,J1085*(1+SUM($B$87)/12)-K1085)),"")</x:f>
        <x:v>0</x:v>
      </x:c>
      <x:c r="M1085" s="440" t="n">
        <x:f>IF(AND(ISNUMBER(D1085),ISNUMBER(K1085)),D1085+K1085,"")</x:f>
        <x:v>0</x:v>
      </x:c>
      <x:c r="N1085" s="440" t="n">
        <x:f>IF(AND(ISNUMBER(H1085),ISNUMBER(L1085)),H1085+L1085,"")</x:f>
        <x:v>0</x:v>
      </x:c>
    </x:row>
    <x:row r="1086" ht="22" customHeight="1">
      <x:c r="A1086" s="254" t="n">
        <x:f>686</x:f>
        <x:v>686</x:v>
      </x:c>
      <x:c r="B1086" s="440" t="n">
        <x:f>IF(ISNUMBER(H1085),H1085,"")</x:f>
        <x:v>0</x:v>
      </x:c>
      <x:c r="C1086" s="442" t="n">
        <x:f>IF(ISNUMBER(B1086),IF(AND(686&gt;$B$173,$B$78="Refinance",ISNUMBER($B$80),$B$80&gt;=0,$B$80&lt;=1,ROUND($B$81*12,0)&gt;=1,$B$81&lt;=100,SUM($B$82)&gt;=0,SUM($B$82)&lt;=1,SUM($B$83)&gt;=0),$B$80,IF(AND($B$175&gt;0,686&gt;$B$175,ISNUMBER($B$75)),$B$75,$B$61)),"")</x:f>
        <x:v>0.0625</x:v>
      </x:c>
      <x:c r="D1086" s="440" t="n">
        <x:f>IF(AND(ISNUMBER(B1086),B1086=0),0,IF(AND($B$171=1,I1085=0,ISNUMBER(C1086),ISNUMBER(IF(AND(686&lt;=$B$174,686&lt;=$B$173),B1086*C1086/12,IF(AND(686=$B$173+1,AND(686&gt;$B$173,$B$78="Refinance",ISNUMBER($B$80),$B$80&gt;=0,$B$80&lt;=1,ROUND($B$81*12,0)&gt;=1,$B$81&lt;=100,SUM($B$82)&gt;=0,SUM($B$82)&lt;=1,SUM($B$83)&gt;=0)),IF(B1086=0,0,IF(C1086=0,B1086/ROUND($B$81*12,0),B1086*(C1086/12)/(1-(1+C1086/12)^(-ROUND($B$81*12,0))))),IF(AND(NOT(AND(686&gt;$B$173,$B$78="Refinance",ISNUMBER($B$80),$B$80&gt;=0,$B$80&lt;=1,ROUND($B$81*12,0)&gt;=1,$B$81&lt;=100,SUM($B$82)&gt;=0,SUM($B$82)&lt;=1,SUM($B$83)&gt;=0)),OR(686=1,686=$B$174+1,AND($B$175&gt;0,686=$B$175+1))),IF(AND($B$170=1,$B$66&gt;0,OR($B$175=0,686&lt;=$B$175)),$B$66,IF($B$172-MAX(686-1,$B$174)&gt;0,IF(B1086=0,0,IF(C1086=0,B1086/($B$172-MAX(686-1,$B$174)),B1086*(C1086/12)/(1-(1+C1086/12)^(-($B$172-MAX(686-1,$B$174)))))),"")),D1085))))),IF(IF(AND(686&lt;=$B$174,686&lt;=$B$173),B1086*C1086/12,IF(AND(686=$B$173+1,AND(686&gt;$B$173,$B$78="Refinance",ISNUMBER($B$80),$B$80&gt;=0,$B$80&lt;=1,ROUND($B$81*12,0)&gt;=1,$B$81&lt;=100,SUM($B$82)&gt;=0,SUM($B$82)&lt;=1,SUM($B$83)&gt;=0)),IF(B1086=0,0,IF(C1086=0,B1086/ROUND($B$81*12,0),B1086*(C1086/12)/(1-(1+C1086/12)^(-ROUND($B$81*12,0))))),IF(AND(NOT(AND(686&gt;$B$173,$B$78="Refinance",ISNUMBER($B$80),$B$80&gt;=0,$B$80&lt;=1,ROUND($B$81*12,0)&gt;=1,$B$81&lt;=100,SUM($B$82)&gt;=0,SUM($B$82)&lt;=1,SUM($B$83)&gt;=0)),OR(686=1,686=$B$174+1,AND($B$175&gt;0,686=$B$175+1))),IF(AND($B$170=1,$B$66&gt;0,OR($B$175=0,686&lt;=$B$175)),$B$66,IF($B$172-MAX(686-1,$B$174)&gt;0,IF(B1086=0,0,IF(C1086=0,B1086/($B$172-MAX(686-1,$B$174)),B1086*(C1086/12)/(1-(1+C1086/12)^(-($B$172-MAX(686-1,$B$174)))))),"")),D1085)))+0.0000001&gt;=B1086*C1086/12,MIN(B1086*(1+C1086/12),IF(AND(686&lt;=$B$174,686&lt;=$B$173),B1086*C1086/12,IF(AND(686=$B$173+1,AND(686&gt;$B$173,$B$78="Refinance",ISNUMBER($B$80),$B$80&gt;=0,$B$80&lt;=1,ROUND($B$81*12,0)&gt;=1,$B$81&lt;=100,SUM($B$82)&gt;=0,SUM($B$82)&lt;=1,SUM($B$83)&gt;=0)),IF(B1086=0,0,IF(C1086=0,B1086/ROUND($B$81*12,0),B1086*(C1086/12)/(1-(1+C1086/12)^(-ROUND($B$81*12,0))))),IF(AND(NOT(AND(686&gt;$B$173,$B$78="Refinance",ISNUMBER($B$80),$B$80&gt;=0,$B$80&lt;=1,ROUND($B$81*12,0)&gt;=1,$B$81&lt;=100,SUM($B$82)&gt;=0,SUM($B$82)&lt;=1,SUM($B$83)&gt;=0)),OR(686=1,686=$B$174+1,AND($B$175&gt;0,686=$B$175+1))),IF(AND($B$170=1,$B$66&gt;0,OR($B$175=0,686&lt;=$B$175)),$B$66,IF($B$172-MAX(686-1,$B$174)&gt;0,IF(B1086=0,0,IF(C1086=0,B1086/($B$172-MAX(686-1,$B$174)),B1086*(C1086/12)/(1-(1+C1086/12)^(-($B$172-MAX(686-1,$B$174)))))),"")),D1085)))),""),""))</x:f>
        <x:v>0</x:v>
      </x:c>
      <x:c r="E1086" s="440" t="n">
        <x:f>IF(AND(686=$B$173,ISNUMBER(D1086)),IF(MAX(0,B1086*(1+C1086/12)-D1086)&lt;MAX(0.0000001,$E$17*0.00000000001),0,MAX(0,B1086*(1+C1086/12)-D1086)),0)</x:f>
        <x:v>0</x:v>
      </x:c>
      <x:c r="F1086" s="440" t="n">
        <x:f>IF($B$78="Cash payoff",E1086,0)</x:f>
        <x:v>0</x:v>
      </x:c>
      <x:c r="G1086" s="440" t="n">
        <x:f>IF(AND(E1086&gt;0,AND($B$78="Refinance",ISNUMBER($B$80),$B$80&gt;=0,$B$80&lt;=1,ROUND($B$81*12,0)&gt;=1,$B$81&lt;=100,SUM($B$82)&gt;=0,SUM($B$82)&lt;=1,SUM($B$83)&gt;=0)),E1086*SUM($B$82)+SUM($B$83),0)</x:f>
        <x:v>0</x:v>
      </x:c>
      <x:c r="H1086" s="440" t="n">
        <x:f>IF(ISNUMBER(D1086),IF(MAX(0,B1086*(1+C1086/12)-D1086-F1086)&lt;MAX(0.0000001,$E$17*0.00000000001),0,MAX(0,B1086*(1+C1086/12)-D1086-F1086)),IF(AND($B$171=1,I1085=1),B1086,""))</x:f>
        <x:v>0</x:v>
      </x:c>
      <x:c r="I1086" s="444" t="n">
        <x:f>IF(OR(I1085=1,AND(E1086&gt;0,$B$78&lt;&gt;"Cash payoff",NOT(AND($B$78="Refinance",ISNUMBER($B$80),$B$80&gt;=0,$B$80&lt;=1,ROUND($B$81*12,0)&gt;=1,$B$81&lt;=100,SUM($B$82)&gt;=0,SUM($B$82)&lt;=1,SUM($B$83)&gt;=0))),AND(ISNUMBER(B1086),B1086&gt;0,$B$171=1,NOT(ISNUMBER(D1086)))),1,0)</x:f>
        <x:v>0</x:v>
      </x:c>
      <x:c r="J1086" s="440" t="n">
        <x:f>IF(ISNUMBER(L1085),L1085,"")</x:f>
        <x:v>0</x:v>
      </x:c>
      <x:c r="K1086" s="440" t="n">
        <x:f>IF(AND(ISNUMBER(J1086),J1086=0),0,IF(AND($B$176=1,ISNUMBER(J1086)),MIN(J1086*(1+$B$87/12),IF($B$86=0,0,IF($B$87=0,$B$86/ROUND($B$88*12,0),$B$86*($B$87/12)/(1-(1+$B$87/12)^(-ROUND($B$88*12,0)))))),""))</x:f>
        <x:v>0</x:v>
      </x:c>
      <x:c r="L1086" s="440" t="n">
        <x:f>IF(ISNUMBER(K1086),IF(MAX(0,J1086*(1+SUM($B$87)/12)-K1086)&lt;MAX(0.0000001,$B$86*0.00000000001),0,MAX(0,J1086*(1+SUM($B$87)/12)-K1086)),"")</x:f>
        <x:v>0</x:v>
      </x:c>
      <x:c r="M1086" s="440" t="n">
        <x:f>IF(AND(ISNUMBER(D1086),ISNUMBER(K1086)),D1086+K1086,"")</x:f>
        <x:v>0</x:v>
      </x:c>
      <x:c r="N1086" s="440" t="n">
        <x:f>IF(AND(ISNUMBER(H1086),ISNUMBER(L1086)),H1086+L1086,"")</x:f>
        <x:v>0</x:v>
      </x:c>
    </x:row>
    <x:row r="1087" ht="22" customHeight="1">
      <x:c r="A1087" s="254" t="n">
        <x:f>687</x:f>
        <x:v>687</x:v>
      </x:c>
      <x:c r="B1087" s="440" t="n">
        <x:f>IF(ISNUMBER(H1086),H1086,"")</x:f>
        <x:v>0</x:v>
      </x:c>
      <x:c r="C1087" s="442" t="n">
        <x:f>IF(ISNUMBER(B1087),IF(AND(687&gt;$B$173,$B$78="Refinance",ISNUMBER($B$80),$B$80&gt;=0,$B$80&lt;=1,ROUND($B$81*12,0)&gt;=1,$B$81&lt;=100,SUM($B$82)&gt;=0,SUM($B$82)&lt;=1,SUM($B$83)&gt;=0),$B$80,IF(AND($B$175&gt;0,687&gt;$B$175,ISNUMBER($B$75)),$B$75,$B$61)),"")</x:f>
        <x:v>0.0625</x:v>
      </x:c>
      <x:c r="D1087" s="440" t="n">
        <x:f>IF(AND(ISNUMBER(B1087),B1087=0),0,IF(AND($B$171=1,I1086=0,ISNUMBER(C1087),ISNUMBER(IF(AND(687&lt;=$B$174,687&lt;=$B$173),B1087*C1087/12,IF(AND(687=$B$173+1,AND(687&gt;$B$173,$B$78="Refinance",ISNUMBER($B$80),$B$80&gt;=0,$B$80&lt;=1,ROUND($B$81*12,0)&gt;=1,$B$81&lt;=100,SUM($B$82)&gt;=0,SUM($B$82)&lt;=1,SUM($B$83)&gt;=0)),IF(B1087=0,0,IF(C1087=0,B1087/ROUND($B$81*12,0),B1087*(C1087/12)/(1-(1+C1087/12)^(-ROUND($B$81*12,0))))),IF(AND(NOT(AND(687&gt;$B$173,$B$78="Refinance",ISNUMBER($B$80),$B$80&gt;=0,$B$80&lt;=1,ROUND($B$81*12,0)&gt;=1,$B$81&lt;=100,SUM($B$82)&gt;=0,SUM($B$82)&lt;=1,SUM($B$83)&gt;=0)),OR(687=1,687=$B$174+1,AND($B$175&gt;0,687=$B$175+1))),IF(AND($B$170=1,$B$66&gt;0,OR($B$175=0,687&lt;=$B$175)),$B$66,IF($B$172-MAX(687-1,$B$174)&gt;0,IF(B1087=0,0,IF(C1087=0,B1087/($B$172-MAX(687-1,$B$174)),B1087*(C1087/12)/(1-(1+C1087/12)^(-($B$172-MAX(687-1,$B$174)))))),"")),D1086))))),IF(IF(AND(687&lt;=$B$174,687&lt;=$B$173),B1087*C1087/12,IF(AND(687=$B$173+1,AND(687&gt;$B$173,$B$78="Refinance",ISNUMBER($B$80),$B$80&gt;=0,$B$80&lt;=1,ROUND($B$81*12,0)&gt;=1,$B$81&lt;=100,SUM($B$82)&gt;=0,SUM($B$82)&lt;=1,SUM($B$83)&gt;=0)),IF(B1087=0,0,IF(C1087=0,B1087/ROUND($B$81*12,0),B1087*(C1087/12)/(1-(1+C1087/12)^(-ROUND($B$81*12,0))))),IF(AND(NOT(AND(687&gt;$B$173,$B$78="Refinance",ISNUMBER($B$80),$B$80&gt;=0,$B$80&lt;=1,ROUND($B$81*12,0)&gt;=1,$B$81&lt;=100,SUM($B$82)&gt;=0,SUM($B$82)&lt;=1,SUM($B$83)&gt;=0)),OR(687=1,687=$B$174+1,AND($B$175&gt;0,687=$B$175+1))),IF(AND($B$170=1,$B$66&gt;0,OR($B$175=0,687&lt;=$B$175)),$B$66,IF($B$172-MAX(687-1,$B$174)&gt;0,IF(B1087=0,0,IF(C1087=0,B1087/($B$172-MAX(687-1,$B$174)),B1087*(C1087/12)/(1-(1+C1087/12)^(-($B$172-MAX(687-1,$B$174)))))),"")),D1086)))+0.0000001&gt;=B1087*C1087/12,MIN(B1087*(1+C1087/12),IF(AND(687&lt;=$B$174,687&lt;=$B$173),B1087*C1087/12,IF(AND(687=$B$173+1,AND(687&gt;$B$173,$B$78="Refinance",ISNUMBER($B$80),$B$80&gt;=0,$B$80&lt;=1,ROUND($B$81*12,0)&gt;=1,$B$81&lt;=100,SUM($B$82)&gt;=0,SUM($B$82)&lt;=1,SUM($B$83)&gt;=0)),IF(B1087=0,0,IF(C1087=0,B1087/ROUND($B$81*12,0),B1087*(C1087/12)/(1-(1+C1087/12)^(-ROUND($B$81*12,0))))),IF(AND(NOT(AND(687&gt;$B$173,$B$78="Refinance",ISNUMBER($B$80),$B$80&gt;=0,$B$80&lt;=1,ROUND($B$81*12,0)&gt;=1,$B$81&lt;=100,SUM($B$82)&gt;=0,SUM($B$82)&lt;=1,SUM($B$83)&gt;=0)),OR(687=1,687=$B$174+1,AND($B$175&gt;0,687=$B$175+1))),IF(AND($B$170=1,$B$66&gt;0,OR($B$175=0,687&lt;=$B$175)),$B$66,IF($B$172-MAX(687-1,$B$174)&gt;0,IF(B1087=0,0,IF(C1087=0,B1087/($B$172-MAX(687-1,$B$174)),B1087*(C1087/12)/(1-(1+C1087/12)^(-($B$172-MAX(687-1,$B$174)))))),"")),D1086)))),""),""))</x:f>
        <x:v>0</x:v>
      </x:c>
      <x:c r="E1087" s="440" t="n">
        <x:f>IF(AND(687=$B$173,ISNUMBER(D1087)),IF(MAX(0,B1087*(1+C1087/12)-D1087)&lt;MAX(0.0000001,$E$17*0.00000000001),0,MAX(0,B1087*(1+C1087/12)-D1087)),0)</x:f>
        <x:v>0</x:v>
      </x:c>
      <x:c r="F1087" s="440" t="n">
        <x:f>IF($B$78="Cash payoff",E1087,0)</x:f>
        <x:v>0</x:v>
      </x:c>
      <x:c r="G1087" s="440" t="n">
        <x:f>IF(AND(E1087&gt;0,AND($B$78="Refinance",ISNUMBER($B$80),$B$80&gt;=0,$B$80&lt;=1,ROUND($B$81*12,0)&gt;=1,$B$81&lt;=100,SUM($B$82)&gt;=0,SUM($B$82)&lt;=1,SUM($B$83)&gt;=0)),E1087*SUM($B$82)+SUM($B$83),0)</x:f>
        <x:v>0</x:v>
      </x:c>
      <x:c r="H1087" s="440" t="n">
        <x:f>IF(ISNUMBER(D1087),IF(MAX(0,B1087*(1+C1087/12)-D1087-F1087)&lt;MAX(0.0000001,$E$17*0.00000000001),0,MAX(0,B1087*(1+C1087/12)-D1087-F1087)),IF(AND($B$171=1,I1086=1),B1087,""))</x:f>
        <x:v>0</x:v>
      </x:c>
      <x:c r="I1087" s="444" t="n">
        <x:f>IF(OR(I1086=1,AND(E1087&gt;0,$B$78&lt;&gt;"Cash payoff",NOT(AND($B$78="Refinance",ISNUMBER($B$80),$B$80&gt;=0,$B$80&lt;=1,ROUND($B$81*12,0)&gt;=1,$B$81&lt;=100,SUM($B$82)&gt;=0,SUM($B$82)&lt;=1,SUM($B$83)&gt;=0))),AND(ISNUMBER(B1087),B1087&gt;0,$B$171=1,NOT(ISNUMBER(D1087)))),1,0)</x:f>
        <x:v>0</x:v>
      </x:c>
      <x:c r="J1087" s="440" t="n">
        <x:f>IF(ISNUMBER(L1086),L1086,"")</x:f>
        <x:v>0</x:v>
      </x:c>
      <x:c r="K1087" s="440" t="n">
        <x:f>IF(AND(ISNUMBER(J1087),J1087=0),0,IF(AND($B$176=1,ISNUMBER(J1087)),MIN(J1087*(1+$B$87/12),IF($B$86=0,0,IF($B$87=0,$B$86/ROUND($B$88*12,0),$B$86*($B$87/12)/(1-(1+$B$87/12)^(-ROUND($B$88*12,0)))))),""))</x:f>
        <x:v>0</x:v>
      </x:c>
      <x:c r="L1087" s="440" t="n">
        <x:f>IF(ISNUMBER(K1087),IF(MAX(0,J1087*(1+SUM($B$87)/12)-K1087)&lt;MAX(0.0000001,$B$86*0.00000000001),0,MAX(0,J1087*(1+SUM($B$87)/12)-K1087)),"")</x:f>
        <x:v>0</x:v>
      </x:c>
      <x:c r="M1087" s="440" t="n">
        <x:f>IF(AND(ISNUMBER(D1087),ISNUMBER(K1087)),D1087+K1087,"")</x:f>
        <x:v>0</x:v>
      </x:c>
      <x:c r="N1087" s="440" t="n">
        <x:f>IF(AND(ISNUMBER(H1087),ISNUMBER(L1087)),H1087+L1087,"")</x:f>
        <x:v>0</x:v>
      </x:c>
    </x:row>
    <x:row r="1088" ht="22" customHeight="1">
      <x:c r="A1088" s="254" t="n">
        <x:f>688</x:f>
        <x:v>688</x:v>
      </x:c>
      <x:c r="B1088" s="440" t="n">
        <x:f>IF(ISNUMBER(H1087),H1087,"")</x:f>
        <x:v>0</x:v>
      </x:c>
      <x:c r="C1088" s="442" t="n">
        <x:f>IF(ISNUMBER(B1088),IF(AND(688&gt;$B$173,$B$78="Refinance",ISNUMBER($B$80),$B$80&gt;=0,$B$80&lt;=1,ROUND($B$81*12,0)&gt;=1,$B$81&lt;=100,SUM($B$82)&gt;=0,SUM($B$82)&lt;=1,SUM($B$83)&gt;=0),$B$80,IF(AND($B$175&gt;0,688&gt;$B$175,ISNUMBER($B$75)),$B$75,$B$61)),"")</x:f>
        <x:v>0.0625</x:v>
      </x:c>
      <x:c r="D1088" s="440" t="n">
        <x:f>IF(AND(ISNUMBER(B1088),B1088=0),0,IF(AND($B$171=1,I1087=0,ISNUMBER(C1088),ISNUMBER(IF(AND(688&lt;=$B$174,688&lt;=$B$173),B1088*C1088/12,IF(AND(688=$B$173+1,AND(688&gt;$B$173,$B$78="Refinance",ISNUMBER($B$80),$B$80&gt;=0,$B$80&lt;=1,ROUND($B$81*12,0)&gt;=1,$B$81&lt;=100,SUM($B$82)&gt;=0,SUM($B$82)&lt;=1,SUM($B$83)&gt;=0)),IF(B1088=0,0,IF(C1088=0,B1088/ROUND($B$81*12,0),B1088*(C1088/12)/(1-(1+C1088/12)^(-ROUND($B$81*12,0))))),IF(AND(NOT(AND(688&gt;$B$173,$B$78="Refinance",ISNUMBER($B$80),$B$80&gt;=0,$B$80&lt;=1,ROUND($B$81*12,0)&gt;=1,$B$81&lt;=100,SUM($B$82)&gt;=0,SUM($B$82)&lt;=1,SUM($B$83)&gt;=0)),OR(688=1,688=$B$174+1,AND($B$175&gt;0,688=$B$175+1))),IF(AND($B$170=1,$B$66&gt;0,OR($B$175=0,688&lt;=$B$175)),$B$66,IF($B$172-MAX(688-1,$B$174)&gt;0,IF(B1088=0,0,IF(C1088=0,B1088/($B$172-MAX(688-1,$B$174)),B1088*(C1088/12)/(1-(1+C1088/12)^(-($B$172-MAX(688-1,$B$174)))))),"")),D1087))))),IF(IF(AND(688&lt;=$B$174,688&lt;=$B$173),B1088*C1088/12,IF(AND(688=$B$173+1,AND(688&gt;$B$173,$B$78="Refinance",ISNUMBER($B$80),$B$80&gt;=0,$B$80&lt;=1,ROUND($B$81*12,0)&gt;=1,$B$81&lt;=100,SUM($B$82)&gt;=0,SUM($B$82)&lt;=1,SUM($B$83)&gt;=0)),IF(B1088=0,0,IF(C1088=0,B1088/ROUND($B$81*12,0),B1088*(C1088/12)/(1-(1+C1088/12)^(-ROUND($B$81*12,0))))),IF(AND(NOT(AND(688&gt;$B$173,$B$78="Refinance",ISNUMBER($B$80),$B$80&gt;=0,$B$80&lt;=1,ROUND($B$81*12,0)&gt;=1,$B$81&lt;=100,SUM($B$82)&gt;=0,SUM($B$82)&lt;=1,SUM($B$83)&gt;=0)),OR(688=1,688=$B$174+1,AND($B$175&gt;0,688=$B$175+1))),IF(AND($B$170=1,$B$66&gt;0,OR($B$175=0,688&lt;=$B$175)),$B$66,IF($B$172-MAX(688-1,$B$174)&gt;0,IF(B1088=0,0,IF(C1088=0,B1088/($B$172-MAX(688-1,$B$174)),B1088*(C1088/12)/(1-(1+C1088/12)^(-($B$172-MAX(688-1,$B$174)))))),"")),D1087)))+0.0000001&gt;=B1088*C1088/12,MIN(B1088*(1+C1088/12),IF(AND(688&lt;=$B$174,688&lt;=$B$173),B1088*C1088/12,IF(AND(688=$B$173+1,AND(688&gt;$B$173,$B$78="Refinance",ISNUMBER($B$80),$B$80&gt;=0,$B$80&lt;=1,ROUND($B$81*12,0)&gt;=1,$B$81&lt;=100,SUM($B$82)&gt;=0,SUM($B$82)&lt;=1,SUM($B$83)&gt;=0)),IF(B1088=0,0,IF(C1088=0,B1088/ROUND($B$81*12,0),B1088*(C1088/12)/(1-(1+C1088/12)^(-ROUND($B$81*12,0))))),IF(AND(NOT(AND(688&gt;$B$173,$B$78="Refinance",ISNUMBER($B$80),$B$80&gt;=0,$B$80&lt;=1,ROUND($B$81*12,0)&gt;=1,$B$81&lt;=100,SUM($B$82)&gt;=0,SUM($B$82)&lt;=1,SUM($B$83)&gt;=0)),OR(688=1,688=$B$174+1,AND($B$175&gt;0,688=$B$175+1))),IF(AND($B$170=1,$B$66&gt;0,OR($B$175=0,688&lt;=$B$175)),$B$66,IF($B$172-MAX(688-1,$B$174)&gt;0,IF(B1088=0,0,IF(C1088=0,B1088/($B$172-MAX(688-1,$B$174)),B1088*(C1088/12)/(1-(1+C1088/12)^(-($B$172-MAX(688-1,$B$174)))))),"")),D1087)))),""),""))</x:f>
        <x:v>0</x:v>
      </x:c>
      <x:c r="E1088" s="440" t="n">
        <x:f>IF(AND(688=$B$173,ISNUMBER(D1088)),IF(MAX(0,B1088*(1+C1088/12)-D1088)&lt;MAX(0.0000001,$E$17*0.00000000001),0,MAX(0,B1088*(1+C1088/12)-D1088)),0)</x:f>
        <x:v>0</x:v>
      </x:c>
      <x:c r="F1088" s="440" t="n">
        <x:f>IF($B$78="Cash payoff",E1088,0)</x:f>
        <x:v>0</x:v>
      </x:c>
      <x:c r="G1088" s="440" t="n">
        <x:f>IF(AND(E1088&gt;0,AND($B$78="Refinance",ISNUMBER($B$80),$B$80&gt;=0,$B$80&lt;=1,ROUND($B$81*12,0)&gt;=1,$B$81&lt;=100,SUM($B$82)&gt;=0,SUM($B$82)&lt;=1,SUM($B$83)&gt;=0)),E1088*SUM($B$82)+SUM($B$83),0)</x:f>
        <x:v>0</x:v>
      </x:c>
      <x:c r="H1088" s="440" t="n">
        <x:f>IF(ISNUMBER(D1088),IF(MAX(0,B1088*(1+C1088/12)-D1088-F1088)&lt;MAX(0.0000001,$E$17*0.00000000001),0,MAX(0,B1088*(1+C1088/12)-D1088-F1088)),IF(AND($B$171=1,I1087=1),B1088,""))</x:f>
        <x:v>0</x:v>
      </x:c>
      <x:c r="I1088" s="444" t="n">
        <x:f>IF(OR(I1087=1,AND(E1088&gt;0,$B$78&lt;&gt;"Cash payoff",NOT(AND($B$78="Refinance",ISNUMBER($B$80),$B$80&gt;=0,$B$80&lt;=1,ROUND($B$81*12,0)&gt;=1,$B$81&lt;=100,SUM($B$82)&gt;=0,SUM($B$82)&lt;=1,SUM($B$83)&gt;=0))),AND(ISNUMBER(B1088),B1088&gt;0,$B$171=1,NOT(ISNUMBER(D1088)))),1,0)</x:f>
        <x:v>0</x:v>
      </x:c>
      <x:c r="J1088" s="440" t="n">
        <x:f>IF(ISNUMBER(L1087),L1087,"")</x:f>
        <x:v>0</x:v>
      </x:c>
      <x:c r="K1088" s="440" t="n">
        <x:f>IF(AND(ISNUMBER(J1088),J1088=0),0,IF(AND($B$176=1,ISNUMBER(J1088)),MIN(J1088*(1+$B$87/12),IF($B$86=0,0,IF($B$87=0,$B$86/ROUND($B$88*12,0),$B$86*($B$87/12)/(1-(1+$B$87/12)^(-ROUND($B$88*12,0)))))),""))</x:f>
        <x:v>0</x:v>
      </x:c>
      <x:c r="L1088" s="440" t="n">
        <x:f>IF(ISNUMBER(K1088),IF(MAX(0,J1088*(1+SUM($B$87)/12)-K1088)&lt;MAX(0.0000001,$B$86*0.00000000001),0,MAX(0,J1088*(1+SUM($B$87)/12)-K1088)),"")</x:f>
        <x:v>0</x:v>
      </x:c>
      <x:c r="M1088" s="440" t="n">
        <x:f>IF(AND(ISNUMBER(D1088),ISNUMBER(K1088)),D1088+K1088,"")</x:f>
        <x:v>0</x:v>
      </x:c>
      <x:c r="N1088" s="440" t="n">
        <x:f>IF(AND(ISNUMBER(H1088),ISNUMBER(L1088)),H1088+L1088,"")</x:f>
        <x:v>0</x:v>
      </x:c>
    </x:row>
    <x:row r="1089" ht="22" customHeight="1">
      <x:c r="A1089" s="254" t="n">
        <x:f>689</x:f>
        <x:v>689</x:v>
      </x:c>
      <x:c r="B1089" s="440" t="n">
        <x:f>IF(ISNUMBER(H1088),H1088,"")</x:f>
        <x:v>0</x:v>
      </x:c>
      <x:c r="C1089" s="442" t="n">
        <x:f>IF(ISNUMBER(B1089),IF(AND(689&gt;$B$173,$B$78="Refinance",ISNUMBER($B$80),$B$80&gt;=0,$B$80&lt;=1,ROUND($B$81*12,0)&gt;=1,$B$81&lt;=100,SUM($B$82)&gt;=0,SUM($B$82)&lt;=1,SUM($B$83)&gt;=0),$B$80,IF(AND($B$175&gt;0,689&gt;$B$175,ISNUMBER($B$75)),$B$75,$B$61)),"")</x:f>
        <x:v>0.0625</x:v>
      </x:c>
      <x:c r="D1089" s="440" t="n">
        <x:f>IF(AND(ISNUMBER(B1089),B1089=0),0,IF(AND($B$171=1,I1088=0,ISNUMBER(C1089),ISNUMBER(IF(AND(689&lt;=$B$174,689&lt;=$B$173),B1089*C1089/12,IF(AND(689=$B$173+1,AND(689&gt;$B$173,$B$78="Refinance",ISNUMBER($B$80),$B$80&gt;=0,$B$80&lt;=1,ROUND($B$81*12,0)&gt;=1,$B$81&lt;=100,SUM($B$82)&gt;=0,SUM($B$82)&lt;=1,SUM($B$83)&gt;=0)),IF(B1089=0,0,IF(C1089=0,B1089/ROUND($B$81*12,0),B1089*(C1089/12)/(1-(1+C1089/12)^(-ROUND($B$81*12,0))))),IF(AND(NOT(AND(689&gt;$B$173,$B$78="Refinance",ISNUMBER($B$80),$B$80&gt;=0,$B$80&lt;=1,ROUND($B$81*12,0)&gt;=1,$B$81&lt;=100,SUM($B$82)&gt;=0,SUM($B$82)&lt;=1,SUM($B$83)&gt;=0)),OR(689=1,689=$B$174+1,AND($B$175&gt;0,689=$B$175+1))),IF(AND($B$170=1,$B$66&gt;0,OR($B$175=0,689&lt;=$B$175)),$B$66,IF($B$172-MAX(689-1,$B$174)&gt;0,IF(B1089=0,0,IF(C1089=0,B1089/($B$172-MAX(689-1,$B$174)),B1089*(C1089/12)/(1-(1+C1089/12)^(-($B$172-MAX(689-1,$B$174)))))),"")),D1088))))),IF(IF(AND(689&lt;=$B$174,689&lt;=$B$173),B1089*C1089/12,IF(AND(689=$B$173+1,AND(689&gt;$B$173,$B$78="Refinance",ISNUMBER($B$80),$B$80&gt;=0,$B$80&lt;=1,ROUND($B$81*12,0)&gt;=1,$B$81&lt;=100,SUM($B$82)&gt;=0,SUM($B$82)&lt;=1,SUM($B$83)&gt;=0)),IF(B1089=0,0,IF(C1089=0,B1089/ROUND($B$81*12,0),B1089*(C1089/12)/(1-(1+C1089/12)^(-ROUND($B$81*12,0))))),IF(AND(NOT(AND(689&gt;$B$173,$B$78="Refinance",ISNUMBER($B$80),$B$80&gt;=0,$B$80&lt;=1,ROUND($B$81*12,0)&gt;=1,$B$81&lt;=100,SUM($B$82)&gt;=0,SUM($B$82)&lt;=1,SUM($B$83)&gt;=0)),OR(689=1,689=$B$174+1,AND($B$175&gt;0,689=$B$175+1))),IF(AND($B$170=1,$B$66&gt;0,OR($B$175=0,689&lt;=$B$175)),$B$66,IF($B$172-MAX(689-1,$B$174)&gt;0,IF(B1089=0,0,IF(C1089=0,B1089/($B$172-MAX(689-1,$B$174)),B1089*(C1089/12)/(1-(1+C1089/12)^(-($B$172-MAX(689-1,$B$174)))))),"")),D1088)))+0.0000001&gt;=B1089*C1089/12,MIN(B1089*(1+C1089/12),IF(AND(689&lt;=$B$174,689&lt;=$B$173),B1089*C1089/12,IF(AND(689=$B$173+1,AND(689&gt;$B$173,$B$78="Refinance",ISNUMBER($B$80),$B$80&gt;=0,$B$80&lt;=1,ROUND($B$81*12,0)&gt;=1,$B$81&lt;=100,SUM($B$82)&gt;=0,SUM($B$82)&lt;=1,SUM($B$83)&gt;=0)),IF(B1089=0,0,IF(C1089=0,B1089/ROUND($B$81*12,0),B1089*(C1089/12)/(1-(1+C1089/12)^(-ROUND($B$81*12,0))))),IF(AND(NOT(AND(689&gt;$B$173,$B$78="Refinance",ISNUMBER($B$80),$B$80&gt;=0,$B$80&lt;=1,ROUND($B$81*12,0)&gt;=1,$B$81&lt;=100,SUM($B$82)&gt;=0,SUM($B$82)&lt;=1,SUM($B$83)&gt;=0)),OR(689=1,689=$B$174+1,AND($B$175&gt;0,689=$B$175+1))),IF(AND($B$170=1,$B$66&gt;0,OR($B$175=0,689&lt;=$B$175)),$B$66,IF($B$172-MAX(689-1,$B$174)&gt;0,IF(B1089=0,0,IF(C1089=0,B1089/($B$172-MAX(689-1,$B$174)),B1089*(C1089/12)/(1-(1+C1089/12)^(-($B$172-MAX(689-1,$B$174)))))),"")),D1088)))),""),""))</x:f>
        <x:v>0</x:v>
      </x:c>
      <x:c r="E1089" s="440" t="n">
        <x:f>IF(AND(689=$B$173,ISNUMBER(D1089)),IF(MAX(0,B1089*(1+C1089/12)-D1089)&lt;MAX(0.0000001,$E$17*0.00000000001),0,MAX(0,B1089*(1+C1089/12)-D1089)),0)</x:f>
        <x:v>0</x:v>
      </x:c>
      <x:c r="F1089" s="440" t="n">
        <x:f>IF($B$78="Cash payoff",E1089,0)</x:f>
        <x:v>0</x:v>
      </x:c>
      <x:c r="G1089" s="440" t="n">
        <x:f>IF(AND(E1089&gt;0,AND($B$78="Refinance",ISNUMBER($B$80),$B$80&gt;=0,$B$80&lt;=1,ROUND($B$81*12,0)&gt;=1,$B$81&lt;=100,SUM($B$82)&gt;=0,SUM($B$82)&lt;=1,SUM($B$83)&gt;=0)),E1089*SUM($B$82)+SUM($B$83),0)</x:f>
        <x:v>0</x:v>
      </x:c>
      <x:c r="H1089" s="440" t="n">
        <x:f>IF(ISNUMBER(D1089),IF(MAX(0,B1089*(1+C1089/12)-D1089-F1089)&lt;MAX(0.0000001,$E$17*0.00000000001),0,MAX(0,B1089*(1+C1089/12)-D1089-F1089)),IF(AND($B$171=1,I1088=1),B1089,""))</x:f>
        <x:v>0</x:v>
      </x:c>
      <x:c r="I1089" s="444" t="n">
        <x:f>IF(OR(I1088=1,AND(E1089&gt;0,$B$78&lt;&gt;"Cash payoff",NOT(AND($B$78="Refinance",ISNUMBER($B$80),$B$80&gt;=0,$B$80&lt;=1,ROUND($B$81*12,0)&gt;=1,$B$81&lt;=100,SUM($B$82)&gt;=0,SUM($B$82)&lt;=1,SUM($B$83)&gt;=0))),AND(ISNUMBER(B1089),B1089&gt;0,$B$171=1,NOT(ISNUMBER(D1089)))),1,0)</x:f>
        <x:v>0</x:v>
      </x:c>
      <x:c r="J1089" s="440" t="n">
        <x:f>IF(ISNUMBER(L1088),L1088,"")</x:f>
        <x:v>0</x:v>
      </x:c>
      <x:c r="K1089" s="440" t="n">
        <x:f>IF(AND(ISNUMBER(J1089),J1089=0),0,IF(AND($B$176=1,ISNUMBER(J1089)),MIN(J1089*(1+$B$87/12),IF($B$86=0,0,IF($B$87=0,$B$86/ROUND($B$88*12,0),$B$86*($B$87/12)/(1-(1+$B$87/12)^(-ROUND($B$88*12,0)))))),""))</x:f>
        <x:v>0</x:v>
      </x:c>
      <x:c r="L1089" s="440" t="n">
        <x:f>IF(ISNUMBER(K1089),IF(MAX(0,J1089*(1+SUM($B$87)/12)-K1089)&lt;MAX(0.0000001,$B$86*0.00000000001),0,MAX(0,J1089*(1+SUM($B$87)/12)-K1089)),"")</x:f>
        <x:v>0</x:v>
      </x:c>
      <x:c r="M1089" s="440" t="n">
        <x:f>IF(AND(ISNUMBER(D1089),ISNUMBER(K1089)),D1089+K1089,"")</x:f>
        <x:v>0</x:v>
      </x:c>
      <x:c r="N1089" s="440" t="n">
        <x:f>IF(AND(ISNUMBER(H1089),ISNUMBER(L1089)),H1089+L1089,"")</x:f>
        <x:v>0</x:v>
      </x:c>
    </x:row>
    <x:row r="1090" ht="22" customHeight="1">
      <x:c r="A1090" s="254" t="n">
        <x:f>690</x:f>
        <x:v>690</x:v>
      </x:c>
      <x:c r="B1090" s="440" t="n">
        <x:f>IF(ISNUMBER(H1089),H1089,"")</x:f>
        <x:v>0</x:v>
      </x:c>
      <x:c r="C1090" s="442" t="n">
        <x:f>IF(ISNUMBER(B1090),IF(AND(690&gt;$B$173,$B$78="Refinance",ISNUMBER($B$80),$B$80&gt;=0,$B$80&lt;=1,ROUND($B$81*12,0)&gt;=1,$B$81&lt;=100,SUM($B$82)&gt;=0,SUM($B$82)&lt;=1,SUM($B$83)&gt;=0),$B$80,IF(AND($B$175&gt;0,690&gt;$B$175,ISNUMBER($B$75)),$B$75,$B$61)),"")</x:f>
        <x:v>0.0625</x:v>
      </x:c>
      <x:c r="D1090" s="440" t="n">
        <x:f>IF(AND(ISNUMBER(B1090),B1090=0),0,IF(AND($B$171=1,I1089=0,ISNUMBER(C1090),ISNUMBER(IF(AND(690&lt;=$B$174,690&lt;=$B$173),B1090*C1090/12,IF(AND(690=$B$173+1,AND(690&gt;$B$173,$B$78="Refinance",ISNUMBER($B$80),$B$80&gt;=0,$B$80&lt;=1,ROUND($B$81*12,0)&gt;=1,$B$81&lt;=100,SUM($B$82)&gt;=0,SUM($B$82)&lt;=1,SUM($B$83)&gt;=0)),IF(B1090=0,0,IF(C1090=0,B1090/ROUND($B$81*12,0),B1090*(C1090/12)/(1-(1+C1090/12)^(-ROUND($B$81*12,0))))),IF(AND(NOT(AND(690&gt;$B$173,$B$78="Refinance",ISNUMBER($B$80),$B$80&gt;=0,$B$80&lt;=1,ROUND($B$81*12,0)&gt;=1,$B$81&lt;=100,SUM($B$82)&gt;=0,SUM($B$82)&lt;=1,SUM($B$83)&gt;=0)),OR(690=1,690=$B$174+1,AND($B$175&gt;0,690=$B$175+1))),IF(AND($B$170=1,$B$66&gt;0,OR($B$175=0,690&lt;=$B$175)),$B$66,IF($B$172-MAX(690-1,$B$174)&gt;0,IF(B1090=0,0,IF(C1090=0,B1090/($B$172-MAX(690-1,$B$174)),B1090*(C1090/12)/(1-(1+C1090/12)^(-($B$172-MAX(690-1,$B$174)))))),"")),D1089))))),IF(IF(AND(690&lt;=$B$174,690&lt;=$B$173),B1090*C1090/12,IF(AND(690=$B$173+1,AND(690&gt;$B$173,$B$78="Refinance",ISNUMBER($B$80),$B$80&gt;=0,$B$80&lt;=1,ROUND($B$81*12,0)&gt;=1,$B$81&lt;=100,SUM($B$82)&gt;=0,SUM($B$82)&lt;=1,SUM($B$83)&gt;=0)),IF(B1090=0,0,IF(C1090=0,B1090/ROUND($B$81*12,0),B1090*(C1090/12)/(1-(1+C1090/12)^(-ROUND($B$81*12,0))))),IF(AND(NOT(AND(690&gt;$B$173,$B$78="Refinance",ISNUMBER($B$80),$B$80&gt;=0,$B$80&lt;=1,ROUND($B$81*12,0)&gt;=1,$B$81&lt;=100,SUM($B$82)&gt;=0,SUM($B$82)&lt;=1,SUM($B$83)&gt;=0)),OR(690=1,690=$B$174+1,AND($B$175&gt;0,690=$B$175+1))),IF(AND($B$170=1,$B$66&gt;0,OR($B$175=0,690&lt;=$B$175)),$B$66,IF($B$172-MAX(690-1,$B$174)&gt;0,IF(B1090=0,0,IF(C1090=0,B1090/($B$172-MAX(690-1,$B$174)),B1090*(C1090/12)/(1-(1+C1090/12)^(-($B$172-MAX(690-1,$B$174)))))),"")),D1089)))+0.0000001&gt;=B1090*C1090/12,MIN(B1090*(1+C1090/12),IF(AND(690&lt;=$B$174,690&lt;=$B$173),B1090*C1090/12,IF(AND(690=$B$173+1,AND(690&gt;$B$173,$B$78="Refinance",ISNUMBER($B$80),$B$80&gt;=0,$B$80&lt;=1,ROUND($B$81*12,0)&gt;=1,$B$81&lt;=100,SUM($B$82)&gt;=0,SUM($B$82)&lt;=1,SUM($B$83)&gt;=0)),IF(B1090=0,0,IF(C1090=0,B1090/ROUND($B$81*12,0),B1090*(C1090/12)/(1-(1+C1090/12)^(-ROUND($B$81*12,0))))),IF(AND(NOT(AND(690&gt;$B$173,$B$78="Refinance",ISNUMBER($B$80),$B$80&gt;=0,$B$80&lt;=1,ROUND($B$81*12,0)&gt;=1,$B$81&lt;=100,SUM($B$82)&gt;=0,SUM($B$82)&lt;=1,SUM($B$83)&gt;=0)),OR(690=1,690=$B$174+1,AND($B$175&gt;0,690=$B$175+1))),IF(AND($B$170=1,$B$66&gt;0,OR($B$175=0,690&lt;=$B$175)),$B$66,IF($B$172-MAX(690-1,$B$174)&gt;0,IF(B1090=0,0,IF(C1090=0,B1090/($B$172-MAX(690-1,$B$174)),B1090*(C1090/12)/(1-(1+C1090/12)^(-($B$172-MAX(690-1,$B$174)))))),"")),D1089)))),""),""))</x:f>
        <x:v>0</x:v>
      </x:c>
      <x:c r="E1090" s="440" t="n">
        <x:f>IF(AND(690=$B$173,ISNUMBER(D1090)),IF(MAX(0,B1090*(1+C1090/12)-D1090)&lt;MAX(0.0000001,$E$17*0.00000000001),0,MAX(0,B1090*(1+C1090/12)-D1090)),0)</x:f>
        <x:v>0</x:v>
      </x:c>
      <x:c r="F1090" s="440" t="n">
        <x:f>IF($B$78="Cash payoff",E1090,0)</x:f>
        <x:v>0</x:v>
      </x:c>
      <x:c r="G1090" s="440" t="n">
        <x:f>IF(AND(E1090&gt;0,AND($B$78="Refinance",ISNUMBER($B$80),$B$80&gt;=0,$B$80&lt;=1,ROUND($B$81*12,0)&gt;=1,$B$81&lt;=100,SUM($B$82)&gt;=0,SUM($B$82)&lt;=1,SUM($B$83)&gt;=0)),E1090*SUM($B$82)+SUM($B$83),0)</x:f>
        <x:v>0</x:v>
      </x:c>
      <x:c r="H1090" s="440" t="n">
        <x:f>IF(ISNUMBER(D1090),IF(MAX(0,B1090*(1+C1090/12)-D1090-F1090)&lt;MAX(0.0000001,$E$17*0.00000000001),0,MAX(0,B1090*(1+C1090/12)-D1090-F1090)),IF(AND($B$171=1,I1089=1),B1090,""))</x:f>
        <x:v>0</x:v>
      </x:c>
      <x:c r="I1090" s="444" t="n">
        <x:f>IF(OR(I1089=1,AND(E1090&gt;0,$B$78&lt;&gt;"Cash payoff",NOT(AND($B$78="Refinance",ISNUMBER($B$80),$B$80&gt;=0,$B$80&lt;=1,ROUND($B$81*12,0)&gt;=1,$B$81&lt;=100,SUM($B$82)&gt;=0,SUM($B$82)&lt;=1,SUM($B$83)&gt;=0))),AND(ISNUMBER(B1090),B1090&gt;0,$B$171=1,NOT(ISNUMBER(D1090)))),1,0)</x:f>
        <x:v>0</x:v>
      </x:c>
      <x:c r="J1090" s="440" t="n">
        <x:f>IF(ISNUMBER(L1089),L1089,"")</x:f>
        <x:v>0</x:v>
      </x:c>
      <x:c r="K1090" s="440" t="n">
        <x:f>IF(AND(ISNUMBER(J1090),J1090=0),0,IF(AND($B$176=1,ISNUMBER(J1090)),MIN(J1090*(1+$B$87/12),IF($B$86=0,0,IF($B$87=0,$B$86/ROUND($B$88*12,0),$B$86*($B$87/12)/(1-(1+$B$87/12)^(-ROUND($B$88*12,0)))))),""))</x:f>
        <x:v>0</x:v>
      </x:c>
      <x:c r="L1090" s="440" t="n">
        <x:f>IF(ISNUMBER(K1090),IF(MAX(0,J1090*(1+SUM($B$87)/12)-K1090)&lt;MAX(0.0000001,$B$86*0.00000000001),0,MAX(0,J1090*(1+SUM($B$87)/12)-K1090)),"")</x:f>
        <x:v>0</x:v>
      </x:c>
      <x:c r="M1090" s="440" t="n">
        <x:f>IF(AND(ISNUMBER(D1090),ISNUMBER(K1090)),D1090+K1090,"")</x:f>
        <x:v>0</x:v>
      </x:c>
      <x:c r="N1090" s="440" t="n">
        <x:f>IF(AND(ISNUMBER(H1090),ISNUMBER(L1090)),H1090+L1090,"")</x:f>
        <x:v>0</x:v>
      </x:c>
    </x:row>
    <x:row r="1091" ht="22" customHeight="1">
      <x:c r="A1091" s="254" t="n">
        <x:f>691</x:f>
        <x:v>691</x:v>
      </x:c>
      <x:c r="B1091" s="440" t="n">
        <x:f>IF(ISNUMBER(H1090),H1090,"")</x:f>
        <x:v>0</x:v>
      </x:c>
      <x:c r="C1091" s="442" t="n">
        <x:f>IF(ISNUMBER(B1091),IF(AND(691&gt;$B$173,$B$78="Refinance",ISNUMBER($B$80),$B$80&gt;=0,$B$80&lt;=1,ROUND($B$81*12,0)&gt;=1,$B$81&lt;=100,SUM($B$82)&gt;=0,SUM($B$82)&lt;=1,SUM($B$83)&gt;=0),$B$80,IF(AND($B$175&gt;0,691&gt;$B$175,ISNUMBER($B$75)),$B$75,$B$61)),"")</x:f>
        <x:v>0.0625</x:v>
      </x:c>
      <x:c r="D1091" s="440" t="n">
        <x:f>IF(AND(ISNUMBER(B1091),B1091=0),0,IF(AND($B$171=1,I1090=0,ISNUMBER(C1091),ISNUMBER(IF(AND(691&lt;=$B$174,691&lt;=$B$173),B1091*C1091/12,IF(AND(691=$B$173+1,AND(691&gt;$B$173,$B$78="Refinance",ISNUMBER($B$80),$B$80&gt;=0,$B$80&lt;=1,ROUND($B$81*12,0)&gt;=1,$B$81&lt;=100,SUM($B$82)&gt;=0,SUM($B$82)&lt;=1,SUM($B$83)&gt;=0)),IF(B1091=0,0,IF(C1091=0,B1091/ROUND($B$81*12,0),B1091*(C1091/12)/(1-(1+C1091/12)^(-ROUND($B$81*12,0))))),IF(AND(NOT(AND(691&gt;$B$173,$B$78="Refinance",ISNUMBER($B$80),$B$80&gt;=0,$B$80&lt;=1,ROUND($B$81*12,0)&gt;=1,$B$81&lt;=100,SUM($B$82)&gt;=0,SUM($B$82)&lt;=1,SUM($B$83)&gt;=0)),OR(691=1,691=$B$174+1,AND($B$175&gt;0,691=$B$175+1))),IF(AND($B$170=1,$B$66&gt;0,OR($B$175=0,691&lt;=$B$175)),$B$66,IF($B$172-MAX(691-1,$B$174)&gt;0,IF(B1091=0,0,IF(C1091=0,B1091/($B$172-MAX(691-1,$B$174)),B1091*(C1091/12)/(1-(1+C1091/12)^(-($B$172-MAX(691-1,$B$174)))))),"")),D1090))))),IF(IF(AND(691&lt;=$B$174,691&lt;=$B$173),B1091*C1091/12,IF(AND(691=$B$173+1,AND(691&gt;$B$173,$B$78="Refinance",ISNUMBER($B$80),$B$80&gt;=0,$B$80&lt;=1,ROUND($B$81*12,0)&gt;=1,$B$81&lt;=100,SUM($B$82)&gt;=0,SUM($B$82)&lt;=1,SUM($B$83)&gt;=0)),IF(B1091=0,0,IF(C1091=0,B1091/ROUND($B$81*12,0),B1091*(C1091/12)/(1-(1+C1091/12)^(-ROUND($B$81*12,0))))),IF(AND(NOT(AND(691&gt;$B$173,$B$78="Refinance",ISNUMBER($B$80),$B$80&gt;=0,$B$80&lt;=1,ROUND($B$81*12,0)&gt;=1,$B$81&lt;=100,SUM($B$82)&gt;=0,SUM($B$82)&lt;=1,SUM($B$83)&gt;=0)),OR(691=1,691=$B$174+1,AND($B$175&gt;0,691=$B$175+1))),IF(AND($B$170=1,$B$66&gt;0,OR($B$175=0,691&lt;=$B$175)),$B$66,IF($B$172-MAX(691-1,$B$174)&gt;0,IF(B1091=0,0,IF(C1091=0,B1091/($B$172-MAX(691-1,$B$174)),B1091*(C1091/12)/(1-(1+C1091/12)^(-($B$172-MAX(691-1,$B$174)))))),"")),D1090)))+0.0000001&gt;=B1091*C1091/12,MIN(B1091*(1+C1091/12),IF(AND(691&lt;=$B$174,691&lt;=$B$173),B1091*C1091/12,IF(AND(691=$B$173+1,AND(691&gt;$B$173,$B$78="Refinance",ISNUMBER($B$80),$B$80&gt;=0,$B$80&lt;=1,ROUND($B$81*12,0)&gt;=1,$B$81&lt;=100,SUM($B$82)&gt;=0,SUM($B$82)&lt;=1,SUM($B$83)&gt;=0)),IF(B1091=0,0,IF(C1091=0,B1091/ROUND($B$81*12,0),B1091*(C1091/12)/(1-(1+C1091/12)^(-ROUND($B$81*12,0))))),IF(AND(NOT(AND(691&gt;$B$173,$B$78="Refinance",ISNUMBER($B$80),$B$80&gt;=0,$B$80&lt;=1,ROUND($B$81*12,0)&gt;=1,$B$81&lt;=100,SUM($B$82)&gt;=0,SUM($B$82)&lt;=1,SUM($B$83)&gt;=0)),OR(691=1,691=$B$174+1,AND($B$175&gt;0,691=$B$175+1))),IF(AND($B$170=1,$B$66&gt;0,OR($B$175=0,691&lt;=$B$175)),$B$66,IF($B$172-MAX(691-1,$B$174)&gt;0,IF(B1091=0,0,IF(C1091=0,B1091/($B$172-MAX(691-1,$B$174)),B1091*(C1091/12)/(1-(1+C1091/12)^(-($B$172-MAX(691-1,$B$174)))))),"")),D1090)))),""),""))</x:f>
        <x:v>0</x:v>
      </x:c>
      <x:c r="E1091" s="440" t="n">
        <x:f>IF(AND(691=$B$173,ISNUMBER(D1091)),IF(MAX(0,B1091*(1+C1091/12)-D1091)&lt;MAX(0.0000001,$E$17*0.00000000001),0,MAX(0,B1091*(1+C1091/12)-D1091)),0)</x:f>
        <x:v>0</x:v>
      </x:c>
      <x:c r="F1091" s="440" t="n">
        <x:f>IF($B$78="Cash payoff",E1091,0)</x:f>
        <x:v>0</x:v>
      </x:c>
      <x:c r="G1091" s="440" t="n">
        <x:f>IF(AND(E1091&gt;0,AND($B$78="Refinance",ISNUMBER($B$80),$B$80&gt;=0,$B$80&lt;=1,ROUND($B$81*12,0)&gt;=1,$B$81&lt;=100,SUM($B$82)&gt;=0,SUM($B$82)&lt;=1,SUM($B$83)&gt;=0)),E1091*SUM($B$82)+SUM($B$83),0)</x:f>
        <x:v>0</x:v>
      </x:c>
      <x:c r="H1091" s="440" t="n">
        <x:f>IF(ISNUMBER(D1091),IF(MAX(0,B1091*(1+C1091/12)-D1091-F1091)&lt;MAX(0.0000001,$E$17*0.00000000001),0,MAX(0,B1091*(1+C1091/12)-D1091-F1091)),IF(AND($B$171=1,I1090=1),B1091,""))</x:f>
        <x:v>0</x:v>
      </x:c>
      <x:c r="I1091" s="444" t="n">
        <x:f>IF(OR(I1090=1,AND(E1091&gt;0,$B$78&lt;&gt;"Cash payoff",NOT(AND($B$78="Refinance",ISNUMBER($B$80),$B$80&gt;=0,$B$80&lt;=1,ROUND($B$81*12,0)&gt;=1,$B$81&lt;=100,SUM($B$82)&gt;=0,SUM($B$82)&lt;=1,SUM($B$83)&gt;=0))),AND(ISNUMBER(B1091),B1091&gt;0,$B$171=1,NOT(ISNUMBER(D1091)))),1,0)</x:f>
        <x:v>0</x:v>
      </x:c>
      <x:c r="J1091" s="440" t="n">
        <x:f>IF(ISNUMBER(L1090),L1090,"")</x:f>
        <x:v>0</x:v>
      </x:c>
      <x:c r="K1091" s="440" t="n">
        <x:f>IF(AND(ISNUMBER(J1091),J1091=0),0,IF(AND($B$176=1,ISNUMBER(J1091)),MIN(J1091*(1+$B$87/12),IF($B$86=0,0,IF($B$87=0,$B$86/ROUND($B$88*12,0),$B$86*($B$87/12)/(1-(1+$B$87/12)^(-ROUND($B$88*12,0)))))),""))</x:f>
        <x:v>0</x:v>
      </x:c>
      <x:c r="L1091" s="440" t="n">
        <x:f>IF(ISNUMBER(K1091),IF(MAX(0,J1091*(1+SUM($B$87)/12)-K1091)&lt;MAX(0.0000001,$B$86*0.00000000001),0,MAX(0,J1091*(1+SUM($B$87)/12)-K1091)),"")</x:f>
        <x:v>0</x:v>
      </x:c>
      <x:c r="M1091" s="440" t="n">
        <x:f>IF(AND(ISNUMBER(D1091),ISNUMBER(K1091)),D1091+K1091,"")</x:f>
        <x:v>0</x:v>
      </x:c>
      <x:c r="N1091" s="440" t="n">
        <x:f>IF(AND(ISNUMBER(H1091),ISNUMBER(L1091)),H1091+L1091,"")</x:f>
        <x:v>0</x:v>
      </x:c>
    </x:row>
    <x:row r="1092" ht="22" customHeight="1">
      <x:c r="A1092" s="254" t="n">
        <x:f>692</x:f>
        <x:v>692</x:v>
      </x:c>
      <x:c r="B1092" s="440" t="n">
        <x:f>IF(ISNUMBER(H1091),H1091,"")</x:f>
        <x:v>0</x:v>
      </x:c>
      <x:c r="C1092" s="442" t="n">
        <x:f>IF(ISNUMBER(B1092),IF(AND(692&gt;$B$173,$B$78="Refinance",ISNUMBER($B$80),$B$80&gt;=0,$B$80&lt;=1,ROUND($B$81*12,0)&gt;=1,$B$81&lt;=100,SUM($B$82)&gt;=0,SUM($B$82)&lt;=1,SUM($B$83)&gt;=0),$B$80,IF(AND($B$175&gt;0,692&gt;$B$175,ISNUMBER($B$75)),$B$75,$B$61)),"")</x:f>
        <x:v>0.0625</x:v>
      </x:c>
      <x:c r="D1092" s="440" t="n">
        <x:f>IF(AND(ISNUMBER(B1092),B1092=0),0,IF(AND($B$171=1,I1091=0,ISNUMBER(C1092),ISNUMBER(IF(AND(692&lt;=$B$174,692&lt;=$B$173),B1092*C1092/12,IF(AND(692=$B$173+1,AND(692&gt;$B$173,$B$78="Refinance",ISNUMBER($B$80),$B$80&gt;=0,$B$80&lt;=1,ROUND($B$81*12,0)&gt;=1,$B$81&lt;=100,SUM($B$82)&gt;=0,SUM($B$82)&lt;=1,SUM($B$83)&gt;=0)),IF(B1092=0,0,IF(C1092=0,B1092/ROUND($B$81*12,0),B1092*(C1092/12)/(1-(1+C1092/12)^(-ROUND($B$81*12,0))))),IF(AND(NOT(AND(692&gt;$B$173,$B$78="Refinance",ISNUMBER($B$80),$B$80&gt;=0,$B$80&lt;=1,ROUND($B$81*12,0)&gt;=1,$B$81&lt;=100,SUM($B$82)&gt;=0,SUM($B$82)&lt;=1,SUM($B$83)&gt;=0)),OR(692=1,692=$B$174+1,AND($B$175&gt;0,692=$B$175+1))),IF(AND($B$170=1,$B$66&gt;0,OR($B$175=0,692&lt;=$B$175)),$B$66,IF($B$172-MAX(692-1,$B$174)&gt;0,IF(B1092=0,0,IF(C1092=0,B1092/($B$172-MAX(692-1,$B$174)),B1092*(C1092/12)/(1-(1+C1092/12)^(-($B$172-MAX(692-1,$B$174)))))),"")),D1091))))),IF(IF(AND(692&lt;=$B$174,692&lt;=$B$173),B1092*C1092/12,IF(AND(692=$B$173+1,AND(692&gt;$B$173,$B$78="Refinance",ISNUMBER($B$80),$B$80&gt;=0,$B$80&lt;=1,ROUND($B$81*12,0)&gt;=1,$B$81&lt;=100,SUM($B$82)&gt;=0,SUM($B$82)&lt;=1,SUM($B$83)&gt;=0)),IF(B1092=0,0,IF(C1092=0,B1092/ROUND($B$81*12,0),B1092*(C1092/12)/(1-(1+C1092/12)^(-ROUND($B$81*12,0))))),IF(AND(NOT(AND(692&gt;$B$173,$B$78="Refinance",ISNUMBER($B$80),$B$80&gt;=0,$B$80&lt;=1,ROUND($B$81*12,0)&gt;=1,$B$81&lt;=100,SUM($B$82)&gt;=0,SUM($B$82)&lt;=1,SUM($B$83)&gt;=0)),OR(692=1,692=$B$174+1,AND($B$175&gt;0,692=$B$175+1))),IF(AND($B$170=1,$B$66&gt;0,OR($B$175=0,692&lt;=$B$175)),$B$66,IF($B$172-MAX(692-1,$B$174)&gt;0,IF(B1092=0,0,IF(C1092=0,B1092/($B$172-MAX(692-1,$B$174)),B1092*(C1092/12)/(1-(1+C1092/12)^(-($B$172-MAX(692-1,$B$174)))))),"")),D1091)))+0.0000001&gt;=B1092*C1092/12,MIN(B1092*(1+C1092/12),IF(AND(692&lt;=$B$174,692&lt;=$B$173),B1092*C1092/12,IF(AND(692=$B$173+1,AND(692&gt;$B$173,$B$78="Refinance",ISNUMBER($B$80),$B$80&gt;=0,$B$80&lt;=1,ROUND($B$81*12,0)&gt;=1,$B$81&lt;=100,SUM($B$82)&gt;=0,SUM($B$82)&lt;=1,SUM($B$83)&gt;=0)),IF(B1092=0,0,IF(C1092=0,B1092/ROUND($B$81*12,0),B1092*(C1092/12)/(1-(1+C1092/12)^(-ROUND($B$81*12,0))))),IF(AND(NOT(AND(692&gt;$B$173,$B$78="Refinance",ISNUMBER($B$80),$B$80&gt;=0,$B$80&lt;=1,ROUND($B$81*12,0)&gt;=1,$B$81&lt;=100,SUM($B$82)&gt;=0,SUM($B$82)&lt;=1,SUM($B$83)&gt;=0)),OR(692=1,692=$B$174+1,AND($B$175&gt;0,692=$B$175+1))),IF(AND($B$170=1,$B$66&gt;0,OR($B$175=0,692&lt;=$B$175)),$B$66,IF($B$172-MAX(692-1,$B$174)&gt;0,IF(B1092=0,0,IF(C1092=0,B1092/($B$172-MAX(692-1,$B$174)),B1092*(C1092/12)/(1-(1+C1092/12)^(-($B$172-MAX(692-1,$B$174)))))),"")),D1091)))),""),""))</x:f>
        <x:v>0</x:v>
      </x:c>
      <x:c r="E1092" s="440" t="n">
        <x:f>IF(AND(692=$B$173,ISNUMBER(D1092)),IF(MAX(0,B1092*(1+C1092/12)-D1092)&lt;MAX(0.0000001,$E$17*0.00000000001),0,MAX(0,B1092*(1+C1092/12)-D1092)),0)</x:f>
        <x:v>0</x:v>
      </x:c>
      <x:c r="F1092" s="440" t="n">
        <x:f>IF($B$78="Cash payoff",E1092,0)</x:f>
        <x:v>0</x:v>
      </x:c>
      <x:c r="G1092" s="440" t="n">
        <x:f>IF(AND(E1092&gt;0,AND($B$78="Refinance",ISNUMBER($B$80),$B$80&gt;=0,$B$80&lt;=1,ROUND($B$81*12,0)&gt;=1,$B$81&lt;=100,SUM($B$82)&gt;=0,SUM($B$82)&lt;=1,SUM($B$83)&gt;=0)),E1092*SUM($B$82)+SUM($B$83),0)</x:f>
        <x:v>0</x:v>
      </x:c>
      <x:c r="H1092" s="440" t="n">
        <x:f>IF(ISNUMBER(D1092),IF(MAX(0,B1092*(1+C1092/12)-D1092-F1092)&lt;MAX(0.0000001,$E$17*0.00000000001),0,MAX(0,B1092*(1+C1092/12)-D1092-F1092)),IF(AND($B$171=1,I1091=1),B1092,""))</x:f>
        <x:v>0</x:v>
      </x:c>
      <x:c r="I1092" s="444" t="n">
        <x:f>IF(OR(I1091=1,AND(E1092&gt;0,$B$78&lt;&gt;"Cash payoff",NOT(AND($B$78="Refinance",ISNUMBER($B$80),$B$80&gt;=0,$B$80&lt;=1,ROUND($B$81*12,0)&gt;=1,$B$81&lt;=100,SUM($B$82)&gt;=0,SUM($B$82)&lt;=1,SUM($B$83)&gt;=0))),AND(ISNUMBER(B1092),B1092&gt;0,$B$171=1,NOT(ISNUMBER(D1092)))),1,0)</x:f>
        <x:v>0</x:v>
      </x:c>
      <x:c r="J1092" s="440" t="n">
        <x:f>IF(ISNUMBER(L1091),L1091,"")</x:f>
        <x:v>0</x:v>
      </x:c>
      <x:c r="K1092" s="440" t="n">
        <x:f>IF(AND(ISNUMBER(J1092),J1092=0),0,IF(AND($B$176=1,ISNUMBER(J1092)),MIN(J1092*(1+$B$87/12),IF($B$86=0,0,IF($B$87=0,$B$86/ROUND($B$88*12,0),$B$86*($B$87/12)/(1-(1+$B$87/12)^(-ROUND($B$88*12,0)))))),""))</x:f>
        <x:v>0</x:v>
      </x:c>
      <x:c r="L1092" s="440" t="n">
        <x:f>IF(ISNUMBER(K1092),IF(MAX(0,J1092*(1+SUM($B$87)/12)-K1092)&lt;MAX(0.0000001,$B$86*0.00000000001),0,MAX(0,J1092*(1+SUM($B$87)/12)-K1092)),"")</x:f>
        <x:v>0</x:v>
      </x:c>
      <x:c r="M1092" s="440" t="n">
        <x:f>IF(AND(ISNUMBER(D1092),ISNUMBER(K1092)),D1092+K1092,"")</x:f>
        <x:v>0</x:v>
      </x:c>
      <x:c r="N1092" s="440" t="n">
        <x:f>IF(AND(ISNUMBER(H1092),ISNUMBER(L1092)),H1092+L1092,"")</x:f>
        <x:v>0</x:v>
      </x:c>
    </x:row>
    <x:row r="1093" ht="22" customHeight="1">
      <x:c r="A1093" s="254" t="n">
        <x:f>693</x:f>
        <x:v>693</x:v>
      </x:c>
      <x:c r="B1093" s="440" t="n">
        <x:f>IF(ISNUMBER(H1092),H1092,"")</x:f>
        <x:v>0</x:v>
      </x:c>
      <x:c r="C1093" s="442" t="n">
        <x:f>IF(ISNUMBER(B1093),IF(AND(693&gt;$B$173,$B$78="Refinance",ISNUMBER($B$80),$B$80&gt;=0,$B$80&lt;=1,ROUND($B$81*12,0)&gt;=1,$B$81&lt;=100,SUM($B$82)&gt;=0,SUM($B$82)&lt;=1,SUM($B$83)&gt;=0),$B$80,IF(AND($B$175&gt;0,693&gt;$B$175,ISNUMBER($B$75)),$B$75,$B$61)),"")</x:f>
        <x:v>0.0625</x:v>
      </x:c>
      <x:c r="D1093" s="440" t="n">
        <x:f>IF(AND(ISNUMBER(B1093),B1093=0),0,IF(AND($B$171=1,I1092=0,ISNUMBER(C1093),ISNUMBER(IF(AND(693&lt;=$B$174,693&lt;=$B$173),B1093*C1093/12,IF(AND(693=$B$173+1,AND(693&gt;$B$173,$B$78="Refinance",ISNUMBER($B$80),$B$80&gt;=0,$B$80&lt;=1,ROUND($B$81*12,0)&gt;=1,$B$81&lt;=100,SUM($B$82)&gt;=0,SUM($B$82)&lt;=1,SUM($B$83)&gt;=0)),IF(B1093=0,0,IF(C1093=0,B1093/ROUND($B$81*12,0),B1093*(C1093/12)/(1-(1+C1093/12)^(-ROUND($B$81*12,0))))),IF(AND(NOT(AND(693&gt;$B$173,$B$78="Refinance",ISNUMBER($B$80),$B$80&gt;=0,$B$80&lt;=1,ROUND($B$81*12,0)&gt;=1,$B$81&lt;=100,SUM($B$82)&gt;=0,SUM($B$82)&lt;=1,SUM($B$83)&gt;=0)),OR(693=1,693=$B$174+1,AND($B$175&gt;0,693=$B$175+1))),IF(AND($B$170=1,$B$66&gt;0,OR($B$175=0,693&lt;=$B$175)),$B$66,IF($B$172-MAX(693-1,$B$174)&gt;0,IF(B1093=0,0,IF(C1093=0,B1093/($B$172-MAX(693-1,$B$174)),B1093*(C1093/12)/(1-(1+C1093/12)^(-($B$172-MAX(693-1,$B$174)))))),"")),D1092))))),IF(IF(AND(693&lt;=$B$174,693&lt;=$B$173),B1093*C1093/12,IF(AND(693=$B$173+1,AND(693&gt;$B$173,$B$78="Refinance",ISNUMBER($B$80),$B$80&gt;=0,$B$80&lt;=1,ROUND($B$81*12,0)&gt;=1,$B$81&lt;=100,SUM($B$82)&gt;=0,SUM($B$82)&lt;=1,SUM($B$83)&gt;=0)),IF(B1093=0,0,IF(C1093=0,B1093/ROUND($B$81*12,0),B1093*(C1093/12)/(1-(1+C1093/12)^(-ROUND($B$81*12,0))))),IF(AND(NOT(AND(693&gt;$B$173,$B$78="Refinance",ISNUMBER($B$80),$B$80&gt;=0,$B$80&lt;=1,ROUND($B$81*12,0)&gt;=1,$B$81&lt;=100,SUM($B$82)&gt;=0,SUM($B$82)&lt;=1,SUM($B$83)&gt;=0)),OR(693=1,693=$B$174+1,AND($B$175&gt;0,693=$B$175+1))),IF(AND($B$170=1,$B$66&gt;0,OR($B$175=0,693&lt;=$B$175)),$B$66,IF($B$172-MAX(693-1,$B$174)&gt;0,IF(B1093=0,0,IF(C1093=0,B1093/($B$172-MAX(693-1,$B$174)),B1093*(C1093/12)/(1-(1+C1093/12)^(-($B$172-MAX(693-1,$B$174)))))),"")),D1092)))+0.0000001&gt;=B1093*C1093/12,MIN(B1093*(1+C1093/12),IF(AND(693&lt;=$B$174,693&lt;=$B$173),B1093*C1093/12,IF(AND(693=$B$173+1,AND(693&gt;$B$173,$B$78="Refinance",ISNUMBER($B$80),$B$80&gt;=0,$B$80&lt;=1,ROUND($B$81*12,0)&gt;=1,$B$81&lt;=100,SUM($B$82)&gt;=0,SUM($B$82)&lt;=1,SUM($B$83)&gt;=0)),IF(B1093=0,0,IF(C1093=0,B1093/ROUND($B$81*12,0),B1093*(C1093/12)/(1-(1+C1093/12)^(-ROUND($B$81*12,0))))),IF(AND(NOT(AND(693&gt;$B$173,$B$78="Refinance",ISNUMBER($B$80),$B$80&gt;=0,$B$80&lt;=1,ROUND($B$81*12,0)&gt;=1,$B$81&lt;=100,SUM($B$82)&gt;=0,SUM($B$82)&lt;=1,SUM($B$83)&gt;=0)),OR(693=1,693=$B$174+1,AND($B$175&gt;0,693=$B$175+1))),IF(AND($B$170=1,$B$66&gt;0,OR($B$175=0,693&lt;=$B$175)),$B$66,IF($B$172-MAX(693-1,$B$174)&gt;0,IF(B1093=0,0,IF(C1093=0,B1093/($B$172-MAX(693-1,$B$174)),B1093*(C1093/12)/(1-(1+C1093/12)^(-($B$172-MAX(693-1,$B$174)))))),"")),D1092)))),""),""))</x:f>
        <x:v>0</x:v>
      </x:c>
      <x:c r="E1093" s="440" t="n">
        <x:f>IF(AND(693=$B$173,ISNUMBER(D1093)),IF(MAX(0,B1093*(1+C1093/12)-D1093)&lt;MAX(0.0000001,$E$17*0.00000000001),0,MAX(0,B1093*(1+C1093/12)-D1093)),0)</x:f>
        <x:v>0</x:v>
      </x:c>
      <x:c r="F1093" s="440" t="n">
        <x:f>IF($B$78="Cash payoff",E1093,0)</x:f>
        <x:v>0</x:v>
      </x:c>
      <x:c r="G1093" s="440" t="n">
        <x:f>IF(AND(E1093&gt;0,AND($B$78="Refinance",ISNUMBER($B$80),$B$80&gt;=0,$B$80&lt;=1,ROUND($B$81*12,0)&gt;=1,$B$81&lt;=100,SUM($B$82)&gt;=0,SUM($B$82)&lt;=1,SUM($B$83)&gt;=0)),E1093*SUM($B$82)+SUM($B$83),0)</x:f>
        <x:v>0</x:v>
      </x:c>
      <x:c r="H1093" s="440" t="n">
        <x:f>IF(ISNUMBER(D1093),IF(MAX(0,B1093*(1+C1093/12)-D1093-F1093)&lt;MAX(0.0000001,$E$17*0.00000000001),0,MAX(0,B1093*(1+C1093/12)-D1093-F1093)),IF(AND($B$171=1,I1092=1),B1093,""))</x:f>
        <x:v>0</x:v>
      </x:c>
      <x:c r="I1093" s="444" t="n">
        <x:f>IF(OR(I1092=1,AND(E1093&gt;0,$B$78&lt;&gt;"Cash payoff",NOT(AND($B$78="Refinance",ISNUMBER($B$80),$B$80&gt;=0,$B$80&lt;=1,ROUND($B$81*12,0)&gt;=1,$B$81&lt;=100,SUM($B$82)&gt;=0,SUM($B$82)&lt;=1,SUM($B$83)&gt;=0))),AND(ISNUMBER(B1093),B1093&gt;0,$B$171=1,NOT(ISNUMBER(D1093)))),1,0)</x:f>
        <x:v>0</x:v>
      </x:c>
      <x:c r="J1093" s="440" t="n">
        <x:f>IF(ISNUMBER(L1092),L1092,"")</x:f>
        <x:v>0</x:v>
      </x:c>
      <x:c r="K1093" s="440" t="n">
        <x:f>IF(AND(ISNUMBER(J1093),J1093=0),0,IF(AND($B$176=1,ISNUMBER(J1093)),MIN(J1093*(1+$B$87/12),IF($B$86=0,0,IF($B$87=0,$B$86/ROUND($B$88*12,0),$B$86*($B$87/12)/(1-(1+$B$87/12)^(-ROUND($B$88*12,0)))))),""))</x:f>
        <x:v>0</x:v>
      </x:c>
      <x:c r="L1093" s="440" t="n">
        <x:f>IF(ISNUMBER(K1093),IF(MAX(0,J1093*(1+SUM($B$87)/12)-K1093)&lt;MAX(0.0000001,$B$86*0.00000000001),0,MAX(0,J1093*(1+SUM($B$87)/12)-K1093)),"")</x:f>
        <x:v>0</x:v>
      </x:c>
      <x:c r="M1093" s="440" t="n">
        <x:f>IF(AND(ISNUMBER(D1093),ISNUMBER(K1093)),D1093+K1093,"")</x:f>
        <x:v>0</x:v>
      </x:c>
      <x:c r="N1093" s="440" t="n">
        <x:f>IF(AND(ISNUMBER(H1093),ISNUMBER(L1093)),H1093+L1093,"")</x:f>
        <x:v>0</x:v>
      </x:c>
    </x:row>
    <x:row r="1094" ht="22" customHeight="1">
      <x:c r="A1094" s="254" t="n">
        <x:f>694</x:f>
        <x:v>694</x:v>
      </x:c>
      <x:c r="B1094" s="440" t="n">
        <x:f>IF(ISNUMBER(H1093),H1093,"")</x:f>
        <x:v>0</x:v>
      </x:c>
      <x:c r="C1094" s="442" t="n">
        <x:f>IF(ISNUMBER(B1094),IF(AND(694&gt;$B$173,$B$78="Refinance",ISNUMBER($B$80),$B$80&gt;=0,$B$80&lt;=1,ROUND($B$81*12,0)&gt;=1,$B$81&lt;=100,SUM($B$82)&gt;=0,SUM($B$82)&lt;=1,SUM($B$83)&gt;=0),$B$80,IF(AND($B$175&gt;0,694&gt;$B$175,ISNUMBER($B$75)),$B$75,$B$61)),"")</x:f>
        <x:v>0.0625</x:v>
      </x:c>
      <x:c r="D1094" s="440" t="n">
        <x:f>IF(AND(ISNUMBER(B1094),B1094=0),0,IF(AND($B$171=1,I1093=0,ISNUMBER(C1094),ISNUMBER(IF(AND(694&lt;=$B$174,694&lt;=$B$173),B1094*C1094/12,IF(AND(694=$B$173+1,AND(694&gt;$B$173,$B$78="Refinance",ISNUMBER($B$80),$B$80&gt;=0,$B$80&lt;=1,ROUND($B$81*12,0)&gt;=1,$B$81&lt;=100,SUM($B$82)&gt;=0,SUM($B$82)&lt;=1,SUM($B$83)&gt;=0)),IF(B1094=0,0,IF(C1094=0,B1094/ROUND($B$81*12,0),B1094*(C1094/12)/(1-(1+C1094/12)^(-ROUND($B$81*12,0))))),IF(AND(NOT(AND(694&gt;$B$173,$B$78="Refinance",ISNUMBER($B$80),$B$80&gt;=0,$B$80&lt;=1,ROUND($B$81*12,0)&gt;=1,$B$81&lt;=100,SUM($B$82)&gt;=0,SUM($B$82)&lt;=1,SUM($B$83)&gt;=0)),OR(694=1,694=$B$174+1,AND($B$175&gt;0,694=$B$175+1))),IF(AND($B$170=1,$B$66&gt;0,OR($B$175=0,694&lt;=$B$175)),$B$66,IF($B$172-MAX(694-1,$B$174)&gt;0,IF(B1094=0,0,IF(C1094=0,B1094/($B$172-MAX(694-1,$B$174)),B1094*(C1094/12)/(1-(1+C1094/12)^(-($B$172-MAX(694-1,$B$174)))))),"")),D1093))))),IF(IF(AND(694&lt;=$B$174,694&lt;=$B$173),B1094*C1094/12,IF(AND(694=$B$173+1,AND(694&gt;$B$173,$B$78="Refinance",ISNUMBER($B$80),$B$80&gt;=0,$B$80&lt;=1,ROUND($B$81*12,0)&gt;=1,$B$81&lt;=100,SUM($B$82)&gt;=0,SUM($B$82)&lt;=1,SUM($B$83)&gt;=0)),IF(B1094=0,0,IF(C1094=0,B1094/ROUND($B$81*12,0),B1094*(C1094/12)/(1-(1+C1094/12)^(-ROUND($B$81*12,0))))),IF(AND(NOT(AND(694&gt;$B$173,$B$78="Refinance",ISNUMBER($B$80),$B$80&gt;=0,$B$80&lt;=1,ROUND($B$81*12,0)&gt;=1,$B$81&lt;=100,SUM($B$82)&gt;=0,SUM($B$82)&lt;=1,SUM($B$83)&gt;=0)),OR(694=1,694=$B$174+1,AND($B$175&gt;0,694=$B$175+1))),IF(AND($B$170=1,$B$66&gt;0,OR($B$175=0,694&lt;=$B$175)),$B$66,IF($B$172-MAX(694-1,$B$174)&gt;0,IF(B1094=0,0,IF(C1094=0,B1094/($B$172-MAX(694-1,$B$174)),B1094*(C1094/12)/(1-(1+C1094/12)^(-($B$172-MAX(694-1,$B$174)))))),"")),D1093)))+0.0000001&gt;=B1094*C1094/12,MIN(B1094*(1+C1094/12),IF(AND(694&lt;=$B$174,694&lt;=$B$173),B1094*C1094/12,IF(AND(694=$B$173+1,AND(694&gt;$B$173,$B$78="Refinance",ISNUMBER($B$80),$B$80&gt;=0,$B$80&lt;=1,ROUND($B$81*12,0)&gt;=1,$B$81&lt;=100,SUM($B$82)&gt;=0,SUM($B$82)&lt;=1,SUM($B$83)&gt;=0)),IF(B1094=0,0,IF(C1094=0,B1094/ROUND($B$81*12,0),B1094*(C1094/12)/(1-(1+C1094/12)^(-ROUND($B$81*12,0))))),IF(AND(NOT(AND(694&gt;$B$173,$B$78="Refinance",ISNUMBER($B$80),$B$80&gt;=0,$B$80&lt;=1,ROUND($B$81*12,0)&gt;=1,$B$81&lt;=100,SUM($B$82)&gt;=0,SUM($B$82)&lt;=1,SUM($B$83)&gt;=0)),OR(694=1,694=$B$174+1,AND($B$175&gt;0,694=$B$175+1))),IF(AND($B$170=1,$B$66&gt;0,OR($B$175=0,694&lt;=$B$175)),$B$66,IF($B$172-MAX(694-1,$B$174)&gt;0,IF(B1094=0,0,IF(C1094=0,B1094/($B$172-MAX(694-1,$B$174)),B1094*(C1094/12)/(1-(1+C1094/12)^(-($B$172-MAX(694-1,$B$174)))))),"")),D1093)))),""),""))</x:f>
        <x:v>0</x:v>
      </x:c>
      <x:c r="E1094" s="440" t="n">
        <x:f>IF(AND(694=$B$173,ISNUMBER(D1094)),IF(MAX(0,B1094*(1+C1094/12)-D1094)&lt;MAX(0.0000001,$E$17*0.00000000001),0,MAX(0,B1094*(1+C1094/12)-D1094)),0)</x:f>
        <x:v>0</x:v>
      </x:c>
      <x:c r="F1094" s="440" t="n">
        <x:f>IF($B$78="Cash payoff",E1094,0)</x:f>
        <x:v>0</x:v>
      </x:c>
      <x:c r="G1094" s="440" t="n">
        <x:f>IF(AND(E1094&gt;0,AND($B$78="Refinance",ISNUMBER($B$80),$B$80&gt;=0,$B$80&lt;=1,ROUND($B$81*12,0)&gt;=1,$B$81&lt;=100,SUM($B$82)&gt;=0,SUM($B$82)&lt;=1,SUM($B$83)&gt;=0)),E1094*SUM($B$82)+SUM($B$83),0)</x:f>
        <x:v>0</x:v>
      </x:c>
      <x:c r="H1094" s="440" t="n">
        <x:f>IF(ISNUMBER(D1094),IF(MAX(0,B1094*(1+C1094/12)-D1094-F1094)&lt;MAX(0.0000001,$E$17*0.00000000001),0,MAX(0,B1094*(1+C1094/12)-D1094-F1094)),IF(AND($B$171=1,I1093=1),B1094,""))</x:f>
        <x:v>0</x:v>
      </x:c>
      <x:c r="I1094" s="444" t="n">
        <x:f>IF(OR(I1093=1,AND(E1094&gt;0,$B$78&lt;&gt;"Cash payoff",NOT(AND($B$78="Refinance",ISNUMBER($B$80),$B$80&gt;=0,$B$80&lt;=1,ROUND($B$81*12,0)&gt;=1,$B$81&lt;=100,SUM($B$82)&gt;=0,SUM($B$82)&lt;=1,SUM($B$83)&gt;=0))),AND(ISNUMBER(B1094),B1094&gt;0,$B$171=1,NOT(ISNUMBER(D1094)))),1,0)</x:f>
        <x:v>0</x:v>
      </x:c>
      <x:c r="J1094" s="440" t="n">
        <x:f>IF(ISNUMBER(L1093),L1093,"")</x:f>
        <x:v>0</x:v>
      </x:c>
      <x:c r="K1094" s="440" t="n">
        <x:f>IF(AND(ISNUMBER(J1094),J1094=0),0,IF(AND($B$176=1,ISNUMBER(J1094)),MIN(J1094*(1+$B$87/12),IF($B$86=0,0,IF($B$87=0,$B$86/ROUND($B$88*12,0),$B$86*($B$87/12)/(1-(1+$B$87/12)^(-ROUND($B$88*12,0)))))),""))</x:f>
        <x:v>0</x:v>
      </x:c>
      <x:c r="L1094" s="440" t="n">
        <x:f>IF(ISNUMBER(K1094),IF(MAX(0,J1094*(1+SUM($B$87)/12)-K1094)&lt;MAX(0.0000001,$B$86*0.00000000001),0,MAX(0,J1094*(1+SUM($B$87)/12)-K1094)),"")</x:f>
        <x:v>0</x:v>
      </x:c>
      <x:c r="M1094" s="440" t="n">
        <x:f>IF(AND(ISNUMBER(D1094),ISNUMBER(K1094)),D1094+K1094,"")</x:f>
        <x:v>0</x:v>
      </x:c>
      <x:c r="N1094" s="440" t="n">
        <x:f>IF(AND(ISNUMBER(H1094),ISNUMBER(L1094)),H1094+L1094,"")</x:f>
        <x:v>0</x:v>
      </x:c>
    </x:row>
    <x:row r="1095" ht="22" customHeight="1">
      <x:c r="A1095" s="254" t="n">
        <x:f>695</x:f>
        <x:v>695</x:v>
      </x:c>
      <x:c r="B1095" s="440" t="n">
        <x:f>IF(ISNUMBER(H1094),H1094,"")</x:f>
        <x:v>0</x:v>
      </x:c>
      <x:c r="C1095" s="442" t="n">
        <x:f>IF(ISNUMBER(B1095),IF(AND(695&gt;$B$173,$B$78="Refinance",ISNUMBER($B$80),$B$80&gt;=0,$B$80&lt;=1,ROUND($B$81*12,0)&gt;=1,$B$81&lt;=100,SUM($B$82)&gt;=0,SUM($B$82)&lt;=1,SUM($B$83)&gt;=0),$B$80,IF(AND($B$175&gt;0,695&gt;$B$175,ISNUMBER($B$75)),$B$75,$B$61)),"")</x:f>
        <x:v>0.0625</x:v>
      </x:c>
      <x:c r="D1095" s="440" t="n">
        <x:f>IF(AND(ISNUMBER(B1095),B1095=0),0,IF(AND($B$171=1,I1094=0,ISNUMBER(C1095),ISNUMBER(IF(AND(695&lt;=$B$174,695&lt;=$B$173),B1095*C1095/12,IF(AND(695=$B$173+1,AND(695&gt;$B$173,$B$78="Refinance",ISNUMBER($B$80),$B$80&gt;=0,$B$80&lt;=1,ROUND($B$81*12,0)&gt;=1,$B$81&lt;=100,SUM($B$82)&gt;=0,SUM($B$82)&lt;=1,SUM($B$83)&gt;=0)),IF(B1095=0,0,IF(C1095=0,B1095/ROUND($B$81*12,0),B1095*(C1095/12)/(1-(1+C1095/12)^(-ROUND($B$81*12,0))))),IF(AND(NOT(AND(695&gt;$B$173,$B$78="Refinance",ISNUMBER($B$80),$B$80&gt;=0,$B$80&lt;=1,ROUND($B$81*12,0)&gt;=1,$B$81&lt;=100,SUM($B$82)&gt;=0,SUM($B$82)&lt;=1,SUM($B$83)&gt;=0)),OR(695=1,695=$B$174+1,AND($B$175&gt;0,695=$B$175+1))),IF(AND($B$170=1,$B$66&gt;0,OR($B$175=0,695&lt;=$B$175)),$B$66,IF($B$172-MAX(695-1,$B$174)&gt;0,IF(B1095=0,0,IF(C1095=0,B1095/($B$172-MAX(695-1,$B$174)),B1095*(C1095/12)/(1-(1+C1095/12)^(-($B$172-MAX(695-1,$B$174)))))),"")),D1094))))),IF(IF(AND(695&lt;=$B$174,695&lt;=$B$173),B1095*C1095/12,IF(AND(695=$B$173+1,AND(695&gt;$B$173,$B$78="Refinance",ISNUMBER($B$80),$B$80&gt;=0,$B$80&lt;=1,ROUND($B$81*12,0)&gt;=1,$B$81&lt;=100,SUM($B$82)&gt;=0,SUM($B$82)&lt;=1,SUM($B$83)&gt;=0)),IF(B1095=0,0,IF(C1095=0,B1095/ROUND($B$81*12,0),B1095*(C1095/12)/(1-(1+C1095/12)^(-ROUND($B$81*12,0))))),IF(AND(NOT(AND(695&gt;$B$173,$B$78="Refinance",ISNUMBER($B$80),$B$80&gt;=0,$B$80&lt;=1,ROUND($B$81*12,0)&gt;=1,$B$81&lt;=100,SUM($B$82)&gt;=0,SUM($B$82)&lt;=1,SUM($B$83)&gt;=0)),OR(695=1,695=$B$174+1,AND($B$175&gt;0,695=$B$175+1))),IF(AND($B$170=1,$B$66&gt;0,OR($B$175=0,695&lt;=$B$175)),$B$66,IF($B$172-MAX(695-1,$B$174)&gt;0,IF(B1095=0,0,IF(C1095=0,B1095/($B$172-MAX(695-1,$B$174)),B1095*(C1095/12)/(1-(1+C1095/12)^(-($B$172-MAX(695-1,$B$174)))))),"")),D1094)))+0.0000001&gt;=B1095*C1095/12,MIN(B1095*(1+C1095/12),IF(AND(695&lt;=$B$174,695&lt;=$B$173),B1095*C1095/12,IF(AND(695=$B$173+1,AND(695&gt;$B$173,$B$78="Refinance",ISNUMBER($B$80),$B$80&gt;=0,$B$80&lt;=1,ROUND($B$81*12,0)&gt;=1,$B$81&lt;=100,SUM($B$82)&gt;=0,SUM($B$82)&lt;=1,SUM($B$83)&gt;=0)),IF(B1095=0,0,IF(C1095=0,B1095/ROUND($B$81*12,0),B1095*(C1095/12)/(1-(1+C1095/12)^(-ROUND($B$81*12,0))))),IF(AND(NOT(AND(695&gt;$B$173,$B$78="Refinance",ISNUMBER($B$80),$B$80&gt;=0,$B$80&lt;=1,ROUND($B$81*12,0)&gt;=1,$B$81&lt;=100,SUM($B$82)&gt;=0,SUM($B$82)&lt;=1,SUM($B$83)&gt;=0)),OR(695=1,695=$B$174+1,AND($B$175&gt;0,695=$B$175+1))),IF(AND($B$170=1,$B$66&gt;0,OR($B$175=0,695&lt;=$B$175)),$B$66,IF($B$172-MAX(695-1,$B$174)&gt;0,IF(B1095=0,0,IF(C1095=0,B1095/($B$172-MAX(695-1,$B$174)),B1095*(C1095/12)/(1-(1+C1095/12)^(-($B$172-MAX(695-1,$B$174)))))),"")),D1094)))),""),""))</x:f>
        <x:v>0</x:v>
      </x:c>
      <x:c r="E1095" s="440" t="n">
        <x:f>IF(AND(695=$B$173,ISNUMBER(D1095)),IF(MAX(0,B1095*(1+C1095/12)-D1095)&lt;MAX(0.0000001,$E$17*0.00000000001),0,MAX(0,B1095*(1+C1095/12)-D1095)),0)</x:f>
        <x:v>0</x:v>
      </x:c>
      <x:c r="F1095" s="440" t="n">
        <x:f>IF($B$78="Cash payoff",E1095,0)</x:f>
        <x:v>0</x:v>
      </x:c>
      <x:c r="G1095" s="440" t="n">
        <x:f>IF(AND(E1095&gt;0,AND($B$78="Refinance",ISNUMBER($B$80),$B$80&gt;=0,$B$80&lt;=1,ROUND($B$81*12,0)&gt;=1,$B$81&lt;=100,SUM($B$82)&gt;=0,SUM($B$82)&lt;=1,SUM($B$83)&gt;=0)),E1095*SUM($B$82)+SUM($B$83),0)</x:f>
        <x:v>0</x:v>
      </x:c>
      <x:c r="H1095" s="440" t="n">
        <x:f>IF(ISNUMBER(D1095),IF(MAX(0,B1095*(1+C1095/12)-D1095-F1095)&lt;MAX(0.0000001,$E$17*0.00000000001),0,MAX(0,B1095*(1+C1095/12)-D1095-F1095)),IF(AND($B$171=1,I1094=1),B1095,""))</x:f>
        <x:v>0</x:v>
      </x:c>
      <x:c r="I1095" s="444" t="n">
        <x:f>IF(OR(I1094=1,AND(E1095&gt;0,$B$78&lt;&gt;"Cash payoff",NOT(AND($B$78="Refinance",ISNUMBER($B$80),$B$80&gt;=0,$B$80&lt;=1,ROUND($B$81*12,0)&gt;=1,$B$81&lt;=100,SUM($B$82)&gt;=0,SUM($B$82)&lt;=1,SUM($B$83)&gt;=0))),AND(ISNUMBER(B1095),B1095&gt;0,$B$171=1,NOT(ISNUMBER(D1095)))),1,0)</x:f>
        <x:v>0</x:v>
      </x:c>
      <x:c r="J1095" s="440" t="n">
        <x:f>IF(ISNUMBER(L1094),L1094,"")</x:f>
        <x:v>0</x:v>
      </x:c>
      <x:c r="K1095" s="440" t="n">
        <x:f>IF(AND(ISNUMBER(J1095),J1095=0),0,IF(AND($B$176=1,ISNUMBER(J1095)),MIN(J1095*(1+$B$87/12),IF($B$86=0,0,IF($B$87=0,$B$86/ROUND($B$88*12,0),$B$86*($B$87/12)/(1-(1+$B$87/12)^(-ROUND($B$88*12,0)))))),""))</x:f>
        <x:v>0</x:v>
      </x:c>
      <x:c r="L1095" s="440" t="n">
        <x:f>IF(ISNUMBER(K1095),IF(MAX(0,J1095*(1+SUM($B$87)/12)-K1095)&lt;MAX(0.0000001,$B$86*0.00000000001),0,MAX(0,J1095*(1+SUM($B$87)/12)-K1095)),"")</x:f>
        <x:v>0</x:v>
      </x:c>
      <x:c r="M1095" s="440" t="n">
        <x:f>IF(AND(ISNUMBER(D1095),ISNUMBER(K1095)),D1095+K1095,"")</x:f>
        <x:v>0</x:v>
      </x:c>
      <x:c r="N1095" s="440" t="n">
        <x:f>IF(AND(ISNUMBER(H1095),ISNUMBER(L1095)),H1095+L1095,"")</x:f>
        <x:v>0</x:v>
      </x:c>
    </x:row>
    <x:row r="1096" ht="22" customHeight="1">
      <x:c r="A1096" s="254" t="n">
        <x:f>696</x:f>
        <x:v>696</x:v>
      </x:c>
      <x:c r="B1096" s="440" t="n">
        <x:f>IF(ISNUMBER(H1095),H1095,"")</x:f>
        <x:v>0</x:v>
      </x:c>
      <x:c r="C1096" s="442" t="n">
        <x:f>IF(ISNUMBER(B1096),IF(AND(696&gt;$B$173,$B$78="Refinance",ISNUMBER($B$80),$B$80&gt;=0,$B$80&lt;=1,ROUND($B$81*12,0)&gt;=1,$B$81&lt;=100,SUM($B$82)&gt;=0,SUM($B$82)&lt;=1,SUM($B$83)&gt;=0),$B$80,IF(AND($B$175&gt;0,696&gt;$B$175,ISNUMBER($B$75)),$B$75,$B$61)),"")</x:f>
        <x:v>0.0625</x:v>
      </x:c>
      <x:c r="D1096" s="440" t="n">
        <x:f>IF(AND(ISNUMBER(B1096),B1096=0),0,IF(AND($B$171=1,I1095=0,ISNUMBER(C1096),ISNUMBER(IF(AND(696&lt;=$B$174,696&lt;=$B$173),B1096*C1096/12,IF(AND(696=$B$173+1,AND(696&gt;$B$173,$B$78="Refinance",ISNUMBER($B$80),$B$80&gt;=0,$B$80&lt;=1,ROUND($B$81*12,0)&gt;=1,$B$81&lt;=100,SUM($B$82)&gt;=0,SUM($B$82)&lt;=1,SUM($B$83)&gt;=0)),IF(B1096=0,0,IF(C1096=0,B1096/ROUND($B$81*12,0),B1096*(C1096/12)/(1-(1+C1096/12)^(-ROUND($B$81*12,0))))),IF(AND(NOT(AND(696&gt;$B$173,$B$78="Refinance",ISNUMBER($B$80),$B$80&gt;=0,$B$80&lt;=1,ROUND($B$81*12,0)&gt;=1,$B$81&lt;=100,SUM($B$82)&gt;=0,SUM($B$82)&lt;=1,SUM($B$83)&gt;=0)),OR(696=1,696=$B$174+1,AND($B$175&gt;0,696=$B$175+1))),IF(AND($B$170=1,$B$66&gt;0,OR($B$175=0,696&lt;=$B$175)),$B$66,IF($B$172-MAX(696-1,$B$174)&gt;0,IF(B1096=0,0,IF(C1096=0,B1096/($B$172-MAX(696-1,$B$174)),B1096*(C1096/12)/(1-(1+C1096/12)^(-($B$172-MAX(696-1,$B$174)))))),"")),D1095))))),IF(IF(AND(696&lt;=$B$174,696&lt;=$B$173),B1096*C1096/12,IF(AND(696=$B$173+1,AND(696&gt;$B$173,$B$78="Refinance",ISNUMBER($B$80),$B$80&gt;=0,$B$80&lt;=1,ROUND($B$81*12,0)&gt;=1,$B$81&lt;=100,SUM($B$82)&gt;=0,SUM($B$82)&lt;=1,SUM($B$83)&gt;=0)),IF(B1096=0,0,IF(C1096=0,B1096/ROUND($B$81*12,0),B1096*(C1096/12)/(1-(1+C1096/12)^(-ROUND($B$81*12,0))))),IF(AND(NOT(AND(696&gt;$B$173,$B$78="Refinance",ISNUMBER($B$80),$B$80&gt;=0,$B$80&lt;=1,ROUND($B$81*12,0)&gt;=1,$B$81&lt;=100,SUM($B$82)&gt;=0,SUM($B$82)&lt;=1,SUM($B$83)&gt;=0)),OR(696=1,696=$B$174+1,AND($B$175&gt;0,696=$B$175+1))),IF(AND($B$170=1,$B$66&gt;0,OR($B$175=0,696&lt;=$B$175)),$B$66,IF($B$172-MAX(696-1,$B$174)&gt;0,IF(B1096=0,0,IF(C1096=0,B1096/($B$172-MAX(696-1,$B$174)),B1096*(C1096/12)/(1-(1+C1096/12)^(-($B$172-MAX(696-1,$B$174)))))),"")),D1095)))+0.0000001&gt;=B1096*C1096/12,MIN(B1096*(1+C1096/12),IF(AND(696&lt;=$B$174,696&lt;=$B$173),B1096*C1096/12,IF(AND(696=$B$173+1,AND(696&gt;$B$173,$B$78="Refinance",ISNUMBER($B$80),$B$80&gt;=0,$B$80&lt;=1,ROUND($B$81*12,0)&gt;=1,$B$81&lt;=100,SUM($B$82)&gt;=0,SUM($B$82)&lt;=1,SUM($B$83)&gt;=0)),IF(B1096=0,0,IF(C1096=0,B1096/ROUND($B$81*12,0),B1096*(C1096/12)/(1-(1+C1096/12)^(-ROUND($B$81*12,0))))),IF(AND(NOT(AND(696&gt;$B$173,$B$78="Refinance",ISNUMBER($B$80),$B$80&gt;=0,$B$80&lt;=1,ROUND($B$81*12,0)&gt;=1,$B$81&lt;=100,SUM($B$82)&gt;=0,SUM($B$82)&lt;=1,SUM($B$83)&gt;=0)),OR(696=1,696=$B$174+1,AND($B$175&gt;0,696=$B$175+1))),IF(AND($B$170=1,$B$66&gt;0,OR($B$175=0,696&lt;=$B$175)),$B$66,IF($B$172-MAX(696-1,$B$174)&gt;0,IF(B1096=0,0,IF(C1096=0,B1096/($B$172-MAX(696-1,$B$174)),B1096*(C1096/12)/(1-(1+C1096/12)^(-($B$172-MAX(696-1,$B$174)))))),"")),D1095)))),""),""))</x:f>
        <x:v>0</x:v>
      </x:c>
      <x:c r="E1096" s="440" t="n">
        <x:f>IF(AND(696=$B$173,ISNUMBER(D1096)),IF(MAX(0,B1096*(1+C1096/12)-D1096)&lt;MAX(0.0000001,$E$17*0.00000000001),0,MAX(0,B1096*(1+C1096/12)-D1096)),0)</x:f>
        <x:v>0</x:v>
      </x:c>
      <x:c r="F1096" s="440" t="n">
        <x:f>IF($B$78="Cash payoff",E1096,0)</x:f>
        <x:v>0</x:v>
      </x:c>
      <x:c r="G1096" s="440" t="n">
        <x:f>IF(AND(E1096&gt;0,AND($B$78="Refinance",ISNUMBER($B$80),$B$80&gt;=0,$B$80&lt;=1,ROUND($B$81*12,0)&gt;=1,$B$81&lt;=100,SUM($B$82)&gt;=0,SUM($B$82)&lt;=1,SUM($B$83)&gt;=0)),E1096*SUM($B$82)+SUM($B$83),0)</x:f>
        <x:v>0</x:v>
      </x:c>
      <x:c r="H1096" s="440" t="n">
        <x:f>IF(ISNUMBER(D1096),IF(MAX(0,B1096*(1+C1096/12)-D1096-F1096)&lt;MAX(0.0000001,$E$17*0.00000000001),0,MAX(0,B1096*(1+C1096/12)-D1096-F1096)),IF(AND($B$171=1,I1095=1),B1096,""))</x:f>
        <x:v>0</x:v>
      </x:c>
      <x:c r="I1096" s="444" t="n">
        <x:f>IF(OR(I1095=1,AND(E1096&gt;0,$B$78&lt;&gt;"Cash payoff",NOT(AND($B$78="Refinance",ISNUMBER($B$80),$B$80&gt;=0,$B$80&lt;=1,ROUND($B$81*12,0)&gt;=1,$B$81&lt;=100,SUM($B$82)&gt;=0,SUM($B$82)&lt;=1,SUM($B$83)&gt;=0))),AND(ISNUMBER(B1096),B1096&gt;0,$B$171=1,NOT(ISNUMBER(D1096)))),1,0)</x:f>
        <x:v>0</x:v>
      </x:c>
      <x:c r="J1096" s="440" t="n">
        <x:f>IF(ISNUMBER(L1095),L1095,"")</x:f>
        <x:v>0</x:v>
      </x:c>
      <x:c r="K1096" s="440" t="n">
        <x:f>IF(AND(ISNUMBER(J1096),J1096=0),0,IF(AND($B$176=1,ISNUMBER(J1096)),MIN(J1096*(1+$B$87/12),IF($B$86=0,0,IF($B$87=0,$B$86/ROUND($B$88*12,0),$B$86*($B$87/12)/(1-(1+$B$87/12)^(-ROUND($B$88*12,0)))))),""))</x:f>
        <x:v>0</x:v>
      </x:c>
      <x:c r="L1096" s="440" t="n">
        <x:f>IF(ISNUMBER(K1096),IF(MAX(0,J1096*(1+SUM($B$87)/12)-K1096)&lt;MAX(0.0000001,$B$86*0.00000000001),0,MAX(0,J1096*(1+SUM($B$87)/12)-K1096)),"")</x:f>
        <x:v>0</x:v>
      </x:c>
      <x:c r="M1096" s="440" t="n">
        <x:f>IF(AND(ISNUMBER(D1096),ISNUMBER(K1096)),D1096+K1096,"")</x:f>
        <x:v>0</x:v>
      </x:c>
      <x:c r="N1096" s="440" t="n">
        <x:f>IF(AND(ISNUMBER(H1096),ISNUMBER(L1096)),H1096+L1096,"")</x:f>
        <x:v>0</x:v>
      </x:c>
    </x:row>
    <x:row r="1097" ht="22" customHeight="1">
      <x:c r="A1097" s="254" t="n">
        <x:f>697</x:f>
        <x:v>697</x:v>
      </x:c>
      <x:c r="B1097" s="440" t="n">
        <x:f>IF(ISNUMBER(H1096),H1096,"")</x:f>
        <x:v>0</x:v>
      </x:c>
      <x:c r="C1097" s="442" t="n">
        <x:f>IF(ISNUMBER(B1097),IF(AND(697&gt;$B$173,$B$78="Refinance",ISNUMBER($B$80),$B$80&gt;=0,$B$80&lt;=1,ROUND($B$81*12,0)&gt;=1,$B$81&lt;=100,SUM($B$82)&gt;=0,SUM($B$82)&lt;=1,SUM($B$83)&gt;=0),$B$80,IF(AND($B$175&gt;0,697&gt;$B$175,ISNUMBER($B$75)),$B$75,$B$61)),"")</x:f>
        <x:v>0.0625</x:v>
      </x:c>
      <x:c r="D1097" s="440" t="n">
        <x:f>IF(AND(ISNUMBER(B1097),B1097=0),0,IF(AND($B$171=1,I1096=0,ISNUMBER(C1097),ISNUMBER(IF(AND(697&lt;=$B$174,697&lt;=$B$173),B1097*C1097/12,IF(AND(697=$B$173+1,AND(697&gt;$B$173,$B$78="Refinance",ISNUMBER($B$80),$B$80&gt;=0,$B$80&lt;=1,ROUND($B$81*12,0)&gt;=1,$B$81&lt;=100,SUM($B$82)&gt;=0,SUM($B$82)&lt;=1,SUM($B$83)&gt;=0)),IF(B1097=0,0,IF(C1097=0,B1097/ROUND($B$81*12,0),B1097*(C1097/12)/(1-(1+C1097/12)^(-ROUND($B$81*12,0))))),IF(AND(NOT(AND(697&gt;$B$173,$B$78="Refinance",ISNUMBER($B$80),$B$80&gt;=0,$B$80&lt;=1,ROUND($B$81*12,0)&gt;=1,$B$81&lt;=100,SUM($B$82)&gt;=0,SUM($B$82)&lt;=1,SUM($B$83)&gt;=0)),OR(697=1,697=$B$174+1,AND($B$175&gt;0,697=$B$175+1))),IF(AND($B$170=1,$B$66&gt;0,OR($B$175=0,697&lt;=$B$175)),$B$66,IF($B$172-MAX(697-1,$B$174)&gt;0,IF(B1097=0,0,IF(C1097=0,B1097/($B$172-MAX(697-1,$B$174)),B1097*(C1097/12)/(1-(1+C1097/12)^(-($B$172-MAX(697-1,$B$174)))))),"")),D1096))))),IF(IF(AND(697&lt;=$B$174,697&lt;=$B$173),B1097*C1097/12,IF(AND(697=$B$173+1,AND(697&gt;$B$173,$B$78="Refinance",ISNUMBER($B$80),$B$80&gt;=0,$B$80&lt;=1,ROUND($B$81*12,0)&gt;=1,$B$81&lt;=100,SUM($B$82)&gt;=0,SUM($B$82)&lt;=1,SUM($B$83)&gt;=0)),IF(B1097=0,0,IF(C1097=0,B1097/ROUND($B$81*12,0),B1097*(C1097/12)/(1-(1+C1097/12)^(-ROUND($B$81*12,0))))),IF(AND(NOT(AND(697&gt;$B$173,$B$78="Refinance",ISNUMBER($B$80),$B$80&gt;=0,$B$80&lt;=1,ROUND($B$81*12,0)&gt;=1,$B$81&lt;=100,SUM($B$82)&gt;=0,SUM($B$82)&lt;=1,SUM($B$83)&gt;=0)),OR(697=1,697=$B$174+1,AND($B$175&gt;0,697=$B$175+1))),IF(AND($B$170=1,$B$66&gt;0,OR($B$175=0,697&lt;=$B$175)),$B$66,IF($B$172-MAX(697-1,$B$174)&gt;0,IF(B1097=0,0,IF(C1097=0,B1097/($B$172-MAX(697-1,$B$174)),B1097*(C1097/12)/(1-(1+C1097/12)^(-($B$172-MAX(697-1,$B$174)))))),"")),D1096)))+0.0000001&gt;=B1097*C1097/12,MIN(B1097*(1+C1097/12),IF(AND(697&lt;=$B$174,697&lt;=$B$173),B1097*C1097/12,IF(AND(697=$B$173+1,AND(697&gt;$B$173,$B$78="Refinance",ISNUMBER($B$80),$B$80&gt;=0,$B$80&lt;=1,ROUND($B$81*12,0)&gt;=1,$B$81&lt;=100,SUM($B$82)&gt;=0,SUM($B$82)&lt;=1,SUM($B$83)&gt;=0)),IF(B1097=0,0,IF(C1097=0,B1097/ROUND($B$81*12,0),B1097*(C1097/12)/(1-(1+C1097/12)^(-ROUND($B$81*12,0))))),IF(AND(NOT(AND(697&gt;$B$173,$B$78="Refinance",ISNUMBER($B$80),$B$80&gt;=0,$B$80&lt;=1,ROUND($B$81*12,0)&gt;=1,$B$81&lt;=100,SUM($B$82)&gt;=0,SUM($B$82)&lt;=1,SUM($B$83)&gt;=0)),OR(697=1,697=$B$174+1,AND($B$175&gt;0,697=$B$175+1))),IF(AND($B$170=1,$B$66&gt;0,OR($B$175=0,697&lt;=$B$175)),$B$66,IF($B$172-MAX(697-1,$B$174)&gt;0,IF(B1097=0,0,IF(C1097=0,B1097/($B$172-MAX(697-1,$B$174)),B1097*(C1097/12)/(1-(1+C1097/12)^(-($B$172-MAX(697-1,$B$174)))))),"")),D1096)))),""),""))</x:f>
        <x:v>0</x:v>
      </x:c>
      <x:c r="E1097" s="440" t="n">
        <x:f>IF(AND(697=$B$173,ISNUMBER(D1097)),IF(MAX(0,B1097*(1+C1097/12)-D1097)&lt;MAX(0.0000001,$E$17*0.00000000001),0,MAX(0,B1097*(1+C1097/12)-D1097)),0)</x:f>
        <x:v>0</x:v>
      </x:c>
      <x:c r="F1097" s="440" t="n">
        <x:f>IF($B$78="Cash payoff",E1097,0)</x:f>
        <x:v>0</x:v>
      </x:c>
      <x:c r="G1097" s="440" t="n">
        <x:f>IF(AND(E1097&gt;0,AND($B$78="Refinance",ISNUMBER($B$80),$B$80&gt;=0,$B$80&lt;=1,ROUND($B$81*12,0)&gt;=1,$B$81&lt;=100,SUM($B$82)&gt;=0,SUM($B$82)&lt;=1,SUM($B$83)&gt;=0)),E1097*SUM($B$82)+SUM($B$83),0)</x:f>
        <x:v>0</x:v>
      </x:c>
      <x:c r="H1097" s="440" t="n">
        <x:f>IF(ISNUMBER(D1097),IF(MAX(0,B1097*(1+C1097/12)-D1097-F1097)&lt;MAX(0.0000001,$E$17*0.00000000001),0,MAX(0,B1097*(1+C1097/12)-D1097-F1097)),IF(AND($B$171=1,I1096=1),B1097,""))</x:f>
        <x:v>0</x:v>
      </x:c>
      <x:c r="I1097" s="444" t="n">
        <x:f>IF(OR(I1096=1,AND(E1097&gt;0,$B$78&lt;&gt;"Cash payoff",NOT(AND($B$78="Refinance",ISNUMBER($B$80),$B$80&gt;=0,$B$80&lt;=1,ROUND($B$81*12,0)&gt;=1,$B$81&lt;=100,SUM($B$82)&gt;=0,SUM($B$82)&lt;=1,SUM($B$83)&gt;=0))),AND(ISNUMBER(B1097),B1097&gt;0,$B$171=1,NOT(ISNUMBER(D1097)))),1,0)</x:f>
        <x:v>0</x:v>
      </x:c>
      <x:c r="J1097" s="440" t="n">
        <x:f>IF(ISNUMBER(L1096),L1096,"")</x:f>
        <x:v>0</x:v>
      </x:c>
      <x:c r="K1097" s="440" t="n">
        <x:f>IF(AND(ISNUMBER(J1097),J1097=0),0,IF(AND($B$176=1,ISNUMBER(J1097)),MIN(J1097*(1+$B$87/12),IF($B$86=0,0,IF($B$87=0,$B$86/ROUND($B$88*12,0),$B$86*($B$87/12)/(1-(1+$B$87/12)^(-ROUND($B$88*12,0)))))),""))</x:f>
        <x:v>0</x:v>
      </x:c>
      <x:c r="L1097" s="440" t="n">
        <x:f>IF(ISNUMBER(K1097),IF(MAX(0,J1097*(1+SUM($B$87)/12)-K1097)&lt;MAX(0.0000001,$B$86*0.00000000001),0,MAX(0,J1097*(1+SUM($B$87)/12)-K1097)),"")</x:f>
        <x:v>0</x:v>
      </x:c>
      <x:c r="M1097" s="440" t="n">
        <x:f>IF(AND(ISNUMBER(D1097),ISNUMBER(K1097)),D1097+K1097,"")</x:f>
        <x:v>0</x:v>
      </x:c>
      <x:c r="N1097" s="440" t="n">
        <x:f>IF(AND(ISNUMBER(H1097),ISNUMBER(L1097)),H1097+L1097,"")</x:f>
        <x:v>0</x:v>
      </x:c>
    </x:row>
    <x:row r="1098" ht="22" customHeight="1">
      <x:c r="A1098" s="254" t="n">
        <x:f>698</x:f>
        <x:v>698</x:v>
      </x:c>
      <x:c r="B1098" s="440" t="n">
        <x:f>IF(ISNUMBER(H1097),H1097,"")</x:f>
        <x:v>0</x:v>
      </x:c>
      <x:c r="C1098" s="442" t="n">
        <x:f>IF(ISNUMBER(B1098),IF(AND(698&gt;$B$173,$B$78="Refinance",ISNUMBER($B$80),$B$80&gt;=0,$B$80&lt;=1,ROUND($B$81*12,0)&gt;=1,$B$81&lt;=100,SUM($B$82)&gt;=0,SUM($B$82)&lt;=1,SUM($B$83)&gt;=0),$B$80,IF(AND($B$175&gt;0,698&gt;$B$175,ISNUMBER($B$75)),$B$75,$B$61)),"")</x:f>
        <x:v>0.0625</x:v>
      </x:c>
      <x:c r="D1098" s="440" t="n">
        <x:f>IF(AND(ISNUMBER(B1098),B1098=0),0,IF(AND($B$171=1,I1097=0,ISNUMBER(C1098),ISNUMBER(IF(AND(698&lt;=$B$174,698&lt;=$B$173),B1098*C1098/12,IF(AND(698=$B$173+1,AND(698&gt;$B$173,$B$78="Refinance",ISNUMBER($B$80),$B$80&gt;=0,$B$80&lt;=1,ROUND($B$81*12,0)&gt;=1,$B$81&lt;=100,SUM($B$82)&gt;=0,SUM($B$82)&lt;=1,SUM($B$83)&gt;=0)),IF(B1098=0,0,IF(C1098=0,B1098/ROUND($B$81*12,0),B1098*(C1098/12)/(1-(1+C1098/12)^(-ROUND($B$81*12,0))))),IF(AND(NOT(AND(698&gt;$B$173,$B$78="Refinance",ISNUMBER($B$80),$B$80&gt;=0,$B$80&lt;=1,ROUND($B$81*12,0)&gt;=1,$B$81&lt;=100,SUM($B$82)&gt;=0,SUM($B$82)&lt;=1,SUM($B$83)&gt;=0)),OR(698=1,698=$B$174+1,AND($B$175&gt;0,698=$B$175+1))),IF(AND($B$170=1,$B$66&gt;0,OR($B$175=0,698&lt;=$B$175)),$B$66,IF($B$172-MAX(698-1,$B$174)&gt;0,IF(B1098=0,0,IF(C1098=0,B1098/($B$172-MAX(698-1,$B$174)),B1098*(C1098/12)/(1-(1+C1098/12)^(-($B$172-MAX(698-1,$B$174)))))),"")),D1097))))),IF(IF(AND(698&lt;=$B$174,698&lt;=$B$173),B1098*C1098/12,IF(AND(698=$B$173+1,AND(698&gt;$B$173,$B$78="Refinance",ISNUMBER($B$80),$B$80&gt;=0,$B$80&lt;=1,ROUND($B$81*12,0)&gt;=1,$B$81&lt;=100,SUM($B$82)&gt;=0,SUM($B$82)&lt;=1,SUM($B$83)&gt;=0)),IF(B1098=0,0,IF(C1098=0,B1098/ROUND($B$81*12,0),B1098*(C1098/12)/(1-(1+C1098/12)^(-ROUND($B$81*12,0))))),IF(AND(NOT(AND(698&gt;$B$173,$B$78="Refinance",ISNUMBER($B$80),$B$80&gt;=0,$B$80&lt;=1,ROUND($B$81*12,0)&gt;=1,$B$81&lt;=100,SUM($B$82)&gt;=0,SUM($B$82)&lt;=1,SUM($B$83)&gt;=0)),OR(698=1,698=$B$174+1,AND($B$175&gt;0,698=$B$175+1))),IF(AND($B$170=1,$B$66&gt;0,OR($B$175=0,698&lt;=$B$175)),$B$66,IF($B$172-MAX(698-1,$B$174)&gt;0,IF(B1098=0,0,IF(C1098=0,B1098/($B$172-MAX(698-1,$B$174)),B1098*(C1098/12)/(1-(1+C1098/12)^(-($B$172-MAX(698-1,$B$174)))))),"")),D1097)))+0.0000001&gt;=B1098*C1098/12,MIN(B1098*(1+C1098/12),IF(AND(698&lt;=$B$174,698&lt;=$B$173),B1098*C1098/12,IF(AND(698=$B$173+1,AND(698&gt;$B$173,$B$78="Refinance",ISNUMBER($B$80),$B$80&gt;=0,$B$80&lt;=1,ROUND($B$81*12,0)&gt;=1,$B$81&lt;=100,SUM($B$82)&gt;=0,SUM($B$82)&lt;=1,SUM($B$83)&gt;=0)),IF(B1098=0,0,IF(C1098=0,B1098/ROUND($B$81*12,0),B1098*(C1098/12)/(1-(1+C1098/12)^(-ROUND($B$81*12,0))))),IF(AND(NOT(AND(698&gt;$B$173,$B$78="Refinance",ISNUMBER($B$80),$B$80&gt;=0,$B$80&lt;=1,ROUND($B$81*12,0)&gt;=1,$B$81&lt;=100,SUM($B$82)&gt;=0,SUM($B$82)&lt;=1,SUM($B$83)&gt;=0)),OR(698=1,698=$B$174+1,AND($B$175&gt;0,698=$B$175+1))),IF(AND($B$170=1,$B$66&gt;0,OR($B$175=0,698&lt;=$B$175)),$B$66,IF($B$172-MAX(698-1,$B$174)&gt;0,IF(B1098=0,0,IF(C1098=0,B1098/($B$172-MAX(698-1,$B$174)),B1098*(C1098/12)/(1-(1+C1098/12)^(-($B$172-MAX(698-1,$B$174)))))),"")),D1097)))),""),""))</x:f>
        <x:v>0</x:v>
      </x:c>
      <x:c r="E1098" s="440" t="n">
        <x:f>IF(AND(698=$B$173,ISNUMBER(D1098)),IF(MAX(0,B1098*(1+C1098/12)-D1098)&lt;MAX(0.0000001,$E$17*0.00000000001),0,MAX(0,B1098*(1+C1098/12)-D1098)),0)</x:f>
        <x:v>0</x:v>
      </x:c>
      <x:c r="F1098" s="440" t="n">
        <x:f>IF($B$78="Cash payoff",E1098,0)</x:f>
        <x:v>0</x:v>
      </x:c>
      <x:c r="G1098" s="440" t="n">
        <x:f>IF(AND(E1098&gt;0,AND($B$78="Refinance",ISNUMBER($B$80),$B$80&gt;=0,$B$80&lt;=1,ROUND($B$81*12,0)&gt;=1,$B$81&lt;=100,SUM($B$82)&gt;=0,SUM($B$82)&lt;=1,SUM($B$83)&gt;=0)),E1098*SUM($B$82)+SUM($B$83),0)</x:f>
        <x:v>0</x:v>
      </x:c>
      <x:c r="H1098" s="440" t="n">
        <x:f>IF(ISNUMBER(D1098),IF(MAX(0,B1098*(1+C1098/12)-D1098-F1098)&lt;MAX(0.0000001,$E$17*0.00000000001),0,MAX(0,B1098*(1+C1098/12)-D1098-F1098)),IF(AND($B$171=1,I1097=1),B1098,""))</x:f>
        <x:v>0</x:v>
      </x:c>
      <x:c r="I1098" s="444" t="n">
        <x:f>IF(OR(I1097=1,AND(E1098&gt;0,$B$78&lt;&gt;"Cash payoff",NOT(AND($B$78="Refinance",ISNUMBER($B$80),$B$80&gt;=0,$B$80&lt;=1,ROUND($B$81*12,0)&gt;=1,$B$81&lt;=100,SUM($B$82)&gt;=0,SUM($B$82)&lt;=1,SUM($B$83)&gt;=0))),AND(ISNUMBER(B1098),B1098&gt;0,$B$171=1,NOT(ISNUMBER(D1098)))),1,0)</x:f>
        <x:v>0</x:v>
      </x:c>
      <x:c r="J1098" s="440" t="n">
        <x:f>IF(ISNUMBER(L1097),L1097,"")</x:f>
        <x:v>0</x:v>
      </x:c>
      <x:c r="K1098" s="440" t="n">
        <x:f>IF(AND(ISNUMBER(J1098),J1098=0),0,IF(AND($B$176=1,ISNUMBER(J1098)),MIN(J1098*(1+$B$87/12),IF($B$86=0,0,IF($B$87=0,$B$86/ROUND($B$88*12,0),$B$86*($B$87/12)/(1-(1+$B$87/12)^(-ROUND($B$88*12,0)))))),""))</x:f>
        <x:v>0</x:v>
      </x:c>
      <x:c r="L1098" s="440" t="n">
        <x:f>IF(ISNUMBER(K1098),IF(MAX(0,J1098*(1+SUM($B$87)/12)-K1098)&lt;MAX(0.0000001,$B$86*0.00000000001),0,MAX(0,J1098*(1+SUM($B$87)/12)-K1098)),"")</x:f>
        <x:v>0</x:v>
      </x:c>
      <x:c r="M1098" s="440" t="n">
        <x:f>IF(AND(ISNUMBER(D1098),ISNUMBER(K1098)),D1098+K1098,"")</x:f>
        <x:v>0</x:v>
      </x:c>
      <x:c r="N1098" s="440" t="n">
        <x:f>IF(AND(ISNUMBER(H1098),ISNUMBER(L1098)),H1098+L1098,"")</x:f>
        <x:v>0</x:v>
      </x:c>
    </x:row>
    <x:row r="1099" ht="22" customHeight="1">
      <x:c r="A1099" s="254" t="n">
        <x:f>699</x:f>
        <x:v>699</x:v>
      </x:c>
      <x:c r="B1099" s="440" t="n">
        <x:f>IF(ISNUMBER(H1098),H1098,"")</x:f>
        <x:v>0</x:v>
      </x:c>
      <x:c r="C1099" s="442" t="n">
        <x:f>IF(ISNUMBER(B1099),IF(AND(699&gt;$B$173,$B$78="Refinance",ISNUMBER($B$80),$B$80&gt;=0,$B$80&lt;=1,ROUND($B$81*12,0)&gt;=1,$B$81&lt;=100,SUM($B$82)&gt;=0,SUM($B$82)&lt;=1,SUM($B$83)&gt;=0),$B$80,IF(AND($B$175&gt;0,699&gt;$B$175,ISNUMBER($B$75)),$B$75,$B$61)),"")</x:f>
        <x:v>0.0625</x:v>
      </x:c>
      <x:c r="D1099" s="440" t="n">
        <x:f>IF(AND(ISNUMBER(B1099),B1099=0),0,IF(AND($B$171=1,I1098=0,ISNUMBER(C1099),ISNUMBER(IF(AND(699&lt;=$B$174,699&lt;=$B$173),B1099*C1099/12,IF(AND(699=$B$173+1,AND(699&gt;$B$173,$B$78="Refinance",ISNUMBER($B$80),$B$80&gt;=0,$B$80&lt;=1,ROUND($B$81*12,0)&gt;=1,$B$81&lt;=100,SUM($B$82)&gt;=0,SUM($B$82)&lt;=1,SUM($B$83)&gt;=0)),IF(B1099=0,0,IF(C1099=0,B1099/ROUND($B$81*12,0),B1099*(C1099/12)/(1-(1+C1099/12)^(-ROUND($B$81*12,0))))),IF(AND(NOT(AND(699&gt;$B$173,$B$78="Refinance",ISNUMBER($B$80),$B$80&gt;=0,$B$80&lt;=1,ROUND($B$81*12,0)&gt;=1,$B$81&lt;=100,SUM($B$82)&gt;=0,SUM($B$82)&lt;=1,SUM($B$83)&gt;=0)),OR(699=1,699=$B$174+1,AND($B$175&gt;0,699=$B$175+1))),IF(AND($B$170=1,$B$66&gt;0,OR($B$175=0,699&lt;=$B$175)),$B$66,IF($B$172-MAX(699-1,$B$174)&gt;0,IF(B1099=0,0,IF(C1099=0,B1099/($B$172-MAX(699-1,$B$174)),B1099*(C1099/12)/(1-(1+C1099/12)^(-($B$172-MAX(699-1,$B$174)))))),"")),D1098))))),IF(IF(AND(699&lt;=$B$174,699&lt;=$B$173),B1099*C1099/12,IF(AND(699=$B$173+1,AND(699&gt;$B$173,$B$78="Refinance",ISNUMBER($B$80),$B$80&gt;=0,$B$80&lt;=1,ROUND($B$81*12,0)&gt;=1,$B$81&lt;=100,SUM($B$82)&gt;=0,SUM($B$82)&lt;=1,SUM($B$83)&gt;=0)),IF(B1099=0,0,IF(C1099=0,B1099/ROUND($B$81*12,0),B1099*(C1099/12)/(1-(1+C1099/12)^(-ROUND($B$81*12,0))))),IF(AND(NOT(AND(699&gt;$B$173,$B$78="Refinance",ISNUMBER($B$80),$B$80&gt;=0,$B$80&lt;=1,ROUND($B$81*12,0)&gt;=1,$B$81&lt;=100,SUM($B$82)&gt;=0,SUM($B$82)&lt;=1,SUM($B$83)&gt;=0)),OR(699=1,699=$B$174+1,AND($B$175&gt;0,699=$B$175+1))),IF(AND($B$170=1,$B$66&gt;0,OR($B$175=0,699&lt;=$B$175)),$B$66,IF($B$172-MAX(699-1,$B$174)&gt;0,IF(B1099=0,0,IF(C1099=0,B1099/($B$172-MAX(699-1,$B$174)),B1099*(C1099/12)/(1-(1+C1099/12)^(-($B$172-MAX(699-1,$B$174)))))),"")),D1098)))+0.0000001&gt;=B1099*C1099/12,MIN(B1099*(1+C1099/12),IF(AND(699&lt;=$B$174,699&lt;=$B$173),B1099*C1099/12,IF(AND(699=$B$173+1,AND(699&gt;$B$173,$B$78="Refinance",ISNUMBER($B$80),$B$80&gt;=0,$B$80&lt;=1,ROUND($B$81*12,0)&gt;=1,$B$81&lt;=100,SUM($B$82)&gt;=0,SUM($B$82)&lt;=1,SUM($B$83)&gt;=0)),IF(B1099=0,0,IF(C1099=0,B1099/ROUND($B$81*12,0),B1099*(C1099/12)/(1-(1+C1099/12)^(-ROUND($B$81*12,0))))),IF(AND(NOT(AND(699&gt;$B$173,$B$78="Refinance",ISNUMBER($B$80),$B$80&gt;=0,$B$80&lt;=1,ROUND($B$81*12,0)&gt;=1,$B$81&lt;=100,SUM($B$82)&gt;=0,SUM($B$82)&lt;=1,SUM($B$83)&gt;=0)),OR(699=1,699=$B$174+1,AND($B$175&gt;0,699=$B$175+1))),IF(AND($B$170=1,$B$66&gt;0,OR($B$175=0,699&lt;=$B$175)),$B$66,IF($B$172-MAX(699-1,$B$174)&gt;0,IF(B1099=0,0,IF(C1099=0,B1099/($B$172-MAX(699-1,$B$174)),B1099*(C1099/12)/(1-(1+C1099/12)^(-($B$172-MAX(699-1,$B$174)))))),"")),D1098)))),""),""))</x:f>
        <x:v>0</x:v>
      </x:c>
      <x:c r="E1099" s="440" t="n">
        <x:f>IF(AND(699=$B$173,ISNUMBER(D1099)),IF(MAX(0,B1099*(1+C1099/12)-D1099)&lt;MAX(0.0000001,$E$17*0.00000000001),0,MAX(0,B1099*(1+C1099/12)-D1099)),0)</x:f>
        <x:v>0</x:v>
      </x:c>
      <x:c r="F1099" s="440" t="n">
        <x:f>IF($B$78="Cash payoff",E1099,0)</x:f>
        <x:v>0</x:v>
      </x:c>
      <x:c r="G1099" s="440" t="n">
        <x:f>IF(AND(E1099&gt;0,AND($B$78="Refinance",ISNUMBER($B$80),$B$80&gt;=0,$B$80&lt;=1,ROUND($B$81*12,0)&gt;=1,$B$81&lt;=100,SUM($B$82)&gt;=0,SUM($B$82)&lt;=1,SUM($B$83)&gt;=0)),E1099*SUM($B$82)+SUM($B$83),0)</x:f>
        <x:v>0</x:v>
      </x:c>
      <x:c r="H1099" s="440" t="n">
        <x:f>IF(ISNUMBER(D1099),IF(MAX(0,B1099*(1+C1099/12)-D1099-F1099)&lt;MAX(0.0000001,$E$17*0.00000000001),0,MAX(0,B1099*(1+C1099/12)-D1099-F1099)),IF(AND($B$171=1,I1098=1),B1099,""))</x:f>
        <x:v>0</x:v>
      </x:c>
      <x:c r="I1099" s="444" t="n">
        <x:f>IF(OR(I1098=1,AND(E1099&gt;0,$B$78&lt;&gt;"Cash payoff",NOT(AND($B$78="Refinance",ISNUMBER($B$80),$B$80&gt;=0,$B$80&lt;=1,ROUND($B$81*12,0)&gt;=1,$B$81&lt;=100,SUM($B$82)&gt;=0,SUM($B$82)&lt;=1,SUM($B$83)&gt;=0))),AND(ISNUMBER(B1099),B1099&gt;0,$B$171=1,NOT(ISNUMBER(D1099)))),1,0)</x:f>
        <x:v>0</x:v>
      </x:c>
      <x:c r="J1099" s="440" t="n">
        <x:f>IF(ISNUMBER(L1098),L1098,"")</x:f>
        <x:v>0</x:v>
      </x:c>
      <x:c r="K1099" s="440" t="n">
        <x:f>IF(AND(ISNUMBER(J1099),J1099=0),0,IF(AND($B$176=1,ISNUMBER(J1099)),MIN(J1099*(1+$B$87/12),IF($B$86=0,0,IF($B$87=0,$B$86/ROUND($B$88*12,0),$B$86*($B$87/12)/(1-(1+$B$87/12)^(-ROUND($B$88*12,0)))))),""))</x:f>
        <x:v>0</x:v>
      </x:c>
      <x:c r="L1099" s="440" t="n">
        <x:f>IF(ISNUMBER(K1099),IF(MAX(0,J1099*(1+SUM($B$87)/12)-K1099)&lt;MAX(0.0000001,$B$86*0.00000000001),0,MAX(0,J1099*(1+SUM($B$87)/12)-K1099)),"")</x:f>
        <x:v>0</x:v>
      </x:c>
      <x:c r="M1099" s="440" t="n">
        <x:f>IF(AND(ISNUMBER(D1099),ISNUMBER(K1099)),D1099+K1099,"")</x:f>
        <x:v>0</x:v>
      </x:c>
      <x:c r="N1099" s="440" t="n">
        <x:f>IF(AND(ISNUMBER(H1099),ISNUMBER(L1099)),H1099+L1099,"")</x:f>
        <x:v>0</x:v>
      </x:c>
    </x:row>
    <x:row r="1100" ht="22" customHeight="1">
      <x:c r="A1100" s="254" t="n">
        <x:f>700</x:f>
        <x:v>700</x:v>
      </x:c>
      <x:c r="B1100" s="440" t="n">
        <x:f>IF(ISNUMBER(H1099),H1099,"")</x:f>
        <x:v>0</x:v>
      </x:c>
      <x:c r="C1100" s="442" t="n">
        <x:f>IF(ISNUMBER(B1100),IF(AND(700&gt;$B$173,$B$78="Refinance",ISNUMBER($B$80),$B$80&gt;=0,$B$80&lt;=1,ROUND($B$81*12,0)&gt;=1,$B$81&lt;=100,SUM($B$82)&gt;=0,SUM($B$82)&lt;=1,SUM($B$83)&gt;=0),$B$80,IF(AND($B$175&gt;0,700&gt;$B$175,ISNUMBER($B$75)),$B$75,$B$61)),"")</x:f>
        <x:v>0.0625</x:v>
      </x:c>
      <x:c r="D1100" s="440" t="n">
        <x:f>IF(AND(ISNUMBER(B1100),B1100=0),0,IF(AND($B$171=1,I1099=0,ISNUMBER(C1100),ISNUMBER(IF(AND(700&lt;=$B$174,700&lt;=$B$173),B1100*C1100/12,IF(AND(700=$B$173+1,AND(700&gt;$B$173,$B$78="Refinance",ISNUMBER($B$80),$B$80&gt;=0,$B$80&lt;=1,ROUND($B$81*12,0)&gt;=1,$B$81&lt;=100,SUM($B$82)&gt;=0,SUM($B$82)&lt;=1,SUM($B$83)&gt;=0)),IF(B1100=0,0,IF(C1100=0,B1100/ROUND($B$81*12,0),B1100*(C1100/12)/(1-(1+C1100/12)^(-ROUND($B$81*12,0))))),IF(AND(NOT(AND(700&gt;$B$173,$B$78="Refinance",ISNUMBER($B$80),$B$80&gt;=0,$B$80&lt;=1,ROUND($B$81*12,0)&gt;=1,$B$81&lt;=100,SUM($B$82)&gt;=0,SUM($B$82)&lt;=1,SUM($B$83)&gt;=0)),OR(700=1,700=$B$174+1,AND($B$175&gt;0,700=$B$175+1))),IF(AND($B$170=1,$B$66&gt;0,OR($B$175=0,700&lt;=$B$175)),$B$66,IF($B$172-MAX(700-1,$B$174)&gt;0,IF(B1100=0,0,IF(C1100=0,B1100/($B$172-MAX(700-1,$B$174)),B1100*(C1100/12)/(1-(1+C1100/12)^(-($B$172-MAX(700-1,$B$174)))))),"")),D1099))))),IF(IF(AND(700&lt;=$B$174,700&lt;=$B$173),B1100*C1100/12,IF(AND(700=$B$173+1,AND(700&gt;$B$173,$B$78="Refinance",ISNUMBER($B$80),$B$80&gt;=0,$B$80&lt;=1,ROUND($B$81*12,0)&gt;=1,$B$81&lt;=100,SUM($B$82)&gt;=0,SUM($B$82)&lt;=1,SUM($B$83)&gt;=0)),IF(B1100=0,0,IF(C1100=0,B1100/ROUND($B$81*12,0),B1100*(C1100/12)/(1-(1+C1100/12)^(-ROUND($B$81*12,0))))),IF(AND(NOT(AND(700&gt;$B$173,$B$78="Refinance",ISNUMBER($B$80),$B$80&gt;=0,$B$80&lt;=1,ROUND($B$81*12,0)&gt;=1,$B$81&lt;=100,SUM($B$82)&gt;=0,SUM($B$82)&lt;=1,SUM($B$83)&gt;=0)),OR(700=1,700=$B$174+1,AND($B$175&gt;0,700=$B$175+1))),IF(AND($B$170=1,$B$66&gt;0,OR($B$175=0,700&lt;=$B$175)),$B$66,IF($B$172-MAX(700-1,$B$174)&gt;0,IF(B1100=0,0,IF(C1100=0,B1100/($B$172-MAX(700-1,$B$174)),B1100*(C1100/12)/(1-(1+C1100/12)^(-($B$172-MAX(700-1,$B$174)))))),"")),D1099)))+0.0000001&gt;=B1100*C1100/12,MIN(B1100*(1+C1100/12),IF(AND(700&lt;=$B$174,700&lt;=$B$173),B1100*C1100/12,IF(AND(700=$B$173+1,AND(700&gt;$B$173,$B$78="Refinance",ISNUMBER($B$80),$B$80&gt;=0,$B$80&lt;=1,ROUND($B$81*12,0)&gt;=1,$B$81&lt;=100,SUM($B$82)&gt;=0,SUM($B$82)&lt;=1,SUM($B$83)&gt;=0)),IF(B1100=0,0,IF(C1100=0,B1100/ROUND($B$81*12,0),B1100*(C1100/12)/(1-(1+C1100/12)^(-ROUND($B$81*12,0))))),IF(AND(NOT(AND(700&gt;$B$173,$B$78="Refinance",ISNUMBER($B$80),$B$80&gt;=0,$B$80&lt;=1,ROUND($B$81*12,0)&gt;=1,$B$81&lt;=100,SUM($B$82)&gt;=0,SUM($B$82)&lt;=1,SUM($B$83)&gt;=0)),OR(700=1,700=$B$174+1,AND($B$175&gt;0,700=$B$175+1))),IF(AND($B$170=1,$B$66&gt;0,OR($B$175=0,700&lt;=$B$175)),$B$66,IF($B$172-MAX(700-1,$B$174)&gt;0,IF(B1100=0,0,IF(C1100=0,B1100/($B$172-MAX(700-1,$B$174)),B1100*(C1100/12)/(1-(1+C1100/12)^(-($B$172-MAX(700-1,$B$174)))))),"")),D1099)))),""),""))</x:f>
        <x:v>0</x:v>
      </x:c>
      <x:c r="E1100" s="440" t="n">
        <x:f>IF(AND(700=$B$173,ISNUMBER(D1100)),IF(MAX(0,B1100*(1+C1100/12)-D1100)&lt;MAX(0.0000001,$E$17*0.00000000001),0,MAX(0,B1100*(1+C1100/12)-D1100)),0)</x:f>
        <x:v>0</x:v>
      </x:c>
      <x:c r="F1100" s="440" t="n">
        <x:f>IF($B$78="Cash payoff",E1100,0)</x:f>
        <x:v>0</x:v>
      </x:c>
      <x:c r="G1100" s="440" t="n">
        <x:f>IF(AND(E1100&gt;0,AND($B$78="Refinance",ISNUMBER($B$80),$B$80&gt;=0,$B$80&lt;=1,ROUND($B$81*12,0)&gt;=1,$B$81&lt;=100,SUM($B$82)&gt;=0,SUM($B$82)&lt;=1,SUM($B$83)&gt;=0)),E1100*SUM($B$82)+SUM($B$83),0)</x:f>
        <x:v>0</x:v>
      </x:c>
      <x:c r="H1100" s="440" t="n">
        <x:f>IF(ISNUMBER(D1100),IF(MAX(0,B1100*(1+C1100/12)-D1100-F1100)&lt;MAX(0.0000001,$E$17*0.00000000001),0,MAX(0,B1100*(1+C1100/12)-D1100-F1100)),IF(AND($B$171=1,I1099=1),B1100,""))</x:f>
        <x:v>0</x:v>
      </x:c>
      <x:c r="I1100" s="444" t="n">
        <x:f>IF(OR(I1099=1,AND(E1100&gt;0,$B$78&lt;&gt;"Cash payoff",NOT(AND($B$78="Refinance",ISNUMBER($B$80),$B$80&gt;=0,$B$80&lt;=1,ROUND($B$81*12,0)&gt;=1,$B$81&lt;=100,SUM($B$82)&gt;=0,SUM($B$82)&lt;=1,SUM($B$83)&gt;=0))),AND(ISNUMBER(B1100),B1100&gt;0,$B$171=1,NOT(ISNUMBER(D1100)))),1,0)</x:f>
        <x:v>0</x:v>
      </x:c>
      <x:c r="J1100" s="440" t="n">
        <x:f>IF(ISNUMBER(L1099),L1099,"")</x:f>
        <x:v>0</x:v>
      </x:c>
      <x:c r="K1100" s="440" t="n">
        <x:f>IF(AND(ISNUMBER(J1100),J1100=0),0,IF(AND($B$176=1,ISNUMBER(J1100)),MIN(J1100*(1+$B$87/12),IF($B$86=0,0,IF($B$87=0,$B$86/ROUND($B$88*12,0),$B$86*($B$87/12)/(1-(1+$B$87/12)^(-ROUND($B$88*12,0)))))),""))</x:f>
        <x:v>0</x:v>
      </x:c>
      <x:c r="L1100" s="440" t="n">
        <x:f>IF(ISNUMBER(K1100),IF(MAX(0,J1100*(1+SUM($B$87)/12)-K1100)&lt;MAX(0.0000001,$B$86*0.00000000001),0,MAX(0,J1100*(1+SUM($B$87)/12)-K1100)),"")</x:f>
        <x:v>0</x:v>
      </x:c>
      <x:c r="M1100" s="440" t="n">
        <x:f>IF(AND(ISNUMBER(D1100),ISNUMBER(K1100)),D1100+K1100,"")</x:f>
        <x:v>0</x:v>
      </x:c>
      <x:c r="N1100" s="440" t="n">
        <x:f>IF(AND(ISNUMBER(H1100),ISNUMBER(L1100)),H1100+L1100,"")</x:f>
        <x:v>0</x:v>
      </x:c>
    </x:row>
    <x:row r="1101" ht="22" customHeight="1">
      <x:c r="A1101" s="254" t="n">
        <x:f>701</x:f>
        <x:v>701</x:v>
      </x:c>
      <x:c r="B1101" s="440" t="n">
        <x:f>IF(ISNUMBER(H1100),H1100,"")</x:f>
        <x:v>0</x:v>
      </x:c>
      <x:c r="C1101" s="442" t="n">
        <x:f>IF(ISNUMBER(B1101),IF(AND(701&gt;$B$173,$B$78="Refinance",ISNUMBER($B$80),$B$80&gt;=0,$B$80&lt;=1,ROUND($B$81*12,0)&gt;=1,$B$81&lt;=100,SUM($B$82)&gt;=0,SUM($B$82)&lt;=1,SUM($B$83)&gt;=0),$B$80,IF(AND($B$175&gt;0,701&gt;$B$175,ISNUMBER($B$75)),$B$75,$B$61)),"")</x:f>
        <x:v>0.0625</x:v>
      </x:c>
      <x:c r="D1101" s="440" t="n">
        <x:f>IF(AND(ISNUMBER(B1101),B1101=0),0,IF(AND($B$171=1,I1100=0,ISNUMBER(C1101),ISNUMBER(IF(AND(701&lt;=$B$174,701&lt;=$B$173),B1101*C1101/12,IF(AND(701=$B$173+1,AND(701&gt;$B$173,$B$78="Refinance",ISNUMBER($B$80),$B$80&gt;=0,$B$80&lt;=1,ROUND($B$81*12,0)&gt;=1,$B$81&lt;=100,SUM($B$82)&gt;=0,SUM($B$82)&lt;=1,SUM($B$83)&gt;=0)),IF(B1101=0,0,IF(C1101=0,B1101/ROUND($B$81*12,0),B1101*(C1101/12)/(1-(1+C1101/12)^(-ROUND($B$81*12,0))))),IF(AND(NOT(AND(701&gt;$B$173,$B$78="Refinance",ISNUMBER($B$80),$B$80&gt;=0,$B$80&lt;=1,ROUND($B$81*12,0)&gt;=1,$B$81&lt;=100,SUM($B$82)&gt;=0,SUM($B$82)&lt;=1,SUM($B$83)&gt;=0)),OR(701=1,701=$B$174+1,AND($B$175&gt;0,701=$B$175+1))),IF(AND($B$170=1,$B$66&gt;0,OR($B$175=0,701&lt;=$B$175)),$B$66,IF($B$172-MAX(701-1,$B$174)&gt;0,IF(B1101=0,0,IF(C1101=0,B1101/($B$172-MAX(701-1,$B$174)),B1101*(C1101/12)/(1-(1+C1101/12)^(-($B$172-MAX(701-1,$B$174)))))),"")),D1100))))),IF(IF(AND(701&lt;=$B$174,701&lt;=$B$173),B1101*C1101/12,IF(AND(701=$B$173+1,AND(701&gt;$B$173,$B$78="Refinance",ISNUMBER($B$80),$B$80&gt;=0,$B$80&lt;=1,ROUND($B$81*12,0)&gt;=1,$B$81&lt;=100,SUM($B$82)&gt;=0,SUM($B$82)&lt;=1,SUM($B$83)&gt;=0)),IF(B1101=0,0,IF(C1101=0,B1101/ROUND($B$81*12,0),B1101*(C1101/12)/(1-(1+C1101/12)^(-ROUND($B$81*12,0))))),IF(AND(NOT(AND(701&gt;$B$173,$B$78="Refinance",ISNUMBER($B$80),$B$80&gt;=0,$B$80&lt;=1,ROUND($B$81*12,0)&gt;=1,$B$81&lt;=100,SUM($B$82)&gt;=0,SUM($B$82)&lt;=1,SUM($B$83)&gt;=0)),OR(701=1,701=$B$174+1,AND($B$175&gt;0,701=$B$175+1))),IF(AND($B$170=1,$B$66&gt;0,OR($B$175=0,701&lt;=$B$175)),$B$66,IF($B$172-MAX(701-1,$B$174)&gt;0,IF(B1101=0,0,IF(C1101=0,B1101/($B$172-MAX(701-1,$B$174)),B1101*(C1101/12)/(1-(1+C1101/12)^(-($B$172-MAX(701-1,$B$174)))))),"")),D1100)))+0.0000001&gt;=B1101*C1101/12,MIN(B1101*(1+C1101/12),IF(AND(701&lt;=$B$174,701&lt;=$B$173),B1101*C1101/12,IF(AND(701=$B$173+1,AND(701&gt;$B$173,$B$78="Refinance",ISNUMBER($B$80),$B$80&gt;=0,$B$80&lt;=1,ROUND($B$81*12,0)&gt;=1,$B$81&lt;=100,SUM($B$82)&gt;=0,SUM($B$82)&lt;=1,SUM($B$83)&gt;=0)),IF(B1101=0,0,IF(C1101=0,B1101/ROUND($B$81*12,0),B1101*(C1101/12)/(1-(1+C1101/12)^(-ROUND($B$81*12,0))))),IF(AND(NOT(AND(701&gt;$B$173,$B$78="Refinance",ISNUMBER($B$80),$B$80&gt;=0,$B$80&lt;=1,ROUND($B$81*12,0)&gt;=1,$B$81&lt;=100,SUM($B$82)&gt;=0,SUM($B$82)&lt;=1,SUM($B$83)&gt;=0)),OR(701=1,701=$B$174+1,AND($B$175&gt;0,701=$B$175+1))),IF(AND($B$170=1,$B$66&gt;0,OR($B$175=0,701&lt;=$B$175)),$B$66,IF($B$172-MAX(701-1,$B$174)&gt;0,IF(B1101=0,0,IF(C1101=0,B1101/($B$172-MAX(701-1,$B$174)),B1101*(C1101/12)/(1-(1+C1101/12)^(-($B$172-MAX(701-1,$B$174)))))),"")),D1100)))),""),""))</x:f>
        <x:v>0</x:v>
      </x:c>
      <x:c r="E1101" s="440" t="n">
        <x:f>IF(AND(701=$B$173,ISNUMBER(D1101)),IF(MAX(0,B1101*(1+C1101/12)-D1101)&lt;MAX(0.0000001,$E$17*0.00000000001),0,MAX(0,B1101*(1+C1101/12)-D1101)),0)</x:f>
        <x:v>0</x:v>
      </x:c>
      <x:c r="F1101" s="440" t="n">
        <x:f>IF($B$78="Cash payoff",E1101,0)</x:f>
        <x:v>0</x:v>
      </x:c>
      <x:c r="G1101" s="440" t="n">
        <x:f>IF(AND(E1101&gt;0,AND($B$78="Refinance",ISNUMBER($B$80),$B$80&gt;=0,$B$80&lt;=1,ROUND($B$81*12,0)&gt;=1,$B$81&lt;=100,SUM($B$82)&gt;=0,SUM($B$82)&lt;=1,SUM($B$83)&gt;=0)),E1101*SUM($B$82)+SUM($B$83),0)</x:f>
        <x:v>0</x:v>
      </x:c>
      <x:c r="H1101" s="440" t="n">
        <x:f>IF(ISNUMBER(D1101),IF(MAX(0,B1101*(1+C1101/12)-D1101-F1101)&lt;MAX(0.0000001,$E$17*0.00000000001),0,MAX(0,B1101*(1+C1101/12)-D1101-F1101)),IF(AND($B$171=1,I1100=1),B1101,""))</x:f>
        <x:v>0</x:v>
      </x:c>
      <x:c r="I1101" s="444" t="n">
        <x:f>IF(OR(I1100=1,AND(E1101&gt;0,$B$78&lt;&gt;"Cash payoff",NOT(AND($B$78="Refinance",ISNUMBER($B$80),$B$80&gt;=0,$B$80&lt;=1,ROUND($B$81*12,0)&gt;=1,$B$81&lt;=100,SUM($B$82)&gt;=0,SUM($B$82)&lt;=1,SUM($B$83)&gt;=0))),AND(ISNUMBER(B1101),B1101&gt;0,$B$171=1,NOT(ISNUMBER(D1101)))),1,0)</x:f>
        <x:v>0</x:v>
      </x:c>
      <x:c r="J1101" s="440" t="n">
        <x:f>IF(ISNUMBER(L1100),L1100,"")</x:f>
        <x:v>0</x:v>
      </x:c>
      <x:c r="K1101" s="440" t="n">
        <x:f>IF(AND(ISNUMBER(J1101),J1101=0),0,IF(AND($B$176=1,ISNUMBER(J1101)),MIN(J1101*(1+$B$87/12),IF($B$86=0,0,IF($B$87=0,$B$86/ROUND($B$88*12,0),$B$86*($B$87/12)/(1-(1+$B$87/12)^(-ROUND($B$88*12,0)))))),""))</x:f>
        <x:v>0</x:v>
      </x:c>
      <x:c r="L1101" s="440" t="n">
        <x:f>IF(ISNUMBER(K1101),IF(MAX(0,J1101*(1+SUM($B$87)/12)-K1101)&lt;MAX(0.0000001,$B$86*0.00000000001),0,MAX(0,J1101*(1+SUM($B$87)/12)-K1101)),"")</x:f>
        <x:v>0</x:v>
      </x:c>
      <x:c r="M1101" s="440" t="n">
        <x:f>IF(AND(ISNUMBER(D1101),ISNUMBER(K1101)),D1101+K1101,"")</x:f>
        <x:v>0</x:v>
      </x:c>
      <x:c r="N1101" s="440" t="n">
        <x:f>IF(AND(ISNUMBER(H1101),ISNUMBER(L1101)),H1101+L1101,"")</x:f>
        <x:v>0</x:v>
      </x:c>
    </x:row>
    <x:row r="1102" ht="22" customHeight="1">
      <x:c r="A1102" s="254" t="n">
        <x:f>702</x:f>
        <x:v>702</x:v>
      </x:c>
      <x:c r="B1102" s="440" t="n">
        <x:f>IF(ISNUMBER(H1101),H1101,"")</x:f>
        <x:v>0</x:v>
      </x:c>
      <x:c r="C1102" s="442" t="n">
        <x:f>IF(ISNUMBER(B1102),IF(AND(702&gt;$B$173,$B$78="Refinance",ISNUMBER($B$80),$B$80&gt;=0,$B$80&lt;=1,ROUND($B$81*12,0)&gt;=1,$B$81&lt;=100,SUM($B$82)&gt;=0,SUM($B$82)&lt;=1,SUM($B$83)&gt;=0),$B$80,IF(AND($B$175&gt;0,702&gt;$B$175,ISNUMBER($B$75)),$B$75,$B$61)),"")</x:f>
        <x:v>0.0625</x:v>
      </x:c>
      <x:c r="D1102" s="440" t="n">
        <x:f>IF(AND(ISNUMBER(B1102),B1102=0),0,IF(AND($B$171=1,I1101=0,ISNUMBER(C1102),ISNUMBER(IF(AND(702&lt;=$B$174,702&lt;=$B$173),B1102*C1102/12,IF(AND(702=$B$173+1,AND(702&gt;$B$173,$B$78="Refinance",ISNUMBER($B$80),$B$80&gt;=0,$B$80&lt;=1,ROUND($B$81*12,0)&gt;=1,$B$81&lt;=100,SUM($B$82)&gt;=0,SUM($B$82)&lt;=1,SUM($B$83)&gt;=0)),IF(B1102=0,0,IF(C1102=0,B1102/ROUND($B$81*12,0),B1102*(C1102/12)/(1-(1+C1102/12)^(-ROUND($B$81*12,0))))),IF(AND(NOT(AND(702&gt;$B$173,$B$78="Refinance",ISNUMBER($B$80),$B$80&gt;=0,$B$80&lt;=1,ROUND($B$81*12,0)&gt;=1,$B$81&lt;=100,SUM($B$82)&gt;=0,SUM($B$82)&lt;=1,SUM($B$83)&gt;=0)),OR(702=1,702=$B$174+1,AND($B$175&gt;0,702=$B$175+1))),IF(AND($B$170=1,$B$66&gt;0,OR($B$175=0,702&lt;=$B$175)),$B$66,IF($B$172-MAX(702-1,$B$174)&gt;0,IF(B1102=0,0,IF(C1102=0,B1102/($B$172-MAX(702-1,$B$174)),B1102*(C1102/12)/(1-(1+C1102/12)^(-($B$172-MAX(702-1,$B$174)))))),"")),D1101))))),IF(IF(AND(702&lt;=$B$174,702&lt;=$B$173),B1102*C1102/12,IF(AND(702=$B$173+1,AND(702&gt;$B$173,$B$78="Refinance",ISNUMBER($B$80),$B$80&gt;=0,$B$80&lt;=1,ROUND($B$81*12,0)&gt;=1,$B$81&lt;=100,SUM($B$82)&gt;=0,SUM($B$82)&lt;=1,SUM($B$83)&gt;=0)),IF(B1102=0,0,IF(C1102=0,B1102/ROUND($B$81*12,0),B1102*(C1102/12)/(1-(1+C1102/12)^(-ROUND($B$81*12,0))))),IF(AND(NOT(AND(702&gt;$B$173,$B$78="Refinance",ISNUMBER($B$80),$B$80&gt;=0,$B$80&lt;=1,ROUND($B$81*12,0)&gt;=1,$B$81&lt;=100,SUM($B$82)&gt;=0,SUM($B$82)&lt;=1,SUM($B$83)&gt;=0)),OR(702=1,702=$B$174+1,AND($B$175&gt;0,702=$B$175+1))),IF(AND($B$170=1,$B$66&gt;0,OR($B$175=0,702&lt;=$B$175)),$B$66,IF($B$172-MAX(702-1,$B$174)&gt;0,IF(B1102=0,0,IF(C1102=0,B1102/($B$172-MAX(702-1,$B$174)),B1102*(C1102/12)/(1-(1+C1102/12)^(-($B$172-MAX(702-1,$B$174)))))),"")),D1101)))+0.0000001&gt;=B1102*C1102/12,MIN(B1102*(1+C1102/12),IF(AND(702&lt;=$B$174,702&lt;=$B$173),B1102*C1102/12,IF(AND(702=$B$173+1,AND(702&gt;$B$173,$B$78="Refinance",ISNUMBER($B$80),$B$80&gt;=0,$B$80&lt;=1,ROUND($B$81*12,0)&gt;=1,$B$81&lt;=100,SUM($B$82)&gt;=0,SUM($B$82)&lt;=1,SUM($B$83)&gt;=0)),IF(B1102=0,0,IF(C1102=0,B1102/ROUND($B$81*12,0),B1102*(C1102/12)/(1-(1+C1102/12)^(-ROUND($B$81*12,0))))),IF(AND(NOT(AND(702&gt;$B$173,$B$78="Refinance",ISNUMBER($B$80),$B$80&gt;=0,$B$80&lt;=1,ROUND($B$81*12,0)&gt;=1,$B$81&lt;=100,SUM($B$82)&gt;=0,SUM($B$82)&lt;=1,SUM($B$83)&gt;=0)),OR(702=1,702=$B$174+1,AND($B$175&gt;0,702=$B$175+1))),IF(AND($B$170=1,$B$66&gt;0,OR($B$175=0,702&lt;=$B$175)),$B$66,IF($B$172-MAX(702-1,$B$174)&gt;0,IF(B1102=0,0,IF(C1102=0,B1102/($B$172-MAX(702-1,$B$174)),B1102*(C1102/12)/(1-(1+C1102/12)^(-($B$172-MAX(702-1,$B$174)))))),"")),D1101)))),""),""))</x:f>
        <x:v>0</x:v>
      </x:c>
      <x:c r="E1102" s="440" t="n">
        <x:f>IF(AND(702=$B$173,ISNUMBER(D1102)),IF(MAX(0,B1102*(1+C1102/12)-D1102)&lt;MAX(0.0000001,$E$17*0.00000000001),0,MAX(0,B1102*(1+C1102/12)-D1102)),0)</x:f>
        <x:v>0</x:v>
      </x:c>
      <x:c r="F1102" s="440" t="n">
        <x:f>IF($B$78="Cash payoff",E1102,0)</x:f>
        <x:v>0</x:v>
      </x:c>
      <x:c r="G1102" s="440" t="n">
        <x:f>IF(AND(E1102&gt;0,AND($B$78="Refinance",ISNUMBER($B$80),$B$80&gt;=0,$B$80&lt;=1,ROUND($B$81*12,0)&gt;=1,$B$81&lt;=100,SUM($B$82)&gt;=0,SUM($B$82)&lt;=1,SUM($B$83)&gt;=0)),E1102*SUM($B$82)+SUM($B$83),0)</x:f>
        <x:v>0</x:v>
      </x:c>
      <x:c r="H1102" s="440" t="n">
        <x:f>IF(ISNUMBER(D1102),IF(MAX(0,B1102*(1+C1102/12)-D1102-F1102)&lt;MAX(0.0000001,$E$17*0.00000000001),0,MAX(0,B1102*(1+C1102/12)-D1102-F1102)),IF(AND($B$171=1,I1101=1),B1102,""))</x:f>
        <x:v>0</x:v>
      </x:c>
      <x:c r="I1102" s="444" t="n">
        <x:f>IF(OR(I1101=1,AND(E1102&gt;0,$B$78&lt;&gt;"Cash payoff",NOT(AND($B$78="Refinance",ISNUMBER($B$80),$B$80&gt;=0,$B$80&lt;=1,ROUND($B$81*12,0)&gt;=1,$B$81&lt;=100,SUM($B$82)&gt;=0,SUM($B$82)&lt;=1,SUM($B$83)&gt;=0))),AND(ISNUMBER(B1102),B1102&gt;0,$B$171=1,NOT(ISNUMBER(D1102)))),1,0)</x:f>
        <x:v>0</x:v>
      </x:c>
      <x:c r="J1102" s="440" t="n">
        <x:f>IF(ISNUMBER(L1101),L1101,"")</x:f>
        <x:v>0</x:v>
      </x:c>
      <x:c r="K1102" s="440" t="n">
        <x:f>IF(AND(ISNUMBER(J1102),J1102=0),0,IF(AND($B$176=1,ISNUMBER(J1102)),MIN(J1102*(1+$B$87/12),IF($B$86=0,0,IF($B$87=0,$B$86/ROUND($B$88*12,0),$B$86*($B$87/12)/(1-(1+$B$87/12)^(-ROUND($B$88*12,0)))))),""))</x:f>
        <x:v>0</x:v>
      </x:c>
      <x:c r="L1102" s="440" t="n">
        <x:f>IF(ISNUMBER(K1102),IF(MAX(0,J1102*(1+SUM($B$87)/12)-K1102)&lt;MAX(0.0000001,$B$86*0.00000000001),0,MAX(0,J1102*(1+SUM($B$87)/12)-K1102)),"")</x:f>
        <x:v>0</x:v>
      </x:c>
      <x:c r="M1102" s="440" t="n">
        <x:f>IF(AND(ISNUMBER(D1102),ISNUMBER(K1102)),D1102+K1102,"")</x:f>
        <x:v>0</x:v>
      </x:c>
      <x:c r="N1102" s="440" t="n">
        <x:f>IF(AND(ISNUMBER(H1102),ISNUMBER(L1102)),H1102+L1102,"")</x:f>
        <x:v>0</x:v>
      </x:c>
    </x:row>
    <x:row r="1103" ht="22" customHeight="1">
      <x:c r="A1103" s="254" t="n">
        <x:f>703</x:f>
        <x:v>703</x:v>
      </x:c>
      <x:c r="B1103" s="440" t="n">
        <x:f>IF(ISNUMBER(H1102),H1102,"")</x:f>
        <x:v>0</x:v>
      </x:c>
      <x:c r="C1103" s="442" t="n">
        <x:f>IF(ISNUMBER(B1103),IF(AND(703&gt;$B$173,$B$78="Refinance",ISNUMBER($B$80),$B$80&gt;=0,$B$80&lt;=1,ROUND($B$81*12,0)&gt;=1,$B$81&lt;=100,SUM($B$82)&gt;=0,SUM($B$82)&lt;=1,SUM($B$83)&gt;=0),$B$80,IF(AND($B$175&gt;0,703&gt;$B$175,ISNUMBER($B$75)),$B$75,$B$61)),"")</x:f>
        <x:v>0.0625</x:v>
      </x:c>
      <x:c r="D1103" s="440" t="n">
        <x:f>IF(AND(ISNUMBER(B1103),B1103=0),0,IF(AND($B$171=1,I1102=0,ISNUMBER(C1103),ISNUMBER(IF(AND(703&lt;=$B$174,703&lt;=$B$173),B1103*C1103/12,IF(AND(703=$B$173+1,AND(703&gt;$B$173,$B$78="Refinance",ISNUMBER($B$80),$B$80&gt;=0,$B$80&lt;=1,ROUND($B$81*12,0)&gt;=1,$B$81&lt;=100,SUM($B$82)&gt;=0,SUM($B$82)&lt;=1,SUM($B$83)&gt;=0)),IF(B1103=0,0,IF(C1103=0,B1103/ROUND($B$81*12,0),B1103*(C1103/12)/(1-(1+C1103/12)^(-ROUND($B$81*12,0))))),IF(AND(NOT(AND(703&gt;$B$173,$B$78="Refinance",ISNUMBER($B$80),$B$80&gt;=0,$B$80&lt;=1,ROUND($B$81*12,0)&gt;=1,$B$81&lt;=100,SUM($B$82)&gt;=0,SUM($B$82)&lt;=1,SUM($B$83)&gt;=0)),OR(703=1,703=$B$174+1,AND($B$175&gt;0,703=$B$175+1))),IF(AND($B$170=1,$B$66&gt;0,OR($B$175=0,703&lt;=$B$175)),$B$66,IF($B$172-MAX(703-1,$B$174)&gt;0,IF(B1103=0,0,IF(C1103=0,B1103/($B$172-MAX(703-1,$B$174)),B1103*(C1103/12)/(1-(1+C1103/12)^(-($B$172-MAX(703-1,$B$174)))))),"")),D1102))))),IF(IF(AND(703&lt;=$B$174,703&lt;=$B$173),B1103*C1103/12,IF(AND(703=$B$173+1,AND(703&gt;$B$173,$B$78="Refinance",ISNUMBER($B$80),$B$80&gt;=0,$B$80&lt;=1,ROUND($B$81*12,0)&gt;=1,$B$81&lt;=100,SUM($B$82)&gt;=0,SUM($B$82)&lt;=1,SUM($B$83)&gt;=0)),IF(B1103=0,0,IF(C1103=0,B1103/ROUND($B$81*12,0),B1103*(C1103/12)/(1-(1+C1103/12)^(-ROUND($B$81*12,0))))),IF(AND(NOT(AND(703&gt;$B$173,$B$78="Refinance",ISNUMBER($B$80),$B$80&gt;=0,$B$80&lt;=1,ROUND($B$81*12,0)&gt;=1,$B$81&lt;=100,SUM($B$82)&gt;=0,SUM($B$82)&lt;=1,SUM($B$83)&gt;=0)),OR(703=1,703=$B$174+1,AND($B$175&gt;0,703=$B$175+1))),IF(AND($B$170=1,$B$66&gt;0,OR($B$175=0,703&lt;=$B$175)),$B$66,IF($B$172-MAX(703-1,$B$174)&gt;0,IF(B1103=0,0,IF(C1103=0,B1103/($B$172-MAX(703-1,$B$174)),B1103*(C1103/12)/(1-(1+C1103/12)^(-($B$172-MAX(703-1,$B$174)))))),"")),D1102)))+0.0000001&gt;=B1103*C1103/12,MIN(B1103*(1+C1103/12),IF(AND(703&lt;=$B$174,703&lt;=$B$173),B1103*C1103/12,IF(AND(703=$B$173+1,AND(703&gt;$B$173,$B$78="Refinance",ISNUMBER($B$80),$B$80&gt;=0,$B$80&lt;=1,ROUND($B$81*12,0)&gt;=1,$B$81&lt;=100,SUM($B$82)&gt;=0,SUM($B$82)&lt;=1,SUM($B$83)&gt;=0)),IF(B1103=0,0,IF(C1103=0,B1103/ROUND($B$81*12,0),B1103*(C1103/12)/(1-(1+C1103/12)^(-ROUND($B$81*12,0))))),IF(AND(NOT(AND(703&gt;$B$173,$B$78="Refinance",ISNUMBER($B$80),$B$80&gt;=0,$B$80&lt;=1,ROUND($B$81*12,0)&gt;=1,$B$81&lt;=100,SUM($B$82)&gt;=0,SUM($B$82)&lt;=1,SUM($B$83)&gt;=0)),OR(703=1,703=$B$174+1,AND($B$175&gt;0,703=$B$175+1))),IF(AND($B$170=1,$B$66&gt;0,OR($B$175=0,703&lt;=$B$175)),$B$66,IF($B$172-MAX(703-1,$B$174)&gt;0,IF(B1103=0,0,IF(C1103=0,B1103/($B$172-MAX(703-1,$B$174)),B1103*(C1103/12)/(1-(1+C1103/12)^(-($B$172-MAX(703-1,$B$174)))))),"")),D1102)))),""),""))</x:f>
        <x:v>0</x:v>
      </x:c>
      <x:c r="E1103" s="440" t="n">
        <x:f>IF(AND(703=$B$173,ISNUMBER(D1103)),IF(MAX(0,B1103*(1+C1103/12)-D1103)&lt;MAX(0.0000001,$E$17*0.00000000001),0,MAX(0,B1103*(1+C1103/12)-D1103)),0)</x:f>
        <x:v>0</x:v>
      </x:c>
      <x:c r="F1103" s="440" t="n">
        <x:f>IF($B$78="Cash payoff",E1103,0)</x:f>
        <x:v>0</x:v>
      </x:c>
      <x:c r="G1103" s="440" t="n">
        <x:f>IF(AND(E1103&gt;0,AND($B$78="Refinance",ISNUMBER($B$80),$B$80&gt;=0,$B$80&lt;=1,ROUND($B$81*12,0)&gt;=1,$B$81&lt;=100,SUM($B$82)&gt;=0,SUM($B$82)&lt;=1,SUM($B$83)&gt;=0)),E1103*SUM($B$82)+SUM($B$83),0)</x:f>
        <x:v>0</x:v>
      </x:c>
      <x:c r="H1103" s="440" t="n">
        <x:f>IF(ISNUMBER(D1103),IF(MAX(0,B1103*(1+C1103/12)-D1103-F1103)&lt;MAX(0.0000001,$E$17*0.00000000001),0,MAX(0,B1103*(1+C1103/12)-D1103-F1103)),IF(AND($B$171=1,I1102=1),B1103,""))</x:f>
        <x:v>0</x:v>
      </x:c>
      <x:c r="I1103" s="444" t="n">
        <x:f>IF(OR(I1102=1,AND(E1103&gt;0,$B$78&lt;&gt;"Cash payoff",NOT(AND($B$78="Refinance",ISNUMBER($B$80),$B$80&gt;=0,$B$80&lt;=1,ROUND($B$81*12,0)&gt;=1,$B$81&lt;=100,SUM($B$82)&gt;=0,SUM($B$82)&lt;=1,SUM($B$83)&gt;=0))),AND(ISNUMBER(B1103),B1103&gt;0,$B$171=1,NOT(ISNUMBER(D1103)))),1,0)</x:f>
        <x:v>0</x:v>
      </x:c>
      <x:c r="J1103" s="440" t="n">
        <x:f>IF(ISNUMBER(L1102),L1102,"")</x:f>
        <x:v>0</x:v>
      </x:c>
      <x:c r="K1103" s="440" t="n">
        <x:f>IF(AND(ISNUMBER(J1103),J1103=0),0,IF(AND($B$176=1,ISNUMBER(J1103)),MIN(J1103*(1+$B$87/12),IF($B$86=0,0,IF($B$87=0,$B$86/ROUND($B$88*12,0),$B$86*($B$87/12)/(1-(1+$B$87/12)^(-ROUND($B$88*12,0)))))),""))</x:f>
        <x:v>0</x:v>
      </x:c>
      <x:c r="L1103" s="440" t="n">
        <x:f>IF(ISNUMBER(K1103),IF(MAX(0,J1103*(1+SUM($B$87)/12)-K1103)&lt;MAX(0.0000001,$B$86*0.00000000001),0,MAX(0,J1103*(1+SUM($B$87)/12)-K1103)),"")</x:f>
        <x:v>0</x:v>
      </x:c>
      <x:c r="M1103" s="440" t="n">
        <x:f>IF(AND(ISNUMBER(D1103),ISNUMBER(K1103)),D1103+K1103,"")</x:f>
        <x:v>0</x:v>
      </x:c>
      <x:c r="N1103" s="440" t="n">
        <x:f>IF(AND(ISNUMBER(H1103),ISNUMBER(L1103)),H1103+L1103,"")</x:f>
        <x:v>0</x:v>
      </x:c>
    </x:row>
    <x:row r="1104" ht="22" customHeight="1">
      <x:c r="A1104" s="254" t="n">
        <x:f>704</x:f>
        <x:v>704</x:v>
      </x:c>
      <x:c r="B1104" s="440" t="n">
        <x:f>IF(ISNUMBER(H1103),H1103,"")</x:f>
        <x:v>0</x:v>
      </x:c>
      <x:c r="C1104" s="442" t="n">
        <x:f>IF(ISNUMBER(B1104),IF(AND(704&gt;$B$173,$B$78="Refinance",ISNUMBER($B$80),$B$80&gt;=0,$B$80&lt;=1,ROUND($B$81*12,0)&gt;=1,$B$81&lt;=100,SUM($B$82)&gt;=0,SUM($B$82)&lt;=1,SUM($B$83)&gt;=0),$B$80,IF(AND($B$175&gt;0,704&gt;$B$175,ISNUMBER($B$75)),$B$75,$B$61)),"")</x:f>
        <x:v>0.0625</x:v>
      </x:c>
      <x:c r="D1104" s="440" t="n">
        <x:f>IF(AND(ISNUMBER(B1104),B1104=0),0,IF(AND($B$171=1,I1103=0,ISNUMBER(C1104),ISNUMBER(IF(AND(704&lt;=$B$174,704&lt;=$B$173),B1104*C1104/12,IF(AND(704=$B$173+1,AND(704&gt;$B$173,$B$78="Refinance",ISNUMBER($B$80),$B$80&gt;=0,$B$80&lt;=1,ROUND($B$81*12,0)&gt;=1,$B$81&lt;=100,SUM($B$82)&gt;=0,SUM($B$82)&lt;=1,SUM($B$83)&gt;=0)),IF(B1104=0,0,IF(C1104=0,B1104/ROUND($B$81*12,0),B1104*(C1104/12)/(1-(1+C1104/12)^(-ROUND($B$81*12,0))))),IF(AND(NOT(AND(704&gt;$B$173,$B$78="Refinance",ISNUMBER($B$80),$B$80&gt;=0,$B$80&lt;=1,ROUND($B$81*12,0)&gt;=1,$B$81&lt;=100,SUM($B$82)&gt;=0,SUM($B$82)&lt;=1,SUM($B$83)&gt;=0)),OR(704=1,704=$B$174+1,AND($B$175&gt;0,704=$B$175+1))),IF(AND($B$170=1,$B$66&gt;0,OR($B$175=0,704&lt;=$B$175)),$B$66,IF($B$172-MAX(704-1,$B$174)&gt;0,IF(B1104=0,0,IF(C1104=0,B1104/($B$172-MAX(704-1,$B$174)),B1104*(C1104/12)/(1-(1+C1104/12)^(-($B$172-MAX(704-1,$B$174)))))),"")),D1103))))),IF(IF(AND(704&lt;=$B$174,704&lt;=$B$173),B1104*C1104/12,IF(AND(704=$B$173+1,AND(704&gt;$B$173,$B$78="Refinance",ISNUMBER($B$80),$B$80&gt;=0,$B$80&lt;=1,ROUND($B$81*12,0)&gt;=1,$B$81&lt;=100,SUM($B$82)&gt;=0,SUM($B$82)&lt;=1,SUM($B$83)&gt;=0)),IF(B1104=0,0,IF(C1104=0,B1104/ROUND($B$81*12,0),B1104*(C1104/12)/(1-(1+C1104/12)^(-ROUND($B$81*12,0))))),IF(AND(NOT(AND(704&gt;$B$173,$B$78="Refinance",ISNUMBER($B$80),$B$80&gt;=0,$B$80&lt;=1,ROUND($B$81*12,0)&gt;=1,$B$81&lt;=100,SUM($B$82)&gt;=0,SUM($B$82)&lt;=1,SUM($B$83)&gt;=0)),OR(704=1,704=$B$174+1,AND($B$175&gt;0,704=$B$175+1))),IF(AND($B$170=1,$B$66&gt;0,OR($B$175=0,704&lt;=$B$175)),$B$66,IF($B$172-MAX(704-1,$B$174)&gt;0,IF(B1104=0,0,IF(C1104=0,B1104/($B$172-MAX(704-1,$B$174)),B1104*(C1104/12)/(1-(1+C1104/12)^(-($B$172-MAX(704-1,$B$174)))))),"")),D1103)))+0.0000001&gt;=B1104*C1104/12,MIN(B1104*(1+C1104/12),IF(AND(704&lt;=$B$174,704&lt;=$B$173),B1104*C1104/12,IF(AND(704=$B$173+1,AND(704&gt;$B$173,$B$78="Refinance",ISNUMBER($B$80),$B$80&gt;=0,$B$80&lt;=1,ROUND($B$81*12,0)&gt;=1,$B$81&lt;=100,SUM($B$82)&gt;=0,SUM($B$82)&lt;=1,SUM($B$83)&gt;=0)),IF(B1104=0,0,IF(C1104=0,B1104/ROUND($B$81*12,0),B1104*(C1104/12)/(1-(1+C1104/12)^(-ROUND($B$81*12,0))))),IF(AND(NOT(AND(704&gt;$B$173,$B$78="Refinance",ISNUMBER($B$80),$B$80&gt;=0,$B$80&lt;=1,ROUND($B$81*12,0)&gt;=1,$B$81&lt;=100,SUM($B$82)&gt;=0,SUM($B$82)&lt;=1,SUM($B$83)&gt;=0)),OR(704=1,704=$B$174+1,AND($B$175&gt;0,704=$B$175+1))),IF(AND($B$170=1,$B$66&gt;0,OR($B$175=0,704&lt;=$B$175)),$B$66,IF($B$172-MAX(704-1,$B$174)&gt;0,IF(B1104=0,0,IF(C1104=0,B1104/($B$172-MAX(704-1,$B$174)),B1104*(C1104/12)/(1-(1+C1104/12)^(-($B$172-MAX(704-1,$B$174)))))),"")),D1103)))),""),""))</x:f>
        <x:v>0</x:v>
      </x:c>
      <x:c r="E1104" s="440" t="n">
        <x:f>IF(AND(704=$B$173,ISNUMBER(D1104)),IF(MAX(0,B1104*(1+C1104/12)-D1104)&lt;MAX(0.0000001,$E$17*0.00000000001),0,MAX(0,B1104*(1+C1104/12)-D1104)),0)</x:f>
        <x:v>0</x:v>
      </x:c>
      <x:c r="F1104" s="440" t="n">
        <x:f>IF($B$78="Cash payoff",E1104,0)</x:f>
        <x:v>0</x:v>
      </x:c>
      <x:c r="G1104" s="440" t="n">
        <x:f>IF(AND(E1104&gt;0,AND($B$78="Refinance",ISNUMBER($B$80),$B$80&gt;=0,$B$80&lt;=1,ROUND($B$81*12,0)&gt;=1,$B$81&lt;=100,SUM($B$82)&gt;=0,SUM($B$82)&lt;=1,SUM($B$83)&gt;=0)),E1104*SUM($B$82)+SUM($B$83),0)</x:f>
        <x:v>0</x:v>
      </x:c>
      <x:c r="H1104" s="440" t="n">
        <x:f>IF(ISNUMBER(D1104),IF(MAX(0,B1104*(1+C1104/12)-D1104-F1104)&lt;MAX(0.0000001,$E$17*0.00000000001),0,MAX(0,B1104*(1+C1104/12)-D1104-F1104)),IF(AND($B$171=1,I1103=1),B1104,""))</x:f>
        <x:v>0</x:v>
      </x:c>
      <x:c r="I1104" s="444" t="n">
        <x:f>IF(OR(I1103=1,AND(E1104&gt;0,$B$78&lt;&gt;"Cash payoff",NOT(AND($B$78="Refinance",ISNUMBER($B$80),$B$80&gt;=0,$B$80&lt;=1,ROUND($B$81*12,0)&gt;=1,$B$81&lt;=100,SUM($B$82)&gt;=0,SUM($B$82)&lt;=1,SUM($B$83)&gt;=0))),AND(ISNUMBER(B1104),B1104&gt;0,$B$171=1,NOT(ISNUMBER(D1104)))),1,0)</x:f>
        <x:v>0</x:v>
      </x:c>
      <x:c r="J1104" s="440" t="n">
        <x:f>IF(ISNUMBER(L1103),L1103,"")</x:f>
        <x:v>0</x:v>
      </x:c>
      <x:c r="K1104" s="440" t="n">
        <x:f>IF(AND(ISNUMBER(J1104),J1104=0),0,IF(AND($B$176=1,ISNUMBER(J1104)),MIN(J1104*(1+$B$87/12),IF($B$86=0,0,IF($B$87=0,$B$86/ROUND($B$88*12,0),$B$86*($B$87/12)/(1-(1+$B$87/12)^(-ROUND($B$88*12,0)))))),""))</x:f>
        <x:v>0</x:v>
      </x:c>
      <x:c r="L1104" s="440" t="n">
        <x:f>IF(ISNUMBER(K1104),IF(MAX(0,J1104*(1+SUM($B$87)/12)-K1104)&lt;MAX(0.0000001,$B$86*0.00000000001),0,MAX(0,J1104*(1+SUM($B$87)/12)-K1104)),"")</x:f>
        <x:v>0</x:v>
      </x:c>
      <x:c r="M1104" s="440" t="n">
        <x:f>IF(AND(ISNUMBER(D1104),ISNUMBER(K1104)),D1104+K1104,"")</x:f>
        <x:v>0</x:v>
      </x:c>
      <x:c r="N1104" s="440" t="n">
        <x:f>IF(AND(ISNUMBER(H1104),ISNUMBER(L1104)),H1104+L1104,"")</x:f>
        <x:v>0</x:v>
      </x:c>
    </x:row>
    <x:row r="1105" ht="22" customHeight="1">
      <x:c r="A1105" s="254" t="n">
        <x:f>705</x:f>
        <x:v>705</x:v>
      </x:c>
      <x:c r="B1105" s="440" t="n">
        <x:f>IF(ISNUMBER(H1104),H1104,"")</x:f>
        <x:v>0</x:v>
      </x:c>
      <x:c r="C1105" s="442" t="n">
        <x:f>IF(ISNUMBER(B1105),IF(AND(705&gt;$B$173,$B$78="Refinance",ISNUMBER($B$80),$B$80&gt;=0,$B$80&lt;=1,ROUND($B$81*12,0)&gt;=1,$B$81&lt;=100,SUM($B$82)&gt;=0,SUM($B$82)&lt;=1,SUM($B$83)&gt;=0),$B$80,IF(AND($B$175&gt;0,705&gt;$B$175,ISNUMBER($B$75)),$B$75,$B$61)),"")</x:f>
        <x:v>0.0625</x:v>
      </x:c>
      <x:c r="D1105" s="440" t="n">
        <x:f>IF(AND(ISNUMBER(B1105),B1105=0),0,IF(AND($B$171=1,I1104=0,ISNUMBER(C1105),ISNUMBER(IF(AND(705&lt;=$B$174,705&lt;=$B$173),B1105*C1105/12,IF(AND(705=$B$173+1,AND(705&gt;$B$173,$B$78="Refinance",ISNUMBER($B$80),$B$80&gt;=0,$B$80&lt;=1,ROUND($B$81*12,0)&gt;=1,$B$81&lt;=100,SUM($B$82)&gt;=0,SUM($B$82)&lt;=1,SUM($B$83)&gt;=0)),IF(B1105=0,0,IF(C1105=0,B1105/ROUND($B$81*12,0),B1105*(C1105/12)/(1-(1+C1105/12)^(-ROUND($B$81*12,0))))),IF(AND(NOT(AND(705&gt;$B$173,$B$78="Refinance",ISNUMBER($B$80),$B$80&gt;=0,$B$80&lt;=1,ROUND($B$81*12,0)&gt;=1,$B$81&lt;=100,SUM($B$82)&gt;=0,SUM($B$82)&lt;=1,SUM($B$83)&gt;=0)),OR(705=1,705=$B$174+1,AND($B$175&gt;0,705=$B$175+1))),IF(AND($B$170=1,$B$66&gt;0,OR($B$175=0,705&lt;=$B$175)),$B$66,IF($B$172-MAX(705-1,$B$174)&gt;0,IF(B1105=0,0,IF(C1105=0,B1105/($B$172-MAX(705-1,$B$174)),B1105*(C1105/12)/(1-(1+C1105/12)^(-($B$172-MAX(705-1,$B$174)))))),"")),D1104))))),IF(IF(AND(705&lt;=$B$174,705&lt;=$B$173),B1105*C1105/12,IF(AND(705=$B$173+1,AND(705&gt;$B$173,$B$78="Refinance",ISNUMBER($B$80),$B$80&gt;=0,$B$80&lt;=1,ROUND($B$81*12,0)&gt;=1,$B$81&lt;=100,SUM($B$82)&gt;=0,SUM($B$82)&lt;=1,SUM($B$83)&gt;=0)),IF(B1105=0,0,IF(C1105=0,B1105/ROUND($B$81*12,0),B1105*(C1105/12)/(1-(1+C1105/12)^(-ROUND($B$81*12,0))))),IF(AND(NOT(AND(705&gt;$B$173,$B$78="Refinance",ISNUMBER($B$80),$B$80&gt;=0,$B$80&lt;=1,ROUND($B$81*12,0)&gt;=1,$B$81&lt;=100,SUM($B$82)&gt;=0,SUM($B$82)&lt;=1,SUM($B$83)&gt;=0)),OR(705=1,705=$B$174+1,AND($B$175&gt;0,705=$B$175+1))),IF(AND($B$170=1,$B$66&gt;0,OR($B$175=0,705&lt;=$B$175)),$B$66,IF($B$172-MAX(705-1,$B$174)&gt;0,IF(B1105=0,0,IF(C1105=0,B1105/($B$172-MAX(705-1,$B$174)),B1105*(C1105/12)/(1-(1+C1105/12)^(-($B$172-MAX(705-1,$B$174)))))),"")),D1104)))+0.0000001&gt;=B1105*C1105/12,MIN(B1105*(1+C1105/12),IF(AND(705&lt;=$B$174,705&lt;=$B$173),B1105*C1105/12,IF(AND(705=$B$173+1,AND(705&gt;$B$173,$B$78="Refinance",ISNUMBER($B$80),$B$80&gt;=0,$B$80&lt;=1,ROUND($B$81*12,0)&gt;=1,$B$81&lt;=100,SUM($B$82)&gt;=0,SUM($B$82)&lt;=1,SUM($B$83)&gt;=0)),IF(B1105=0,0,IF(C1105=0,B1105/ROUND($B$81*12,0),B1105*(C1105/12)/(1-(1+C1105/12)^(-ROUND($B$81*12,0))))),IF(AND(NOT(AND(705&gt;$B$173,$B$78="Refinance",ISNUMBER($B$80),$B$80&gt;=0,$B$80&lt;=1,ROUND($B$81*12,0)&gt;=1,$B$81&lt;=100,SUM($B$82)&gt;=0,SUM($B$82)&lt;=1,SUM($B$83)&gt;=0)),OR(705=1,705=$B$174+1,AND($B$175&gt;0,705=$B$175+1))),IF(AND($B$170=1,$B$66&gt;0,OR($B$175=0,705&lt;=$B$175)),$B$66,IF($B$172-MAX(705-1,$B$174)&gt;0,IF(B1105=0,0,IF(C1105=0,B1105/($B$172-MAX(705-1,$B$174)),B1105*(C1105/12)/(1-(1+C1105/12)^(-($B$172-MAX(705-1,$B$174)))))),"")),D1104)))),""),""))</x:f>
        <x:v>0</x:v>
      </x:c>
      <x:c r="E1105" s="440" t="n">
        <x:f>IF(AND(705=$B$173,ISNUMBER(D1105)),IF(MAX(0,B1105*(1+C1105/12)-D1105)&lt;MAX(0.0000001,$E$17*0.00000000001),0,MAX(0,B1105*(1+C1105/12)-D1105)),0)</x:f>
        <x:v>0</x:v>
      </x:c>
      <x:c r="F1105" s="440" t="n">
        <x:f>IF($B$78="Cash payoff",E1105,0)</x:f>
        <x:v>0</x:v>
      </x:c>
      <x:c r="G1105" s="440" t="n">
        <x:f>IF(AND(E1105&gt;0,AND($B$78="Refinance",ISNUMBER($B$80),$B$80&gt;=0,$B$80&lt;=1,ROUND($B$81*12,0)&gt;=1,$B$81&lt;=100,SUM($B$82)&gt;=0,SUM($B$82)&lt;=1,SUM($B$83)&gt;=0)),E1105*SUM($B$82)+SUM($B$83),0)</x:f>
        <x:v>0</x:v>
      </x:c>
      <x:c r="H1105" s="440" t="n">
        <x:f>IF(ISNUMBER(D1105),IF(MAX(0,B1105*(1+C1105/12)-D1105-F1105)&lt;MAX(0.0000001,$E$17*0.00000000001),0,MAX(0,B1105*(1+C1105/12)-D1105-F1105)),IF(AND($B$171=1,I1104=1),B1105,""))</x:f>
        <x:v>0</x:v>
      </x:c>
      <x:c r="I1105" s="444" t="n">
        <x:f>IF(OR(I1104=1,AND(E1105&gt;0,$B$78&lt;&gt;"Cash payoff",NOT(AND($B$78="Refinance",ISNUMBER($B$80),$B$80&gt;=0,$B$80&lt;=1,ROUND($B$81*12,0)&gt;=1,$B$81&lt;=100,SUM($B$82)&gt;=0,SUM($B$82)&lt;=1,SUM($B$83)&gt;=0))),AND(ISNUMBER(B1105),B1105&gt;0,$B$171=1,NOT(ISNUMBER(D1105)))),1,0)</x:f>
        <x:v>0</x:v>
      </x:c>
      <x:c r="J1105" s="440" t="n">
        <x:f>IF(ISNUMBER(L1104),L1104,"")</x:f>
        <x:v>0</x:v>
      </x:c>
      <x:c r="K1105" s="440" t="n">
        <x:f>IF(AND(ISNUMBER(J1105),J1105=0),0,IF(AND($B$176=1,ISNUMBER(J1105)),MIN(J1105*(1+$B$87/12),IF($B$86=0,0,IF($B$87=0,$B$86/ROUND($B$88*12,0),$B$86*($B$87/12)/(1-(1+$B$87/12)^(-ROUND($B$88*12,0)))))),""))</x:f>
        <x:v>0</x:v>
      </x:c>
      <x:c r="L1105" s="440" t="n">
        <x:f>IF(ISNUMBER(K1105),IF(MAX(0,J1105*(1+SUM($B$87)/12)-K1105)&lt;MAX(0.0000001,$B$86*0.00000000001),0,MAX(0,J1105*(1+SUM($B$87)/12)-K1105)),"")</x:f>
        <x:v>0</x:v>
      </x:c>
      <x:c r="M1105" s="440" t="n">
        <x:f>IF(AND(ISNUMBER(D1105),ISNUMBER(K1105)),D1105+K1105,"")</x:f>
        <x:v>0</x:v>
      </x:c>
      <x:c r="N1105" s="440" t="n">
        <x:f>IF(AND(ISNUMBER(H1105),ISNUMBER(L1105)),H1105+L1105,"")</x:f>
        <x:v>0</x:v>
      </x:c>
    </x:row>
    <x:row r="1106" ht="22" customHeight="1">
      <x:c r="A1106" s="254" t="n">
        <x:f>706</x:f>
        <x:v>706</x:v>
      </x:c>
      <x:c r="B1106" s="440" t="n">
        <x:f>IF(ISNUMBER(H1105),H1105,"")</x:f>
        <x:v>0</x:v>
      </x:c>
      <x:c r="C1106" s="442" t="n">
        <x:f>IF(ISNUMBER(B1106),IF(AND(706&gt;$B$173,$B$78="Refinance",ISNUMBER($B$80),$B$80&gt;=0,$B$80&lt;=1,ROUND($B$81*12,0)&gt;=1,$B$81&lt;=100,SUM($B$82)&gt;=0,SUM($B$82)&lt;=1,SUM($B$83)&gt;=0),$B$80,IF(AND($B$175&gt;0,706&gt;$B$175,ISNUMBER($B$75)),$B$75,$B$61)),"")</x:f>
        <x:v>0.0625</x:v>
      </x:c>
      <x:c r="D1106" s="440" t="n">
        <x:f>IF(AND(ISNUMBER(B1106),B1106=0),0,IF(AND($B$171=1,I1105=0,ISNUMBER(C1106),ISNUMBER(IF(AND(706&lt;=$B$174,706&lt;=$B$173),B1106*C1106/12,IF(AND(706=$B$173+1,AND(706&gt;$B$173,$B$78="Refinance",ISNUMBER($B$80),$B$80&gt;=0,$B$80&lt;=1,ROUND($B$81*12,0)&gt;=1,$B$81&lt;=100,SUM($B$82)&gt;=0,SUM($B$82)&lt;=1,SUM($B$83)&gt;=0)),IF(B1106=0,0,IF(C1106=0,B1106/ROUND($B$81*12,0),B1106*(C1106/12)/(1-(1+C1106/12)^(-ROUND($B$81*12,0))))),IF(AND(NOT(AND(706&gt;$B$173,$B$78="Refinance",ISNUMBER($B$80),$B$80&gt;=0,$B$80&lt;=1,ROUND($B$81*12,0)&gt;=1,$B$81&lt;=100,SUM($B$82)&gt;=0,SUM($B$82)&lt;=1,SUM($B$83)&gt;=0)),OR(706=1,706=$B$174+1,AND($B$175&gt;0,706=$B$175+1))),IF(AND($B$170=1,$B$66&gt;0,OR($B$175=0,706&lt;=$B$175)),$B$66,IF($B$172-MAX(706-1,$B$174)&gt;0,IF(B1106=0,0,IF(C1106=0,B1106/($B$172-MAX(706-1,$B$174)),B1106*(C1106/12)/(1-(1+C1106/12)^(-($B$172-MAX(706-1,$B$174)))))),"")),D1105))))),IF(IF(AND(706&lt;=$B$174,706&lt;=$B$173),B1106*C1106/12,IF(AND(706=$B$173+1,AND(706&gt;$B$173,$B$78="Refinance",ISNUMBER($B$80),$B$80&gt;=0,$B$80&lt;=1,ROUND($B$81*12,0)&gt;=1,$B$81&lt;=100,SUM($B$82)&gt;=0,SUM($B$82)&lt;=1,SUM($B$83)&gt;=0)),IF(B1106=0,0,IF(C1106=0,B1106/ROUND($B$81*12,0),B1106*(C1106/12)/(1-(1+C1106/12)^(-ROUND($B$81*12,0))))),IF(AND(NOT(AND(706&gt;$B$173,$B$78="Refinance",ISNUMBER($B$80),$B$80&gt;=0,$B$80&lt;=1,ROUND($B$81*12,0)&gt;=1,$B$81&lt;=100,SUM($B$82)&gt;=0,SUM($B$82)&lt;=1,SUM($B$83)&gt;=0)),OR(706=1,706=$B$174+1,AND($B$175&gt;0,706=$B$175+1))),IF(AND($B$170=1,$B$66&gt;0,OR($B$175=0,706&lt;=$B$175)),$B$66,IF($B$172-MAX(706-1,$B$174)&gt;0,IF(B1106=0,0,IF(C1106=0,B1106/($B$172-MAX(706-1,$B$174)),B1106*(C1106/12)/(1-(1+C1106/12)^(-($B$172-MAX(706-1,$B$174)))))),"")),D1105)))+0.0000001&gt;=B1106*C1106/12,MIN(B1106*(1+C1106/12),IF(AND(706&lt;=$B$174,706&lt;=$B$173),B1106*C1106/12,IF(AND(706=$B$173+1,AND(706&gt;$B$173,$B$78="Refinance",ISNUMBER($B$80),$B$80&gt;=0,$B$80&lt;=1,ROUND($B$81*12,0)&gt;=1,$B$81&lt;=100,SUM($B$82)&gt;=0,SUM($B$82)&lt;=1,SUM($B$83)&gt;=0)),IF(B1106=0,0,IF(C1106=0,B1106/ROUND($B$81*12,0),B1106*(C1106/12)/(1-(1+C1106/12)^(-ROUND($B$81*12,0))))),IF(AND(NOT(AND(706&gt;$B$173,$B$78="Refinance",ISNUMBER($B$80),$B$80&gt;=0,$B$80&lt;=1,ROUND($B$81*12,0)&gt;=1,$B$81&lt;=100,SUM($B$82)&gt;=0,SUM($B$82)&lt;=1,SUM($B$83)&gt;=0)),OR(706=1,706=$B$174+1,AND($B$175&gt;0,706=$B$175+1))),IF(AND($B$170=1,$B$66&gt;0,OR($B$175=0,706&lt;=$B$175)),$B$66,IF($B$172-MAX(706-1,$B$174)&gt;0,IF(B1106=0,0,IF(C1106=0,B1106/($B$172-MAX(706-1,$B$174)),B1106*(C1106/12)/(1-(1+C1106/12)^(-($B$172-MAX(706-1,$B$174)))))),"")),D1105)))),""),""))</x:f>
        <x:v>0</x:v>
      </x:c>
      <x:c r="E1106" s="440" t="n">
        <x:f>IF(AND(706=$B$173,ISNUMBER(D1106)),IF(MAX(0,B1106*(1+C1106/12)-D1106)&lt;MAX(0.0000001,$E$17*0.00000000001),0,MAX(0,B1106*(1+C1106/12)-D1106)),0)</x:f>
        <x:v>0</x:v>
      </x:c>
      <x:c r="F1106" s="440" t="n">
        <x:f>IF($B$78="Cash payoff",E1106,0)</x:f>
        <x:v>0</x:v>
      </x:c>
      <x:c r="G1106" s="440" t="n">
        <x:f>IF(AND(E1106&gt;0,AND($B$78="Refinance",ISNUMBER($B$80),$B$80&gt;=0,$B$80&lt;=1,ROUND($B$81*12,0)&gt;=1,$B$81&lt;=100,SUM($B$82)&gt;=0,SUM($B$82)&lt;=1,SUM($B$83)&gt;=0)),E1106*SUM($B$82)+SUM($B$83),0)</x:f>
        <x:v>0</x:v>
      </x:c>
      <x:c r="H1106" s="440" t="n">
        <x:f>IF(ISNUMBER(D1106),IF(MAX(0,B1106*(1+C1106/12)-D1106-F1106)&lt;MAX(0.0000001,$E$17*0.00000000001),0,MAX(0,B1106*(1+C1106/12)-D1106-F1106)),IF(AND($B$171=1,I1105=1),B1106,""))</x:f>
        <x:v>0</x:v>
      </x:c>
      <x:c r="I1106" s="444" t="n">
        <x:f>IF(OR(I1105=1,AND(E1106&gt;0,$B$78&lt;&gt;"Cash payoff",NOT(AND($B$78="Refinance",ISNUMBER($B$80),$B$80&gt;=0,$B$80&lt;=1,ROUND($B$81*12,0)&gt;=1,$B$81&lt;=100,SUM($B$82)&gt;=0,SUM($B$82)&lt;=1,SUM($B$83)&gt;=0))),AND(ISNUMBER(B1106),B1106&gt;0,$B$171=1,NOT(ISNUMBER(D1106)))),1,0)</x:f>
        <x:v>0</x:v>
      </x:c>
      <x:c r="J1106" s="440" t="n">
        <x:f>IF(ISNUMBER(L1105),L1105,"")</x:f>
        <x:v>0</x:v>
      </x:c>
      <x:c r="K1106" s="440" t="n">
        <x:f>IF(AND(ISNUMBER(J1106),J1106=0),0,IF(AND($B$176=1,ISNUMBER(J1106)),MIN(J1106*(1+$B$87/12),IF($B$86=0,0,IF($B$87=0,$B$86/ROUND($B$88*12,0),$B$86*($B$87/12)/(1-(1+$B$87/12)^(-ROUND($B$88*12,0)))))),""))</x:f>
        <x:v>0</x:v>
      </x:c>
      <x:c r="L1106" s="440" t="n">
        <x:f>IF(ISNUMBER(K1106),IF(MAX(0,J1106*(1+SUM($B$87)/12)-K1106)&lt;MAX(0.0000001,$B$86*0.00000000001),0,MAX(0,J1106*(1+SUM($B$87)/12)-K1106)),"")</x:f>
        <x:v>0</x:v>
      </x:c>
      <x:c r="M1106" s="440" t="n">
        <x:f>IF(AND(ISNUMBER(D1106),ISNUMBER(K1106)),D1106+K1106,"")</x:f>
        <x:v>0</x:v>
      </x:c>
      <x:c r="N1106" s="440" t="n">
        <x:f>IF(AND(ISNUMBER(H1106),ISNUMBER(L1106)),H1106+L1106,"")</x:f>
        <x:v>0</x:v>
      </x:c>
    </x:row>
    <x:row r="1107" ht="22" customHeight="1">
      <x:c r="A1107" s="254" t="n">
        <x:f>707</x:f>
        <x:v>707</x:v>
      </x:c>
      <x:c r="B1107" s="440" t="n">
        <x:f>IF(ISNUMBER(H1106),H1106,"")</x:f>
        <x:v>0</x:v>
      </x:c>
      <x:c r="C1107" s="442" t="n">
        <x:f>IF(ISNUMBER(B1107),IF(AND(707&gt;$B$173,$B$78="Refinance",ISNUMBER($B$80),$B$80&gt;=0,$B$80&lt;=1,ROUND($B$81*12,0)&gt;=1,$B$81&lt;=100,SUM($B$82)&gt;=0,SUM($B$82)&lt;=1,SUM($B$83)&gt;=0),$B$80,IF(AND($B$175&gt;0,707&gt;$B$175,ISNUMBER($B$75)),$B$75,$B$61)),"")</x:f>
        <x:v>0.0625</x:v>
      </x:c>
      <x:c r="D1107" s="440" t="n">
        <x:f>IF(AND(ISNUMBER(B1107),B1107=0),0,IF(AND($B$171=1,I1106=0,ISNUMBER(C1107),ISNUMBER(IF(AND(707&lt;=$B$174,707&lt;=$B$173),B1107*C1107/12,IF(AND(707=$B$173+1,AND(707&gt;$B$173,$B$78="Refinance",ISNUMBER($B$80),$B$80&gt;=0,$B$80&lt;=1,ROUND($B$81*12,0)&gt;=1,$B$81&lt;=100,SUM($B$82)&gt;=0,SUM($B$82)&lt;=1,SUM($B$83)&gt;=0)),IF(B1107=0,0,IF(C1107=0,B1107/ROUND($B$81*12,0),B1107*(C1107/12)/(1-(1+C1107/12)^(-ROUND($B$81*12,0))))),IF(AND(NOT(AND(707&gt;$B$173,$B$78="Refinance",ISNUMBER($B$80),$B$80&gt;=0,$B$80&lt;=1,ROUND($B$81*12,0)&gt;=1,$B$81&lt;=100,SUM($B$82)&gt;=0,SUM($B$82)&lt;=1,SUM($B$83)&gt;=0)),OR(707=1,707=$B$174+1,AND($B$175&gt;0,707=$B$175+1))),IF(AND($B$170=1,$B$66&gt;0,OR($B$175=0,707&lt;=$B$175)),$B$66,IF($B$172-MAX(707-1,$B$174)&gt;0,IF(B1107=0,0,IF(C1107=0,B1107/($B$172-MAX(707-1,$B$174)),B1107*(C1107/12)/(1-(1+C1107/12)^(-($B$172-MAX(707-1,$B$174)))))),"")),D1106))))),IF(IF(AND(707&lt;=$B$174,707&lt;=$B$173),B1107*C1107/12,IF(AND(707=$B$173+1,AND(707&gt;$B$173,$B$78="Refinance",ISNUMBER($B$80),$B$80&gt;=0,$B$80&lt;=1,ROUND($B$81*12,0)&gt;=1,$B$81&lt;=100,SUM($B$82)&gt;=0,SUM($B$82)&lt;=1,SUM($B$83)&gt;=0)),IF(B1107=0,0,IF(C1107=0,B1107/ROUND($B$81*12,0),B1107*(C1107/12)/(1-(1+C1107/12)^(-ROUND($B$81*12,0))))),IF(AND(NOT(AND(707&gt;$B$173,$B$78="Refinance",ISNUMBER($B$80),$B$80&gt;=0,$B$80&lt;=1,ROUND($B$81*12,0)&gt;=1,$B$81&lt;=100,SUM($B$82)&gt;=0,SUM($B$82)&lt;=1,SUM($B$83)&gt;=0)),OR(707=1,707=$B$174+1,AND($B$175&gt;0,707=$B$175+1))),IF(AND($B$170=1,$B$66&gt;0,OR($B$175=0,707&lt;=$B$175)),$B$66,IF($B$172-MAX(707-1,$B$174)&gt;0,IF(B1107=0,0,IF(C1107=0,B1107/($B$172-MAX(707-1,$B$174)),B1107*(C1107/12)/(1-(1+C1107/12)^(-($B$172-MAX(707-1,$B$174)))))),"")),D1106)))+0.0000001&gt;=B1107*C1107/12,MIN(B1107*(1+C1107/12),IF(AND(707&lt;=$B$174,707&lt;=$B$173),B1107*C1107/12,IF(AND(707=$B$173+1,AND(707&gt;$B$173,$B$78="Refinance",ISNUMBER($B$80),$B$80&gt;=0,$B$80&lt;=1,ROUND($B$81*12,0)&gt;=1,$B$81&lt;=100,SUM($B$82)&gt;=0,SUM($B$82)&lt;=1,SUM($B$83)&gt;=0)),IF(B1107=0,0,IF(C1107=0,B1107/ROUND($B$81*12,0),B1107*(C1107/12)/(1-(1+C1107/12)^(-ROUND($B$81*12,0))))),IF(AND(NOT(AND(707&gt;$B$173,$B$78="Refinance",ISNUMBER($B$80),$B$80&gt;=0,$B$80&lt;=1,ROUND($B$81*12,0)&gt;=1,$B$81&lt;=100,SUM($B$82)&gt;=0,SUM($B$82)&lt;=1,SUM($B$83)&gt;=0)),OR(707=1,707=$B$174+1,AND($B$175&gt;0,707=$B$175+1))),IF(AND($B$170=1,$B$66&gt;0,OR($B$175=0,707&lt;=$B$175)),$B$66,IF($B$172-MAX(707-1,$B$174)&gt;0,IF(B1107=0,0,IF(C1107=0,B1107/($B$172-MAX(707-1,$B$174)),B1107*(C1107/12)/(1-(1+C1107/12)^(-($B$172-MAX(707-1,$B$174)))))),"")),D1106)))),""),""))</x:f>
        <x:v>0</x:v>
      </x:c>
      <x:c r="E1107" s="440" t="n">
        <x:f>IF(AND(707=$B$173,ISNUMBER(D1107)),IF(MAX(0,B1107*(1+C1107/12)-D1107)&lt;MAX(0.0000001,$E$17*0.00000000001),0,MAX(0,B1107*(1+C1107/12)-D1107)),0)</x:f>
        <x:v>0</x:v>
      </x:c>
      <x:c r="F1107" s="440" t="n">
        <x:f>IF($B$78="Cash payoff",E1107,0)</x:f>
        <x:v>0</x:v>
      </x:c>
      <x:c r="G1107" s="440" t="n">
        <x:f>IF(AND(E1107&gt;0,AND($B$78="Refinance",ISNUMBER($B$80),$B$80&gt;=0,$B$80&lt;=1,ROUND($B$81*12,0)&gt;=1,$B$81&lt;=100,SUM($B$82)&gt;=0,SUM($B$82)&lt;=1,SUM($B$83)&gt;=0)),E1107*SUM($B$82)+SUM($B$83),0)</x:f>
        <x:v>0</x:v>
      </x:c>
      <x:c r="H1107" s="440" t="n">
        <x:f>IF(ISNUMBER(D1107),IF(MAX(0,B1107*(1+C1107/12)-D1107-F1107)&lt;MAX(0.0000001,$E$17*0.00000000001),0,MAX(0,B1107*(1+C1107/12)-D1107-F1107)),IF(AND($B$171=1,I1106=1),B1107,""))</x:f>
        <x:v>0</x:v>
      </x:c>
      <x:c r="I1107" s="444" t="n">
        <x:f>IF(OR(I1106=1,AND(E1107&gt;0,$B$78&lt;&gt;"Cash payoff",NOT(AND($B$78="Refinance",ISNUMBER($B$80),$B$80&gt;=0,$B$80&lt;=1,ROUND($B$81*12,0)&gt;=1,$B$81&lt;=100,SUM($B$82)&gt;=0,SUM($B$82)&lt;=1,SUM($B$83)&gt;=0))),AND(ISNUMBER(B1107),B1107&gt;0,$B$171=1,NOT(ISNUMBER(D1107)))),1,0)</x:f>
        <x:v>0</x:v>
      </x:c>
      <x:c r="J1107" s="440" t="n">
        <x:f>IF(ISNUMBER(L1106),L1106,"")</x:f>
        <x:v>0</x:v>
      </x:c>
      <x:c r="K1107" s="440" t="n">
        <x:f>IF(AND(ISNUMBER(J1107),J1107=0),0,IF(AND($B$176=1,ISNUMBER(J1107)),MIN(J1107*(1+$B$87/12),IF($B$86=0,0,IF($B$87=0,$B$86/ROUND($B$88*12,0),$B$86*($B$87/12)/(1-(1+$B$87/12)^(-ROUND($B$88*12,0)))))),""))</x:f>
        <x:v>0</x:v>
      </x:c>
      <x:c r="L1107" s="440" t="n">
        <x:f>IF(ISNUMBER(K1107),IF(MAX(0,J1107*(1+SUM($B$87)/12)-K1107)&lt;MAX(0.0000001,$B$86*0.00000000001),0,MAX(0,J1107*(1+SUM($B$87)/12)-K1107)),"")</x:f>
        <x:v>0</x:v>
      </x:c>
      <x:c r="M1107" s="440" t="n">
        <x:f>IF(AND(ISNUMBER(D1107),ISNUMBER(K1107)),D1107+K1107,"")</x:f>
        <x:v>0</x:v>
      </x:c>
      <x:c r="N1107" s="440" t="n">
        <x:f>IF(AND(ISNUMBER(H1107),ISNUMBER(L1107)),H1107+L1107,"")</x:f>
        <x:v>0</x:v>
      </x:c>
    </x:row>
    <x:row r="1108" ht="22" customHeight="1">
      <x:c r="A1108" s="254" t="n">
        <x:f>708</x:f>
        <x:v>708</x:v>
      </x:c>
      <x:c r="B1108" s="440" t="n">
        <x:f>IF(ISNUMBER(H1107),H1107,"")</x:f>
        <x:v>0</x:v>
      </x:c>
      <x:c r="C1108" s="442" t="n">
        <x:f>IF(ISNUMBER(B1108),IF(AND(708&gt;$B$173,$B$78="Refinance",ISNUMBER($B$80),$B$80&gt;=0,$B$80&lt;=1,ROUND($B$81*12,0)&gt;=1,$B$81&lt;=100,SUM($B$82)&gt;=0,SUM($B$82)&lt;=1,SUM($B$83)&gt;=0),$B$80,IF(AND($B$175&gt;0,708&gt;$B$175,ISNUMBER($B$75)),$B$75,$B$61)),"")</x:f>
        <x:v>0.0625</x:v>
      </x:c>
      <x:c r="D1108" s="440" t="n">
        <x:f>IF(AND(ISNUMBER(B1108),B1108=0),0,IF(AND($B$171=1,I1107=0,ISNUMBER(C1108),ISNUMBER(IF(AND(708&lt;=$B$174,708&lt;=$B$173),B1108*C1108/12,IF(AND(708=$B$173+1,AND(708&gt;$B$173,$B$78="Refinance",ISNUMBER($B$80),$B$80&gt;=0,$B$80&lt;=1,ROUND($B$81*12,0)&gt;=1,$B$81&lt;=100,SUM($B$82)&gt;=0,SUM($B$82)&lt;=1,SUM($B$83)&gt;=0)),IF(B1108=0,0,IF(C1108=0,B1108/ROUND($B$81*12,0),B1108*(C1108/12)/(1-(1+C1108/12)^(-ROUND($B$81*12,0))))),IF(AND(NOT(AND(708&gt;$B$173,$B$78="Refinance",ISNUMBER($B$80),$B$80&gt;=0,$B$80&lt;=1,ROUND($B$81*12,0)&gt;=1,$B$81&lt;=100,SUM($B$82)&gt;=0,SUM($B$82)&lt;=1,SUM($B$83)&gt;=0)),OR(708=1,708=$B$174+1,AND($B$175&gt;0,708=$B$175+1))),IF(AND($B$170=1,$B$66&gt;0,OR($B$175=0,708&lt;=$B$175)),$B$66,IF($B$172-MAX(708-1,$B$174)&gt;0,IF(B1108=0,0,IF(C1108=0,B1108/($B$172-MAX(708-1,$B$174)),B1108*(C1108/12)/(1-(1+C1108/12)^(-($B$172-MAX(708-1,$B$174)))))),"")),D1107))))),IF(IF(AND(708&lt;=$B$174,708&lt;=$B$173),B1108*C1108/12,IF(AND(708=$B$173+1,AND(708&gt;$B$173,$B$78="Refinance",ISNUMBER($B$80),$B$80&gt;=0,$B$80&lt;=1,ROUND($B$81*12,0)&gt;=1,$B$81&lt;=100,SUM($B$82)&gt;=0,SUM($B$82)&lt;=1,SUM($B$83)&gt;=0)),IF(B1108=0,0,IF(C1108=0,B1108/ROUND($B$81*12,0),B1108*(C1108/12)/(1-(1+C1108/12)^(-ROUND($B$81*12,0))))),IF(AND(NOT(AND(708&gt;$B$173,$B$78="Refinance",ISNUMBER($B$80),$B$80&gt;=0,$B$80&lt;=1,ROUND($B$81*12,0)&gt;=1,$B$81&lt;=100,SUM($B$82)&gt;=0,SUM($B$82)&lt;=1,SUM($B$83)&gt;=0)),OR(708=1,708=$B$174+1,AND($B$175&gt;0,708=$B$175+1))),IF(AND($B$170=1,$B$66&gt;0,OR($B$175=0,708&lt;=$B$175)),$B$66,IF($B$172-MAX(708-1,$B$174)&gt;0,IF(B1108=0,0,IF(C1108=0,B1108/($B$172-MAX(708-1,$B$174)),B1108*(C1108/12)/(1-(1+C1108/12)^(-($B$172-MAX(708-1,$B$174)))))),"")),D1107)))+0.0000001&gt;=B1108*C1108/12,MIN(B1108*(1+C1108/12),IF(AND(708&lt;=$B$174,708&lt;=$B$173),B1108*C1108/12,IF(AND(708=$B$173+1,AND(708&gt;$B$173,$B$78="Refinance",ISNUMBER($B$80),$B$80&gt;=0,$B$80&lt;=1,ROUND($B$81*12,0)&gt;=1,$B$81&lt;=100,SUM($B$82)&gt;=0,SUM($B$82)&lt;=1,SUM($B$83)&gt;=0)),IF(B1108=0,0,IF(C1108=0,B1108/ROUND($B$81*12,0),B1108*(C1108/12)/(1-(1+C1108/12)^(-ROUND($B$81*12,0))))),IF(AND(NOT(AND(708&gt;$B$173,$B$78="Refinance",ISNUMBER($B$80),$B$80&gt;=0,$B$80&lt;=1,ROUND($B$81*12,0)&gt;=1,$B$81&lt;=100,SUM($B$82)&gt;=0,SUM($B$82)&lt;=1,SUM($B$83)&gt;=0)),OR(708=1,708=$B$174+1,AND($B$175&gt;0,708=$B$175+1))),IF(AND($B$170=1,$B$66&gt;0,OR($B$175=0,708&lt;=$B$175)),$B$66,IF($B$172-MAX(708-1,$B$174)&gt;0,IF(B1108=0,0,IF(C1108=0,B1108/($B$172-MAX(708-1,$B$174)),B1108*(C1108/12)/(1-(1+C1108/12)^(-($B$172-MAX(708-1,$B$174)))))),"")),D1107)))),""),""))</x:f>
        <x:v>0</x:v>
      </x:c>
      <x:c r="E1108" s="440" t="n">
        <x:f>IF(AND(708=$B$173,ISNUMBER(D1108)),IF(MAX(0,B1108*(1+C1108/12)-D1108)&lt;MAX(0.0000001,$E$17*0.00000000001),0,MAX(0,B1108*(1+C1108/12)-D1108)),0)</x:f>
        <x:v>0</x:v>
      </x:c>
      <x:c r="F1108" s="440" t="n">
        <x:f>IF($B$78="Cash payoff",E1108,0)</x:f>
        <x:v>0</x:v>
      </x:c>
      <x:c r="G1108" s="440" t="n">
        <x:f>IF(AND(E1108&gt;0,AND($B$78="Refinance",ISNUMBER($B$80),$B$80&gt;=0,$B$80&lt;=1,ROUND($B$81*12,0)&gt;=1,$B$81&lt;=100,SUM($B$82)&gt;=0,SUM($B$82)&lt;=1,SUM($B$83)&gt;=0)),E1108*SUM($B$82)+SUM($B$83),0)</x:f>
        <x:v>0</x:v>
      </x:c>
      <x:c r="H1108" s="440" t="n">
        <x:f>IF(ISNUMBER(D1108),IF(MAX(0,B1108*(1+C1108/12)-D1108-F1108)&lt;MAX(0.0000001,$E$17*0.00000000001),0,MAX(0,B1108*(1+C1108/12)-D1108-F1108)),IF(AND($B$171=1,I1107=1),B1108,""))</x:f>
        <x:v>0</x:v>
      </x:c>
      <x:c r="I1108" s="444" t="n">
        <x:f>IF(OR(I1107=1,AND(E1108&gt;0,$B$78&lt;&gt;"Cash payoff",NOT(AND($B$78="Refinance",ISNUMBER($B$80),$B$80&gt;=0,$B$80&lt;=1,ROUND($B$81*12,0)&gt;=1,$B$81&lt;=100,SUM($B$82)&gt;=0,SUM($B$82)&lt;=1,SUM($B$83)&gt;=0))),AND(ISNUMBER(B1108),B1108&gt;0,$B$171=1,NOT(ISNUMBER(D1108)))),1,0)</x:f>
        <x:v>0</x:v>
      </x:c>
      <x:c r="J1108" s="440" t="n">
        <x:f>IF(ISNUMBER(L1107),L1107,"")</x:f>
        <x:v>0</x:v>
      </x:c>
      <x:c r="K1108" s="440" t="n">
        <x:f>IF(AND(ISNUMBER(J1108),J1108=0),0,IF(AND($B$176=1,ISNUMBER(J1108)),MIN(J1108*(1+$B$87/12),IF($B$86=0,0,IF($B$87=0,$B$86/ROUND($B$88*12,0),$B$86*($B$87/12)/(1-(1+$B$87/12)^(-ROUND($B$88*12,0)))))),""))</x:f>
        <x:v>0</x:v>
      </x:c>
      <x:c r="L1108" s="440" t="n">
        <x:f>IF(ISNUMBER(K1108),IF(MAX(0,J1108*(1+SUM($B$87)/12)-K1108)&lt;MAX(0.0000001,$B$86*0.00000000001),0,MAX(0,J1108*(1+SUM($B$87)/12)-K1108)),"")</x:f>
        <x:v>0</x:v>
      </x:c>
      <x:c r="M1108" s="440" t="n">
        <x:f>IF(AND(ISNUMBER(D1108),ISNUMBER(K1108)),D1108+K1108,"")</x:f>
        <x:v>0</x:v>
      </x:c>
      <x:c r="N1108" s="440" t="n">
        <x:f>IF(AND(ISNUMBER(H1108),ISNUMBER(L1108)),H1108+L1108,"")</x:f>
        <x:v>0</x:v>
      </x:c>
    </x:row>
    <x:row r="1109" ht="22" customHeight="1">
      <x:c r="A1109" s="254" t="n">
        <x:f>709</x:f>
        <x:v>709</x:v>
      </x:c>
      <x:c r="B1109" s="440" t="n">
        <x:f>IF(ISNUMBER(H1108),H1108,"")</x:f>
        <x:v>0</x:v>
      </x:c>
      <x:c r="C1109" s="442" t="n">
        <x:f>IF(ISNUMBER(B1109),IF(AND(709&gt;$B$173,$B$78="Refinance",ISNUMBER($B$80),$B$80&gt;=0,$B$80&lt;=1,ROUND($B$81*12,0)&gt;=1,$B$81&lt;=100,SUM($B$82)&gt;=0,SUM($B$82)&lt;=1,SUM($B$83)&gt;=0),$B$80,IF(AND($B$175&gt;0,709&gt;$B$175,ISNUMBER($B$75)),$B$75,$B$61)),"")</x:f>
        <x:v>0.0625</x:v>
      </x:c>
      <x:c r="D1109" s="440" t="n">
        <x:f>IF(AND(ISNUMBER(B1109),B1109=0),0,IF(AND($B$171=1,I1108=0,ISNUMBER(C1109),ISNUMBER(IF(AND(709&lt;=$B$174,709&lt;=$B$173),B1109*C1109/12,IF(AND(709=$B$173+1,AND(709&gt;$B$173,$B$78="Refinance",ISNUMBER($B$80),$B$80&gt;=0,$B$80&lt;=1,ROUND($B$81*12,0)&gt;=1,$B$81&lt;=100,SUM($B$82)&gt;=0,SUM($B$82)&lt;=1,SUM($B$83)&gt;=0)),IF(B1109=0,0,IF(C1109=0,B1109/ROUND($B$81*12,0),B1109*(C1109/12)/(1-(1+C1109/12)^(-ROUND($B$81*12,0))))),IF(AND(NOT(AND(709&gt;$B$173,$B$78="Refinance",ISNUMBER($B$80),$B$80&gt;=0,$B$80&lt;=1,ROUND($B$81*12,0)&gt;=1,$B$81&lt;=100,SUM($B$82)&gt;=0,SUM($B$82)&lt;=1,SUM($B$83)&gt;=0)),OR(709=1,709=$B$174+1,AND($B$175&gt;0,709=$B$175+1))),IF(AND($B$170=1,$B$66&gt;0,OR($B$175=0,709&lt;=$B$175)),$B$66,IF($B$172-MAX(709-1,$B$174)&gt;0,IF(B1109=0,0,IF(C1109=0,B1109/($B$172-MAX(709-1,$B$174)),B1109*(C1109/12)/(1-(1+C1109/12)^(-($B$172-MAX(709-1,$B$174)))))),"")),D1108))))),IF(IF(AND(709&lt;=$B$174,709&lt;=$B$173),B1109*C1109/12,IF(AND(709=$B$173+1,AND(709&gt;$B$173,$B$78="Refinance",ISNUMBER($B$80),$B$80&gt;=0,$B$80&lt;=1,ROUND($B$81*12,0)&gt;=1,$B$81&lt;=100,SUM($B$82)&gt;=0,SUM($B$82)&lt;=1,SUM($B$83)&gt;=0)),IF(B1109=0,0,IF(C1109=0,B1109/ROUND($B$81*12,0),B1109*(C1109/12)/(1-(1+C1109/12)^(-ROUND($B$81*12,0))))),IF(AND(NOT(AND(709&gt;$B$173,$B$78="Refinance",ISNUMBER($B$80),$B$80&gt;=0,$B$80&lt;=1,ROUND($B$81*12,0)&gt;=1,$B$81&lt;=100,SUM($B$82)&gt;=0,SUM($B$82)&lt;=1,SUM($B$83)&gt;=0)),OR(709=1,709=$B$174+1,AND($B$175&gt;0,709=$B$175+1))),IF(AND($B$170=1,$B$66&gt;0,OR($B$175=0,709&lt;=$B$175)),$B$66,IF($B$172-MAX(709-1,$B$174)&gt;0,IF(B1109=0,0,IF(C1109=0,B1109/($B$172-MAX(709-1,$B$174)),B1109*(C1109/12)/(1-(1+C1109/12)^(-($B$172-MAX(709-1,$B$174)))))),"")),D1108)))+0.0000001&gt;=B1109*C1109/12,MIN(B1109*(1+C1109/12),IF(AND(709&lt;=$B$174,709&lt;=$B$173),B1109*C1109/12,IF(AND(709=$B$173+1,AND(709&gt;$B$173,$B$78="Refinance",ISNUMBER($B$80),$B$80&gt;=0,$B$80&lt;=1,ROUND($B$81*12,0)&gt;=1,$B$81&lt;=100,SUM($B$82)&gt;=0,SUM($B$82)&lt;=1,SUM($B$83)&gt;=0)),IF(B1109=0,0,IF(C1109=0,B1109/ROUND($B$81*12,0),B1109*(C1109/12)/(1-(1+C1109/12)^(-ROUND($B$81*12,0))))),IF(AND(NOT(AND(709&gt;$B$173,$B$78="Refinance",ISNUMBER($B$80),$B$80&gt;=0,$B$80&lt;=1,ROUND($B$81*12,0)&gt;=1,$B$81&lt;=100,SUM($B$82)&gt;=0,SUM($B$82)&lt;=1,SUM($B$83)&gt;=0)),OR(709=1,709=$B$174+1,AND($B$175&gt;0,709=$B$175+1))),IF(AND($B$170=1,$B$66&gt;0,OR($B$175=0,709&lt;=$B$175)),$B$66,IF($B$172-MAX(709-1,$B$174)&gt;0,IF(B1109=0,0,IF(C1109=0,B1109/($B$172-MAX(709-1,$B$174)),B1109*(C1109/12)/(1-(1+C1109/12)^(-($B$172-MAX(709-1,$B$174)))))),"")),D1108)))),""),""))</x:f>
        <x:v>0</x:v>
      </x:c>
      <x:c r="E1109" s="440" t="n">
        <x:f>IF(AND(709=$B$173,ISNUMBER(D1109)),IF(MAX(0,B1109*(1+C1109/12)-D1109)&lt;MAX(0.0000001,$E$17*0.00000000001),0,MAX(0,B1109*(1+C1109/12)-D1109)),0)</x:f>
        <x:v>0</x:v>
      </x:c>
      <x:c r="F1109" s="440" t="n">
        <x:f>IF($B$78="Cash payoff",E1109,0)</x:f>
        <x:v>0</x:v>
      </x:c>
      <x:c r="G1109" s="440" t="n">
        <x:f>IF(AND(E1109&gt;0,AND($B$78="Refinance",ISNUMBER($B$80),$B$80&gt;=0,$B$80&lt;=1,ROUND($B$81*12,0)&gt;=1,$B$81&lt;=100,SUM($B$82)&gt;=0,SUM($B$82)&lt;=1,SUM($B$83)&gt;=0)),E1109*SUM($B$82)+SUM($B$83),0)</x:f>
        <x:v>0</x:v>
      </x:c>
      <x:c r="H1109" s="440" t="n">
        <x:f>IF(ISNUMBER(D1109),IF(MAX(0,B1109*(1+C1109/12)-D1109-F1109)&lt;MAX(0.0000001,$E$17*0.00000000001),0,MAX(0,B1109*(1+C1109/12)-D1109-F1109)),IF(AND($B$171=1,I1108=1),B1109,""))</x:f>
        <x:v>0</x:v>
      </x:c>
      <x:c r="I1109" s="444" t="n">
        <x:f>IF(OR(I1108=1,AND(E1109&gt;0,$B$78&lt;&gt;"Cash payoff",NOT(AND($B$78="Refinance",ISNUMBER($B$80),$B$80&gt;=0,$B$80&lt;=1,ROUND($B$81*12,0)&gt;=1,$B$81&lt;=100,SUM($B$82)&gt;=0,SUM($B$82)&lt;=1,SUM($B$83)&gt;=0))),AND(ISNUMBER(B1109),B1109&gt;0,$B$171=1,NOT(ISNUMBER(D1109)))),1,0)</x:f>
        <x:v>0</x:v>
      </x:c>
      <x:c r="J1109" s="440" t="n">
        <x:f>IF(ISNUMBER(L1108),L1108,"")</x:f>
        <x:v>0</x:v>
      </x:c>
      <x:c r="K1109" s="440" t="n">
        <x:f>IF(AND(ISNUMBER(J1109),J1109=0),0,IF(AND($B$176=1,ISNUMBER(J1109)),MIN(J1109*(1+$B$87/12),IF($B$86=0,0,IF($B$87=0,$B$86/ROUND($B$88*12,0),$B$86*($B$87/12)/(1-(1+$B$87/12)^(-ROUND($B$88*12,0)))))),""))</x:f>
        <x:v>0</x:v>
      </x:c>
      <x:c r="L1109" s="440" t="n">
        <x:f>IF(ISNUMBER(K1109),IF(MAX(0,J1109*(1+SUM($B$87)/12)-K1109)&lt;MAX(0.0000001,$B$86*0.00000000001),0,MAX(0,J1109*(1+SUM($B$87)/12)-K1109)),"")</x:f>
        <x:v>0</x:v>
      </x:c>
      <x:c r="M1109" s="440" t="n">
        <x:f>IF(AND(ISNUMBER(D1109),ISNUMBER(K1109)),D1109+K1109,"")</x:f>
        <x:v>0</x:v>
      </x:c>
      <x:c r="N1109" s="440" t="n">
        <x:f>IF(AND(ISNUMBER(H1109),ISNUMBER(L1109)),H1109+L1109,"")</x:f>
        <x:v>0</x:v>
      </x:c>
    </x:row>
    <x:row r="1110" ht="22" customHeight="1">
      <x:c r="A1110" s="254" t="n">
        <x:f>710</x:f>
        <x:v>710</x:v>
      </x:c>
      <x:c r="B1110" s="440" t="n">
        <x:f>IF(ISNUMBER(H1109),H1109,"")</x:f>
        <x:v>0</x:v>
      </x:c>
      <x:c r="C1110" s="442" t="n">
        <x:f>IF(ISNUMBER(B1110),IF(AND(710&gt;$B$173,$B$78="Refinance",ISNUMBER($B$80),$B$80&gt;=0,$B$80&lt;=1,ROUND($B$81*12,0)&gt;=1,$B$81&lt;=100,SUM($B$82)&gt;=0,SUM($B$82)&lt;=1,SUM($B$83)&gt;=0),$B$80,IF(AND($B$175&gt;0,710&gt;$B$175,ISNUMBER($B$75)),$B$75,$B$61)),"")</x:f>
        <x:v>0.0625</x:v>
      </x:c>
      <x:c r="D1110" s="440" t="n">
        <x:f>IF(AND(ISNUMBER(B1110),B1110=0),0,IF(AND($B$171=1,I1109=0,ISNUMBER(C1110),ISNUMBER(IF(AND(710&lt;=$B$174,710&lt;=$B$173),B1110*C1110/12,IF(AND(710=$B$173+1,AND(710&gt;$B$173,$B$78="Refinance",ISNUMBER($B$80),$B$80&gt;=0,$B$80&lt;=1,ROUND($B$81*12,0)&gt;=1,$B$81&lt;=100,SUM($B$82)&gt;=0,SUM($B$82)&lt;=1,SUM($B$83)&gt;=0)),IF(B1110=0,0,IF(C1110=0,B1110/ROUND($B$81*12,0),B1110*(C1110/12)/(1-(1+C1110/12)^(-ROUND($B$81*12,0))))),IF(AND(NOT(AND(710&gt;$B$173,$B$78="Refinance",ISNUMBER($B$80),$B$80&gt;=0,$B$80&lt;=1,ROUND($B$81*12,0)&gt;=1,$B$81&lt;=100,SUM($B$82)&gt;=0,SUM($B$82)&lt;=1,SUM($B$83)&gt;=0)),OR(710=1,710=$B$174+1,AND($B$175&gt;0,710=$B$175+1))),IF(AND($B$170=1,$B$66&gt;0,OR($B$175=0,710&lt;=$B$175)),$B$66,IF($B$172-MAX(710-1,$B$174)&gt;0,IF(B1110=0,0,IF(C1110=0,B1110/($B$172-MAX(710-1,$B$174)),B1110*(C1110/12)/(1-(1+C1110/12)^(-($B$172-MAX(710-1,$B$174)))))),"")),D1109))))),IF(IF(AND(710&lt;=$B$174,710&lt;=$B$173),B1110*C1110/12,IF(AND(710=$B$173+1,AND(710&gt;$B$173,$B$78="Refinance",ISNUMBER($B$80),$B$80&gt;=0,$B$80&lt;=1,ROUND($B$81*12,0)&gt;=1,$B$81&lt;=100,SUM($B$82)&gt;=0,SUM($B$82)&lt;=1,SUM($B$83)&gt;=0)),IF(B1110=0,0,IF(C1110=0,B1110/ROUND($B$81*12,0),B1110*(C1110/12)/(1-(1+C1110/12)^(-ROUND($B$81*12,0))))),IF(AND(NOT(AND(710&gt;$B$173,$B$78="Refinance",ISNUMBER($B$80),$B$80&gt;=0,$B$80&lt;=1,ROUND($B$81*12,0)&gt;=1,$B$81&lt;=100,SUM($B$82)&gt;=0,SUM($B$82)&lt;=1,SUM($B$83)&gt;=0)),OR(710=1,710=$B$174+1,AND($B$175&gt;0,710=$B$175+1))),IF(AND($B$170=1,$B$66&gt;0,OR($B$175=0,710&lt;=$B$175)),$B$66,IF($B$172-MAX(710-1,$B$174)&gt;0,IF(B1110=0,0,IF(C1110=0,B1110/($B$172-MAX(710-1,$B$174)),B1110*(C1110/12)/(1-(1+C1110/12)^(-($B$172-MAX(710-1,$B$174)))))),"")),D1109)))+0.0000001&gt;=B1110*C1110/12,MIN(B1110*(1+C1110/12),IF(AND(710&lt;=$B$174,710&lt;=$B$173),B1110*C1110/12,IF(AND(710=$B$173+1,AND(710&gt;$B$173,$B$78="Refinance",ISNUMBER($B$80),$B$80&gt;=0,$B$80&lt;=1,ROUND($B$81*12,0)&gt;=1,$B$81&lt;=100,SUM($B$82)&gt;=0,SUM($B$82)&lt;=1,SUM($B$83)&gt;=0)),IF(B1110=0,0,IF(C1110=0,B1110/ROUND($B$81*12,0),B1110*(C1110/12)/(1-(1+C1110/12)^(-ROUND($B$81*12,0))))),IF(AND(NOT(AND(710&gt;$B$173,$B$78="Refinance",ISNUMBER($B$80),$B$80&gt;=0,$B$80&lt;=1,ROUND($B$81*12,0)&gt;=1,$B$81&lt;=100,SUM($B$82)&gt;=0,SUM($B$82)&lt;=1,SUM($B$83)&gt;=0)),OR(710=1,710=$B$174+1,AND($B$175&gt;0,710=$B$175+1))),IF(AND($B$170=1,$B$66&gt;0,OR($B$175=0,710&lt;=$B$175)),$B$66,IF($B$172-MAX(710-1,$B$174)&gt;0,IF(B1110=0,0,IF(C1110=0,B1110/($B$172-MAX(710-1,$B$174)),B1110*(C1110/12)/(1-(1+C1110/12)^(-($B$172-MAX(710-1,$B$174)))))),"")),D1109)))),""),""))</x:f>
        <x:v>0</x:v>
      </x:c>
      <x:c r="E1110" s="440" t="n">
        <x:f>IF(AND(710=$B$173,ISNUMBER(D1110)),IF(MAX(0,B1110*(1+C1110/12)-D1110)&lt;MAX(0.0000001,$E$17*0.00000000001),0,MAX(0,B1110*(1+C1110/12)-D1110)),0)</x:f>
        <x:v>0</x:v>
      </x:c>
      <x:c r="F1110" s="440" t="n">
        <x:f>IF($B$78="Cash payoff",E1110,0)</x:f>
        <x:v>0</x:v>
      </x:c>
      <x:c r="G1110" s="440" t="n">
        <x:f>IF(AND(E1110&gt;0,AND($B$78="Refinance",ISNUMBER($B$80),$B$80&gt;=0,$B$80&lt;=1,ROUND($B$81*12,0)&gt;=1,$B$81&lt;=100,SUM($B$82)&gt;=0,SUM($B$82)&lt;=1,SUM($B$83)&gt;=0)),E1110*SUM($B$82)+SUM($B$83),0)</x:f>
        <x:v>0</x:v>
      </x:c>
      <x:c r="H1110" s="440" t="n">
        <x:f>IF(ISNUMBER(D1110),IF(MAX(0,B1110*(1+C1110/12)-D1110-F1110)&lt;MAX(0.0000001,$E$17*0.00000000001),0,MAX(0,B1110*(1+C1110/12)-D1110-F1110)),IF(AND($B$171=1,I1109=1),B1110,""))</x:f>
        <x:v>0</x:v>
      </x:c>
      <x:c r="I1110" s="444" t="n">
        <x:f>IF(OR(I1109=1,AND(E1110&gt;0,$B$78&lt;&gt;"Cash payoff",NOT(AND($B$78="Refinance",ISNUMBER($B$80),$B$80&gt;=0,$B$80&lt;=1,ROUND($B$81*12,0)&gt;=1,$B$81&lt;=100,SUM($B$82)&gt;=0,SUM($B$82)&lt;=1,SUM($B$83)&gt;=0))),AND(ISNUMBER(B1110),B1110&gt;0,$B$171=1,NOT(ISNUMBER(D1110)))),1,0)</x:f>
        <x:v>0</x:v>
      </x:c>
      <x:c r="J1110" s="440" t="n">
        <x:f>IF(ISNUMBER(L1109),L1109,"")</x:f>
        <x:v>0</x:v>
      </x:c>
      <x:c r="K1110" s="440" t="n">
        <x:f>IF(AND(ISNUMBER(J1110),J1110=0),0,IF(AND($B$176=1,ISNUMBER(J1110)),MIN(J1110*(1+$B$87/12),IF($B$86=0,0,IF($B$87=0,$B$86/ROUND($B$88*12,0),$B$86*($B$87/12)/(1-(1+$B$87/12)^(-ROUND($B$88*12,0)))))),""))</x:f>
        <x:v>0</x:v>
      </x:c>
      <x:c r="L1110" s="440" t="n">
        <x:f>IF(ISNUMBER(K1110),IF(MAX(0,J1110*(1+SUM($B$87)/12)-K1110)&lt;MAX(0.0000001,$B$86*0.00000000001),0,MAX(0,J1110*(1+SUM($B$87)/12)-K1110)),"")</x:f>
        <x:v>0</x:v>
      </x:c>
      <x:c r="M1110" s="440" t="n">
        <x:f>IF(AND(ISNUMBER(D1110),ISNUMBER(K1110)),D1110+K1110,"")</x:f>
        <x:v>0</x:v>
      </x:c>
      <x:c r="N1110" s="440" t="n">
        <x:f>IF(AND(ISNUMBER(H1110),ISNUMBER(L1110)),H1110+L1110,"")</x:f>
        <x:v>0</x:v>
      </x:c>
    </x:row>
    <x:row r="1111" ht="22" customHeight="1">
      <x:c r="A1111" s="254" t="n">
        <x:f>711</x:f>
        <x:v>711</x:v>
      </x:c>
      <x:c r="B1111" s="440" t="n">
        <x:f>IF(ISNUMBER(H1110),H1110,"")</x:f>
        <x:v>0</x:v>
      </x:c>
      <x:c r="C1111" s="442" t="n">
        <x:f>IF(ISNUMBER(B1111),IF(AND(711&gt;$B$173,$B$78="Refinance",ISNUMBER($B$80),$B$80&gt;=0,$B$80&lt;=1,ROUND($B$81*12,0)&gt;=1,$B$81&lt;=100,SUM($B$82)&gt;=0,SUM($B$82)&lt;=1,SUM($B$83)&gt;=0),$B$80,IF(AND($B$175&gt;0,711&gt;$B$175,ISNUMBER($B$75)),$B$75,$B$61)),"")</x:f>
        <x:v>0.0625</x:v>
      </x:c>
      <x:c r="D1111" s="440" t="n">
        <x:f>IF(AND(ISNUMBER(B1111),B1111=0),0,IF(AND($B$171=1,I1110=0,ISNUMBER(C1111),ISNUMBER(IF(AND(711&lt;=$B$174,711&lt;=$B$173),B1111*C1111/12,IF(AND(711=$B$173+1,AND(711&gt;$B$173,$B$78="Refinance",ISNUMBER($B$80),$B$80&gt;=0,$B$80&lt;=1,ROUND($B$81*12,0)&gt;=1,$B$81&lt;=100,SUM($B$82)&gt;=0,SUM($B$82)&lt;=1,SUM($B$83)&gt;=0)),IF(B1111=0,0,IF(C1111=0,B1111/ROUND($B$81*12,0),B1111*(C1111/12)/(1-(1+C1111/12)^(-ROUND($B$81*12,0))))),IF(AND(NOT(AND(711&gt;$B$173,$B$78="Refinance",ISNUMBER($B$80),$B$80&gt;=0,$B$80&lt;=1,ROUND($B$81*12,0)&gt;=1,$B$81&lt;=100,SUM($B$82)&gt;=0,SUM($B$82)&lt;=1,SUM($B$83)&gt;=0)),OR(711=1,711=$B$174+1,AND($B$175&gt;0,711=$B$175+1))),IF(AND($B$170=1,$B$66&gt;0,OR($B$175=0,711&lt;=$B$175)),$B$66,IF($B$172-MAX(711-1,$B$174)&gt;0,IF(B1111=0,0,IF(C1111=0,B1111/($B$172-MAX(711-1,$B$174)),B1111*(C1111/12)/(1-(1+C1111/12)^(-($B$172-MAX(711-1,$B$174)))))),"")),D1110))))),IF(IF(AND(711&lt;=$B$174,711&lt;=$B$173),B1111*C1111/12,IF(AND(711=$B$173+1,AND(711&gt;$B$173,$B$78="Refinance",ISNUMBER($B$80),$B$80&gt;=0,$B$80&lt;=1,ROUND($B$81*12,0)&gt;=1,$B$81&lt;=100,SUM($B$82)&gt;=0,SUM($B$82)&lt;=1,SUM($B$83)&gt;=0)),IF(B1111=0,0,IF(C1111=0,B1111/ROUND($B$81*12,0),B1111*(C1111/12)/(1-(1+C1111/12)^(-ROUND($B$81*12,0))))),IF(AND(NOT(AND(711&gt;$B$173,$B$78="Refinance",ISNUMBER($B$80),$B$80&gt;=0,$B$80&lt;=1,ROUND($B$81*12,0)&gt;=1,$B$81&lt;=100,SUM($B$82)&gt;=0,SUM($B$82)&lt;=1,SUM($B$83)&gt;=0)),OR(711=1,711=$B$174+1,AND($B$175&gt;0,711=$B$175+1))),IF(AND($B$170=1,$B$66&gt;0,OR($B$175=0,711&lt;=$B$175)),$B$66,IF($B$172-MAX(711-1,$B$174)&gt;0,IF(B1111=0,0,IF(C1111=0,B1111/($B$172-MAX(711-1,$B$174)),B1111*(C1111/12)/(1-(1+C1111/12)^(-($B$172-MAX(711-1,$B$174)))))),"")),D1110)))+0.0000001&gt;=B1111*C1111/12,MIN(B1111*(1+C1111/12),IF(AND(711&lt;=$B$174,711&lt;=$B$173),B1111*C1111/12,IF(AND(711=$B$173+1,AND(711&gt;$B$173,$B$78="Refinance",ISNUMBER($B$80),$B$80&gt;=0,$B$80&lt;=1,ROUND($B$81*12,0)&gt;=1,$B$81&lt;=100,SUM($B$82)&gt;=0,SUM($B$82)&lt;=1,SUM($B$83)&gt;=0)),IF(B1111=0,0,IF(C1111=0,B1111/ROUND($B$81*12,0),B1111*(C1111/12)/(1-(1+C1111/12)^(-ROUND($B$81*12,0))))),IF(AND(NOT(AND(711&gt;$B$173,$B$78="Refinance",ISNUMBER($B$80),$B$80&gt;=0,$B$80&lt;=1,ROUND($B$81*12,0)&gt;=1,$B$81&lt;=100,SUM($B$82)&gt;=0,SUM($B$82)&lt;=1,SUM($B$83)&gt;=0)),OR(711=1,711=$B$174+1,AND($B$175&gt;0,711=$B$175+1))),IF(AND($B$170=1,$B$66&gt;0,OR($B$175=0,711&lt;=$B$175)),$B$66,IF($B$172-MAX(711-1,$B$174)&gt;0,IF(B1111=0,0,IF(C1111=0,B1111/($B$172-MAX(711-1,$B$174)),B1111*(C1111/12)/(1-(1+C1111/12)^(-($B$172-MAX(711-1,$B$174)))))),"")),D1110)))),""),""))</x:f>
        <x:v>0</x:v>
      </x:c>
      <x:c r="E1111" s="440" t="n">
        <x:f>IF(AND(711=$B$173,ISNUMBER(D1111)),IF(MAX(0,B1111*(1+C1111/12)-D1111)&lt;MAX(0.0000001,$E$17*0.00000000001),0,MAX(0,B1111*(1+C1111/12)-D1111)),0)</x:f>
        <x:v>0</x:v>
      </x:c>
      <x:c r="F1111" s="440" t="n">
        <x:f>IF($B$78="Cash payoff",E1111,0)</x:f>
        <x:v>0</x:v>
      </x:c>
      <x:c r="G1111" s="440" t="n">
        <x:f>IF(AND(E1111&gt;0,AND($B$78="Refinance",ISNUMBER($B$80),$B$80&gt;=0,$B$80&lt;=1,ROUND($B$81*12,0)&gt;=1,$B$81&lt;=100,SUM($B$82)&gt;=0,SUM($B$82)&lt;=1,SUM($B$83)&gt;=0)),E1111*SUM($B$82)+SUM($B$83),0)</x:f>
        <x:v>0</x:v>
      </x:c>
      <x:c r="H1111" s="440" t="n">
        <x:f>IF(ISNUMBER(D1111),IF(MAX(0,B1111*(1+C1111/12)-D1111-F1111)&lt;MAX(0.0000001,$E$17*0.00000000001),0,MAX(0,B1111*(1+C1111/12)-D1111-F1111)),IF(AND($B$171=1,I1110=1),B1111,""))</x:f>
        <x:v>0</x:v>
      </x:c>
      <x:c r="I1111" s="444" t="n">
        <x:f>IF(OR(I1110=1,AND(E1111&gt;0,$B$78&lt;&gt;"Cash payoff",NOT(AND($B$78="Refinance",ISNUMBER($B$80),$B$80&gt;=0,$B$80&lt;=1,ROUND($B$81*12,0)&gt;=1,$B$81&lt;=100,SUM($B$82)&gt;=0,SUM($B$82)&lt;=1,SUM($B$83)&gt;=0))),AND(ISNUMBER(B1111),B1111&gt;0,$B$171=1,NOT(ISNUMBER(D1111)))),1,0)</x:f>
        <x:v>0</x:v>
      </x:c>
      <x:c r="J1111" s="440" t="n">
        <x:f>IF(ISNUMBER(L1110),L1110,"")</x:f>
        <x:v>0</x:v>
      </x:c>
      <x:c r="K1111" s="440" t="n">
        <x:f>IF(AND(ISNUMBER(J1111),J1111=0),0,IF(AND($B$176=1,ISNUMBER(J1111)),MIN(J1111*(1+$B$87/12),IF($B$86=0,0,IF($B$87=0,$B$86/ROUND($B$88*12,0),$B$86*($B$87/12)/(1-(1+$B$87/12)^(-ROUND($B$88*12,0)))))),""))</x:f>
        <x:v>0</x:v>
      </x:c>
      <x:c r="L1111" s="440" t="n">
        <x:f>IF(ISNUMBER(K1111),IF(MAX(0,J1111*(1+SUM($B$87)/12)-K1111)&lt;MAX(0.0000001,$B$86*0.00000000001),0,MAX(0,J1111*(1+SUM($B$87)/12)-K1111)),"")</x:f>
        <x:v>0</x:v>
      </x:c>
      <x:c r="M1111" s="440" t="n">
        <x:f>IF(AND(ISNUMBER(D1111),ISNUMBER(K1111)),D1111+K1111,"")</x:f>
        <x:v>0</x:v>
      </x:c>
      <x:c r="N1111" s="440" t="n">
        <x:f>IF(AND(ISNUMBER(H1111),ISNUMBER(L1111)),H1111+L1111,"")</x:f>
        <x:v>0</x:v>
      </x:c>
    </x:row>
    <x:row r="1112" ht="22" customHeight="1">
      <x:c r="A1112" s="254" t="n">
        <x:f>712</x:f>
        <x:v>712</x:v>
      </x:c>
      <x:c r="B1112" s="440" t="n">
        <x:f>IF(ISNUMBER(H1111),H1111,"")</x:f>
        <x:v>0</x:v>
      </x:c>
      <x:c r="C1112" s="442" t="n">
        <x:f>IF(ISNUMBER(B1112),IF(AND(712&gt;$B$173,$B$78="Refinance",ISNUMBER($B$80),$B$80&gt;=0,$B$80&lt;=1,ROUND($B$81*12,0)&gt;=1,$B$81&lt;=100,SUM($B$82)&gt;=0,SUM($B$82)&lt;=1,SUM($B$83)&gt;=0),$B$80,IF(AND($B$175&gt;0,712&gt;$B$175,ISNUMBER($B$75)),$B$75,$B$61)),"")</x:f>
        <x:v>0.0625</x:v>
      </x:c>
      <x:c r="D1112" s="440" t="n">
        <x:f>IF(AND(ISNUMBER(B1112),B1112=0),0,IF(AND($B$171=1,I1111=0,ISNUMBER(C1112),ISNUMBER(IF(AND(712&lt;=$B$174,712&lt;=$B$173),B1112*C1112/12,IF(AND(712=$B$173+1,AND(712&gt;$B$173,$B$78="Refinance",ISNUMBER($B$80),$B$80&gt;=0,$B$80&lt;=1,ROUND($B$81*12,0)&gt;=1,$B$81&lt;=100,SUM($B$82)&gt;=0,SUM($B$82)&lt;=1,SUM($B$83)&gt;=0)),IF(B1112=0,0,IF(C1112=0,B1112/ROUND($B$81*12,0),B1112*(C1112/12)/(1-(1+C1112/12)^(-ROUND($B$81*12,0))))),IF(AND(NOT(AND(712&gt;$B$173,$B$78="Refinance",ISNUMBER($B$80),$B$80&gt;=0,$B$80&lt;=1,ROUND($B$81*12,0)&gt;=1,$B$81&lt;=100,SUM($B$82)&gt;=0,SUM($B$82)&lt;=1,SUM($B$83)&gt;=0)),OR(712=1,712=$B$174+1,AND($B$175&gt;0,712=$B$175+1))),IF(AND($B$170=1,$B$66&gt;0,OR($B$175=0,712&lt;=$B$175)),$B$66,IF($B$172-MAX(712-1,$B$174)&gt;0,IF(B1112=0,0,IF(C1112=0,B1112/($B$172-MAX(712-1,$B$174)),B1112*(C1112/12)/(1-(1+C1112/12)^(-($B$172-MAX(712-1,$B$174)))))),"")),D1111))))),IF(IF(AND(712&lt;=$B$174,712&lt;=$B$173),B1112*C1112/12,IF(AND(712=$B$173+1,AND(712&gt;$B$173,$B$78="Refinance",ISNUMBER($B$80),$B$80&gt;=0,$B$80&lt;=1,ROUND($B$81*12,0)&gt;=1,$B$81&lt;=100,SUM($B$82)&gt;=0,SUM($B$82)&lt;=1,SUM($B$83)&gt;=0)),IF(B1112=0,0,IF(C1112=0,B1112/ROUND($B$81*12,0),B1112*(C1112/12)/(1-(1+C1112/12)^(-ROUND($B$81*12,0))))),IF(AND(NOT(AND(712&gt;$B$173,$B$78="Refinance",ISNUMBER($B$80),$B$80&gt;=0,$B$80&lt;=1,ROUND($B$81*12,0)&gt;=1,$B$81&lt;=100,SUM($B$82)&gt;=0,SUM($B$82)&lt;=1,SUM($B$83)&gt;=0)),OR(712=1,712=$B$174+1,AND($B$175&gt;0,712=$B$175+1))),IF(AND($B$170=1,$B$66&gt;0,OR($B$175=0,712&lt;=$B$175)),$B$66,IF($B$172-MAX(712-1,$B$174)&gt;0,IF(B1112=0,0,IF(C1112=0,B1112/($B$172-MAX(712-1,$B$174)),B1112*(C1112/12)/(1-(1+C1112/12)^(-($B$172-MAX(712-1,$B$174)))))),"")),D1111)))+0.0000001&gt;=B1112*C1112/12,MIN(B1112*(1+C1112/12),IF(AND(712&lt;=$B$174,712&lt;=$B$173),B1112*C1112/12,IF(AND(712=$B$173+1,AND(712&gt;$B$173,$B$78="Refinance",ISNUMBER($B$80),$B$80&gt;=0,$B$80&lt;=1,ROUND($B$81*12,0)&gt;=1,$B$81&lt;=100,SUM($B$82)&gt;=0,SUM($B$82)&lt;=1,SUM($B$83)&gt;=0)),IF(B1112=0,0,IF(C1112=0,B1112/ROUND($B$81*12,0),B1112*(C1112/12)/(1-(1+C1112/12)^(-ROUND($B$81*12,0))))),IF(AND(NOT(AND(712&gt;$B$173,$B$78="Refinance",ISNUMBER($B$80),$B$80&gt;=0,$B$80&lt;=1,ROUND($B$81*12,0)&gt;=1,$B$81&lt;=100,SUM($B$82)&gt;=0,SUM($B$82)&lt;=1,SUM($B$83)&gt;=0)),OR(712=1,712=$B$174+1,AND($B$175&gt;0,712=$B$175+1))),IF(AND($B$170=1,$B$66&gt;0,OR($B$175=0,712&lt;=$B$175)),$B$66,IF($B$172-MAX(712-1,$B$174)&gt;0,IF(B1112=0,0,IF(C1112=0,B1112/($B$172-MAX(712-1,$B$174)),B1112*(C1112/12)/(1-(1+C1112/12)^(-($B$172-MAX(712-1,$B$174)))))),"")),D1111)))),""),""))</x:f>
        <x:v>0</x:v>
      </x:c>
      <x:c r="E1112" s="440" t="n">
        <x:f>IF(AND(712=$B$173,ISNUMBER(D1112)),IF(MAX(0,B1112*(1+C1112/12)-D1112)&lt;MAX(0.0000001,$E$17*0.00000000001),0,MAX(0,B1112*(1+C1112/12)-D1112)),0)</x:f>
        <x:v>0</x:v>
      </x:c>
      <x:c r="F1112" s="440" t="n">
        <x:f>IF($B$78="Cash payoff",E1112,0)</x:f>
        <x:v>0</x:v>
      </x:c>
      <x:c r="G1112" s="440" t="n">
        <x:f>IF(AND(E1112&gt;0,AND($B$78="Refinance",ISNUMBER($B$80),$B$80&gt;=0,$B$80&lt;=1,ROUND($B$81*12,0)&gt;=1,$B$81&lt;=100,SUM($B$82)&gt;=0,SUM($B$82)&lt;=1,SUM($B$83)&gt;=0)),E1112*SUM($B$82)+SUM($B$83),0)</x:f>
        <x:v>0</x:v>
      </x:c>
      <x:c r="H1112" s="440" t="n">
        <x:f>IF(ISNUMBER(D1112),IF(MAX(0,B1112*(1+C1112/12)-D1112-F1112)&lt;MAX(0.0000001,$E$17*0.00000000001),0,MAX(0,B1112*(1+C1112/12)-D1112-F1112)),IF(AND($B$171=1,I1111=1),B1112,""))</x:f>
        <x:v>0</x:v>
      </x:c>
      <x:c r="I1112" s="444" t="n">
        <x:f>IF(OR(I1111=1,AND(E1112&gt;0,$B$78&lt;&gt;"Cash payoff",NOT(AND($B$78="Refinance",ISNUMBER($B$80),$B$80&gt;=0,$B$80&lt;=1,ROUND($B$81*12,0)&gt;=1,$B$81&lt;=100,SUM($B$82)&gt;=0,SUM($B$82)&lt;=1,SUM($B$83)&gt;=0))),AND(ISNUMBER(B1112),B1112&gt;0,$B$171=1,NOT(ISNUMBER(D1112)))),1,0)</x:f>
        <x:v>0</x:v>
      </x:c>
      <x:c r="J1112" s="440" t="n">
        <x:f>IF(ISNUMBER(L1111),L1111,"")</x:f>
        <x:v>0</x:v>
      </x:c>
      <x:c r="K1112" s="440" t="n">
        <x:f>IF(AND(ISNUMBER(J1112),J1112=0),0,IF(AND($B$176=1,ISNUMBER(J1112)),MIN(J1112*(1+$B$87/12),IF($B$86=0,0,IF($B$87=0,$B$86/ROUND($B$88*12,0),$B$86*($B$87/12)/(1-(1+$B$87/12)^(-ROUND($B$88*12,0)))))),""))</x:f>
        <x:v>0</x:v>
      </x:c>
      <x:c r="L1112" s="440" t="n">
        <x:f>IF(ISNUMBER(K1112),IF(MAX(0,J1112*(1+SUM($B$87)/12)-K1112)&lt;MAX(0.0000001,$B$86*0.00000000001),0,MAX(0,J1112*(1+SUM($B$87)/12)-K1112)),"")</x:f>
        <x:v>0</x:v>
      </x:c>
      <x:c r="M1112" s="440" t="n">
        <x:f>IF(AND(ISNUMBER(D1112),ISNUMBER(K1112)),D1112+K1112,"")</x:f>
        <x:v>0</x:v>
      </x:c>
      <x:c r="N1112" s="440" t="n">
        <x:f>IF(AND(ISNUMBER(H1112),ISNUMBER(L1112)),H1112+L1112,"")</x:f>
        <x:v>0</x:v>
      </x:c>
    </x:row>
    <x:row r="1113" ht="22" customHeight="1">
      <x:c r="A1113" s="254" t="n">
        <x:f>713</x:f>
        <x:v>713</x:v>
      </x:c>
      <x:c r="B1113" s="440" t="n">
        <x:f>IF(ISNUMBER(H1112),H1112,"")</x:f>
        <x:v>0</x:v>
      </x:c>
      <x:c r="C1113" s="442" t="n">
        <x:f>IF(ISNUMBER(B1113),IF(AND(713&gt;$B$173,$B$78="Refinance",ISNUMBER($B$80),$B$80&gt;=0,$B$80&lt;=1,ROUND($B$81*12,0)&gt;=1,$B$81&lt;=100,SUM($B$82)&gt;=0,SUM($B$82)&lt;=1,SUM($B$83)&gt;=0),$B$80,IF(AND($B$175&gt;0,713&gt;$B$175,ISNUMBER($B$75)),$B$75,$B$61)),"")</x:f>
        <x:v>0.0625</x:v>
      </x:c>
      <x:c r="D1113" s="440" t="n">
        <x:f>IF(AND(ISNUMBER(B1113),B1113=0),0,IF(AND($B$171=1,I1112=0,ISNUMBER(C1113),ISNUMBER(IF(AND(713&lt;=$B$174,713&lt;=$B$173),B1113*C1113/12,IF(AND(713=$B$173+1,AND(713&gt;$B$173,$B$78="Refinance",ISNUMBER($B$80),$B$80&gt;=0,$B$80&lt;=1,ROUND($B$81*12,0)&gt;=1,$B$81&lt;=100,SUM($B$82)&gt;=0,SUM($B$82)&lt;=1,SUM($B$83)&gt;=0)),IF(B1113=0,0,IF(C1113=0,B1113/ROUND($B$81*12,0),B1113*(C1113/12)/(1-(1+C1113/12)^(-ROUND($B$81*12,0))))),IF(AND(NOT(AND(713&gt;$B$173,$B$78="Refinance",ISNUMBER($B$80),$B$80&gt;=0,$B$80&lt;=1,ROUND($B$81*12,0)&gt;=1,$B$81&lt;=100,SUM($B$82)&gt;=0,SUM($B$82)&lt;=1,SUM($B$83)&gt;=0)),OR(713=1,713=$B$174+1,AND($B$175&gt;0,713=$B$175+1))),IF(AND($B$170=1,$B$66&gt;0,OR($B$175=0,713&lt;=$B$175)),$B$66,IF($B$172-MAX(713-1,$B$174)&gt;0,IF(B1113=0,0,IF(C1113=0,B1113/($B$172-MAX(713-1,$B$174)),B1113*(C1113/12)/(1-(1+C1113/12)^(-($B$172-MAX(713-1,$B$174)))))),"")),D1112))))),IF(IF(AND(713&lt;=$B$174,713&lt;=$B$173),B1113*C1113/12,IF(AND(713=$B$173+1,AND(713&gt;$B$173,$B$78="Refinance",ISNUMBER($B$80),$B$80&gt;=0,$B$80&lt;=1,ROUND($B$81*12,0)&gt;=1,$B$81&lt;=100,SUM($B$82)&gt;=0,SUM($B$82)&lt;=1,SUM($B$83)&gt;=0)),IF(B1113=0,0,IF(C1113=0,B1113/ROUND($B$81*12,0),B1113*(C1113/12)/(1-(1+C1113/12)^(-ROUND($B$81*12,0))))),IF(AND(NOT(AND(713&gt;$B$173,$B$78="Refinance",ISNUMBER($B$80),$B$80&gt;=0,$B$80&lt;=1,ROUND($B$81*12,0)&gt;=1,$B$81&lt;=100,SUM($B$82)&gt;=0,SUM($B$82)&lt;=1,SUM($B$83)&gt;=0)),OR(713=1,713=$B$174+1,AND($B$175&gt;0,713=$B$175+1))),IF(AND($B$170=1,$B$66&gt;0,OR($B$175=0,713&lt;=$B$175)),$B$66,IF($B$172-MAX(713-1,$B$174)&gt;0,IF(B1113=0,0,IF(C1113=0,B1113/($B$172-MAX(713-1,$B$174)),B1113*(C1113/12)/(1-(1+C1113/12)^(-($B$172-MAX(713-1,$B$174)))))),"")),D1112)))+0.0000001&gt;=B1113*C1113/12,MIN(B1113*(1+C1113/12),IF(AND(713&lt;=$B$174,713&lt;=$B$173),B1113*C1113/12,IF(AND(713=$B$173+1,AND(713&gt;$B$173,$B$78="Refinance",ISNUMBER($B$80),$B$80&gt;=0,$B$80&lt;=1,ROUND($B$81*12,0)&gt;=1,$B$81&lt;=100,SUM($B$82)&gt;=0,SUM($B$82)&lt;=1,SUM($B$83)&gt;=0)),IF(B1113=0,0,IF(C1113=0,B1113/ROUND($B$81*12,0),B1113*(C1113/12)/(1-(1+C1113/12)^(-ROUND($B$81*12,0))))),IF(AND(NOT(AND(713&gt;$B$173,$B$78="Refinance",ISNUMBER($B$80),$B$80&gt;=0,$B$80&lt;=1,ROUND($B$81*12,0)&gt;=1,$B$81&lt;=100,SUM($B$82)&gt;=0,SUM($B$82)&lt;=1,SUM($B$83)&gt;=0)),OR(713=1,713=$B$174+1,AND($B$175&gt;0,713=$B$175+1))),IF(AND($B$170=1,$B$66&gt;0,OR($B$175=0,713&lt;=$B$175)),$B$66,IF($B$172-MAX(713-1,$B$174)&gt;0,IF(B1113=0,0,IF(C1113=0,B1113/($B$172-MAX(713-1,$B$174)),B1113*(C1113/12)/(1-(1+C1113/12)^(-($B$172-MAX(713-1,$B$174)))))),"")),D1112)))),""),""))</x:f>
        <x:v>0</x:v>
      </x:c>
      <x:c r="E1113" s="440" t="n">
        <x:f>IF(AND(713=$B$173,ISNUMBER(D1113)),IF(MAX(0,B1113*(1+C1113/12)-D1113)&lt;MAX(0.0000001,$E$17*0.00000000001),0,MAX(0,B1113*(1+C1113/12)-D1113)),0)</x:f>
        <x:v>0</x:v>
      </x:c>
      <x:c r="F1113" s="440" t="n">
        <x:f>IF($B$78="Cash payoff",E1113,0)</x:f>
        <x:v>0</x:v>
      </x:c>
      <x:c r="G1113" s="440" t="n">
        <x:f>IF(AND(E1113&gt;0,AND($B$78="Refinance",ISNUMBER($B$80),$B$80&gt;=0,$B$80&lt;=1,ROUND($B$81*12,0)&gt;=1,$B$81&lt;=100,SUM($B$82)&gt;=0,SUM($B$82)&lt;=1,SUM($B$83)&gt;=0)),E1113*SUM($B$82)+SUM($B$83),0)</x:f>
        <x:v>0</x:v>
      </x:c>
      <x:c r="H1113" s="440" t="n">
        <x:f>IF(ISNUMBER(D1113),IF(MAX(0,B1113*(1+C1113/12)-D1113-F1113)&lt;MAX(0.0000001,$E$17*0.00000000001),0,MAX(0,B1113*(1+C1113/12)-D1113-F1113)),IF(AND($B$171=1,I1112=1),B1113,""))</x:f>
        <x:v>0</x:v>
      </x:c>
      <x:c r="I1113" s="444" t="n">
        <x:f>IF(OR(I1112=1,AND(E1113&gt;0,$B$78&lt;&gt;"Cash payoff",NOT(AND($B$78="Refinance",ISNUMBER($B$80),$B$80&gt;=0,$B$80&lt;=1,ROUND($B$81*12,0)&gt;=1,$B$81&lt;=100,SUM($B$82)&gt;=0,SUM($B$82)&lt;=1,SUM($B$83)&gt;=0))),AND(ISNUMBER(B1113),B1113&gt;0,$B$171=1,NOT(ISNUMBER(D1113)))),1,0)</x:f>
        <x:v>0</x:v>
      </x:c>
      <x:c r="J1113" s="440" t="n">
        <x:f>IF(ISNUMBER(L1112),L1112,"")</x:f>
        <x:v>0</x:v>
      </x:c>
      <x:c r="K1113" s="440" t="n">
        <x:f>IF(AND(ISNUMBER(J1113),J1113=0),0,IF(AND($B$176=1,ISNUMBER(J1113)),MIN(J1113*(1+$B$87/12),IF($B$86=0,0,IF($B$87=0,$B$86/ROUND($B$88*12,0),$B$86*($B$87/12)/(1-(1+$B$87/12)^(-ROUND($B$88*12,0)))))),""))</x:f>
        <x:v>0</x:v>
      </x:c>
      <x:c r="L1113" s="440" t="n">
        <x:f>IF(ISNUMBER(K1113),IF(MAX(0,J1113*(1+SUM($B$87)/12)-K1113)&lt;MAX(0.0000001,$B$86*0.00000000001),0,MAX(0,J1113*(1+SUM($B$87)/12)-K1113)),"")</x:f>
        <x:v>0</x:v>
      </x:c>
      <x:c r="M1113" s="440" t="n">
        <x:f>IF(AND(ISNUMBER(D1113),ISNUMBER(K1113)),D1113+K1113,"")</x:f>
        <x:v>0</x:v>
      </x:c>
      <x:c r="N1113" s="440" t="n">
        <x:f>IF(AND(ISNUMBER(H1113),ISNUMBER(L1113)),H1113+L1113,"")</x:f>
        <x:v>0</x:v>
      </x:c>
    </x:row>
    <x:row r="1114" ht="22" customHeight="1">
      <x:c r="A1114" s="254" t="n">
        <x:f>714</x:f>
        <x:v>714</x:v>
      </x:c>
      <x:c r="B1114" s="440" t="n">
        <x:f>IF(ISNUMBER(H1113),H1113,"")</x:f>
        <x:v>0</x:v>
      </x:c>
      <x:c r="C1114" s="442" t="n">
        <x:f>IF(ISNUMBER(B1114),IF(AND(714&gt;$B$173,$B$78="Refinance",ISNUMBER($B$80),$B$80&gt;=0,$B$80&lt;=1,ROUND($B$81*12,0)&gt;=1,$B$81&lt;=100,SUM($B$82)&gt;=0,SUM($B$82)&lt;=1,SUM($B$83)&gt;=0),$B$80,IF(AND($B$175&gt;0,714&gt;$B$175,ISNUMBER($B$75)),$B$75,$B$61)),"")</x:f>
        <x:v>0.0625</x:v>
      </x:c>
      <x:c r="D1114" s="440" t="n">
        <x:f>IF(AND(ISNUMBER(B1114),B1114=0),0,IF(AND($B$171=1,I1113=0,ISNUMBER(C1114),ISNUMBER(IF(AND(714&lt;=$B$174,714&lt;=$B$173),B1114*C1114/12,IF(AND(714=$B$173+1,AND(714&gt;$B$173,$B$78="Refinance",ISNUMBER($B$80),$B$80&gt;=0,$B$80&lt;=1,ROUND($B$81*12,0)&gt;=1,$B$81&lt;=100,SUM($B$82)&gt;=0,SUM($B$82)&lt;=1,SUM($B$83)&gt;=0)),IF(B1114=0,0,IF(C1114=0,B1114/ROUND($B$81*12,0),B1114*(C1114/12)/(1-(1+C1114/12)^(-ROUND($B$81*12,0))))),IF(AND(NOT(AND(714&gt;$B$173,$B$78="Refinance",ISNUMBER($B$80),$B$80&gt;=0,$B$80&lt;=1,ROUND($B$81*12,0)&gt;=1,$B$81&lt;=100,SUM($B$82)&gt;=0,SUM($B$82)&lt;=1,SUM($B$83)&gt;=0)),OR(714=1,714=$B$174+1,AND($B$175&gt;0,714=$B$175+1))),IF(AND($B$170=1,$B$66&gt;0,OR($B$175=0,714&lt;=$B$175)),$B$66,IF($B$172-MAX(714-1,$B$174)&gt;0,IF(B1114=0,0,IF(C1114=0,B1114/($B$172-MAX(714-1,$B$174)),B1114*(C1114/12)/(1-(1+C1114/12)^(-($B$172-MAX(714-1,$B$174)))))),"")),D1113))))),IF(IF(AND(714&lt;=$B$174,714&lt;=$B$173),B1114*C1114/12,IF(AND(714=$B$173+1,AND(714&gt;$B$173,$B$78="Refinance",ISNUMBER($B$80),$B$80&gt;=0,$B$80&lt;=1,ROUND($B$81*12,0)&gt;=1,$B$81&lt;=100,SUM($B$82)&gt;=0,SUM($B$82)&lt;=1,SUM($B$83)&gt;=0)),IF(B1114=0,0,IF(C1114=0,B1114/ROUND($B$81*12,0),B1114*(C1114/12)/(1-(1+C1114/12)^(-ROUND($B$81*12,0))))),IF(AND(NOT(AND(714&gt;$B$173,$B$78="Refinance",ISNUMBER($B$80),$B$80&gt;=0,$B$80&lt;=1,ROUND($B$81*12,0)&gt;=1,$B$81&lt;=100,SUM($B$82)&gt;=0,SUM($B$82)&lt;=1,SUM($B$83)&gt;=0)),OR(714=1,714=$B$174+1,AND($B$175&gt;0,714=$B$175+1))),IF(AND($B$170=1,$B$66&gt;0,OR($B$175=0,714&lt;=$B$175)),$B$66,IF($B$172-MAX(714-1,$B$174)&gt;0,IF(B1114=0,0,IF(C1114=0,B1114/($B$172-MAX(714-1,$B$174)),B1114*(C1114/12)/(1-(1+C1114/12)^(-($B$172-MAX(714-1,$B$174)))))),"")),D1113)))+0.0000001&gt;=B1114*C1114/12,MIN(B1114*(1+C1114/12),IF(AND(714&lt;=$B$174,714&lt;=$B$173),B1114*C1114/12,IF(AND(714=$B$173+1,AND(714&gt;$B$173,$B$78="Refinance",ISNUMBER($B$80),$B$80&gt;=0,$B$80&lt;=1,ROUND($B$81*12,0)&gt;=1,$B$81&lt;=100,SUM($B$82)&gt;=0,SUM($B$82)&lt;=1,SUM($B$83)&gt;=0)),IF(B1114=0,0,IF(C1114=0,B1114/ROUND($B$81*12,0),B1114*(C1114/12)/(1-(1+C1114/12)^(-ROUND($B$81*12,0))))),IF(AND(NOT(AND(714&gt;$B$173,$B$78="Refinance",ISNUMBER($B$80),$B$80&gt;=0,$B$80&lt;=1,ROUND($B$81*12,0)&gt;=1,$B$81&lt;=100,SUM($B$82)&gt;=0,SUM($B$82)&lt;=1,SUM($B$83)&gt;=0)),OR(714=1,714=$B$174+1,AND($B$175&gt;0,714=$B$175+1))),IF(AND($B$170=1,$B$66&gt;0,OR($B$175=0,714&lt;=$B$175)),$B$66,IF($B$172-MAX(714-1,$B$174)&gt;0,IF(B1114=0,0,IF(C1114=0,B1114/($B$172-MAX(714-1,$B$174)),B1114*(C1114/12)/(1-(1+C1114/12)^(-($B$172-MAX(714-1,$B$174)))))),"")),D1113)))),""),""))</x:f>
        <x:v>0</x:v>
      </x:c>
      <x:c r="E1114" s="440" t="n">
        <x:f>IF(AND(714=$B$173,ISNUMBER(D1114)),IF(MAX(0,B1114*(1+C1114/12)-D1114)&lt;MAX(0.0000001,$E$17*0.00000000001),0,MAX(0,B1114*(1+C1114/12)-D1114)),0)</x:f>
        <x:v>0</x:v>
      </x:c>
      <x:c r="F1114" s="440" t="n">
        <x:f>IF($B$78="Cash payoff",E1114,0)</x:f>
        <x:v>0</x:v>
      </x:c>
      <x:c r="G1114" s="440" t="n">
        <x:f>IF(AND(E1114&gt;0,AND($B$78="Refinance",ISNUMBER($B$80),$B$80&gt;=0,$B$80&lt;=1,ROUND($B$81*12,0)&gt;=1,$B$81&lt;=100,SUM($B$82)&gt;=0,SUM($B$82)&lt;=1,SUM($B$83)&gt;=0)),E1114*SUM($B$82)+SUM($B$83),0)</x:f>
        <x:v>0</x:v>
      </x:c>
      <x:c r="H1114" s="440" t="n">
        <x:f>IF(ISNUMBER(D1114),IF(MAX(0,B1114*(1+C1114/12)-D1114-F1114)&lt;MAX(0.0000001,$E$17*0.00000000001),0,MAX(0,B1114*(1+C1114/12)-D1114-F1114)),IF(AND($B$171=1,I1113=1),B1114,""))</x:f>
        <x:v>0</x:v>
      </x:c>
      <x:c r="I1114" s="444" t="n">
        <x:f>IF(OR(I1113=1,AND(E1114&gt;0,$B$78&lt;&gt;"Cash payoff",NOT(AND($B$78="Refinance",ISNUMBER($B$80),$B$80&gt;=0,$B$80&lt;=1,ROUND($B$81*12,0)&gt;=1,$B$81&lt;=100,SUM($B$82)&gt;=0,SUM($B$82)&lt;=1,SUM($B$83)&gt;=0))),AND(ISNUMBER(B1114),B1114&gt;0,$B$171=1,NOT(ISNUMBER(D1114)))),1,0)</x:f>
        <x:v>0</x:v>
      </x:c>
      <x:c r="J1114" s="440" t="n">
        <x:f>IF(ISNUMBER(L1113),L1113,"")</x:f>
        <x:v>0</x:v>
      </x:c>
      <x:c r="K1114" s="440" t="n">
        <x:f>IF(AND(ISNUMBER(J1114),J1114=0),0,IF(AND($B$176=1,ISNUMBER(J1114)),MIN(J1114*(1+$B$87/12),IF($B$86=0,0,IF($B$87=0,$B$86/ROUND($B$88*12,0),$B$86*($B$87/12)/(1-(1+$B$87/12)^(-ROUND($B$88*12,0)))))),""))</x:f>
        <x:v>0</x:v>
      </x:c>
      <x:c r="L1114" s="440" t="n">
        <x:f>IF(ISNUMBER(K1114),IF(MAX(0,J1114*(1+SUM($B$87)/12)-K1114)&lt;MAX(0.0000001,$B$86*0.00000000001),0,MAX(0,J1114*(1+SUM($B$87)/12)-K1114)),"")</x:f>
        <x:v>0</x:v>
      </x:c>
      <x:c r="M1114" s="440" t="n">
        <x:f>IF(AND(ISNUMBER(D1114),ISNUMBER(K1114)),D1114+K1114,"")</x:f>
        <x:v>0</x:v>
      </x:c>
      <x:c r="N1114" s="440" t="n">
        <x:f>IF(AND(ISNUMBER(H1114),ISNUMBER(L1114)),H1114+L1114,"")</x:f>
        <x:v>0</x:v>
      </x:c>
    </x:row>
    <x:row r="1115" ht="22" customHeight="1">
      <x:c r="A1115" s="254" t="n">
        <x:f>715</x:f>
        <x:v>715</x:v>
      </x:c>
      <x:c r="B1115" s="440" t="n">
        <x:f>IF(ISNUMBER(H1114),H1114,"")</x:f>
        <x:v>0</x:v>
      </x:c>
      <x:c r="C1115" s="442" t="n">
        <x:f>IF(ISNUMBER(B1115),IF(AND(715&gt;$B$173,$B$78="Refinance",ISNUMBER($B$80),$B$80&gt;=0,$B$80&lt;=1,ROUND($B$81*12,0)&gt;=1,$B$81&lt;=100,SUM($B$82)&gt;=0,SUM($B$82)&lt;=1,SUM($B$83)&gt;=0),$B$80,IF(AND($B$175&gt;0,715&gt;$B$175,ISNUMBER($B$75)),$B$75,$B$61)),"")</x:f>
        <x:v>0.0625</x:v>
      </x:c>
      <x:c r="D1115" s="440" t="n">
        <x:f>IF(AND(ISNUMBER(B1115),B1115=0),0,IF(AND($B$171=1,I1114=0,ISNUMBER(C1115),ISNUMBER(IF(AND(715&lt;=$B$174,715&lt;=$B$173),B1115*C1115/12,IF(AND(715=$B$173+1,AND(715&gt;$B$173,$B$78="Refinance",ISNUMBER($B$80),$B$80&gt;=0,$B$80&lt;=1,ROUND($B$81*12,0)&gt;=1,$B$81&lt;=100,SUM($B$82)&gt;=0,SUM($B$82)&lt;=1,SUM($B$83)&gt;=0)),IF(B1115=0,0,IF(C1115=0,B1115/ROUND($B$81*12,0),B1115*(C1115/12)/(1-(1+C1115/12)^(-ROUND($B$81*12,0))))),IF(AND(NOT(AND(715&gt;$B$173,$B$78="Refinance",ISNUMBER($B$80),$B$80&gt;=0,$B$80&lt;=1,ROUND($B$81*12,0)&gt;=1,$B$81&lt;=100,SUM($B$82)&gt;=0,SUM($B$82)&lt;=1,SUM($B$83)&gt;=0)),OR(715=1,715=$B$174+1,AND($B$175&gt;0,715=$B$175+1))),IF(AND($B$170=1,$B$66&gt;0,OR($B$175=0,715&lt;=$B$175)),$B$66,IF($B$172-MAX(715-1,$B$174)&gt;0,IF(B1115=0,0,IF(C1115=0,B1115/($B$172-MAX(715-1,$B$174)),B1115*(C1115/12)/(1-(1+C1115/12)^(-($B$172-MAX(715-1,$B$174)))))),"")),D1114))))),IF(IF(AND(715&lt;=$B$174,715&lt;=$B$173),B1115*C1115/12,IF(AND(715=$B$173+1,AND(715&gt;$B$173,$B$78="Refinance",ISNUMBER($B$80),$B$80&gt;=0,$B$80&lt;=1,ROUND($B$81*12,0)&gt;=1,$B$81&lt;=100,SUM($B$82)&gt;=0,SUM($B$82)&lt;=1,SUM($B$83)&gt;=0)),IF(B1115=0,0,IF(C1115=0,B1115/ROUND($B$81*12,0),B1115*(C1115/12)/(1-(1+C1115/12)^(-ROUND($B$81*12,0))))),IF(AND(NOT(AND(715&gt;$B$173,$B$78="Refinance",ISNUMBER($B$80),$B$80&gt;=0,$B$80&lt;=1,ROUND($B$81*12,0)&gt;=1,$B$81&lt;=100,SUM($B$82)&gt;=0,SUM($B$82)&lt;=1,SUM($B$83)&gt;=0)),OR(715=1,715=$B$174+1,AND($B$175&gt;0,715=$B$175+1))),IF(AND($B$170=1,$B$66&gt;0,OR($B$175=0,715&lt;=$B$175)),$B$66,IF($B$172-MAX(715-1,$B$174)&gt;0,IF(B1115=0,0,IF(C1115=0,B1115/($B$172-MAX(715-1,$B$174)),B1115*(C1115/12)/(1-(1+C1115/12)^(-($B$172-MAX(715-1,$B$174)))))),"")),D1114)))+0.0000001&gt;=B1115*C1115/12,MIN(B1115*(1+C1115/12),IF(AND(715&lt;=$B$174,715&lt;=$B$173),B1115*C1115/12,IF(AND(715=$B$173+1,AND(715&gt;$B$173,$B$78="Refinance",ISNUMBER($B$80),$B$80&gt;=0,$B$80&lt;=1,ROUND($B$81*12,0)&gt;=1,$B$81&lt;=100,SUM($B$82)&gt;=0,SUM($B$82)&lt;=1,SUM($B$83)&gt;=0)),IF(B1115=0,0,IF(C1115=0,B1115/ROUND($B$81*12,0),B1115*(C1115/12)/(1-(1+C1115/12)^(-ROUND($B$81*12,0))))),IF(AND(NOT(AND(715&gt;$B$173,$B$78="Refinance",ISNUMBER($B$80),$B$80&gt;=0,$B$80&lt;=1,ROUND($B$81*12,0)&gt;=1,$B$81&lt;=100,SUM($B$82)&gt;=0,SUM($B$82)&lt;=1,SUM($B$83)&gt;=0)),OR(715=1,715=$B$174+1,AND($B$175&gt;0,715=$B$175+1))),IF(AND($B$170=1,$B$66&gt;0,OR($B$175=0,715&lt;=$B$175)),$B$66,IF($B$172-MAX(715-1,$B$174)&gt;0,IF(B1115=0,0,IF(C1115=0,B1115/($B$172-MAX(715-1,$B$174)),B1115*(C1115/12)/(1-(1+C1115/12)^(-($B$172-MAX(715-1,$B$174)))))),"")),D1114)))),""),""))</x:f>
        <x:v>0</x:v>
      </x:c>
      <x:c r="E1115" s="440" t="n">
        <x:f>IF(AND(715=$B$173,ISNUMBER(D1115)),IF(MAX(0,B1115*(1+C1115/12)-D1115)&lt;MAX(0.0000001,$E$17*0.00000000001),0,MAX(0,B1115*(1+C1115/12)-D1115)),0)</x:f>
        <x:v>0</x:v>
      </x:c>
      <x:c r="F1115" s="440" t="n">
        <x:f>IF($B$78="Cash payoff",E1115,0)</x:f>
        <x:v>0</x:v>
      </x:c>
      <x:c r="G1115" s="440" t="n">
        <x:f>IF(AND(E1115&gt;0,AND($B$78="Refinance",ISNUMBER($B$80),$B$80&gt;=0,$B$80&lt;=1,ROUND($B$81*12,0)&gt;=1,$B$81&lt;=100,SUM($B$82)&gt;=0,SUM($B$82)&lt;=1,SUM($B$83)&gt;=0)),E1115*SUM($B$82)+SUM($B$83),0)</x:f>
        <x:v>0</x:v>
      </x:c>
      <x:c r="H1115" s="440" t="n">
        <x:f>IF(ISNUMBER(D1115),IF(MAX(0,B1115*(1+C1115/12)-D1115-F1115)&lt;MAX(0.0000001,$E$17*0.00000000001),0,MAX(0,B1115*(1+C1115/12)-D1115-F1115)),IF(AND($B$171=1,I1114=1),B1115,""))</x:f>
        <x:v>0</x:v>
      </x:c>
      <x:c r="I1115" s="444" t="n">
        <x:f>IF(OR(I1114=1,AND(E1115&gt;0,$B$78&lt;&gt;"Cash payoff",NOT(AND($B$78="Refinance",ISNUMBER($B$80),$B$80&gt;=0,$B$80&lt;=1,ROUND($B$81*12,0)&gt;=1,$B$81&lt;=100,SUM($B$82)&gt;=0,SUM($B$82)&lt;=1,SUM($B$83)&gt;=0))),AND(ISNUMBER(B1115),B1115&gt;0,$B$171=1,NOT(ISNUMBER(D1115)))),1,0)</x:f>
        <x:v>0</x:v>
      </x:c>
      <x:c r="J1115" s="440" t="n">
        <x:f>IF(ISNUMBER(L1114),L1114,"")</x:f>
        <x:v>0</x:v>
      </x:c>
      <x:c r="K1115" s="440" t="n">
        <x:f>IF(AND(ISNUMBER(J1115),J1115=0),0,IF(AND($B$176=1,ISNUMBER(J1115)),MIN(J1115*(1+$B$87/12),IF($B$86=0,0,IF($B$87=0,$B$86/ROUND($B$88*12,0),$B$86*($B$87/12)/(1-(1+$B$87/12)^(-ROUND($B$88*12,0)))))),""))</x:f>
        <x:v>0</x:v>
      </x:c>
      <x:c r="L1115" s="440" t="n">
        <x:f>IF(ISNUMBER(K1115),IF(MAX(0,J1115*(1+SUM($B$87)/12)-K1115)&lt;MAX(0.0000001,$B$86*0.00000000001),0,MAX(0,J1115*(1+SUM($B$87)/12)-K1115)),"")</x:f>
        <x:v>0</x:v>
      </x:c>
      <x:c r="M1115" s="440" t="n">
        <x:f>IF(AND(ISNUMBER(D1115),ISNUMBER(K1115)),D1115+K1115,"")</x:f>
        <x:v>0</x:v>
      </x:c>
      <x:c r="N1115" s="440" t="n">
        <x:f>IF(AND(ISNUMBER(H1115),ISNUMBER(L1115)),H1115+L1115,"")</x:f>
        <x:v>0</x:v>
      </x:c>
    </x:row>
    <x:row r="1116" ht="22" customHeight="1">
      <x:c r="A1116" s="254" t="n">
        <x:f>716</x:f>
        <x:v>716</x:v>
      </x:c>
      <x:c r="B1116" s="440" t="n">
        <x:f>IF(ISNUMBER(H1115),H1115,"")</x:f>
        <x:v>0</x:v>
      </x:c>
      <x:c r="C1116" s="442" t="n">
        <x:f>IF(ISNUMBER(B1116),IF(AND(716&gt;$B$173,$B$78="Refinance",ISNUMBER($B$80),$B$80&gt;=0,$B$80&lt;=1,ROUND($B$81*12,0)&gt;=1,$B$81&lt;=100,SUM($B$82)&gt;=0,SUM($B$82)&lt;=1,SUM($B$83)&gt;=0),$B$80,IF(AND($B$175&gt;0,716&gt;$B$175,ISNUMBER($B$75)),$B$75,$B$61)),"")</x:f>
        <x:v>0.0625</x:v>
      </x:c>
      <x:c r="D1116" s="440" t="n">
        <x:f>IF(AND(ISNUMBER(B1116),B1116=0),0,IF(AND($B$171=1,I1115=0,ISNUMBER(C1116),ISNUMBER(IF(AND(716&lt;=$B$174,716&lt;=$B$173),B1116*C1116/12,IF(AND(716=$B$173+1,AND(716&gt;$B$173,$B$78="Refinance",ISNUMBER($B$80),$B$80&gt;=0,$B$80&lt;=1,ROUND($B$81*12,0)&gt;=1,$B$81&lt;=100,SUM($B$82)&gt;=0,SUM($B$82)&lt;=1,SUM($B$83)&gt;=0)),IF(B1116=0,0,IF(C1116=0,B1116/ROUND($B$81*12,0),B1116*(C1116/12)/(1-(1+C1116/12)^(-ROUND($B$81*12,0))))),IF(AND(NOT(AND(716&gt;$B$173,$B$78="Refinance",ISNUMBER($B$80),$B$80&gt;=0,$B$80&lt;=1,ROUND($B$81*12,0)&gt;=1,$B$81&lt;=100,SUM($B$82)&gt;=0,SUM($B$82)&lt;=1,SUM($B$83)&gt;=0)),OR(716=1,716=$B$174+1,AND($B$175&gt;0,716=$B$175+1))),IF(AND($B$170=1,$B$66&gt;0,OR($B$175=0,716&lt;=$B$175)),$B$66,IF($B$172-MAX(716-1,$B$174)&gt;0,IF(B1116=0,0,IF(C1116=0,B1116/($B$172-MAX(716-1,$B$174)),B1116*(C1116/12)/(1-(1+C1116/12)^(-($B$172-MAX(716-1,$B$174)))))),"")),D1115))))),IF(IF(AND(716&lt;=$B$174,716&lt;=$B$173),B1116*C1116/12,IF(AND(716=$B$173+1,AND(716&gt;$B$173,$B$78="Refinance",ISNUMBER($B$80),$B$80&gt;=0,$B$80&lt;=1,ROUND($B$81*12,0)&gt;=1,$B$81&lt;=100,SUM($B$82)&gt;=0,SUM($B$82)&lt;=1,SUM($B$83)&gt;=0)),IF(B1116=0,0,IF(C1116=0,B1116/ROUND($B$81*12,0),B1116*(C1116/12)/(1-(1+C1116/12)^(-ROUND($B$81*12,0))))),IF(AND(NOT(AND(716&gt;$B$173,$B$78="Refinance",ISNUMBER($B$80),$B$80&gt;=0,$B$80&lt;=1,ROUND($B$81*12,0)&gt;=1,$B$81&lt;=100,SUM($B$82)&gt;=0,SUM($B$82)&lt;=1,SUM($B$83)&gt;=0)),OR(716=1,716=$B$174+1,AND($B$175&gt;0,716=$B$175+1))),IF(AND($B$170=1,$B$66&gt;0,OR($B$175=0,716&lt;=$B$175)),$B$66,IF($B$172-MAX(716-1,$B$174)&gt;0,IF(B1116=0,0,IF(C1116=0,B1116/($B$172-MAX(716-1,$B$174)),B1116*(C1116/12)/(1-(1+C1116/12)^(-($B$172-MAX(716-1,$B$174)))))),"")),D1115)))+0.0000001&gt;=B1116*C1116/12,MIN(B1116*(1+C1116/12),IF(AND(716&lt;=$B$174,716&lt;=$B$173),B1116*C1116/12,IF(AND(716=$B$173+1,AND(716&gt;$B$173,$B$78="Refinance",ISNUMBER($B$80),$B$80&gt;=0,$B$80&lt;=1,ROUND($B$81*12,0)&gt;=1,$B$81&lt;=100,SUM($B$82)&gt;=0,SUM($B$82)&lt;=1,SUM($B$83)&gt;=0)),IF(B1116=0,0,IF(C1116=0,B1116/ROUND($B$81*12,0),B1116*(C1116/12)/(1-(1+C1116/12)^(-ROUND($B$81*12,0))))),IF(AND(NOT(AND(716&gt;$B$173,$B$78="Refinance",ISNUMBER($B$80),$B$80&gt;=0,$B$80&lt;=1,ROUND($B$81*12,0)&gt;=1,$B$81&lt;=100,SUM($B$82)&gt;=0,SUM($B$82)&lt;=1,SUM($B$83)&gt;=0)),OR(716=1,716=$B$174+1,AND($B$175&gt;0,716=$B$175+1))),IF(AND($B$170=1,$B$66&gt;0,OR($B$175=0,716&lt;=$B$175)),$B$66,IF($B$172-MAX(716-1,$B$174)&gt;0,IF(B1116=0,0,IF(C1116=0,B1116/($B$172-MAX(716-1,$B$174)),B1116*(C1116/12)/(1-(1+C1116/12)^(-($B$172-MAX(716-1,$B$174)))))),"")),D1115)))),""),""))</x:f>
        <x:v>0</x:v>
      </x:c>
      <x:c r="E1116" s="440" t="n">
        <x:f>IF(AND(716=$B$173,ISNUMBER(D1116)),IF(MAX(0,B1116*(1+C1116/12)-D1116)&lt;MAX(0.0000001,$E$17*0.00000000001),0,MAX(0,B1116*(1+C1116/12)-D1116)),0)</x:f>
        <x:v>0</x:v>
      </x:c>
      <x:c r="F1116" s="440" t="n">
        <x:f>IF($B$78="Cash payoff",E1116,0)</x:f>
        <x:v>0</x:v>
      </x:c>
      <x:c r="G1116" s="440" t="n">
        <x:f>IF(AND(E1116&gt;0,AND($B$78="Refinance",ISNUMBER($B$80),$B$80&gt;=0,$B$80&lt;=1,ROUND($B$81*12,0)&gt;=1,$B$81&lt;=100,SUM($B$82)&gt;=0,SUM($B$82)&lt;=1,SUM($B$83)&gt;=0)),E1116*SUM($B$82)+SUM($B$83),0)</x:f>
        <x:v>0</x:v>
      </x:c>
      <x:c r="H1116" s="440" t="n">
        <x:f>IF(ISNUMBER(D1116),IF(MAX(0,B1116*(1+C1116/12)-D1116-F1116)&lt;MAX(0.0000001,$E$17*0.00000000001),0,MAX(0,B1116*(1+C1116/12)-D1116-F1116)),IF(AND($B$171=1,I1115=1),B1116,""))</x:f>
        <x:v>0</x:v>
      </x:c>
      <x:c r="I1116" s="444" t="n">
        <x:f>IF(OR(I1115=1,AND(E1116&gt;0,$B$78&lt;&gt;"Cash payoff",NOT(AND($B$78="Refinance",ISNUMBER($B$80),$B$80&gt;=0,$B$80&lt;=1,ROUND($B$81*12,0)&gt;=1,$B$81&lt;=100,SUM($B$82)&gt;=0,SUM($B$82)&lt;=1,SUM($B$83)&gt;=0))),AND(ISNUMBER(B1116),B1116&gt;0,$B$171=1,NOT(ISNUMBER(D1116)))),1,0)</x:f>
        <x:v>0</x:v>
      </x:c>
      <x:c r="J1116" s="440" t="n">
        <x:f>IF(ISNUMBER(L1115),L1115,"")</x:f>
        <x:v>0</x:v>
      </x:c>
      <x:c r="K1116" s="440" t="n">
        <x:f>IF(AND(ISNUMBER(J1116),J1116=0),0,IF(AND($B$176=1,ISNUMBER(J1116)),MIN(J1116*(1+$B$87/12),IF($B$86=0,0,IF($B$87=0,$B$86/ROUND($B$88*12,0),$B$86*($B$87/12)/(1-(1+$B$87/12)^(-ROUND($B$88*12,0)))))),""))</x:f>
        <x:v>0</x:v>
      </x:c>
      <x:c r="L1116" s="440" t="n">
        <x:f>IF(ISNUMBER(K1116),IF(MAX(0,J1116*(1+SUM($B$87)/12)-K1116)&lt;MAX(0.0000001,$B$86*0.00000000001),0,MAX(0,J1116*(1+SUM($B$87)/12)-K1116)),"")</x:f>
        <x:v>0</x:v>
      </x:c>
      <x:c r="M1116" s="440" t="n">
        <x:f>IF(AND(ISNUMBER(D1116),ISNUMBER(K1116)),D1116+K1116,"")</x:f>
        <x:v>0</x:v>
      </x:c>
      <x:c r="N1116" s="440" t="n">
        <x:f>IF(AND(ISNUMBER(H1116),ISNUMBER(L1116)),H1116+L1116,"")</x:f>
        <x:v>0</x:v>
      </x:c>
    </x:row>
    <x:row r="1117" ht="22" customHeight="1">
      <x:c r="A1117" s="254" t="n">
        <x:f>717</x:f>
        <x:v>717</x:v>
      </x:c>
      <x:c r="B1117" s="440" t="n">
        <x:f>IF(ISNUMBER(H1116),H1116,"")</x:f>
        <x:v>0</x:v>
      </x:c>
      <x:c r="C1117" s="442" t="n">
        <x:f>IF(ISNUMBER(B1117),IF(AND(717&gt;$B$173,$B$78="Refinance",ISNUMBER($B$80),$B$80&gt;=0,$B$80&lt;=1,ROUND($B$81*12,0)&gt;=1,$B$81&lt;=100,SUM($B$82)&gt;=0,SUM($B$82)&lt;=1,SUM($B$83)&gt;=0),$B$80,IF(AND($B$175&gt;0,717&gt;$B$175,ISNUMBER($B$75)),$B$75,$B$61)),"")</x:f>
        <x:v>0.0625</x:v>
      </x:c>
      <x:c r="D1117" s="440" t="n">
        <x:f>IF(AND(ISNUMBER(B1117),B1117=0),0,IF(AND($B$171=1,I1116=0,ISNUMBER(C1117),ISNUMBER(IF(AND(717&lt;=$B$174,717&lt;=$B$173),B1117*C1117/12,IF(AND(717=$B$173+1,AND(717&gt;$B$173,$B$78="Refinance",ISNUMBER($B$80),$B$80&gt;=0,$B$80&lt;=1,ROUND($B$81*12,0)&gt;=1,$B$81&lt;=100,SUM($B$82)&gt;=0,SUM($B$82)&lt;=1,SUM($B$83)&gt;=0)),IF(B1117=0,0,IF(C1117=0,B1117/ROUND($B$81*12,0),B1117*(C1117/12)/(1-(1+C1117/12)^(-ROUND($B$81*12,0))))),IF(AND(NOT(AND(717&gt;$B$173,$B$78="Refinance",ISNUMBER($B$80),$B$80&gt;=0,$B$80&lt;=1,ROUND($B$81*12,0)&gt;=1,$B$81&lt;=100,SUM($B$82)&gt;=0,SUM($B$82)&lt;=1,SUM($B$83)&gt;=0)),OR(717=1,717=$B$174+1,AND($B$175&gt;0,717=$B$175+1))),IF(AND($B$170=1,$B$66&gt;0,OR($B$175=0,717&lt;=$B$175)),$B$66,IF($B$172-MAX(717-1,$B$174)&gt;0,IF(B1117=0,0,IF(C1117=0,B1117/($B$172-MAX(717-1,$B$174)),B1117*(C1117/12)/(1-(1+C1117/12)^(-($B$172-MAX(717-1,$B$174)))))),"")),D1116))))),IF(IF(AND(717&lt;=$B$174,717&lt;=$B$173),B1117*C1117/12,IF(AND(717=$B$173+1,AND(717&gt;$B$173,$B$78="Refinance",ISNUMBER($B$80),$B$80&gt;=0,$B$80&lt;=1,ROUND($B$81*12,0)&gt;=1,$B$81&lt;=100,SUM($B$82)&gt;=0,SUM($B$82)&lt;=1,SUM($B$83)&gt;=0)),IF(B1117=0,0,IF(C1117=0,B1117/ROUND($B$81*12,0),B1117*(C1117/12)/(1-(1+C1117/12)^(-ROUND($B$81*12,0))))),IF(AND(NOT(AND(717&gt;$B$173,$B$78="Refinance",ISNUMBER($B$80),$B$80&gt;=0,$B$80&lt;=1,ROUND($B$81*12,0)&gt;=1,$B$81&lt;=100,SUM($B$82)&gt;=0,SUM($B$82)&lt;=1,SUM($B$83)&gt;=0)),OR(717=1,717=$B$174+1,AND($B$175&gt;0,717=$B$175+1))),IF(AND($B$170=1,$B$66&gt;0,OR($B$175=0,717&lt;=$B$175)),$B$66,IF($B$172-MAX(717-1,$B$174)&gt;0,IF(B1117=0,0,IF(C1117=0,B1117/($B$172-MAX(717-1,$B$174)),B1117*(C1117/12)/(1-(1+C1117/12)^(-($B$172-MAX(717-1,$B$174)))))),"")),D1116)))+0.0000001&gt;=B1117*C1117/12,MIN(B1117*(1+C1117/12),IF(AND(717&lt;=$B$174,717&lt;=$B$173),B1117*C1117/12,IF(AND(717=$B$173+1,AND(717&gt;$B$173,$B$78="Refinance",ISNUMBER($B$80),$B$80&gt;=0,$B$80&lt;=1,ROUND($B$81*12,0)&gt;=1,$B$81&lt;=100,SUM($B$82)&gt;=0,SUM($B$82)&lt;=1,SUM($B$83)&gt;=0)),IF(B1117=0,0,IF(C1117=0,B1117/ROUND($B$81*12,0),B1117*(C1117/12)/(1-(1+C1117/12)^(-ROUND($B$81*12,0))))),IF(AND(NOT(AND(717&gt;$B$173,$B$78="Refinance",ISNUMBER($B$80),$B$80&gt;=0,$B$80&lt;=1,ROUND($B$81*12,0)&gt;=1,$B$81&lt;=100,SUM($B$82)&gt;=0,SUM($B$82)&lt;=1,SUM($B$83)&gt;=0)),OR(717=1,717=$B$174+1,AND($B$175&gt;0,717=$B$175+1))),IF(AND($B$170=1,$B$66&gt;0,OR($B$175=0,717&lt;=$B$175)),$B$66,IF($B$172-MAX(717-1,$B$174)&gt;0,IF(B1117=0,0,IF(C1117=0,B1117/($B$172-MAX(717-1,$B$174)),B1117*(C1117/12)/(1-(1+C1117/12)^(-($B$172-MAX(717-1,$B$174)))))),"")),D1116)))),""),""))</x:f>
        <x:v>0</x:v>
      </x:c>
      <x:c r="E1117" s="440" t="n">
        <x:f>IF(AND(717=$B$173,ISNUMBER(D1117)),IF(MAX(0,B1117*(1+C1117/12)-D1117)&lt;MAX(0.0000001,$E$17*0.00000000001),0,MAX(0,B1117*(1+C1117/12)-D1117)),0)</x:f>
        <x:v>0</x:v>
      </x:c>
      <x:c r="F1117" s="440" t="n">
        <x:f>IF($B$78="Cash payoff",E1117,0)</x:f>
        <x:v>0</x:v>
      </x:c>
      <x:c r="G1117" s="440" t="n">
        <x:f>IF(AND(E1117&gt;0,AND($B$78="Refinance",ISNUMBER($B$80),$B$80&gt;=0,$B$80&lt;=1,ROUND($B$81*12,0)&gt;=1,$B$81&lt;=100,SUM($B$82)&gt;=0,SUM($B$82)&lt;=1,SUM($B$83)&gt;=0)),E1117*SUM($B$82)+SUM($B$83),0)</x:f>
        <x:v>0</x:v>
      </x:c>
      <x:c r="H1117" s="440" t="n">
        <x:f>IF(ISNUMBER(D1117),IF(MAX(0,B1117*(1+C1117/12)-D1117-F1117)&lt;MAX(0.0000001,$E$17*0.00000000001),0,MAX(0,B1117*(1+C1117/12)-D1117-F1117)),IF(AND($B$171=1,I1116=1),B1117,""))</x:f>
        <x:v>0</x:v>
      </x:c>
      <x:c r="I1117" s="444" t="n">
        <x:f>IF(OR(I1116=1,AND(E1117&gt;0,$B$78&lt;&gt;"Cash payoff",NOT(AND($B$78="Refinance",ISNUMBER($B$80),$B$80&gt;=0,$B$80&lt;=1,ROUND($B$81*12,0)&gt;=1,$B$81&lt;=100,SUM($B$82)&gt;=0,SUM($B$82)&lt;=1,SUM($B$83)&gt;=0))),AND(ISNUMBER(B1117),B1117&gt;0,$B$171=1,NOT(ISNUMBER(D1117)))),1,0)</x:f>
        <x:v>0</x:v>
      </x:c>
      <x:c r="J1117" s="440" t="n">
        <x:f>IF(ISNUMBER(L1116),L1116,"")</x:f>
        <x:v>0</x:v>
      </x:c>
      <x:c r="K1117" s="440" t="n">
        <x:f>IF(AND(ISNUMBER(J1117),J1117=0),0,IF(AND($B$176=1,ISNUMBER(J1117)),MIN(J1117*(1+$B$87/12),IF($B$86=0,0,IF($B$87=0,$B$86/ROUND($B$88*12,0),$B$86*($B$87/12)/(1-(1+$B$87/12)^(-ROUND($B$88*12,0)))))),""))</x:f>
        <x:v>0</x:v>
      </x:c>
      <x:c r="L1117" s="440" t="n">
        <x:f>IF(ISNUMBER(K1117),IF(MAX(0,J1117*(1+SUM($B$87)/12)-K1117)&lt;MAX(0.0000001,$B$86*0.00000000001),0,MAX(0,J1117*(1+SUM($B$87)/12)-K1117)),"")</x:f>
        <x:v>0</x:v>
      </x:c>
      <x:c r="M1117" s="440" t="n">
        <x:f>IF(AND(ISNUMBER(D1117),ISNUMBER(K1117)),D1117+K1117,"")</x:f>
        <x:v>0</x:v>
      </x:c>
      <x:c r="N1117" s="440" t="n">
        <x:f>IF(AND(ISNUMBER(H1117),ISNUMBER(L1117)),H1117+L1117,"")</x:f>
        <x:v>0</x:v>
      </x:c>
    </x:row>
    <x:row r="1118" ht="22" customHeight="1">
      <x:c r="A1118" s="254" t="n">
        <x:f>718</x:f>
        <x:v>718</x:v>
      </x:c>
      <x:c r="B1118" s="440" t="n">
        <x:f>IF(ISNUMBER(H1117),H1117,"")</x:f>
        <x:v>0</x:v>
      </x:c>
      <x:c r="C1118" s="442" t="n">
        <x:f>IF(ISNUMBER(B1118),IF(AND(718&gt;$B$173,$B$78="Refinance",ISNUMBER($B$80),$B$80&gt;=0,$B$80&lt;=1,ROUND($B$81*12,0)&gt;=1,$B$81&lt;=100,SUM($B$82)&gt;=0,SUM($B$82)&lt;=1,SUM($B$83)&gt;=0),$B$80,IF(AND($B$175&gt;0,718&gt;$B$175,ISNUMBER($B$75)),$B$75,$B$61)),"")</x:f>
        <x:v>0.0625</x:v>
      </x:c>
      <x:c r="D1118" s="440" t="n">
        <x:f>IF(AND(ISNUMBER(B1118),B1118=0),0,IF(AND($B$171=1,I1117=0,ISNUMBER(C1118),ISNUMBER(IF(AND(718&lt;=$B$174,718&lt;=$B$173),B1118*C1118/12,IF(AND(718=$B$173+1,AND(718&gt;$B$173,$B$78="Refinance",ISNUMBER($B$80),$B$80&gt;=0,$B$80&lt;=1,ROUND($B$81*12,0)&gt;=1,$B$81&lt;=100,SUM($B$82)&gt;=0,SUM($B$82)&lt;=1,SUM($B$83)&gt;=0)),IF(B1118=0,0,IF(C1118=0,B1118/ROUND($B$81*12,0),B1118*(C1118/12)/(1-(1+C1118/12)^(-ROUND($B$81*12,0))))),IF(AND(NOT(AND(718&gt;$B$173,$B$78="Refinance",ISNUMBER($B$80),$B$80&gt;=0,$B$80&lt;=1,ROUND($B$81*12,0)&gt;=1,$B$81&lt;=100,SUM($B$82)&gt;=0,SUM($B$82)&lt;=1,SUM($B$83)&gt;=0)),OR(718=1,718=$B$174+1,AND($B$175&gt;0,718=$B$175+1))),IF(AND($B$170=1,$B$66&gt;0,OR($B$175=0,718&lt;=$B$175)),$B$66,IF($B$172-MAX(718-1,$B$174)&gt;0,IF(B1118=0,0,IF(C1118=0,B1118/($B$172-MAX(718-1,$B$174)),B1118*(C1118/12)/(1-(1+C1118/12)^(-($B$172-MAX(718-1,$B$174)))))),"")),D1117))))),IF(IF(AND(718&lt;=$B$174,718&lt;=$B$173),B1118*C1118/12,IF(AND(718=$B$173+1,AND(718&gt;$B$173,$B$78="Refinance",ISNUMBER($B$80),$B$80&gt;=0,$B$80&lt;=1,ROUND($B$81*12,0)&gt;=1,$B$81&lt;=100,SUM($B$82)&gt;=0,SUM($B$82)&lt;=1,SUM($B$83)&gt;=0)),IF(B1118=0,0,IF(C1118=0,B1118/ROUND($B$81*12,0),B1118*(C1118/12)/(1-(1+C1118/12)^(-ROUND($B$81*12,0))))),IF(AND(NOT(AND(718&gt;$B$173,$B$78="Refinance",ISNUMBER($B$80),$B$80&gt;=0,$B$80&lt;=1,ROUND($B$81*12,0)&gt;=1,$B$81&lt;=100,SUM($B$82)&gt;=0,SUM($B$82)&lt;=1,SUM($B$83)&gt;=0)),OR(718=1,718=$B$174+1,AND($B$175&gt;0,718=$B$175+1))),IF(AND($B$170=1,$B$66&gt;0,OR($B$175=0,718&lt;=$B$175)),$B$66,IF($B$172-MAX(718-1,$B$174)&gt;0,IF(B1118=0,0,IF(C1118=0,B1118/($B$172-MAX(718-1,$B$174)),B1118*(C1118/12)/(1-(1+C1118/12)^(-($B$172-MAX(718-1,$B$174)))))),"")),D1117)))+0.0000001&gt;=B1118*C1118/12,MIN(B1118*(1+C1118/12),IF(AND(718&lt;=$B$174,718&lt;=$B$173),B1118*C1118/12,IF(AND(718=$B$173+1,AND(718&gt;$B$173,$B$78="Refinance",ISNUMBER($B$80),$B$80&gt;=0,$B$80&lt;=1,ROUND($B$81*12,0)&gt;=1,$B$81&lt;=100,SUM($B$82)&gt;=0,SUM($B$82)&lt;=1,SUM($B$83)&gt;=0)),IF(B1118=0,0,IF(C1118=0,B1118/ROUND($B$81*12,0),B1118*(C1118/12)/(1-(1+C1118/12)^(-ROUND($B$81*12,0))))),IF(AND(NOT(AND(718&gt;$B$173,$B$78="Refinance",ISNUMBER($B$80),$B$80&gt;=0,$B$80&lt;=1,ROUND($B$81*12,0)&gt;=1,$B$81&lt;=100,SUM($B$82)&gt;=0,SUM($B$82)&lt;=1,SUM($B$83)&gt;=0)),OR(718=1,718=$B$174+1,AND($B$175&gt;0,718=$B$175+1))),IF(AND($B$170=1,$B$66&gt;0,OR($B$175=0,718&lt;=$B$175)),$B$66,IF($B$172-MAX(718-1,$B$174)&gt;0,IF(B1118=0,0,IF(C1118=0,B1118/($B$172-MAX(718-1,$B$174)),B1118*(C1118/12)/(1-(1+C1118/12)^(-($B$172-MAX(718-1,$B$174)))))),"")),D1117)))),""),""))</x:f>
        <x:v>0</x:v>
      </x:c>
      <x:c r="E1118" s="440" t="n">
        <x:f>IF(AND(718=$B$173,ISNUMBER(D1118)),IF(MAX(0,B1118*(1+C1118/12)-D1118)&lt;MAX(0.0000001,$E$17*0.00000000001),0,MAX(0,B1118*(1+C1118/12)-D1118)),0)</x:f>
        <x:v>0</x:v>
      </x:c>
      <x:c r="F1118" s="440" t="n">
        <x:f>IF($B$78="Cash payoff",E1118,0)</x:f>
        <x:v>0</x:v>
      </x:c>
      <x:c r="G1118" s="440" t="n">
        <x:f>IF(AND(E1118&gt;0,AND($B$78="Refinance",ISNUMBER($B$80),$B$80&gt;=0,$B$80&lt;=1,ROUND($B$81*12,0)&gt;=1,$B$81&lt;=100,SUM($B$82)&gt;=0,SUM($B$82)&lt;=1,SUM($B$83)&gt;=0)),E1118*SUM($B$82)+SUM($B$83),0)</x:f>
        <x:v>0</x:v>
      </x:c>
      <x:c r="H1118" s="440" t="n">
        <x:f>IF(ISNUMBER(D1118),IF(MAX(0,B1118*(1+C1118/12)-D1118-F1118)&lt;MAX(0.0000001,$E$17*0.00000000001),0,MAX(0,B1118*(1+C1118/12)-D1118-F1118)),IF(AND($B$171=1,I1117=1),B1118,""))</x:f>
        <x:v>0</x:v>
      </x:c>
      <x:c r="I1118" s="444" t="n">
        <x:f>IF(OR(I1117=1,AND(E1118&gt;0,$B$78&lt;&gt;"Cash payoff",NOT(AND($B$78="Refinance",ISNUMBER($B$80),$B$80&gt;=0,$B$80&lt;=1,ROUND($B$81*12,0)&gt;=1,$B$81&lt;=100,SUM($B$82)&gt;=0,SUM($B$82)&lt;=1,SUM($B$83)&gt;=0))),AND(ISNUMBER(B1118),B1118&gt;0,$B$171=1,NOT(ISNUMBER(D1118)))),1,0)</x:f>
        <x:v>0</x:v>
      </x:c>
      <x:c r="J1118" s="440" t="n">
        <x:f>IF(ISNUMBER(L1117),L1117,"")</x:f>
        <x:v>0</x:v>
      </x:c>
      <x:c r="K1118" s="440" t="n">
        <x:f>IF(AND(ISNUMBER(J1118),J1118=0),0,IF(AND($B$176=1,ISNUMBER(J1118)),MIN(J1118*(1+$B$87/12),IF($B$86=0,0,IF($B$87=0,$B$86/ROUND($B$88*12,0),$B$86*($B$87/12)/(1-(1+$B$87/12)^(-ROUND($B$88*12,0)))))),""))</x:f>
        <x:v>0</x:v>
      </x:c>
      <x:c r="L1118" s="440" t="n">
        <x:f>IF(ISNUMBER(K1118),IF(MAX(0,J1118*(1+SUM($B$87)/12)-K1118)&lt;MAX(0.0000001,$B$86*0.00000000001),0,MAX(0,J1118*(1+SUM($B$87)/12)-K1118)),"")</x:f>
        <x:v>0</x:v>
      </x:c>
      <x:c r="M1118" s="440" t="n">
        <x:f>IF(AND(ISNUMBER(D1118),ISNUMBER(K1118)),D1118+K1118,"")</x:f>
        <x:v>0</x:v>
      </x:c>
      <x:c r="N1118" s="440" t="n">
        <x:f>IF(AND(ISNUMBER(H1118),ISNUMBER(L1118)),H1118+L1118,"")</x:f>
        <x:v>0</x:v>
      </x:c>
    </x:row>
    <x:row r="1119" ht="22" customHeight="1">
      <x:c r="A1119" s="254" t="n">
        <x:f>719</x:f>
        <x:v>719</x:v>
      </x:c>
      <x:c r="B1119" s="440" t="n">
        <x:f>IF(ISNUMBER(H1118),H1118,"")</x:f>
        <x:v>0</x:v>
      </x:c>
      <x:c r="C1119" s="442" t="n">
        <x:f>IF(ISNUMBER(B1119),IF(AND(719&gt;$B$173,$B$78="Refinance",ISNUMBER($B$80),$B$80&gt;=0,$B$80&lt;=1,ROUND($B$81*12,0)&gt;=1,$B$81&lt;=100,SUM($B$82)&gt;=0,SUM($B$82)&lt;=1,SUM($B$83)&gt;=0),$B$80,IF(AND($B$175&gt;0,719&gt;$B$175,ISNUMBER($B$75)),$B$75,$B$61)),"")</x:f>
        <x:v>0.0625</x:v>
      </x:c>
      <x:c r="D1119" s="440" t="n">
        <x:f>IF(AND(ISNUMBER(B1119),B1119=0),0,IF(AND($B$171=1,I1118=0,ISNUMBER(C1119),ISNUMBER(IF(AND(719&lt;=$B$174,719&lt;=$B$173),B1119*C1119/12,IF(AND(719=$B$173+1,AND(719&gt;$B$173,$B$78="Refinance",ISNUMBER($B$80),$B$80&gt;=0,$B$80&lt;=1,ROUND($B$81*12,0)&gt;=1,$B$81&lt;=100,SUM($B$82)&gt;=0,SUM($B$82)&lt;=1,SUM($B$83)&gt;=0)),IF(B1119=0,0,IF(C1119=0,B1119/ROUND($B$81*12,0),B1119*(C1119/12)/(1-(1+C1119/12)^(-ROUND($B$81*12,0))))),IF(AND(NOT(AND(719&gt;$B$173,$B$78="Refinance",ISNUMBER($B$80),$B$80&gt;=0,$B$80&lt;=1,ROUND($B$81*12,0)&gt;=1,$B$81&lt;=100,SUM($B$82)&gt;=0,SUM($B$82)&lt;=1,SUM($B$83)&gt;=0)),OR(719=1,719=$B$174+1,AND($B$175&gt;0,719=$B$175+1))),IF(AND($B$170=1,$B$66&gt;0,OR($B$175=0,719&lt;=$B$175)),$B$66,IF($B$172-MAX(719-1,$B$174)&gt;0,IF(B1119=0,0,IF(C1119=0,B1119/($B$172-MAX(719-1,$B$174)),B1119*(C1119/12)/(1-(1+C1119/12)^(-($B$172-MAX(719-1,$B$174)))))),"")),D1118))))),IF(IF(AND(719&lt;=$B$174,719&lt;=$B$173),B1119*C1119/12,IF(AND(719=$B$173+1,AND(719&gt;$B$173,$B$78="Refinance",ISNUMBER($B$80),$B$80&gt;=0,$B$80&lt;=1,ROUND($B$81*12,0)&gt;=1,$B$81&lt;=100,SUM($B$82)&gt;=0,SUM($B$82)&lt;=1,SUM($B$83)&gt;=0)),IF(B1119=0,0,IF(C1119=0,B1119/ROUND($B$81*12,0),B1119*(C1119/12)/(1-(1+C1119/12)^(-ROUND($B$81*12,0))))),IF(AND(NOT(AND(719&gt;$B$173,$B$78="Refinance",ISNUMBER($B$80),$B$80&gt;=0,$B$80&lt;=1,ROUND($B$81*12,0)&gt;=1,$B$81&lt;=100,SUM($B$82)&gt;=0,SUM($B$82)&lt;=1,SUM($B$83)&gt;=0)),OR(719=1,719=$B$174+1,AND($B$175&gt;0,719=$B$175+1))),IF(AND($B$170=1,$B$66&gt;0,OR($B$175=0,719&lt;=$B$175)),$B$66,IF($B$172-MAX(719-1,$B$174)&gt;0,IF(B1119=0,0,IF(C1119=0,B1119/($B$172-MAX(719-1,$B$174)),B1119*(C1119/12)/(1-(1+C1119/12)^(-($B$172-MAX(719-1,$B$174)))))),"")),D1118)))+0.0000001&gt;=B1119*C1119/12,MIN(B1119*(1+C1119/12),IF(AND(719&lt;=$B$174,719&lt;=$B$173),B1119*C1119/12,IF(AND(719=$B$173+1,AND(719&gt;$B$173,$B$78="Refinance",ISNUMBER($B$80),$B$80&gt;=0,$B$80&lt;=1,ROUND($B$81*12,0)&gt;=1,$B$81&lt;=100,SUM($B$82)&gt;=0,SUM($B$82)&lt;=1,SUM($B$83)&gt;=0)),IF(B1119=0,0,IF(C1119=0,B1119/ROUND($B$81*12,0),B1119*(C1119/12)/(1-(1+C1119/12)^(-ROUND($B$81*12,0))))),IF(AND(NOT(AND(719&gt;$B$173,$B$78="Refinance",ISNUMBER($B$80),$B$80&gt;=0,$B$80&lt;=1,ROUND($B$81*12,0)&gt;=1,$B$81&lt;=100,SUM($B$82)&gt;=0,SUM($B$82)&lt;=1,SUM($B$83)&gt;=0)),OR(719=1,719=$B$174+1,AND($B$175&gt;0,719=$B$175+1))),IF(AND($B$170=1,$B$66&gt;0,OR($B$175=0,719&lt;=$B$175)),$B$66,IF($B$172-MAX(719-1,$B$174)&gt;0,IF(B1119=0,0,IF(C1119=0,B1119/($B$172-MAX(719-1,$B$174)),B1119*(C1119/12)/(1-(1+C1119/12)^(-($B$172-MAX(719-1,$B$174)))))),"")),D1118)))),""),""))</x:f>
        <x:v>0</x:v>
      </x:c>
      <x:c r="E1119" s="440" t="n">
        <x:f>IF(AND(719=$B$173,ISNUMBER(D1119)),IF(MAX(0,B1119*(1+C1119/12)-D1119)&lt;MAX(0.0000001,$E$17*0.00000000001),0,MAX(0,B1119*(1+C1119/12)-D1119)),0)</x:f>
        <x:v>0</x:v>
      </x:c>
      <x:c r="F1119" s="440" t="n">
        <x:f>IF($B$78="Cash payoff",E1119,0)</x:f>
        <x:v>0</x:v>
      </x:c>
      <x:c r="G1119" s="440" t="n">
        <x:f>IF(AND(E1119&gt;0,AND($B$78="Refinance",ISNUMBER($B$80),$B$80&gt;=0,$B$80&lt;=1,ROUND($B$81*12,0)&gt;=1,$B$81&lt;=100,SUM($B$82)&gt;=0,SUM($B$82)&lt;=1,SUM($B$83)&gt;=0)),E1119*SUM($B$82)+SUM($B$83),0)</x:f>
        <x:v>0</x:v>
      </x:c>
      <x:c r="H1119" s="440" t="n">
        <x:f>IF(ISNUMBER(D1119),IF(MAX(0,B1119*(1+C1119/12)-D1119-F1119)&lt;MAX(0.0000001,$E$17*0.00000000001),0,MAX(0,B1119*(1+C1119/12)-D1119-F1119)),IF(AND($B$171=1,I1118=1),B1119,""))</x:f>
        <x:v>0</x:v>
      </x:c>
      <x:c r="I1119" s="444" t="n">
        <x:f>IF(OR(I1118=1,AND(E1119&gt;0,$B$78&lt;&gt;"Cash payoff",NOT(AND($B$78="Refinance",ISNUMBER($B$80),$B$80&gt;=0,$B$80&lt;=1,ROUND($B$81*12,0)&gt;=1,$B$81&lt;=100,SUM($B$82)&gt;=0,SUM($B$82)&lt;=1,SUM($B$83)&gt;=0))),AND(ISNUMBER(B1119),B1119&gt;0,$B$171=1,NOT(ISNUMBER(D1119)))),1,0)</x:f>
        <x:v>0</x:v>
      </x:c>
      <x:c r="J1119" s="440" t="n">
        <x:f>IF(ISNUMBER(L1118),L1118,"")</x:f>
        <x:v>0</x:v>
      </x:c>
      <x:c r="K1119" s="440" t="n">
        <x:f>IF(AND(ISNUMBER(J1119),J1119=0),0,IF(AND($B$176=1,ISNUMBER(J1119)),MIN(J1119*(1+$B$87/12),IF($B$86=0,0,IF($B$87=0,$B$86/ROUND($B$88*12,0),$B$86*($B$87/12)/(1-(1+$B$87/12)^(-ROUND($B$88*12,0)))))),""))</x:f>
        <x:v>0</x:v>
      </x:c>
      <x:c r="L1119" s="440" t="n">
        <x:f>IF(ISNUMBER(K1119),IF(MAX(0,J1119*(1+SUM($B$87)/12)-K1119)&lt;MAX(0.0000001,$B$86*0.00000000001),0,MAX(0,J1119*(1+SUM($B$87)/12)-K1119)),"")</x:f>
        <x:v>0</x:v>
      </x:c>
      <x:c r="M1119" s="440" t="n">
        <x:f>IF(AND(ISNUMBER(D1119),ISNUMBER(K1119)),D1119+K1119,"")</x:f>
        <x:v>0</x:v>
      </x:c>
      <x:c r="N1119" s="440" t="n">
        <x:f>IF(AND(ISNUMBER(H1119),ISNUMBER(L1119)),H1119+L1119,"")</x:f>
        <x:v>0</x:v>
      </x:c>
    </x:row>
    <x:row r="1120" ht="22" customHeight="1">
      <x:c r="A1120" s="254" t="n">
        <x:f>720</x:f>
        <x:v>720</x:v>
      </x:c>
      <x:c r="B1120" s="440" t="n">
        <x:f>IF(ISNUMBER(H1119),H1119,"")</x:f>
        <x:v>0</x:v>
      </x:c>
      <x:c r="C1120" s="442" t="n">
        <x:f>IF(ISNUMBER(B1120),IF(AND(720&gt;$B$173,$B$78="Refinance",ISNUMBER($B$80),$B$80&gt;=0,$B$80&lt;=1,ROUND($B$81*12,0)&gt;=1,$B$81&lt;=100,SUM($B$82)&gt;=0,SUM($B$82)&lt;=1,SUM($B$83)&gt;=0),$B$80,IF(AND($B$175&gt;0,720&gt;$B$175,ISNUMBER($B$75)),$B$75,$B$61)),"")</x:f>
        <x:v>0.0625</x:v>
      </x:c>
      <x:c r="D1120" s="440" t="n">
        <x:f>IF(AND(ISNUMBER(B1120),B1120=0),0,IF(AND($B$171=1,I1119=0,ISNUMBER(C1120),ISNUMBER(IF(AND(720&lt;=$B$174,720&lt;=$B$173),B1120*C1120/12,IF(AND(720=$B$173+1,AND(720&gt;$B$173,$B$78="Refinance",ISNUMBER($B$80),$B$80&gt;=0,$B$80&lt;=1,ROUND($B$81*12,0)&gt;=1,$B$81&lt;=100,SUM($B$82)&gt;=0,SUM($B$82)&lt;=1,SUM($B$83)&gt;=0)),IF(B1120=0,0,IF(C1120=0,B1120/ROUND($B$81*12,0),B1120*(C1120/12)/(1-(1+C1120/12)^(-ROUND($B$81*12,0))))),IF(AND(NOT(AND(720&gt;$B$173,$B$78="Refinance",ISNUMBER($B$80),$B$80&gt;=0,$B$80&lt;=1,ROUND($B$81*12,0)&gt;=1,$B$81&lt;=100,SUM($B$82)&gt;=0,SUM($B$82)&lt;=1,SUM($B$83)&gt;=0)),OR(720=1,720=$B$174+1,AND($B$175&gt;0,720=$B$175+1))),IF(AND($B$170=1,$B$66&gt;0,OR($B$175=0,720&lt;=$B$175)),$B$66,IF($B$172-MAX(720-1,$B$174)&gt;0,IF(B1120=0,0,IF(C1120=0,B1120/($B$172-MAX(720-1,$B$174)),B1120*(C1120/12)/(1-(1+C1120/12)^(-($B$172-MAX(720-1,$B$174)))))),"")),D1119))))),IF(IF(AND(720&lt;=$B$174,720&lt;=$B$173),B1120*C1120/12,IF(AND(720=$B$173+1,AND(720&gt;$B$173,$B$78="Refinance",ISNUMBER($B$80),$B$80&gt;=0,$B$80&lt;=1,ROUND($B$81*12,0)&gt;=1,$B$81&lt;=100,SUM($B$82)&gt;=0,SUM($B$82)&lt;=1,SUM($B$83)&gt;=0)),IF(B1120=0,0,IF(C1120=0,B1120/ROUND($B$81*12,0),B1120*(C1120/12)/(1-(1+C1120/12)^(-ROUND($B$81*12,0))))),IF(AND(NOT(AND(720&gt;$B$173,$B$78="Refinance",ISNUMBER($B$80),$B$80&gt;=0,$B$80&lt;=1,ROUND($B$81*12,0)&gt;=1,$B$81&lt;=100,SUM($B$82)&gt;=0,SUM($B$82)&lt;=1,SUM($B$83)&gt;=0)),OR(720=1,720=$B$174+1,AND($B$175&gt;0,720=$B$175+1))),IF(AND($B$170=1,$B$66&gt;0,OR($B$175=0,720&lt;=$B$175)),$B$66,IF($B$172-MAX(720-1,$B$174)&gt;0,IF(B1120=0,0,IF(C1120=0,B1120/($B$172-MAX(720-1,$B$174)),B1120*(C1120/12)/(1-(1+C1120/12)^(-($B$172-MAX(720-1,$B$174)))))),"")),D1119)))+0.0000001&gt;=B1120*C1120/12,MIN(B1120*(1+C1120/12),IF(AND(720&lt;=$B$174,720&lt;=$B$173),B1120*C1120/12,IF(AND(720=$B$173+1,AND(720&gt;$B$173,$B$78="Refinance",ISNUMBER($B$80),$B$80&gt;=0,$B$80&lt;=1,ROUND($B$81*12,0)&gt;=1,$B$81&lt;=100,SUM($B$82)&gt;=0,SUM($B$82)&lt;=1,SUM($B$83)&gt;=0)),IF(B1120=0,0,IF(C1120=0,B1120/ROUND($B$81*12,0),B1120*(C1120/12)/(1-(1+C1120/12)^(-ROUND($B$81*12,0))))),IF(AND(NOT(AND(720&gt;$B$173,$B$78="Refinance",ISNUMBER($B$80),$B$80&gt;=0,$B$80&lt;=1,ROUND($B$81*12,0)&gt;=1,$B$81&lt;=100,SUM($B$82)&gt;=0,SUM($B$82)&lt;=1,SUM($B$83)&gt;=0)),OR(720=1,720=$B$174+1,AND($B$175&gt;0,720=$B$175+1))),IF(AND($B$170=1,$B$66&gt;0,OR($B$175=0,720&lt;=$B$175)),$B$66,IF($B$172-MAX(720-1,$B$174)&gt;0,IF(B1120=0,0,IF(C1120=0,B1120/($B$172-MAX(720-1,$B$174)),B1120*(C1120/12)/(1-(1+C1120/12)^(-($B$172-MAX(720-1,$B$174)))))),"")),D1119)))),""),""))</x:f>
        <x:v>0</x:v>
      </x:c>
      <x:c r="E1120" s="440" t="n">
        <x:f>IF(AND(720=$B$173,ISNUMBER(D1120)),IF(MAX(0,B1120*(1+C1120/12)-D1120)&lt;MAX(0.0000001,$E$17*0.00000000001),0,MAX(0,B1120*(1+C1120/12)-D1120)),0)</x:f>
        <x:v>0</x:v>
      </x:c>
      <x:c r="F1120" s="440" t="n">
        <x:f>IF($B$78="Cash payoff",E1120,0)</x:f>
        <x:v>0</x:v>
      </x:c>
      <x:c r="G1120" s="440" t="n">
        <x:f>IF(AND(E1120&gt;0,AND($B$78="Refinance",ISNUMBER($B$80),$B$80&gt;=0,$B$80&lt;=1,ROUND($B$81*12,0)&gt;=1,$B$81&lt;=100,SUM($B$82)&gt;=0,SUM($B$82)&lt;=1,SUM($B$83)&gt;=0)),E1120*SUM($B$82)+SUM($B$83),0)</x:f>
        <x:v>0</x:v>
      </x:c>
      <x:c r="H1120" s="440" t="n">
        <x:f>IF(ISNUMBER(D1120),IF(MAX(0,B1120*(1+C1120/12)-D1120-F1120)&lt;MAX(0.0000001,$E$17*0.00000000001),0,MAX(0,B1120*(1+C1120/12)-D1120-F1120)),IF(AND($B$171=1,I1119=1),B1120,""))</x:f>
        <x:v>0</x:v>
      </x:c>
      <x:c r="I1120" s="444" t="n">
        <x:f>IF(OR(I1119=1,AND(E1120&gt;0,$B$78&lt;&gt;"Cash payoff",NOT(AND($B$78="Refinance",ISNUMBER($B$80),$B$80&gt;=0,$B$80&lt;=1,ROUND($B$81*12,0)&gt;=1,$B$81&lt;=100,SUM($B$82)&gt;=0,SUM($B$82)&lt;=1,SUM($B$83)&gt;=0))),AND(ISNUMBER(B1120),B1120&gt;0,$B$171=1,NOT(ISNUMBER(D1120)))),1,0)</x:f>
        <x:v>0</x:v>
      </x:c>
      <x:c r="J1120" s="440" t="n">
        <x:f>IF(ISNUMBER(L1119),L1119,"")</x:f>
        <x:v>0</x:v>
      </x:c>
      <x:c r="K1120" s="440" t="n">
        <x:f>IF(AND(ISNUMBER(J1120),J1120=0),0,IF(AND($B$176=1,ISNUMBER(J1120)),MIN(J1120*(1+$B$87/12),IF($B$86=0,0,IF($B$87=0,$B$86/ROUND($B$88*12,0),$B$86*($B$87/12)/(1-(1+$B$87/12)^(-ROUND($B$88*12,0)))))),""))</x:f>
        <x:v>0</x:v>
      </x:c>
      <x:c r="L1120" s="440" t="n">
        <x:f>IF(ISNUMBER(K1120),IF(MAX(0,J1120*(1+SUM($B$87)/12)-K1120)&lt;MAX(0.0000001,$B$86*0.00000000001),0,MAX(0,J1120*(1+SUM($B$87)/12)-K1120)),"")</x:f>
        <x:v>0</x:v>
      </x:c>
      <x:c r="M1120" s="440" t="n">
        <x:f>IF(AND(ISNUMBER(D1120),ISNUMBER(K1120)),D1120+K1120,"")</x:f>
        <x:v>0</x:v>
      </x:c>
      <x:c r="N1120" s="440" t="n">
        <x:f>IF(AND(ISNUMBER(H1120),ISNUMBER(L1120)),H1120+L1120,"")</x:f>
        <x:v>0</x:v>
      </x:c>
    </x:row>
    <x:row r="1121" ht="22" customHeight="1">
      <x:c r="A1121" s="254" t="n">
        <x:f>721</x:f>
        <x:v>721</x:v>
      </x:c>
      <x:c r="B1121" s="440" t="n">
        <x:f>IF(ISNUMBER(H1120),H1120,"")</x:f>
        <x:v>0</x:v>
      </x:c>
      <x:c r="C1121" s="442" t="n">
        <x:f>IF(ISNUMBER(B1121),IF(AND(721&gt;$B$173,$B$78="Refinance",ISNUMBER($B$80),$B$80&gt;=0,$B$80&lt;=1,ROUND($B$81*12,0)&gt;=1,$B$81&lt;=100,SUM($B$82)&gt;=0,SUM($B$82)&lt;=1,SUM($B$83)&gt;=0),$B$80,IF(AND($B$175&gt;0,721&gt;$B$175,ISNUMBER($B$75)),$B$75,$B$61)),"")</x:f>
        <x:v>0.0625</x:v>
      </x:c>
      <x:c r="D1121" s="440" t="n">
        <x:f>IF(AND(ISNUMBER(B1121),B1121=0),0,IF(AND($B$171=1,I1120=0,ISNUMBER(C1121),ISNUMBER(IF(AND(721&lt;=$B$174,721&lt;=$B$173),B1121*C1121/12,IF(AND(721=$B$173+1,AND(721&gt;$B$173,$B$78="Refinance",ISNUMBER($B$80),$B$80&gt;=0,$B$80&lt;=1,ROUND($B$81*12,0)&gt;=1,$B$81&lt;=100,SUM($B$82)&gt;=0,SUM($B$82)&lt;=1,SUM($B$83)&gt;=0)),IF(B1121=0,0,IF(C1121=0,B1121/ROUND($B$81*12,0),B1121*(C1121/12)/(1-(1+C1121/12)^(-ROUND($B$81*12,0))))),IF(AND(NOT(AND(721&gt;$B$173,$B$78="Refinance",ISNUMBER($B$80),$B$80&gt;=0,$B$80&lt;=1,ROUND($B$81*12,0)&gt;=1,$B$81&lt;=100,SUM($B$82)&gt;=0,SUM($B$82)&lt;=1,SUM($B$83)&gt;=0)),OR(721=1,721=$B$174+1,AND($B$175&gt;0,721=$B$175+1))),IF(AND($B$170=1,$B$66&gt;0,OR($B$175=0,721&lt;=$B$175)),$B$66,IF($B$172-MAX(721-1,$B$174)&gt;0,IF(B1121=0,0,IF(C1121=0,B1121/($B$172-MAX(721-1,$B$174)),B1121*(C1121/12)/(1-(1+C1121/12)^(-($B$172-MAX(721-1,$B$174)))))),"")),D1120))))),IF(IF(AND(721&lt;=$B$174,721&lt;=$B$173),B1121*C1121/12,IF(AND(721=$B$173+1,AND(721&gt;$B$173,$B$78="Refinance",ISNUMBER($B$80),$B$80&gt;=0,$B$80&lt;=1,ROUND($B$81*12,0)&gt;=1,$B$81&lt;=100,SUM($B$82)&gt;=0,SUM($B$82)&lt;=1,SUM($B$83)&gt;=0)),IF(B1121=0,0,IF(C1121=0,B1121/ROUND($B$81*12,0),B1121*(C1121/12)/(1-(1+C1121/12)^(-ROUND($B$81*12,0))))),IF(AND(NOT(AND(721&gt;$B$173,$B$78="Refinance",ISNUMBER($B$80),$B$80&gt;=0,$B$80&lt;=1,ROUND($B$81*12,0)&gt;=1,$B$81&lt;=100,SUM($B$82)&gt;=0,SUM($B$82)&lt;=1,SUM($B$83)&gt;=0)),OR(721=1,721=$B$174+1,AND($B$175&gt;0,721=$B$175+1))),IF(AND($B$170=1,$B$66&gt;0,OR($B$175=0,721&lt;=$B$175)),$B$66,IF($B$172-MAX(721-1,$B$174)&gt;0,IF(B1121=0,0,IF(C1121=0,B1121/($B$172-MAX(721-1,$B$174)),B1121*(C1121/12)/(1-(1+C1121/12)^(-($B$172-MAX(721-1,$B$174)))))),"")),D1120)))+0.0000001&gt;=B1121*C1121/12,MIN(B1121*(1+C1121/12),IF(AND(721&lt;=$B$174,721&lt;=$B$173),B1121*C1121/12,IF(AND(721=$B$173+1,AND(721&gt;$B$173,$B$78="Refinance",ISNUMBER($B$80),$B$80&gt;=0,$B$80&lt;=1,ROUND($B$81*12,0)&gt;=1,$B$81&lt;=100,SUM($B$82)&gt;=0,SUM($B$82)&lt;=1,SUM($B$83)&gt;=0)),IF(B1121=0,0,IF(C1121=0,B1121/ROUND($B$81*12,0),B1121*(C1121/12)/(1-(1+C1121/12)^(-ROUND($B$81*12,0))))),IF(AND(NOT(AND(721&gt;$B$173,$B$78="Refinance",ISNUMBER($B$80),$B$80&gt;=0,$B$80&lt;=1,ROUND($B$81*12,0)&gt;=1,$B$81&lt;=100,SUM($B$82)&gt;=0,SUM($B$82)&lt;=1,SUM($B$83)&gt;=0)),OR(721=1,721=$B$174+1,AND($B$175&gt;0,721=$B$175+1))),IF(AND($B$170=1,$B$66&gt;0,OR($B$175=0,721&lt;=$B$175)),$B$66,IF($B$172-MAX(721-1,$B$174)&gt;0,IF(B1121=0,0,IF(C1121=0,B1121/($B$172-MAX(721-1,$B$174)),B1121*(C1121/12)/(1-(1+C1121/12)^(-($B$172-MAX(721-1,$B$174)))))),"")),D1120)))),""),""))</x:f>
        <x:v>0</x:v>
      </x:c>
      <x:c r="E1121" s="440" t="n">
        <x:f>IF(AND(721=$B$173,ISNUMBER(D1121)),IF(MAX(0,B1121*(1+C1121/12)-D1121)&lt;MAX(0.0000001,$E$17*0.00000000001),0,MAX(0,B1121*(1+C1121/12)-D1121)),0)</x:f>
        <x:v>0</x:v>
      </x:c>
      <x:c r="F1121" s="440" t="n">
        <x:f>IF($B$78="Cash payoff",E1121,0)</x:f>
        <x:v>0</x:v>
      </x:c>
      <x:c r="G1121" s="440" t="n">
        <x:f>IF(AND(E1121&gt;0,AND($B$78="Refinance",ISNUMBER($B$80),$B$80&gt;=0,$B$80&lt;=1,ROUND($B$81*12,0)&gt;=1,$B$81&lt;=100,SUM($B$82)&gt;=0,SUM($B$82)&lt;=1,SUM($B$83)&gt;=0)),E1121*SUM($B$82)+SUM($B$83),0)</x:f>
        <x:v>0</x:v>
      </x:c>
      <x:c r="H1121" s="440" t="n">
        <x:f>IF(ISNUMBER(D1121),IF(MAX(0,B1121*(1+C1121/12)-D1121-F1121)&lt;MAX(0.0000001,$E$17*0.00000000001),0,MAX(0,B1121*(1+C1121/12)-D1121-F1121)),IF(AND($B$171=1,I1120=1),B1121,""))</x:f>
        <x:v>0</x:v>
      </x:c>
      <x:c r="I1121" s="444" t="n">
        <x:f>IF(OR(I1120=1,AND(E1121&gt;0,$B$78&lt;&gt;"Cash payoff",NOT(AND($B$78="Refinance",ISNUMBER($B$80),$B$80&gt;=0,$B$80&lt;=1,ROUND($B$81*12,0)&gt;=1,$B$81&lt;=100,SUM($B$82)&gt;=0,SUM($B$82)&lt;=1,SUM($B$83)&gt;=0))),AND(ISNUMBER(B1121),B1121&gt;0,$B$171=1,NOT(ISNUMBER(D1121)))),1,0)</x:f>
        <x:v>0</x:v>
      </x:c>
      <x:c r="J1121" s="440" t="n">
        <x:f>IF(ISNUMBER(L1120),L1120,"")</x:f>
        <x:v>0</x:v>
      </x:c>
      <x:c r="K1121" s="440" t="n">
        <x:f>IF(AND(ISNUMBER(J1121),J1121=0),0,IF(AND($B$176=1,ISNUMBER(J1121)),MIN(J1121*(1+$B$87/12),IF($B$86=0,0,IF($B$87=0,$B$86/ROUND($B$88*12,0),$B$86*($B$87/12)/(1-(1+$B$87/12)^(-ROUND($B$88*12,0)))))),""))</x:f>
        <x:v>0</x:v>
      </x:c>
      <x:c r="L1121" s="440" t="n">
        <x:f>IF(ISNUMBER(K1121),IF(MAX(0,J1121*(1+SUM($B$87)/12)-K1121)&lt;MAX(0.0000001,$B$86*0.00000000001),0,MAX(0,J1121*(1+SUM($B$87)/12)-K1121)),"")</x:f>
        <x:v>0</x:v>
      </x:c>
      <x:c r="M1121" s="440" t="n">
        <x:f>IF(AND(ISNUMBER(D1121),ISNUMBER(K1121)),D1121+K1121,"")</x:f>
        <x:v>0</x:v>
      </x:c>
      <x:c r="N1121" s="440" t="n">
        <x:f>IF(AND(ISNUMBER(H1121),ISNUMBER(L1121)),H1121+L1121,"")</x:f>
        <x:v>0</x:v>
      </x:c>
    </x:row>
    <x:row r="1122" ht="22" customHeight="1">
      <x:c r="A1122" s="254" t="n">
        <x:f>722</x:f>
        <x:v>722</x:v>
      </x:c>
      <x:c r="B1122" s="440" t="n">
        <x:f>IF(ISNUMBER(H1121),H1121,"")</x:f>
        <x:v>0</x:v>
      </x:c>
      <x:c r="C1122" s="442" t="n">
        <x:f>IF(ISNUMBER(B1122),IF(AND(722&gt;$B$173,$B$78="Refinance",ISNUMBER($B$80),$B$80&gt;=0,$B$80&lt;=1,ROUND($B$81*12,0)&gt;=1,$B$81&lt;=100,SUM($B$82)&gt;=0,SUM($B$82)&lt;=1,SUM($B$83)&gt;=0),$B$80,IF(AND($B$175&gt;0,722&gt;$B$175,ISNUMBER($B$75)),$B$75,$B$61)),"")</x:f>
        <x:v>0.0625</x:v>
      </x:c>
      <x:c r="D1122" s="440" t="n">
        <x:f>IF(AND(ISNUMBER(B1122),B1122=0),0,IF(AND($B$171=1,I1121=0,ISNUMBER(C1122),ISNUMBER(IF(AND(722&lt;=$B$174,722&lt;=$B$173),B1122*C1122/12,IF(AND(722=$B$173+1,AND(722&gt;$B$173,$B$78="Refinance",ISNUMBER($B$80),$B$80&gt;=0,$B$80&lt;=1,ROUND($B$81*12,0)&gt;=1,$B$81&lt;=100,SUM($B$82)&gt;=0,SUM($B$82)&lt;=1,SUM($B$83)&gt;=0)),IF(B1122=0,0,IF(C1122=0,B1122/ROUND($B$81*12,0),B1122*(C1122/12)/(1-(1+C1122/12)^(-ROUND($B$81*12,0))))),IF(AND(NOT(AND(722&gt;$B$173,$B$78="Refinance",ISNUMBER($B$80),$B$80&gt;=0,$B$80&lt;=1,ROUND($B$81*12,0)&gt;=1,$B$81&lt;=100,SUM($B$82)&gt;=0,SUM($B$82)&lt;=1,SUM($B$83)&gt;=0)),OR(722=1,722=$B$174+1,AND($B$175&gt;0,722=$B$175+1))),IF(AND($B$170=1,$B$66&gt;0,OR($B$175=0,722&lt;=$B$175)),$B$66,IF($B$172-MAX(722-1,$B$174)&gt;0,IF(B1122=0,0,IF(C1122=0,B1122/($B$172-MAX(722-1,$B$174)),B1122*(C1122/12)/(1-(1+C1122/12)^(-($B$172-MAX(722-1,$B$174)))))),"")),D1121))))),IF(IF(AND(722&lt;=$B$174,722&lt;=$B$173),B1122*C1122/12,IF(AND(722=$B$173+1,AND(722&gt;$B$173,$B$78="Refinance",ISNUMBER($B$80),$B$80&gt;=0,$B$80&lt;=1,ROUND($B$81*12,0)&gt;=1,$B$81&lt;=100,SUM($B$82)&gt;=0,SUM($B$82)&lt;=1,SUM($B$83)&gt;=0)),IF(B1122=0,0,IF(C1122=0,B1122/ROUND($B$81*12,0),B1122*(C1122/12)/(1-(1+C1122/12)^(-ROUND($B$81*12,0))))),IF(AND(NOT(AND(722&gt;$B$173,$B$78="Refinance",ISNUMBER($B$80),$B$80&gt;=0,$B$80&lt;=1,ROUND($B$81*12,0)&gt;=1,$B$81&lt;=100,SUM($B$82)&gt;=0,SUM($B$82)&lt;=1,SUM($B$83)&gt;=0)),OR(722=1,722=$B$174+1,AND($B$175&gt;0,722=$B$175+1))),IF(AND($B$170=1,$B$66&gt;0,OR($B$175=0,722&lt;=$B$175)),$B$66,IF($B$172-MAX(722-1,$B$174)&gt;0,IF(B1122=0,0,IF(C1122=0,B1122/($B$172-MAX(722-1,$B$174)),B1122*(C1122/12)/(1-(1+C1122/12)^(-($B$172-MAX(722-1,$B$174)))))),"")),D1121)))+0.0000001&gt;=B1122*C1122/12,MIN(B1122*(1+C1122/12),IF(AND(722&lt;=$B$174,722&lt;=$B$173),B1122*C1122/12,IF(AND(722=$B$173+1,AND(722&gt;$B$173,$B$78="Refinance",ISNUMBER($B$80),$B$80&gt;=0,$B$80&lt;=1,ROUND($B$81*12,0)&gt;=1,$B$81&lt;=100,SUM($B$82)&gt;=0,SUM($B$82)&lt;=1,SUM($B$83)&gt;=0)),IF(B1122=0,0,IF(C1122=0,B1122/ROUND($B$81*12,0),B1122*(C1122/12)/(1-(1+C1122/12)^(-ROUND($B$81*12,0))))),IF(AND(NOT(AND(722&gt;$B$173,$B$78="Refinance",ISNUMBER($B$80),$B$80&gt;=0,$B$80&lt;=1,ROUND($B$81*12,0)&gt;=1,$B$81&lt;=100,SUM($B$82)&gt;=0,SUM($B$82)&lt;=1,SUM($B$83)&gt;=0)),OR(722=1,722=$B$174+1,AND($B$175&gt;0,722=$B$175+1))),IF(AND($B$170=1,$B$66&gt;0,OR($B$175=0,722&lt;=$B$175)),$B$66,IF($B$172-MAX(722-1,$B$174)&gt;0,IF(B1122=0,0,IF(C1122=0,B1122/($B$172-MAX(722-1,$B$174)),B1122*(C1122/12)/(1-(1+C1122/12)^(-($B$172-MAX(722-1,$B$174)))))),"")),D1121)))),""),""))</x:f>
        <x:v>0</x:v>
      </x:c>
      <x:c r="E1122" s="440" t="n">
        <x:f>IF(AND(722=$B$173,ISNUMBER(D1122)),IF(MAX(0,B1122*(1+C1122/12)-D1122)&lt;MAX(0.0000001,$E$17*0.00000000001),0,MAX(0,B1122*(1+C1122/12)-D1122)),0)</x:f>
        <x:v>0</x:v>
      </x:c>
      <x:c r="F1122" s="440" t="n">
        <x:f>IF($B$78="Cash payoff",E1122,0)</x:f>
        <x:v>0</x:v>
      </x:c>
      <x:c r="G1122" s="440" t="n">
        <x:f>IF(AND(E1122&gt;0,AND($B$78="Refinance",ISNUMBER($B$80),$B$80&gt;=0,$B$80&lt;=1,ROUND($B$81*12,0)&gt;=1,$B$81&lt;=100,SUM($B$82)&gt;=0,SUM($B$82)&lt;=1,SUM($B$83)&gt;=0)),E1122*SUM($B$82)+SUM($B$83),0)</x:f>
        <x:v>0</x:v>
      </x:c>
      <x:c r="H1122" s="440" t="n">
        <x:f>IF(ISNUMBER(D1122),IF(MAX(0,B1122*(1+C1122/12)-D1122-F1122)&lt;MAX(0.0000001,$E$17*0.00000000001),0,MAX(0,B1122*(1+C1122/12)-D1122-F1122)),IF(AND($B$171=1,I1121=1),B1122,""))</x:f>
        <x:v>0</x:v>
      </x:c>
      <x:c r="I1122" s="444" t="n">
        <x:f>IF(OR(I1121=1,AND(E1122&gt;0,$B$78&lt;&gt;"Cash payoff",NOT(AND($B$78="Refinance",ISNUMBER($B$80),$B$80&gt;=0,$B$80&lt;=1,ROUND($B$81*12,0)&gt;=1,$B$81&lt;=100,SUM($B$82)&gt;=0,SUM($B$82)&lt;=1,SUM($B$83)&gt;=0))),AND(ISNUMBER(B1122),B1122&gt;0,$B$171=1,NOT(ISNUMBER(D1122)))),1,0)</x:f>
        <x:v>0</x:v>
      </x:c>
      <x:c r="J1122" s="440" t="n">
        <x:f>IF(ISNUMBER(L1121),L1121,"")</x:f>
        <x:v>0</x:v>
      </x:c>
      <x:c r="K1122" s="440" t="n">
        <x:f>IF(AND(ISNUMBER(J1122),J1122=0),0,IF(AND($B$176=1,ISNUMBER(J1122)),MIN(J1122*(1+$B$87/12),IF($B$86=0,0,IF($B$87=0,$B$86/ROUND($B$88*12,0),$B$86*($B$87/12)/(1-(1+$B$87/12)^(-ROUND($B$88*12,0)))))),""))</x:f>
        <x:v>0</x:v>
      </x:c>
      <x:c r="L1122" s="440" t="n">
        <x:f>IF(ISNUMBER(K1122),IF(MAX(0,J1122*(1+SUM($B$87)/12)-K1122)&lt;MAX(0.0000001,$B$86*0.00000000001),0,MAX(0,J1122*(1+SUM($B$87)/12)-K1122)),"")</x:f>
        <x:v>0</x:v>
      </x:c>
      <x:c r="M1122" s="440" t="n">
        <x:f>IF(AND(ISNUMBER(D1122),ISNUMBER(K1122)),D1122+K1122,"")</x:f>
        <x:v>0</x:v>
      </x:c>
      <x:c r="N1122" s="440" t="n">
        <x:f>IF(AND(ISNUMBER(H1122),ISNUMBER(L1122)),H1122+L1122,"")</x:f>
        <x:v>0</x:v>
      </x:c>
    </x:row>
    <x:row r="1123" ht="22" customHeight="1">
      <x:c r="A1123" s="254" t="n">
        <x:f>723</x:f>
        <x:v>723</x:v>
      </x:c>
      <x:c r="B1123" s="440" t="n">
        <x:f>IF(ISNUMBER(H1122),H1122,"")</x:f>
        <x:v>0</x:v>
      </x:c>
      <x:c r="C1123" s="442" t="n">
        <x:f>IF(ISNUMBER(B1123),IF(AND(723&gt;$B$173,$B$78="Refinance",ISNUMBER($B$80),$B$80&gt;=0,$B$80&lt;=1,ROUND($B$81*12,0)&gt;=1,$B$81&lt;=100,SUM($B$82)&gt;=0,SUM($B$82)&lt;=1,SUM($B$83)&gt;=0),$B$80,IF(AND($B$175&gt;0,723&gt;$B$175,ISNUMBER($B$75)),$B$75,$B$61)),"")</x:f>
        <x:v>0.0625</x:v>
      </x:c>
      <x:c r="D1123" s="440" t="n">
        <x:f>IF(AND(ISNUMBER(B1123),B1123=0),0,IF(AND($B$171=1,I1122=0,ISNUMBER(C1123),ISNUMBER(IF(AND(723&lt;=$B$174,723&lt;=$B$173),B1123*C1123/12,IF(AND(723=$B$173+1,AND(723&gt;$B$173,$B$78="Refinance",ISNUMBER($B$80),$B$80&gt;=0,$B$80&lt;=1,ROUND($B$81*12,0)&gt;=1,$B$81&lt;=100,SUM($B$82)&gt;=0,SUM($B$82)&lt;=1,SUM($B$83)&gt;=0)),IF(B1123=0,0,IF(C1123=0,B1123/ROUND($B$81*12,0),B1123*(C1123/12)/(1-(1+C1123/12)^(-ROUND($B$81*12,0))))),IF(AND(NOT(AND(723&gt;$B$173,$B$78="Refinance",ISNUMBER($B$80),$B$80&gt;=0,$B$80&lt;=1,ROUND($B$81*12,0)&gt;=1,$B$81&lt;=100,SUM($B$82)&gt;=0,SUM($B$82)&lt;=1,SUM($B$83)&gt;=0)),OR(723=1,723=$B$174+1,AND($B$175&gt;0,723=$B$175+1))),IF(AND($B$170=1,$B$66&gt;0,OR($B$175=0,723&lt;=$B$175)),$B$66,IF($B$172-MAX(723-1,$B$174)&gt;0,IF(B1123=0,0,IF(C1123=0,B1123/($B$172-MAX(723-1,$B$174)),B1123*(C1123/12)/(1-(1+C1123/12)^(-($B$172-MAX(723-1,$B$174)))))),"")),D1122))))),IF(IF(AND(723&lt;=$B$174,723&lt;=$B$173),B1123*C1123/12,IF(AND(723=$B$173+1,AND(723&gt;$B$173,$B$78="Refinance",ISNUMBER($B$80),$B$80&gt;=0,$B$80&lt;=1,ROUND($B$81*12,0)&gt;=1,$B$81&lt;=100,SUM($B$82)&gt;=0,SUM($B$82)&lt;=1,SUM($B$83)&gt;=0)),IF(B1123=0,0,IF(C1123=0,B1123/ROUND($B$81*12,0),B1123*(C1123/12)/(1-(1+C1123/12)^(-ROUND($B$81*12,0))))),IF(AND(NOT(AND(723&gt;$B$173,$B$78="Refinance",ISNUMBER($B$80),$B$80&gt;=0,$B$80&lt;=1,ROUND($B$81*12,0)&gt;=1,$B$81&lt;=100,SUM($B$82)&gt;=0,SUM($B$82)&lt;=1,SUM($B$83)&gt;=0)),OR(723=1,723=$B$174+1,AND($B$175&gt;0,723=$B$175+1))),IF(AND($B$170=1,$B$66&gt;0,OR($B$175=0,723&lt;=$B$175)),$B$66,IF($B$172-MAX(723-1,$B$174)&gt;0,IF(B1123=0,0,IF(C1123=0,B1123/($B$172-MAX(723-1,$B$174)),B1123*(C1123/12)/(1-(1+C1123/12)^(-($B$172-MAX(723-1,$B$174)))))),"")),D1122)))+0.0000001&gt;=B1123*C1123/12,MIN(B1123*(1+C1123/12),IF(AND(723&lt;=$B$174,723&lt;=$B$173),B1123*C1123/12,IF(AND(723=$B$173+1,AND(723&gt;$B$173,$B$78="Refinance",ISNUMBER($B$80),$B$80&gt;=0,$B$80&lt;=1,ROUND($B$81*12,0)&gt;=1,$B$81&lt;=100,SUM($B$82)&gt;=0,SUM($B$82)&lt;=1,SUM($B$83)&gt;=0)),IF(B1123=0,0,IF(C1123=0,B1123/ROUND($B$81*12,0),B1123*(C1123/12)/(1-(1+C1123/12)^(-ROUND($B$81*12,0))))),IF(AND(NOT(AND(723&gt;$B$173,$B$78="Refinance",ISNUMBER($B$80),$B$80&gt;=0,$B$80&lt;=1,ROUND($B$81*12,0)&gt;=1,$B$81&lt;=100,SUM($B$82)&gt;=0,SUM($B$82)&lt;=1,SUM($B$83)&gt;=0)),OR(723=1,723=$B$174+1,AND($B$175&gt;0,723=$B$175+1))),IF(AND($B$170=1,$B$66&gt;0,OR($B$175=0,723&lt;=$B$175)),$B$66,IF($B$172-MAX(723-1,$B$174)&gt;0,IF(B1123=0,0,IF(C1123=0,B1123/($B$172-MAX(723-1,$B$174)),B1123*(C1123/12)/(1-(1+C1123/12)^(-($B$172-MAX(723-1,$B$174)))))),"")),D1122)))),""),""))</x:f>
        <x:v>0</x:v>
      </x:c>
      <x:c r="E1123" s="440" t="n">
        <x:f>IF(AND(723=$B$173,ISNUMBER(D1123)),IF(MAX(0,B1123*(1+C1123/12)-D1123)&lt;MAX(0.0000001,$E$17*0.00000000001),0,MAX(0,B1123*(1+C1123/12)-D1123)),0)</x:f>
        <x:v>0</x:v>
      </x:c>
      <x:c r="F1123" s="440" t="n">
        <x:f>IF($B$78="Cash payoff",E1123,0)</x:f>
        <x:v>0</x:v>
      </x:c>
      <x:c r="G1123" s="440" t="n">
        <x:f>IF(AND(E1123&gt;0,AND($B$78="Refinance",ISNUMBER($B$80),$B$80&gt;=0,$B$80&lt;=1,ROUND($B$81*12,0)&gt;=1,$B$81&lt;=100,SUM($B$82)&gt;=0,SUM($B$82)&lt;=1,SUM($B$83)&gt;=0)),E1123*SUM($B$82)+SUM($B$83),0)</x:f>
        <x:v>0</x:v>
      </x:c>
      <x:c r="H1123" s="440" t="n">
        <x:f>IF(ISNUMBER(D1123),IF(MAX(0,B1123*(1+C1123/12)-D1123-F1123)&lt;MAX(0.0000001,$E$17*0.00000000001),0,MAX(0,B1123*(1+C1123/12)-D1123-F1123)),IF(AND($B$171=1,I1122=1),B1123,""))</x:f>
        <x:v>0</x:v>
      </x:c>
      <x:c r="I1123" s="444" t="n">
        <x:f>IF(OR(I1122=1,AND(E1123&gt;0,$B$78&lt;&gt;"Cash payoff",NOT(AND($B$78="Refinance",ISNUMBER($B$80),$B$80&gt;=0,$B$80&lt;=1,ROUND($B$81*12,0)&gt;=1,$B$81&lt;=100,SUM($B$82)&gt;=0,SUM($B$82)&lt;=1,SUM($B$83)&gt;=0))),AND(ISNUMBER(B1123),B1123&gt;0,$B$171=1,NOT(ISNUMBER(D1123)))),1,0)</x:f>
        <x:v>0</x:v>
      </x:c>
      <x:c r="J1123" s="440" t="n">
        <x:f>IF(ISNUMBER(L1122),L1122,"")</x:f>
        <x:v>0</x:v>
      </x:c>
      <x:c r="K1123" s="440" t="n">
        <x:f>IF(AND(ISNUMBER(J1123),J1123=0),0,IF(AND($B$176=1,ISNUMBER(J1123)),MIN(J1123*(1+$B$87/12),IF($B$86=0,0,IF($B$87=0,$B$86/ROUND($B$88*12,0),$B$86*($B$87/12)/(1-(1+$B$87/12)^(-ROUND($B$88*12,0)))))),""))</x:f>
        <x:v>0</x:v>
      </x:c>
      <x:c r="L1123" s="440" t="n">
        <x:f>IF(ISNUMBER(K1123),IF(MAX(0,J1123*(1+SUM($B$87)/12)-K1123)&lt;MAX(0.0000001,$B$86*0.00000000001),0,MAX(0,J1123*(1+SUM($B$87)/12)-K1123)),"")</x:f>
        <x:v>0</x:v>
      </x:c>
      <x:c r="M1123" s="440" t="n">
        <x:f>IF(AND(ISNUMBER(D1123),ISNUMBER(K1123)),D1123+K1123,"")</x:f>
        <x:v>0</x:v>
      </x:c>
      <x:c r="N1123" s="440" t="n">
        <x:f>IF(AND(ISNUMBER(H1123),ISNUMBER(L1123)),H1123+L1123,"")</x:f>
        <x:v>0</x:v>
      </x:c>
    </x:row>
    <x:row r="1124" ht="22" customHeight="1">
      <x:c r="A1124" s="254" t="n">
        <x:f>724</x:f>
        <x:v>724</x:v>
      </x:c>
      <x:c r="B1124" s="440" t="n">
        <x:f>IF(ISNUMBER(H1123),H1123,"")</x:f>
        <x:v>0</x:v>
      </x:c>
      <x:c r="C1124" s="442" t="n">
        <x:f>IF(ISNUMBER(B1124),IF(AND(724&gt;$B$173,$B$78="Refinance",ISNUMBER($B$80),$B$80&gt;=0,$B$80&lt;=1,ROUND($B$81*12,0)&gt;=1,$B$81&lt;=100,SUM($B$82)&gt;=0,SUM($B$82)&lt;=1,SUM($B$83)&gt;=0),$B$80,IF(AND($B$175&gt;0,724&gt;$B$175,ISNUMBER($B$75)),$B$75,$B$61)),"")</x:f>
        <x:v>0.0625</x:v>
      </x:c>
      <x:c r="D1124" s="440" t="n">
        <x:f>IF(AND(ISNUMBER(B1124),B1124=0),0,IF(AND($B$171=1,I1123=0,ISNUMBER(C1124),ISNUMBER(IF(AND(724&lt;=$B$174,724&lt;=$B$173),B1124*C1124/12,IF(AND(724=$B$173+1,AND(724&gt;$B$173,$B$78="Refinance",ISNUMBER($B$80),$B$80&gt;=0,$B$80&lt;=1,ROUND($B$81*12,0)&gt;=1,$B$81&lt;=100,SUM($B$82)&gt;=0,SUM($B$82)&lt;=1,SUM($B$83)&gt;=0)),IF(B1124=0,0,IF(C1124=0,B1124/ROUND($B$81*12,0),B1124*(C1124/12)/(1-(1+C1124/12)^(-ROUND($B$81*12,0))))),IF(AND(NOT(AND(724&gt;$B$173,$B$78="Refinance",ISNUMBER($B$80),$B$80&gt;=0,$B$80&lt;=1,ROUND($B$81*12,0)&gt;=1,$B$81&lt;=100,SUM($B$82)&gt;=0,SUM($B$82)&lt;=1,SUM($B$83)&gt;=0)),OR(724=1,724=$B$174+1,AND($B$175&gt;0,724=$B$175+1))),IF(AND($B$170=1,$B$66&gt;0,OR($B$175=0,724&lt;=$B$175)),$B$66,IF($B$172-MAX(724-1,$B$174)&gt;0,IF(B1124=0,0,IF(C1124=0,B1124/($B$172-MAX(724-1,$B$174)),B1124*(C1124/12)/(1-(1+C1124/12)^(-($B$172-MAX(724-1,$B$174)))))),"")),D1123))))),IF(IF(AND(724&lt;=$B$174,724&lt;=$B$173),B1124*C1124/12,IF(AND(724=$B$173+1,AND(724&gt;$B$173,$B$78="Refinance",ISNUMBER($B$80),$B$80&gt;=0,$B$80&lt;=1,ROUND($B$81*12,0)&gt;=1,$B$81&lt;=100,SUM($B$82)&gt;=0,SUM($B$82)&lt;=1,SUM($B$83)&gt;=0)),IF(B1124=0,0,IF(C1124=0,B1124/ROUND($B$81*12,0),B1124*(C1124/12)/(1-(1+C1124/12)^(-ROUND($B$81*12,0))))),IF(AND(NOT(AND(724&gt;$B$173,$B$78="Refinance",ISNUMBER($B$80),$B$80&gt;=0,$B$80&lt;=1,ROUND($B$81*12,0)&gt;=1,$B$81&lt;=100,SUM($B$82)&gt;=0,SUM($B$82)&lt;=1,SUM($B$83)&gt;=0)),OR(724=1,724=$B$174+1,AND($B$175&gt;0,724=$B$175+1))),IF(AND($B$170=1,$B$66&gt;0,OR($B$175=0,724&lt;=$B$175)),$B$66,IF($B$172-MAX(724-1,$B$174)&gt;0,IF(B1124=0,0,IF(C1124=0,B1124/($B$172-MAX(724-1,$B$174)),B1124*(C1124/12)/(1-(1+C1124/12)^(-($B$172-MAX(724-1,$B$174)))))),"")),D1123)))+0.0000001&gt;=B1124*C1124/12,MIN(B1124*(1+C1124/12),IF(AND(724&lt;=$B$174,724&lt;=$B$173),B1124*C1124/12,IF(AND(724=$B$173+1,AND(724&gt;$B$173,$B$78="Refinance",ISNUMBER($B$80),$B$80&gt;=0,$B$80&lt;=1,ROUND($B$81*12,0)&gt;=1,$B$81&lt;=100,SUM($B$82)&gt;=0,SUM($B$82)&lt;=1,SUM($B$83)&gt;=0)),IF(B1124=0,0,IF(C1124=0,B1124/ROUND($B$81*12,0),B1124*(C1124/12)/(1-(1+C1124/12)^(-ROUND($B$81*12,0))))),IF(AND(NOT(AND(724&gt;$B$173,$B$78="Refinance",ISNUMBER($B$80),$B$80&gt;=0,$B$80&lt;=1,ROUND($B$81*12,0)&gt;=1,$B$81&lt;=100,SUM($B$82)&gt;=0,SUM($B$82)&lt;=1,SUM($B$83)&gt;=0)),OR(724=1,724=$B$174+1,AND($B$175&gt;0,724=$B$175+1))),IF(AND($B$170=1,$B$66&gt;0,OR($B$175=0,724&lt;=$B$175)),$B$66,IF($B$172-MAX(724-1,$B$174)&gt;0,IF(B1124=0,0,IF(C1124=0,B1124/($B$172-MAX(724-1,$B$174)),B1124*(C1124/12)/(1-(1+C1124/12)^(-($B$172-MAX(724-1,$B$174)))))),"")),D1123)))),""),""))</x:f>
        <x:v>0</x:v>
      </x:c>
      <x:c r="E1124" s="440" t="n">
        <x:f>IF(AND(724=$B$173,ISNUMBER(D1124)),IF(MAX(0,B1124*(1+C1124/12)-D1124)&lt;MAX(0.0000001,$E$17*0.00000000001),0,MAX(0,B1124*(1+C1124/12)-D1124)),0)</x:f>
        <x:v>0</x:v>
      </x:c>
      <x:c r="F1124" s="440" t="n">
        <x:f>IF($B$78="Cash payoff",E1124,0)</x:f>
        <x:v>0</x:v>
      </x:c>
      <x:c r="G1124" s="440" t="n">
        <x:f>IF(AND(E1124&gt;0,AND($B$78="Refinance",ISNUMBER($B$80),$B$80&gt;=0,$B$80&lt;=1,ROUND($B$81*12,0)&gt;=1,$B$81&lt;=100,SUM($B$82)&gt;=0,SUM($B$82)&lt;=1,SUM($B$83)&gt;=0)),E1124*SUM($B$82)+SUM($B$83),0)</x:f>
        <x:v>0</x:v>
      </x:c>
      <x:c r="H1124" s="440" t="n">
        <x:f>IF(ISNUMBER(D1124),IF(MAX(0,B1124*(1+C1124/12)-D1124-F1124)&lt;MAX(0.0000001,$E$17*0.00000000001),0,MAX(0,B1124*(1+C1124/12)-D1124-F1124)),IF(AND($B$171=1,I1123=1),B1124,""))</x:f>
        <x:v>0</x:v>
      </x:c>
      <x:c r="I1124" s="444" t="n">
        <x:f>IF(OR(I1123=1,AND(E1124&gt;0,$B$78&lt;&gt;"Cash payoff",NOT(AND($B$78="Refinance",ISNUMBER($B$80),$B$80&gt;=0,$B$80&lt;=1,ROUND($B$81*12,0)&gt;=1,$B$81&lt;=100,SUM($B$82)&gt;=0,SUM($B$82)&lt;=1,SUM($B$83)&gt;=0))),AND(ISNUMBER(B1124),B1124&gt;0,$B$171=1,NOT(ISNUMBER(D1124)))),1,0)</x:f>
        <x:v>0</x:v>
      </x:c>
      <x:c r="J1124" s="440" t="n">
        <x:f>IF(ISNUMBER(L1123),L1123,"")</x:f>
        <x:v>0</x:v>
      </x:c>
      <x:c r="K1124" s="440" t="n">
        <x:f>IF(AND(ISNUMBER(J1124),J1124=0),0,IF(AND($B$176=1,ISNUMBER(J1124)),MIN(J1124*(1+$B$87/12),IF($B$86=0,0,IF($B$87=0,$B$86/ROUND($B$88*12,0),$B$86*($B$87/12)/(1-(1+$B$87/12)^(-ROUND($B$88*12,0)))))),""))</x:f>
        <x:v>0</x:v>
      </x:c>
      <x:c r="L1124" s="440" t="n">
        <x:f>IF(ISNUMBER(K1124),IF(MAX(0,J1124*(1+SUM($B$87)/12)-K1124)&lt;MAX(0.0000001,$B$86*0.00000000001),0,MAX(0,J1124*(1+SUM($B$87)/12)-K1124)),"")</x:f>
        <x:v>0</x:v>
      </x:c>
      <x:c r="M1124" s="440" t="n">
        <x:f>IF(AND(ISNUMBER(D1124),ISNUMBER(K1124)),D1124+K1124,"")</x:f>
        <x:v>0</x:v>
      </x:c>
      <x:c r="N1124" s="440" t="n">
        <x:f>IF(AND(ISNUMBER(H1124),ISNUMBER(L1124)),H1124+L1124,"")</x:f>
        <x:v>0</x:v>
      </x:c>
    </x:row>
    <x:row r="1125" ht="22" customHeight="1">
      <x:c r="A1125" s="254" t="n">
        <x:f>725</x:f>
        <x:v>725</x:v>
      </x:c>
      <x:c r="B1125" s="440" t="n">
        <x:f>IF(ISNUMBER(H1124),H1124,"")</x:f>
        <x:v>0</x:v>
      </x:c>
      <x:c r="C1125" s="442" t="n">
        <x:f>IF(ISNUMBER(B1125),IF(AND(725&gt;$B$173,$B$78="Refinance",ISNUMBER($B$80),$B$80&gt;=0,$B$80&lt;=1,ROUND($B$81*12,0)&gt;=1,$B$81&lt;=100,SUM($B$82)&gt;=0,SUM($B$82)&lt;=1,SUM($B$83)&gt;=0),$B$80,IF(AND($B$175&gt;0,725&gt;$B$175,ISNUMBER($B$75)),$B$75,$B$61)),"")</x:f>
        <x:v>0.0625</x:v>
      </x:c>
      <x:c r="D1125" s="440" t="n">
        <x:f>IF(AND(ISNUMBER(B1125),B1125=0),0,IF(AND($B$171=1,I1124=0,ISNUMBER(C1125),ISNUMBER(IF(AND(725&lt;=$B$174,725&lt;=$B$173),B1125*C1125/12,IF(AND(725=$B$173+1,AND(725&gt;$B$173,$B$78="Refinance",ISNUMBER($B$80),$B$80&gt;=0,$B$80&lt;=1,ROUND($B$81*12,0)&gt;=1,$B$81&lt;=100,SUM($B$82)&gt;=0,SUM($B$82)&lt;=1,SUM($B$83)&gt;=0)),IF(B1125=0,0,IF(C1125=0,B1125/ROUND($B$81*12,0),B1125*(C1125/12)/(1-(1+C1125/12)^(-ROUND($B$81*12,0))))),IF(AND(NOT(AND(725&gt;$B$173,$B$78="Refinance",ISNUMBER($B$80),$B$80&gt;=0,$B$80&lt;=1,ROUND($B$81*12,0)&gt;=1,$B$81&lt;=100,SUM($B$82)&gt;=0,SUM($B$82)&lt;=1,SUM($B$83)&gt;=0)),OR(725=1,725=$B$174+1,AND($B$175&gt;0,725=$B$175+1))),IF(AND($B$170=1,$B$66&gt;0,OR($B$175=0,725&lt;=$B$175)),$B$66,IF($B$172-MAX(725-1,$B$174)&gt;0,IF(B1125=0,0,IF(C1125=0,B1125/($B$172-MAX(725-1,$B$174)),B1125*(C1125/12)/(1-(1+C1125/12)^(-($B$172-MAX(725-1,$B$174)))))),"")),D1124))))),IF(IF(AND(725&lt;=$B$174,725&lt;=$B$173),B1125*C1125/12,IF(AND(725=$B$173+1,AND(725&gt;$B$173,$B$78="Refinance",ISNUMBER($B$80),$B$80&gt;=0,$B$80&lt;=1,ROUND($B$81*12,0)&gt;=1,$B$81&lt;=100,SUM($B$82)&gt;=0,SUM($B$82)&lt;=1,SUM($B$83)&gt;=0)),IF(B1125=0,0,IF(C1125=0,B1125/ROUND($B$81*12,0),B1125*(C1125/12)/(1-(1+C1125/12)^(-ROUND($B$81*12,0))))),IF(AND(NOT(AND(725&gt;$B$173,$B$78="Refinance",ISNUMBER($B$80),$B$80&gt;=0,$B$80&lt;=1,ROUND($B$81*12,0)&gt;=1,$B$81&lt;=100,SUM($B$82)&gt;=0,SUM($B$82)&lt;=1,SUM($B$83)&gt;=0)),OR(725=1,725=$B$174+1,AND($B$175&gt;0,725=$B$175+1))),IF(AND($B$170=1,$B$66&gt;0,OR($B$175=0,725&lt;=$B$175)),$B$66,IF($B$172-MAX(725-1,$B$174)&gt;0,IF(B1125=0,0,IF(C1125=0,B1125/($B$172-MAX(725-1,$B$174)),B1125*(C1125/12)/(1-(1+C1125/12)^(-($B$172-MAX(725-1,$B$174)))))),"")),D1124)))+0.0000001&gt;=B1125*C1125/12,MIN(B1125*(1+C1125/12),IF(AND(725&lt;=$B$174,725&lt;=$B$173),B1125*C1125/12,IF(AND(725=$B$173+1,AND(725&gt;$B$173,$B$78="Refinance",ISNUMBER($B$80),$B$80&gt;=0,$B$80&lt;=1,ROUND($B$81*12,0)&gt;=1,$B$81&lt;=100,SUM($B$82)&gt;=0,SUM($B$82)&lt;=1,SUM($B$83)&gt;=0)),IF(B1125=0,0,IF(C1125=0,B1125/ROUND($B$81*12,0),B1125*(C1125/12)/(1-(1+C1125/12)^(-ROUND($B$81*12,0))))),IF(AND(NOT(AND(725&gt;$B$173,$B$78="Refinance",ISNUMBER($B$80),$B$80&gt;=0,$B$80&lt;=1,ROUND($B$81*12,0)&gt;=1,$B$81&lt;=100,SUM($B$82)&gt;=0,SUM($B$82)&lt;=1,SUM($B$83)&gt;=0)),OR(725=1,725=$B$174+1,AND($B$175&gt;0,725=$B$175+1))),IF(AND($B$170=1,$B$66&gt;0,OR($B$175=0,725&lt;=$B$175)),$B$66,IF($B$172-MAX(725-1,$B$174)&gt;0,IF(B1125=0,0,IF(C1125=0,B1125/($B$172-MAX(725-1,$B$174)),B1125*(C1125/12)/(1-(1+C1125/12)^(-($B$172-MAX(725-1,$B$174)))))),"")),D1124)))),""),""))</x:f>
        <x:v>0</x:v>
      </x:c>
      <x:c r="E1125" s="440" t="n">
        <x:f>IF(AND(725=$B$173,ISNUMBER(D1125)),IF(MAX(0,B1125*(1+C1125/12)-D1125)&lt;MAX(0.0000001,$E$17*0.00000000001),0,MAX(0,B1125*(1+C1125/12)-D1125)),0)</x:f>
        <x:v>0</x:v>
      </x:c>
      <x:c r="F1125" s="440" t="n">
        <x:f>IF($B$78="Cash payoff",E1125,0)</x:f>
        <x:v>0</x:v>
      </x:c>
      <x:c r="G1125" s="440" t="n">
        <x:f>IF(AND(E1125&gt;0,AND($B$78="Refinance",ISNUMBER($B$80),$B$80&gt;=0,$B$80&lt;=1,ROUND($B$81*12,0)&gt;=1,$B$81&lt;=100,SUM($B$82)&gt;=0,SUM($B$82)&lt;=1,SUM($B$83)&gt;=0)),E1125*SUM($B$82)+SUM($B$83),0)</x:f>
        <x:v>0</x:v>
      </x:c>
      <x:c r="H1125" s="440" t="n">
        <x:f>IF(ISNUMBER(D1125),IF(MAX(0,B1125*(1+C1125/12)-D1125-F1125)&lt;MAX(0.0000001,$E$17*0.00000000001),0,MAX(0,B1125*(1+C1125/12)-D1125-F1125)),IF(AND($B$171=1,I1124=1),B1125,""))</x:f>
        <x:v>0</x:v>
      </x:c>
      <x:c r="I1125" s="444" t="n">
        <x:f>IF(OR(I1124=1,AND(E1125&gt;0,$B$78&lt;&gt;"Cash payoff",NOT(AND($B$78="Refinance",ISNUMBER($B$80),$B$80&gt;=0,$B$80&lt;=1,ROUND($B$81*12,0)&gt;=1,$B$81&lt;=100,SUM($B$82)&gt;=0,SUM($B$82)&lt;=1,SUM($B$83)&gt;=0))),AND(ISNUMBER(B1125),B1125&gt;0,$B$171=1,NOT(ISNUMBER(D1125)))),1,0)</x:f>
        <x:v>0</x:v>
      </x:c>
      <x:c r="J1125" s="440" t="n">
        <x:f>IF(ISNUMBER(L1124),L1124,"")</x:f>
        <x:v>0</x:v>
      </x:c>
      <x:c r="K1125" s="440" t="n">
        <x:f>IF(AND(ISNUMBER(J1125),J1125=0),0,IF(AND($B$176=1,ISNUMBER(J1125)),MIN(J1125*(1+$B$87/12),IF($B$86=0,0,IF($B$87=0,$B$86/ROUND($B$88*12,0),$B$86*($B$87/12)/(1-(1+$B$87/12)^(-ROUND($B$88*12,0)))))),""))</x:f>
        <x:v>0</x:v>
      </x:c>
      <x:c r="L1125" s="440" t="n">
        <x:f>IF(ISNUMBER(K1125),IF(MAX(0,J1125*(1+SUM($B$87)/12)-K1125)&lt;MAX(0.0000001,$B$86*0.00000000001),0,MAX(0,J1125*(1+SUM($B$87)/12)-K1125)),"")</x:f>
        <x:v>0</x:v>
      </x:c>
      <x:c r="M1125" s="440" t="n">
        <x:f>IF(AND(ISNUMBER(D1125),ISNUMBER(K1125)),D1125+K1125,"")</x:f>
        <x:v>0</x:v>
      </x:c>
      <x:c r="N1125" s="440" t="n">
        <x:f>IF(AND(ISNUMBER(H1125),ISNUMBER(L1125)),H1125+L1125,"")</x:f>
        <x:v>0</x:v>
      </x:c>
    </x:row>
    <x:row r="1126" ht="22" customHeight="1">
      <x:c r="A1126" s="254" t="n">
        <x:f>726</x:f>
        <x:v>726</x:v>
      </x:c>
      <x:c r="B1126" s="440" t="n">
        <x:f>IF(ISNUMBER(H1125),H1125,"")</x:f>
        <x:v>0</x:v>
      </x:c>
      <x:c r="C1126" s="442" t="n">
        <x:f>IF(ISNUMBER(B1126),IF(AND(726&gt;$B$173,$B$78="Refinance",ISNUMBER($B$80),$B$80&gt;=0,$B$80&lt;=1,ROUND($B$81*12,0)&gt;=1,$B$81&lt;=100,SUM($B$82)&gt;=0,SUM($B$82)&lt;=1,SUM($B$83)&gt;=0),$B$80,IF(AND($B$175&gt;0,726&gt;$B$175,ISNUMBER($B$75)),$B$75,$B$61)),"")</x:f>
        <x:v>0.0625</x:v>
      </x:c>
      <x:c r="D1126" s="440" t="n">
        <x:f>IF(AND(ISNUMBER(B1126),B1126=0),0,IF(AND($B$171=1,I1125=0,ISNUMBER(C1126),ISNUMBER(IF(AND(726&lt;=$B$174,726&lt;=$B$173),B1126*C1126/12,IF(AND(726=$B$173+1,AND(726&gt;$B$173,$B$78="Refinance",ISNUMBER($B$80),$B$80&gt;=0,$B$80&lt;=1,ROUND($B$81*12,0)&gt;=1,$B$81&lt;=100,SUM($B$82)&gt;=0,SUM($B$82)&lt;=1,SUM($B$83)&gt;=0)),IF(B1126=0,0,IF(C1126=0,B1126/ROUND($B$81*12,0),B1126*(C1126/12)/(1-(1+C1126/12)^(-ROUND($B$81*12,0))))),IF(AND(NOT(AND(726&gt;$B$173,$B$78="Refinance",ISNUMBER($B$80),$B$80&gt;=0,$B$80&lt;=1,ROUND($B$81*12,0)&gt;=1,$B$81&lt;=100,SUM($B$82)&gt;=0,SUM($B$82)&lt;=1,SUM($B$83)&gt;=0)),OR(726=1,726=$B$174+1,AND($B$175&gt;0,726=$B$175+1))),IF(AND($B$170=1,$B$66&gt;0,OR($B$175=0,726&lt;=$B$175)),$B$66,IF($B$172-MAX(726-1,$B$174)&gt;0,IF(B1126=0,0,IF(C1126=0,B1126/($B$172-MAX(726-1,$B$174)),B1126*(C1126/12)/(1-(1+C1126/12)^(-($B$172-MAX(726-1,$B$174)))))),"")),D1125))))),IF(IF(AND(726&lt;=$B$174,726&lt;=$B$173),B1126*C1126/12,IF(AND(726=$B$173+1,AND(726&gt;$B$173,$B$78="Refinance",ISNUMBER($B$80),$B$80&gt;=0,$B$80&lt;=1,ROUND($B$81*12,0)&gt;=1,$B$81&lt;=100,SUM($B$82)&gt;=0,SUM($B$82)&lt;=1,SUM($B$83)&gt;=0)),IF(B1126=0,0,IF(C1126=0,B1126/ROUND($B$81*12,0),B1126*(C1126/12)/(1-(1+C1126/12)^(-ROUND($B$81*12,0))))),IF(AND(NOT(AND(726&gt;$B$173,$B$78="Refinance",ISNUMBER($B$80),$B$80&gt;=0,$B$80&lt;=1,ROUND($B$81*12,0)&gt;=1,$B$81&lt;=100,SUM($B$82)&gt;=0,SUM($B$82)&lt;=1,SUM($B$83)&gt;=0)),OR(726=1,726=$B$174+1,AND($B$175&gt;0,726=$B$175+1))),IF(AND($B$170=1,$B$66&gt;0,OR($B$175=0,726&lt;=$B$175)),$B$66,IF($B$172-MAX(726-1,$B$174)&gt;0,IF(B1126=0,0,IF(C1126=0,B1126/($B$172-MAX(726-1,$B$174)),B1126*(C1126/12)/(1-(1+C1126/12)^(-($B$172-MAX(726-1,$B$174)))))),"")),D1125)))+0.0000001&gt;=B1126*C1126/12,MIN(B1126*(1+C1126/12),IF(AND(726&lt;=$B$174,726&lt;=$B$173),B1126*C1126/12,IF(AND(726=$B$173+1,AND(726&gt;$B$173,$B$78="Refinance",ISNUMBER($B$80),$B$80&gt;=0,$B$80&lt;=1,ROUND($B$81*12,0)&gt;=1,$B$81&lt;=100,SUM($B$82)&gt;=0,SUM($B$82)&lt;=1,SUM($B$83)&gt;=0)),IF(B1126=0,0,IF(C1126=0,B1126/ROUND($B$81*12,0),B1126*(C1126/12)/(1-(1+C1126/12)^(-ROUND($B$81*12,0))))),IF(AND(NOT(AND(726&gt;$B$173,$B$78="Refinance",ISNUMBER($B$80),$B$80&gt;=0,$B$80&lt;=1,ROUND($B$81*12,0)&gt;=1,$B$81&lt;=100,SUM($B$82)&gt;=0,SUM($B$82)&lt;=1,SUM($B$83)&gt;=0)),OR(726=1,726=$B$174+1,AND($B$175&gt;0,726=$B$175+1))),IF(AND($B$170=1,$B$66&gt;0,OR($B$175=0,726&lt;=$B$175)),$B$66,IF($B$172-MAX(726-1,$B$174)&gt;0,IF(B1126=0,0,IF(C1126=0,B1126/($B$172-MAX(726-1,$B$174)),B1126*(C1126/12)/(1-(1+C1126/12)^(-($B$172-MAX(726-1,$B$174)))))),"")),D1125)))),""),""))</x:f>
        <x:v>0</x:v>
      </x:c>
      <x:c r="E1126" s="440" t="n">
        <x:f>IF(AND(726=$B$173,ISNUMBER(D1126)),IF(MAX(0,B1126*(1+C1126/12)-D1126)&lt;MAX(0.0000001,$E$17*0.00000000001),0,MAX(0,B1126*(1+C1126/12)-D1126)),0)</x:f>
        <x:v>0</x:v>
      </x:c>
      <x:c r="F1126" s="440" t="n">
        <x:f>IF($B$78="Cash payoff",E1126,0)</x:f>
        <x:v>0</x:v>
      </x:c>
      <x:c r="G1126" s="440" t="n">
        <x:f>IF(AND(E1126&gt;0,AND($B$78="Refinance",ISNUMBER($B$80),$B$80&gt;=0,$B$80&lt;=1,ROUND($B$81*12,0)&gt;=1,$B$81&lt;=100,SUM($B$82)&gt;=0,SUM($B$82)&lt;=1,SUM($B$83)&gt;=0)),E1126*SUM($B$82)+SUM($B$83),0)</x:f>
        <x:v>0</x:v>
      </x:c>
      <x:c r="H1126" s="440" t="n">
        <x:f>IF(ISNUMBER(D1126),IF(MAX(0,B1126*(1+C1126/12)-D1126-F1126)&lt;MAX(0.0000001,$E$17*0.00000000001),0,MAX(0,B1126*(1+C1126/12)-D1126-F1126)),IF(AND($B$171=1,I1125=1),B1126,""))</x:f>
        <x:v>0</x:v>
      </x:c>
      <x:c r="I1126" s="444" t="n">
        <x:f>IF(OR(I1125=1,AND(E1126&gt;0,$B$78&lt;&gt;"Cash payoff",NOT(AND($B$78="Refinance",ISNUMBER($B$80),$B$80&gt;=0,$B$80&lt;=1,ROUND($B$81*12,0)&gt;=1,$B$81&lt;=100,SUM($B$82)&gt;=0,SUM($B$82)&lt;=1,SUM($B$83)&gt;=0))),AND(ISNUMBER(B1126),B1126&gt;0,$B$171=1,NOT(ISNUMBER(D1126)))),1,0)</x:f>
        <x:v>0</x:v>
      </x:c>
      <x:c r="J1126" s="440" t="n">
        <x:f>IF(ISNUMBER(L1125),L1125,"")</x:f>
        <x:v>0</x:v>
      </x:c>
      <x:c r="K1126" s="440" t="n">
        <x:f>IF(AND(ISNUMBER(J1126),J1126=0),0,IF(AND($B$176=1,ISNUMBER(J1126)),MIN(J1126*(1+$B$87/12),IF($B$86=0,0,IF($B$87=0,$B$86/ROUND($B$88*12,0),$B$86*($B$87/12)/(1-(1+$B$87/12)^(-ROUND($B$88*12,0)))))),""))</x:f>
        <x:v>0</x:v>
      </x:c>
      <x:c r="L1126" s="440" t="n">
        <x:f>IF(ISNUMBER(K1126),IF(MAX(0,J1126*(1+SUM($B$87)/12)-K1126)&lt;MAX(0.0000001,$B$86*0.00000000001),0,MAX(0,J1126*(1+SUM($B$87)/12)-K1126)),"")</x:f>
        <x:v>0</x:v>
      </x:c>
      <x:c r="M1126" s="440" t="n">
        <x:f>IF(AND(ISNUMBER(D1126),ISNUMBER(K1126)),D1126+K1126,"")</x:f>
        <x:v>0</x:v>
      </x:c>
      <x:c r="N1126" s="440" t="n">
        <x:f>IF(AND(ISNUMBER(H1126),ISNUMBER(L1126)),H1126+L1126,"")</x:f>
        <x:v>0</x:v>
      </x:c>
    </x:row>
    <x:row r="1127" ht="22" customHeight="1">
      <x:c r="A1127" s="254" t="n">
        <x:f>727</x:f>
        <x:v>727</x:v>
      </x:c>
      <x:c r="B1127" s="440" t="n">
        <x:f>IF(ISNUMBER(H1126),H1126,"")</x:f>
        <x:v>0</x:v>
      </x:c>
      <x:c r="C1127" s="442" t="n">
        <x:f>IF(ISNUMBER(B1127),IF(AND(727&gt;$B$173,$B$78="Refinance",ISNUMBER($B$80),$B$80&gt;=0,$B$80&lt;=1,ROUND($B$81*12,0)&gt;=1,$B$81&lt;=100,SUM($B$82)&gt;=0,SUM($B$82)&lt;=1,SUM($B$83)&gt;=0),$B$80,IF(AND($B$175&gt;0,727&gt;$B$175,ISNUMBER($B$75)),$B$75,$B$61)),"")</x:f>
        <x:v>0.0625</x:v>
      </x:c>
      <x:c r="D1127" s="440" t="n">
        <x:f>IF(AND(ISNUMBER(B1127),B1127=0),0,IF(AND($B$171=1,I1126=0,ISNUMBER(C1127),ISNUMBER(IF(AND(727&lt;=$B$174,727&lt;=$B$173),B1127*C1127/12,IF(AND(727=$B$173+1,AND(727&gt;$B$173,$B$78="Refinance",ISNUMBER($B$80),$B$80&gt;=0,$B$80&lt;=1,ROUND($B$81*12,0)&gt;=1,$B$81&lt;=100,SUM($B$82)&gt;=0,SUM($B$82)&lt;=1,SUM($B$83)&gt;=0)),IF(B1127=0,0,IF(C1127=0,B1127/ROUND($B$81*12,0),B1127*(C1127/12)/(1-(1+C1127/12)^(-ROUND($B$81*12,0))))),IF(AND(NOT(AND(727&gt;$B$173,$B$78="Refinance",ISNUMBER($B$80),$B$80&gt;=0,$B$80&lt;=1,ROUND($B$81*12,0)&gt;=1,$B$81&lt;=100,SUM($B$82)&gt;=0,SUM($B$82)&lt;=1,SUM($B$83)&gt;=0)),OR(727=1,727=$B$174+1,AND($B$175&gt;0,727=$B$175+1))),IF(AND($B$170=1,$B$66&gt;0,OR($B$175=0,727&lt;=$B$175)),$B$66,IF($B$172-MAX(727-1,$B$174)&gt;0,IF(B1127=0,0,IF(C1127=0,B1127/($B$172-MAX(727-1,$B$174)),B1127*(C1127/12)/(1-(1+C1127/12)^(-($B$172-MAX(727-1,$B$174)))))),"")),D1126))))),IF(IF(AND(727&lt;=$B$174,727&lt;=$B$173),B1127*C1127/12,IF(AND(727=$B$173+1,AND(727&gt;$B$173,$B$78="Refinance",ISNUMBER($B$80),$B$80&gt;=0,$B$80&lt;=1,ROUND($B$81*12,0)&gt;=1,$B$81&lt;=100,SUM($B$82)&gt;=0,SUM($B$82)&lt;=1,SUM($B$83)&gt;=0)),IF(B1127=0,0,IF(C1127=0,B1127/ROUND($B$81*12,0),B1127*(C1127/12)/(1-(1+C1127/12)^(-ROUND($B$81*12,0))))),IF(AND(NOT(AND(727&gt;$B$173,$B$78="Refinance",ISNUMBER($B$80),$B$80&gt;=0,$B$80&lt;=1,ROUND($B$81*12,0)&gt;=1,$B$81&lt;=100,SUM($B$82)&gt;=0,SUM($B$82)&lt;=1,SUM($B$83)&gt;=0)),OR(727=1,727=$B$174+1,AND($B$175&gt;0,727=$B$175+1))),IF(AND($B$170=1,$B$66&gt;0,OR($B$175=0,727&lt;=$B$175)),$B$66,IF($B$172-MAX(727-1,$B$174)&gt;0,IF(B1127=0,0,IF(C1127=0,B1127/($B$172-MAX(727-1,$B$174)),B1127*(C1127/12)/(1-(1+C1127/12)^(-($B$172-MAX(727-1,$B$174)))))),"")),D1126)))+0.0000001&gt;=B1127*C1127/12,MIN(B1127*(1+C1127/12),IF(AND(727&lt;=$B$174,727&lt;=$B$173),B1127*C1127/12,IF(AND(727=$B$173+1,AND(727&gt;$B$173,$B$78="Refinance",ISNUMBER($B$80),$B$80&gt;=0,$B$80&lt;=1,ROUND($B$81*12,0)&gt;=1,$B$81&lt;=100,SUM($B$82)&gt;=0,SUM($B$82)&lt;=1,SUM($B$83)&gt;=0)),IF(B1127=0,0,IF(C1127=0,B1127/ROUND($B$81*12,0),B1127*(C1127/12)/(1-(1+C1127/12)^(-ROUND($B$81*12,0))))),IF(AND(NOT(AND(727&gt;$B$173,$B$78="Refinance",ISNUMBER($B$80),$B$80&gt;=0,$B$80&lt;=1,ROUND($B$81*12,0)&gt;=1,$B$81&lt;=100,SUM($B$82)&gt;=0,SUM($B$82)&lt;=1,SUM($B$83)&gt;=0)),OR(727=1,727=$B$174+1,AND($B$175&gt;0,727=$B$175+1))),IF(AND($B$170=1,$B$66&gt;0,OR($B$175=0,727&lt;=$B$175)),$B$66,IF($B$172-MAX(727-1,$B$174)&gt;0,IF(B1127=0,0,IF(C1127=0,B1127/($B$172-MAX(727-1,$B$174)),B1127*(C1127/12)/(1-(1+C1127/12)^(-($B$172-MAX(727-1,$B$174)))))),"")),D1126)))),""),""))</x:f>
        <x:v>0</x:v>
      </x:c>
      <x:c r="E1127" s="440" t="n">
        <x:f>IF(AND(727=$B$173,ISNUMBER(D1127)),IF(MAX(0,B1127*(1+C1127/12)-D1127)&lt;MAX(0.0000001,$E$17*0.00000000001),0,MAX(0,B1127*(1+C1127/12)-D1127)),0)</x:f>
        <x:v>0</x:v>
      </x:c>
      <x:c r="F1127" s="440" t="n">
        <x:f>IF($B$78="Cash payoff",E1127,0)</x:f>
        <x:v>0</x:v>
      </x:c>
      <x:c r="G1127" s="440" t="n">
        <x:f>IF(AND(E1127&gt;0,AND($B$78="Refinance",ISNUMBER($B$80),$B$80&gt;=0,$B$80&lt;=1,ROUND($B$81*12,0)&gt;=1,$B$81&lt;=100,SUM($B$82)&gt;=0,SUM($B$82)&lt;=1,SUM($B$83)&gt;=0)),E1127*SUM($B$82)+SUM($B$83),0)</x:f>
        <x:v>0</x:v>
      </x:c>
      <x:c r="H1127" s="440" t="n">
        <x:f>IF(ISNUMBER(D1127),IF(MAX(0,B1127*(1+C1127/12)-D1127-F1127)&lt;MAX(0.0000001,$E$17*0.00000000001),0,MAX(0,B1127*(1+C1127/12)-D1127-F1127)),IF(AND($B$171=1,I1126=1),B1127,""))</x:f>
        <x:v>0</x:v>
      </x:c>
      <x:c r="I1127" s="444" t="n">
        <x:f>IF(OR(I1126=1,AND(E1127&gt;0,$B$78&lt;&gt;"Cash payoff",NOT(AND($B$78="Refinance",ISNUMBER($B$80),$B$80&gt;=0,$B$80&lt;=1,ROUND($B$81*12,0)&gt;=1,$B$81&lt;=100,SUM($B$82)&gt;=0,SUM($B$82)&lt;=1,SUM($B$83)&gt;=0))),AND(ISNUMBER(B1127),B1127&gt;0,$B$171=1,NOT(ISNUMBER(D1127)))),1,0)</x:f>
        <x:v>0</x:v>
      </x:c>
      <x:c r="J1127" s="440" t="n">
        <x:f>IF(ISNUMBER(L1126),L1126,"")</x:f>
        <x:v>0</x:v>
      </x:c>
      <x:c r="K1127" s="440" t="n">
        <x:f>IF(AND(ISNUMBER(J1127),J1127=0),0,IF(AND($B$176=1,ISNUMBER(J1127)),MIN(J1127*(1+$B$87/12),IF($B$86=0,0,IF($B$87=0,$B$86/ROUND($B$88*12,0),$B$86*($B$87/12)/(1-(1+$B$87/12)^(-ROUND($B$88*12,0)))))),""))</x:f>
        <x:v>0</x:v>
      </x:c>
      <x:c r="L1127" s="440" t="n">
        <x:f>IF(ISNUMBER(K1127),IF(MAX(0,J1127*(1+SUM($B$87)/12)-K1127)&lt;MAX(0.0000001,$B$86*0.00000000001),0,MAX(0,J1127*(1+SUM($B$87)/12)-K1127)),"")</x:f>
        <x:v>0</x:v>
      </x:c>
      <x:c r="M1127" s="440" t="n">
        <x:f>IF(AND(ISNUMBER(D1127),ISNUMBER(K1127)),D1127+K1127,"")</x:f>
        <x:v>0</x:v>
      </x:c>
      <x:c r="N1127" s="440" t="n">
        <x:f>IF(AND(ISNUMBER(H1127),ISNUMBER(L1127)),H1127+L1127,"")</x:f>
        <x:v>0</x:v>
      </x:c>
    </x:row>
    <x:row r="1128" ht="22" customHeight="1">
      <x:c r="A1128" s="254" t="n">
        <x:f>728</x:f>
        <x:v>728</x:v>
      </x:c>
      <x:c r="B1128" s="440" t="n">
        <x:f>IF(ISNUMBER(H1127),H1127,"")</x:f>
        <x:v>0</x:v>
      </x:c>
      <x:c r="C1128" s="442" t="n">
        <x:f>IF(ISNUMBER(B1128),IF(AND(728&gt;$B$173,$B$78="Refinance",ISNUMBER($B$80),$B$80&gt;=0,$B$80&lt;=1,ROUND($B$81*12,0)&gt;=1,$B$81&lt;=100,SUM($B$82)&gt;=0,SUM($B$82)&lt;=1,SUM($B$83)&gt;=0),$B$80,IF(AND($B$175&gt;0,728&gt;$B$175,ISNUMBER($B$75)),$B$75,$B$61)),"")</x:f>
        <x:v>0.0625</x:v>
      </x:c>
      <x:c r="D1128" s="440" t="n">
        <x:f>IF(AND(ISNUMBER(B1128),B1128=0),0,IF(AND($B$171=1,I1127=0,ISNUMBER(C1128),ISNUMBER(IF(AND(728&lt;=$B$174,728&lt;=$B$173),B1128*C1128/12,IF(AND(728=$B$173+1,AND(728&gt;$B$173,$B$78="Refinance",ISNUMBER($B$80),$B$80&gt;=0,$B$80&lt;=1,ROUND($B$81*12,0)&gt;=1,$B$81&lt;=100,SUM($B$82)&gt;=0,SUM($B$82)&lt;=1,SUM($B$83)&gt;=0)),IF(B1128=0,0,IF(C1128=0,B1128/ROUND($B$81*12,0),B1128*(C1128/12)/(1-(1+C1128/12)^(-ROUND($B$81*12,0))))),IF(AND(NOT(AND(728&gt;$B$173,$B$78="Refinance",ISNUMBER($B$80),$B$80&gt;=0,$B$80&lt;=1,ROUND($B$81*12,0)&gt;=1,$B$81&lt;=100,SUM($B$82)&gt;=0,SUM($B$82)&lt;=1,SUM($B$83)&gt;=0)),OR(728=1,728=$B$174+1,AND($B$175&gt;0,728=$B$175+1))),IF(AND($B$170=1,$B$66&gt;0,OR($B$175=0,728&lt;=$B$175)),$B$66,IF($B$172-MAX(728-1,$B$174)&gt;0,IF(B1128=0,0,IF(C1128=0,B1128/($B$172-MAX(728-1,$B$174)),B1128*(C1128/12)/(1-(1+C1128/12)^(-($B$172-MAX(728-1,$B$174)))))),"")),D1127))))),IF(IF(AND(728&lt;=$B$174,728&lt;=$B$173),B1128*C1128/12,IF(AND(728=$B$173+1,AND(728&gt;$B$173,$B$78="Refinance",ISNUMBER($B$80),$B$80&gt;=0,$B$80&lt;=1,ROUND($B$81*12,0)&gt;=1,$B$81&lt;=100,SUM($B$82)&gt;=0,SUM($B$82)&lt;=1,SUM($B$83)&gt;=0)),IF(B1128=0,0,IF(C1128=0,B1128/ROUND($B$81*12,0),B1128*(C1128/12)/(1-(1+C1128/12)^(-ROUND($B$81*12,0))))),IF(AND(NOT(AND(728&gt;$B$173,$B$78="Refinance",ISNUMBER($B$80),$B$80&gt;=0,$B$80&lt;=1,ROUND($B$81*12,0)&gt;=1,$B$81&lt;=100,SUM($B$82)&gt;=0,SUM($B$82)&lt;=1,SUM($B$83)&gt;=0)),OR(728=1,728=$B$174+1,AND($B$175&gt;0,728=$B$175+1))),IF(AND($B$170=1,$B$66&gt;0,OR($B$175=0,728&lt;=$B$175)),$B$66,IF($B$172-MAX(728-1,$B$174)&gt;0,IF(B1128=0,0,IF(C1128=0,B1128/($B$172-MAX(728-1,$B$174)),B1128*(C1128/12)/(1-(1+C1128/12)^(-($B$172-MAX(728-1,$B$174)))))),"")),D1127)))+0.0000001&gt;=B1128*C1128/12,MIN(B1128*(1+C1128/12),IF(AND(728&lt;=$B$174,728&lt;=$B$173),B1128*C1128/12,IF(AND(728=$B$173+1,AND(728&gt;$B$173,$B$78="Refinance",ISNUMBER($B$80),$B$80&gt;=0,$B$80&lt;=1,ROUND($B$81*12,0)&gt;=1,$B$81&lt;=100,SUM($B$82)&gt;=0,SUM($B$82)&lt;=1,SUM($B$83)&gt;=0)),IF(B1128=0,0,IF(C1128=0,B1128/ROUND($B$81*12,0),B1128*(C1128/12)/(1-(1+C1128/12)^(-ROUND($B$81*12,0))))),IF(AND(NOT(AND(728&gt;$B$173,$B$78="Refinance",ISNUMBER($B$80),$B$80&gt;=0,$B$80&lt;=1,ROUND($B$81*12,0)&gt;=1,$B$81&lt;=100,SUM($B$82)&gt;=0,SUM($B$82)&lt;=1,SUM($B$83)&gt;=0)),OR(728=1,728=$B$174+1,AND($B$175&gt;0,728=$B$175+1))),IF(AND($B$170=1,$B$66&gt;0,OR($B$175=0,728&lt;=$B$175)),$B$66,IF($B$172-MAX(728-1,$B$174)&gt;0,IF(B1128=0,0,IF(C1128=0,B1128/($B$172-MAX(728-1,$B$174)),B1128*(C1128/12)/(1-(1+C1128/12)^(-($B$172-MAX(728-1,$B$174)))))),"")),D1127)))),""),""))</x:f>
        <x:v>0</x:v>
      </x:c>
      <x:c r="E1128" s="440" t="n">
        <x:f>IF(AND(728=$B$173,ISNUMBER(D1128)),IF(MAX(0,B1128*(1+C1128/12)-D1128)&lt;MAX(0.0000001,$E$17*0.00000000001),0,MAX(0,B1128*(1+C1128/12)-D1128)),0)</x:f>
        <x:v>0</x:v>
      </x:c>
      <x:c r="F1128" s="440" t="n">
        <x:f>IF($B$78="Cash payoff",E1128,0)</x:f>
        <x:v>0</x:v>
      </x:c>
      <x:c r="G1128" s="440" t="n">
        <x:f>IF(AND(E1128&gt;0,AND($B$78="Refinance",ISNUMBER($B$80),$B$80&gt;=0,$B$80&lt;=1,ROUND($B$81*12,0)&gt;=1,$B$81&lt;=100,SUM($B$82)&gt;=0,SUM($B$82)&lt;=1,SUM($B$83)&gt;=0)),E1128*SUM($B$82)+SUM($B$83),0)</x:f>
        <x:v>0</x:v>
      </x:c>
      <x:c r="H1128" s="440" t="n">
        <x:f>IF(ISNUMBER(D1128),IF(MAX(0,B1128*(1+C1128/12)-D1128-F1128)&lt;MAX(0.0000001,$E$17*0.00000000001),0,MAX(0,B1128*(1+C1128/12)-D1128-F1128)),IF(AND($B$171=1,I1127=1),B1128,""))</x:f>
        <x:v>0</x:v>
      </x:c>
      <x:c r="I1128" s="444" t="n">
        <x:f>IF(OR(I1127=1,AND(E1128&gt;0,$B$78&lt;&gt;"Cash payoff",NOT(AND($B$78="Refinance",ISNUMBER($B$80),$B$80&gt;=0,$B$80&lt;=1,ROUND($B$81*12,0)&gt;=1,$B$81&lt;=100,SUM($B$82)&gt;=0,SUM($B$82)&lt;=1,SUM($B$83)&gt;=0))),AND(ISNUMBER(B1128),B1128&gt;0,$B$171=1,NOT(ISNUMBER(D1128)))),1,0)</x:f>
        <x:v>0</x:v>
      </x:c>
      <x:c r="J1128" s="440" t="n">
        <x:f>IF(ISNUMBER(L1127),L1127,"")</x:f>
        <x:v>0</x:v>
      </x:c>
      <x:c r="K1128" s="440" t="n">
        <x:f>IF(AND(ISNUMBER(J1128),J1128=0),0,IF(AND($B$176=1,ISNUMBER(J1128)),MIN(J1128*(1+$B$87/12),IF($B$86=0,0,IF($B$87=0,$B$86/ROUND($B$88*12,0),$B$86*($B$87/12)/(1-(1+$B$87/12)^(-ROUND($B$88*12,0)))))),""))</x:f>
        <x:v>0</x:v>
      </x:c>
      <x:c r="L1128" s="440" t="n">
        <x:f>IF(ISNUMBER(K1128),IF(MAX(0,J1128*(1+SUM($B$87)/12)-K1128)&lt;MAX(0.0000001,$B$86*0.00000000001),0,MAX(0,J1128*(1+SUM($B$87)/12)-K1128)),"")</x:f>
        <x:v>0</x:v>
      </x:c>
      <x:c r="M1128" s="440" t="n">
        <x:f>IF(AND(ISNUMBER(D1128),ISNUMBER(K1128)),D1128+K1128,"")</x:f>
        <x:v>0</x:v>
      </x:c>
      <x:c r="N1128" s="440" t="n">
        <x:f>IF(AND(ISNUMBER(H1128),ISNUMBER(L1128)),H1128+L1128,"")</x:f>
        <x:v>0</x:v>
      </x:c>
    </x:row>
    <x:row r="1129" ht="22" customHeight="1">
      <x:c r="A1129" s="254" t="n">
        <x:f>729</x:f>
        <x:v>729</x:v>
      </x:c>
      <x:c r="B1129" s="440" t="n">
        <x:f>IF(ISNUMBER(H1128),H1128,"")</x:f>
        <x:v>0</x:v>
      </x:c>
      <x:c r="C1129" s="442" t="n">
        <x:f>IF(ISNUMBER(B1129),IF(AND(729&gt;$B$173,$B$78="Refinance",ISNUMBER($B$80),$B$80&gt;=0,$B$80&lt;=1,ROUND($B$81*12,0)&gt;=1,$B$81&lt;=100,SUM($B$82)&gt;=0,SUM($B$82)&lt;=1,SUM($B$83)&gt;=0),$B$80,IF(AND($B$175&gt;0,729&gt;$B$175,ISNUMBER($B$75)),$B$75,$B$61)),"")</x:f>
        <x:v>0.0625</x:v>
      </x:c>
      <x:c r="D1129" s="440" t="n">
        <x:f>IF(AND(ISNUMBER(B1129),B1129=0),0,IF(AND($B$171=1,I1128=0,ISNUMBER(C1129),ISNUMBER(IF(AND(729&lt;=$B$174,729&lt;=$B$173),B1129*C1129/12,IF(AND(729=$B$173+1,AND(729&gt;$B$173,$B$78="Refinance",ISNUMBER($B$80),$B$80&gt;=0,$B$80&lt;=1,ROUND($B$81*12,0)&gt;=1,$B$81&lt;=100,SUM($B$82)&gt;=0,SUM($B$82)&lt;=1,SUM($B$83)&gt;=0)),IF(B1129=0,0,IF(C1129=0,B1129/ROUND($B$81*12,0),B1129*(C1129/12)/(1-(1+C1129/12)^(-ROUND($B$81*12,0))))),IF(AND(NOT(AND(729&gt;$B$173,$B$78="Refinance",ISNUMBER($B$80),$B$80&gt;=0,$B$80&lt;=1,ROUND($B$81*12,0)&gt;=1,$B$81&lt;=100,SUM($B$82)&gt;=0,SUM($B$82)&lt;=1,SUM($B$83)&gt;=0)),OR(729=1,729=$B$174+1,AND($B$175&gt;0,729=$B$175+1))),IF(AND($B$170=1,$B$66&gt;0,OR($B$175=0,729&lt;=$B$175)),$B$66,IF($B$172-MAX(729-1,$B$174)&gt;0,IF(B1129=0,0,IF(C1129=0,B1129/($B$172-MAX(729-1,$B$174)),B1129*(C1129/12)/(1-(1+C1129/12)^(-($B$172-MAX(729-1,$B$174)))))),"")),D1128))))),IF(IF(AND(729&lt;=$B$174,729&lt;=$B$173),B1129*C1129/12,IF(AND(729=$B$173+1,AND(729&gt;$B$173,$B$78="Refinance",ISNUMBER($B$80),$B$80&gt;=0,$B$80&lt;=1,ROUND($B$81*12,0)&gt;=1,$B$81&lt;=100,SUM($B$82)&gt;=0,SUM($B$82)&lt;=1,SUM($B$83)&gt;=0)),IF(B1129=0,0,IF(C1129=0,B1129/ROUND($B$81*12,0),B1129*(C1129/12)/(1-(1+C1129/12)^(-ROUND($B$81*12,0))))),IF(AND(NOT(AND(729&gt;$B$173,$B$78="Refinance",ISNUMBER($B$80),$B$80&gt;=0,$B$80&lt;=1,ROUND($B$81*12,0)&gt;=1,$B$81&lt;=100,SUM($B$82)&gt;=0,SUM($B$82)&lt;=1,SUM($B$83)&gt;=0)),OR(729=1,729=$B$174+1,AND($B$175&gt;0,729=$B$175+1))),IF(AND($B$170=1,$B$66&gt;0,OR($B$175=0,729&lt;=$B$175)),$B$66,IF($B$172-MAX(729-1,$B$174)&gt;0,IF(B1129=0,0,IF(C1129=0,B1129/($B$172-MAX(729-1,$B$174)),B1129*(C1129/12)/(1-(1+C1129/12)^(-($B$172-MAX(729-1,$B$174)))))),"")),D1128)))+0.0000001&gt;=B1129*C1129/12,MIN(B1129*(1+C1129/12),IF(AND(729&lt;=$B$174,729&lt;=$B$173),B1129*C1129/12,IF(AND(729=$B$173+1,AND(729&gt;$B$173,$B$78="Refinance",ISNUMBER($B$80),$B$80&gt;=0,$B$80&lt;=1,ROUND($B$81*12,0)&gt;=1,$B$81&lt;=100,SUM($B$82)&gt;=0,SUM($B$82)&lt;=1,SUM($B$83)&gt;=0)),IF(B1129=0,0,IF(C1129=0,B1129/ROUND($B$81*12,0),B1129*(C1129/12)/(1-(1+C1129/12)^(-ROUND($B$81*12,0))))),IF(AND(NOT(AND(729&gt;$B$173,$B$78="Refinance",ISNUMBER($B$80),$B$80&gt;=0,$B$80&lt;=1,ROUND($B$81*12,0)&gt;=1,$B$81&lt;=100,SUM($B$82)&gt;=0,SUM($B$82)&lt;=1,SUM($B$83)&gt;=0)),OR(729=1,729=$B$174+1,AND($B$175&gt;0,729=$B$175+1))),IF(AND($B$170=1,$B$66&gt;0,OR($B$175=0,729&lt;=$B$175)),$B$66,IF($B$172-MAX(729-1,$B$174)&gt;0,IF(B1129=0,0,IF(C1129=0,B1129/($B$172-MAX(729-1,$B$174)),B1129*(C1129/12)/(1-(1+C1129/12)^(-($B$172-MAX(729-1,$B$174)))))),"")),D1128)))),""),""))</x:f>
        <x:v>0</x:v>
      </x:c>
      <x:c r="E1129" s="440" t="n">
        <x:f>IF(AND(729=$B$173,ISNUMBER(D1129)),IF(MAX(0,B1129*(1+C1129/12)-D1129)&lt;MAX(0.0000001,$E$17*0.00000000001),0,MAX(0,B1129*(1+C1129/12)-D1129)),0)</x:f>
        <x:v>0</x:v>
      </x:c>
      <x:c r="F1129" s="440" t="n">
        <x:f>IF($B$78="Cash payoff",E1129,0)</x:f>
        <x:v>0</x:v>
      </x:c>
      <x:c r="G1129" s="440" t="n">
        <x:f>IF(AND(E1129&gt;0,AND($B$78="Refinance",ISNUMBER($B$80),$B$80&gt;=0,$B$80&lt;=1,ROUND($B$81*12,0)&gt;=1,$B$81&lt;=100,SUM($B$82)&gt;=0,SUM($B$82)&lt;=1,SUM($B$83)&gt;=0)),E1129*SUM($B$82)+SUM($B$83),0)</x:f>
        <x:v>0</x:v>
      </x:c>
      <x:c r="H1129" s="440" t="n">
        <x:f>IF(ISNUMBER(D1129),IF(MAX(0,B1129*(1+C1129/12)-D1129-F1129)&lt;MAX(0.0000001,$E$17*0.00000000001),0,MAX(0,B1129*(1+C1129/12)-D1129-F1129)),IF(AND($B$171=1,I1128=1),B1129,""))</x:f>
        <x:v>0</x:v>
      </x:c>
      <x:c r="I1129" s="444" t="n">
        <x:f>IF(OR(I1128=1,AND(E1129&gt;0,$B$78&lt;&gt;"Cash payoff",NOT(AND($B$78="Refinance",ISNUMBER($B$80),$B$80&gt;=0,$B$80&lt;=1,ROUND($B$81*12,0)&gt;=1,$B$81&lt;=100,SUM($B$82)&gt;=0,SUM($B$82)&lt;=1,SUM($B$83)&gt;=0))),AND(ISNUMBER(B1129),B1129&gt;0,$B$171=1,NOT(ISNUMBER(D1129)))),1,0)</x:f>
        <x:v>0</x:v>
      </x:c>
      <x:c r="J1129" s="440" t="n">
        <x:f>IF(ISNUMBER(L1128),L1128,"")</x:f>
        <x:v>0</x:v>
      </x:c>
      <x:c r="K1129" s="440" t="n">
        <x:f>IF(AND(ISNUMBER(J1129),J1129=0),0,IF(AND($B$176=1,ISNUMBER(J1129)),MIN(J1129*(1+$B$87/12),IF($B$86=0,0,IF($B$87=0,$B$86/ROUND($B$88*12,0),$B$86*($B$87/12)/(1-(1+$B$87/12)^(-ROUND($B$88*12,0)))))),""))</x:f>
        <x:v>0</x:v>
      </x:c>
      <x:c r="L1129" s="440" t="n">
        <x:f>IF(ISNUMBER(K1129),IF(MAX(0,J1129*(1+SUM($B$87)/12)-K1129)&lt;MAX(0.0000001,$B$86*0.00000000001),0,MAX(0,J1129*(1+SUM($B$87)/12)-K1129)),"")</x:f>
        <x:v>0</x:v>
      </x:c>
      <x:c r="M1129" s="440" t="n">
        <x:f>IF(AND(ISNUMBER(D1129),ISNUMBER(K1129)),D1129+K1129,"")</x:f>
        <x:v>0</x:v>
      </x:c>
      <x:c r="N1129" s="440" t="n">
        <x:f>IF(AND(ISNUMBER(H1129),ISNUMBER(L1129)),H1129+L1129,"")</x:f>
        <x:v>0</x:v>
      </x:c>
    </x:row>
    <x:row r="1130" ht="22" customHeight="1">
      <x:c r="A1130" s="254" t="n">
        <x:f>730</x:f>
        <x:v>730</x:v>
      </x:c>
      <x:c r="B1130" s="440" t="n">
        <x:f>IF(ISNUMBER(H1129),H1129,"")</x:f>
        <x:v>0</x:v>
      </x:c>
      <x:c r="C1130" s="442" t="n">
        <x:f>IF(ISNUMBER(B1130),IF(AND(730&gt;$B$173,$B$78="Refinance",ISNUMBER($B$80),$B$80&gt;=0,$B$80&lt;=1,ROUND($B$81*12,0)&gt;=1,$B$81&lt;=100,SUM($B$82)&gt;=0,SUM($B$82)&lt;=1,SUM($B$83)&gt;=0),$B$80,IF(AND($B$175&gt;0,730&gt;$B$175,ISNUMBER($B$75)),$B$75,$B$61)),"")</x:f>
        <x:v>0.0625</x:v>
      </x:c>
      <x:c r="D1130" s="440" t="n">
        <x:f>IF(AND(ISNUMBER(B1130),B1130=0),0,IF(AND($B$171=1,I1129=0,ISNUMBER(C1130),ISNUMBER(IF(AND(730&lt;=$B$174,730&lt;=$B$173),B1130*C1130/12,IF(AND(730=$B$173+1,AND(730&gt;$B$173,$B$78="Refinance",ISNUMBER($B$80),$B$80&gt;=0,$B$80&lt;=1,ROUND($B$81*12,0)&gt;=1,$B$81&lt;=100,SUM($B$82)&gt;=0,SUM($B$82)&lt;=1,SUM($B$83)&gt;=0)),IF(B1130=0,0,IF(C1130=0,B1130/ROUND($B$81*12,0),B1130*(C1130/12)/(1-(1+C1130/12)^(-ROUND($B$81*12,0))))),IF(AND(NOT(AND(730&gt;$B$173,$B$78="Refinance",ISNUMBER($B$80),$B$80&gt;=0,$B$80&lt;=1,ROUND($B$81*12,0)&gt;=1,$B$81&lt;=100,SUM($B$82)&gt;=0,SUM($B$82)&lt;=1,SUM($B$83)&gt;=0)),OR(730=1,730=$B$174+1,AND($B$175&gt;0,730=$B$175+1))),IF(AND($B$170=1,$B$66&gt;0,OR($B$175=0,730&lt;=$B$175)),$B$66,IF($B$172-MAX(730-1,$B$174)&gt;0,IF(B1130=0,0,IF(C1130=0,B1130/($B$172-MAX(730-1,$B$174)),B1130*(C1130/12)/(1-(1+C1130/12)^(-($B$172-MAX(730-1,$B$174)))))),"")),D1129))))),IF(IF(AND(730&lt;=$B$174,730&lt;=$B$173),B1130*C1130/12,IF(AND(730=$B$173+1,AND(730&gt;$B$173,$B$78="Refinance",ISNUMBER($B$80),$B$80&gt;=0,$B$80&lt;=1,ROUND($B$81*12,0)&gt;=1,$B$81&lt;=100,SUM($B$82)&gt;=0,SUM($B$82)&lt;=1,SUM($B$83)&gt;=0)),IF(B1130=0,0,IF(C1130=0,B1130/ROUND($B$81*12,0),B1130*(C1130/12)/(1-(1+C1130/12)^(-ROUND($B$81*12,0))))),IF(AND(NOT(AND(730&gt;$B$173,$B$78="Refinance",ISNUMBER($B$80),$B$80&gt;=0,$B$80&lt;=1,ROUND($B$81*12,0)&gt;=1,$B$81&lt;=100,SUM($B$82)&gt;=0,SUM($B$82)&lt;=1,SUM($B$83)&gt;=0)),OR(730=1,730=$B$174+1,AND($B$175&gt;0,730=$B$175+1))),IF(AND($B$170=1,$B$66&gt;0,OR($B$175=0,730&lt;=$B$175)),$B$66,IF($B$172-MAX(730-1,$B$174)&gt;0,IF(B1130=0,0,IF(C1130=0,B1130/($B$172-MAX(730-1,$B$174)),B1130*(C1130/12)/(1-(1+C1130/12)^(-($B$172-MAX(730-1,$B$174)))))),"")),D1129)))+0.0000001&gt;=B1130*C1130/12,MIN(B1130*(1+C1130/12),IF(AND(730&lt;=$B$174,730&lt;=$B$173),B1130*C1130/12,IF(AND(730=$B$173+1,AND(730&gt;$B$173,$B$78="Refinance",ISNUMBER($B$80),$B$80&gt;=0,$B$80&lt;=1,ROUND($B$81*12,0)&gt;=1,$B$81&lt;=100,SUM($B$82)&gt;=0,SUM($B$82)&lt;=1,SUM($B$83)&gt;=0)),IF(B1130=0,0,IF(C1130=0,B1130/ROUND($B$81*12,0),B1130*(C1130/12)/(1-(1+C1130/12)^(-ROUND($B$81*12,0))))),IF(AND(NOT(AND(730&gt;$B$173,$B$78="Refinance",ISNUMBER($B$80),$B$80&gt;=0,$B$80&lt;=1,ROUND($B$81*12,0)&gt;=1,$B$81&lt;=100,SUM($B$82)&gt;=0,SUM($B$82)&lt;=1,SUM($B$83)&gt;=0)),OR(730=1,730=$B$174+1,AND($B$175&gt;0,730=$B$175+1))),IF(AND($B$170=1,$B$66&gt;0,OR($B$175=0,730&lt;=$B$175)),$B$66,IF($B$172-MAX(730-1,$B$174)&gt;0,IF(B1130=0,0,IF(C1130=0,B1130/($B$172-MAX(730-1,$B$174)),B1130*(C1130/12)/(1-(1+C1130/12)^(-($B$172-MAX(730-1,$B$174)))))),"")),D1129)))),""),""))</x:f>
        <x:v>0</x:v>
      </x:c>
      <x:c r="E1130" s="440" t="n">
        <x:f>IF(AND(730=$B$173,ISNUMBER(D1130)),IF(MAX(0,B1130*(1+C1130/12)-D1130)&lt;MAX(0.0000001,$E$17*0.00000000001),0,MAX(0,B1130*(1+C1130/12)-D1130)),0)</x:f>
        <x:v>0</x:v>
      </x:c>
      <x:c r="F1130" s="440" t="n">
        <x:f>IF($B$78="Cash payoff",E1130,0)</x:f>
        <x:v>0</x:v>
      </x:c>
      <x:c r="G1130" s="440" t="n">
        <x:f>IF(AND(E1130&gt;0,AND($B$78="Refinance",ISNUMBER($B$80),$B$80&gt;=0,$B$80&lt;=1,ROUND($B$81*12,0)&gt;=1,$B$81&lt;=100,SUM($B$82)&gt;=0,SUM($B$82)&lt;=1,SUM($B$83)&gt;=0)),E1130*SUM($B$82)+SUM($B$83),0)</x:f>
        <x:v>0</x:v>
      </x:c>
      <x:c r="H1130" s="440" t="n">
        <x:f>IF(ISNUMBER(D1130),IF(MAX(0,B1130*(1+C1130/12)-D1130-F1130)&lt;MAX(0.0000001,$E$17*0.00000000001),0,MAX(0,B1130*(1+C1130/12)-D1130-F1130)),IF(AND($B$171=1,I1129=1),B1130,""))</x:f>
        <x:v>0</x:v>
      </x:c>
      <x:c r="I1130" s="444" t="n">
        <x:f>IF(OR(I1129=1,AND(E1130&gt;0,$B$78&lt;&gt;"Cash payoff",NOT(AND($B$78="Refinance",ISNUMBER($B$80),$B$80&gt;=0,$B$80&lt;=1,ROUND($B$81*12,0)&gt;=1,$B$81&lt;=100,SUM($B$82)&gt;=0,SUM($B$82)&lt;=1,SUM($B$83)&gt;=0))),AND(ISNUMBER(B1130),B1130&gt;0,$B$171=1,NOT(ISNUMBER(D1130)))),1,0)</x:f>
        <x:v>0</x:v>
      </x:c>
      <x:c r="J1130" s="440" t="n">
        <x:f>IF(ISNUMBER(L1129),L1129,"")</x:f>
        <x:v>0</x:v>
      </x:c>
      <x:c r="K1130" s="440" t="n">
        <x:f>IF(AND(ISNUMBER(J1130),J1130=0),0,IF(AND($B$176=1,ISNUMBER(J1130)),MIN(J1130*(1+$B$87/12),IF($B$86=0,0,IF($B$87=0,$B$86/ROUND($B$88*12,0),$B$86*($B$87/12)/(1-(1+$B$87/12)^(-ROUND($B$88*12,0)))))),""))</x:f>
        <x:v>0</x:v>
      </x:c>
      <x:c r="L1130" s="440" t="n">
        <x:f>IF(ISNUMBER(K1130),IF(MAX(0,J1130*(1+SUM($B$87)/12)-K1130)&lt;MAX(0.0000001,$B$86*0.00000000001),0,MAX(0,J1130*(1+SUM($B$87)/12)-K1130)),"")</x:f>
        <x:v>0</x:v>
      </x:c>
      <x:c r="M1130" s="440" t="n">
        <x:f>IF(AND(ISNUMBER(D1130),ISNUMBER(K1130)),D1130+K1130,"")</x:f>
        <x:v>0</x:v>
      </x:c>
      <x:c r="N1130" s="440" t="n">
        <x:f>IF(AND(ISNUMBER(H1130),ISNUMBER(L1130)),H1130+L1130,"")</x:f>
        <x:v>0</x:v>
      </x:c>
    </x:row>
    <x:row r="1131" ht="22" customHeight="1">
      <x:c r="A1131" s="254" t="n">
        <x:f>731</x:f>
        <x:v>731</x:v>
      </x:c>
      <x:c r="B1131" s="440" t="n">
        <x:f>IF(ISNUMBER(H1130),H1130,"")</x:f>
        <x:v>0</x:v>
      </x:c>
      <x:c r="C1131" s="442" t="n">
        <x:f>IF(ISNUMBER(B1131),IF(AND(731&gt;$B$173,$B$78="Refinance",ISNUMBER($B$80),$B$80&gt;=0,$B$80&lt;=1,ROUND($B$81*12,0)&gt;=1,$B$81&lt;=100,SUM($B$82)&gt;=0,SUM($B$82)&lt;=1,SUM($B$83)&gt;=0),$B$80,IF(AND($B$175&gt;0,731&gt;$B$175,ISNUMBER($B$75)),$B$75,$B$61)),"")</x:f>
        <x:v>0.0625</x:v>
      </x:c>
      <x:c r="D1131" s="440" t="n">
        <x:f>IF(AND(ISNUMBER(B1131),B1131=0),0,IF(AND($B$171=1,I1130=0,ISNUMBER(C1131),ISNUMBER(IF(AND(731&lt;=$B$174,731&lt;=$B$173),B1131*C1131/12,IF(AND(731=$B$173+1,AND(731&gt;$B$173,$B$78="Refinance",ISNUMBER($B$80),$B$80&gt;=0,$B$80&lt;=1,ROUND($B$81*12,0)&gt;=1,$B$81&lt;=100,SUM($B$82)&gt;=0,SUM($B$82)&lt;=1,SUM($B$83)&gt;=0)),IF(B1131=0,0,IF(C1131=0,B1131/ROUND($B$81*12,0),B1131*(C1131/12)/(1-(1+C1131/12)^(-ROUND($B$81*12,0))))),IF(AND(NOT(AND(731&gt;$B$173,$B$78="Refinance",ISNUMBER($B$80),$B$80&gt;=0,$B$80&lt;=1,ROUND($B$81*12,0)&gt;=1,$B$81&lt;=100,SUM($B$82)&gt;=0,SUM($B$82)&lt;=1,SUM($B$83)&gt;=0)),OR(731=1,731=$B$174+1,AND($B$175&gt;0,731=$B$175+1))),IF(AND($B$170=1,$B$66&gt;0,OR($B$175=0,731&lt;=$B$175)),$B$66,IF($B$172-MAX(731-1,$B$174)&gt;0,IF(B1131=0,0,IF(C1131=0,B1131/($B$172-MAX(731-1,$B$174)),B1131*(C1131/12)/(1-(1+C1131/12)^(-($B$172-MAX(731-1,$B$174)))))),"")),D1130))))),IF(IF(AND(731&lt;=$B$174,731&lt;=$B$173),B1131*C1131/12,IF(AND(731=$B$173+1,AND(731&gt;$B$173,$B$78="Refinance",ISNUMBER($B$80),$B$80&gt;=0,$B$80&lt;=1,ROUND($B$81*12,0)&gt;=1,$B$81&lt;=100,SUM($B$82)&gt;=0,SUM($B$82)&lt;=1,SUM($B$83)&gt;=0)),IF(B1131=0,0,IF(C1131=0,B1131/ROUND($B$81*12,0),B1131*(C1131/12)/(1-(1+C1131/12)^(-ROUND($B$81*12,0))))),IF(AND(NOT(AND(731&gt;$B$173,$B$78="Refinance",ISNUMBER($B$80),$B$80&gt;=0,$B$80&lt;=1,ROUND($B$81*12,0)&gt;=1,$B$81&lt;=100,SUM($B$82)&gt;=0,SUM($B$82)&lt;=1,SUM($B$83)&gt;=0)),OR(731=1,731=$B$174+1,AND($B$175&gt;0,731=$B$175+1))),IF(AND($B$170=1,$B$66&gt;0,OR($B$175=0,731&lt;=$B$175)),$B$66,IF($B$172-MAX(731-1,$B$174)&gt;0,IF(B1131=0,0,IF(C1131=0,B1131/($B$172-MAX(731-1,$B$174)),B1131*(C1131/12)/(1-(1+C1131/12)^(-($B$172-MAX(731-1,$B$174)))))),"")),D1130)))+0.0000001&gt;=B1131*C1131/12,MIN(B1131*(1+C1131/12),IF(AND(731&lt;=$B$174,731&lt;=$B$173),B1131*C1131/12,IF(AND(731=$B$173+1,AND(731&gt;$B$173,$B$78="Refinance",ISNUMBER($B$80),$B$80&gt;=0,$B$80&lt;=1,ROUND($B$81*12,0)&gt;=1,$B$81&lt;=100,SUM($B$82)&gt;=0,SUM($B$82)&lt;=1,SUM($B$83)&gt;=0)),IF(B1131=0,0,IF(C1131=0,B1131/ROUND($B$81*12,0),B1131*(C1131/12)/(1-(1+C1131/12)^(-ROUND($B$81*12,0))))),IF(AND(NOT(AND(731&gt;$B$173,$B$78="Refinance",ISNUMBER($B$80),$B$80&gt;=0,$B$80&lt;=1,ROUND($B$81*12,0)&gt;=1,$B$81&lt;=100,SUM($B$82)&gt;=0,SUM($B$82)&lt;=1,SUM($B$83)&gt;=0)),OR(731=1,731=$B$174+1,AND($B$175&gt;0,731=$B$175+1))),IF(AND($B$170=1,$B$66&gt;0,OR($B$175=0,731&lt;=$B$175)),$B$66,IF($B$172-MAX(731-1,$B$174)&gt;0,IF(B1131=0,0,IF(C1131=0,B1131/($B$172-MAX(731-1,$B$174)),B1131*(C1131/12)/(1-(1+C1131/12)^(-($B$172-MAX(731-1,$B$174)))))),"")),D1130)))),""),""))</x:f>
        <x:v>0</x:v>
      </x:c>
      <x:c r="E1131" s="440" t="n">
        <x:f>IF(AND(731=$B$173,ISNUMBER(D1131)),IF(MAX(0,B1131*(1+C1131/12)-D1131)&lt;MAX(0.0000001,$E$17*0.00000000001),0,MAX(0,B1131*(1+C1131/12)-D1131)),0)</x:f>
        <x:v>0</x:v>
      </x:c>
      <x:c r="F1131" s="440" t="n">
        <x:f>IF($B$78="Cash payoff",E1131,0)</x:f>
        <x:v>0</x:v>
      </x:c>
      <x:c r="G1131" s="440" t="n">
        <x:f>IF(AND(E1131&gt;0,AND($B$78="Refinance",ISNUMBER($B$80),$B$80&gt;=0,$B$80&lt;=1,ROUND($B$81*12,0)&gt;=1,$B$81&lt;=100,SUM($B$82)&gt;=0,SUM($B$82)&lt;=1,SUM($B$83)&gt;=0)),E1131*SUM($B$82)+SUM($B$83),0)</x:f>
        <x:v>0</x:v>
      </x:c>
      <x:c r="H1131" s="440" t="n">
        <x:f>IF(ISNUMBER(D1131),IF(MAX(0,B1131*(1+C1131/12)-D1131-F1131)&lt;MAX(0.0000001,$E$17*0.00000000001),0,MAX(0,B1131*(1+C1131/12)-D1131-F1131)),IF(AND($B$171=1,I1130=1),B1131,""))</x:f>
        <x:v>0</x:v>
      </x:c>
      <x:c r="I1131" s="444" t="n">
        <x:f>IF(OR(I1130=1,AND(E1131&gt;0,$B$78&lt;&gt;"Cash payoff",NOT(AND($B$78="Refinance",ISNUMBER($B$80),$B$80&gt;=0,$B$80&lt;=1,ROUND($B$81*12,0)&gt;=1,$B$81&lt;=100,SUM($B$82)&gt;=0,SUM($B$82)&lt;=1,SUM($B$83)&gt;=0))),AND(ISNUMBER(B1131),B1131&gt;0,$B$171=1,NOT(ISNUMBER(D1131)))),1,0)</x:f>
        <x:v>0</x:v>
      </x:c>
      <x:c r="J1131" s="440" t="n">
        <x:f>IF(ISNUMBER(L1130),L1130,"")</x:f>
        <x:v>0</x:v>
      </x:c>
      <x:c r="K1131" s="440" t="n">
        <x:f>IF(AND(ISNUMBER(J1131),J1131=0),0,IF(AND($B$176=1,ISNUMBER(J1131)),MIN(J1131*(1+$B$87/12),IF($B$86=0,0,IF($B$87=0,$B$86/ROUND($B$88*12,0),$B$86*($B$87/12)/(1-(1+$B$87/12)^(-ROUND($B$88*12,0)))))),""))</x:f>
        <x:v>0</x:v>
      </x:c>
      <x:c r="L1131" s="440" t="n">
        <x:f>IF(ISNUMBER(K1131),IF(MAX(0,J1131*(1+SUM($B$87)/12)-K1131)&lt;MAX(0.0000001,$B$86*0.00000000001),0,MAX(0,J1131*(1+SUM($B$87)/12)-K1131)),"")</x:f>
        <x:v>0</x:v>
      </x:c>
      <x:c r="M1131" s="440" t="n">
        <x:f>IF(AND(ISNUMBER(D1131),ISNUMBER(K1131)),D1131+K1131,"")</x:f>
        <x:v>0</x:v>
      </x:c>
      <x:c r="N1131" s="440" t="n">
        <x:f>IF(AND(ISNUMBER(H1131),ISNUMBER(L1131)),H1131+L1131,"")</x:f>
        <x:v>0</x:v>
      </x:c>
    </x:row>
    <x:row r="1132" ht="22" customHeight="1">
      <x:c r="A1132" s="254" t="n">
        <x:f>732</x:f>
        <x:v>732</x:v>
      </x:c>
      <x:c r="B1132" s="440" t="n">
        <x:f>IF(ISNUMBER(H1131),H1131,"")</x:f>
        <x:v>0</x:v>
      </x:c>
      <x:c r="C1132" s="442" t="n">
        <x:f>IF(ISNUMBER(B1132),IF(AND(732&gt;$B$173,$B$78="Refinance",ISNUMBER($B$80),$B$80&gt;=0,$B$80&lt;=1,ROUND($B$81*12,0)&gt;=1,$B$81&lt;=100,SUM($B$82)&gt;=0,SUM($B$82)&lt;=1,SUM($B$83)&gt;=0),$B$80,IF(AND($B$175&gt;0,732&gt;$B$175,ISNUMBER($B$75)),$B$75,$B$61)),"")</x:f>
        <x:v>0.0625</x:v>
      </x:c>
      <x:c r="D1132" s="440" t="n">
        <x:f>IF(AND(ISNUMBER(B1132),B1132=0),0,IF(AND($B$171=1,I1131=0,ISNUMBER(C1132),ISNUMBER(IF(AND(732&lt;=$B$174,732&lt;=$B$173),B1132*C1132/12,IF(AND(732=$B$173+1,AND(732&gt;$B$173,$B$78="Refinance",ISNUMBER($B$80),$B$80&gt;=0,$B$80&lt;=1,ROUND($B$81*12,0)&gt;=1,$B$81&lt;=100,SUM($B$82)&gt;=0,SUM($B$82)&lt;=1,SUM($B$83)&gt;=0)),IF(B1132=0,0,IF(C1132=0,B1132/ROUND($B$81*12,0),B1132*(C1132/12)/(1-(1+C1132/12)^(-ROUND($B$81*12,0))))),IF(AND(NOT(AND(732&gt;$B$173,$B$78="Refinance",ISNUMBER($B$80),$B$80&gt;=0,$B$80&lt;=1,ROUND($B$81*12,0)&gt;=1,$B$81&lt;=100,SUM($B$82)&gt;=0,SUM($B$82)&lt;=1,SUM($B$83)&gt;=0)),OR(732=1,732=$B$174+1,AND($B$175&gt;0,732=$B$175+1))),IF(AND($B$170=1,$B$66&gt;0,OR($B$175=0,732&lt;=$B$175)),$B$66,IF($B$172-MAX(732-1,$B$174)&gt;0,IF(B1132=0,0,IF(C1132=0,B1132/($B$172-MAX(732-1,$B$174)),B1132*(C1132/12)/(1-(1+C1132/12)^(-($B$172-MAX(732-1,$B$174)))))),"")),D1131))))),IF(IF(AND(732&lt;=$B$174,732&lt;=$B$173),B1132*C1132/12,IF(AND(732=$B$173+1,AND(732&gt;$B$173,$B$78="Refinance",ISNUMBER($B$80),$B$80&gt;=0,$B$80&lt;=1,ROUND($B$81*12,0)&gt;=1,$B$81&lt;=100,SUM($B$82)&gt;=0,SUM($B$82)&lt;=1,SUM($B$83)&gt;=0)),IF(B1132=0,0,IF(C1132=0,B1132/ROUND($B$81*12,0),B1132*(C1132/12)/(1-(1+C1132/12)^(-ROUND($B$81*12,0))))),IF(AND(NOT(AND(732&gt;$B$173,$B$78="Refinance",ISNUMBER($B$80),$B$80&gt;=0,$B$80&lt;=1,ROUND($B$81*12,0)&gt;=1,$B$81&lt;=100,SUM($B$82)&gt;=0,SUM($B$82)&lt;=1,SUM($B$83)&gt;=0)),OR(732=1,732=$B$174+1,AND($B$175&gt;0,732=$B$175+1))),IF(AND($B$170=1,$B$66&gt;0,OR($B$175=0,732&lt;=$B$175)),$B$66,IF($B$172-MAX(732-1,$B$174)&gt;0,IF(B1132=0,0,IF(C1132=0,B1132/($B$172-MAX(732-1,$B$174)),B1132*(C1132/12)/(1-(1+C1132/12)^(-($B$172-MAX(732-1,$B$174)))))),"")),D1131)))+0.0000001&gt;=B1132*C1132/12,MIN(B1132*(1+C1132/12),IF(AND(732&lt;=$B$174,732&lt;=$B$173),B1132*C1132/12,IF(AND(732=$B$173+1,AND(732&gt;$B$173,$B$78="Refinance",ISNUMBER($B$80),$B$80&gt;=0,$B$80&lt;=1,ROUND($B$81*12,0)&gt;=1,$B$81&lt;=100,SUM($B$82)&gt;=0,SUM($B$82)&lt;=1,SUM($B$83)&gt;=0)),IF(B1132=0,0,IF(C1132=0,B1132/ROUND($B$81*12,0),B1132*(C1132/12)/(1-(1+C1132/12)^(-ROUND($B$81*12,0))))),IF(AND(NOT(AND(732&gt;$B$173,$B$78="Refinance",ISNUMBER($B$80),$B$80&gt;=0,$B$80&lt;=1,ROUND($B$81*12,0)&gt;=1,$B$81&lt;=100,SUM($B$82)&gt;=0,SUM($B$82)&lt;=1,SUM($B$83)&gt;=0)),OR(732=1,732=$B$174+1,AND($B$175&gt;0,732=$B$175+1))),IF(AND($B$170=1,$B$66&gt;0,OR($B$175=0,732&lt;=$B$175)),$B$66,IF($B$172-MAX(732-1,$B$174)&gt;0,IF(B1132=0,0,IF(C1132=0,B1132/($B$172-MAX(732-1,$B$174)),B1132*(C1132/12)/(1-(1+C1132/12)^(-($B$172-MAX(732-1,$B$174)))))),"")),D1131)))),""),""))</x:f>
        <x:v>0</x:v>
      </x:c>
      <x:c r="E1132" s="440" t="n">
        <x:f>IF(AND(732=$B$173,ISNUMBER(D1132)),IF(MAX(0,B1132*(1+C1132/12)-D1132)&lt;MAX(0.0000001,$E$17*0.00000000001),0,MAX(0,B1132*(1+C1132/12)-D1132)),0)</x:f>
        <x:v>0</x:v>
      </x:c>
      <x:c r="F1132" s="440" t="n">
        <x:f>IF($B$78="Cash payoff",E1132,0)</x:f>
        <x:v>0</x:v>
      </x:c>
      <x:c r="G1132" s="440" t="n">
        <x:f>IF(AND(E1132&gt;0,AND($B$78="Refinance",ISNUMBER($B$80),$B$80&gt;=0,$B$80&lt;=1,ROUND($B$81*12,0)&gt;=1,$B$81&lt;=100,SUM($B$82)&gt;=0,SUM($B$82)&lt;=1,SUM($B$83)&gt;=0)),E1132*SUM($B$82)+SUM($B$83),0)</x:f>
        <x:v>0</x:v>
      </x:c>
      <x:c r="H1132" s="440" t="n">
        <x:f>IF(ISNUMBER(D1132),IF(MAX(0,B1132*(1+C1132/12)-D1132-F1132)&lt;MAX(0.0000001,$E$17*0.00000000001),0,MAX(0,B1132*(1+C1132/12)-D1132-F1132)),IF(AND($B$171=1,I1131=1),B1132,""))</x:f>
        <x:v>0</x:v>
      </x:c>
      <x:c r="I1132" s="444" t="n">
        <x:f>IF(OR(I1131=1,AND(E1132&gt;0,$B$78&lt;&gt;"Cash payoff",NOT(AND($B$78="Refinance",ISNUMBER($B$80),$B$80&gt;=0,$B$80&lt;=1,ROUND($B$81*12,0)&gt;=1,$B$81&lt;=100,SUM($B$82)&gt;=0,SUM($B$82)&lt;=1,SUM($B$83)&gt;=0))),AND(ISNUMBER(B1132),B1132&gt;0,$B$171=1,NOT(ISNUMBER(D1132)))),1,0)</x:f>
        <x:v>0</x:v>
      </x:c>
      <x:c r="J1132" s="440" t="n">
        <x:f>IF(ISNUMBER(L1131),L1131,"")</x:f>
        <x:v>0</x:v>
      </x:c>
      <x:c r="K1132" s="440" t="n">
        <x:f>IF(AND(ISNUMBER(J1132),J1132=0),0,IF(AND($B$176=1,ISNUMBER(J1132)),MIN(J1132*(1+$B$87/12),IF($B$86=0,0,IF($B$87=0,$B$86/ROUND($B$88*12,0),$B$86*($B$87/12)/(1-(1+$B$87/12)^(-ROUND($B$88*12,0)))))),""))</x:f>
        <x:v>0</x:v>
      </x:c>
      <x:c r="L1132" s="440" t="n">
        <x:f>IF(ISNUMBER(K1132),IF(MAX(0,J1132*(1+SUM($B$87)/12)-K1132)&lt;MAX(0.0000001,$B$86*0.00000000001),0,MAX(0,J1132*(1+SUM($B$87)/12)-K1132)),"")</x:f>
        <x:v>0</x:v>
      </x:c>
      <x:c r="M1132" s="440" t="n">
        <x:f>IF(AND(ISNUMBER(D1132),ISNUMBER(K1132)),D1132+K1132,"")</x:f>
        <x:v>0</x:v>
      </x:c>
      <x:c r="N1132" s="440" t="n">
        <x:f>IF(AND(ISNUMBER(H1132),ISNUMBER(L1132)),H1132+L1132,"")</x:f>
        <x:v>0</x:v>
      </x:c>
    </x:row>
    <x:row r="1133" ht="22" customHeight="1">
      <x:c r="A1133" s="254" t="n">
        <x:f>733</x:f>
        <x:v>733</x:v>
      </x:c>
      <x:c r="B1133" s="440" t="n">
        <x:f>IF(ISNUMBER(H1132),H1132,"")</x:f>
        <x:v>0</x:v>
      </x:c>
      <x:c r="C1133" s="442" t="n">
        <x:f>IF(ISNUMBER(B1133),IF(AND(733&gt;$B$173,$B$78="Refinance",ISNUMBER($B$80),$B$80&gt;=0,$B$80&lt;=1,ROUND($B$81*12,0)&gt;=1,$B$81&lt;=100,SUM($B$82)&gt;=0,SUM($B$82)&lt;=1,SUM($B$83)&gt;=0),$B$80,IF(AND($B$175&gt;0,733&gt;$B$175,ISNUMBER($B$75)),$B$75,$B$61)),"")</x:f>
        <x:v>0.0625</x:v>
      </x:c>
      <x:c r="D1133" s="440" t="n">
        <x:f>IF(AND(ISNUMBER(B1133),B1133=0),0,IF(AND($B$171=1,I1132=0,ISNUMBER(C1133),ISNUMBER(IF(AND(733&lt;=$B$174,733&lt;=$B$173),B1133*C1133/12,IF(AND(733=$B$173+1,AND(733&gt;$B$173,$B$78="Refinance",ISNUMBER($B$80),$B$80&gt;=0,$B$80&lt;=1,ROUND($B$81*12,0)&gt;=1,$B$81&lt;=100,SUM($B$82)&gt;=0,SUM($B$82)&lt;=1,SUM($B$83)&gt;=0)),IF(B1133=0,0,IF(C1133=0,B1133/ROUND($B$81*12,0),B1133*(C1133/12)/(1-(1+C1133/12)^(-ROUND($B$81*12,0))))),IF(AND(NOT(AND(733&gt;$B$173,$B$78="Refinance",ISNUMBER($B$80),$B$80&gt;=0,$B$80&lt;=1,ROUND($B$81*12,0)&gt;=1,$B$81&lt;=100,SUM($B$82)&gt;=0,SUM($B$82)&lt;=1,SUM($B$83)&gt;=0)),OR(733=1,733=$B$174+1,AND($B$175&gt;0,733=$B$175+1))),IF(AND($B$170=1,$B$66&gt;0,OR($B$175=0,733&lt;=$B$175)),$B$66,IF($B$172-MAX(733-1,$B$174)&gt;0,IF(B1133=0,0,IF(C1133=0,B1133/($B$172-MAX(733-1,$B$174)),B1133*(C1133/12)/(1-(1+C1133/12)^(-($B$172-MAX(733-1,$B$174)))))),"")),D1132))))),IF(IF(AND(733&lt;=$B$174,733&lt;=$B$173),B1133*C1133/12,IF(AND(733=$B$173+1,AND(733&gt;$B$173,$B$78="Refinance",ISNUMBER($B$80),$B$80&gt;=0,$B$80&lt;=1,ROUND($B$81*12,0)&gt;=1,$B$81&lt;=100,SUM($B$82)&gt;=0,SUM($B$82)&lt;=1,SUM($B$83)&gt;=0)),IF(B1133=0,0,IF(C1133=0,B1133/ROUND($B$81*12,0),B1133*(C1133/12)/(1-(1+C1133/12)^(-ROUND($B$81*12,0))))),IF(AND(NOT(AND(733&gt;$B$173,$B$78="Refinance",ISNUMBER($B$80),$B$80&gt;=0,$B$80&lt;=1,ROUND($B$81*12,0)&gt;=1,$B$81&lt;=100,SUM($B$82)&gt;=0,SUM($B$82)&lt;=1,SUM($B$83)&gt;=0)),OR(733=1,733=$B$174+1,AND($B$175&gt;0,733=$B$175+1))),IF(AND($B$170=1,$B$66&gt;0,OR($B$175=0,733&lt;=$B$175)),$B$66,IF($B$172-MAX(733-1,$B$174)&gt;0,IF(B1133=0,0,IF(C1133=0,B1133/($B$172-MAX(733-1,$B$174)),B1133*(C1133/12)/(1-(1+C1133/12)^(-($B$172-MAX(733-1,$B$174)))))),"")),D1132)))+0.0000001&gt;=B1133*C1133/12,MIN(B1133*(1+C1133/12),IF(AND(733&lt;=$B$174,733&lt;=$B$173),B1133*C1133/12,IF(AND(733=$B$173+1,AND(733&gt;$B$173,$B$78="Refinance",ISNUMBER($B$80),$B$80&gt;=0,$B$80&lt;=1,ROUND($B$81*12,0)&gt;=1,$B$81&lt;=100,SUM($B$82)&gt;=0,SUM($B$82)&lt;=1,SUM($B$83)&gt;=0)),IF(B1133=0,0,IF(C1133=0,B1133/ROUND($B$81*12,0),B1133*(C1133/12)/(1-(1+C1133/12)^(-ROUND($B$81*12,0))))),IF(AND(NOT(AND(733&gt;$B$173,$B$78="Refinance",ISNUMBER($B$80),$B$80&gt;=0,$B$80&lt;=1,ROUND($B$81*12,0)&gt;=1,$B$81&lt;=100,SUM($B$82)&gt;=0,SUM($B$82)&lt;=1,SUM($B$83)&gt;=0)),OR(733=1,733=$B$174+1,AND($B$175&gt;0,733=$B$175+1))),IF(AND($B$170=1,$B$66&gt;0,OR($B$175=0,733&lt;=$B$175)),$B$66,IF($B$172-MAX(733-1,$B$174)&gt;0,IF(B1133=0,0,IF(C1133=0,B1133/($B$172-MAX(733-1,$B$174)),B1133*(C1133/12)/(1-(1+C1133/12)^(-($B$172-MAX(733-1,$B$174)))))),"")),D1132)))),""),""))</x:f>
        <x:v>0</x:v>
      </x:c>
      <x:c r="E1133" s="440" t="n">
        <x:f>IF(AND(733=$B$173,ISNUMBER(D1133)),IF(MAX(0,B1133*(1+C1133/12)-D1133)&lt;MAX(0.0000001,$E$17*0.00000000001),0,MAX(0,B1133*(1+C1133/12)-D1133)),0)</x:f>
        <x:v>0</x:v>
      </x:c>
      <x:c r="F1133" s="440" t="n">
        <x:f>IF($B$78="Cash payoff",E1133,0)</x:f>
        <x:v>0</x:v>
      </x:c>
      <x:c r="G1133" s="440" t="n">
        <x:f>IF(AND(E1133&gt;0,AND($B$78="Refinance",ISNUMBER($B$80),$B$80&gt;=0,$B$80&lt;=1,ROUND($B$81*12,0)&gt;=1,$B$81&lt;=100,SUM($B$82)&gt;=0,SUM($B$82)&lt;=1,SUM($B$83)&gt;=0)),E1133*SUM($B$82)+SUM($B$83),0)</x:f>
        <x:v>0</x:v>
      </x:c>
      <x:c r="H1133" s="440" t="n">
        <x:f>IF(ISNUMBER(D1133),IF(MAX(0,B1133*(1+C1133/12)-D1133-F1133)&lt;MAX(0.0000001,$E$17*0.00000000001),0,MAX(0,B1133*(1+C1133/12)-D1133-F1133)),IF(AND($B$171=1,I1132=1),B1133,""))</x:f>
        <x:v>0</x:v>
      </x:c>
      <x:c r="I1133" s="444" t="n">
        <x:f>IF(OR(I1132=1,AND(E1133&gt;0,$B$78&lt;&gt;"Cash payoff",NOT(AND($B$78="Refinance",ISNUMBER($B$80),$B$80&gt;=0,$B$80&lt;=1,ROUND($B$81*12,0)&gt;=1,$B$81&lt;=100,SUM($B$82)&gt;=0,SUM($B$82)&lt;=1,SUM($B$83)&gt;=0))),AND(ISNUMBER(B1133),B1133&gt;0,$B$171=1,NOT(ISNUMBER(D1133)))),1,0)</x:f>
        <x:v>0</x:v>
      </x:c>
      <x:c r="J1133" s="440" t="n">
        <x:f>IF(ISNUMBER(L1132),L1132,"")</x:f>
        <x:v>0</x:v>
      </x:c>
      <x:c r="K1133" s="440" t="n">
        <x:f>IF(AND(ISNUMBER(J1133),J1133=0),0,IF(AND($B$176=1,ISNUMBER(J1133)),MIN(J1133*(1+$B$87/12),IF($B$86=0,0,IF($B$87=0,$B$86/ROUND($B$88*12,0),$B$86*($B$87/12)/(1-(1+$B$87/12)^(-ROUND($B$88*12,0)))))),""))</x:f>
        <x:v>0</x:v>
      </x:c>
      <x:c r="L1133" s="440" t="n">
        <x:f>IF(ISNUMBER(K1133),IF(MAX(0,J1133*(1+SUM($B$87)/12)-K1133)&lt;MAX(0.0000001,$B$86*0.00000000001),0,MAX(0,J1133*(1+SUM($B$87)/12)-K1133)),"")</x:f>
        <x:v>0</x:v>
      </x:c>
      <x:c r="M1133" s="440" t="n">
        <x:f>IF(AND(ISNUMBER(D1133),ISNUMBER(K1133)),D1133+K1133,"")</x:f>
        <x:v>0</x:v>
      </x:c>
      <x:c r="N1133" s="440" t="n">
        <x:f>IF(AND(ISNUMBER(H1133),ISNUMBER(L1133)),H1133+L1133,"")</x:f>
        <x:v>0</x:v>
      </x:c>
    </x:row>
    <x:row r="1134" ht="22" customHeight="1">
      <x:c r="A1134" s="254" t="n">
        <x:f>734</x:f>
        <x:v>734</x:v>
      </x:c>
      <x:c r="B1134" s="440" t="n">
        <x:f>IF(ISNUMBER(H1133),H1133,"")</x:f>
        <x:v>0</x:v>
      </x:c>
      <x:c r="C1134" s="442" t="n">
        <x:f>IF(ISNUMBER(B1134),IF(AND(734&gt;$B$173,$B$78="Refinance",ISNUMBER($B$80),$B$80&gt;=0,$B$80&lt;=1,ROUND($B$81*12,0)&gt;=1,$B$81&lt;=100,SUM($B$82)&gt;=0,SUM($B$82)&lt;=1,SUM($B$83)&gt;=0),$B$80,IF(AND($B$175&gt;0,734&gt;$B$175,ISNUMBER($B$75)),$B$75,$B$61)),"")</x:f>
        <x:v>0.0625</x:v>
      </x:c>
      <x:c r="D1134" s="440" t="n">
        <x:f>IF(AND(ISNUMBER(B1134),B1134=0),0,IF(AND($B$171=1,I1133=0,ISNUMBER(C1134),ISNUMBER(IF(AND(734&lt;=$B$174,734&lt;=$B$173),B1134*C1134/12,IF(AND(734=$B$173+1,AND(734&gt;$B$173,$B$78="Refinance",ISNUMBER($B$80),$B$80&gt;=0,$B$80&lt;=1,ROUND($B$81*12,0)&gt;=1,$B$81&lt;=100,SUM($B$82)&gt;=0,SUM($B$82)&lt;=1,SUM($B$83)&gt;=0)),IF(B1134=0,0,IF(C1134=0,B1134/ROUND($B$81*12,0),B1134*(C1134/12)/(1-(1+C1134/12)^(-ROUND($B$81*12,0))))),IF(AND(NOT(AND(734&gt;$B$173,$B$78="Refinance",ISNUMBER($B$80),$B$80&gt;=0,$B$80&lt;=1,ROUND($B$81*12,0)&gt;=1,$B$81&lt;=100,SUM($B$82)&gt;=0,SUM($B$82)&lt;=1,SUM($B$83)&gt;=0)),OR(734=1,734=$B$174+1,AND($B$175&gt;0,734=$B$175+1))),IF(AND($B$170=1,$B$66&gt;0,OR($B$175=0,734&lt;=$B$175)),$B$66,IF($B$172-MAX(734-1,$B$174)&gt;0,IF(B1134=0,0,IF(C1134=0,B1134/($B$172-MAX(734-1,$B$174)),B1134*(C1134/12)/(1-(1+C1134/12)^(-($B$172-MAX(734-1,$B$174)))))),"")),D1133))))),IF(IF(AND(734&lt;=$B$174,734&lt;=$B$173),B1134*C1134/12,IF(AND(734=$B$173+1,AND(734&gt;$B$173,$B$78="Refinance",ISNUMBER($B$80),$B$80&gt;=0,$B$80&lt;=1,ROUND($B$81*12,0)&gt;=1,$B$81&lt;=100,SUM($B$82)&gt;=0,SUM($B$82)&lt;=1,SUM($B$83)&gt;=0)),IF(B1134=0,0,IF(C1134=0,B1134/ROUND($B$81*12,0),B1134*(C1134/12)/(1-(1+C1134/12)^(-ROUND($B$81*12,0))))),IF(AND(NOT(AND(734&gt;$B$173,$B$78="Refinance",ISNUMBER($B$80),$B$80&gt;=0,$B$80&lt;=1,ROUND($B$81*12,0)&gt;=1,$B$81&lt;=100,SUM($B$82)&gt;=0,SUM($B$82)&lt;=1,SUM($B$83)&gt;=0)),OR(734=1,734=$B$174+1,AND($B$175&gt;0,734=$B$175+1))),IF(AND($B$170=1,$B$66&gt;0,OR($B$175=0,734&lt;=$B$175)),$B$66,IF($B$172-MAX(734-1,$B$174)&gt;0,IF(B1134=0,0,IF(C1134=0,B1134/($B$172-MAX(734-1,$B$174)),B1134*(C1134/12)/(1-(1+C1134/12)^(-($B$172-MAX(734-1,$B$174)))))),"")),D1133)))+0.0000001&gt;=B1134*C1134/12,MIN(B1134*(1+C1134/12),IF(AND(734&lt;=$B$174,734&lt;=$B$173),B1134*C1134/12,IF(AND(734=$B$173+1,AND(734&gt;$B$173,$B$78="Refinance",ISNUMBER($B$80),$B$80&gt;=0,$B$80&lt;=1,ROUND($B$81*12,0)&gt;=1,$B$81&lt;=100,SUM($B$82)&gt;=0,SUM($B$82)&lt;=1,SUM($B$83)&gt;=0)),IF(B1134=0,0,IF(C1134=0,B1134/ROUND($B$81*12,0),B1134*(C1134/12)/(1-(1+C1134/12)^(-ROUND($B$81*12,0))))),IF(AND(NOT(AND(734&gt;$B$173,$B$78="Refinance",ISNUMBER($B$80),$B$80&gt;=0,$B$80&lt;=1,ROUND($B$81*12,0)&gt;=1,$B$81&lt;=100,SUM($B$82)&gt;=0,SUM($B$82)&lt;=1,SUM($B$83)&gt;=0)),OR(734=1,734=$B$174+1,AND($B$175&gt;0,734=$B$175+1))),IF(AND($B$170=1,$B$66&gt;0,OR($B$175=0,734&lt;=$B$175)),$B$66,IF($B$172-MAX(734-1,$B$174)&gt;0,IF(B1134=0,0,IF(C1134=0,B1134/($B$172-MAX(734-1,$B$174)),B1134*(C1134/12)/(1-(1+C1134/12)^(-($B$172-MAX(734-1,$B$174)))))),"")),D1133)))),""),""))</x:f>
        <x:v>0</x:v>
      </x:c>
      <x:c r="E1134" s="440" t="n">
        <x:f>IF(AND(734=$B$173,ISNUMBER(D1134)),IF(MAX(0,B1134*(1+C1134/12)-D1134)&lt;MAX(0.0000001,$E$17*0.00000000001),0,MAX(0,B1134*(1+C1134/12)-D1134)),0)</x:f>
        <x:v>0</x:v>
      </x:c>
      <x:c r="F1134" s="440" t="n">
        <x:f>IF($B$78="Cash payoff",E1134,0)</x:f>
        <x:v>0</x:v>
      </x:c>
      <x:c r="G1134" s="440" t="n">
        <x:f>IF(AND(E1134&gt;0,AND($B$78="Refinance",ISNUMBER($B$80),$B$80&gt;=0,$B$80&lt;=1,ROUND($B$81*12,0)&gt;=1,$B$81&lt;=100,SUM($B$82)&gt;=0,SUM($B$82)&lt;=1,SUM($B$83)&gt;=0)),E1134*SUM($B$82)+SUM($B$83),0)</x:f>
        <x:v>0</x:v>
      </x:c>
      <x:c r="H1134" s="440" t="n">
        <x:f>IF(ISNUMBER(D1134),IF(MAX(0,B1134*(1+C1134/12)-D1134-F1134)&lt;MAX(0.0000001,$E$17*0.00000000001),0,MAX(0,B1134*(1+C1134/12)-D1134-F1134)),IF(AND($B$171=1,I1133=1),B1134,""))</x:f>
        <x:v>0</x:v>
      </x:c>
      <x:c r="I1134" s="444" t="n">
        <x:f>IF(OR(I1133=1,AND(E1134&gt;0,$B$78&lt;&gt;"Cash payoff",NOT(AND($B$78="Refinance",ISNUMBER($B$80),$B$80&gt;=0,$B$80&lt;=1,ROUND($B$81*12,0)&gt;=1,$B$81&lt;=100,SUM($B$82)&gt;=0,SUM($B$82)&lt;=1,SUM($B$83)&gt;=0))),AND(ISNUMBER(B1134),B1134&gt;0,$B$171=1,NOT(ISNUMBER(D1134)))),1,0)</x:f>
        <x:v>0</x:v>
      </x:c>
      <x:c r="J1134" s="440" t="n">
        <x:f>IF(ISNUMBER(L1133),L1133,"")</x:f>
        <x:v>0</x:v>
      </x:c>
      <x:c r="K1134" s="440" t="n">
        <x:f>IF(AND(ISNUMBER(J1134),J1134=0),0,IF(AND($B$176=1,ISNUMBER(J1134)),MIN(J1134*(1+$B$87/12),IF($B$86=0,0,IF($B$87=0,$B$86/ROUND($B$88*12,0),$B$86*($B$87/12)/(1-(1+$B$87/12)^(-ROUND($B$88*12,0)))))),""))</x:f>
        <x:v>0</x:v>
      </x:c>
      <x:c r="L1134" s="440" t="n">
        <x:f>IF(ISNUMBER(K1134),IF(MAX(0,J1134*(1+SUM($B$87)/12)-K1134)&lt;MAX(0.0000001,$B$86*0.00000000001),0,MAX(0,J1134*(1+SUM($B$87)/12)-K1134)),"")</x:f>
        <x:v>0</x:v>
      </x:c>
      <x:c r="M1134" s="440" t="n">
        <x:f>IF(AND(ISNUMBER(D1134),ISNUMBER(K1134)),D1134+K1134,"")</x:f>
        <x:v>0</x:v>
      </x:c>
      <x:c r="N1134" s="440" t="n">
        <x:f>IF(AND(ISNUMBER(H1134),ISNUMBER(L1134)),H1134+L1134,"")</x:f>
        <x:v>0</x:v>
      </x:c>
    </x:row>
    <x:row r="1135" ht="22" customHeight="1">
      <x:c r="A1135" s="254" t="n">
        <x:f>735</x:f>
        <x:v>735</x:v>
      </x:c>
      <x:c r="B1135" s="440" t="n">
        <x:f>IF(ISNUMBER(H1134),H1134,"")</x:f>
        <x:v>0</x:v>
      </x:c>
      <x:c r="C1135" s="442" t="n">
        <x:f>IF(ISNUMBER(B1135),IF(AND(735&gt;$B$173,$B$78="Refinance",ISNUMBER($B$80),$B$80&gt;=0,$B$80&lt;=1,ROUND($B$81*12,0)&gt;=1,$B$81&lt;=100,SUM($B$82)&gt;=0,SUM($B$82)&lt;=1,SUM($B$83)&gt;=0),$B$80,IF(AND($B$175&gt;0,735&gt;$B$175,ISNUMBER($B$75)),$B$75,$B$61)),"")</x:f>
        <x:v>0.0625</x:v>
      </x:c>
      <x:c r="D1135" s="440" t="n">
        <x:f>IF(AND(ISNUMBER(B1135),B1135=0),0,IF(AND($B$171=1,I1134=0,ISNUMBER(C1135),ISNUMBER(IF(AND(735&lt;=$B$174,735&lt;=$B$173),B1135*C1135/12,IF(AND(735=$B$173+1,AND(735&gt;$B$173,$B$78="Refinance",ISNUMBER($B$80),$B$80&gt;=0,$B$80&lt;=1,ROUND($B$81*12,0)&gt;=1,$B$81&lt;=100,SUM($B$82)&gt;=0,SUM($B$82)&lt;=1,SUM($B$83)&gt;=0)),IF(B1135=0,0,IF(C1135=0,B1135/ROUND($B$81*12,0),B1135*(C1135/12)/(1-(1+C1135/12)^(-ROUND($B$81*12,0))))),IF(AND(NOT(AND(735&gt;$B$173,$B$78="Refinance",ISNUMBER($B$80),$B$80&gt;=0,$B$80&lt;=1,ROUND($B$81*12,0)&gt;=1,$B$81&lt;=100,SUM($B$82)&gt;=0,SUM($B$82)&lt;=1,SUM($B$83)&gt;=0)),OR(735=1,735=$B$174+1,AND($B$175&gt;0,735=$B$175+1))),IF(AND($B$170=1,$B$66&gt;0,OR($B$175=0,735&lt;=$B$175)),$B$66,IF($B$172-MAX(735-1,$B$174)&gt;0,IF(B1135=0,0,IF(C1135=0,B1135/($B$172-MAX(735-1,$B$174)),B1135*(C1135/12)/(1-(1+C1135/12)^(-($B$172-MAX(735-1,$B$174)))))),"")),D1134))))),IF(IF(AND(735&lt;=$B$174,735&lt;=$B$173),B1135*C1135/12,IF(AND(735=$B$173+1,AND(735&gt;$B$173,$B$78="Refinance",ISNUMBER($B$80),$B$80&gt;=0,$B$80&lt;=1,ROUND($B$81*12,0)&gt;=1,$B$81&lt;=100,SUM($B$82)&gt;=0,SUM($B$82)&lt;=1,SUM($B$83)&gt;=0)),IF(B1135=0,0,IF(C1135=0,B1135/ROUND($B$81*12,0),B1135*(C1135/12)/(1-(1+C1135/12)^(-ROUND($B$81*12,0))))),IF(AND(NOT(AND(735&gt;$B$173,$B$78="Refinance",ISNUMBER($B$80),$B$80&gt;=0,$B$80&lt;=1,ROUND($B$81*12,0)&gt;=1,$B$81&lt;=100,SUM($B$82)&gt;=0,SUM($B$82)&lt;=1,SUM($B$83)&gt;=0)),OR(735=1,735=$B$174+1,AND($B$175&gt;0,735=$B$175+1))),IF(AND($B$170=1,$B$66&gt;0,OR($B$175=0,735&lt;=$B$175)),$B$66,IF($B$172-MAX(735-1,$B$174)&gt;0,IF(B1135=0,0,IF(C1135=0,B1135/($B$172-MAX(735-1,$B$174)),B1135*(C1135/12)/(1-(1+C1135/12)^(-($B$172-MAX(735-1,$B$174)))))),"")),D1134)))+0.0000001&gt;=B1135*C1135/12,MIN(B1135*(1+C1135/12),IF(AND(735&lt;=$B$174,735&lt;=$B$173),B1135*C1135/12,IF(AND(735=$B$173+1,AND(735&gt;$B$173,$B$78="Refinance",ISNUMBER($B$80),$B$80&gt;=0,$B$80&lt;=1,ROUND($B$81*12,0)&gt;=1,$B$81&lt;=100,SUM($B$82)&gt;=0,SUM($B$82)&lt;=1,SUM($B$83)&gt;=0)),IF(B1135=0,0,IF(C1135=0,B1135/ROUND($B$81*12,0),B1135*(C1135/12)/(1-(1+C1135/12)^(-ROUND($B$81*12,0))))),IF(AND(NOT(AND(735&gt;$B$173,$B$78="Refinance",ISNUMBER($B$80),$B$80&gt;=0,$B$80&lt;=1,ROUND($B$81*12,0)&gt;=1,$B$81&lt;=100,SUM($B$82)&gt;=0,SUM($B$82)&lt;=1,SUM($B$83)&gt;=0)),OR(735=1,735=$B$174+1,AND($B$175&gt;0,735=$B$175+1))),IF(AND($B$170=1,$B$66&gt;0,OR($B$175=0,735&lt;=$B$175)),$B$66,IF($B$172-MAX(735-1,$B$174)&gt;0,IF(B1135=0,0,IF(C1135=0,B1135/($B$172-MAX(735-1,$B$174)),B1135*(C1135/12)/(1-(1+C1135/12)^(-($B$172-MAX(735-1,$B$174)))))),"")),D1134)))),""),""))</x:f>
        <x:v>0</x:v>
      </x:c>
      <x:c r="E1135" s="440" t="n">
        <x:f>IF(AND(735=$B$173,ISNUMBER(D1135)),IF(MAX(0,B1135*(1+C1135/12)-D1135)&lt;MAX(0.0000001,$E$17*0.00000000001),0,MAX(0,B1135*(1+C1135/12)-D1135)),0)</x:f>
        <x:v>0</x:v>
      </x:c>
      <x:c r="F1135" s="440" t="n">
        <x:f>IF($B$78="Cash payoff",E1135,0)</x:f>
        <x:v>0</x:v>
      </x:c>
      <x:c r="G1135" s="440" t="n">
        <x:f>IF(AND(E1135&gt;0,AND($B$78="Refinance",ISNUMBER($B$80),$B$80&gt;=0,$B$80&lt;=1,ROUND($B$81*12,0)&gt;=1,$B$81&lt;=100,SUM($B$82)&gt;=0,SUM($B$82)&lt;=1,SUM($B$83)&gt;=0)),E1135*SUM($B$82)+SUM($B$83),0)</x:f>
        <x:v>0</x:v>
      </x:c>
      <x:c r="H1135" s="440" t="n">
        <x:f>IF(ISNUMBER(D1135),IF(MAX(0,B1135*(1+C1135/12)-D1135-F1135)&lt;MAX(0.0000001,$E$17*0.00000000001),0,MAX(0,B1135*(1+C1135/12)-D1135-F1135)),IF(AND($B$171=1,I1134=1),B1135,""))</x:f>
        <x:v>0</x:v>
      </x:c>
      <x:c r="I1135" s="444" t="n">
        <x:f>IF(OR(I1134=1,AND(E1135&gt;0,$B$78&lt;&gt;"Cash payoff",NOT(AND($B$78="Refinance",ISNUMBER($B$80),$B$80&gt;=0,$B$80&lt;=1,ROUND($B$81*12,0)&gt;=1,$B$81&lt;=100,SUM($B$82)&gt;=0,SUM($B$82)&lt;=1,SUM($B$83)&gt;=0))),AND(ISNUMBER(B1135),B1135&gt;0,$B$171=1,NOT(ISNUMBER(D1135)))),1,0)</x:f>
        <x:v>0</x:v>
      </x:c>
      <x:c r="J1135" s="440" t="n">
        <x:f>IF(ISNUMBER(L1134),L1134,"")</x:f>
        <x:v>0</x:v>
      </x:c>
      <x:c r="K1135" s="440" t="n">
        <x:f>IF(AND(ISNUMBER(J1135),J1135=0),0,IF(AND($B$176=1,ISNUMBER(J1135)),MIN(J1135*(1+$B$87/12),IF($B$86=0,0,IF($B$87=0,$B$86/ROUND($B$88*12,0),$B$86*($B$87/12)/(1-(1+$B$87/12)^(-ROUND($B$88*12,0)))))),""))</x:f>
        <x:v>0</x:v>
      </x:c>
      <x:c r="L1135" s="440" t="n">
        <x:f>IF(ISNUMBER(K1135),IF(MAX(0,J1135*(1+SUM($B$87)/12)-K1135)&lt;MAX(0.0000001,$B$86*0.00000000001),0,MAX(0,J1135*(1+SUM($B$87)/12)-K1135)),"")</x:f>
        <x:v>0</x:v>
      </x:c>
      <x:c r="M1135" s="440" t="n">
        <x:f>IF(AND(ISNUMBER(D1135),ISNUMBER(K1135)),D1135+K1135,"")</x:f>
        <x:v>0</x:v>
      </x:c>
      <x:c r="N1135" s="440" t="n">
        <x:f>IF(AND(ISNUMBER(H1135),ISNUMBER(L1135)),H1135+L1135,"")</x:f>
        <x:v>0</x:v>
      </x:c>
    </x:row>
    <x:row r="1136" ht="22" customHeight="1">
      <x:c r="A1136" s="254" t="n">
        <x:f>736</x:f>
        <x:v>736</x:v>
      </x:c>
      <x:c r="B1136" s="440" t="n">
        <x:f>IF(ISNUMBER(H1135),H1135,"")</x:f>
        <x:v>0</x:v>
      </x:c>
      <x:c r="C1136" s="442" t="n">
        <x:f>IF(ISNUMBER(B1136),IF(AND(736&gt;$B$173,$B$78="Refinance",ISNUMBER($B$80),$B$80&gt;=0,$B$80&lt;=1,ROUND($B$81*12,0)&gt;=1,$B$81&lt;=100,SUM($B$82)&gt;=0,SUM($B$82)&lt;=1,SUM($B$83)&gt;=0),$B$80,IF(AND($B$175&gt;0,736&gt;$B$175,ISNUMBER($B$75)),$B$75,$B$61)),"")</x:f>
        <x:v>0.0625</x:v>
      </x:c>
      <x:c r="D1136" s="440" t="n">
        <x:f>IF(AND(ISNUMBER(B1136),B1136=0),0,IF(AND($B$171=1,I1135=0,ISNUMBER(C1136),ISNUMBER(IF(AND(736&lt;=$B$174,736&lt;=$B$173),B1136*C1136/12,IF(AND(736=$B$173+1,AND(736&gt;$B$173,$B$78="Refinance",ISNUMBER($B$80),$B$80&gt;=0,$B$80&lt;=1,ROUND($B$81*12,0)&gt;=1,$B$81&lt;=100,SUM($B$82)&gt;=0,SUM($B$82)&lt;=1,SUM($B$83)&gt;=0)),IF(B1136=0,0,IF(C1136=0,B1136/ROUND($B$81*12,0),B1136*(C1136/12)/(1-(1+C1136/12)^(-ROUND($B$81*12,0))))),IF(AND(NOT(AND(736&gt;$B$173,$B$78="Refinance",ISNUMBER($B$80),$B$80&gt;=0,$B$80&lt;=1,ROUND($B$81*12,0)&gt;=1,$B$81&lt;=100,SUM($B$82)&gt;=0,SUM($B$82)&lt;=1,SUM($B$83)&gt;=0)),OR(736=1,736=$B$174+1,AND($B$175&gt;0,736=$B$175+1))),IF(AND($B$170=1,$B$66&gt;0,OR($B$175=0,736&lt;=$B$175)),$B$66,IF($B$172-MAX(736-1,$B$174)&gt;0,IF(B1136=0,0,IF(C1136=0,B1136/($B$172-MAX(736-1,$B$174)),B1136*(C1136/12)/(1-(1+C1136/12)^(-($B$172-MAX(736-1,$B$174)))))),"")),D1135))))),IF(IF(AND(736&lt;=$B$174,736&lt;=$B$173),B1136*C1136/12,IF(AND(736=$B$173+1,AND(736&gt;$B$173,$B$78="Refinance",ISNUMBER($B$80),$B$80&gt;=0,$B$80&lt;=1,ROUND($B$81*12,0)&gt;=1,$B$81&lt;=100,SUM($B$82)&gt;=0,SUM($B$82)&lt;=1,SUM($B$83)&gt;=0)),IF(B1136=0,0,IF(C1136=0,B1136/ROUND($B$81*12,0),B1136*(C1136/12)/(1-(1+C1136/12)^(-ROUND($B$81*12,0))))),IF(AND(NOT(AND(736&gt;$B$173,$B$78="Refinance",ISNUMBER($B$80),$B$80&gt;=0,$B$80&lt;=1,ROUND($B$81*12,0)&gt;=1,$B$81&lt;=100,SUM($B$82)&gt;=0,SUM($B$82)&lt;=1,SUM($B$83)&gt;=0)),OR(736=1,736=$B$174+1,AND($B$175&gt;0,736=$B$175+1))),IF(AND($B$170=1,$B$66&gt;0,OR($B$175=0,736&lt;=$B$175)),$B$66,IF($B$172-MAX(736-1,$B$174)&gt;0,IF(B1136=0,0,IF(C1136=0,B1136/($B$172-MAX(736-1,$B$174)),B1136*(C1136/12)/(1-(1+C1136/12)^(-($B$172-MAX(736-1,$B$174)))))),"")),D1135)))+0.0000001&gt;=B1136*C1136/12,MIN(B1136*(1+C1136/12),IF(AND(736&lt;=$B$174,736&lt;=$B$173),B1136*C1136/12,IF(AND(736=$B$173+1,AND(736&gt;$B$173,$B$78="Refinance",ISNUMBER($B$80),$B$80&gt;=0,$B$80&lt;=1,ROUND($B$81*12,0)&gt;=1,$B$81&lt;=100,SUM($B$82)&gt;=0,SUM($B$82)&lt;=1,SUM($B$83)&gt;=0)),IF(B1136=0,0,IF(C1136=0,B1136/ROUND($B$81*12,0),B1136*(C1136/12)/(1-(1+C1136/12)^(-ROUND($B$81*12,0))))),IF(AND(NOT(AND(736&gt;$B$173,$B$78="Refinance",ISNUMBER($B$80),$B$80&gt;=0,$B$80&lt;=1,ROUND($B$81*12,0)&gt;=1,$B$81&lt;=100,SUM($B$82)&gt;=0,SUM($B$82)&lt;=1,SUM($B$83)&gt;=0)),OR(736=1,736=$B$174+1,AND($B$175&gt;0,736=$B$175+1))),IF(AND($B$170=1,$B$66&gt;0,OR($B$175=0,736&lt;=$B$175)),$B$66,IF($B$172-MAX(736-1,$B$174)&gt;0,IF(B1136=0,0,IF(C1136=0,B1136/($B$172-MAX(736-1,$B$174)),B1136*(C1136/12)/(1-(1+C1136/12)^(-($B$172-MAX(736-1,$B$174)))))),"")),D1135)))),""),""))</x:f>
        <x:v>0</x:v>
      </x:c>
      <x:c r="E1136" s="440" t="n">
        <x:f>IF(AND(736=$B$173,ISNUMBER(D1136)),IF(MAX(0,B1136*(1+C1136/12)-D1136)&lt;MAX(0.0000001,$E$17*0.00000000001),0,MAX(0,B1136*(1+C1136/12)-D1136)),0)</x:f>
        <x:v>0</x:v>
      </x:c>
      <x:c r="F1136" s="440" t="n">
        <x:f>IF($B$78="Cash payoff",E1136,0)</x:f>
        <x:v>0</x:v>
      </x:c>
      <x:c r="G1136" s="440" t="n">
        <x:f>IF(AND(E1136&gt;0,AND($B$78="Refinance",ISNUMBER($B$80),$B$80&gt;=0,$B$80&lt;=1,ROUND($B$81*12,0)&gt;=1,$B$81&lt;=100,SUM($B$82)&gt;=0,SUM($B$82)&lt;=1,SUM($B$83)&gt;=0)),E1136*SUM($B$82)+SUM($B$83),0)</x:f>
        <x:v>0</x:v>
      </x:c>
      <x:c r="H1136" s="440" t="n">
        <x:f>IF(ISNUMBER(D1136),IF(MAX(0,B1136*(1+C1136/12)-D1136-F1136)&lt;MAX(0.0000001,$E$17*0.00000000001),0,MAX(0,B1136*(1+C1136/12)-D1136-F1136)),IF(AND($B$171=1,I1135=1),B1136,""))</x:f>
        <x:v>0</x:v>
      </x:c>
      <x:c r="I1136" s="444" t="n">
        <x:f>IF(OR(I1135=1,AND(E1136&gt;0,$B$78&lt;&gt;"Cash payoff",NOT(AND($B$78="Refinance",ISNUMBER($B$80),$B$80&gt;=0,$B$80&lt;=1,ROUND($B$81*12,0)&gt;=1,$B$81&lt;=100,SUM($B$82)&gt;=0,SUM($B$82)&lt;=1,SUM($B$83)&gt;=0))),AND(ISNUMBER(B1136),B1136&gt;0,$B$171=1,NOT(ISNUMBER(D1136)))),1,0)</x:f>
        <x:v>0</x:v>
      </x:c>
      <x:c r="J1136" s="440" t="n">
        <x:f>IF(ISNUMBER(L1135),L1135,"")</x:f>
        <x:v>0</x:v>
      </x:c>
      <x:c r="K1136" s="440" t="n">
        <x:f>IF(AND(ISNUMBER(J1136),J1136=0),0,IF(AND($B$176=1,ISNUMBER(J1136)),MIN(J1136*(1+$B$87/12),IF($B$86=0,0,IF($B$87=0,$B$86/ROUND($B$88*12,0),$B$86*($B$87/12)/(1-(1+$B$87/12)^(-ROUND($B$88*12,0)))))),""))</x:f>
        <x:v>0</x:v>
      </x:c>
      <x:c r="L1136" s="440" t="n">
        <x:f>IF(ISNUMBER(K1136),IF(MAX(0,J1136*(1+SUM($B$87)/12)-K1136)&lt;MAX(0.0000001,$B$86*0.00000000001),0,MAX(0,J1136*(1+SUM($B$87)/12)-K1136)),"")</x:f>
        <x:v>0</x:v>
      </x:c>
      <x:c r="M1136" s="440" t="n">
        <x:f>IF(AND(ISNUMBER(D1136),ISNUMBER(K1136)),D1136+K1136,"")</x:f>
        <x:v>0</x:v>
      </x:c>
      <x:c r="N1136" s="440" t="n">
        <x:f>IF(AND(ISNUMBER(H1136),ISNUMBER(L1136)),H1136+L1136,"")</x:f>
        <x:v>0</x:v>
      </x:c>
    </x:row>
    <x:row r="1137" ht="22" customHeight="1">
      <x:c r="A1137" s="254" t="n">
        <x:f>737</x:f>
        <x:v>737</x:v>
      </x:c>
      <x:c r="B1137" s="440" t="n">
        <x:f>IF(ISNUMBER(H1136),H1136,"")</x:f>
        <x:v>0</x:v>
      </x:c>
      <x:c r="C1137" s="442" t="n">
        <x:f>IF(ISNUMBER(B1137),IF(AND(737&gt;$B$173,$B$78="Refinance",ISNUMBER($B$80),$B$80&gt;=0,$B$80&lt;=1,ROUND($B$81*12,0)&gt;=1,$B$81&lt;=100,SUM($B$82)&gt;=0,SUM($B$82)&lt;=1,SUM($B$83)&gt;=0),$B$80,IF(AND($B$175&gt;0,737&gt;$B$175,ISNUMBER($B$75)),$B$75,$B$61)),"")</x:f>
        <x:v>0.0625</x:v>
      </x:c>
      <x:c r="D1137" s="440" t="n">
        <x:f>IF(AND(ISNUMBER(B1137),B1137=0),0,IF(AND($B$171=1,I1136=0,ISNUMBER(C1137),ISNUMBER(IF(AND(737&lt;=$B$174,737&lt;=$B$173),B1137*C1137/12,IF(AND(737=$B$173+1,AND(737&gt;$B$173,$B$78="Refinance",ISNUMBER($B$80),$B$80&gt;=0,$B$80&lt;=1,ROUND($B$81*12,0)&gt;=1,$B$81&lt;=100,SUM($B$82)&gt;=0,SUM($B$82)&lt;=1,SUM($B$83)&gt;=0)),IF(B1137=0,0,IF(C1137=0,B1137/ROUND($B$81*12,0),B1137*(C1137/12)/(1-(1+C1137/12)^(-ROUND($B$81*12,0))))),IF(AND(NOT(AND(737&gt;$B$173,$B$78="Refinance",ISNUMBER($B$80),$B$80&gt;=0,$B$80&lt;=1,ROUND($B$81*12,0)&gt;=1,$B$81&lt;=100,SUM($B$82)&gt;=0,SUM($B$82)&lt;=1,SUM($B$83)&gt;=0)),OR(737=1,737=$B$174+1,AND($B$175&gt;0,737=$B$175+1))),IF(AND($B$170=1,$B$66&gt;0,OR($B$175=0,737&lt;=$B$175)),$B$66,IF($B$172-MAX(737-1,$B$174)&gt;0,IF(B1137=0,0,IF(C1137=0,B1137/($B$172-MAX(737-1,$B$174)),B1137*(C1137/12)/(1-(1+C1137/12)^(-($B$172-MAX(737-1,$B$174)))))),"")),D1136))))),IF(IF(AND(737&lt;=$B$174,737&lt;=$B$173),B1137*C1137/12,IF(AND(737=$B$173+1,AND(737&gt;$B$173,$B$78="Refinance",ISNUMBER($B$80),$B$80&gt;=0,$B$80&lt;=1,ROUND($B$81*12,0)&gt;=1,$B$81&lt;=100,SUM($B$82)&gt;=0,SUM($B$82)&lt;=1,SUM($B$83)&gt;=0)),IF(B1137=0,0,IF(C1137=0,B1137/ROUND($B$81*12,0),B1137*(C1137/12)/(1-(1+C1137/12)^(-ROUND($B$81*12,0))))),IF(AND(NOT(AND(737&gt;$B$173,$B$78="Refinance",ISNUMBER($B$80),$B$80&gt;=0,$B$80&lt;=1,ROUND($B$81*12,0)&gt;=1,$B$81&lt;=100,SUM($B$82)&gt;=0,SUM($B$82)&lt;=1,SUM($B$83)&gt;=0)),OR(737=1,737=$B$174+1,AND($B$175&gt;0,737=$B$175+1))),IF(AND($B$170=1,$B$66&gt;0,OR($B$175=0,737&lt;=$B$175)),$B$66,IF($B$172-MAX(737-1,$B$174)&gt;0,IF(B1137=0,0,IF(C1137=0,B1137/($B$172-MAX(737-1,$B$174)),B1137*(C1137/12)/(1-(1+C1137/12)^(-($B$172-MAX(737-1,$B$174)))))),"")),D1136)))+0.0000001&gt;=B1137*C1137/12,MIN(B1137*(1+C1137/12),IF(AND(737&lt;=$B$174,737&lt;=$B$173),B1137*C1137/12,IF(AND(737=$B$173+1,AND(737&gt;$B$173,$B$78="Refinance",ISNUMBER($B$80),$B$80&gt;=0,$B$80&lt;=1,ROUND($B$81*12,0)&gt;=1,$B$81&lt;=100,SUM($B$82)&gt;=0,SUM($B$82)&lt;=1,SUM($B$83)&gt;=0)),IF(B1137=0,0,IF(C1137=0,B1137/ROUND($B$81*12,0),B1137*(C1137/12)/(1-(1+C1137/12)^(-ROUND($B$81*12,0))))),IF(AND(NOT(AND(737&gt;$B$173,$B$78="Refinance",ISNUMBER($B$80),$B$80&gt;=0,$B$80&lt;=1,ROUND($B$81*12,0)&gt;=1,$B$81&lt;=100,SUM($B$82)&gt;=0,SUM($B$82)&lt;=1,SUM($B$83)&gt;=0)),OR(737=1,737=$B$174+1,AND($B$175&gt;0,737=$B$175+1))),IF(AND($B$170=1,$B$66&gt;0,OR($B$175=0,737&lt;=$B$175)),$B$66,IF($B$172-MAX(737-1,$B$174)&gt;0,IF(B1137=0,0,IF(C1137=0,B1137/($B$172-MAX(737-1,$B$174)),B1137*(C1137/12)/(1-(1+C1137/12)^(-($B$172-MAX(737-1,$B$174)))))),"")),D1136)))),""),""))</x:f>
        <x:v>0</x:v>
      </x:c>
      <x:c r="E1137" s="440" t="n">
        <x:f>IF(AND(737=$B$173,ISNUMBER(D1137)),IF(MAX(0,B1137*(1+C1137/12)-D1137)&lt;MAX(0.0000001,$E$17*0.00000000001),0,MAX(0,B1137*(1+C1137/12)-D1137)),0)</x:f>
        <x:v>0</x:v>
      </x:c>
      <x:c r="F1137" s="440" t="n">
        <x:f>IF($B$78="Cash payoff",E1137,0)</x:f>
        <x:v>0</x:v>
      </x:c>
      <x:c r="G1137" s="440" t="n">
        <x:f>IF(AND(E1137&gt;0,AND($B$78="Refinance",ISNUMBER($B$80),$B$80&gt;=0,$B$80&lt;=1,ROUND($B$81*12,0)&gt;=1,$B$81&lt;=100,SUM($B$82)&gt;=0,SUM($B$82)&lt;=1,SUM($B$83)&gt;=0)),E1137*SUM($B$82)+SUM($B$83),0)</x:f>
        <x:v>0</x:v>
      </x:c>
      <x:c r="H1137" s="440" t="n">
        <x:f>IF(ISNUMBER(D1137),IF(MAX(0,B1137*(1+C1137/12)-D1137-F1137)&lt;MAX(0.0000001,$E$17*0.00000000001),0,MAX(0,B1137*(1+C1137/12)-D1137-F1137)),IF(AND($B$171=1,I1136=1),B1137,""))</x:f>
        <x:v>0</x:v>
      </x:c>
      <x:c r="I1137" s="444" t="n">
        <x:f>IF(OR(I1136=1,AND(E1137&gt;0,$B$78&lt;&gt;"Cash payoff",NOT(AND($B$78="Refinance",ISNUMBER($B$80),$B$80&gt;=0,$B$80&lt;=1,ROUND($B$81*12,0)&gt;=1,$B$81&lt;=100,SUM($B$82)&gt;=0,SUM($B$82)&lt;=1,SUM($B$83)&gt;=0))),AND(ISNUMBER(B1137),B1137&gt;0,$B$171=1,NOT(ISNUMBER(D1137)))),1,0)</x:f>
        <x:v>0</x:v>
      </x:c>
      <x:c r="J1137" s="440" t="n">
        <x:f>IF(ISNUMBER(L1136),L1136,"")</x:f>
        <x:v>0</x:v>
      </x:c>
      <x:c r="K1137" s="440" t="n">
        <x:f>IF(AND(ISNUMBER(J1137),J1137=0),0,IF(AND($B$176=1,ISNUMBER(J1137)),MIN(J1137*(1+$B$87/12),IF($B$86=0,0,IF($B$87=0,$B$86/ROUND($B$88*12,0),$B$86*($B$87/12)/(1-(1+$B$87/12)^(-ROUND($B$88*12,0)))))),""))</x:f>
        <x:v>0</x:v>
      </x:c>
      <x:c r="L1137" s="440" t="n">
        <x:f>IF(ISNUMBER(K1137),IF(MAX(0,J1137*(1+SUM($B$87)/12)-K1137)&lt;MAX(0.0000001,$B$86*0.00000000001),0,MAX(0,J1137*(1+SUM($B$87)/12)-K1137)),"")</x:f>
        <x:v>0</x:v>
      </x:c>
      <x:c r="M1137" s="440" t="n">
        <x:f>IF(AND(ISNUMBER(D1137),ISNUMBER(K1137)),D1137+K1137,"")</x:f>
        <x:v>0</x:v>
      </x:c>
      <x:c r="N1137" s="440" t="n">
        <x:f>IF(AND(ISNUMBER(H1137),ISNUMBER(L1137)),H1137+L1137,"")</x:f>
        <x:v>0</x:v>
      </x:c>
    </x:row>
    <x:row r="1138" ht="22" customHeight="1">
      <x:c r="A1138" s="254" t="n">
        <x:f>738</x:f>
        <x:v>738</x:v>
      </x:c>
      <x:c r="B1138" s="440" t="n">
        <x:f>IF(ISNUMBER(H1137),H1137,"")</x:f>
        <x:v>0</x:v>
      </x:c>
      <x:c r="C1138" s="442" t="n">
        <x:f>IF(ISNUMBER(B1138),IF(AND(738&gt;$B$173,$B$78="Refinance",ISNUMBER($B$80),$B$80&gt;=0,$B$80&lt;=1,ROUND($B$81*12,0)&gt;=1,$B$81&lt;=100,SUM($B$82)&gt;=0,SUM($B$82)&lt;=1,SUM($B$83)&gt;=0),$B$80,IF(AND($B$175&gt;0,738&gt;$B$175,ISNUMBER($B$75)),$B$75,$B$61)),"")</x:f>
        <x:v>0.0625</x:v>
      </x:c>
      <x:c r="D1138" s="440" t="n">
        <x:f>IF(AND(ISNUMBER(B1138),B1138=0),0,IF(AND($B$171=1,I1137=0,ISNUMBER(C1138),ISNUMBER(IF(AND(738&lt;=$B$174,738&lt;=$B$173),B1138*C1138/12,IF(AND(738=$B$173+1,AND(738&gt;$B$173,$B$78="Refinance",ISNUMBER($B$80),$B$80&gt;=0,$B$80&lt;=1,ROUND($B$81*12,0)&gt;=1,$B$81&lt;=100,SUM($B$82)&gt;=0,SUM($B$82)&lt;=1,SUM($B$83)&gt;=0)),IF(B1138=0,0,IF(C1138=0,B1138/ROUND($B$81*12,0),B1138*(C1138/12)/(1-(1+C1138/12)^(-ROUND($B$81*12,0))))),IF(AND(NOT(AND(738&gt;$B$173,$B$78="Refinance",ISNUMBER($B$80),$B$80&gt;=0,$B$80&lt;=1,ROUND($B$81*12,0)&gt;=1,$B$81&lt;=100,SUM($B$82)&gt;=0,SUM($B$82)&lt;=1,SUM($B$83)&gt;=0)),OR(738=1,738=$B$174+1,AND($B$175&gt;0,738=$B$175+1))),IF(AND($B$170=1,$B$66&gt;0,OR($B$175=0,738&lt;=$B$175)),$B$66,IF($B$172-MAX(738-1,$B$174)&gt;0,IF(B1138=0,0,IF(C1138=0,B1138/($B$172-MAX(738-1,$B$174)),B1138*(C1138/12)/(1-(1+C1138/12)^(-($B$172-MAX(738-1,$B$174)))))),"")),D1137))))),IF(IF(AND(738&lt;=$B$174,738&lt;=$B$173),B1138*C1138/12,IF(AND(738=$B$173+1,AND(738&gt;$B$173,$B$78="Refinance",ISNUMBER($B$80),$B$80&gt;=0,$B$80&lt;=1,ROUND($B$81*12,0)&gt;=1,$B$81&lt;=100,SUM($B$82)&gt;=0,SUM($B$82)&lt;=1,SUM($B$83)&gt;=0)),IF(B1138=0,0,IF(C1138=0,B1138/ROUND($B$81*12,0),B1138*(C1138/12)/(1-(1+C1138/12)^(-ROUND($B$81*12,0))))),IF(AND(NOT(AND(738&gt;$B$173,$B$78="Refinance",ISNUMBER($B$80),$B$80&gt;=0,$B$80&lt;=1,ROUND($B$81*12,0)&gt;=1,$B$81&lt;=100,SUM($B$82)&gt;=0,SUM($B$82)&lt;=1,SUM($B$83)&gt;=0)),OR(738=1,738=$B$174+1,AND($B$175&gt;0,738=$B$175+1))),IF(AND($B$170=1,$B$66&gt;0,OR($B$175=0,738&lt;=$B$175)),$B$66,IF($B$172-MAX(738-1,$B$174)&gt;0,IF(B1138=0,0,IF(C1138=0,B1138/($B$172-MAX(738-1,$B$174)),B1138*(C1138/12)/(1-(1+C1138/12)^(-($B$172-MAX(738-1,$B$174)))))),"")),D1137)))+0.0000001&gt;=B1138*C1138/12,MIN(B1138*(1+C1138/12),IF(AND(738&lt;=$B$174,738&lt;=$B$173),B1138*C1138/12,IF(AND(738=$B$173+1,AND(738&gt;$B$173,$B$78="Refinance",ISNUMBER($B$80),$B$80&gt;=0,$B$80&lt;=1,ROUND($B$81*12,0)&gt;=1,$B$81&lt;=100,SUM($B$82)&gt;=0,SUM($B$82)&lt;=1,SUM($B$83)&gt;=0)),IF(B1138=0,0,IF(C1138=0,B1138/ROUND($B$81*12,0),B1138*(C1138/12)/(1-(1+C1138/12)^(-ROUND($B$81*12,0))))),IF(AND(NOT(AND(738&gt;$B$173,$B$78="Refinance",ISNUMBER($B$80),$B$80&gt;=0,$B$80&lt;=1,ROUND($B$81*12,0)&gt;=1,$B$81&lt;=100,SUM($B$82)&gt;=0,SUM($B$82)&lt;=1,SUM($B$83)&gt;=0)),OR(738=1,738=$B$174+1,AND($B$175&gt;0,738=$B$175+1))),IF(AND($B$170=1,$B$66&gt;0,OR($B$175=0,738&lt;=$B$175)),$B$66,IF($B$172-MAX(738-1,$B$174)&gt;0,IF(B1138=0,0,IF(C1138=0,B1138/($B$172-MAX(738-1,$B$174)),B1138*(C1138/12)/(1-(1+C1138/12)^(-($B$172-MAX(738-1,$B$174)))))),"")),D1137)))),""),""))</x:f>
        <x:v>0</x:v>
      </x:c>
      <x:c r="E1138" s="440" t="n">
        <x:f>IF(AND(738=$B$173,ISNUMBER(D1138)),IF(MAX(0,B1138*(1+C1138/12)-D1138)&lt;MAX(0.0000001,$E$17*0.00000000001),0,MAX(0,B1138*(1+C1138/12)-D1138)),0)</x:f>
        <x:v>0</x:v>
      </x:c>
      <x:c r="F1138" s="440" t="n">
        <x:f>IF($B$78="Cash payoff",E1138,0)</x:f>
        <x:v>0</x:v>
      </x:c>
      <x:c r="G1138" s="440" t="n">
        <x:f>IF(AND(E1138&gt;0,AND($B$78="Refinance",ISNUMBER($B$80),$B$80&gt;=0,$B$80&lt;=1,ROUND($B$81*12,0)&gt;=1,$B$81&lt;=100,SUM($B$82)&gt;=0,SUM($B$82)&lt;=1,SUM($B$83)&gt;=0)),E1138*SUM($B$82)+SUM($B$83),0)</x:f>
        <x:v>0</x:v>
      </x:c>
      <x:c r="H1138" s="440" t="n">
        <x:f>IF(ISNUMBER(D1138),IF(MAX(0,B1138*(1+C1138/12)-D1138-F1138)&lt;MAX(0.0000001,$E$17*0.00000000001),0,MAX(0,B1138*(1+C1138/12)-D1138-F1138)),IF(AND($B$171=1,I1137=1),B1138,""))</x:f>
        <x:v>0</x:v>
      </x:c>
      <x:c r="I1138" s="444" t="n">
        <x:f>IF(OR(I1137=1,AND(E1138&gt;0,$B$78&lt;&gt;"Cash payoff",NOT(AND($B$78="Refinance",ISNUMBER($B$80),$B$80&gt;=0,$B$80&lt;=1,ROUND($B$81*12,0)&gt;=1,$B$81&lt;=100,SUM($B$82)&gt;=0,SUM($B$82)&lt;=1,SUM($B$83)&gt;=0))),AND(ISNUMBER(B1138),B1138&gt;0,$B$171=1,NOT(ISNUMBER(D1138)))),1,0)</x:f>
        <x:v>0</x:v>
      </x:c>
      <x:c r="J1138" s="440" t="n">
        <x:f>IF(ISNUMBER(L1137),L1137,"")</x:f>
        <x:v>0</x:v>
      </x:c>
      <x:c r="K1138" s="440" t="n">
        <x:f>IF(AND(ISNUMBER(J1138),J1138=0),0,IF(AND($B$176=1,ISNUMBER(J1138)),MIN(J1138*(1+$B$87/12),IF($B$86=0,0,IF($B$87=0,$B$86/ROUND($B$88*12,0),$B$86*($B$87/12)/(1-(1+$B$87/12)^(-ROUND($B$88*12,0)))))),""))</x:f>
        <x:v>0</x:v>
      </x:c>
      <x:c r="L1138" s="440" t="n">
        <x:f>IF(ISNUMBER(K1138),IF(MAX(0,J1138*(1+SUM($B$87)/12)-K1138)&lt;MAX(0.0000001,$B$86*0.00000000001),0,MAX(0,J1138*(1+SUM($B$87)/12)-K1138)),"")</x:f>
        <x:v>0</x:v>
      </x:c>
      <x:c r="M1138" s="440" t="n">
        <x:f>IF(AND(ISNUMBER(D1138),ISNUMBER(K1138)),D1138+K1138,"")</x:f>
        <x:v>0</x:v>
      </x:c>
      <x:c r="N1138" s="440" t="n">
        <x:f>IF(AND(ISNUMBER(H1138),ISNUMBER(L1138)),H1138+L1138,"")</x:f>
        <x:v>0</x:v>
      </x:c>
    </x:row>
    <x:row r="1139" ht="22" customHeight="1">
      <x:c r="A1139" s="254" t="n">
        <x:f>739</x:f>
        <x:v>739</x:v>
      </x:c>
      <x:c r="B1139" s="440" t="n">
        <x:f>IF(ISNUMBER(H1138),H1138,"")</x:f>
        <x:v>0</x:v>
      </x:c>
      <x:c r="C1139" s="442" t="n">
        <x:f>IF(ISNUMBER(B1139),IF(AND(739&gt;$B$173,$B$78="Refinance",ISNUMBER($B$80),$B$80&gt;=0,$B$80&lt;=1,ROUND($B$81*12,0)&gt;=1,$B$81&lt;=100,SUM($B$82)&gt;=0,SUM($B$82)&lt;=1,SUM($B$83)&gt;=0),$B$80,IF(AND($B$175&gt;0,739&gt;$B$175,ISNUMBER($B$75)),$B$75,$B$61)),"")</x:f>
        <x:v>0.0625</x:v>
      </x:c>
      <x:c r="D1139" s="440" t="n">
        <x:f>IF(AND(ISNUMBER(B1139),B1139=0),0,IF(AND($B$171=1,I1138=0,ISNUMBER(C1139),ISNUMBER(IF(AND(739&lt;=$B$174,739&lt;=$B$173),B1139*C1139/12,IF(AND(739=$B$173+1,AND(739&gt;$B$173,$B$78="Refinance",ISNUMBER($B$80),$B$80&gt;=0,$B$80&lt;=1,ROUND($B$81*12,0)&gt;=1,$B$81&lt;=100,SUM($B$82)&gt;=0,SUM($B$82)&lt;=1,SUM($B$83)&gt;=0)),IF(B1139=0,0,IF(C1139=0,B1139/ROUND($B$81*12,0),B1139*(C1139/12)/(1-(1+C1139/12)^(-ROUND($B$81*12,0))))),IF(AND(NOT(AND(739&gt;$B$173,$B$78="Refinance",ISNUMBER($B$80),$B$80&gt;=0,$B$80&lt;=1,ROUND($B$81*12,0)&gt;=1,$B$81&lt;=100,SUM($B$82)&gt;=0,SUM($B$82)&lt;=1,SUM($B$83)&gt;=0)),OR(739=1,739=$B$174+1,AND($B$175&gt;0,739=$B$175+1))),IF(AND($B$170=1,$B$66&gt;0,OR($B$175=0,739&lt;=$B$175)),$B$66,IF($B$172-MAX(739-1,$B$174)&gt;0,IF(B1139=0,0,IF(C1139=0,B1139/($B$172-MAX(739-1,$B$174)),B1139*(C1139/12)/(1-(1+C1139/12)^(-($B$172-MAX(739-1,$B$174)))))),"")),D1138))))),IF(IF(AND(739&lt;=$B$174,739&lt;=$B$173),B1139*C1139/12,IF(AND(739=$B$173+1,AND(739&gt;$B$173,$B$78="Refinance",ISNUMBER($B$80),$B$80&gt;=0,$B$80&lt;=1,ROUND($B$81*12,0)&gt;=1,$B$81&lt;=100,SUM($B$82)&gt;=0,SUM($B$82)&lt;=1,SUM($B$83)&gt;=0)),IF(B1139=0,0,IF(C1139=0,B1139/ROUND($B$81*12,0),B1139*(C1139/12)/(1-(1+C1139/12)^(-ROUND($B$81*12,0))))),IF(AND(NOT(AND(739&gt;$B$173,$B$78="Refinance",ISNUMBER($B$80),$B$80&gt;=0,$B$80&lt;=1,ROUND($B$81*12,0)&gt;=1,$B$81&lt;=100,SUM($B$82)&gt;=0,SUM($B$82)&lt;=1,SUM($B$83)&gt;=0)),OR(739=1,739=$B$174+1,AND($B$175&gt;0,739=$B$175+1))),IF(AND($B$170=1,$B$66&gt;0,OR($B$175=0,739&lt;=$B$175)),$B$66,IF($B$172-MAX(739-1,$B$174)&gt;0,IF(B1139=0,0,IF(C1139=0,B1139/($B$172-MAX(739-1,$B$174)),B1139*(C1139/12)/(1-(1+C1139/12)^(-($B$172-MAX(739-1,$B$174)))))),"")),D1138)))+0.0000001&gt;=B1139*C1139/12,MIN(B1139*(1+C1139/12),IF(AND(739&lt;=$B$174,739&lt;=$B$173),B1139*C1139/12,IF(AND(739=$B$173+1,AND(739&gt;$B$173,$B$78="Refinance",ISNUMBER($B$80),$B$80&gt;=0,$B$80&lt;=1,ROUND($B$81*12,0)&gt;=1,$B$81&lt;=100,SUM($B$82)&gt;=0,SUM($B$82)&lt;=1,SUM($B$83)&gt;=0)),IF(B1139=0,0,IF(C1139=0,B1139/ROUND($B$81*12,0),B1139*(C1139/12)/(1-(1+C1139/12)^(-ROUND($B$81*12,0))))),IF(AND(NOT(AND(739&gt;$B$173,$B$78="Refinance",ISNUMBER($B$80),$B$80&gt;=0,$B$80&lt;=1,ROUND($B$81*12,0)&gt;=1,$B$81&lt;=100,SUM($B$82)&gt;=0,SUM($B$82)&lt;=1,SUM($B$83)&gt;=0)),OR(739=1,739=$B$174+1,AND($B$175&gt;0,739=$B$175+1))),IF(AND($B$170=1,$B$66&gt;0,OR($B$175=0,739&lt;=$B$175)),$B$66,IF($B$172-MAX(739-1,$B$174)&gt;0,IF(B1139=0,0,IF(C1139=0,B1139/($B$172-MAX(739-1,$B$174)),B1139*(C1139/12)/(1-(1+C1139/12)^(-($B$172-MAX(739-1,$B$174)))))),"")),D1138)))),""),""))</x:f>
        <x:v>0</x:v>
      </x:c>
      <x:c r="E1139" s="440" t="n">
        <x:f>IF(AND(739=$B$173,ISNUMBER(D1139)),IF(MAX(0,B1139*(1+C1139/12)-D1139)&lt;MAX(0.0000001,$E$17*0.00000000001),0,MAX(0,B1139*(1+C1139/12)-D1139)),0)</x:f>
        <x:v>0</x:v>
      </x:c>
      <x:c r="F1139" s="440" t="n">
        <x:f>IF($B$78="Cash payoff",E1139,0)</x:f>
        <x:v>0</x:v>
      </x:c>
      <x:c r="G1139" s="440" t="n">
        <x:f>IF(AND(E1139&gt;0,AND($B$78="Refinance",ISNUMBER($B$80),$B$80&gt;=0,$B$80&lt;=1,ROUND($B$81*12,0)&gt;=1,$B$81&lt;=100,SUM($B$82)&gt;=0,SUM($B$82)&lt;=1,SUM($B$83)&gt;=0)),E1139*SUM($B$82)+SUM($B$83),0)</x:f>
        <x:v>0</x:v>
      </x:c>
      <x:c r="H1139" s="440" t="n">
        <x:f>IF(ISNUMBER(D1139),IF(MAX(0,B1139*(1+C1139/12)-D1139-F1139)&lt;MAX(0.0000001,$E$17*0.00000000001),0,MAX(0,B1139*(1+C1139/12)-D1139-F1139)),IF(AND($B$171=1,I1138=1),B1139,""))</x:f>
        <x:v>0</x:v>
      </x:c>
      <x:c r="I1139" s="444" t="n">
        <x:f>IF(OR(I1138=1,AND(E1139&gt;0,$B$78&lt;&gt;"Cash payoff",NOT(AND($B$78="Refinance",ISNUMBER($B$80),$B$80&gt;=0,$B$80&lt;=1,ROUND($B$81*12,0)&gt;=1,$B$81&lt;=100,SUM($B$82)&gt;=0,SUM($B$82)&lt;=1,SUM($B$83)&gt;=0))),AND(ISNUMBER(B1139),B1139&gt;0,$B$171=1,NOT(ISNUMBER(D1139)))),1,0)</x:f>
        <x:v>0</x:v>
      </x:c>
      <x:c r="J1139" s="440" t="n">
        <x:f>IF(ISNUMBER(L1138),L1138,"")</x:f>
        <x:v>0</x:v>
      </x:c>
      <x:c r="K1139" s="440" t="n">
        <x:f>IF(AND(ISNUMBER(J1139),J1139=0),0,IF(AND($B$176=1,ISNUMBER(J1139)),MIN(J1139*(1+$B$87/12),IF($B$86=0,0,IF($B$87=0,$B$86/ROUND($B$88*12,0),$B$86*($B$87/12)/(1-(1+$B$87/12)^(-ROUND($B$88*12,0)))))),""))</x:f>
        <x:v>0</x:v>
      </x:c>
      <x:c r="L1139" s="440" t="n">
        <x:f>IF(ISNUMBER(K1139),IF(MAX(0,J1139*(1+SUM($B$87)/12)-K1139)&lt;MAX(0.0000001,$B$86*0.00000000001),0,MAX(0,J1139*(1+SUM($B$87)/12)-K1139)),"")</x:f>
        <x:v>0</x:v>
      </x:c>
      <x:c r="M1139" s="440" t="n">
        <x:f>IF(AND(ISNUMBER(D1139),ISNUMBER(K1139)),D1139+K1139,"")</x:f>
        <x:v>0</x:v>
      </x:c>
      <x:c r="N1139" s="440" t="n">
        <x:f>IF(AND(ISNUMBER(H1139),ISNUMBER(L1139)),H1139+L1139,"")</x:f>
        <x:v>0</x:v>
      </x:c>
    </x:row>
    <x:row r="1140" ht="22" customHeight="1">
      <x:c r="A1140" s="254" t="n">
        <x:f>740</x:f>
        <x:v>740</x:v>
      </x:c>
      <x:c r="B1140" s="440" t="n">
        <x:f>IF(ISNUMBER(H1139),H1139,"")</x:f>
        <x:v>0</x:v>
      </x:c>
      <x:c r="C1140" s="442" t="n">
        <x:f>IF(ISNUMBER(B1140),IF(AND(740&gt;$B$173,$B$78="Refinance",ISNUMBER($B$80),$B$80&gt;=0,$B$80&lt;=1,ROUND($B$81*12,0)&gt;=1,$B$81&lt;=100,SUM($B$82)&gt;=0,SUM($B$82)&lt;=1,SUM($B$83)&gt;=0),$B$80,IF(AND($B$175&gt;0,740&gt;$B$175,ISNUMBER($B$75)),$B$75,$B$61)),"")</x:f>
        <x:v>0.0625</x:v>
      </x:c>
      <x:c r="D1140" s="440" t="n">
        <x:f>IF(AND(ISNUMBER(B1140),B1140=0),0,IF(AND($B$171=1,I1139=0,ISNUMBER(C1140),ISNUMBER(IF(AND(740&lt;=$B$174,740&lt;=$B$173),B1140*C1140/12,IF(AND(740=$B$173+1,AND(740&gt;$B$173,$B$78="Refinance",ISNUMBER($B$80),$B$80&gt;=0,$B$80&lt;=1,ROUND($B$81*12,0)&gt;=1,$B$81&lt;=100,SUM($B$82)&gt;=0,SUM($B$82)&lt;=1,SUM($B$83)&gt;=0)),IF(B1140=0,0,IF(C1140=0,B1140/ROUND($B$81*12,0),B1140*(C1140/12)/(1-(1+C1140/12)^(-ROUND($B$81*12,0))))),IF(AND(NOT(AND(740&gt;$B$173,$B$78="Refinance",ISNUMBER($B$80),$B$80&gt;=0,$B$80&lt;=1,ROUND($B$81*12,0)&gt;=1,$B$81&lt;=100,SUM($B$82)&gt;=0,SUM($B$82)&lt;=1,SUM($B$83)&gt;=0)),OR(740=1,740=$B$174+1,AND($B$175&gt;0,740=$B$175+1))),IF(AND($B$170=1,$B$66&gt;0,OR($B$175=0,740&lt;=$B$175)),$B$66,IF($B$172-MAX(740-1,$B$174)&gt;0,IF(B1140=0,0,IF(C1140=0,B1140/($B$172-MAX(740-1,$B$174)),B1140*(C1140/12)/(1-(1+C1140/12)^(-($B$172-MAX(740-1,$B$174)))))),"")),D1139))))),IF(IF(AND(740&lt;=$B$174,740&lt;=$B$173),B1140*C1140/12,IF(AND(740=$B$173+1,AND(740&gt;$B$173,$B$78="Refinance",ISNUMBER($B$80),$B$80&gt;=0,$B$80&lt;=1,ROUND($B$81*12,0)&gt;=1,$B$81&lt;=100,SUM($B$82)&gt;=0,SUM($B$82)&lt;=1,SUM($B$83)&gt;=0)),IF(B1140=0,0,IF(C1140=0,B1140/ROUND($B$81*12,0),B1140*(C1140/12)/(1-(1+C1140/12)^(-ROUND($B$81*12,0))))),IF(AND(NOT(AND(740&gt;$B$173,$B$78="Refinance",ISNUMBER($B$80),$B$80&gt;=0,$B$80&lt;=1,ROUND($B$81*12,0)&gt;=1,$B$81&lt;=100,SUM($B$82)&gt;=0,SUM($B$82)&lt;=1,SUM($B$83)&gt;=0)),OR(740=1,740=$B$174+1,AND($B$175&gt;0,740=$B$175+1))),IF(AND($B$170=1,$B$66&gt;0,OR($B$175=0,740&lt;=$B$175)),$B$66,IF($B$172-MAX(740-1,$B$174)&gt;0,IF(B1140=0,0,IF(C1140=0,B1140/($B$172-MAX(740-1,$B$174)),B1140*(C1140/12)/(1-(1+C1140/12)^(-($B$172-MAX(740-1,$B$174)))))),"")),D1139)))+0.0000001&gt;=B1140*C1140/12,MIN(B1140*(1+C1140/12),IF(AND(740&lt;=$B$174,740&lt;=$B$173),B1140*C1140/12,IF(AND(740=$B$173+1,AND(740&gt;$B$173,$B$78="Refinance",ISNUMBER($B$80),$B$80&gt;=0,$B$80&lt;=1,ROUND($B$81*12,0)&gt;=1,$B$81&lt;=100,SUM($B$82)&gt;=0,SUM($B$82)&lt;=1,SUM($B$83)&gt;=0)),IF(B1140=0,0,IF(C1140=0,B1140/ROUND($B$81*12,0),B1140*(C1140/12)/(1-(1+C1140/12)^(-ROUND($B$81*12,0))))),IF(AND(NOT(AND(740&gt;$B$173,$B$78="Refinance",ISNUMBER($B$80),$B$80&gt;=0,$B$80&lt;=1,ROUND($B$81*12,0)&gt;=1,$B$81&lt;=100,SUM($B$82)&gt;=0,SUM($B$82)&lt;=1,SUM($B$83)&gt;=0)),OR(740=1,740=$B$174+1,AND($B$175&gt;0,740=$B$175+1))),IF(AND($B$170=1,$B$66&gt;0,OR($B$175=0,740&lt;=$B$175)),$B$66,IF($B$172-MAX(740-1,$B$174)&gt;0,IF(B1140=0,0,IF(C1140=0,B1140/($B$172-MAX(740-1,$B$174)),B1140*(C1140/12)/(1-(1+C1140/12)^(-($B$172-MAX(740-1,$B$174)))))),"")),D1139)))),""),""))</x:f>
        <x:v>0</x:v>
      </x:c>
      <x:c r="E1140" s="440" t="n">
        <x:f>IF(AND(740=$B$173,ISNUMBER(D1140)),IF(MAX(0,B1140*(1+C1140/12)-D1140)&lt;MAX(0.0000001,$E$17*0.00000000001),0,MAX(0,B1140*(1+C1140/12)-D1140)),0)</x:f>
        <x:v>0</x:v>
      </x:c>
      <x:c r="F1140" s="440" t="n">
        <x:f>IF($B$78="Cash payoff",E1140,0)</x:f>
        <x:v>0</x:v>
      </x:c>
      <x:c r="G1140" s="440" t="n">
        <x:f>IF(AND(E1140&gt;0,AND($B$78="Refinance",ISNUMBER($B$80),$B$80&gt;=0,$B$80&lt;=1,ROUND($B$81*12,0)&gt;=1,$B$81&lt;=100,SUM($B$82)&gt;=0,SUM($B$82)&lt;=1,SUM($B$83)&gt;=0)),E1140*SUM($B$82)+SUM($B$83),0)</x:f>
        <x:v>0</x:v>
      </x:c>
      <x:c r="H1140" s="440" t="n">
        <x:f>IF(ISNUMBER(D1140),IF(MAX(0,B1140*(1+C1140/12)-D1140-F1140)&lt;MAX(0.0000001,$E$17*0.00000000001),0,MAX(0,B1140*(1+C1140/12)-D1140-F1140)),IF(AND($B$171=1,I1139=1),B1140,""))</x:f>
        <x:v>0</x:v>
      </x:c>
      <x:c r="I1140" s="444" t="n">
        <x:f>IF(OR(I1139=1,AND(E1140&gt;0,$B$78&lt;&gt;"Cash payoff",NOT(AND($B$78="Refinance",ISNUMBER($B$80),$B$80&gt;=0,$B$80&lt;=1,ROUND($B$81*12,0)&gt;=1,$B$81&lt;=100,SUM($B$82)&gt;=0,SUM($B$82)&lt;=1,SUM($B$83)&gt;=0))),AND(ISNUMBER(B1140),B1140&gt;0,$B$171=1,NOT(ISNUMBER(D1140)))),1,0)</x:f>
        <x:v>0</x:v>
      </x:c>
      <x:c r="J1140" s="440" t="n">
        <x:f>IF(ISNUMBER(L1139),L1139,"")</x:f>
        <x:v>0</x:v>
      </x:c>
      <x:c r="K1140" s="440" t="n">
        <x:f>IF(AND(ISNUMBER(J1140),J1140=0),0,IF(AND($B$176=1,ISNUMBER(J1140)),MIN(J1140*(1+$B$87/12),IF($B$86=0,0,IF($B$87=0,$B$86/ROUND($B$88*12,0),$B$86*($B$87/12)/(1-(1+$B$87/12)^(-ROUND($B$88*12,0)))))),""))</x:f>
        <x:v>0</x:v>
      </x:c>
      <x:c r="L1140" s="440" t="n">
        <x:f>IF(ISNUMBER(K1140),IF(MAX(0,J1140*(1+SUM($B$87)/12)-K1140)&lt;MAX(0.0000001,$B$86*0.00000000001),0,MAX(0,J1140*(1+SUM($B$87)/12)-K1140)),"")</x:f>
        <x:v>0</x:v>
      </x:c>
      <x:c r="M1140" s="440" t="n">
        <x:f>IF(AND(ISNUMBER(D1140),ISNUMBER(K1140)),D1140+K1140,"")</x:f>
        <x:v>0</x:v>
      </x:c>
      <x:c r="N1140" s="440" t="n">
        <x:f>IF(AND(ISNUMBER(H1140),ISNUMBER(L1140)),H1140+L1140,"")</x:f>
        <x:v>0</x:v>
      </x:c>
    </x:row>
    <x:row r="1141" ht="22" customHeight="1">
      <x:c r="A1141" s="254" t="n">
        <x:f>741</x:f>
        <x:v>741</x:v>
      </x:c>
      <x:c r="B1141" s="440" t="n">
        <x:f>IF(ISNUMBER(H1140),H1140,"")</x:f>
        <x:v>0</x:v>
      </x:c>
      <x:c r="C1141" s="442" t="n">
        <x:f>IF(ISNUMBER(B1141),IF(AND(741&gt;$B$173,$B$78="Refinance",ISNUMBER($B$80),$B$80&gt;=0,$B$80&lt;=1,ROUND($B$81*12,0)&gt;=1,$B$81&lt;=100,SUM($B$82)&gt;=0,SUM($B$82)&lt;=1,SUM($B$83)&gt;=0),$B$80,IF(AND($B$175&gt;0,741&gt;$B$175,ISNUMBER($B$75)),$B$75,$B$61)),"")</x:f>
        <x:v>0.0625</x:v>
      </x:c>
      <x:c r="D1141" s="440" t="n">
        <x:f>IF(AND(ISNUMBER(B1141),B1141=0),0,IF(AND($B$171=1,I1140=0,ISNUMBER(C1141),ISNUMBER(IF(AND(741&lt;=$B$174,741&lt;=$B$173),B1141*C1141/12,IF(AND(741=$B$173+1,AND(741&gt;$B$173,$B$78="Refinance",ISNUMBER($B$80),$B$80&gt;=0,$B$80&lt;=1,ROUND($B$81*12,0)&gt;=1,$B$81&lt;=100,SUM($B$82)&gt;=0,SUM($B$82)&lt;=1,SUM($B$83)&gt;=0)),IF(B1141=0,0,IF(C1141=0,B1141/ROUND($B$81*12,0),B1141*(C1141/12)/(1-(1+C1141/12)^(-ROUND($B$81*12,0))))),IF(AND(NOT(AND(741&gt;$B$173,$B$78="Refinance",ISNUMBER($B$80),$B$80&gt;=0,$B$80&lt;=1,ROUND($B$81*12,0)&gt;=1,$B$81&lt;=100,SUM($B$82)&gt;=0,SUM($B$82)&lt;=1,SUM($B$83)&gt;=0)),OR(741=1,741=$B$174+1,AND($B$175&gt;0,741=$B$175+1))),IF(AND($B$170=1,$B$66&gt;0,OR($B$175=0,741&lt;=$B$175)),$B$66,IF($B$172-MAX(741-1,$B$174)&gt;0,IF(B1141=0,0,IF(C1141=0,B1141/($B$172-MAX(741-1,$B$174)),B1141*(C1141/12)/(1-(1+C1141/12)^(-($B$172-MAX(741-1,$B$174)))))),"")),D1140))))),IF(IF(AND(741&lt;=$B$174,741&lt;=$B$173),B1141*C1141/12,IF(AND(741=$B$173+1,AND(741&gt;$B$173,$B$78="Refinance",ISNUMBER($B$80),$B$80&gt;=0,$B$80&lt;=1,ROUND($B$81*12,0)&gt;=1,$B$81&lt;=100,SUM($B$82)&gt;=0,SUM($B$82)&lt;=1,SUM($B$83)&gt;=0)),IF(B1141=0,0,IF(C1141=0,B1141/ROUND($B$81*12,0),B1141*(C1141/12)/(1-(1+C1141/12)^(-ROUND($B$81*12,0))))),IF(AND(NOT(AND(741&gt;$B$173,$B$78="Refinance",ISNUMBER($B$80),$B$80&gt;=0,$B$80&lt;=1,ROUND($B$81*12,0)&gt;=1,$B$81&lt;=100,SUM($B$82)&gt;=0,SUM($B$82)&lt;=1,SUM($B$83)&gt;=0)),OR(741=1,741=$B$174+1,AND($B$175&gt;0,741=$B$175+1))),IF(AND($B$170=1,$B$66&gt;0,OR($B$175=0,741&lt;=$B$175)),$B$66,IF($B$172-MAX(741-1,$B$174)&gt;0,IF(B1141=0,0,IF(C1141=0,B1141/($B$172-MAX(741-1,$B$174)),B1141*(C1141/12)/(1-(1+C1141/12)^(-($B$172-MAX(741-1,$B$174)))))),"")),D1140)))+0.0000001&gt;=B1141*C1141/12,MIN(B1141*(1+C1141/12),IF(AND(741&lt;=$B$174,741&lt;=$B$173),B1141*C1141/12,IF(AND(741=$B$173+1,AND(741&gt;$B$173,$B$78="Refinance",ISNUMBER($B$80),$B$80&gt;=0,$B$80&lt;=1,ROUND($B$81*12,0)&gt;=1,$B$81&lt;=100,SUM($B$82)&gt;=0,SUM($B$82)&lt;=1,SUM($B$83)&gt;=0)),IF(B1141=0,0,IF(C1141=0,B1141/ROUND($B$81*12,0),B1141*(C1141/12)/(1-(1+C1141/12)^(-ROUND($B$81*12,0))))),IF(AND(NOT(AND(741&gt;$B$173,$B$78="Refinance",ISNUMBER($B$80),$B$80&gt;=0,$B$80&lt;=1,ROUND($B$81*12,0)&gt;=1,$B$81&lt;=100,SUM($B$82)&gt;=0,SUM($B$82)&lt;=1,SUM($B$83)&gt;=0)),OR(741=1,741=$B$174+1,AND($B$175&gt;0,741=$B$175+1))),IF(AND($B$170=1,$B$66&gt;0,OR($B$175=0,741&lt;=$B$175)),$B$66,IF($B$172-MAX(741-1,$B$174)&gt;0,IF(B1141=0,0,IF(C1141=0,B1141/($B$172-MAX(741-1,$B$174)),B1141*(C1141/12)/(1-(1+C1141/12)^(-($B$172-MAX(741-1,$B$174)))))),"")),D1140)))),""),""))</x:f>
        <x:v>0</x:v>
      </x:c>
      <x:c r="E1141" s="440" t="n">
        <x:f>IF(AND(741=$B$173,ISNUMBER(D1141)),IF(MAX(0,B1141*(1+C1141/12)-D1141)&lt;MAX(0.0000001,$E$17*0.00000000001),0,MAX(0,B1141*(1+C1141/12)-D1141)),0)</x:f>
        <x:v>0</x:v>
      </x:c>
      <x:c r="F1141" s="440" t="n">
        <x:f>IF($B$78="Cash payoff",E1141,0)</x:f>
        <x:v>0</x:v>
      </x:c>
      <x:c r="G1141" s="440" t="n">
        <x:f>IF(AND(E1141&gt;0,AND($B$78="Refinance",ISNUMBER($B$80),$B$80&gt;=0,$B$80&lt;=1,ROUND($B$81*12,0)&gt;=1,$B$81&lt;=100,SUM($B$82)&gt;=0,SUM($B$82)&lt;=1,SUM($B$83)&gt;=0)),E1141*SUM($B$82)+SUM($B$83),0)</x:f>
        <x:v>0</x:v>
      </x:c>
      <x:c r="H1141" s="440" t="n">
        <x:f>IF(ISNUMBER(D1141),IF(MAX(0,B1141*(1+C1141/12)-D1141-F1141)&lt;MAX(0.0000001,$E$17*0.00000000001),0,MAX(0,B1141*(1+C1141/12)-D1141-F1141)),IF(AND($B$171=1,I1140=1),B1141,""))</x:f>
        <x:v>0</x:v>
      </x:c>
      <x:c r="I1141" s="444" t="n">
        <x:f>IF(OR(I1140=1,AND(E1141&gt;0,$B$78&lt;&gt;"Cash payoff",NOT(AND($B$78="Refinance",ISNUMBER($B$80),$B$80&gt;=0,$B$80&lt;=1,ROUND($B$81*12,0)&gt;=1,$B$81&lt;=100,SUM($B$82)&gt;=0,SUM($B$82)&lt;=1,SUM($B$83)&gt;=0))),AND(ISNUMBER(B1141),B1141&gt;0,$B$171=1,NOT(ISNUMBER(D1141)))),1,0)</x:f>
        <x:v>0</x:v>
      </x:c>
      <x:c r="J1141" s="440" t="n">
        <x:f>IF(ISNUMBER(L1140),L1140,"")</x:f>
        <x:v>0</x:v>
      </x:c>
      <x:c r="K1141" s="440" t="n">
        <x:f>IF(AND(ISNUMBER(J1141),J1141=0),0,IF(AND($B$176=1,ISNUMBER(J1141)),MIN(J1141*(1+$B$87/12),IF($B$86=0,0,IF($B$87=0,$B$86/ROUND($B$88*12,0),$B$86*($B$87/12)/(1-(1+$B$87/12)^(-ROUND($B$88*12,0)))))),""))</x:f>
        <x:v>0</x:v>
      </x:c>
      <x:c r="L1141" s="440" t="n">
        <x:f>IF(ISNUMBER(K1141),IF(MAX(0,J1141*(1+SUM($B$87)/12)-K1141)&lt;MAX(0.0000001,$B$86*0.00000000001),0,MAX(0,J1141*(1+SUM($B$87)/12)-K1141)),"")</x:f>
        <x:v>0</x:v>
      </x:c>
      <x:c r="M1141" s="440" t="n">
        <x:f>IF(AND(ISNUMBER(D1141),ISNUMBER(K1141)),D1141+K1141,"")</x:f>
        <x:v>0</x:v>
      </x:c>
      <x:c r="N1141" s="440" t="n">
        <x:f>IF(AND(ISNUMBER(H1141),ISNUMBER(L1141)),H1141+L1141,"")</x:f>
        <x:v>0</x:v>
      </x:c>
    </x:row>
    <x:row r="1142" ht="22" customHeight="1">
      <x:c r="A1142" s="254" t="n">
        <x:f>742</x:f>
        <x:v>742</x:v>
      </x:c>
      <x:c r="B1142" s="440" t="n">
        <x:f>IF(ISNUMBER(H1141),H1141,"")</x:f>
        <x:v>0</x:v>
      </x:c>
      <x:c r="C1142" s="442" t="n">
        <x:f>IF(ISNUMBER(B1142),IF(AND(742&gt;$B$173,$B$78="Refinance",ISNUMBER($B$80),$B$80&gt;=0,$B$80&lt;=1,ROUND($B$81*12,0)&gt;=1,$B$81&lt;=100,SUM($B$82)&gt;=0,SUM($B$82)&lt;=1,SUM($B$83)&gt;=0),$B$80,IF(AND($B$175&gt;0,742&gt;$B$175,ISNUMBER($B$75)),$B$75,$B$61)),"")</x:f>
        <x:v>0.0625</x:v>
      </x:c>
      <x:c r="D1142" s="440" t="n">
        <x:f>IF(AND(ISNUMBER(B1142),B1142=0),0,IF(AND($B$171=1,I1141=0,ISNUMBER(C1142),ISNUMBER(IF(AND(742&lt;=$B$174,742&lt;=$B$173),B1142*C1142/12,IF(AND(742=$B$173+1,AND(742&gt;$B$173,$B$78="Refinance",ISNUMBER($B$80),$B$80&gt;=0,$B$80&lt;=1,ROUND($B$81*12,0)&gt;=1,$B$81&lt;=100,SUM($B$82)&gt;=0,SUM($B$82)&lt;=1,SUM($B$83)&gt;=0)),IF(B1142=0,0,IF(C1142=0,B1142/ROUND($B$81*12,0),B1142*(C1142/12)/(1-(1+C1142/12)^(-ROUND($B$81*12,0))))),IF(AND(NOT(AND(742&gt;$B$173,$B$78="Refinance",ISNUMBER($B$80),$B$80&gt;=0,$B$80&lt;=1,ROUND($B$81*12,0)&gt;=1,$B$81&lt;=100,SUM($B$82)&gt;=0,SUM($B$82)&lt;=1,SUM($B$83)&gt;=0)),OR(742=1,742=$B$174+1,AND($B$175&gt;0,742=$B$175+1))),IF(AND($B$170=1,$B$66&gt;0,OR($B$175=0,742&lt;=$B$175)),$B$66,IF($B$172-MAX(742-1,$B$174)&gt;0,IF(B1142=0,0,IF(C1142=0,B1142/($B$172-MAX(742-1,$B$174)),B1142*(C1142/12)/(1-(1+C1142/12)^(-($B$172-MAX(742-1,$B$174)))))),"")),D1141))))),IF(IF(AND(742&lt;=$B$174,742&lt;=$B$173),B1142*C1142/12,IF(AND(742=$B$173+1,AND(742&gt;$B$173,$B$78="Refinance",ISNUMBER($B$80),$B$80&gt;=0,$B$80&lt;=1,ROUND($B$81*12,0)&gt;=1,$B$81&lt;=100,SUM($B$82)&gt;=0,SUM($B$82)&lt;=1,SUM($B$83)&gt;=0)),IF(B1142=0,0,IF(C1142=0,B1142/ROUND($B$81*12,0),B1142*(C1142/12)/(1-(1+C1142/12)^(-ROUND($B$81*12,0))))),IF(AND(NOT(AND(742&gt;$B$173,$B$78="Refinance",ISNUMBER($B$80),$B$80&gt;=0,$B$80&lt;=1,ROUND($B$81*12,0)&gt;=1,$B$81&lt;=100,SUM($B$82)&gt;=0,SUM($B$82)&lt;=1,SUM($B$83)&gt;=0)),OR(742=1,742=$B$174+1,AND($B$175&gt;0,742=$B$175+1))),IF(AND($B$170=1,$B$66&gt;0,OR($B$175=0,742&lt;=$B$175)),$B$66,IF($B$172-MAX(742-1,$B$174)&gt;0,IF(B1142=0,0,IF(C1142=0,B1142/($B$172-MAX(742-1,$B$174)),B1142*(C1142/12)/(1-(1+C1142/12)^(-($B$172-MAX(742-1,$B$174)))))),"")),D1141)))+0.0000001&gt;=B1142*C1142/12,MIN(B1142*(1+C1142/12),IF(AND(742&lt;=$B$174,742&lt;=$B$173),B1142*C1142/12,IF(AND(742=$B$173+1,AND(742&gt;$B$173,$B$78="Refinance",ISNUMBER($B$80),$B$80&gt;=0,$B$80&lt;=1,ROUND($B$81*12,0)&gt;=1,$B$81&lt;=100,SUM($B$82)&gt;=0,SUM($B$82)&lt;=1,SUM($B$83)&gt;=0)),IF(B1142=0,0,IF(C1142=0,B1142/ROUND($B$81*12,0),B1142*(C1142/12)/(1-(1+C1142/12)^(-ROUND($B$81*12,0))))),IF(AND(NOT(AND(742&gt;$B$173,$B$78="Refinance",ISNUMBER($B$80),$B$80&gt;=0,$B$80&lt;=1,ROUND($B$81*12,0)&gt;=1,$B$81&lt;=100,SUM($B$82)&gt;=0,SUM($B$82)&lt;=1,SUM($B$83)&gt;=0)),OR(742=1,742=$B$174+1,AND($B$175&gt;0,742=$B$175+1))),IF(AND($B$170=1,$B$66&gt;0,OR($B$175=0,742&lt;=$B$175)),$B$66,IF($B$172-MAX(742-1,$B$174)&gt;0,IF(B1142=0,0,IF(C1142=0,B1142/($B$172-MAX(742-1,$B$174)),B1142*(C1142/12)/(1-(1+C1142/12)^(-($B$172-MAX(742-1,$B$174)))))),"")),D1141)))),""),""))</x:f>
        <x:v>0</x:v>
      </x:c>
      <x:c r="E1142" s="440" t="n">
        <x:f>IF(AND(742=$B$173,ISNUMBER(D1142)),IF(MAX(0,B1142*(1+C1142/12)-D1142)&lt;MAX(0.0000001,$E$17*0.00000000001),0,MAX(0,B1142*(1+C1142/12)-D1142)),0)</x:f>
        <x:v>0</x:v>
      </x:c>
      <x:c r="F1142" s="440" t="n">
        <x:f>IF($B$78="Cash payoff",E1142,0)</x:f>
        <x:v>0</x:v>
      </x:c>
      <x:c r="G1142" s="440" t="n">
        <x:f>IF(AND(E1142&gt;0,AND($B$78="Refinance",ISNUMBER($B$80),$B$80&gt;=0,$B$80&lt;=1,ROUND($B$81*12,0)&gt;=1,$B$81&lt;=100,SUM($B$82)&gt;=0,SUM($B$82)&lt;=1,SUM($B$83)&gt;=0)),E1142*SUM($B$82)+SUM($B$83),0)</x:f>
        <x:v>0</x:v>
      </x:c>
      <x:c r="H1142" s="440" t="n">
        <x:f>IF(ISNUMBER(D1142),IF(MAX(0,B1142*(1+C1142/12)-D1142-F1142)&lt;MAX(0.0000001,$E$17*0.00000000001),0,MAX(0,B1142*(1+C1142/12)-D1142-F1142)),IF(AND($B$171=1,I1141=1),B1142,""))</x:f>
        <x:v>0</x:v>
      </x:c>
      <x:c r="I1142" s="444" t="n">
        <x:f>IF(OR(I1141=1,AND(E1142&gt;0,$B$78&lt;&gt;"Cash payoff",NOT(AND($B$78="Refinance",ISNUMBER($B$80),$B$80&gt;=0,$B$80&lt;=1,ROUND($B$81*12,0)&gt;=1,$B$81&lt;=100,SUM($B$82)&gt;=0,SUM($B$82)&lt;=1,SUM($B$83)&gt;=0))),AND(ISNUMBER(B1142),B1142&gt;0,$B$171=1,NOT(ISNUMBER(D1142)))),1,0)</x:f>
        <x:v>0</x:v>
      </x:c>
      <x:c r="J1142" s="440" t="n">
        <x:f>IF(ISNUMBER(L1141),L1141,"")</x:f>
        <x:v>0</x:v>
      </x:c>
      <x:c r="K1142" s="440" t="n">
        <x:f>IF(AND(ISNUMBER(J1142),J1142=0),0,IF(AND($B$176=1,ISNUMBER(J1142)),MIN(J1142*(1+$B$87/12),IF($B$86=0,0,IF($B$87=0,$B$86/ROUND($B$88*12,0),$B$86*($B$87/12)/(1-(1+$B$87/12)^(-ROUND($B$88*12,0)))))),""))</x:f>
        <x:v>0</x:v>
      </x:c>
      <x:c r="L1142" s="440" t="n">
        <x:f>IF(ISNUMBER(K1142),IF(MAX(0,J1142*(1+SUM($B$87)/12)-K1142)&lt;MAX(0.0000001,$B$86*0.00000000001),0,MAX(0,J1142*(1+SUM($B$87)/12)-K1142)),"")</x:f>
        <x:v>0</x:v>
      </x:c>
      <x:c r="M1142" s="440" t="n">
        <x:f>IF(AND(ISNUMBER(D1142),ISNUMBER(K1142)),D1142+K1142,"")</x:f>
        <x:v>0</x:v>
      </x:c>
      <x:c r="N1142" s="440" t="n">
        <x:f>IF(AND(ISNUMBER(H1142),ISNUMBER(L1142)),H1142+L1142,"")</x:f>
        <x:v>0</x:v>
      </x:c>
    </x:row>
    <x:row r="1143" ht="22" customHeight="1">
      <x:c r="A1143" s="254" t="n">
        <x:f>743</x:f>
        <x:v>743</x:v>
      </x:c>
      <x:c r="B1143" s="440" t="n">
        <x:f>IF(ISNUMBER(H1142),H1142,"")</x:f>
        <x:v>0</x:v>
      </x:c>
      <x:c r="C1143" s="442" t="n">
        <x:f>IF(ISNUMBER(B1143),IF(AND(743&gt;$B$173,$B$78="Refinance",ISNUMBER($B$80),$B$80&gt;=0,$B$80&lt;=1,ROUND($B$81*12,0)&gt;=1,$B$81&lt;=100,SUM($B$82)&gt;=0,SUM($B$82)&lt;=1,SUM($B$83)&gt;=0),$B$80,IF(AND($B$175&gt;0,743&gt;$B$175,ISNUMBER($B$75)),$B$75,$B$61)),"")</x:f>
        <x:v>0.0625</x:v>
      </x:c>
      <x:c r="D1143" s="440" t="n">
        <x:f>IF(AND(ISNUMBER(B1143),B1143=0),0,IF(AND($B$171=1,I1142=0,ISNUMBER(C1143),ISNUMBER(IF(AND(743&lt;=$B$174,743&lt;=$B$173),B1143*C1143/12,IF(AND(743=$B$173+1,AND(743&gt;$B$173,$B$78="Refinance",ISNUMBER($B$80),$B$80&gt;=0,$B$80&lt;=1,ROUND($B$81*12,0)&gt;=1,$B$81&lt;=100,SUM($B$82)&gt;=0,SUM($B$82)&lt;=1,SUM($B$83)&gt;=0)),IF(B1143=0,0,IF(C1143=0,B1143/ROUND($B$81*12,0),B1143*(C1143/12)/(1-(1+C1143/12)^(-ROUND($B$81*12,0))))),IF(AND(NOT(AND(743&gt;$B$173,$B$78="Refinance",ISNUMBER($B$80),$B$80&gt;=0,$B$80&lt;=1,ROUND($B$81*12,0)&gt;=1,$B$81&lt;=100,SUM($B$82)&gt;=0,SUM($B$82)&lt;=1,SUM($B$83)&gt;=0)),OR(743=1,743=$B$174+1,AND($B$175&gt;0,743=$B$175+1))),IF(AND($B$170=1,$B$66&gt;0,OR($B$175=0,743&lt;=$B$175)),$B$66,IF($B$172-MAX(743-1,$B$174)&gt;0,IF(B1143=0,0,IF(C1143=0,B1143/($B$172-MAX(743-1,$B$174)),B1143*(C1143/12)/(1-(1+C1143/12)^(-($B$172-MAX(743-1,$B$174)))))),"")),D1142))))),IF(IF(AND(743&lt;=$B$174,743&lt;=$B$173),B1143*C1143/12,IF(AND(743=$B$173+1,AND(743&gt;$B$173,$B$78="Refinance",ISNUMBER($B$80),$B$80&gt;=0,$B$80&lt;=1,ROUND($B$81*12,0)&gt;=1,$B$81&lt;=100,SUM($B$82)&gt;=0,SUM($B$82)&lt;=1,SUM($B$83)&gt;=0)),IF(B1143=0,0,IF(C1143=0,B1143/ROUND($B$81*12,0),B1143*(C1143/12)/(1-(1+C1143/12)^(-ROUND($B$81*12,0))))),IF(AND(NOT(AND(743&gt;$B$173,$B$78="Refinance",ISNUMBER($B$80),$B$80&gt;=0,$B$80&lt;=1,ROUND($B$81*12,0)&gt;=1,$B$81&lt;=100,SUM($B$82)&gt;=0,SUM($B$82)&lt;=1,SUM($B$83)&gt;=0)),OR(743=1,743=$B$174+1,AND($B$175&gt;0,743=$B$175+1))),IF(AND($B$170=1,$B$66&gt;0,OR($B$175=0,743&lt;=$B$175)),$B$66,IF($B$172-MAX(743-1,$B$174)&gt;0,IF(B1143=0,0,IF(C1143=0,B1143/($B$172-MAX(743-1,$B$174)),B1143*(C1143/12)/(1-(1+C1143/12)^(-($B$172-MAX(743-1,$B$174)))))),"")),D1142)))+0.0000001&gt;=B1143*C1143/12,MIN(B1143*(1+C1143/12),IF(AND(743&lt;=$B$174,743&lt;=$B$173),B1143*C1143/12,IF(AND(743=$B$173+1,AND(743&gt;$B$173,$B$78="Refinance",ISNUMBER($B$80),$B$80&gt;=0,$B$80&lt;=1,ROUND($B$81*12,0)&gt;=1,$B$81&lt;=100,SUM($B$82)&gt;=0,SUM($B$82)&lt;=1,SUM($B$83)&gt;=0)),IF(B1143=0,0,IF(C1143=0,B1143/ROUND($B$81*12,0),B1143*(C1143/12)/(1-(1+C1143/12)^(-ROUND($B$81*12,0))))),IF(AND(NOT(AND(743&gt;$B$173,$B$78="Refinance",ISNUMBER($B$80),$B$80&gt;=0,$B$80&lt;=1,ROUND($B$81*12,0)&gt;=1,$B$81&lt;=100,SUM($B$82)&gt;=0,SUM($B$82)&lt;=1,SUM($B$83)&gt;=0)),OR(743=1,743=$B$174+1,AND($B$175&gt;0,743=$B$175+1))),IF(AND($B$170=1,$B$66&gt;0,OR($B$175=0,743&lt;=$B$175)),$B$66,IF($B$172-MAX(743-1,$B$174)&gt;0,IF(B1143=0,0,IF(C1143=0,B1143/($B$172-MAX(743-1,$B$174)),B1143*(C1143/12)/(1-(1+C1143/12)^(-($B$172-MAX(743-1,$B$174)))))),"")),D1142)))),""),""))</x:f>
        <x:v>0</x:v>
      </x:c>
      <x:c r="E1143" s="440" t="n">
        <x:f>IF(AND(743=$B$173,ISNUMBER(D1143)),IF(MAX(0,B1143*(1+C1143/12)-D1143)&lt;MAX(0.0000001,$E$17*0.00000000001),0,MAX(0,B1143*(1+C1143/12)-D1143)),0)</x:f>
        <x:v>0</x:v>
      </x:c>
      <x:c r="F1143" s="440" t="n">
        <x:f>IF($B$78="Cash payoff",E1143,0)</x:f>
        <x:v>0</x:v>
      </x:c>
      <x:c r="G1143" s="440" t="n">
        <x:f>IF(AND(E1143&gt;0,AND($B$78="Refinance",ISNUMBER($B$80),$B$80&gt;=0,$B$80&lt;=1,ROUND($B$81*12,0)&gt;=1,$B$81&lt;=100,SUM($B$82)&gt;=0,SUM($B$82)&lt;=1,SUM($B$83)&gt;=0)),E1143*SUM($B$82)+SUM($B$83),0)</x:f>
        <x:v>0</x:v>
      </x:c>
      <x:c r="H1143" s="440" t="n">
        <x:f>IF(ISNUMBER(D1143),IF(MAX(0,B1143*(1+C1143/12)-D1143-F1143)&lt;MAX(0.0000001,$E$17*0.00000000001),0,MAX(0,B1143*(1+C1143/12)-D1143-F1143)),IF(AND($B$171=1,I1142=1),B1143,""))</x:f>
        <x:v>0</x:v>
      </x:c>
      <x:c r="I1143" s="444" t="n">
        <x:f>IF(OR(I1142=1,AND(E1143&gt;0,$B$78&lt;&gt;"Cash payoff",NOT(AND($B$78="Refinance",ISNUMBER($B$80),$B$80&gt;=0,$B$80&lt;=1,ROUND($B$81*12,0)&gt;=1,$B$81&lt;=100,SUM($B$82)&gt;=0,SUM($B$82)&lt;=1,SUM($B$83)&gt;=0))),AND(ISNUMBER(B1143),B1143&gt;0,$B$171=1,NOT(ISNUMBER(D1143)))),1,0)</x:f>
        <x:v>0</x:v>
      </x:c>
      <x:c r="J1143" s="440" t="n">
        <x:f>IF(ISNUMBER(L1142),L1142,"")</x:f>
        <x:v>0</x:v>
      </x:c>
      <x:c r="K1143" s="440" t="n">
        <x:f>IF(AND(ISNUMBER(J1143),J1143=0),0,IF(AND($B$176=1,ISNUMBER(J1143)),MIN(J1143*(1+$B$87/12),IF($B$86=0,0,IF($B$87=0,$B$86/ROUND($B$88*12,0),$B$86*($B$87/12)/(1-(1+$B$87/12)^(-ROUND($B$88*12,0)))))),""))</x:f>
        <x:v>0</x:v>
      </x:c>
      <x:c r="L1143" s="440" t="n">
        <x:f>IF(ISNUMBER(K1143),IF(MAX(0,J1143*(1+SUM($B$87)/12)-K1143)&lt;MAX(0.0000001,$B$86*0.00000000001),0,MAX(0,J1143*(1+SUM($B$87)/12)-K1143)),"")</x:f>
        <x:v>0</x:v>
      </x:c>
      <x:c r="M1143" s="440" t="n">
        <x:f>IF(AND(ISNUMBER(D1143),ISNUMBER(K1143)),D1143+K1143,"")</x:f>
        <x:v>0</x:v>
      </x:c>
      <x:c r="N1143" s="440" t="n">
        <x:f>IF(AND(ISNUMBER(H1143),ISNUMBER(L1143)),H1143+L1143,"")</x:f>
        <x:v>0</x:v>
      </x:c>
    </x:row>
    <x:row r="1144" ht="22" customHeight="1">
      <x:c r="A1144" s="254" t="n">
        <x:f>744</x:f>
        <x:v>744</x:v>
      </x:c>
      <x:c r="B1144" s="440" t="n">
        <x:f>IF(ISNUMBER(H1143),H1143,"")</x:f>
        <x:v>0</x:v>
      </x:c>
      <x:c r="C1144" s="442" t="n">
        <x:f>IF(ISNUMBER(B1144),IF(AND(744&gt;$B$173,$B$78="Refinance",ISNUMBER($B$80),$B$80&gt;=0,$B$80&lt;=1,ROUND($B$81*12,0)&gt;=1,$B$81&lt;=100,SUM($B$82)&gt;=0,SUM($B$82)&lt;=1,SUM($B$83)&gt;=0),$B$80,IF(AND($B$175&gt;0,744&gt;$B$175,ISNUMBER($B$75)),$B$75,$B$61)),"")</x:f>
        <x:v>0.0625</x:v>
      </x:c>
      <x:c r="D1144" s="440" t="n">
        <x:f>IF(AND(ISNUMBER(B1144),B1144=0),0,IF(AND($B$171=1,I1143=0,ISNUMBER(C1144),ISNUMBER(IF(AND(744&lt;=$B$174,744&lt;=$B$173),B1144*C1144/12,IF(AND(744=$B$173+1,AND(744&gt;$B$173,$B$78="Refinance",ISNUMBER($B$80),$B$80&gt;=0,$B$80&lt;=1,ROUND($B$81*12,0)&gt;=1,$B$81&lt;=100,SUM($B$82)&gt;=0,SUM($B$82)&lt;=1,SUM($B$83)&gt;=0)),IF(B1144=0,0,IF(C1144=0,B1144/ROUND($B$81*12,0),B1144*(C1144/12)/(1-(1+C1144/12)^(-ROUND($B$81*12,0))))),IF(AND(NOT(AND(744&gt;$B$173,$B$78="Refinance",ISNUMBER($B$80),$B$80&gt;=0,$B$80&lt;=1,ROUND($B$81*12,0)&gt;=1,$B$81&lt;=100,SUM($B$82)&gt;=0,SUM($B$82)&lt;=1,SUM($B$83)&gt;=0)),OR(744=1,744=$B$174+1,AND($B$175&gt;0,744=$B$175+1))),IF(AND($B$170=1,$B$66&gt;0,OR($B$175=0,744&lt;=$B$175)),$B$66,IF($B$172-MAX(744-1,$B$174)&gt;0,IF(B1144=0,0,IF(C1144=0,B1144/($B$172-MAX(744-1,$B$174)),B1144*(C1144/12)/(1-(1+C1144/12)^(-($B$172-MAX(744-1,$B$174)))))),"")),D1143))))),IF(IF(AND(744&lt;=$B$174,744&lt;=$B$173),B1144*C1144/12,IF(AND(744=$B$173+1,AND(744&gt;$B$173,$B$78="Refinance",ISNUMBER($B$80),$B$80&gt;=0,$B$80&lt;=1,ROUND($B$81*12,0)&gt;=1,$B$81&lt;=100,SUM($B$82)&gt;=0,SUM($B$82)&lt;=1,SUM($B$83)&gt;=0)),IF(B1144=0,0,IF(C1144=0,B1144/ROUND($B$81*12,0),B1144*(C1144/12)/(1-(1+C1144/12)^(-ROUND($B$81*12,0))))),IF(AND(NOT(AND(744&gt;$B$173,$B$78="Refinance",ISNUMBER($B$80),$B$80&gt;=0,$B$80&lt;=1,ROUND($B$81*12,0)&gt;=1,$B$81&lt;=100,SUM($B$82)&gt;=0,SUM($B$82)&lt;=1,SUM($B$83)&gt;=0)),OR(744=1,744=$B$174+1,AND($B$175&gt;0,744=$B$175+1))),IF(AND($B$170=1,$B$66&gt;0,OR($B$175=0,744&lt;=$B$175)),$B$66,IF($B$172-MAX(744-1,$B$174)&gt;0,IF(B1144=0,0,IF(C1144=0,B1144/($B$172-MAX(744-1,$B$174)),B1144*(C1144/12)/(1-(1+C1144/12)^(-($B$172-MAX(744-1,$B$174)))))),"")),D1143)))+0.0000001&gt;=B1144*C1144/12,MIN(B1144*(1+C1144/12),IF(AND(744&lt;=$B$174,744&lt;=$B$173),B1144*C1144/12,IF(AND(744=$B$173+1,AND(744&gt;$B$173,$B$78="Refinance",ISNUMBER($B$80),$B$80&gt;=0,$B$80&lt;=1,ROUND($B$81*12,0)&gt;=1,$B$81&lt;=100,SUM($B$82)&gt;=0,SUM($B$82)&lt;=1,SUM($B$83)&gt;=0)),IF(B1144=0,0,IF(C1144=0,B1144/ROUND($B$81*12,0),B1144*(C1144/12)/(1-(1+C1144/12)^(-ROUND($B$81*12,0))))),IF(AND(NOT(AND(744&gt;$B$173,$B$78="Refinance",ISNUMBER($B$80),$B$80&gt;=0,$B$80&lt;=1,ROUND($B$81*12,0)&gt;=1,$B$81&lt;=100,SUM($B$82)&gt;=0,SUM($B$82)&lt;=1,SUM($B$83)&gt;=0)),OR(744=1,744=$B$174+1,AND($B$175&gt;0,744=$B$175+1))),IF(AND($B$170=1,$B$66&gt;0,OR($B$175=0,744&lt;=$B$175)),$B$66,IF($B$172-MAX(744-1,$B$174)&gt;0,IF(B1144=0,0,IF(C1144=0,B1144/($B$172-MAX(744-1,$B$174)),B1144*(C1144/12)/(1-(1+C1144/12)^(-($B$172-MAX(744-1,$B$174)))))),"")),D1143)))),""),""))</x:f>
        <x:v>0</x:v>
      </x:c>
      <x:c r="E1144" s="440" t="n">
        <x:f>IF(AND(744=$B$173,ISNUMBER(D1144)),IF(MAX(0,B1144*(1+C1144/12)-D1144)&lt;MAX(0.0000001,$E$17*0.00000000001),0,MAX(0,B1144*(1+C1144/12)-D1144)),0)</x:f>
        <x:v>0</x:v>
      </x:c>
      <x:c r="F1144" s="440" t="n">
        <x:f>IF($B$78="Cash payoff",E1144,0)</x:f>
        <x:v>0</x:v>
      </x:c>
      <x:c r="G1144" s="440" t="n">
        <x:f>IF(AND(E1144&gt;0,AND($B$78="Refinance",ISNUMBER($B$80),$B$80&gt;=0,$B$80&lt;=1,ROUND($B$81*12,0)&gt;=1,$B$81&lt;=100,SUM($B$82)&gt;=0,SUM($B$82)&lt;=1,SUM($B$83)&gt;=0)),E1144*SUM($B$82)+SUM($B$83),0)</x:f>
        <x:v>0</x:v>
      </x:c>
      <x:c r="H1144" s="440" t="n">
        <x:f>IF(ISNUMBER(D1144),IF(MAX(0,B1144*(1+C1144/12)-D1144-F1144)&lt;MAX(0.0000001,$E$17*0.00000000001),0,MAX(0,B1144*(1+C1144/12)-D1144-F1144)),IF(AND($B$171=1,I1143=1),B1144,""))</x:f>
        <x:v>0</x:v>
      </x:c>
      <x:c r="I1144" s="444" t="n">
        <x:f>IF(OR(I1143=1,AND(E1144&gt;0,$B$78&lt;&gt;"Cash payoff",NOT(AND($B$78="Refinance",ISNUMBER($B$80),$B$80&gt;=0,$B$80&lt;=1,ROUND($B$81*12,0)&gt;=1,$B$81&lt;=100,SUM($B$82)&gt;=0,SUM($B$82)&lt;=1,SUM($B$83)&gt;=0))),AND(ISNUMBER(B1144),B1144&gt;0,$B$171=1,NOT(ISNUMBER(D1144)))),1,0)</x:f>
        <x:v>0</x:v>
      </x:c>
      <x:c r="J1144" s="440" t="n">
        <x:f>IF(ISNUMBER(L1143),L1143,"")</x:f>
        <x:v>0</x:v>
      </x:c>
      <x:c r="K1144" s="440" t="n">
        <x:f>IF(AND(ISNUMBER(J1144),J1144=0),0,IF(AND($B$176=1,ISNUMBER(J1144)),MIN(J1144*(1+$B$87/12),IF($B$86=0,0,IF($B$87=0,$B$86/ROUND($B$88*12,0),$B$86*($B$87/12)/(1-(1+$B$87/12)^(-ROUND($B$88*12,0)))))),""))</x:f>
        <x:v>0</x:v>
      </x:c>
      <x:c r="L1144" s="440" t="n">
        <x:f>IF(ISNUMBER(K1144),IF(MAX(0,J1144*(1+SUM($B$87)/12)-K1144)&lt;MAX(0.0000001,$B$86*0.00000000001),0,MAX(0,J1144*(1+SUM($B$87)/12)-K1144)),"")</x:f>
        <x:v>0</x:v>
      </x:c>
      <x:c r="M1144" s="440" t="n">
        <x:f>IF(AND(ISNUMBER(D1144),ISNUMBER(K1144)),D1144+K1144,"")</x:f>
        <x:v>0</x:v>
      </x:c>
      <x:c r="N1144" s="440" t="n">
        <x:f>IF(AND(ISNUMBER(H1144),ISNUMBER(L1144)),H1144+L1144,"")</x:f>
        <x:v>0</x:v>
      </x:c>
    </x:row>
    <x:row r="1145" ht="22" customHeight="1">
      <x:c r="A1145" s="254" t="n">
        <x:f>745</x:f>
        <x:v>745</x:v>
      </x:c>
      <x:c r="B1145" s="440" t="n">
        <x:f>IF(ISNUMBER(H1144),H1144,"")</x:f>
        <x:v>0</x:v>
      </x:c>
      <x:c r="C1145" s="442" t="n">
        <x:f>IF(ISNUMBER(B1145),IF(AND(745&gt;$B$173,$B$78="Refinance",ISNUMBER($B$80),$B$80&gt;=0,$B$80&lt;=1,ROUND($B$81*12,0)&gt;=1,$B$81&lt;=100,SUM($B$82)&gt;=0,SUM($B$82)&lt;=1,SUM($B$83)&gt;=0),$B$80,IF(AND($B$175&gt;0,745&gt;$B$175,ISNUMBER($B$75)),$B$75,$B$61)),"")</x:f>
        <x:v>0.0625</x:v>
      </x:c>
      <x:c r="D1145" s="440" t="n">
        <x:f>IF(AND(ISNUMBER(B1145),B1145=0),0,IF(AND($B$171=1,I1144=0,ISNUMBER(C1145),ISNUMBER(IF(AND(745&lt;=$B$174,745&lt;=$B$173),B1145*C1145/12,IF(AND(745=$B$173+1,AND(745&gt;$B$173,$B$78="Refinance",ISNUMBER($B$80),$B$80&gt;=0,$B$80&lt;=1,ROUND($B$81*12,0)&gt;=1,$B$81&lt;=100,SUM($B$82)&gt;=0,SUM($B$82)&lt;=1,SUM($B$83)&gt;=0)),IF(B1145=0,0,IF(C1145=0,B1145/ROUND($B$81*12,0),B1145*(C1145/12)/(1-(1+C1145/12)^(-ROUND($B$81*12,0))))),IF(AND(NOT(AND(745&gt;$B$173,$B$78="Refinance",ISNUMBER($B$80),$B$80&gt;=0,$B$80&lt;=1,ROUND($B$81*12,0)&gt;=1,$B$81&lt;=100,SUM($B$82)&gt;=0,SUM($B$82)&lt;=1,SUM($B$83)&gt;=0)),OR(745=1,745=$B$174+1,AND($B$175&gt;0,745=$B$175+1))),IF(AND($B$170=1,$B$66&gt;0,OR($B$175=0,745&lt;=$B$175)),$B$66,IF($B$172-MAX(745-1,$B$174)&gt;0,IF(B1145=0,0,IF(C1145=0,B1145/($B$172-MAX(745-1,$B$174)),B1145*(C1145/12)/(1-(1+C1145/12)^(-($B$172-MAX(745-1,$B$174)))))),"")),D1144))))),IF(IF(AND(745&lt;=$B$174,745&lt;=$B$173),B1145*C1145/12,IF(AND(745=$B$173+1,AND(745&gt;$B$173,$B$78="Refinance",ISNUMBER($B$80),$B$80&gt;=0,$B$80&lt;=1,ROUND($B$81*12,0)&gt;=1,$B$81&lt;=100,SUM($B$82)&gt;=0,SUM($B$82)&lt;=1,SUM($B$83)&gt;=0)),IF(B1145=0,0,IF(C1145=0,B1145/ROUND($B$81*12,0),B1145*(C1145/12)/(1-(1+C1145/12)^(-ROUND($B$81*12,0))))),IF(AND(NOT(AND(745&gt;$B$173,$B$78="Refinance",ISNUMBER($B$80),$B$80&gt;=0,$B$80&lt;=1,ROUND($B$81*12,0)&gt;=1,$B$81&lt;=100,SUM($B$82)&gt;=0,SUM($B$82)&lt;=1,SUM($B$83)&gt;=0)),OR(745=1,745=$B$174+1,AND($B$175&gt;0,745=$B$175+1))),IF(AND($B$170=1,$B$66&gt;0,OR($B$175=0,745&lt;=$B$175)),$B$66,IF($B$172-MAX(745-1,$B$174)&gt;0,IF(B1145=0,0,IF(C1145=0,B1145/($B$172-MAX(745-1,$B$174)),B1145*(C1145/12)/(1-(1+C1145/12)^(-($B$172-MAX(745-1,$B$174)))))),"")),D1144)))+0.0000001&gt;=B1145*C1145/12,MIN(B1145*(1+C1145/12),IF(AND(745&lt;=$B$174,745&lt;=$B$173),B1145*C1145/12,IF(AND(745=$B$173+1,AND(745&gt;$B$173,$B$78="Refinance",ISNUMBER($B$80),$B$80&gt;=0,$B$80&lt;=1,ROUND($B$81*12,0)&gt;=1,$B$81&lt;=100,SUM($B$82)&gt;=0,SUM($B$82)&lt;=1,SUM($B$83)&gt;=0)),IF(B1145=0,0,IF(C1145=0,B1145/ROUND($B$81*12,0),B1145*(C1145/12)/(1-(1+C1145/12)^(-ROUND($B$81*12,0))))),IF(AND(NOT(AND(745&gt;$B$173,$B$78="Refinance",ISNUMBER($B$80),$B$80&gt;=0,$B$80&lt;=1,ROUND($B$81*12,0)&gt;=1,$B$81&lt;=100,SUM($B$82)&gt;=0,SUM($B$82)&lt;=1,SUM($B$83)&gt;=0)),OR(745=1,745=$B$174+1,AND($B$175&gt;0,745=$B$175+1))),IF(AND($B$170=1,$B$66&gt;0,OR($B$175=0,745&lt;=$B$175)),$B$66,IF($B$172-MAX(745-1,$B$174)&gt;0,IF(B1145=0,0,IF(C1145=0,B1145/($B$172-MAX(745-1,$B$174)),B1145*(C1145/12)/(1-(1+C1145/12)^(-($B$172-MAX(745-1,$B$174)))))),"")),D1144)))),""),""))</x:f>
        <x:v>0</x:v>
      </x:c>
      <x:c r="E1145" s="440" t="n">
        <x:f>IF(AND(745=$B$173,ISNUMBER(D1145)),IF(MAX(0,B1145*(1+C1145/12)-D1145)&lt;MAX(0.0000001,$E$17*0.00000000001),0,MAX(0,B1145*(1+C1145/12)-D1145)),0)</x:f>
        <x:v>0</x:v>
      </x:c>
      <x:c r="F1145" s="440" t="n">
        <x:f>IF($B$78="Cash payoff",E1145,0)</x:f>
        <x:v>0</x:v>
      </x:c>
      <x:c r="G1145" s="440" t="n">
        <x:f>IF(AND(E1145&gt;0,AND($B$78="Refinance",ISNUMBER($B$80),$B$80&gt;=0,$B$80&lt;=1,ROUND($B$81*12,0)&gt;=1,$B$81&lt;=100,SUM($B$82)&gt;=0,SUM($B$82)&lt;=1,SUM($B$83)&gt;=0)),E1145*SUM($B$82)+SUM($B$83),0)</x:f>
        <x:v>0</x:v>
      </x:c>
      <x:c r="H1145" s="440" t="n">
        <x:f>IF(ISNUMBER(D1145),IF(MAX(0,B1145*(1+C1145/12)-D1145-F1145)&lt;MAX(0.0000001,$E$17*0.00000000001),0,MAX(0,B1145*(1+C1145/12)-D1145-F1145)),IF(AND($B$171=1,I1144=1),B1145,""))</x:f>
        <x:v>0</x:v>
      </x:c>
      <x:c r="I1145" s="444" t="n">
        <x:f>IF(OR(I1144=1,AND(E1145&gt;0,$B$78&lt;&gt;"Cash payoff",NOT(AND($B$78="Refinance",ISNUMBER($B$80),$B$80&gt;=0,$B$80&lt;=1,ROUND($B$81*12,0)&gt;=1,$B$81&lt;=100,SUM($B$82)&gt;=0,SUM($B$82)&lt;=1,SUM($B$83)&gt;=0))),AND(ISNUMBER(B1145),B1145&gt;0,$B$171=1,NOT(ISNUMBER(D1145)))),1,0)</x:f>
        <x:v>0</x:v>
      </x:c>
      <x:c r="J1145" s="440" t="n">
        <x:f>IF(ISNUMBER(L1144),L1144,"")</x:f>
        <x:v>0</x:v>
      </x:c>
      <x:c r="K1145" s="440" t="n">
        <x:f>IF(AND(ISNUMBER(J1145),J1145=0),0,IF(AND($B$176=1,ISNUMBER(J1145)),MIN(J1145*(1+$B$87/12),IF($B$86=0,0,IF($B$87=0,$B$86/ROUND($B$88*12,0),$B$86*($B$87/12)/(1-(1+$B$87/12)^(-ROUND($B$88*12,0)))))),""))</x:f>
        <x:v>0</x:v>
      </x:c>
      <x:c r="L1145" s="440" t="n">
        <x:f>IF(ISNUMBER(K1145),IF(MAX(0,J1145*(1+SUM($B$87)/12)-K1145)&lt;MAX(0.0000001,$B$86*0.00000000001),0,MAX(0,J1145*(1+SUM($B$87)/12)-K1145)),"")</x:f>
        <x:v>0</x:v>
      </x:c>
      <x:c r="M1145" s="440" t="n">
        <x:f>IF(AND(ISNUMBER(D1145),ISNUMBER(K1145)),D1145+K1145,"")</x:f>
        <x:v>0</x:v>
      </x:c>
      <x:c r="N1145" s="440" t="n">
        <x:f>IF(AND(ISNUMBER(H1145),ISNUMBER(L1145)),H1145+L1145,"")</x:f>
        <x:v>0</x:v>
      </x:c>
    </x:row>
    <x:row r="1146" ht="22" customHeight="1">
      <x:c r="A1146" s="254" t="n">
        <x:f>746</x:f>
        <x:v>746</x:v>
      </x:c>
      <x:c r="B1146" s="440" t="n">
        <x:f>IF(ISNUMBER(H1145),H1145,"")</x:f>
        <x:v>0</x:v>
      </x:c>
      <x:c r="C1146" s="442" t="n">
        <x:f>IF(ISNUMBER(B1146),IF(AND(746&gt;$B$173,$B$78="Refinance",ISNUMBER($B$80),$B$80&gt;=0,$B$80&lt;=1,ROUND($B$81*12,0)&gt;=1,$B$81&lt;=100,SUM($B$82)&gt;=0,SUM($B$82)&lt;=1,SUM($B$83)&gt;=0),$B$80,IF(AND($B$175&gt;0,746&gt;$B$175,ISNUMBER($B$75)),$B$75,$B$61)),"")</x:f>
        <x:v>0.0625</x:v>
      </x:c>
      <x:c r="D1146" s="440" t="n">
        <x:f>IF(AND(ISNUMBER(B1146),B1146=0),0,IF(AND($B$171=1,I1145=0,ISNUMBER(C1146),ISNUMBER(IF(AND(746&lt;=$B$174,746&lt;=$B$173),B1146*C1146/12,IF(AND(746=$B$173+1,AND(746&gt;$B$173,$B$78="Refinance",ISNUMBER($B$80),$B$80&gt;=0,$B$80&lt;=1,ROUND($B$81*12,0)&gt;=1,$B$81&lt;=100,SUM($B$82)&gt;=0,SUM($B$82)&lt;=1,SUM($B$83)&gt;=0)),IF(B1146=0,0,IF(C1146=0,B1146/ROUND($B$81*12,0),B1146*(C1146/12)/(1-(1+C1146/12)^(-ROUND($B$81*12,0))))),IF(AND(NOT(AND(746&gt;$B$173,$B$78="Refinance",ISNUMBER($B$80),$B$80&gt;=0,$B$80&lt;=1,ROUND($B$81*12,0)&gt;=1,$B$81&lt;=100,SUM($B$82)&gt;=0,SUM($B$82)&lt;=1,SUM($B$83)&gt;=0)),OR(746=1,746=$B$174+1,AND($B$175&gt;0,746=$B$175+1))),IF(AND($B$170=1,$B$66&gt;0,OR($B$175=0,746&lt;=$B$175)),$B$66,IF($B$172-MAX(746-1,$B$174)&gt;0,IF(B1146=0,0,IF(C1146=0,B1146/($B$172-MAX(746-1,$B$174)),B1146*(C1146/12)/(1-(1+C1146/12)^(-($B$172-MAX(746-1,$B$174)))))),"")),D1145))))),IF(IF(AND(746&lt;=$B$174,746&lt;=$B$173),B1146*C1146/12,IF(AND(746=$B$173+1,AND(746&gt;$B$173,$B$78="Refinance",ISNUMBER($B$80),$B$80&gt;=0,$B$80&lt;=1,ROUND($B$81*12,0)&gt;=1,$B$81&lt;=100,SUM($B$82)&gt;=0,SUM($B$82)&lt;=1,SUM($B$83)&gt;=0)),IF(B1146=0,0,IF(C1146=0,B1146/ROUND($B$81*12,0),B1146*(C1146/12)/(1-(1+C1146/12)^(-ROUND($B$81*12,0))))),IF(AND(NOT(AND(746&gt;$B$173,$B$78="Refinance",ISNUMBER($B$80),$B$80&gt;=0,$B$80&lt;=1,ROUND($B$81*12,0)&gt;=1,$B$81&lt;=100,SUM($B$82)&gt;=0,SUM($B$82)&lt;=1,SUM($B$83)&gt;=0)),OR(746=1,746=$B$174+1,AND($B$175&gt;0,746=$B$175+1))),IF(AND($B$170=1,$B$66&gt;0,OR($B$175=0,746&lt;=$B$175)),$B$66,IF($B$172-MAX(746-1,$B$174)&gt;0,IF(B1146=0,0,IF(C1146=0,B1146/($B$172-MAX(746-1,$B$174)),B1146*(C1146/12)/(1-(1+C1146/12)^(-($B$172-MAX(746-1,$B$174)))))),"")),D1145)))+0.0000001&gt;=B1146*C1146/12,MIN(B1146*(1+C1146/12),IF(AND(746&lt;=$B$174,746&lt;=$B$173),B1146*C1146/12,IF(AND(746=$B$173+1,AND(746&gt;$B$173,$B$78="Refinance",ISNUMBER($B$80),$B$80&gt;=0,$B$80&lt;=1,ROUND($B$81*12,0)&gt;=1,$B$81&lt;=100,SUM($B$82)&gt;=0,SUM($B$82)&lt;=1,SUM($B$83)&gt;=0)),IF(B1146=0,0,IF(C1146=0,B1146/ROUND($B$81*12,0),B1146*(C1146/12)/(1-(1+C1146/12)^(-ROUND($B$81*12,0))))),IF(AND(NOT(AND(746&gt;$B$173,$B$78="Refinance",ISNUMBER($B$80),$B$80&gt;=0,$B$80&lt;=1,ROUND($B$81*12,0)&gt;=1,$B$81&lt;=100,SUM($B$82)&gt;=0,SUM($B$82)&lt;=1,SUM($B$83)&gt;=0)),OR(746=1,746=$B$174+1,AND($B$175&gt;0,746=$B$175+1))),IF(AND($B$170=1,$B$66&gt;0,OR($B$175=0,746&lt;=$B$175)),$B$66,IF($B$172-MAX(746-1,$B$174)&gt;0,IF(B1146=0,0,IF(C1146=0,B1146/($B$172-MAX(746-1,$B$174)),B1146*(C1146/12)/(1-(1+C1146/12)^(-($B$172-MAX(746-1,$B$174)))))),"")),D1145)))),""),""))</x:f>
        <x:v>0</x:v>
      </x:c>
      <x:c r="E1146" s="440" t="n">
        <x:f>IF(AND(746=$B$173,ISNUMBER(D1146)),IF(MAX(0,B1146*(1+C1146/12)-D1146)&lt;MAX(0.0000001,$E$17*0.00000000001),0,MAX(0,B1146*(1+C1146/12)-D1146)),0)</x:f>
        <x:v>0</x:v>
      </x:c>
      <x:c r="F1146" s="440" t="n">
        <x:f>IF($B$78="Cash payoff",E1146,0)</x:f>
        <x:v>0</x:v>
      </x:c>
      <x:c r="G1146" s="440" t="n">
        <x:f>IF(AND(E1146&gt;0,AND($B$78="Refinance",ISNUMBER($B$80),$B$80&gt;=0,$B$80&lt;=1,ROUND($B$81*12,0)&gt;=1,$B$81&lt;=100,SUM($B$82)&gt;=0,SUM($B$82)&lt;=1,SUM($B$83)&gt;=0)),E1146*SUM($B$82)+SUM($B$83),0)</x:f>
        <x:v>0</x:v>
      </x:c>
      <x:c r="H1146" s="440" t="n">
        <x:f>IF(ISNUMBER(D1146),IF(MAX(0,B1146*(1+C1146/12)-D1146-F1146)&lt;MAX(0.0000001,$E$17*0.00000000001),0,MAX(0,B1146*(1+C1146/12)-D1146-F1146)),IF(AND($B$171=1,I1145=1),B1146,""))</x:f>
        <x:v>0</x:v>
      </x:c>
      <x:c r="I1146" s="444" t="n">
        <x:f>IF(OR(I1145=1,AND(E1146&gt;0,$B$78&lt;&gt;"Cash payoff",NOT(AND($B$78="Refinance",ISNUMBER($B$80),$B$80&gt;=0,$B$80&lt;=1,ROUND($B$81*12,0)&gt;=1,$B$81&lt;=100,SUM($B$82)&gt;=0,SUM($B$82)&lt;=1,SUM($B$83)&gt;=0))),AND(ISNUMBER(B1146),B1146&gt;0,$B$171=1,NOT(ISNUMBER(D1146)))),1,0)</x:f>
        <x:v>0</x:v>
      </x:c>
      <x:c r="J1146" s="440" t="n">
        <x:f>IF(ISNUMBER(L1145),L1145,"")</x:f>
        <x:v>0</x:v>
      </x:c>
      <x:c r="K1146" s="440" t="n">
        <x:f>IF(AND(ISNUMBER(J1146),J1146=0),0,IF(AND($B$176=1,ISNUMBER(J1146)),MIN(J1146*(1+$B$87/12),IF($B$86=0,0,IF($B$87=0,$B$86/ROUND($B$88*12,0),$B$86*($B$87/12)/(1-(1+$B$87/12)^(-ROUND($B$88*12,0)))))),""))</x:f>
        <x:v>0</x:v>
      </x:c>
      <x:c r="L1146" s="440" t="n">
        <x:f>IF(ISNUMBER(K1146),IF(MAX(0,J1146*(1+SUM($B$87)/12)-K1146)&lt;MAX(0.0000001,$B$86*0.00000000001),0,MAX(0,J1146*(1+SUM($B$87)/12)-K1146)),"")</x:f>
        <x:v>0</x:v>
      </x:c>
      <x:c r="M1146" s="440" t="n">
        <x:f>IF(AND(ISNUMBER(D1146),ISNUMBER(K1146)),D1146+K1146,"")</x:f>
        <x:v>0</x:v>
      </x:c>
      <x:c r="N1146" s="440" t="n">
        <x:f>IF(AND(ISNUMBER(H1146),ISNUMBER(L1146)),H1146+L1146,"")</x:f>
        <x:v>0</x:v>
      </x:c>
    </x:row>
    <x:row r="1147" ht="22" customHeight="1">
      <x:c r="A1147" s="254" t="n">
        <x:f>747</x:f>
        <x:v>747</x:v>
      </x:c>
      <x:c r="B1147" s="440" t="n">
        <x:f>IF(ISNUMBER(H1146),H1146,"")</x:f>
        <x:v>0</x:v>
      </x:c>
      <x:c r="C1147" s="442" t="n">
        <x:f>IF(ISNUMBER(B1147),IF(AND(747&gt;$B$173,$B$78="Refinance",ISNUMBER($B$80),$B$80&gt;=0,$B$80&lt;=1,ROUND($B$81*12,0)&gt;=1,$B$81&lt;=100,SUM($B$82)&gt;=0,SUM($B$82)&lt;=1,SUM($B$83)&gt;=0),$B$80,IF(AND($B$175&gt;0,747&gt;$B$175,ISNUMBER($B$75)),$B$75,$B$61)),"")</x:f>
        <x:v>0.0625</x:v>
      </x:c>
      <x:c r="D1147" s="440" t="n">
        <x:f>IF(AND(ISNUMBER(B1147),B1147=0),0,IF(AND($B$171=1,I1146=0,ISNUMBER(C1147),ISNUMBER(IF(AND(747&lt;=$B$174,747&lt;=$B$173),B1147*C1147/12,IF(AND(747=$B$173+1,AND(747&gt;$B$173,$B$78="Refinance",ISNUMBER($B$80),$B$80&gt;=0,$B$80&lt;=1,ROUND($B$81*12,0)&gt;=1,$B$81&lt;=100,SUM($B$82)&gt;=0,SUM($B$82)&lt;=1,SUM($B$83)&gt;=0)),IF(B1147=0,0,IF(C1147=0,B1147/ROUND($B$81*12,0),B1147*(C1147/12)/(1-(1+C1147/12)^(-ROUND($B$81*12,0))))),IF(AND(NOT(AND(747&gt;$B$173,$B$78="Refinance",ISNUMBER($B$80),$B$80&gt;=0,$B$80&lt;=1,ROUND($B$81*12,0)&gt;=1,$B$81&lt;=100,SUM($B$82)&gt;=0,SUM($B$82)&lt;=1,SUM($B$83)&gt;=0)),OR(747=1,747=$B$174+1,AND($B$175&gt;0,747=$B$175+1))),IF(AND($B$170=1,$B$66&gt;0,OR($B$175=0,747&lt;=$B$175)),$B$66,IF($B$172-MAX(747-1,$B$174)&gt;0,IF(B1147=0,0,IF(C1147=0,B1147/($B$172-MAX(747-1,$B$174)),B1147*(C1147/12)/(1-(1+C1147/12)^(-($B$172-MAX(747-1,$B$174)))))),"")),D1146))))),IF(IF(AND(747&lt;=$B$174,747&lt;=$B$173),B1147*C1147/12,IF(AND(747=$B$173+1,AND(747&gt;$B$173,$B$78="Refinance",ISNUMBER($B$80),$B$80&gt;=0,$B$80&lt;=1,ROUND($B$81*12,0)&gt;=1,$B$81&lt;=100,SUM($B$82)&gt;=0,SUM($B$82)&lt;=1,SUM($B$83)&gt;=0)),IF(B1147=0,0,IF(C1147=0,B1147/ROUND($B$81*12,0),B1147*(C1147/12)/(1-(1+C1147/12)^(-ROUND($B$81*12,0))))),IF(AND(NOT(AND(747&gt;$B$173,$B$78="Refinance",ISNUMBER($B$80),$B$80&gt;=0,$B$80&lt;=1,ROUND($B$81*12,0)&gt;=1,$B$81&lt;=100,SUM($B$82)&gt;=0,SUM($B$82)&lt;=1,SUM($B$83)&gt;=0)),OR(747=1,747=$B$174+1,AND($B$175&gt;0,747=$B$175+1))),IF(AND($B$170=1,$B$66&gt;0,OR($B$175=0,747&lt;=$B$175)),$B$66,IF($B$172-MAX(747-1,$B$174)&gt;0,IF(B1147=0,0,IF(C1147=0,B1147/($B$172-MAX(747-1,$B$174)),B1147*(C1147/12)/(1-(1+C1147/12)^(-($B$172-MAX(747-1,$B$174)))))),"")),D1146)))+0.0000001&gt;=B1147*C1147/12,MIN(B1147*(1+C1147/12),IF(AND(747&lt;=$B$174,747&lt;=$B$173),B1147*C1147/12,IF(AND(747=$B$173+1,AND(747&gt;$B$173,$B$78="Refinance",ISNUMBER($B$80),$B$80&gt;=0,$B$80&lt;=1,ROUND($B$81*12,0)&gt;=1,$B$81&lt;=100,SUM($B$82)&gt;=0,SUM($B$82)&lt;=1,SUM($B$83)&gt;=0)),IF(B1147=0,0,IF(C1147=0,B1147/ROUND($B$81*12,0),B1147*(C1147/12)/(1-(1+C1147/12)^(-ROUND($B$81*12,0))))),IF(AND(NOT(AND(747&gt;$B$173,$B$78="Refinance",ISNUMBER($B$80),$B$80&gt;=0,$B$80&lt;=1,ROUND($B$81*12,0)&gt;=1,$B$81&lt;=100,SUM($B$82)&gt;=0,SUM($B$82)&lt;=1,SUM($B$83)&gt;=0)),OR(747=1,747=$B$174+1,AND($B$175&gt;0,747=$B$175+1))),IF(AND($B$170=1,$B$66&gt;0,OR($B$175=0,747&lt;=$B$175)),$B$66,IF($B$172-MAX(747-1,$B$174)&gt;0,IF(B1147=0,0,IF(C1147=0,B1147/($B$172-MAX(747-1,$B$174)),B1147*(C1147/12)/(1-(1+C1147/12)^(-($B$172-MAX(747-1,$B$174)))))),"")),D1146)))),""),""))</x:f>
        <x:v>0</x:v>
      </x:c>
      <x:c r="E1147" s="440" t="n">
        <x:f>IF(AND(747=$B$173,ISNUMBER(D1147)),IF(MAX(0,B1147*(1+C1147/12)-D1147)&lt;MAX(0.0000001,$E$17*0.00000000001),0,MAX(0,B1147*(1+C1147/12)-D1147)),0)</x:f>
        <x:v>0</x:v>
      </x:c>
      <x:c r="F1147" s="440" t="n">
        <x:f>IF($B$78="Cash payoff",E1147,0)</x:f>
        <x:v>0</x:v>
      </x:c>
      <x:c r="G1147" s="440" t="n">
        <x:f>IF(AND(E1147&gt;0,AND($B$78="Refinance",ISNUMBER($B$80),$B$80&gt;=0,$B$80&lt;=1,ROUND($B$81*12,0)&gt;=1,$B$81&lt;=100,SUM($B$82)&gt;=0,SUM($B$82)&lt;=1,SUM($B$83)&gt;=0)),E1147*SUM($B$82)+SUM($B$83),0)</x:f>
        <x:v>0</x:v>
      </x:c>
      <x:c r="H1147" s="440" t="n">
        <x:f>IF(ISNUMBER(D1147),IF(MAX(0,B1147*(1+C1147/12)-D1147-F1147)&lt;MAX(0.0000001,$E$17*0.00000000001),0,MAX(0,B1147*(1+C1147/12)-D1147-F1147)),IF(AND($B$171=1,I1146=1),B1147,""))</x:f>
        <x:v>0</x:v>
      </x:c>
      <x:c r="I1147" s="444" t="n">
        <x:f>IF(OR(I1146=1,AND(E1147&gt;0,$B$78&lt;&gt;"Cash payoff",NOT(AND($B$78="Refinance",ISNUMBER($B$80),$B$80&gt;=0,$B$80&lt;=1,ROUND($B$81*12,0)&gt;=1,$B$81&lt;=100,SUM($B$82)&gt;=0,SUM($B$82)&lt;=1,SUM($B$83)&gt;=0))),AND(ISNUMBER(B1147),B1147&gt;0,$B$171=1,NOT(ISNUMBER(D1147)))),1,0)</x:f>
        <x:v>0</x:v>
      </x:c>
      <x:c r="J1147" s="440" t="n">
        <x:f>IF(ISNUMBER(L1146),L1146,"")</x:f>
        <x:v>0</x:v>
      </x:c>
      <x:c r="K1147" s="440" t="n">
        <x:f>IF(AND(ISNUMBER(J1147),J1147=0),0,IF(AND($B$176=1,ISNUMBER(J1147)),MIN(J1147*(1+$B$87/12),IF($B$86=0,0,IF($B$87=0,$B$86/ROUND($B$88*12,0),$B$86*($B$87/12)/(1-(1+$B$87/12)^(-ROUND($B$88*12,0)))))),""))</x:f>
        <x:v>0</x:v>
      </x:c>
      <x:c r="L1147" s="440" t="n">
        <x:f>IF(ISNUMBER(K1147),IF(MAX(0,J1147*(1+SUM($B$87)/12)-K1147)&lt;MAX(0.0000001,$B$86*0.00000000001),0,MAX(0,J1147*(1+SUM($B$87)/12)-K1147)),"")</x:f>
        <x:v>0</x:v>
      </x:c>
      <x:c r="M1147" s="440" t="n">
        <x:f>IF(AND(ISNUMBER(D1147),ISNUMBER(K1147)),D1147+K1147,"")</x:f>
        <x:v>0</x:v>
      </x:c>
      <x:c r="N1147" s="440" t="n">
        <x:f>IF(AND(ISNUMBER(H1147),ISNUMBER(L1147)),H1147+L1147,"")</x:f>
        <x:v>0</x:v>
      </x:c>
    </x:row>
    <x:row r="1148" ht="22" customHeight="1">
      <x:c r="A1148" s="254" t="n">
        <x:f>748</x:f>
        <x:v>748</x:v>
      </x:c>
      <x:c r="B1148" s="440" t="n">
        <x:f>IF(ISNUMBER(H1147),H1147,"")</x:f>
        <x:v>0</x:v>
      </x:c>
      <x:c r="C1148" s="442" t="n">
        <x:f>IF(ISNUMBER(B1148),IF(AND(748&gt;$B$173,$B$78="Refinance",ISNUMBER($B$80),$B$80&gt;=0,$B$80&lt;=1,ROUND($B$81*12,0)&gt;=1,$B$81&lt;=100,SUM($B$82)&gt;=0,SUM($B$82)&lt;=1,SUM($B$83)&gt;=0),$B$80,IF(AND($B$175&gt;0,748&gt;$B$175,ISNUMBER($B$75)),$B$75,$B$61)),"")</x:f>
        <x:v>0.0625</x:v>
      </x:c>
      <x:c r="D1148" s="440" t="n">
        <x:f>IF(AND(ISNUMBER(B1148),B1148=0),0,IF(AND($B$171=1,I1147=0,ISNUMBER(C1148),ISNUMBER(IF(AND(748&lt;=$B$174,748&lt;=$B$173),B1148*C1148/12,IF(AND(748=$B$173+1,AND(748&gt;$B$173,$B$78="Refinance",ISNUMBER($B$80),$B$80&gt;=0,$B$80&lt;=1,ROUND($B$81*12,0)&gt;=1,$B$81&lt;=100,SUM($B$82)&gt;=0,SUM($B$82)&lt;=1,SUM($B$83)&gt;=0)),IF(B1148=0,0,IF(C1148=0,B1148/ROUND($B$81*12,0),B1148*(C1148/12)/(1-(1+C1148/12)^(-ROUND($B$81*12,0))))),IF(AND(NOT(AND(748&gt;$B$173,$B$78="Refinance",ISNUMBER($B$80),$B$80&gt;=0,$B$80&lt;=1,ROUND($B$81*12,0)&gt;=1,$B$81&lt;=100,SUM($B$82)&gt;=0,SUM($B$82)&lt;=1,SUM($B$83)&gt;=0)),OR(748=1,748=$B$174+1,AND($B$175&gt;0,748=$B$175+1))),IF(AND($B$170=1,$B$66&gt;0,OR($B$175=0,748&lt;=$B$175)),$B$66,IF($B$172-MAX(748-1,$B$174)&gt;0,IF(B1148=0,0,IF(C1148=0,B1148/($B$172-MAX(748-1,$B$174)),B1148*(C1148/12)/(1-(1+C1148/12)^(-($B$172-MAX(748-1,$B$174)))))),"")),D1147))))),IF(IF(AND(748&lt;=$B$174,748&lt;=$B$173),B1148*C1148/12,IF(AND(748=$B$173+1,AND(748&gt;$B$173,$B$78="Refinance",ISNUMBER($B$80),$B$80&gt;=0,$B$80&lt;=1,ROUND($B$81*12,0)&gt;=1,$B$81&lt;=100,SUM($B$82)&gt;=0,SUM($B$82)&lt;=1,SUM($B$83)&gt;=0)),IF(B1148=0,0,IF(C1148=0,B1148/ROUND($B$81*12,0),B1148*(C1148/12)/(1-(1+C1148/12)^(-ROUND($B$81*12,0))))),IF(AND(NOT(AND(748&gt;$B$173,$B$78="Refinance",ISNUMBER($B$80),$B$80&gt;=0,$B$80&lt;=1,ROUND($B$81*12,0)&gt;=1,$B$81&lt;=100,SUM($B$82)&gt;=0,SUM($B$82)&lt;=1,SUM($B$83)&gt;=0)),OR(748=1,748=$B$174+1,AND($B$175&gt;0,748=$B$175+1))),IF(AND($B$170=1,$B$66&gt;0,OR($B$175=0,748&lt;=$B$175)),$B$66,IF($B$172-MAX(748-1,$B$174)&gt;0,IF(B1148=0,0,IF(C1148=0,B1148/($B$172-MAX(748-1,$B$174)),B1148*(C1148/12)/(1-(1+C1148/12)^(-($B$172-MAX(748-1,$B$174)))))),"")),D1147)))+0.0000001&gt;=B1148*C1148/12,MIN(B1148*(1+C1148/12),IF(AND(748&lt;=$B$174,748&lt;=$B$173),B1148*C1148/12,IF(AND(748=$B$173+1,AND(748&gt;$B$173,$B$78="Refinance",ISNUMBER($B$80),$B$80&gt;=0,$B$80&lt;=1,ROUND($B$81*12,0)&gt;=1,$B$81&lt;=100,SUM($B$82)&gt;=0,SUM($B$82)&lt;=1,SUM($B$83)&gt;=0)),IF(B1148=0,0,IF(C1148=0,B1148/ROUND($B$81*12,0),B1148*(C1148/12)/(1-(1+C1148/12)^(-ROUND($B$81*12,0))))),IF(AND(NOT(AND(748&gt;$B$173,$B$78="Refinance",ISNUMBER($B$80),$B$80&gt;=0,$B$80&lt;=1,ROUND($B$81*12,0)&gt;=1,$B$81&lt;=100,SUM($B$82)&gt;=0,SUM($B$82)&lt;=1,SUM($B$83)&gt;=0)),OR(748=1,748=$B$174+1,AND($B$175&gt;0,748=$B$175+1))),IF(AND($B$170=1,$B$66&gt;0,OR($B$175=0,748&lt;=$B$175)),$B$66,IF($B$172-MAX(748-1,$B$174)&gt;0,IF(B1148=0,0,IF(C1148=0,B1148/($B$172-MAX(748-1,$B$174)),B1148*(C1148/12)/(1-(1+C1148/12)^(-($B$172-MAX(748-1,$B$174)))))),"")),D1147)))),""),""))</x:f>
        <x:v>0</x:v>
      </x:c>
      <x:c r="E1148" s="440" t="n">
        <x:f>IF(AND(748=$B$173,ISNUMBER(D1148)),IF(MAX(0,B1148*(1+C1148/12)-D1148)&lt;MAX(0.0000001,$E$17*0.00000000001),0,MAX(0,B1148*(1+C1148/12)-D1148)),0)</x:f>
        <x:v>0</x:v>
      </x:c>
      <x:c r="F1148" s="440" t="n">
        <x:f>IF($B$78="Cash payoff",E1148,0)</x:f>
        <x:v>0</x:v>
      </x:c>
      <x:c r="G1148" s="440" t="n">
        <x:f>IF(AND(E1148&gt;0,AND($B$78="Refinance",ISNUMBER($B$80),$B$80&gt;=0,$B$80&lt;=1,ROUND($B$81*12,0)&gt;=1,$B$81&lt;=100,SUM($B$82)&gt;=0,SUM($B$82)&lt;=1,SUM($B$83)&gt;=0)),E1148*SUM($B$82)+SUM($B$83),0)</x:f>
        <x:v>0</x:v>
      </x:c>
      <x:c r="H1148" s="440" t="n">
        <x:f>IF(ISNUMBER(D1148),IF(MAX(0,B1148*(1+C1148/12)-D1148-F1148)&lt;MAX(0.0000001,$E$17*0.00000000001),0,MAX(0,B1148*(1+C1148/12)-D1148-F1148)),IF(AND($B$171=1,I1147=1),B1148,""))</x:f>
        <x:v>0</x:v>
      </x:c>
      <x:c r="I1148" s="444" t="n">
        <x:f>IF(OR(I1147=1,AND(E1148&gt;0,$B$78&lt;&gt;"Cash payoff",NOT(AND($B$78="Refinance",ISNUMBER($B$80),$B$80&gt;=0,$B$80&lt;=1,ROUND($B$81*12,0)&gt;=1,$B$81&lt;=100,SUM($B$82)&gt;=0,SUM($B$82)&lt;=1,SUM($B$83)&gt;=0))),AND(ISNUMBER(B1148),B1148&gt;0,$B$171=1,NOT(ISNUMBER(D1148)))),1,0)</x:f>
        <x:v>0</x:v>
      </x:c>
      <x:c r="J1148" s="440" t="n">
        <x:f>IF(ISNUMBER(L1147),L1147,"")</x:f>
        <x:v>0</x:v>
      </x:c>
      <x:c r="K1148" s="440" t="n">
        <x:f>IF(AND(ISNUMBER(J1148),J1148=0),0,IF(AND($B$176=1,ISNUMBER(J1148)),MIN(J1148*(1+$B$87/12),IF($B$86=0,0,IF($B$87=0,$B$86/ROUND($B$88*12,0),$B$86*($B$87/12)/(1-(1+$B$87/12)^(-ROUND($B$88*12,0)))))),""))</x:f>
        <x:v>0</x:v>
      </x:c>
      <x:c r="L1148" s="440" t="n">
        <x:f>IF(ISNUMBER(K1148),IF(MAX(0,J1148*(1+SUM($B$87)/12)-K1148)&lt;MAX(0.0000001,$B$86*0.00000000001),0,MAX(0,J1148*(1+SUM($B$87)/12)-K1148)),"")</x:f>
        <x:v>0</x:v>
      </x:c>
      <x:c r="M1148" s="440" t="n">
        <x:f>IF(AND(ISNUMBER(D1148),ISNUMBER(K1148)),D1148+K1148,"")</x:f>
        <x:v>0</x:v>
      </x:c>
      <x:c r="N1148" s="440" t="n">
        <x:f>IF(AND(ISNUMBER(H1148),ISNUMBER(L1148)),H1148+L1148,"")</x:f>
        <x:v>0</x:v>
      </x:c>
    </x:row>
    <x:row r="1149" ht="22" customHeight="1">
      <x:c r="A1149" s="254" t="n">
        <x:f>749</x:f>
        <x:v>749</x:v>
      </x:c>
      <x:c r="B1149" s="440" t="n">
        <x:f>IF(ISNUMBER(H1148),H1148,"")</x:f>
        <x:v>0</x:v>
      </x:c>
      <x:c r="C1149" s="442" t="n">
        <x:f>IF(ISNUMBER(B1149),IF(AND(749&gt;$B$173,$B$78="Refinance",ISNUMBER($B$80),$B$80&gt;=0,$B$80&lt;=1,ROUND($B$81*12,0)&gt;=1,$B$81&lt;=100,SUM($B$82)&gt;=0,SUM($B$82)&lt;=1,SUM($B$83)&gt;=0),$B$80,IF(AND($B$175&gt;0,749&gt;$B$175,ISNUMBER($B$75)),$B$75,$B$61)),"")</x:f>
        <x:v>0.0625</x:v>
      </x:c>
      <x:c r="D1149" s="440" t="n">
        <x:f>IF(AND(ISNUMBER(B1149),B1149=0),0,IF(AND($B$171=1,I1148=0,ISNUMBER(C1149),ISNUMBER(IF(AND(749&lt;=$B$174,749&lt;=$B$173),B1149*C1149/12,IF(AND(749=$B$173+1,AND(749&gt;$B$173,$B$78="Refinance",ISNUMBER($B$80),$B$80&gt;=0,$B$80&lt;=1,ROUND($B$81*12,0)&gt;=1,$B$81&lt;=100,SUM($B$82)&gt;=0,SUM($B$82)&lt;=1,SUM($B$83)&gt;=0)),IF(B1149=0,0,IF(C1149=0,B1149/ROUND($B$81*12,0),B1149*(C1149/12)/(1-(1+C1149/12)^(-ROUND($B$81*12,0))))),IF(AND(NOT(AND(749&gt;$B$173,$B$78="Refinance",ISNUMBER($B$80),$B$80&gt;=0,$B$80&lt;=1,ROUND($B$81*12,0)&gt;=1,$B$81&lt;=100,SUM($B$82)&gt;=0,SUM($B$82)&lt;=1,SUM($B$83)&gt;=0)),OR(749=1,749=$B$174+1,AND($B$175&gt;0,749=$B$175+1))),IF(AND($B$170=1,$B$66&gt;0,OR($B$175=0,749&lt;=$B$175)),$B$66,IF($B$172-MAX(749-1,$B$174)&gt;0,IF(B1149=0,0,IF(C1149=0,B1149/($B$172-MAX(749-1,$B$174)),B1149*(C1149/12)/(1-(1+C1149/12)^(-($B$172-MAX(749-1,$B$174)))))),"")),D1148))))),IF(IF(AND(749&lt;=$B$174,749&lt;=$B$173),B1149*C1149/12,IF(AND(749=$B$173+1,AND(749&gt;$B$173,$B$78="Refinance",ISNUMBER($B$80),$B$80&gt;=0,$B$80&lt;=1,ROUND($B$81*12,0)&gt;=1,$B$81&lt;=100,SUM($B$82)&gt;=0,SUM($B$82)&lt;=1,SUM($B$83)&gt;=0)),IF(B1149=0,0,IF(C1149=0,B1149/ROUND($B$81*12,0),B1149*(C1149/12)/(1-(1+C1149/12)^(-ROUND($B$81*12,0))))),IF(AND(NOT(AND(749&gt;$B$173,$B$78="Refinance",ISNUMBER($B$80),$B$80&gt;=0,$B$80&lt;=1,ROUND($B$81*12,0)&gt;=1,$B$81&lt;=100,SUM($B$82)&gt;=0,SUM($B$82)&lt;=1,SUM($B$83)&gt;=0)),OR(749=1,749=$B$174+1,AND($B$175&gt;0,749=$B$175+1))),IF(AND($B$170=1,$B$66&gt;0,OR($B$175=0,749&lt;=$B$175)),$B$66,IF($B$172-MAX(749-1,$B$174)&gt;0,IF(B1149=0,0,IF(C1149=0,B1149/($B$172-MAX(749-1,$B$174)),B1149*(C1149/12)/(1-(1+C1149/12)^(-($B$172-MAX(749-1,$B$174)))))),"")),D1148)))+0.0000001&gt;=B1149*C1149/12,MIN(B1149*(1+C1149/12),IF(AND(749&lt;=$B$174,749&lt;=$B$173),B1149*C1149/12,IF(AND(749=$B$173+1,AND(749&gt;$B$173,$B$78="Refinance",ISNUMBER($B$80),$B$80&gt;=0,$B$80&lt;=1,ROUND($B$81*12,0)&gt;=1,$B$81&lt;=100,SUM($B$82)&gt;=0,SUM($B$82)&lt;=1,SUM($B$83)&gt;=0)),IF(B1149=0,0,IF(C1149=0,B1149/ROUND($B$81*12,0),B1149*(C1149/12)/(1-(1+C1149/12)^(-ROUND($B$81*12,0))))),IF(AND(NOT(AND(749&gt;$B$173,$B$78="Refinance",ISNUMBER($B$80),$B$80&gt;=0,$B$80&lt;=1,ROUND($B$81*12,0)&gt;=1,$B$81&lt;=100,SUM($B$82)&gt;=0,SUM($B$82)&lt;=1,SUM($B$83)&gt;=0)),OR(749=1,749=$B$174+1,AND($B$175&gt;0,749=$B$175+1))),IF(AND($B$170=1,$B$66&gt;0,OR($B$175=0,749&lt;=$B$175)),$B$66,IF($B$172-MAX(749-1,$B$174)&gt;0,IF(B1149=0,0,IF(C1149=0,B1149/($B$172-MAX(749-1,$B$174)),B1149*(C1149/12)/(1-(1+C1149/12)^(-($B$172-MAX(749-1,$B$174)))))),"")),D1148)))),""),""))</x:f>
        <x:v>0</x:v>
      </x:c>
      <x:c r="E1149" s="440" t="n">
        <x:f>IF(AND(749=$B$173,ISNUMBER(D1149)),IF(MAX(0,B1149*(1+C1149/12)-D1149)&lt;MAX(0.0000001,$E$17*0.00000000001),0,MAX(0,B1149*(1+C1149/12)-D1149)),0)</x:f>
        <x:v>0</x:v>
      </x:c>
      <x:c r="F1149" s="440" t="n">
        <x:f>IF($B$78="Cash payoff",E1149,0)</x:f>
        <x:v>0</x:v>
      </x:c>
      <x:c r="G1149" s="440" t="n">
        <x:f>IF(AND(E1149&gt;0,AND($B$78="Refinance",ISNUMBER($B$80),$B$80&gt;=0,$B$80&lt;=1,ROUND($B$81*12,0)&gt;=1,$B$81&lt;=100,SUM($B$82)&gt;=0,SUM($B$82)&lt;=1,SUM($B$83)&gt;=0)),E1149*SUM($B$82)+SUM($B$83),0)</x:f>
        <x:v>0</x:v>
      </x:c>
      <x:c r="H1149" s="440" t="n">
        <x:f>IF(ISNUMBER(D1149),IF(MAX(0,B1149*(1+C1149/12)-D1149-F1149)&lt;MAX(0.0000001,$E$17*0.00000000001),0,MAX(0,B1149*(1+C1149/12)-D1149-F1149)),IF(AND($B$171=1,I1148=1),B1149,""))</x:f>
        <x:v>0</x:v>
      </x:c>
      <x:c r="I1149" s="444" t="n">
        <x:f>IF(OR(I1148=1,AND(E1149&gt;0,$B$78&lt;&gt;"Cash payoff",NOT(AND($B$78="Refinance",ISNUMBER($B$80),$B$80&gt;=0,$B$80&lt;=1,ROUND($B$81*12,0)&gt;=1,$B$81&lt;=100,SUM($B$82)&gt;=0,SUM($B$82)&lt;=1,SUM($B$83)&gt;=0))),AND(ISNUMBER(B1149),B1149&gt;0,$B$171=1,NOT(ISNUMBER(D1149)))),1,0)</x:f>
        <x:v>0</x:v>
      </x:c>
      <x:c r="J1149" s="440" t="n">
        <x:f>IF(ISNUMBER(L1148),L1148,"")</x:f>
        <x:v>0</x:v>
      </x:c>
      <x:c r="K1149" s="440" t="n">
        <x:f>IF(AND(ISNUMBER(J1149),J1149=0),0,IF(AND($B$176=1,ISNUMBER(J1149)),MIN(J1149*(1+$B$87/12),IF($B$86=0,0,IF($B$87=0,$B$86/ROUND($B$88*12,0),$B$86*($B$87/12)/(1-(1+$B$87/12)^(-ROUND($B$88*12,0)))))),""))</x:f>
        <x:v>0</x:v>
      </x:c>
      <x:c r="L1149" s="440" t="n">
        <x:f>IF(ISNUMBER(K1149),IF(MAX(0,J1149*(1+SUM($B$87)/12)-K1149)&lt;MAX(0.0000001,$B$86*0.00000000001),0,MAX(0,J1149*(1+SUM($B$87)/12)-K1149)),"")</x:f>
        <x:v>0</x:v>
      </x:c>
      <x:c r="M1149" s="440" t="n">
        <x:f>IF(AND(ISNUMBER(D1149),ISNUMBER(K1149)),D1149+K1149,"")</x:f>
        <x:v>0</x:v>
      </x:c>
      <x:c r="N1149" s="440" t="n">
        <x:f>IF(AND(ISNUMBER(H1149),ISNUMBER(L1149)),H1149+L1149,"")</x:f>
        <x:v>0</x:v>
      </x:c>
    </x:row>
    <x:row r="1150" ht="22" customHeight="1">
      <x:c r="A1150" s="254" t="n">
        <x:f>750</x:f>
        <x:v>750</x:v>
      </x:c>
      <x:c r="B1150" s="440" t="n">
        <x:f>IF(ISNUMBER(H1149),H1149,"")</x:f>
        <x:v>0</x:v>
      </x:c>
      <x:c r="C1150" s="442" t="n">
        <x:f>IF(ISNUMBER(B1150),IF(AND(750&gt;$B$173,$B$78="Refinance",ISNUMBER($B$80),$B$80&gt;=0,$B$80&lt;=1,ROUND($B$81*12,0)&gt;=1,$B$81&lt;=100,SUM($B$82)&gt;=0,SUM($B$82)&lt;=1,SUM($B$83)&gt;=0),$B$80,IF(AND($B$175&gt;0,750&gt;$B$175,ISNUMBER($B$75)),$B$75,$B$61)),"")</x:f>
        <x:v>0.0625</x:v>
      </x:c>
      <x:c r="D1150" s="440" t="n">
        <x:f>IF(AND(ISNUMBER(B1150),B1150=0),0,IF(AND($B$171=1,I1149=0,ISNUMBER(C1150),ISNUMBER(IF(AND(750&lt;=$B$174,750&lt;=$B$173),B1150*C1150/12,IF(AND(750=$B$173+1,AND(750&gt;$B$173,$B$78="Refinance",ISNUMBER($B$80),$B$80&gt;=0,$B$80&lt;=1,ROUND($B$81*12,0)&gt;=1,$B$81&lt;=100,SUM($B$82)&gt;=0,SUM($B$82)&lt;=1,SUM($B$83)&gt;=0)),IF(B1150=0,0,IF(C1150=0,B1150/ROUND($B$81*12,0),B1150*(C1150/12)/(1-(1+C1150/12)^(-ROUND($B$81*12,0))))),IF(AND(NOT(AND(750&gt;$B$173,$B$78="Refinance",ISNUMBER($B$80),$B$80&gt;=0,$B$80&lt;=1,ROUND($B$81*12,0)&gt;=1,$B$81&lt;=100,SUM($B$82)&gt;=0,SUM($B$82)&lt;=1,SUM($B$83)&gt;=0)),OR(750=1,750=$B$174+1,AND($B$175&gt;0,750=$B$175+1))),IF(AND($B$170=1,$B$66&gt;0,OR($B$175=0,750&lt;=$B$175)),$B$66,IF($B$172-MAX(750-1,$B$174)&gt;0,IF(B1150=0,0,IF(C1150=0,B1150/($B$172-MAX(750-1,$B$174)),B1150*(C1150/12)/(1-(1+C1150/12)^(-($B$172-MAX(750-1,$B$174)))))),"")),D1149))))),IF(IF(AND(750&lt;=$B$174,750&lt;=$B$173),B1150*C1150/12,IF(AND(750=$B$173+1,AND(750&gt;$B$173,$B$78="Refinance",ISNUMBER($B$80),$B$80&gt;=0,$B$80&lt;=1,ROUND($B$81*12,0)&gt;=1,$B$81&lt;=100,SUM($B$82)&gt;=0,SUM($B$82)&lt;=1,SUM($B$83)&gt;=0)),IF(B1150=0,0,IF(C1150=0,B1150/ROUND($B$81*12,0),B1150*(C1150/12)/(1-(1+C1150/12)^(-ROUND($B$81*12,0))))),IF(AND(NOT(AND(750&gt;$B$173,$B$78="Refinance",ISNUMBER($B$80),$B$80&gt;=0,$B$80&lt;=1,ROUND($B$81*12,0)&gt;=1,$B$81&lt;=100,SUM($B$82)&gt;=0,SUM($B$82)&lt;=1,SUM($B$83)&gt;=0)),OR(750=1,750=$B$174+1,AND($B$175&gt;0,750=$B$175+1))),IF(AND($B$170=1,$B$66&gt;0,OR($B$175=0,750&lt;=$B$175)),$B$66,IF($B$172-MAX(750-1,$B$174)&gt;0,IF(B1150=0,0,IF(C1150=0,B1150/($B$172-MAX(750-1,$B$174)),B1150*(C1150/12)/(1-(1+C1150/12)^(-($B$172-MAX(750-1,$B$174)))))),"")),D1149)))+0.0000001&gt;=B1150*C1150/12,MIN(B1150*(1+C1150/12),IF(AND(750&lt;=$B$174,750&lt;=$B$173),B1150*C1150/12,IF(AND(750=$B$173+1,AND(750&gt;$B$173,$B$78="Refinance",ISNUMBER($B$80),$B$80&gt;=0,$B$80&lt;=1,ROUND($B$81*12,0)&gt;=1,$B$81&lt;=100,SUM($B$82)&gt;=0,SUM($B$82)&lt;=1,SUM($B$83)&gt;=0)),IF(B1150=0,0,IF(C1150=0,B1150/ROUND($B$81*12,0),B1150*(C1150/12)/(1-(1+C1150/12)^(-ROUND($B$81*12,0))))),IF(AND(NOT(AND(750&gt;$B$173,$B$78="Refinance",ISNUMBER($B$80),$B$80&gt;=0,$B$80&lt;=1,ROUND($B$81*12,0)&gt;=1,$B$81&lt;=100,SUM($B$82)&gt;=0,SUM($B$82)&lt;=1,SUM($B$83)&gt;=0)),OR(750=1,750=$B$174+1,AND($B$175&gt;0,750=$B$175+1))),IF(AND($B$170=1,$B$66&gt;0,OR($B$175=0,750&lt;=$B$175)),$B$66,IF($B$172-MAX(750-1,$B$174)&gt;0,IF(B1150=0,0,IF(C1150=0,B1150/($B$172-MAX(750-1,$B$174)),B1150*(C1150/12)/(1-(1+C1150/12)^(-($B$172-MAX(750-1,$B$174)))))),"")),D1149)))),""),""))</x:f>
        <x:v>0</x:v>
      </x:c>
      <x:c r="E1150" s="440" t="n">
        <x:f>IF(AND(750=$B$173,ISNUMBER(D1150)),IF(MAX(0,B1150*(1+C1150/12)-D1150)&lt;MAX(0.0000001,$E$17*0.00000000001),0,MAX(0,B1150*(1+C1150/12)-D1150)),0)</x:f>
        <x:v>0</x:v>
      </x:c>
      <x:c r="F1150" s="440" t="n">
        <x:f>IF($B$78="Cash payoff",E1150,0)</x:f>
        <x:v>0</x:v>
      </x:c>
      <x:c r="G1150" s="440" t="n">
        <x:f>IF(AND(E1150&gt;0,AND($B$78="Refinance",ISNUMBER($B$80),$B$80&gt;=0,$B$80&lt;=1,ROUND($B$81*12,0)&gt;=1,$B$81&lt;=100,SUM($B$82)&gt;=0,SUM($B$82)&lt;=1,SUM($B$83)&gt;=0)),E1150*SUM($B$82)+SUM($B$83),0)</x:f>
        <x:v>0</x:v>
      </x:c>
      <x:c r="H1150" s="440" t="n">
        <x:f>IF(ISNUMBER(D1150),IF(MAX(0,B1150*(1+C1150/12)-D1150-F1150)&lt;MAX(0.0000001,$E$17*0.00000000001),0,MAX(0,B1150*(1+C1150/12)-D1150-F1150)),IF(AND($B$171=1,I1149=1),B1150,""))</x:f>
        <x:v>0</x:v>
      </x:c>
      <x:c r="I1150" s="444" t="n">
        <x:f>IF(OR(I1149=1,AND(E1150&gt;0,$B$78&lt;&gt;"Cash payoff",NOT(AND($B$78="Refinance",ISNUMBER($B$80),$B$80&gt;=0,$B$80&lt;=1,ROUND($B$81*12,0)&gt;=1,$B$81&lt;=100,SUM($B$82)&gt;=0,SUM($B$82)&lt;=1,SUM($B$83)&gt;=0))),AND(ISNUMBER(B1150),B1150&gt;0,$B$171=1,NOT(ISNUMBER(D1150)))),1,0)</x:f>
        <x:v>0</x:v>
      </x:c>
      <x:c r="J1150" s="440" t="n">
        <x:f>IF(ISNUMBER(L1149),L1149,"")</x:f>
        <x:v>0</x:v>
      </x:c>
      <x:c r="K1150" s="440" t="n">
        <x:f>IF(AND(ISNUMBER(J1150),J1150=0),0,IF(AND($B$176=1,ISNUMBER(J1150)),MIN(J1150*(1+$B$87/12),IF($B$86=0,0,IF($B$87=0,$B$86/ROUND($B$88*12,0),$B$86*($B$87/12)/(1-(1+$B$87/12)^(-ROUND($B$88*12,0)))))),""))</x:f>
        <x:v>0</x:v>
      </x:c>
      <x:c r="L1150" s="440" t="n">
        <x:f>IF(ISNUMBER(K1150),IF(MAX(0,J1150*(1+SUM($B$87)/12)-K1150)&lt;MAX(0.0000001,$B$86*0.00000000001),0,MAX(0,J1150*(1+SUM($B$87)/12)-K1150)),"")</x:f>
        <x:v>0</x:v>
      </x:c>
      <x:c r="M1150" s="440" t="n">
        <x:f>IF(AND(ISNUMBER(D1150),ISNUMBER(K1150)),D1150+K1150,"")</x:f>
        <x:v>0</x:v>
      </x:c>
      <x:c r="N1150" s="440" t="n">
        <x:f>IF(AND(ISNUMBER(H1150),ISNUMBER(L1150)),H1150+L1150,"")</x:f>
        <x:v>0</x:v>
      </x:c>
    </x:row>
    <x:row r="1151" ht="22" customHeight="1">
      <x:c r="A1151" s="254" t="n">
        <x:f>751</x:f>
        <x:v>751</x:v>
      </x:c>
      <x:c r="B1151" s="440" t="n">
        <x:f>IF(ISNUMBER(H1150),H1150,"")</x:f>
        <x:v>0</x:v>
      </x:c>
      <x:c r="C1151" s="442" t="n">
        <x:f>IF(ISNUMBER(B1151),IF(AND(751&gt;$B$173,$B$78="Refinance",ISNUMBER($B$80),$B$80&gt;=0,$B$80&lt;=1,ROUND($B$81*12,0)&gt;=1,$B$81&lt;=100,SUM($B$82)&gt;=0,SUM($B$82)&lt;=1,SUM($B$83)&gt;=0),$B$80,IF(AND($B$175&gt;0,751&gt;$B$175,ISNUMBER($B$75)),$B$75,$B$61)),"")</x:f>
        <x:v>0.0625</x:v>
      </x:c>
      <x:c r="D1151" s="440" t="n">
        <x:f>IF(AND(ISNUMBER(B1151),B1151=0),0,IF(AND($B$171=1,I1150=0,ISNUMBER(C1151),ISNUMBER(IF(AND(751&lt;=$B$174,751&lt;=$B$173),B1151*C1151/12,IF(AND(751=$B$173+1,AND(751&gt;$B$173,$B$78="Refinance",ISNUMBER($B$80),$B$80&gt;=0,$B$80&lt;=1,ROUND($B$81*12,0)&gt;=1,$B$81&lt;=100,SUM($B$82)&gt;=0,SUM($B$82)&lt;=1,SUM($B$83)&gt;=0)),IF(B1151=0,0,IF(C1151=0,B1151/ROUND($B$81*12,0),B1151*(C1151/12)/(1-(1+C1151/12)^(-ROUND($B$81*12,0))))),IF(AND(NOT(AND(751&gt;$B$173,$B$78="Refinance",ISNUMBER($B$80),$B$80&gt;=0,$B$80&lt;=1,ROUND($B$81*12,0)&gt;=1,$B$81&lt;=100,SUM($B$82)&gt;=0,SUM($B$82)&lt;=1,SUM($B$83)&gt;=0)),OR(751=1,751=$B$174+1,AND($B$175&gt;0,751=$B$175+1))),IF(AND($B$170=1,$B$66&gt;0,OR($B$175=0,751&lt;=$B$175)),$B$66,IF($B$172-MAX(751-1,$B$174)&gt;0,IF(B1151=0,0,IF(C1151=0,B1151/($B$172-MAX(751-1,$B$174)),B1151*(C1151/12)/(1-(1+C1151/12)^(-($B$172-MAX(751-1,$B$174)))))),"")),D1150))))),IF(IF(AND(751&lt;=$B$174,751&lt;=$B$173),B1151*C1151/12,IF(AND(751=$B$173+1,AND(751&gt;$B$173,$B$78="Refinance",ISNUMBER($B$80),$B$80&gt;=0,$B$80&lt;=1,ROUND($B$81*12,0)&gt;=1,$B$81&lt;=100,SUM($B$82)&gt;=0,SUM($B$82)&lt;=1,SUM($B$83)&gt;=0)),IF(B1151=0,0,IF(C1151=0,B1151/ROUND($B$81*12,0),B1151*(C1151/12)/(1-(1+C1151/12)^(-ROUND($B$81*12,0))))),IF(AND(NOT(AND(751&gt;$B$173,$B$78="Refinance",ISNUMBER($B$80),$B$80&gt;=0,$B$80&lt;=1,ROUND($B$81*12,0)&gt;=1,$B$81&lt;=100,SUM($B$82)&gt;=0,SUM($B$82)&lt;=1,SUM($B$83)&gt;=0)),OR(751=1,751=$B$174+1,AND($B$175&gt;0,751=$B$175+1))),IF(AND($B$170=1,$B$66&gt;0,OR($B$175=0,751&lt;=$B$175)),$B$66,IF($B$172-MAX(751-1,$B$174)&gt;0,IF(B1151=0,0,IF(C1151=0,B1151/($B$172-MAX(751-1,$B$174)),B1151*(C1151/12)/(1-(1+C1151/12)^(-($B$172-MAX(751-1,$B$174)))))),"")),D1150)))+0.0000001&gt;=B1151*C1151/12,MIN(B1151*(1+C1151/12),IF(AND(751&lt;=$B$174,751&lt;=$B$173),B1151*C1151/12,IF(AND(751=$B$173+1,AND(751&gt;$B$173,$B$78="Refinance",ISNUMBER($B$80),$B$80&gt;=0,$B$80&lt;=1,ROUND($B$81*12,0)&gt;=1,$B$81&lt;=100,SUM($B$82)&gt;=0,SUM($B$82)&lt;=1,SUM($B$83)&gt;=0)),IF(B1151=0,0,IF(C1151=0,B1151/ROUND($B$81*12,0),B1151*(C1151/12)/(1-(1+C1151/12)^(-ROUND($B$81*12,0))))),IF(AND(NOT(AND(751&gt;$B$173,$B$78="Refinance",ISNUMBER($B$80),$B$80&gt;=0,$B$80&lt;=1,ROUND($B$81*12,0)&gt;=1,$B$81&lt;=100,SUM($B$82)&gt;=0,SUM($B$82)&lt;=1,SUM($B$83)&gt;=0)),OR(751=1,751=$B$174+1,AND($B$175&gt;0,751=$B$175+1))),IF(AND($B$170=1,$B$66&gt;0,OR($B$175=0,751&lt;=$B$175)),$B$66,IF($B$172-MAX(751-1,$B$174)&gt;0,IF(B1151=0,0,IF(C1151=0,B1151/($B$172-MAX(751-1,$B$174)),B1151*(C1151/12)/(1-(1+C1151/12)^(-($B$172-MAX(751-1,$B$174)))))),"")),D1150)))),""),""))</x:f>
        <x:v>0</x:v>
      </x:c>
      <x:c r="E1151" s="440" t="n">
        <x:f>IF(AND(751=$B$173,ISNUMBER(D1151)),IF(MAX(0,B1151*(1+C1151/12)-D1151)&lt;MAX(0.0000001,$E$17*0.00000000001),0,MAX(0,B1151*(1+C1151/12)-D1151)),0)</x:f>
        <x:v>0</x:v>
      </x:c>
      <x:c r="F1151" s="440" t="n">
        <x:f>IF($B$78="Cash payoff",E1151,0)</x:f>
        <x:v>0</x:v>
      </x:c>
      <x:c r="G1151" s="440" t="n">
        <x:f>IF(AND(E1151&gt;0,AND($B$78="Refinance",ISNUMBER($B$80),$B$80&gt;=0,$B$80&lt;=1,ROUND($B$81*12,0)&gt;=1,$B$81&lt;=100,SUM($B$82)&gt;=0,SUM($B$82)&lt;=1,SUM($B$83)&gt;=0)),E1151*SUM($B$82)+SUM($B$83),0)</x:f>
        <x:v>0</x:v>
      </x:c>
      <x:c r="H1151" s="440" t="n">
        <x:f>IF(ISNUMBER(D1151),IF(MAX(0,B1151*(1+C1151/12)-D1151-F1151)&lt;MAX(0.0000001,$E$17*0.00000000001),0,MAX(0,B1151*(1+C1151/12)-D1151-F1151)),IF(AND($B$171=1,I1150=1),B1151,""))</x:f>
        <x:v>0</x:v>
      </x:c>
      <x:c r="I1151" s="444" t="n">
        <x:f>IF(OR(I1150=1,AND(E1151&gt;0,$B$78&lt;&gt;"Cash payoff",NOT(AND($B$78="Refinance",ISNUMBER($B$80),$B$80&gt;=0,$B$80&lt;=1,ROUND($B$81*12,0)&gt;=1,$B$81&lt;=100,SUM($B$82)&gt;=0,SUM($B$82)&lt;=1,SUM($B$83)&gt;=0))),AND(ISNUMBER(B1151),B1151&gt;0,$B$171=1,NOT(ISNUMBER(D1151)))),1,0)</x:f>
        <x:v>0</x:v>
      </x:c>
      <x:c r="J1151" s="440" t="n">
        <x:f>IF(ISNUMBER(L1150),L1150,"")</x:f>
        <x:v>0</x:v>
      </x:c>
      <x:c r="K1151" s="440" t="n">
        <x:f>IF(AND(ISNUMBER(J1151),J1151=0),0,IF(AND($B$176=1,ISNUMBER(J1151)),MIN(J1151*(1+$B$87/12),IF($B$86=0,0,IF($B$87=0,$B$86/ROUND($B$88*12,0),$B$86*($B$87/12)/(1-(1+$B$87/12)^(-ROUND($B$88*12,0)))))),""))</x:f>
        <x:v>0</x:v>
      </x:c>
      <x:c r="L1151" s="440" t="n">
        <x:f>IF(ISNUMBER(K1151),IF(MAX(0,J1151*(1+SUM($B$87)/12)-K1151)&lt;MAX(0.0000001,$B$86*0.00000000001),0,MAX(0,J1151*(1+SUM($B$87)/12)-K1151)),"")</x:f>
        <x:v>0</x:v>
      </x:c>
      <x:c r="M1151" s="440" t="n">
        <x:f>IF(AND(ISNUMBER(D1151),ISNUMBER(K1151)),D1151+K1151,"")</x:f>
        <x:v>0</x:v>
      </x:c>
      <x:c r="N1151" s="440" t="n">
        <x:f>IF(AND(ISNUMBER(H1151),ISNUMBER(L1151)),H1151+L1151,"")</x:f>
        <x:v>0</x:v>
      </x:c>
    </x:row>
    <x:row r="1152" ht="22" customHeight="1">
      <x:c r="A1152" s="254" t="n">
        <x:f>752</x:f>
        <x:v>752</x:v>
      </x:c>
      <x:c r="B1152" s="440" t="n">
        <x:f>IF(ISNUMBER(H1151),H1151,"")</x:f>
        <x:v>0</x:v>
      </x:c>
      <x:c r="C1152" s="442" t="n">
        <x:f>IF(ISNUMBER(B1152),IF(AND(752&gt;$B$173,$B$78="Refinance",ISNUMBER($B$80),$B$80&gt;=0,$B$80&lt;=1,ROUND($B$81*12,0)&gt;=1,$B$81&lt;=100,SUM($B$82)&gt;=0,SUM($B$82)&lt;=1,SUM($B$83)&gt;=0),$B$80,IF(AND($B$175&gt;0,752&gt;$B$175,ISNUMBER($B$75)),$B$75,$B$61)),"")</x:f>
        <x:v>0.0625</x:v>
      </x:c>
      <x:c r="D1152" s="440" t="n">
        <x:f>IF(AND(ISNUMBER(B1152),B1152=0),0,IF(AND($B$171=1,I1151=0,ISNUMBER(C1152),ISNUMBER(IF(AND(752&lt;=$B$174,752&lt;=$B$173),B1152*C1152/12,IF(AND(752=$B$173+1,AND(752&gt;$B$173,$B$78="Refinance",ISNUMBER($B$80),$B$80&gt;=0,$B$80&lt;=1,ROUND($B$81*12,0)&gt;=1,$B$81&lt;=100,SUM($B$82)&gt;=0,SUM($B$82)&lt;=1,SUM($B$83)&gt;=0)),IF(B1152=0,0,IF(C1152=0,B1152/ROUND($B$81*12,0),B1152*(C1152/12)/(1-(1+C1152/12)^(-ROUND($B$81*12,0))))),IF(AND(NOT(AND(752&gt;$B$173,$B$78="Refinance",ISNUMBER($B$80),$B$80&gt;=0,$B$80&lt;=1,ROUND($B$81*12,0)&gt;=1,$B$81&lt;=100,SUM($B$82)&gt;=0,SUM($B$82)&lt;=1,SUM($B$83)&gt;=0)),OR(752=1,752=$B$174+1,AND($B$175&gt;0,752=$B$175+1))),IF(AND($B$170=1,$B$66&gt;0,OR($B$175=0,752&lt;=$B$175)),$B$66,IF($B$172-MAX(752-1,$B$174)&gt;0,IF(B1152=0,0,IF(C1152=0,B1152/($B$172-MAX(752-1,$B$174)),B1152*(C1152/12)/(1-(1+C1152/12)^(-($B$172-MAX(752-1,$B$174)))))),"")),D1151))))),IF(IF(AND(752&lt;=$B$174,752&lt;=$B$173),B1152*C1152/12,IF(AND(752=$B$173+1,AND(752&gt;$B$173,$B$78="Refinance",ISNUMBER($B$80),$B$80&gt;=0,$B$80&lt;=1,ROUND($B$81*12,0)&gt;=1,$B$81&lt;=100,SUM($B$82)&gt;=0,SUM($B$82)&lt;=1,SUM($B$83)&gt;=0)),IF(B1152=0,0,IF(C1152=0,B1152/ROUND($B$81*12,0),B1152*(C1152/12)/(1-(1+C1152/12)^(-ROUND($B$81*12,0))))),IF(AND(NOT(AND(752&gt;$B$173,$B$78="Refinance",ISNUMBER($B$80),$B$80&gt;=0,$B$80&lt;=1,ROUND($B$81*12,0)&gt;=1,$B$81&lt;=100,SUM($B$82)&gt;=0,SUM($B$82)&lt;=1,SUM($B$83)&gt;=0)),OR(752=1,752=$B$174+1,AND($B$175&gt;0,752=$B$175+1))),IF(AND($B$170=1,$B$66&gt;0,OR($B$175=0,752&lt;=$B$175)),$B$66,IF($B$172-MAX(752-1,$B$174)&gt;0,IF(B1152=0,0,IF(C1152=0,B1152/($B$172-MAX(752-1,$B$174)),B1152*(C1152/12)/(1-(1+C1152/12)^(-($B$172-MAX(752-1,$B$174)))))),"")),D1151)))+0.0000001&gt;=B1152*C1152/12,MIN(B1152*(1+C1152/12),IF(AND(752&lt;=$B$174,752&lt;=$B$173),B1152*C1152/12,IF(AND(752=$B$173+1,AND(752&gt;$B$173,$B$78="Refinance",ISNUMBER($B$80),$B$80&gt;=0,$B$80&lt;=1,ROUND($B$81*12,0)&gt;=1,$B$81&lt;=100,SUM($B$82)&gt;=0,SUM($B$82)&lt;=1,SUM($B$83)&gt;=0)),IF(B1152=0,0,IF(C1152=0,B1152/ROUND($B$81*12,0),B1152*(C1152/12)/(1-(1+C1152/12)^(-ROUND($B$81*12,0))))),IF(AND(NOT(AND(752&gt;$B$173,$B$78="Refinance",ISNUMBER($B$80),$B$80&gt;=0,$B$80&lt;=1,ROUND($B$81*12,0)&gt;=1,$B$81&lt;=100,SUM($B$82)&gt;=0,SUM($B$82)&lt;=1,SUM($B$83)&gt;=0)),OR(752=1,752=$B$174+1,AND($B$175&gt;0,752=$B$175+1))),IF(AND($B$170=1,$B$66&gt;0,OR($B$175=0,752&lt;=$B$175)),$B$66,IF($B$172-MAX(752-1,$B$174)&gt;0,IF(B1152=0,0,IF(C1152=0,B1152/($B$172-MAX(752-1,$B$174)),B1152*(C1152/12)/(1-(1+C1152/12)^(-($B$172-MAX(752-1,$B$174)))))),"")),D1151)))),""),""))</x:f>
        <x:v>0</x:v>
      </x:c>
      <x:c r="E1152" s="440" t="n">
        <x:f>IF(AND(752=$B$173,ISNUMBER(D1152)),IF(MAX(0,B1152*(1+C1152/12)-D1152)&lt;MAX(0.0000001,$E$17*0.00000000001),0,MAX(0,B1152*(1+C1152/12)-D1152)),0)</x:f>
        <x:v>0</x:v>
      </x:c>
      <x:c r="F1152" s="440" t="n">
        <x:f>IF($B$78="Cash payoff",E1152,0)</x:f>
        <x:v>0</x:v>
      </x:c>
      <x:c r="G1152" s="440" t="n">
        <x:f>IF(AND(E1152&gt;0,AND($B$78="Refinance",ISNUMBER($B$80),$B$80&gt;=0,$B$80&lt;=1,ROUND($B$81*12,0)&gt;=1,$B$81&lt;=100,SUM($B$82)&gt;=0,SUM($B$82)&lt;=1,SUM($B$83)&gt;=0)),E1152*SUM($B$82)+SUM($B$83),0)</x:f>
        <x:v>0</x:v>
      </x:c>
      <x:c r="H1152" s="440" t="n">
        <x:f>IF(ISNUMBER(D1152),IF(MAX(0,B1152*(1+C1152/12)-D1152-F1152)&lt;MAX(0.0000001,$E$17*0.00000000001),0,MAX(0,B1152*(1+C1152/12)-D1152-F1152)),IF(AND($B$171=1,I1151=1),B1152,""))</x:f>
        <x:v>0</x:v>
      </x:c>
      <x:c r="I1152" s="444" t="n">
        <x:f>IF(OR(I1151=1,AND(E1152&gt;0,$B$78&lt;&gt;"Cash payoff",NOT(AND($B$78="Refinance",ISNUMBER($B$80),$B$80&gt;=0,$B$80&lt;=1,ROUND($B$81*12,0)&gt;=1,$B$81&lt;=100,SUM($B$82)&gt;=0,SUM($B$82)&lt;=1,SUM($B$83)&gt;=0))),AND(ISNUMBER(B1152),B1152&gt;0,$B$171=1,NOT(ISNUMBER(D1152)))),1,0)</x:f>
        <x:v>0</x:v>
      </x:c>
      <x:c r="J1152" s="440" t="n">
        <x:f>IF(ISNUMBER(L1151),L1151,"")</x:f>
        <x:v>0</x:v>
      </x:c>
      <x:c r="K1152" s="440" t="n">
        <x:f>IF(AND(ISNUMBER(J1152),J1152=0),0,IF(AND($B$176=1,ISNUMBER(J1152)),MIN(J1152*(1+$B$87/12),IF($B$86=0,0,IF($B$87=0,$B$86/ROUND($B$88*12,0),$B$86*($B$87/12)/(1-(1+$B$87/12)^(-ROUND($B$88*12,0)))))),""))</x:f>
        <x:v>0</x:v>
      </x:c>
      <x:c r="L1152" s="440" t="n">
        <x:f>IF(ISNUMBER(K1152),IF(MAX(0,J1152*(1+SUM($B$87)/12)-K1152)&lt;MAX(0.0000001,$B$86*0.00000000001),0,MAX(0,J1152*(1+SUM($B$87)/12)-K1152)),"")</x:f>
        <x:v>0</x:v>
      </x:c>
      <x:c r="M1152" s="440" t="n">
        <x:f>IF(AND(ISNUMBER(D1152),ISNUMBER(K1152)),D1152+K1152,"")</x:f>
        <x:v>0</x:v>
      </x:c>
      <x:c r="N1152" s="440" t="n">
        <x:f>IF(AND(ISNUMBER(H1152),ISNUMBER(L1152)),H1152+L1152,"")</x:f>
        <x:v>0</x:v>
      </x:c>
    </x:row>
    <x:row r="1153" ht="22" customHeight="1">
      <x:c r="A1153" s="254" t="n">
        <x:f>753</x:f>
        <x:v>753</x:v>
      </x:c>
      <x:c r="B1153" s="440" t="n">
        <x:f>IF(ISNUMBER(H1152),H1152,"")</x:f>
        <x:v>0</x:v>
      </x:c>
      <x:c r="C1153" s="442" t="n">
        <x:f>IF(ISNUMBER(B1153),IF(AND(753&gt;$B$173,$B$78="Refinance",ISNUMBER($B$80),$B$80&gt;=0,$B$80&lt;=1,ROUND($B$81*12,0)&gt;=1,$B$81&lt;=100,SUM($B$82)&gt;=0,SUM($B$82)&lt;=1,SUM($B$83)&gt;=0),$B$80,IF(AND($B$175&gt;0,753&gt;$B$175,ISNUMBER($B$75)),$B$75,$B$61)),"")</x:f>
        <x:v>0.0625</x:v>
      </x:c>
      <x:c r="D1153" s="440" t="n">
        <x:f>IF(AND(ISNUMBER(B1153),B1153=0),0,IF(AND($B$171=1,I1152=0,ISNUMBER(C1153),ISNUMBER(IF(AND(753&lt;=$B$174,753&lt;=$B$173),B1153*C1153/12,IF(AND(753=$B$173+1,AND(753&gt;$B$173,$B$78="Refinance",ISNUMBER($B$80),$B$80&gt;=0,$B$80&lt;=1,ROUND($B$81*12,0)&gt;=1,$B$81&lt;=100,SUM($B$82)&gt;=0,SUM($B$82)&lt;=1,SUM($B$83)&gt;=0)),IF(B1153=0,0,IF(C1153=0,B1153/ROUND($B$81*12,0),B1153*(C1153/12)/(1-(1+C1153/12)^(-ROUND($B$81*12,0))))),IF(AND(NOT(AND(753&gt;$B$173,$B$78="Refinance",ISNUMBER($B$80),$B$80&gt;=0,$B$80&lt;=1,ROUND($B$81*12,0)&gt;=1,$B$81&lt;=100,SUM($B$82)&gt;=0,SUM($B$82)&lt;=1,SUM($B$83)&gt;=0)),OR(753=1,753=$B$174+1,AND($B$175&gt;0,753=$B$175+1))),IF(AND($B$170=1,$B$66&gt;0,OR($B$175=0,753&lt;=$B$175)),$B$66,IF($B$172-MAX(753-1,$B$174)&gt;0,IF(B1153=0,0,IF(C1153=0,B1153/($B$172-MAX(753-1,$B$174)),B1153*(C1153/12)/(1-(1+C1153/12)^(-($B$172-MAX(753-1,$B$174)))))),"")),D1152))))),IF(IF(AND(753&lt;=$B$174,753&lt;=$B$173),B1153*C1153/12,IF(AND(753=$B$173+1,AND(753&gt;$B$173,$B$78="Refinance",ISNUMBER($B$80),$B$80&gt;=0,$B$80&lt;=1,ROUND($B$81*12,0)&gt;=1,$B$81&lt;=100,SUM($B$82)&gt;=0,SUM($B$82)&lt;=1,SUM($B$83)&gt;=0)),IF(B1153=0,0,IF(C1153=0,B1153/ROUND($B$81*12,0),B1153*(C1153/12)/(1-(1+C1153/12)^(-ROUND($B$81*12,0))))),IF(AND(NOT(AND(753&gt;$B$173,$B$78="Refinance",ISNUMBER($B$80),$B$80&gt;=0,$B$80&lt;=1,ROUND($B$81*12,0)&gt;=1,$B$81&lt;=100,SUM($B$82)&gt;=0,SUM($B$82)&lt;=1,SUM($B$83)&gt;=0)),OR(753=1,753=$B$174+1,AND($B$175&gt;0,753=$B$175+1))),IF(AND($B$170=1,$B$66&gt;0,OR($B$175=0,753&lt;=$B$175)),$B$66,IF($B$172-MAX(753-1,$B$174)&gt;0,IF(B1153=0,0,IF(C1153=0,B1153/($B$172-MAX(753-1,$B$174)),B1153*(C1153/12)/(1-(1+C1153/12)^(-($B$172-MAX(753-1,$B$174)))))),"")),D1152)))+0.0000001&gt;=B1153*C1153/12,MIN(B1153*(1+C1153/12),IF(AND(753&lt;=$B$174,753&lt;=$B$173),B1153*C1153/12,IF(AND(753=$B$173+1,AND(753&gt;$B$173,$B$78="Refinance",ISNUMBER($B$80),$B$80&gt;=0,$B$80&lt;=1,ROUND($B$81*12,0)&gt;=1,$B$81&lt;=100,SUM($B$82)&gt;=0,SUM($B$82)&lt;=1,SUM($B$83)&gt;=0)),IF(B1153=0,0,IF(C1153=0,B1153/ROUND($B$81*12,0),B1153*(C1153/12)/(1-(1+C1153/12)^(-ROUND($B$81*12,0))))),IF(AND(NOT(AND(753&gt;$B$173,$B$78="Refinance",ISNUMBER($B$80),$B$80&gt;=0,$B$80&lt;=1,ROUND($B$81*12,0)&gt;=1,$B$81&lt;=100,SUM($B$82)&gt;=0,SUM($B$82)&lt;=1,SUM($B$83)&gt;=0)),OR(753=1,753=$B$174+1,AND($B$175&gt;0,753=$B$175+1))),IF(AND($B$170=1,$B$66&gt;0,OR($B$175=0,753&lt;=$B$175)),$B$66,IF($B$172-MAX(753-1,$B$174)&gt;0,IF(B1153=0,0,IF(C1153=0,B1153/($B$172-MAX(753-1,$B$174)),B1153*(C1153/12)/(1-(1+C1153/12)^(-($B$172-MAX(753-1,$B$174)))))),"")),D1152)))),""),""))</x:f>
        <x:v>0</x:v>
      </x:c>
      <x:c r="E1153" s="440" t="n">
        <x:f>IF(AND(753=$B$173,ISNUMBER(D1153)),IF(MAX(0,B1153*(1+C1153/12)-D1153)&lt;MAX(0.0000001,$E$17*0.00000000001),0,MAX(0,B1153*(1+C1153/12)-D1153)),0)</x:f>
        <x:v>0</x:v>
      </x:c>
      <x:c r="F1153" s="440" t="n">
        <x:f>IF($B$78="Cash payoff",E1153,0)</x:f>
        <x:v>0</x:v>
      </x:c>
      <x:c r="G1153" s="440" t="n">
        <x:f>IF(AND(E1153&gt;0,AND($B$78="Refinance",ISNUMBER($B$80),$B$80&gt;=0,$B$80&lt;=1,ROUND($B$81*12,0)&gt;=1,$B$81&lt;=100,SUM($B$82)&gt;=0,SUM($B$82)&lt;=1,SUM($B$83)&gt;=0)),E1153*SUM($B$82)+SUM($B$83),0)</x:f>
        <x:v>0</x:v>
      </x:c>
      <x:c r="H1153" s="440" t="n">
        <x:f>IF(ISNUMBER(D1153),IF(MAX(0,B1153*(1+C1153/12)-D1153-F1153)&lt;MAX(0.0000001,$E$17*0.00000000001),0,MAX(0,B1153*(1+C1153/12)-D1153-F1153)),IF(AND($B$171=1,I1152=1),B1153,""))</x:f>
        <x:v>0</x:v>
      </x:c>
      <x:c r="I1153" s="444" t="n">
        <x:f>IF(OR(I1152=1,AND(E1153&gt;0,$B$78&lt;&gt;"Cash payoff",NOT(AND($B$78="Refinance",ISNUMBER($B$80),$B$80&gt;=0,$B$80&lt;=1,ROUND($B$81*12,0)&gt;=1,$B$81&lt;=100,SUM($B$82)&gt;=0,SUM($B$82)&lt;=1,SUM($B$83)&gt;=0))),AND(ISNUMBER(B1153),B1153&gt;0,$B$171=1,NOT(ISNUMBER(D1153)))),1,0)</x:f>
        <x:v>0</x:v>
      </x:c>
      <x:c r="J1153" s="440" t="n">
        <x:f>IF(ISNUMBER(L1152),L1152,"")</x:f>
        <x:v>0</x:v>
      </x:c>
      <x:c r="K1153" s="440" t="n">
        <x:f>IF(AND(ISNUMBER(J1153),J1153=0),0,IF(AND($B$176=1,ISNUMBER(J1153)),MIN(J1153*(1+$B$87/12),IF($B$86=0,0,IF($B$87=0,$B$86/ROUND($B$88*12,0),$B$86*($B$87/12)/(1-(1+$B$87/12)^(-ROUND($B$88*12,0)))))),""))</x:f>
        <x:v>0</x:v>
      </x:c>
      <x:c r="L1153" s="440" t="n">
        <x:f>IF(ISNUMBER(K1153),IF(MAX(0,J1153*(1+SUM($B$87)/12)-K1153)&lt;MAX(0.0000001,$B$86*0.00000000001),0,MAX(0,J1153*(1+SUM($B$87)/12)-K1153)),"")</x:f>
        <x:v>0</x:v>
      </x:c>
      <x:c r="M1153" s="440" t="n">
        <x:f>IF(AND(ISNUMBER(D1153),ISNUMBER(K1153)),D1153+K1153,"")</x:f>
        <x:v>0</x:v>
      </x:c>
      <x:c r="N1153" s="440" t="n">
        <x:f>IF(AND(ISNUMBER(H1153),ISNUMBER(L1153)),H1153+L1153,"")</x:f>
        <x:v>0</x:v>
      </x:c>
    </x:row>
    <x:row r="1154" ht="22" customHeight="1">
      <x:c r="A1154" s="254" t="n">
        <x:f>754</x:f>
        <x:v>754</x:v>
      </x:c>
      <x:c r="B1154" s="440" t="n">
        <x:f>IF(ISNUMBER(H1153),H1153,"")</x:f>
        <x:v>0</x:v>
      </x:c>
      <x:c r="C1154" s="442" t="n">
        <x:f>IF(ISNUMBER(B1154),IF(AND(754&gt;$B$173,$B$78="Refinance",ISNUMBER($B$80),$B$80&gt;=0,$B$80&lt;=1,ROUND($B$81*12,0)&gt;=1,$B$81&lt;=100,SUM($B$82)&gt;=0,SUM($B$82)&lt;=1,SUM($B$83)&gt;=0),$B$80,IF(AND($B$175&gt;0,754&gt;$B$175,ISNUMBER($B$75)),$B$75,$B$61)),"")</x:f>
        <x:v>0.0625</x:v>
      </x:c>
      <x:c r="D1154" s="440" t="n">
        <x:f>IF(AND(ISNUMBER(B1154),B1154=0),0,IF(AND($B$171=1,I1153=0,ISNUMBER(C1154),ISNUMBER(IF(AND(754&lt;=$B$174,754&lt;=$B$173),B1154*C1154/12,IF(AND(754=$B$173+1,AND(754&gt;$B$173,$B$78="Refinance",ISNUMBER($B$80),$B$80&gt;=0,$B$80&lt;=1,ROUND($B$81*12,0)&gt;=1,$B$81&lt;=100,SUM($B$82)&gt;=0,SUM($B$82)&lt;=1,SUM($B$83)&gt;=0)),IF(B1154=0,0,IF(C1154=0,B1154/ROUND($B$81*12,0),B1154*(C1154/12)/(1-(1+C1154/12)^(-ROUND($B$81*12,0))))),IF(AND(NOT(AND(754&gt;$B$173,$B$78="Refinance",ISNUMBER($B$80),$B$80&gt;=0,$B$80&lt;=1,ROUND($B$81*12,0)&gt;=1,$B$81&lt;=100,SUM($B$82)&gt;=0,SUM($B$82)&lt;=1,SUM($B$83)&gt;=0)),OR(754=1,754=$B$174+1,AND($B$175&gt;0,754=$B$175+1))),IF(AND($B$170=1,$B$66&gt;0,OR($B$175=0,754&lt;=$B$175)),$B$66,IF($B$172-MAX(754-1,$B$174)&gt;0,IF(B1154=0,0,IF(C1154=0,B1154/($B$172-MAX(754-1,$B$174)),B1154*(C1154/12)/(1-(1+C1154/12)^(-($B$172-MAX(754-1,$B$174)))))),"")),D1153))))),IF(IF(AND(754&lt;=$B$174,754&lt;=$B$173),B1154*C1154/12,IF(AND(754=$B$173+1,AND(754&gt;$B$173,$B$78="Refinance",ISNUMBER($B$80),$B$80&gt;=0,$B$80&lt;=1,ROUND($B$81*12,0)&gt;=1,$B$81&lt;=100,SUM($B$82)&gt;=0,SUM($B$82)&lt;=1,SUM($B$83)&gt;=0)),IF(B1154=0,0,IF(C1154=0,B1154/ROUND($B$81*12,0),B1154*(C1154/12)/(1-(1+C1154/12)^(-ROUND($B$81*12,0))))),IF(AND(NOT(AND(754&gt;$B$173,$B$78="Refinance",ISNUMBER($B$80),$B$80&gt;=0,$B$80&lt;=1,ROUND($B$81*12,0)&gt;=1,$B$81&lt;=100,SUM($B$82)&gt;=0,SUM($B$82)&lt;=1,SUM($B$83)&gt;=0)),OR(754=1,754=$B$174+1,AND($B$175&gt;0,754=$B$175+1))),IF(AND($B$170=1,$B$66&gt;0,OR($B$175=0,754&lt;=$B$175)),$B$66,IF($B$172-MAX(754-1,$B$174)&gt;0,IF(B1154=0,0,IF(C1154=0,B1154/($B$172-MAX(754-1,$B$174)),B1154*(C1154/12)/(1-(1+C1154/12)^(-($B$172-MAX(754-1,$B$174)))))),"")),D1153)))+0.0000001&gt;=B1154*C1154/12,MIN(B1154*(1+C1154/12),IF(AND(754&lt;=$B$174,754&lt;=$B$173),B1154*C1154/12,IF(AND(754=$B$173+1,AND(754&gt;$B$173,$B$78="Refinance",ISNUMBER($B$80),$B$80&gt;=0,$B$80&lt;=1,ROUND($B$81*12,0)&gt;=1,$B$81&lt;=100,SUM($B$82)&gt;=0,SUM($B$82)&lt;=1,SUM($B$83)&gt;=0)),IF(B1154=0,0,IF(C1154=0,B1154/ROUND($B$81*12,0),B1154*(C1154/12)/(1-(1+C1154/12)^(-ROUND($B$81*12,0))))),IF(AND(NOT(AND(754&gt;$B$173,$B$78="Refinance",ISNUMBER($B$80),$B$80&gt;=0,$B$80&lt;=1,ROUND($B$81*12,0)&gt;=1,$B$81&lt;=100,SUM($B$82)&gt;=0,SUM($B$82)&lt;=1,SUM($B$83)&gt;=0)),OR(754=1,754=$B$174+1,AND($B$175&gt;0,754=$B$175+1))),IF(AND($B$170=1,$B$66&gt;0,OR($B$175=0,754&lt;=$B$175)),$B$66,IF($B$172-MAX(754-1,$B$174)&gt;0,IF(B1154=0,0,IF(C1154=0,B1154/($B$172-MAX(754-1,$B$174)),B1154*(C1154/12)/(1-(1+C1154/12)^(-($B$172-MAX(754-1,$B$174)))))),"")),D1153)))),""),""))</x:f>
        <x:v>0</x:v>
      </x:c>
      <x:c r="E1154" s="440" t="n">
        <x:f>IF(AND(754=$B$173,ISNUMBER(D1154)),IF(MAX(0,B1154*(1+C1154/12)-D1154)&lt;MAX(0.0000001,$E$17*0.00000000001),0,MAX(0,B1154*(1+C1154/12)-D1154)),0)</x:f>
        <x:v>0</x:v>
      </x:c>
      <x:c r="F1154" s="440" t="n">
        <x:f>IF($B$78="Cash payoff",E1154,0)</x:f>
        <x:v>0</x:v>
      </x:c>
      <x:c r="G1154" s="440" t="n">
        <x:f>IF(AND(E1154&gt;0,AND($B$78="Refinance",ISNUMBER($B$80),$B$80&gt;=0,$B$80&lt;=1,ROUND($B$81*12,0)&gt;=1,$B$81&lt;=100,SUM($B$82)&gt;=0,SUM($B$82)&lt;=1,SUM($B$83)&gt;=0)),E1154*SUM($B$82)+SUM($B$83),0)</x:f>
        <x:v>0</x:v>
      </x:c>
      <x:c r="H1154" s="440" t="n">
        <x:f>IF(ISNUMBER(D1154),IF(MAX(0,B1154*(1+C1154/12)-D1154-F1154)&lt;MAX(0.0000001,$E$17*0.00000000001),0,MAX(0,B1154*(1+C1154/12)-D1154-F1154)),IF(AND($B$171=1,I1153=1),B1154,""))</x:f>
        <x:v>0</x:v>
      </x:c>
      <x:c r="I1154" s="444" t="n">
        <x:f>IF(OR(I1153=1,AND(E1154&gt;0,$B$78&lt;&gt;"Cash payoff",NOT(AND($B$78="Refinance",ISNUMBER($B$80),$B$80&gt;=0,$B$80&lt;=1,ROUND($B$81*12,0)&gt;=1,$B$81&lt;=100,SUM($B$82)&gt;=0,SUM($B$82)&lt;=1,SUM($B$83)&gt;=0))),AND(ISNUMBER(B1154),B1154&gt;0,$B$171=1,NOT(ISNUMBER(D1154)))),1,0)</x:f>
        <x:v>0</x:v>
      </x:c>
      <x:c r="J1154" s="440" t="n">
        <x:f>IF(ISNUMBER(L1153),L1153,"")</x:f>
        <x:v>0</x:v>
      </x:c>
      <x:c r="K1154" s="440" t="n">
        <x:f>IF(AND(ISNUMBER(J1154),J1154=0),0,IF(AND($B$176=1,ISNUMBER(J1154)),MIN(J1154*(1+$B$87/12),IF($B$86=0,0,IF($B$87=0,$B$86/ROUND($B$88*12,0),$B$86*($B$87/12)/(1-(1+$B$87/12)^(-ROUND($B$88*12,0)))))),""))</x:f>
        <x:v>0</x:v>
      </x:c>
      <x:c r="L1154" s="440" t="n">
        <x:f>IF(ISNUMBER(K1154),IF(MAX(0,J1154*(1+SUM($B$87)/12)-K1154)&lt;MAX(0.0000001,$B$86*0.00000000001),0,MAX(0,J1154*(1+SUM($B$87)/12)-K1154)),"")</x:f>
        <x:v>0</x:v>
      </x:c>
      <x:c r="M1154" s="440" t="n">
        <x:f>IF(AND(ISNUMBER(D1154),ISNUMBER(K1154)),D1154+K1154,"")</x:f>
        <x:v>0</x:v>
      </x:c>
      <x:c r="N1154" s="440" t="n">
        <x:f>IF(AND(ISNUMBER(H1154),ISNUMBER(L1154)),H1154+L1154,"")</x:f>
        <x:v>0</x:v>
      </x:c>
    </x:row>
    <x:row r="1155" ht="22" customHeight="1">
      <x:c r="A1155" s="254" t="n">
        <x:f>755</x:f>
        <x:v>755</x:v>
      </x:c>
      <x:c r="B1155" s="440" t="n">
        <x:f>IF(ISNUMBER(H1154),H1154,"")</x:f>
        <x:v>0</x:v>
      </x:c>
      <x:c r="C1155" s="442" t="n">
        <x:f>IF(ISNUMBER(B1155),IF(AND(755&gt;$B$173,$B$78="Refinance",ISNUMBER($B$80),$B$80&gt;=0,$B$80&lt;=1,ROUND($B$81*12,0)&gt;=1,$B$81&lt;=100,SUM($B$82)&gt;=0,SUM($B$82)&lt;=1,SUM($B$83)&gt;=0),$B$80,IF(AND($B$175&gt;0,755&gt;$B$175,ISNUMBER($B$75)),$B$75,$B$61)),"")</x:f>
        <x:v>0.0625</x:v>
      </x:c>
      <x:c r="D1155" s="440" t="n">
        <x:f>IF(AND(ISNUMBER(B1155),B1155=0),0,IF(AND($B$171=1,I1154=0,ISNUMBER(C1155),ISNUMBER(IF(AND(755&lt;=$B$174,755&lt;=$B$173),B1155*C1155/12,IF(AND(755=$B$173+1,AND(755&gt;$B$173,$B$78="Refinance",ISNUMBER($B$80),$B$80&gt;=0,$B$80&lt;=1,ROUND($B$81*12,0)&gt;=1,$B$81&lt;=100,SUM($B$82)&gt;=0,SUM($B$82)&lt;=1,SUM($B$83)&gt;=0)),IF(B1155=0,0,IF(C1155=0,B1155/ROUND($B$81*12,0),B1155*(C1155/12)/(1-(1+C1155/12)^(-ROUND($B$81*12,0))))),IF(AND(NOT(AND(755&gt;$B$173,$B$78="Refinance",ISNUMBER($B$80),$B$80&gt;=0,$B$80&lt;=1,ROUND($B$81*12,0)&gt;=1,$B$81&lt;=100,SUM($B$82)&gt;=0,SUM($B$82)&lt;=1,SUM($B$83)&gt;=0)),OR(755=1,755=$B$174+1,AND($B$175&gt;0,755=$B$175+1))),IF(AND($B$170=1,$B$66&gt;0,OR($B$175=0,755&lt;=$B$175)),$B$66,IF($B$172-MAX(755-1,$B$174)&gt;0,IF(B1155=0,0,IF(C1155=0,B1155/($B$172-MAX(755-1,$B$174)),B1155*(C1155/12)/(1-(1+C1155/12)^(-($B$172-MAX(755-1,$B$174)))))),"")),D1154))))),IF(IF(AND(755&lt;=$B$174,755&lt;=$B$173),B1155*C1155/12,IF(AND(755=$B$173+1,AND(755&gt;$B$173,$B$78="Refinance",ISNUMBER($B$80),$B$80&gt;=0,$B$80&lt;=1,ROUND($B$81*12,0)&gt;=1,$B$81&lt;=100,SUM($B$82)&gt;=0,SUM($B$82)&lt;=1,SUM($B$83)&gt;=0)),IF(B1155=0,0,IF(C1155=0,B1155/ROUND($B$81*12,0),B1155*(C1155/12)/(1-(1+C1155/12)^(-ROUND($B$81*12,0))))),IF(AND(NOT(AND(755&gt;$B$173,$B$78="Refinance",ISNUMBER($B$80),$B$80&gt;=0,$B$80&lt;=1,ROUND($B$81*12,0)&gt;=1,$B$81&lt;=100,SUM($B$82)&gt;=0,SUM($B$82)&lt;=1,SUM($B$83)&gt;=0)),OR(755=1,755=$B$174+1,AND($B$175&gt;0,755=$B$175+1))),IF(AND($B$170=1,$B$66&gt;0,OR($B$175=0,755&lt;=$B$175)),$B$66,IF($B$172-MAX(755-1,$B$174)&gt;0,IF(B1155=0,0,IF(C1155=0,B1155/($B$172-MAX(755-1,$B$174)),B1155*(C1155/12)/(1-(1+C1155/12)^(-($B$172-MAX(755-1,$B$174)))))),"")),D1154)))+0.0000001&gt;=B1155*C1155/12,MIN(B1155*(1+C1155/12),IF(AND(755&lt;=$B$174,755&lt;=$B$173),B1155*C1155/12,IF(AND(755=$B$173+1,AND(755&gt;$B$173,$B$78="Refinance",ISNUMBER($B$80),$B$80&gt;=0,$B$80&lt;=1,ROUND($B$81*12,0)&gt;=1,$B$81&lt;=100,SUM($B$82)&gt;=0,SUM($B$82)&lt;=1,SUM($B$83)&gt;=0)),IF(B1155=0,0,IF(C1155=0,B1155/ROUND($B$81*12,0),B1155*(C1155/12)/(1-(1+C1155/12)^(-ROUND($B$81*12,0))))),IF(AND(NOT(AND(755&gt;$B$173,$B$78="Refinance",ISNUMBER($B$80),$B$80&gt;=0,$B$80&lt;=1,ROUND($B$81*12,0)&gt;=1,$B$81&lt;=100,SUM($B$82)&gt;=0,SUM($B$82)&lt;=1,SUM($B$83)&gt;=0)),OR(755=1,755=$B$174+1,AND($B$175&gt;0,755=$B$175+1))),IF(AND($B$170=1,$B$66&gt;0,OR($B$175=0,755&lt;=$B$175)),$B$66,IF($B$172-MAX(755-1,$B$174)&gt;0,IF(B1155=0,0,IF(C1155=0,B1155/($B$172-MAX(755-1,$B$174)),B1155*(C1155/12)/(1-(1+C1155/12)^(-($B$172-MAX(755-1,$B$174)))))),"")),D1154)))),""),""))</x:f>
        <x:v>0</x:v>
      </x:c>
      <x:c r="E1155" s="440" t="n">
        <x:f>IF(AND(755=$B$173,ISNUMBER(D1155)),IF(MAX(0,B1155*(1+C1155/12)-D1155)&lt;MAX(0.0000001,$E$17*0.00000000001),0,MAX(0,B1155*(1+C1155/12)-D1155)),0)</x:f>
        <x:v>0</x:v>
      </x:c>
      <x:c r="F1155" s="440" t="n">
        <x:f>IF($B$78="Cash payoff",E1155,0)</x:f>
        <x:v>0</x:v>
      </x:c>
      <x:c r="G1155" s="440" t="n">
        <x:f>IF(AND(E1155&gt;0,AND($B$78="Refinance",ISNUMBER($B$80),$B$80&gt;=0,$B$80&lt;=1,ROUND($B$81*12,0)&gt;=1,$B$81&lt;=100,SUM($B$82)&gt;=0,SUM($B$82)&lt;=1,SUM($B$83)&gt;=0)),E1155*SUM($B$82)+SUM($B$83),0)</x:f>
        <x:v>0</x:v>
      </x:c>
      <x:c r="H1155" s="440" t="n">
        <x:f>IF(ISNUMBER(D1155),IF(MAX(0,B1155*(1+C1155/12)-D1155-F1155)&lt;MAX(0.0000001,$E$17*0.00000000001),0,MAX(0,B1155*(1+C1155/12)-D1155-F1155)),IF(AND($B$171=1,I1154=1),B1155,""))</x:f>
        <x:v>0</x:v>
      </x:c>
      <x:c r="I1155" s="444" t="n">
        <x:f>IF(OR(I1154=1,AND(E1155&gt;0,$B$78&lt;&gt;"Cash payoff",NOT(AND($B$78="Refinance",ISNUMBER($B$80),$B$80&gt;=0,$B$80&lt;=1,ROUND($B$81*12,0)&gt;=1,$B$81&lt;=100,SUM($B$82)&gt;=0,SUM($B$82)&lt;=1,SUM($B$83)&gt;=0))),AND(ISNUMBER(B1155),B1155&gt;0,$B$171=1,NOT(ISNUMBER(D1155)))),1,0)</x:f>
        <x:v>0</x:v>
      </x:c>
      <x:c r="J1155" s="440" t="n">
        <x:f>IF(ISNUMBER(L1154),L1154,"")</x:f>
        <x:v>0</x:v>
      </x:c>
      <x:c r="K1155" s="440" t="n">
        <x:f>IF(AND(ISNUMBER(J1155),J1155=0),0,IF(AND($B$176=1,ISNUMBER(J1155)),MIN(J1155*(1+$B$87/12),IF($B$86=0,0,IF($B$87=0,$B$86/ROUND($B$88*12,0),$B$86*($B$87/12)/(1-(1+$B$87/12)^(-ROUND($B$88*12,0)))))),""))</x:f>
        <x:v>0</x:v>
      </x:c>
      <x:c r="L1155" s="440" t="n">
        <x:f>IF(ISNUMBER(K1155),IF(MAX(0,J1155*(1+SUM($B$87)/12)-K1155)&lt;MAX(0.0000001,$B$86*0.00000000001),0,MAX(0,J1155*(1+SUM($B$87)/12)-K1155)),"")</x:f>
        <x:v>0</x:v>
      </x:c>
      <x:c r="M1155" s="440" t="n">
        <x:f>IF(AND(ISNUMBER(D1155),ISNUMBER(K1155)),D1155+K1155,"")</x:f>
        <x:v>0</x:v>
      </x:c>
      <x:c r="N1155" s="440" t="n">
        <x:f>IF(AND(ISNUMBER(H1155),ISNUMBER(L1155)),H1155+L1155,"")</x:f>
        <x:v>0</x:v>
      </x:c>
    </x:row>
    <x:row r="1156" ht="22" customHeight="1">
      <x:c r="A1156" s="254" t="n">
        <x:f>756</x:f>
        <x:v>756</x:v>
      </x:c>
      <x:c r="B1156" s="440" t="n">
        <x:f>IF(ISNUMBER(H1155),H1155,"")</x:f>
        <x:v>0</x:v>
      </x:c>
      <x:c r="C1156" s="442" t="n">
        <x:f>IF(ISNUMBER(B1156),IF(AND(756&gt;$B$173,$B$78="Refinance",ISNUMBER($B$80),$B$80&gt;=0,$B$80&lt;=1,ROUND($B$81*12,0)&gt;=1,$B$81&lt;=100,SUM($B$82)&gt;=0,SUM($B$82)&lt;=1,SUM($B$83)&gt;=0),$B$80,IF(AND($B$175&gt;0,756&gt;$B$175,ISNUMBER($B$75)),$B$75,$B$61)),"")</x:f>
        <x:v>0.0625</x:v>
      </x:c>
      <x:c r="D1156" s="440" t="n">
        <x:f>IF(AND(ISNUMBER(B1156),B1156=0),0,IF(AND($B$171=1,I1155=0,ISNUMBER(C1156),ISNUMBER(IF(AND(756&lt;=$B$174,756&lt;=$B$173),B1156*C1156/12,IF(AND(756=$B$173+1,AND(756&gt;$B$173,$B$78="Refinance",ISNUMBER($B$80),$B$80&gt;=0,$B$80&lt;=1,ROUND($B$81*12,0)&gt;=1,$B$81&lt;=100,SUM($B$82)&gt;=0,SUM($B$82)&lt;=1,SUM($B$83)&gt;=0)),IF(B1156=0,0,IF(C1156=0,B1156/ROUND($B$81*12,0),B1156*(C1156/12)/(1-(1+C1156/12)^(-ROUND($B$81*12,0))))),IF(AND(NOT(AND(756&gt;$B$173,$B$78="Refinance",ISNUMBER($B$80),$B$80&gt;=0,$B$80&lt;=1,ROUND($B$81*12,0)&gt;=1,$B$81&lt;=100,SUM($B$82)&gt;=0,SUM($B$82)&lt;=1,SUM($B$83)&gt;=0)),OR(756=1,756=$B$174+1,AND($B$175&gt;0,756=$B$175+1))),IF(AND($B$170=1,$B$66&gt;0,OR($B$175=0,756&lt;=$B$175)),$B$66,IF($B$172-MAX(756-1,$B$174)&gt;0,IF(B1156=0,0,IF(C1156=0,B1156/($B$172-MAX(756-1,$B$174)),B1156*(C1156/12)/(1-(1+C1156/12)^(-($B$172-MAX(756-1,$B$174)))))),"")),D1155))))),IF(IF(AND(756&lt;=$B$174,756&lt;=$B$173),B1156*C1156/12,IF(AND(756=$B$173+1,AND(756&gt;$B$173,$B$78="Refinance",ISNUMBER($B$80),$B$80&gt;=0,$B$80&lt;=1,ROUND($B$81*12,0)&gt;=1,$B$81&lt;=100,SUM($B$82)&gt;=0,SUM($B$82)&lt;=1,SUM($B$83)&gt;=0)),IF(B1156=0,0,IF(C1156=0,B1156/ROUND($B$81*12,0),B1156*(C1156/12)/(1-(1+C1156/12)^(-ROUND($B$81*12,0))))),IF(AND(NOT(AND(756&gt;$B$173,$B$78="Refinance",ISNUMBER($B$80),$B$80&gt;=0,$B$80&lt;=1,ROUND($B$81*12,0)&gt;=1,$B$81&lt;=100,SUM($B$82)&gt;=0,SUM($B$82)&lt;=1,SUM($B$83)&gt;=0)),OR(756=1,756=$B$174+1,AND($B$175&gt;0,756=$B$175+1))),IF(AND($B$170=1,$B$66&gt;0,OR($B$175=0,756&lt;=$B$175)),$B$66,IF($B$172-MAX(756-1,$B$174)&gt;0,IF(B1156=0,0,IF(C1156=0,B1156/($B$172-MAX(756-1,$B$174)),B1156*(C1156/12)/(1-(1+C1156/12)^(-($B$172-MAX(756-1,$B$174)))))),"")),D1155)))+0.0000001&gt;=B1156*C1156/12,MIN(B1156*(1+C1156/12),IF(AND(756&lt;=$B$174,756&lt;=$B$173),B1156*C1156/12,IF(AND(756=$B$173+1,AND(756&gt;$B$173,$B$78="Refinance",ISNUMBER($B$80),$B$80&gt;=0,$B$80&lt;=1,ROUND($B$81*12,0)&gt;=1,$B$81&lt;=100,SUM($B$82)&gt;=0,SUM($B$82)&lt;=1,SUM($B$83)&gt;=0)),IF(B1156=0,0,IF(C1156=0,B1156/ROUND($B$81*12,0),B1156*(C1156/12)/(1-(1+C1156/12)^(-ROUND($B$81*12,0))))),IF(AND(NOT(AND(756&gt;$B$173,$B$78="Refinance",ISNUMBER($B$80),$B$80&gt;=0,$B$80&lt;=1,ROUND($B$81*12,0)&gt;=1,$B$81&lt;=100,SUM($B$82)&gt;=0,SUM($B$82)&lt;=1,SUM($B$83)&gt;=0)),OR(756=1,756=$B$174+1,AND($B$175&gt;0,756=$B$175+1))),IF(AND($B$170=1,$B$66&gt;0,OR($B$175=0,756&lt;=$B$175)),$B$66,IF($B$172-MAX(756-1,$B$174)&gt;0,IF(B1156=0,0,IF(C1156=0,B1156/($B$172-MAX(756-1,$B$174)),B1156*(C1156/12)/(1-(1+C1156/12)^(-($B$172-MAX(756-1,$B$174)))))),"")),D1155)))),""),""))</x:f>
        <x:v>0</x:v>
      </x:c>
      <x:c r="E1156" s="440" t="n">
        <x:f>IF(AND(756=$B$173,ISNUMBER(D1156)),IF(MAX(0,B1156*(1+C1156/12)-D1156)&lt;MAX(0.0000001,$E$17*0.00000000001),0,MAX(0,B1156*(1+C1156/12)-D1156)),0)</x:f>
        <x:v>0</x:v>
      </x:c>
      <x:c r="F1156" s="440" t="n">
        <x:f>IF($B$78="Cash payoff",E1156,0)</x:f>
        <x:v>0</x:v>
      </x:c>
      <x:c r="G1156" s="440" t="n">
        <x:f>IF(AND(E1156&gt;0,AND($B$78="Refinance",ISNUMBER($B$80),$B$80&gt;=0,$B$80&lt;=1,ROUND($B$81*12,0)&gt;=1,$B$81&lt;=100,SUM($B$82)&gt;=0,SUM($B$82)&lt;=1,SUM($B$83)&gt;=0)),E1156*SUM($B$82)+SUM($B$83),0)</x:f>
        <x:v>0</x:v>
      </x:c>
      <x:c r="H1156" s="440" t="n">
        <x:f>IF(ISNUMBER(D1156),IF(MAX(0,B1156*(1+C1156/12)-D1156-F1156)&lt;MAX(0.0000001,$E$17*0.00000000001),0,MAX(0,B1156*(1+C1156/12)-D1156-F1156)),IF(AND($B$171=1,I1155=1),B1156,""))</x:f>
        <x:v>0</x:v>
      </x:c>
      <x:c r="I1156" s="444" t="n">
        <x:f>IF(OR(I1155=1,AND(E1156&gt;0,$B$78&lt;&gt;"Cash payoff",NOT(AND($B$78="Refinance",ISNUMBER($B$80),$B$80&gt;=0,$B$80&lt;=1,ROUND($B$81*12,0)&gt;=1,$B$81&lt;=100,SUM($B$82)&gt;=0,SUM($B$82)&lt;=1,SUM($B$83)&gt;=0))),AND(ISNUMBER(B1156),B1156&gt;0,$B$171=1,NOT(ISNUMBER(D1156)))),1,0)</x:f>
        <x:v>0</x:v>
      </x:c>
      <x:c r="J1156" s="440" t="n">
        <x:f>IF(ISNUMBER(L1155),L1155,"")</x:f>
        <x:v>0</x:v>
      </x:c>
      <x:c r="K1156" s="440" t="n">
        <x:f>IF(AND(ISNUMBER(J1156),J1156=0),0,IF(AND($B$176=1,ISNUMBER(J1156)),MIN(J1156*(1+$B$87/12),IF($B$86=0,0,IF($B$87=0,$B$86/ROUND($B$88*12,0),$B$86*($B$87/12)/(1-(1+$B$87/12)^(-ROUND($B$88*12,0)))))),""))</x:f>
        <x:v>0</x:v>
      </x:c>
      <x:c r="L1156" s="440" t="n">
        <x:f>IF(ISNUMBER(K1156),IF(MAX(0,J1156*(1+SUM($B$87)/12)-K1156)&lt;MAX(0.0000001,$B$86*0.00000000001),0,MAX(0,J1156*(1+SUM($B$87)/12)-K1156)),"")</x:f>
        <x:v>0</x:v>
      </x:c>
      <x:c r="M1156" s="440" t="n">
        <x:f>IF(AND(ISNUMBER(D1156),ISNUMBER(K1156)),D1156+K1156,"")</x:f>
        <x:v>0</x:v>
      </x:c>
      <x:c r="N1156" s="440" t="n">
        <x:f>IF(AND(ISNUMBER(H1156),ISNUMBER(L1156)),H1156+L1156,"")</x:f>
        <x:v>0</x:v>
      </x:c>
    </x:row>
    <x:row r="1157" ht="22" customHeight="1">
      <x:c r="A1157" s="254" t="n">
        <x:f>757</x:f>
        <x:v>757</x:v>
      </x:c>
      <x:c r="B1157" s="440" t="n">
        <x:f>IF(ISNUMBER(H1156),H1156,"")</x:f>
        <x:v>0</x:v>
      </x:c>
      <x:c r="C1157" s="442" t="n">
        <x:f>IF(ISNUMBER(B1157),IF(AND(757&gt;$B$173,$B$78="Refinance",ISNUMBER($B$80),$B$80&gt;=0,$B$80&lt;=1,ROUND($B$81*12,0)&gt;=1,$B$81&lt;=100,SUM($B$82)&gt;=0,SUM($B$82)&lt;=1,SUM($B$83)&gt;=0),$B$80,IF(AND($B$175&gt;0,757&gt;$B$175,ISNUMBER($B$75)),$B$75,$B$61)),"")</x:f>
        <x:v>0.0625</x:v>
      </x:c>
      <x:c r="D1157" s="440" t="n">
        <x:f>IF(AND(ISNUMBER(B1157),B1157=0),0,IF(AND($B$171=1,I1156=0,ISNUMBER(C1157),ISNUMBER(IF(AND(757&lt;=$B$174,757&lt;=$B$173),B1157*C1157/12,IF(AND(757=$B$173+1,AND(757&gt;$B$173,$B$78="Refinance",ISNUMBER($B$80),$B$80&gt;=0,$B$80&lt;=1,ROUND($B$81*12,0)&gt;=1,$B$81&lt;=100,SUM($B$82)&gt;=0,SUM($B$82)&lt;=1,SUM($B$83)&gt;=0)),IF(B1157=0,0,IF(C1157=0,B1157/ROUND($B$81*12,0),B1157*(C1157/12)/(1-(1+C1157/12)^(-ROUND($B$81*12,0))))),IF(AND(NOT(AND(757&gt;$B$173,$B$78="Refinance",ISNUMBER($B$80),$B$80&gt;=0,$B$80&lt;=1,ROUND($B$81*12,0)&gt;=1,$B$81&lt;=100,SUM($B$82)&gt;=0,SUM($B$82)&lt;=1,SUM($B$83)&gt;=0)),OR(757=1,757=$B$174+1,AND($B$175&gt;0,757=$B$175+1))),IF(AND($B$170=1,$B$66&gt;0,OR($B$175=0,757&lt;=$B$175)),$B$66,IF($B$172-MAX(757-1,$B$174)&gt;0,IF(B1157=0,0,IF(C1157=0,B1157/($B$172-MAX(757-1,$B$174)),B1157*(C1157/12)/(1-(1+C1157/12)^(-($B$172-MAX(757-1,$B$174)))))),"")),D1156))))),IF(IF(AND(757&lt;=$B$174,757&lt;=$B$173),B1157*C1157/12,IF(AND(757=$B$173+1,AND(757&gt;$B$173,$B$78="Refinance",ISNUMBER($B$80),$B$80&gt;=0,$B$80&lt;=1,ROUND($B$81*12,0)&gt;=1,$B$81&lt;=100,SUM($B$82)&gt;=0,SUM($B$82)&lt;=1,SUM($B$83)&gt;=0)),IF(B1157=0,0,IF(C1157=0,B1157/ROUND($B$81*12,0),B1157*(C1157/12)/(1-(1+C1157/12)^(-ROUND($B$81*12,0))))),IF(AND(NOT(AND(757&gt;$B$173,$B$78="Refinance",ISNUMBER($B$80),$B$80&gt;=0,$B$80&lt;=1,ROUND($B$81*12,0)&gt;=1,$B$81&lt;=100,SUM($B$82)&gt;=0,SUM($B$82)&lt;=1,SUM($B$83)&gt;=0)),OR(757=1,757=$B$174+1,AND($B$175&gt;0,757=$B$175+1))),IF(AND($B$170=1,$B$66&gt;0,OR($B$175=0,757&lt;=$B$175)),$B$66,IF($B$172-MAX(757-1,$B$174)&gt;0,IF(B1157=0,0,IF(C1157=0,B1157/($B$172-MAX(757-1,$B$174)),B1157*(C1157/12)/(1-(1+C1157/12)^(-($B$172-MAX(757-1,$B$174)))))),"")),D1156)))+0.0000001&gt;=B1157*C1157/12,MIN(B1157*(1+C1157/12),IF(AND(757&lt;=$B$174,757&lt;=$B$173),B1157*C1157/12,IF(AND(757=$B$173+1,AND(757&gt;$B$173,$B$78="Refinance",ISNUMBER($B$80),$B$80&gt;=0,$B$80&lt;=1,ROUND($B$81*12,0)&gt;=1,$B$81&lt;=100,SUM($B$82)&gt;=0,SUM($B$82)&lt;=1,SUM($B$83)&gt;=0)),IF(B1157=0,0,IF(C1157=0,B1157/ROUND($B$81*12,0),B1157*(C1157/12)/(1-(1+C1157/12)^(-ROUND($B$81*12,0))))),IF(AND(NOT(AND(757&gt;$B$173,$B$78="Refinance",ISNUMBER($B$80),$B$80&gt;=0,$B$80&lt;=1,ROUND($B$81*12,0)&gt;=1,$B$81&lt;=100,SUM($B$82)&gt;=0,SUM($B$82)&lt;=1,SUM($B$83)&gt;=0)),OR(757=1,757=$B$174+1,AND($B$175&gt;0,757=$B$175+1))),IF(AND($B$170=1,$B$66&gt;0,OR($B$175=0,757&lt;=$B$175)),$B$66,IF($B$172-MAX(757-1,$B$174)&gt;0,IF(B1157=0,0,IF(C1157=0,B1157/($B$172-MAX(757-1,$B$174)),B1157*(C1157/12)/(1-(1+C1157/12)^(-($B$172-MAX(757-1,$B$174)))))),"")),D1156)))),""),""))</x:f>
        <x:v>0</x:v>
      </x:c>
      <x:c r="E1157" s="440" t="n">
        <x:f>IF(AND(757=$B$173,ISNUMBER(D1157)),IF(MAX(0,B1157*(1+C1157/12)-D1157)&lt;MAX(0.0000001,$E$17*0.00000000001),0,MAX(0,B1157*(1+C1157/12)-D1157)),0)</x:f>
        <x:v>0</x:v>
      </x:c>
      <x:c r="F1157" s="440" t="n">
        <x:f>IF($B$78="Cash payoff",E1157,0)</x:f>
        <x:v>0</x:v>
      </x:c>
      <x:c r="G1157" s="440" t="n">
        <x:f>IF(AND(E1157&gt;0,AND($B$78="Refinance",ISNUMBER($B$80),$B$80&gt;=0,$B$80&lt;=1,ROUND($B$81*12,0)&gt;=1,$B$81&lt;=100,SUM($B$82)&gt;=0,SUM($B$82)&lt;=1,SUM($B$83)&gt;=0)),E1157*SUM($B$82)+SUM($B$83),0)</x:f>
        <x:v>0</x:v>
      </x:c>
      <x:c r="H1157" s="440" t="n">
        <x:f>IF(ISNUMBER(D1157),IF(MAX(0,B1157*(1+C1157/12)-D1157-F1157)&lt;MAX(0.0000001,$E$17*0.00000000001),0,MAX(0,B1157*(1+C1157/12)-D1157-F1157)),IF(AND($B$171=1,I1156=1),B1157,""))</x:f>
        <x:v>0</x:v>
      </x:c>
      <x:c r="I1157" s="444" t="n">
        <x:f>IF(OR(I1156=1,AND(E1157&gt;0,$B$78&lt;&gt;"Cash payoff",NOT(AND($B$78="Refinance",ISNUMBER($B$80),$B$80&gt;=0,$B$80&lt;=1,ROUND($B$81*12,0)&gt;=1,$B$81&lt;=100,SUM($B$82)&gt;=0,SUM($B$82)&lt;=1,SUM($B$83)&gt;=0))),AND(ISNUMBER(B1157),B1157&gt;0,$B$171=1,NOT(ISNUMBER(D1157)))),1,0)</x:f>
        <x:v>0</x:v>
      </x:c>
      <x:c r="J1157" s="440" t="n">
        <x:f>IF(ISNUMBER(L1156),L1156,"")</x:f>
        <x:v>0</x:v>
      </x:c>
      <x:c r="K1157" s="440" t="n">
        <x:f>IF(AND(ISNUMBER(J1157),J1157=0),0,IF(AND($B$176=1,ISNUMBER(J1157)),MIN(J1157*(1+$B$87/12),IF($B$86=0,0,IF($B$87=0,$B$86/ROUND($B$88*12,0),$B$86*($B$87/12)/(1-(1+$B$87/12)^(-ROUND($B$88*12,0)))))),""))</x:f>
        <x:v>0</x:v>
      </x:c>
      <x:c r="L1157" s="440" t="n">
        <x:f>IF(ISNUMBER(K1157),IF(MAX(0,J1157*(1+SUM($B$87)/12)-K1157)&lt;MAX(0.0000001,$B$86*0.00000000001),0,MAX(0,J1157*(1+SUM($B$87)/12)-K1157)),"")</x:f>
        <x:v>0</x:v>
      </x:c>
      <x:c r="M1157" s="440" t="n">
        <x:f>IF(AND(ISNUMBER(D1157),ISNUMBER(K1157)),D1157+K1157,"")</x:f>
        <x:v>0</x:v>
      </x:c>
      <x:c r="N1157" s="440" t="n">
        <x:f>IF(AND(ISNUMBER(H1157),ISNUMBER(L1157)),H1157+L1157,"")</x:f>
        <x:v>0</x:v>
      </x:c>
    </x:row>
    <x:row r="1158" ht="22" customHeight="1">
      <x:c r="A1158" s="254" t="n">
        <x:f>758</x:f>
        <x:v>758</x:v>
      </x:c>
      <x:c r="B1158" s="440" t="n">
        <x:f>IF(ISNUMBER(H1157),H1157,"")</x:f>
        <x:v>0</x:v>
      </x:c>
      <x:c r="C1158" s="442" t="n">
        <x:f>IF(ISNUMBER(B1158),IF(AND(758&gt;$B$173,$B$78="Refinance",ISNUMBER($B$80),$B$80&gt;=0,$B$80&lt;=1,ROUND($B$81*12,0)&gt;=1,$B$81&lt;=100,SUM($B$82)&gt;=0,SUM($B$82)&lt;=1,SUM($B$83)&gt;=0),$B$80,IF(AND($B$175&gt;0,758&gt;$B$175,ISNUMBER($B$75)),$B$75,$B$61)),"")</x:f>
        <x:v>0.0625</x:v>
      </x:c>
      <x:c r="D1158" s="440" t="n">
        <x:f>IF(AND(ISNUMBER(B1158),B1158=0),0,IF(AND($B$171=1,I1157=0,ISNUMBER(C1158),ISNUMBER(IF(AND(758&lt;=$B$174,758&lt;=$B$173),B1158*C1158/12,IF(AND(758=$B$173+1,AND(758&gt;$B$173,$B$78="Refinance",ISNUMBER($B$80),$B$80&gt;=0,$B$80&lt;=1,ROUND($B$81*12,0)&gt;=1,$B$81&lt;=100,SUM($B$82)&gt;=0,SUM($B$82)&lt;=1,SUM($B$83)&gt;=0)),IF(B1158=0,0,IF(C1158=0,B1158/ROUND($B$81*12,0),B1158*(C1158/12)/(1-(1+C1158/12)^(-ROUND($B$81*12,0))))),IF(AND(NOT(AND(758&gt;$B$173,$B$78="Refinance",ISNUMBER($B$80),$B$80&gt;=0,$B$80&lt;=1,ROUND($B$81*12,0)&gt;=1,$B$81&lt;=100,SUM($B$82)&gt;=0,SUM($B$82)&lt;=1,SUM($B$83)&gt;=0)),OR(758=1,758=$B$174+1,AND($B$175&gt;0,758=$B$175+1))),IF(AND($B$170=1,$B$66&gt;0,OR($B$175=0,758&lt;=$B$175)),$B$66,IF($B$172-MAX(758-1,$B$174)&gt;0,IF(B1158=0,0,IF(C1158=0,B1158/($B$172-MAX(758-1,$B$174)),B1158*(C1158/12)/(1-(1+C1158/12)^(-($B$172-MAX(758-1,$B$174)))))),"")),D1157))))),IF(IF(AND(758&lt;=$B$174,758&lt;=$B$173),B1158*C1158/12,IF(AND(758=$B$173+1,AND(758&gt;$B$173,$B$78="Refinance",ISNUMBER($B$80),$B$80&gt;=0,$B$80&lt;=1,ROUND($B$81*12,0)&gt;=1,$B$81&lt;=100,SUM($B$82)&gt;=0,SUM($B$82)&lt;=1,SUM($B$83)&gt;=0)),IF(B1158=0,0,IF(C1158=0,B1158/ROUND($B$81*12,0),B1158*(C1158/12)/(1-(1+C1158/12)^(-ROUND($B$81*12,0))))),IF(AND(NOT(AND(758&gt;$B$173,$B$78="Refinance",ISNUMBER($B$80),$B$80&gt;=0,$B$80&lt;=1,ROUND($B$81*12,0)&gt;=1,$B$81&lt;=100,SUM($B$82)&gt;=0,SUM($B$82)&lt;=1,SUM($B$83)&gt;=0)),OR(758=1,758=$B$174+1,AND($B$175&gt;0,758=$B$175+1))),IF(AND($B$170=1,$B$66&gt;0,OR($B$175=0,758&lt;=$B$175)),$B$66,IF($B$172-MAX(758-1,$B$174)&gt;0,IF(B1158=0,0,IF(C1158=0,B1158/($B$172-MAX(758-1,$B$174)),B1158*(C1158/12)/(1-(1+C1158/12)^(-($B$172-MAX(758-1,$B$174)))))),"")),D1157)))+0.0000001&gt;=B1158*C1158/12,MIN(B1158*(1+C1158/12),IF(AND(758&lt;=$B$174,758&lt;=$B$173),B1158*C1158/12,IF(AND(758=$B$173+1,AND(758&gt;$B$173,$B$78="Refinance",ISNUMBER($B$80),$B$80&gt;=0,$B$80&lt;=1,ROUND($B$81*12,0)&gt;=1,$B$81&lt;=100,SUM($B$82)&gt;=0,SUM($B$82)&lt;=1,SUM($B$83)&gt;=0)),IF(B1158=0,0,IF(C1158=0,B1158/ROUND($B$81*12,0),B1158*(C1158/12)/(1-(1+C1158/12)^(-ROUND($B$81*12,0))))),IF(AND(NOT(AND(758&gt;$B$173,$B$78="Refinance",ISNUMBER($B$80),$B$80&gt;=0,$B$80&lt;=1,ROUND($B$81*12,0)&gt;=1,$B$81&lt;=100,SUM($B$82)&gt;=0,SUM($B$82)&lt;=1,SUM($B$83)&gt;=0)),OR(758=1,758=$B$174+1,AND($B$175&gt;0,758=$B$175+1))),IF(AND($B$170=1,$B$66&gt;0,OR($B$175=0,758&lt;=$B$175)),$B$66,IF($B$172-MAX(758-1,$B$174)&gt;0,IF(B1158=0,0,IF(C1158=0,B1158/($B$172-MAX(758-1,$B$174)),B1158*(C1158/12)/(1-(1+C1158/12)^(-($B$172-MAX(758-1,$B$174)))))),"")),D1157)))),""),""))</x:f>
        <x:v>0</x:v>
      </x:c>
      <x:c r="E1158" s="440" t="n">
        <x:f>IF(AND(758=$B$173,ISNUMBER(D1158)),IF(MAX(0,B1158*(1+C1158/12)-D1158)&lt;MAX(0.0000001,$E$17*0.00000000001),0,MAX(0,B1158*(1+C1158/12)-D1158)),0)</x:f>
        <x:v>0</x:v>
      </x:c>
      <x:c r="F1158" s="440" t="n">
        <x:f>IF($B$78="Cash payoff",E1158,0)</x:f>
        <x:v>0</x:v>
      </x:c>
      <x:c r="G1158" s="440" t="n">
        <x:f>IF(AND(E1158&gt;0,AND($B$78="Refinance",ISNUMBER($B$80),$B$80&gt;=0,$B$80&lt;=1,ROUND($B$81*12,0)&gt;=1,$B$81&lt;=100,SUM($B$82)&gt;=0,SUM($B$82)&lt;=1,SUM($B$83)&gt;=0)),E1158*SUM($B$82)+SUM($B$83),0)</x:f>
        <x:v>0</x:v>
      </x:c>
      <x:c r="H1158" s="440" t="n">
        <x:f>IF(ISNUMBER(D1158),IF(MAX(0,B1158*(1+C1158/12)-D1158-F1158)&lt;MAX(0.0000001,$E$17*0.00000000001),0,MAX(0,B1158*(1+C1158/12)-D1158-F1158)),IF(AND($B$171=1,I1157=1),B1158,""))</x:f>
        <x:v>0</x:v>
      </x:c>
      <x:c r="I1158" s="444" t="n">
        <x:f>IF(OR(I1157=1,AND(E1158&gt;0,$B$78&lt;&gt;"Cash payoff",NOT(AND($B$78="Refinance",ISNUMBER($B$80),$B$80&gt;=0,$B$80&lt;=1,ROUND($B$81*12,0)&gt;=1,$B$81&lt;=100,SUM($B$82)&gt;=0,SUM($B$82)&lt;=1,SUM($B$83)&gt;=0))),AND(ISNUMBER(B1158),B1158&gt;0,$B$171=1,NOT(ISNUMBER(D1158)))),1,0)</x:f>
        <x:v>0</x:v>
      </x:c>
      <x:c r="J1158" s="440" t="n">
        <x:f>IF(ISNUMBER(L1157),L1157,"")</x:f>
        <x:v>0</x:v>
      </x:c>
      <x:c r="K1158" s="440" t="n">
        <x:f>IF(AND(ISNUMBER(J1158),J1158=0),0,IF(AND($B$176=1,ISNUMBER(J1158)),MIN(J1158*(1+$B$87/12),IF($B$86=0,0,IF($B$87=0,$B$86/ROUND($B$88*12,0),$B$86*($B$87/12)/(1-(1+$B$87/12)^(-ROUND($B$88*12,0)))))),""))</x:f>
        <x:v>0</x:v>
      </x:c>
      <x:c r="L1158" s="440" t="n">
        <x:f>IF(ISNUMBER(K1158),IF(MAX(0,J1158*(1+SUM($B$87)/12)-K1158)&lt;MAX(0.0000001,$B$86*0.00000000001),0,MAX(0,J1158*(1+SUM($B$87)/12)-K1158)),"")</x:f>
        <x:v>0</x:v>
      </x:c>
      <x:c r="M1158" s="440" t="n">
        <x:f>IF(AND(ISNUMBER(D1158),ISNUMBER(K1158)),D1158+K1158,"")</x:f>
        <x:v>0</x:v>
      </x:c>
      <x:c r="N1158" s="440" t="n">
        <x:f>IF(AND(ISNUMBER(H1158),ISNUMBER(L1158)),H1158+L1158,"")</x:f>
        <x:v>0</x:v>
      </x:c>
    </x:row>
    <x:row r="1159" ht="22" customHeight="1">
      <x:c r="A1159" s="254" t="n">
        <x:f>759</x:f>
        <x:v>759</x:v>
      </x:c>
      <x:c r="B1159" s="440" t="n">
        <x:f>IF(ISNUMBER(H1158),H1158,"")</x:f>
        <x:v>0</x:v>
      </x:c>
      <x:c r="C1159" s="442" t="n">
        <x:f>IF(ISNUMBER(B1159),IF(AND(759&gt;$B$173,$B$78="Refinance",ISNUMBER($B$80),$B$80&gt;=0,$B$80&lt;=1,ROUND($B$81*12,0)&gt;=1,$B$81&lt;=100,SUM($B$82)&gt;=0,SUM($B$82)&lt;=1,SUM($B$83)&gt;=0),$B$80,IF(AND($B$175&gt;0,759&gt;$B$175,ISNUMBER($B$75)),$B$75,$B$61)),"")</x:f>
        <x:v>0.0625</x:v>
      </x:c>
      <x:c r="D1159" s="440" t="n">
        <x:f>IF(AND(ISNUMBER(B1159),B1159=0),0,IF(AND($B$171=1,I1158=0,ISNUMBER(C1159),ISNUMBER(IF(AND(759&lt;=$B$174,759&lt;=$B$173),B1159*C1159/12,IF(AND(759=$B$173+1,AND(759&gt;$B$173,$B$78="Refinance",ISNUMBER($B$80),$B$80&gt;=0,$B$80&lt;=1,ROUND($B$81*12,0)&gt;=1,$B$81&lt;=100,SUM($B$82)&gt;=0,SUM($B$82)&lt;=1,SUM($B$83)&gt;=0)),IF(B1159=0,0,IF(C1159=0,B1159/ROUND($B$81*12,0),B1159*(C1159/12)/(1-(1+C1159/12)^(-ROUND($B$81*12,0))))),IF(AND(NOT(AND(759&gt;$B$173,$B$78="Refinance",ISNUMBER($B$80),$B$80&gt;=0,$B$80&lt;=1,ROUND($B$81*12,0)&gt;=1,$B$81&lt;=100,SUM($B$82)&gt;=0,SUM($B$82)&lt;=1,SUM($B$83)&gt;=0)),OR(759=1,759=$B$174+1,AND($B$175&gt;0,759=$B$175+1))),IF(AND($B$170=1,$B$66&gt;0,OR($B$175=0,759&lt;=$B$175)),$B$66,IF($B$172-MAX(759-1,$B$174)&gt;0,IF(B1159=0,0,IF(C1159=0,B1159/($B$172-MAX(759-1,$B$174)),B1159*(C1159/12)/(1-(1+C1159/12)^(-($B$172-MAX(759-1,$B$174)))))),"")),D1158))))),IF(IF(AND(759&lt;=$B$174,759&lt;=$B$173),B1159*C1159/12,IF(AND(759=$B$173+1,AND(759&gt;$B$173,$B$78="Refinance",ISNUMBER($B$80),$B$80&gt;=0,$B$80&lt;=1,ROUND($B$81*12,0)&gt;=1,$B$81&lt;=100,SUM($B$82)&gt;=0,SUM($B$82)&lt;=1,SUM($B$83)&gt;=0)),IF(B1159=0,0,IF(C1159=0,B1159/ROUND($B$81*12,0),B1159*(C1159/12)/(1-(1+C1159/12)^(-ROUND($B$81*12,0))))),IF(AND(NOT(AND(759&gt;$B$173,$B$78="Refinance",ISNUMBER($B$80),$B$80&gt;=0,$B$80&lt;=1,ROUND($B$81*12,0)&gt;=1,$B$81&lt;=100,SUM($B$82)&gt;=0,SUM($B$82)&lt;=1,SUM($B$83)&gt;=0)),OR(759=1,759=$B$174+1,AND($B$175&gt;0,759=$B$175+1))),IF(AND($B$170=1,$B$66&gt;0,OR($B$175=0,759&lt;=$B$175)),$B$66,IF($B$172-MAX(759-1,$B$174)&gt;0,IF(B1159=0,0,IF(C1159=0,B1159/($B$172-MAX(759-1,$B$174)),B1159*(C1159/12)/(1-(1+C1159/12)^(-($B$172-MAX(759-1,$B$174)))))),"")),D1158)))+0.0000001&gt;=B1159*C1159/12,MIN(B1159*(1+C1159/12),IF(AND(759&lt;=$B$174,759&lt;=$B$173),B1159*C1159/12,IF(AND(759=$B$173+1,AND(759&gt;$B$173,$B$78="Refinance",ISNUMBER($B$80),$B$80&gt;=0,$B$80&lt;=1,ROUND($B$81*12,0)&gt;=1,$B$81&lt;=100,SUM($B$82)&gt;=0,SUM($B$82)&lt;=1,SUM($B$83)&gt;=0)),IF(B1159=0,0,IF(C1159=0,B1159/ROUND($B$81*12,0),B1159*(C1159/12)/(1-(1+C1159/12)^(-ROUND($B$81*12,0))))),IF(AND(NOT(AND(759&gt;$B$173,$B$78="Refinance",ISNUMBER($B$80),$B$80&gt;=0,$B$80&lt;=1,ROUND($B$81*12,0)&gt;=1,$B$81&lt;=100,SUM($B$82)&gt;=0,SUM($B$82)&lt;=1,SUM($B$83)&gt;=0)),OR(759=1,759=$B$174+1,AND($B$175&gt;0,759=$B$175+1))),IF(AND($B$170=1,$B$66&gt;0,OR($B$175=0,759&lt;=$B$175)),$B$66,IF($B$172-MAX(759-1,$B$174)&gt;0,IF(B1159=0,0,IF(C1159=0,B1159/($B$172-MAX(759-1,$B$174)),B1159*(C1159/12)/(1-(1+C1159/12)^(-($B$172-MAX(759-1,$B$174)))))),"")),D1158)))),""),""))</x:f>
        <x:v>0</x:v>
      </x:c>
      <x:c r="E1159" s="440" t="n">
        <x:f>IF(AND(759=$B$173,ISNUMBER(D1159)),IF(MAX(0,B1159*(1+C1159/12)-D1159)&lt;MAX(0.0000001,$E$17*0.00000000001),0,MAX(0,B1159*(1+C1159/12)-D1159)),0)</x:f>
        <x:v>0</x:v>
      </x:c>
      <x:c r="F1159" s="440" t="n">
        <x:f>IF($B$78="Cash payoff",E1159,0)</x:f>
        <x:v>0</x:v>
      </x:c>
      <x:c r="G1159" s="440" t="n">
        <x:f>IF(AND(E1159&gt;0,AND($B$78="Refinance",ISNUMBER($B$80),$B$80&gt;=0,$B$80&lt;=1,ROUND($B$81*12,0)&gt;=1,$B$81&lt;=100,SUM($B$82)&gt;=0,SUM($B$82)&lt;=1,SUM($B$83)&gt;=0)),E1159*SUM($B$82)+SUM($B$83),0)</x:f>
        <x:v>0</x:v>
      </x:c>
      <x:c r="H1159" s="440" t="n">
        <x:f>IF(ISNUMBER(D1159),IF(MAX(0,B1159*(1+C1159/12)-D1159-F1159)&lt;MAX(0.0000001,$E$17*0.00000000001),0,MAX(0,B1159*(1+C1159/12)-D1159-F1159)),IF(AND($B$171=1,I1158=1),B1159,""))</x:f>
        <x:v>0</x:v>
      </x:c>
      <x:c r="I1159" s="444" t="n">
        <x:f>IF(OR(I1158=1,AND(E1159&gt;0,$B$78&lt;&gt;"Cash payoff",NOT(AND($B$78="Refinance",ISNUMBER($B$80),$B$80&gt;=0,$B$80&lt;=1,ROUND($B$81*12,0)&gt;=1,$B$81&lt;=100,SUM($B$82)&gt;=0,SUM($B$82)&lt;=1,SUM($B$83)&gt;=0))),AND(ISNUMBER(B1159),B1159&gt;0,$B$171=1,NOT(ISNUMBER(D1159)))),1,0)</x:f>
        <x:v>0</x:v>
      </x:c>
      <x:c r="J1159" s="440" t="n">
        <x:f>IF(ISNUMBER(L1158),L1158,"")</x:f>
        <x:v>0</x:v>
      </x:c>
      <x:c r="K1159" s="440" t="n">
        <x:f>IF(AND(ISNUMBER(J1159),J1159=0),0,IF(AND($B$176=1,ISNUMBER(J1159)),MIN(J1159*(1+$B$87/12),IF($B$86=0,0,IF($B$87=0,$B$86/ROUND($B$88*12,0),$B$86*($B$87/12)/(1-(1+$B$87/12)^(-ROUND($B$88*12,0)))))),""))</x:f>
        <x:v>0</x:v>
      </x:c>
      <x:c r="L1159" s="440" t="n">
        <x:f>IF(ISNUMBER(K1159),IF(MAX(0,J1159*(1+SUM($B$87)/12)-K1159)&lt;MAX(0.0000001,$B$86*0.00000000001),0,MAX(0,J1159*(1+SUM($B$87)/12)-K1159)),"")</x:f>
        <x:v>0</x:v>
      </x:c>
      <x:c r="M1159" s="440" t="n">
        <x:f>IF(AND(ISNUMBER(D1159),ISNUMBER(K1159)),D1159+K1159,"")</x:f>
        <x:v>0</x:v>
      </x:c>
      <x:c r="N1159" s="440" t="n">
        <x:f>IF(AND(ISNUMBER(H1159),ISNUMBER(L1159)),H1159+L1159,"")</x:f>
        <x:v>0</x:v>
      </x:c>
    </x:row>
    <x:row r="1160" ht="22" customHeight="1">
      <x:c r="A1160" s="254" t="n">
        <x:f>760</x:f>
        <x:v>760</x:v>
      </x:c>
      <x:c r="B1160" s="440" t="n">
        <x:f>IF(ISNUMBER(H1159),H1159,"")</x:f>
        <x:v>0</x:v>
      </x:c>
      <x:c r="C1160" s="442" t="n">
        <x:f>IF(ISNUMBER(B1160),IF(AND(760&gt;$B$173,$B$78="Refinance",ISNUMBER($B$80),$B$80&gt;=0,$B$80&lt;=1,ROUND($B$81*12,0)&gt;=1,$B$81&lt;=100,SUM($B$82)&gt;=0,SUM($B$82)&lt;=1,SUM($B$83)&gt;=0),$B$80,IF(AND($B$175&gt;0,760&gt;$B$175,ISNUMBER($B$75)),$B$75,$B$61)),"")</x:f>
        <x:v>0.0625</x:v>
      </x:c>
      <x:c r="D1160" s="440" t="n">
        <x:f>IF(AND(ISNUMBER(B1160),B1160=0),0,IF(AND($B$171=1,I1159=0,ISNUMBER(C1160),ISNUMBER(IF(AND(760&lt;=$B$174,760&lt;=$B$173),B1160*C1160/12,IF(AND(760=$B$173+1,AND(760&gt;$B$173,$B$78="Refinance",ISNUMBER($B$80),$B$80&gt;=0,$B$80&lt;=1,ROUND($B$81*12,0)&gt;=1,$B$81&lt;=100,SUM($B$82)&gt;=0,SUM($B$82)&lt;=1,SUM($B$83)&gt;=0)),IF(B1160=0,0,IF(C1160=0,B1160/ROUND($B$81*12,0),B1160*(C1160/12)/(1-(1+C1160/12)^(-ROUND($B$81*12,0))))),IF(AND(NOT(AND(760&gt;$B$173,$B$78="Refinance",ISNUMBER($B$80),$B$80&gt;=0,$B$80&lt;=1,ROUND($B$81*12,0)&gt;=1,$B$81&lt;=100,SUM($B$82)&gt;=0,SUM($B$82)&lt;=1,SUM($B$83)&gt;=0)),OR(760=1,760=$B$174+1,AND($B$175&gt;0,760=$B$175+1))),IF(AND($B$170=1,$B$66&gt;0,OR($B$175=0,760&lt;=$B$175)),$B$66,IF($B$172-MAX(760-1,$B$174)&gt;0,IF(B1160=0,0,IF(C1160=0,B1160/($B$172-MAX(760-1,$B$174)),B1160*(C1160/12)/(1-(1+C1160/12)^(-($B$172-MAX(760-1,$B$174)))))),"")),D1159))))),IF(IF(AND(760&lt;=$B$174,760&lt;=$B$173),B1160*C1160/12,IF(AND(760=$B$173+1,AND(760&gt;$B$173,$B$78="Refinance",ISNUMBER($B$80),$B$80&gt;=0,$B$80&lt;=1,ROUND($B$81*12,0)&gt;=1,$B$81&lt;=100,SUM($B$82)&gt;=0,SUM($B$82)&lt;=1,SUM($B$83)&gt;=0)),IF(B1160=0,0,IF(C1160=0,B1160/ROUND($B$81*12,0),B1160*(C1160/12)/(1-(1+C1160/12)^(-ROUND($B$81*12,0))))),IF(AND(NOT(AND(760&gt;$B$173,$B$78="Refinance",ISNUMBER($B$80),$B$80&gt;=0,$B$80&lt;=1,ROUND($B$81*12,0)&gt;=1,$B$81&lt;=100,SUM($B$82)&gt;=0,SUM($B$82)&lt;=1,SUM($B$83)&gt;=0)),OR(760=1,760=$B$174+1,AND($B$175&gt;0,760=$B$175+1))),IF(AND($B$170=1,$B$66&gt;0,OR($B$175=0,760&lt;=$B$175)),$B$66,IF($B$172-MAX(760-1,$B$174)&gt;0,IF(B1160=0,0,IF(C1160=0,B1160/($B$172-MAX(760-1,$B$174)),B1160*(C1160/12)/(1-(1+C1160/12)^(-($B$172-MAX(760-1,$B$174)))))),"")),D1159)))+0.0000001&gt;=B1160*C1160/12,MIN(B1160*(1+C1160/12),IF(AND(760&lt;=$B$174,760&lt;=$B$173),B1160*C1160/12,IF(AND(760=$B$173+1,AND(760&gt;$B$173,$B$78="Refinance",ISNUMBER($B$80),$B$80&gt;=0,$B$80&lt;=1,ROUND($B$81*12,0)&gt;=1,$B$81&lt;=100,SUM($B$82)&gt;=0,SUM($B$82)&lt;=1,SUM($B$83)&gt;=0)),IF(B1160=0,0,IF(C1160=0,B1160/ROUND($B$81*12,0),B1160*(C1160/12)/(1-(1+C1160/12)^(-ROUND($B$81*12,0))))),IF(AND(NOT(AND(760&gt;$B$173,$B$78="Refinance",ISNUMBER($B$80),$B$80&gt;=0,$B$80&lt;=1,ROUND($B$81*12,0)&gt;=1,$B$81&lt;=100,SUM($B$82)&gt;=0,SUM($B$82)&lt;=1,SUM($B$83)&gt;=0)),OR(760=1,760=$B$174+1,AND($B$175&gt;0,760=$B$175+1))),IF(AND($B$170=1,$B$66&gt;0,OR($B$175=0,760&lt;=$B$175)),$B$66,IF($B$172-MAX(760-1,$B$174)&gt;0,IF(B1160=0,0,IF(C1160=0,B1160/($B$172-MAX(760-1,$B$174)),B1160*(C1160/12)/(1-(1+C1160/12)^(-($B$172-MAX(760-1,$B$174)))))),"")),D1159)))),""),""))</x:f>
        <x:v>0</x:v>
      </x:c>
      <x:c r="E1160" s="440" t="n">
        <x:f>IF(AND(760=$B$173,ISNUMBER(D1160)),IF(MAX(0,B1160*(1+C1160/12)-D1160)&lt;MAX(0.0000001,$E$17*0.00000000001),0,MAX(0,B1160*(1+C1160/12)-D1160)),0)</x:f>
        <x:v>0</x:v>
      </x:c>
      <x:c r="F1160" s="440" t="n">
        <x:f>IF($B$78="Cash payoff",E1160,0)</x:f>
        <x:v>0</x:v>
      </x:c>
      <x:c r="G1160" s="440" t="n">
        <x:f>IF(AND(E1160&gt;0,AND($B$78="Refinance",ISNUMBER($B$80),$B$80&gt;=0,$B$80&lt;=1,ROUND($B$81*12,0)&gt;=1,$B$81&lt;=100,SUM($B$82)&gt;=0,SUM($B$82)&lt;=1,SUM($B$83)&gt;=0)),E1160*SUM($B$82)+SUM($B$83),0)</x:f>
        <x:v>0</x:v>
      </x:c>
      <x:c r="H1160" s="440" t="n">
        <x:f>IF(ISNUMBER(D1160),IF(MAX(0,B1160*(1+C1160/12)-D1160-F1160)&lt;MAX(0.0000001,$E$17*0.00000000001),0,MAX(0,B1160*(1+C1160/12)-D1160-F1160)),IF(AND($B$171=1,I1159=1),B1160,""))</x:f>
        <x:v>0</x:v>
      </x:c>
      <x:c r="I1160" s="444" t="n">
        <x:f>IF(OR(I1159=1,AND(E1160&gt;0,$B$78&lt;&gt;"Cash payoff",NOT(AND($B$78="Refinance",ISNUMBER($B$80),$B$80&gt;=0,$B$80&lt;=1,ROUND($B$81*12,0)&gt;=1,$B$81&lt;=100,SUM($B$82)&gt;=0,SUM($B$82)&lt;=1,SUM($B$83)&gt;=0))),AND(ISNUMBER(B1160),B1160&gt;0,$B$171=1,NOT(ISNUMBER(D1160)))),1,0)</x:f>
        <x:v>0</x:v>
      </x:c>
      <x:c r="J1160" s="440" t="n">
        <x:f>IF(ISNUMBER(L1159),L1159,"")</x:f>
        <x:v>0</x:v>
      </x:c>
      <x:c r="K1160" s="440" t="n">
        <x:f>IF(AND(ISNUMBER(J1160),J1160=0),0,IF(AND($B$176=1,ISNUMBER(J1160)),MIN(J1160*(1+$B$87/12),IF($B$86=0,0,IF($B$87=0,$B$86/ROUND($B$88*12,0),$B$86*($B$87/12)/(1-(1+$B$87/12)^(-ROUND($B$88*12,0)))))),""))</x:f>
        <x:v>0</x:v>
      </x:c>
      <x:c r="L1160" s="440" t="n">
        <x:f>IF(ISNUMBER(K1160),IF(MAX(0,J1160*(1+SUM($B$87)/12)-K1160)&lt;MAX(0.0000001,$B$86*0.00000000001),0,MAX(0,J1160*(1+SUM($B$87)/12)-K1160)),"")</x:f>
        <x:v>0</x:v>
      </x:c>
      <x:c r="M1160" s="440" t="n">
        <x:f>IF(AND(ISNUMBER(D1160),ISNUMBER(K1160)),D1160+K1160,"")</x:f>
        <x:v>0</x:v>
      </x:c>
      <x:c r="N1160" s="440" t="n">
        <x:f>IF(AND(ISNUMBER(H1160),ISNUMBER(L1160)),H1160+L1160,"")</x:f>
        <x:v>0</x:v>
      </x:c>
    </x:row>
    <x:row r="1161" ht="22" customHeight="1">
      <x:c r="A1161" s="254" t="n">
        <x:f>761</x:f>
        <x:v>761</x:v>
      </x:c>
      <x:c r="B1161" s="440" t="n">
        <x:f>IF(ISNUMBER(H1160),H1160,"")</x:f>
        <x:v>0</x:v>
      </x:c>
      <x:c r="C1161" s="442" t="n">
        <x:f>IF(ISNUMBER(B1161),IF(AND(761&gt;$B$173,$B$78="Refinance",ISNUMBER($B$80),$B$80&gt;=0,$B$80&lt;=1,ROUND($B$81*12,0)&gt;=1,$B$81&lt;=100,SUM($B$82)&gt;=0,SUM($B$82)&lt;=1,SUM($B$83)&gt;=0),$B$80,IF(AND($B$175&gt;0,761&gt;$B$175,ISNUMBER($B$75)),$B$75,$B$61)),"")</x:f>
        <x:v>0.0625</x:v>
      </x:c>
      <x:c r="D1161" s="440" t="n">
        <x:f>IF(AND(ISNUMBER(B1161),B1161=0),0,IF(AND($B$171=1,I1160=0,ISNUMBER(C1161),ISNUMBER(IF(AND(761&lt;=$B$174,761&lt;=$B$173),B1161*C1161/12,IF(AND(761=$B$173+1,AND(761&gt;$B$173,$B$78="Refinance",ISNUMBER($B$80),$B$80&gt;=0,$B$80&lt;=1,ROUND($B$81*12,0)&gt;=1,$B$81&lt;=100,SUM($B$82)&gt;=0,SUM($B$82)&lt;=1,SUM($B$83)&gt;=0)),IF(B1161=0,0,IF(C1161=0,B1161/ROUND($B$81*12,0),B1161*(C1161/12)/(1-(1+C1161/12)^(-ROUND($B$81*12,0))))),IF(AND(NOT(AND(761&gt;$B$173,$B$78="Refinance",ISNUMBER($B$80),$B$80&gt;=0,$B$80&lt;=1,ROUND($B$81*12,0)&gt;=1,$B$81&lt;=100,SUM($B$82)&gt;=0,SUM($B$82)&lt;=1,SUM($B$83)&gt;=0)),OR(761=1,761=$B$174+1,AND($B$175&gt;0,761=$B$175+1))),IF(AND($B$170=1,$B$66&gt;0,OR($B$175=0,761&lt;=$B$175)),$B$66,IF($B$172-MAX(761-1,$B$174)&gt;0,IF(B1161=0,0,IF(C1161=0,B1161/($B$172-MAX(761-1,$B$174)),B1161*(C1161/12)/(1-(1+C1161/12)^(-($B$172-MAX(761-1,$B$174)))))),"")),D1160))))),IF(IF(AND(761&lt;=$B$174,761&lt;=$B$173),B1161*C1161/12,IF(AND(761=$B$173+1,AND(761&gt;$B$173,$B$78="Refinance",ISNUMBER($B$80),$B$80&gt;=0,$B$80&lt;=1,ROUND($B$81*12,0)&gt;=1,$B$81&lt;=100,SUM($B$82)&gt;=0,SUM($B$82)&lt;=1,SUM($B$83)&gt;=0)),IF(B1161=0,0,IF(C1161=0,B1161/ROUND($B$81*12,0),B1161*(C1161/12)/(1-(1+C1161/12)^(-ROUND($B$81*12,0))))),IF(AND(NOT(AND(761&gt;$B$173,$B$78="Refinance",ISNUMBER($B$80),$B$80&gt;=0,$B$80&lt;=1,ROUND($B$81*12,0)&gt;=1,$B$81&lt;=100,SUM($B$82)&gt;=0,SUM($B$82)&lt;=1,SUM($B$83)&gt;=0)),OR(761=1,761=$B$174+1,AND($B$175&gt;0,761=$B$175+1))),IF(AND($B$170=1,$B$66&gt;0,OR($B$175=0,761&lt;=$B$175)),$B$66,IF($B$172-MAX(761-1,$B$174)&gt;0,IF(B1161=0,0,IF(C1161=0,B1161/($B$172-MAX(761-1,$B$174)),B1161*(C1161/12)/(1-(1+C1161/12)^(-($B$172-MAX(761-1,$B$174)))))),"")),D1160)))+0.0000001&gt;=B1161*C1161/12,MIN(B1161*(1+C1161/12),IF(AND(761&lt;=$B$174,761&lt;=$B$173),B1161*C1161/12,IF(AND(761=$B$173+1,AND(761&gt;$B$173,$B$78="Refinance",ISNUMBER($B$80),$B$80&gt;=0,$B$80&lt;=1,ROUND($B$81*12,0)&gt;=1,$B$81&lt;=100,SUM($B$82)&gt;=0,SUM($B$82)&lt;=1,SUM($B$83)&gt;=0)),IF(B1161=0,0,IF(C1161=0,B1161/ROUND($B$81*12,0),B1161*(C1161/12)/(1-(1+C1161/12)^(-ROUND($B$81*12,0))))),IF(AND(NOT(AND(761&gt;$B$173,$B$78="Refinance",ISNUMBER($B$80),$B$80&gt;=0,$B$80&lt;=1,ROUND($B$81*12,0)&gt;=1,$B$81&lt;=100,SUM($B$82)&gt;=0,SUM($B$82)&lt;=1,SUM($B$83)&gt;=0)),OR(761=1,761=$B$174+1,AND($B$175&gt;0,761=$B$175+1))),IF(AND($B$170=1,$B$66&gt;0,OR($B$175=0,761&lt;=$B$175)),$B$66,IF($B$172-MAX(761-1,$B$174)&gt;0,IF(B1161=0,0,IF(C1161=0,B1161/($B$172-MAX(761-1,$B$174)),B1161*(C1161/12)/(1-(1+C1161/12)^(-($B$172-MAX(761-1,$B$174)))))),"")),D1160)))),""),""))</x:f>
        <x:v>0</x:v>
      </x:c>
      <x:c r="E1161" s="440" t="n">
        <x:f>IF(AND(761=$B$173,ISNUMBER(D1161)),IF(MAX(0,B1161*(1+C1161/12)-D1161)&lt;MAX(0.0000001,$E$17*0.00000000001),0,MAX(0,B1161*(1+C1161/12)-D1161)),0)</x:f>
        <x:v>0</x:v>
      </x:c>
      <x:c r="F1161" s="440" t="n">
        <x:f>IF($B$78="Cash payoff",E1161,0)</x:f>
        <x:v>0</x:v>
      </x:c>
      <x:c r="G1161" s="440" t="n">
        <x:f>IF(AND(E1161&gt;0,AND($B$78="Refinance",ISNUMBER($B$80),$B$80&gt;=0,$B$80&lt;=1,ROUND($B$81*12,0)&gt;=1,$B$81&lt;=100,SUM($B$82)&gt;=0,SUM($B$82)&lt;=1,SUM($B$83)&gt;=0)),E1161*SUM($B$82)+SUM($B$83),0)</x:f>
        <x:v>0</x:v>
      </x:c>
      <x:c r="H1161" s="440" t="n">
        <x:f>IF(ISNUMBER(D1161),IF(MAX(0,B1161*(1+C1161/12)-D1161-F1161)&lt;MAX(0.0000001,$E$17*0.00000000001),0,MAX(0,B1161*(1+C1161/12)-D1161-F1161)),IF(AND($B$171=1,I1160=1),B1161,""))</x:f>
        <x:v>0</x:v>
      </x:c>
      <x:c r="I1161" s="444" t="n">
        <x:f>IF(OR(I1160=1,AND(E1161&gt;0,$B$78&lt;&gt;"Cash payoff",NOT(AND($B$78="Refinance",ISNUMBER($B$80),$B$80&gt;=0,$B$80&lt;=1,ROUND($B$81*12,0)&gt;=1,$B$81&lt;=100,SUM($B$82)&gt;=0,SUM($B$82)&lt;=1,SUM($B$83)&gt;=0))),AND(ISNUMBER(B1161),B1161&gt;0,$B$171=1,NOT(ISNUMBER(D1161)))),1,0)</x:f>
        <x:v>0</x:v>
      </x:c>
      <x:c r="J1161" s="440" t="n">
        <x:f>IF(ISNUMBER(L1160),L1160,"")</x:f>
        <x:v>0</x:v>
      </x:c>
      <x:c r="K1161" s="440" t="n">
        <x:f>IF(AND(ISNUMBER(J1161),J1161=0),0,IF(AND($B$176=1,ISNUMBER(J1161)),MIN(J1161*(1+$B$87/12),IF($B$86=0,0,IF($B$87=0,$B$86/ROUND($B$88*12,0),$B$86*($B$87/12)/(1-(1+$B$87/12)^(-ROUND($B$88*12,0)))))),""))</x:f>
        <x:v>0</x:v>
      </x:c>
      <x:c r="L1161" s="440" t="n">
        <x:f>IF(ISNUMBER(K1161),IF(MAX(0,J1161*(1+SUM($B$87)/12)-K1161)&lt;MAX(0.0000001,$B$86*0.00000000001),0,MAX(0,J1161*(1+SUM($B$87)/12)-K1161)),"")</x:f>
        <x:v>0</x:v>
      </x:c>
      <x:c r="M1161" s="440" t="n">
        <x:f>IF(AND(ISNUMBER(D1161),ISNUMBER(K1161)),D1161+K1161,"")</x:f>
        <x:v>0</x:v>
      </x:c>
      <x:c r="N1161" s="440" t="n">
        <x:f>IF(AND(ISNUMBER(H1161),ISNUMBER(L1161)),H1161+L1161,"")</x:f>
        <x:v>0</x:v>
      </x:c>
    </x:row>
    <x:row r="1162" ht="22" customHeight="1">
      <x:c r="A1162" s="254" t="n">
        <x:f>762</x:f>
        <x:v>762</x:v>
      </x:c>
      <x:c r="B1162" s="440" t="n">
        <x:f>IF(ISNUMBER(H1161),H1161,"")</x:f>
        <x:v>0</x:v>
      </x:c>
      <x:c r="C1162" s="442" t="n">
        <x:f>IF(ISNUMBER(B1162),IF(AND(762&gt;$B$173,$B$78="Refinance",ISNUMBER($B$80),$B$80&gt;=0,$B$80&lt;=1,ROUND($B$81*12,0)&gt;=1,$B$81&lt;=100,SUM($B$82)&gt;=0,SUM($B$82)&lt;=1,SUM($B$83)&gt;=0),$B$80,IF(AND($B$175&gt;0,762&gt;$B$175,ISNUMBER($B$75)),$B$75,$B$61)),"")</x:f>
        <x:v>0.0625</x:v>
      </x:c>
      <x:c r="D1162" s="440" t="n">
        <x:f>IF(AND(ISNUMBER(B1162),B1162=0),0,IF(AND($B$171=1,I1161=0,ISNUMBER(C1162),ISNUMBER(IF(AND(762&lt;=$B$174,762&lt;=$B$173),B1162*C1162/12,IF(AND(762=$B$173+1,AND(762&gt;$B$173,$B$78="Refinance",ISNUMBER($B$80),$B$80&gt;=0,$B$80&lt;=1,ROUND($B$81*12,0)&gt;=1,$B$81&lt;=100,SUM($B$82)&gt;=0,SUM($B$82)&lt;=1,SUM($B$83)&gt;=0)),IF(B1162=0,0,IF(C1162=0,B1162/ROUND($B$81*12,0),B1162*(C1162/12)/(1-(1+C1162/12)^(-ROUND($B$81*12,0))))),IF(AND(NOT(AND(762&gt;$B$173,$B$78="Refinance",ISNUMBER($B$80),$B$80&gt;=0,$B$80&lt;=1,ROUND($B$81*12,0)&gt;=1,$B$81&lt;=100,SUM($B$82)&gt;=0,SUM($B$82)&lt;=1,SUM($B$83)&gt;=0)),OR(762=1,762=$B$174+1,AND($B$175&gt;0,762=$B$175+1))),IF(AND($B$170=1,$B$66&gt;0,OR($B$175=0,762&lt;=$B$175)),$B$66,IF($B$172-MAX(762-1,$B$174)&gt;0,IF(B1162=0,0,IF(C1162=0,B1162/($B$172-MAX(762-1,$B$174)),B1162*(C1162/12)/(1-(1+C1162/12)^(-($B$172-MAX(762-1,$B$174)))))),"")),D1161))))),IF(IF(AND(762&lt;=$B$174,762&lt;=$B$173),B1162*C1162/12,IF(AND(762=$B$173+1,AND(762&gt;$B$173,$B$78="Refinance",ISNUMBER($B$80),$B$80&gt;=0,$B$80&lt;=1,ROUND($B$81*12,0)&gt;=1,$B$81&lt;=100,SUM($B$82)&gt;=0,SUM($B$82)&lt;=1,SUM($B$83)&gt;=0)),IF(B1162=0,0,IF(C1162=0,B1162/ROUND($B$81*12,0),B1162*(C1162/12)/(1-(1+C1162/12)^(-ROUND($B$81*12,0))))),IF(AND(NOT(AND(762&gt;$B$173,$B$78="Refinance",ISNUMBER($B$80),$B$80&gt;=0,$B$80&lt;=1,ROUND($B$81*12,0)&gt;=1,$B$81&lt;=100,SUM($B$82)&gt;=0,SUM($B$82)&lt;=1,SUM($B$83)&gt;=0)),OR(762=1,762=$B$174+1,AND($B$175&gt;0,762=$B$175+1))),IF(AND($B$170=1,$B$66&gt;0,OR($B$175=0,762&lt;=$B$175)),$B$66,IF($B$172-MAX(762-1,$B$174)&gt;0,IF(B1162=0,0,IF(C1162=0,B1162/($B$172-MAX(762-1,$B$174)),B1162*(C1162/12)/(1-(1+C1162/12)^(-($B$172-MAX(762-1,$B$174)))))),"")),D1161)))+0.0000001&gt;=B1162*C1162/12,MIN(B1162*(1+C1162/12),IF(AND(762&lt;=$B$174,762&lt;=$B$173),B1162*C1162/12,IF(AND(762=$B$173+1,AND(762&gt;$B$173,$B$78="Refinance",ISNUMBER($B$80),$B$80&gt;=0,$B$80&lt;=1,ROUND($B$81*12,0)&gt;=1,$B$81&lt;=100,SUM($B$82)&gt;=0,SUM($B$82)&lt;=1,SUM($B$83)&gt;=0)),IF(B1162=0,0,IF(C1162=0,B1162/ROUND($B$81*12,0),B1162*(C1162/12)/(1-(1+C1162/12)^(-ROUND($B$81*12,0))))),IF(AND(NOT(AND(762&gt;$B$173,$B$78="Refinance",ISNUMBER($B$80),$B$80&gt;=0,$B$80&lt;=1,ROUND($B$81*12,0)&gt;=1,$B$81&lt;=100,SUM($B$82)&gt;=0,SUM($B$82)&lt;=1,SUM($B$83)&gt;=0)),OR(762=1,762=$B$174+1,AND($B$175&gt;0,762=$B$175+1))),IF(AND($B$170=1,$B$66&gt;0,OR($B$175=0,762&lt;=$B$175)),$B$66,IF($B$172-MAX(762-1,$B$174)&gt;0,IF(B1162=0,0,IF(C1162=0,B1162/($B$172-MAX(762-1,$B$174)),B1162*(C1162/12)/(1-(1+C1162/12)^(-($B$172-MAX(762-1,$B$174)))))),"")),D1161)))),""),""))</x:f>
        <x:v>0</x:v>
      </x:c>
      <x:c r="E1162" s="440" t="n">
        <x:f>IF(AND(762=$B$173,ISNUMBER(D1162)),IF(MAX(0,B1162*(1+C1162/12)-D1162)&lt;MAX(0.0000001,$E$17*0.00000000001),0,MAX(0,B1162*(1+C1162/12)-D1162)),0)</x:f>
        <x:v>0</x:v>
      </x:c>
      <x:c r="F1162" s="440" t="n">
        <x:f>IF($B$78="Cash payoff",E1162,0)</x:f>
        <x:v>0</x:v>
      </x:c>
      <x:c r="G1162" s="440" t="n">
        <x:f>IF(AND(E1162&gt;0,AND($B$78="Refinance",ISNUMBER($B$80),$B$80&gt;=0,$B$80&lt;=1,ROUND($B$81*12,0)&gt;=1,$B$81&lt;=100,SUM($B$82)&gt;=0,SUM($B$82)&lt;=1,SUM($B$83)&gt;=0)),E1162*SUM($B$82)+SUM($B$83),0)</x:f>
        <x:v>0</x:v>
      </x:c>
      <x:c r="H1162" s="440" t="n">
        <x:f>IF(ISNUMBER(D1162),IF(MAX(0,B1162*(1+C1162/12)-D1162-F1162)&lt;MAX(0.0000001,$E$17*0.00000000001),0,MAX(0,B1162*(1+C1162/12)-D1162-F1162)),IF(AND($B$171=1,I1161=1),B1162,""))</x:f>
        <x:v>0</x:v>
      </x:c>
      <x:c r="I1162" s="444" t="n">
        <x:f>IF(OR(I1161=1,AND(E1162&gt;0,$B$78&lt;&gt;"Cash payoff",NOT(AND($B$78="Refinance",ISNUMBER($B$80),$B$80&gt;=0,$B$80&lt;=1,ROUND($B$81*12,0)&gt;=1,$B$81&lt;=100,SUM($B$82)&gt;=0,SUM($B$82)&lt;=1,SUM($B$83)&gt;=0))),AND(ISNUMBER(B1162),B1162&gt;0,$B$171=1,NOT(ISNUMBER(D1162)))),1,0)</x:f>
        <x:v>0</x:v>
      </x:c>
      <x:c r="J1162" s="440" t="n">
        <x:f>IF(ISNUMBER(L1161),L1161,"")</x:f>
        <x:v>0</x:v>
      </x:c>
      <x:c r="K1162" s="440" t="n">
        <x:f>IF(AND(ISNUMBER(J1162),J1162=0),0,IF(AND($B$176=1,ISNUMBER(J1162)),MIN(J1162*(1+$B$87/12),IF($B$86=0,0,IF($B$87=0,$B$86/ROUND($B$88*12,0),$B$86*($B$87/12)/(1-(1+$B$87/12)^(-ROUND($B$88*12,0)))))),""))</x:f>
        <x:v>0</x:v>
      </x:c>
      <x:c r="L1162" s="440" t="n">
        <x:f>IF(ISNUMBER(K1162),IF(MAX(0,J1162*(1+SUM($B$87)/12)-K1162)&lt;MAX(0.0000001,$B$86*0.00000000001),0,MAX(0,J1162*(1+SUM($B$87)/12)-K1162)),"")</x:f>
        <x:v>0</x:v>
      </x:c>
      <x:c r="M1162" s="440" t="n">
        <x:f>IF(AND(ISNUMBER(D1162),ISNUMBER(K1162)),D1162+K1162,"")</x:f>
        <x:v>0</x:v>
      </x:c>
      <x:c r="N1162" s="440" t="n">
        <x:f>IF(AND(ISNUMBER(H1162),ISNUMBER(L1162)),H1162+L1162,"")</x:f>
        <x:v>0</x:v>
      </x:c>
    </x:row>
    <x:row r="1163" ht="22" customHeight="1">
      <x:c r="A1163" s="254" t="n">
        <x:f>763</x:f>
        <x:v>763</x:v>
      </x:c>
      <x:c r="B1163" s="440" t="n">
        <x:f>IF(ISNUMBER(H1162),H1162,"")</x:f>
        <x:v>0</x:v>
      </x:c>
      <x:c r="C1163" s="442" t="n">
        <x:f>IF(ISNUMBER(B1163),IF(AND(763&gt;$B$173,$B$78="Refinance",ISNUMBER($B$80),$B$80&gt;=0,$B$80&lt;=1,ROUND($B$81*12,0)&gt;=1,$B$81&lt;=100,SUM($B$82)&gt;=0,SUM($B$82)&lt;=1,SUM($B$83)&gt;=0),$B$80,IF(AND($B$175&gt;0,763&gt;$B$175,ISNUMBER($B$75)),$B$75,$B$61)),"")</x:f>
        <x:v>0.0625</x:v>
      </x:c>
      <x:c r="D1163" s="440" t="n">
        <x:f>IF(AND(ISNUMBER(B1163),B1163=0),0,IF(AND($B$171=1,I1162=0,ISNUMBER(C1163),ISNUMBER(IF(AND(763&lt;=$B$174,763&lt;=$B$173),B1163*C1163/12,IF(AND(763=$B$173+1,AND(763&gt;$B$173,$B$78="Refinance",ISNUMBER($B$80),$B$80&gt;=0,$B$80&lt;=1,ROUND($B$81*12,0)&gt;=1,$B$81&lt;=100,SUM($B$82)&gt;=0,SUM($B$82)&lt;=1,SUM($B$83)&gt;=0)),IF(B1163=0,0,IF(C1163=0,B1163/ROUND($B$81*12,0),B1163*(C1163/12)/(1-(1+C1163/12)^(-ROUND($B$81*12,0))))),IF(AND(NOT(AND(763&gt;$B$173,$B$78="Refinance",ISNUMBER($B$80),$B$80&gt;=0,$B$80&lt;=1,ROUND($B$81*12,0)&gt;=1,$B$81&lt;=100,SUM($B$82)&gt;=0,SUM($B$82)&lt;=1,SUM($B$83)&gt;=0)),OR(763=1,763=$B$174+1,AND($B$175&gt;0,763=$B$175+1))),IF(AND($B$170=1,$B$66&gt;0,OR($B$175=0,763&lt;=$B$175)),$B$66,IF($B$172-MAX(763-1,$B$174)&gt;0,IF(B1163=0,0,IF(C1163=0,B1163/($B$172-MAX(763-1,$B$174)),B1163*(C1163/12)/(1-(1+C1163/12)^(-($B$172-MAX(763-1,$B$174)))))),"")),D1162))))),IF(IF(AND(763&lt;=$B$174,763&lt;=$B$173),B1163*C1163/12,IF(AND(763=$B$173+1,AND(763&gt;$B$173,$B$78="Refinance",ISNUMBER($B$80),$B$80&gt;=0,$B$80&lt;=1,ROUND($B$81*12,0)&gt;=1,$B$81&lt;=100,SUM($B$82)&gt;=0,SUM($B$82)&lt;=1,SUM($B$83)&gt;=0)),IF(B1163=0,0,IF(C1163=0,B1163/ROUND($B$81*12,0),B1163*(C1163/12)/(1-(1+C1163/12)^(-ROUND($B$81*12,0))))),IF(AND(NOT(AND(763&gt;$B$173,$B$78="Refinance",ISNUMBER($B$80),$B$80&gt;=0,$B$80&lt;=1,ROUND($B$81*12,0)&gt;=1,$B$81&lt;=100,SUM($B$82)&gt;=0,SUM($B$82)&lt;=1,SUM($B$83)&gt;=0)),OR(763=1,763=$B$174+1,AND($B$175&gt;0,763=$B$175+1))),IF(AND($B$170=1,$B$66&gt;0,OR($B$175=0,763&lt;=$B$175)),$B$66,IF($B$172-MAX(763-1,$B$174)&gt;0,IF(B1163=0,0,IF(C1163=0,B1163/($B$172-MAX(763-1,$B$174)),B1163*(C1163/12)/(1-(1+C1163/12)^(-($B$172-MAX(763-1,$B$174)))))),"")),D1162)))+0.0000001&gt;=B1163*C1163/12,MIN(B1163*(1+C1163/12),IF(AND(763&lt;=$B$174,763&lt;=$B$173),B1163*C1163/12,IF(AND(763=$B$173+1,AND(763&gt;$B$173,$B$78="Refinance",ISNUMBER($B$80),$B$80&gt;=0,$B$80&lt;=1,ROUND($B$81*12,0)&gt;=1,$B$81&lt;=100,SUM($B$82)&gt;=0,SUM($B$82)&lt;=1,SUM($B$83)&gt;=0)),IF(B1163=0,0,IF(C1163=0,B1163/ROUND($B$81*12,0),B1163*(C1163/12)/(1-(1+C1163/12)^(-ROUND($B$81*12,0))))),IF(AND(NOT(AND(763&gt;$B$173,$B$78="Refinance",ISNUMBER($B$80),$B$80&gt;=0,$B$80&lt;=1,ROUND($B$81*12,0)&gt;=1,$B$81&lt;=100,SUM($B$82)&gt;=0,SUM($B$82)&lt;=1,SUM($B$83)&gt;=0)),OR(763=1,763=$B$174+1,AND($B$175&gt;0,763=$B$175+1))),IF(AND($B$170=1,$B$66&gt;0,OR($B$175=0,763&lt;=$B$175)),$B$66,IF($B$172-MAX(763-1,$B$174)&gt;0,IF(B1163=0,0,IF(C1163=0,B1163/($B$172-MAX(763-1,$B$174)),B1163*(C1163/12)/(1-(1+C1163/12)^(-($B$172-MAX(763-1,$B$174)))))),"")),D1162)))),""),""))</x:f>
        <x:v>0</x:v>
      </x:c>
      <x:c r="E1163" s="440" t="n">
        <x:f>IF(AND(763=$B$173,ISNUMBER(D1163)),IF(MAX(0,B1163*(1+C1163/12)-D1163)&lt;MAX(0.0000001,$E$17*0.00000000001),0,MAX(0,B1163*(1+C1163/12)-D1163)),0)</x:f>
        <x:v>0</x:v>
      </x:c>
      <x:c r="F1163" s="440" t="n">
        <x:f>IF($B$78="Cash payoff",E1163,0)</x:f>
        <x:v>0</x:v>
      </x:c>
      <x:c r="G1163" s="440" t="n">
        <x:f>IF(AND(E1163&gt;0,AND($B$78="Refinance",ISNUMBER($B$80),$B$80&gt;=0,$B$80&lt;=1,ROUND($B$81*12,0)&gt;=1,$B$81&lt;=100,SUM($B$82)&gt;=0,SUM($B$82)&lt;=1,SUM($B$83)&gt;=0)),E1163*SUM($B$82)+SUM($B$83),0)</x:f>
        <x:v>0</x:v>
      </x:c>
      <x:c r="H1163" s="440" t="n">
        <x:f>IF(ISNUMBER(D1163),IF(MAX(0,B1163*(1+C1163/12)-D1163-F1163)&lt;MAX(0.0000001,$E$17*0.00000000001),0,MAX(0,B1163*(1+C1163/12)-D1163-F1163)),IF(AND($B$171=1,I1162=1),B1163,""))</x:f>
        <x:v>0</x:v>
      </x:c>
      <x:c r="I1163" s="444" t="n">
        <x:f>IF(OR(I1162=1,AND(E1163&gt;0,$B$78&lt;&gt;"Cash payoff",NOT(AND($B$78="Refinance",ISNUMBER($B$80),$B$80&gt;=0,$B$80&lt;=1,ROUND($B$81*12,0)&gt;=1,$B$81&lt;=100,SUM($B$82)&gt;=0,SUM($B$82)&lt;=1,SUM($B$83)&gt;=0))),AND(ISNUMBER(B1163),B1163&gt;0,$B$171=1,NOT(ISNUMBER(D1163)))),1,0)</x:f>
        <x:v>0</x:v>
      </x:c>
      <x:c r="J1163" s="440" t="n">
        <x:f>IF(ISNUMBER(L1162),L1162,"")</x:f>
        <x:v>0</x:v>
      </x:c>
      <x:c r="K1163" s="440" t="n">
        <x:f>IF(AND(ISNUMBER(J1163),J1163=0),0,IF(AND($B$176=1,ISNUMBER(J1163)),MIN(J1163*(1+$B$87/12),IF($B$86=0,0,IF($B$87=0,$B$86/ROUND($B$88*12,0),$B$86*($B$87/12)/(1-(1+$B$87/12)^(-ROUND($B$88*12,0)))))),""))</x:f>
        <x:v>0</x:v>
      </x:c>
      <x:c r="L1163" s="440" t="n">
        <x:f>IF(ISNUMBER(K1163),IF(MAX(0,J1163*(1+SUM($B$87)/12)-K1163)&lt;MAX(0.0000001,$B$86*0.00000000001),0,MAX(0,J1163*(1+SUM($B$87)/12)-K1163)),"")</x:f>
        <x:v>0</x:v>
      </x:c>
      <x:c r="M1163" s="440" t="n">
        <x:f>IF(AND(ISNUMBER(D1163),ISNUMBER(K1163)),D1163+K1163,"")</x:f>
        <x:v>0</x:v>
      </x:c>
      <x:c r="N1163" s="440" t="n">
        <x:f>IF(AND(ISNUMBER(H1163),ISNUMBER(L1163)),H1163+L1163,"")</x:f>
        <x:v>0</x:v>
      </x:c>
    </x:row>
    <x:row r="1164" ht="22" customHeight="1">
      <x:c r="A1164" s="254" t="n">
        <x:f>764</x:f>
        <x:v>764</x:v>
      </x:c>
      <x:c r="B1164" s="440" t="n">
        <x:f>IF(ISNUMBER(H1163),H1163,"")</x:f>
        <x:v>0</x:v>
      </x:c>
      <x:c r="C1164" s="442" t="n">
        <x:f>IF(ISNUMBER(B1164),IF(AND(764&gt;$B$173,$B$78="Refinance",ISNUMBER($B$80),$B$80&gt;=0,$B$80&lt;=1,ROUND($B$81*12,0)&gt;=1,$B$81&lt;=100,SUM($B$82)&gt;=0,SUM($B$82)&lt;=1,SUM($B$83)&gt;=0),$B$80,IF(AND($B$175&gt;0,764&gt;$B$175,ISNUMBER($B$75)),$B$75,$B$61)),"")</x:f>
        <x:v>0.0625</x:v>
      </x:c>
      <x:c r="D1164" s="440" t="n">
        <x:f>IF(AND(ISNUMBER(B1164),B1164=0),0,IF(AND($B$171=1,I1163=0,ISNUMBER(C1164),ISNUMBER(IF(AND(764&lt;=$B$174,764&lt;=$B$173),B1164*C1164/12,IF(AND(764=$B$173+1,AND(764&gt;$B$173,$B$78="Refinance",ISNUMBER($B$80),$B$80&gt;=0,$B$80&lt;=1,ROUND($B$81*12,0)&gt;=1,$B$81&lt;=100,SUM($B$82)&gt;=0,SUM($B$82)&lt;=1,SUM($B$83)&gt;=0)),IF(B1164=0,0,IF(C1164=0,B1164/ROUND($B$81*12,0),B1164*(C1164/12)/(1-(1+C1164/12)^(-ROUND($B$81*12,0))))),IF(AND(NOT(AND(764&gt;$B$173,$B$78="Refinance",ISNUMBER($B$80),$B$80&gt;=0,$B$80&lt;=1,ROUND($B$81*12,0)&gt;=1,$B$81&lt;=100,SUM($B$82)&gt;=0,SUM($B$82)&lt;=1,SUM($B$83)&gt;=0)),OR(764=1,764=$B$174+1,AND($B$175&gt;0,764=$B$175+1))),IF(AND($B$170=1,$B$66&gt;0,OR($B$175=0,764&lt;=$B$175)),$B$66,IF($B$172-MAX(764-1,$B$174)&gt;0,IF(B1164=0,0,IF(C1164=0,B1164/($B$172-MAX(764-1,$B$174)),B1164*(C1164/12)/(1-(1+C1164/12)^(-($B$172-MAX(764-1,$B$174)))))),"")),D1163))))),IF(IF(AND(764&lt;=$B$174,764&lt;=$B$173),B1164*C1164/12,IF(AND(764=$B$173+1,AND(764&gt;$B$173,$B$78="Refinance",ISNUMBER($B$80),$B$80&gt;=0,$B$80&lt;=1,ROUND($B$81*12,0)&gt;=1,$B$81&lt;=100,SUM($B$82)&gt;=0,SUM($B$82)&lt;=1,SUM($B$83)&gt;=0)),IF(B1164=0,0,IF(C1164=0,B1164/ROUND($B$81*12,0),B1164*(C1164/12)/(1-(1+C1164/12)^(-ROUND($B$81*12,0))))),IF(AND(NOT(AND(764&gt;$B$173,$B$78="Refinance",ISNUMBER($B$80),$B$80&gt;=0,$B$80&lt;=1,ROUND($B$81*12,0)&gt;=1,$B$81&lt;=100,SUM($B$82)&gt;=0,SUM($B$82)&lt;=1,SUM($B$83)&gt;=0)),OR(764=1,764=$B$174+1,AND($B$175&gt;0,764=$B$175+1))),IF(AND($B$170=1,$B$66&gt;0,OR($B$175=0,764&lt;=$B$175)),$B$66,IF($B$172-MAX(764-1,$B$174)&gt;0,IF(B1164=0,0,IF(C1164=0,B1164/($B$172-MAX(764-1,$B$174)),B1164*(C1164/12)/(1-(1+C1164/12)^(-($B$172-MAX(764-1,$B$174)))))),"")),D1163)))+0.0000001&gt;=B1164*C1164/12,MIN(B1164*(1+C1164/12),IF(AND(764&lt;=$B$174,764&lt;=$B$173),B1164*C1164/12,IF(AND(764=$B$173+1,AND(764&gt;$B$173,$B$78="Refinance",ISNUMBER($B$80),$B$80&gt;=0,$B$80&lt;=1,ROUND($B$81*12,0)&gt;=1,$B$81&lt;=100,SUM($B$82)&gt;=0,SUM($B$82)&lt;=1,SUM($B$83)&gt;=0)),IF(B1164=0,0,IF(C1164=0,B1164/ROUND($B$81*12,0),B1164*(C1164/12)/(1-(1+C1164/12)^(-ROUND($B$81*12,0))))),IF(AND(NOT(AND(764&gt;$B$173,$B$78="Refinance",ISNUMBER($B$80),$B$80&gt;=0,$B$80&lt;=1,ROUND($B$81*12,0)&gt;=1,$B$81&lt;=100,SUM($B$82)&gt;=0,SUM($B$82)&lt;=1,SUM($B$83)&gt;=0)),OR(764=1,764=$B$174+1,AND($B$175&gt;0,764=$B$175+1))),IF(AND($B$170=1,$B$66&gt;0,OR($B$175=0,764&lt;=$B$175)),$B$66,IF($B$172-MAX(764-1,$B$174)&gt;0,IF(B1164=0,0,IF(C1164=0,B1164/($B$172-MAX(764-1,$B$174)),B1164*(C1164/12)/(1-(1+C1164/12)^(-($B$172-MAX(764-1,$B$174)))))),"")),D1163)))),""),""))</x:f>
        <x:v>0</x:v>
      </x:c>
      <x:c r="E1164" s="440" t="n">
        <x:f>IF(AND(764=$B$173,ISNUMBER(D1164)),IF(MAX(0,B1164*(1+C1164/12)-D1164)&lt;MAX(0.0000001,$E$17*0.00000000001),0,MAX(0,B1164*(1+C1164/12)-D1164)),0)</x:f>
        <x:v>0</x:v>
      </x:c>
      <x:c r="F1164" s="440" t="n">
        <x:f>IF($B$78="Cash payoff",E1164,0)</x:f>
        <x:v>0</x:v>
      </x:c>
      <x:c r="G1164" s="440" t="n">
        <x:f>IF(AND(E1164&gt;0,AND($B$78="Refinance",ISNUMBER($B$80),$B$80&gt;=0,$B$80&lt;=1,ROUND($B$81*12,0)&gt;=1,$B$81&lt;=100,SUM($B$82)&gt;=0,SUM($B$82)&lt;=1,SUM($B$83)&gt;=0)),E1164*SUM($B$82)+SUM($B$83),0)</x:f>
        <x:v>0</x:v>
      </x:c>
      <x:c r="H1164" s="440" t="n">
        <x:f>IF(ISNUMBER(D1164),IF(MAX(0,B1164*(1+C1164/12)-D1164-F1164)&lt;MAX(0.0000001,$E$17*0.00000000001),0,MAX(0,B1164*(1+C1164/12)-D1164-F1164)),IF(AND($B$171=1,I1163=1),B1164,""))</x:f>
        <x:v>0</x:v>
      </x:c>
      <x:c r="I1164" s="444" t="n">
        <x:f>IF(OR(I1163=1,AND(E1164&gt;0,$B$78&lt;&gt;"Cash payoff",NOT(AND($B$78="Refinance",ISNUMBER($B$80),$B$80&gt;=0,$B$80&lt;=1,ROUND($B$81*12,0)&gt;=1,$B$81&lt;=100,SUM($B$82)&gt;=0,SUM($B$82)&lt;=1,SUM($B$83)&gt;=0))),AND(ISNUMBER(B1164),B1164&gt;0,$B$171=1,NOT(ISNUMBER(D1164)))),1,0)</x:f>
        <x:v>0</x:v>
      </x:c>
      <x:c r="J1164" s="440" t="n">
        <x:f>IF(ISNUMBER(L1163),L1163,"")</x:f>
        <x:v>0</x:v>
      </x:c>
      <x:c r="K1164" s="440" t="n">
        <x:f>IF(AND(ISNUMBER(J1164),J1164=0),0,IF(AND($B$176=1,ISNUMBER(J1164)),MIN(J1164*(1+$B$87/12),IF($B$86=0,0,IF($B$87=0,$B$86/ROUND($B$88*12,0),$B$86*($B$87/12)/(1-(1+$B$87/12)^(-ROUND($B$88*12,0)))))),""))</x:f>
        <x:v>0</x:v>
      </x:c>
      <x:c r="L1164" s="440" t="n">
        <x:f>IF(ISNUMBER(K1164),IF(MAX(0,J1164*(1+SUM($B$87)/12)-K1164)&lt;MAX(0.0000001,$B$86*0.00000000001),0,MAX(0,J1164*(1+SUM($B$87)/12)-K1164)),"")</x:f>
        <x:v>0</x:v>
      </x:c>
      <x:c r="M1164" s="440" t="n">
        <x:f>IF(AND(ISNUMBER(D1164),ISNUMBER(K1164)),D1164+K1164,"")</x:f>
        <x:v>0</x:v>
      </x:c>
      <x:c r="N1164" s="440" t="n">
        <x:f>IF(AND(ISNUMBER(H1164),ISNUMBER(L1164)),H1164+L1164,"")</x:f>
        <x:v>0</x:v>
      </x:c>
    </x:row>
    <x:row r="1165" ht="22" customHeight="1">
      <x:c r="A1165" s="254" t="n">
        <x:f>765</x:f>
        <x:v>765</x:v>
      </x:c>
      <x:c r="B1165" s="440" t="n">
        <x:f>IF(ISNUMBER(H1164),H1164,"")</x:f>
        <x:v>0</x:v>
      </x:c>
      <x:c r="C1165" s="442" t="n">
        <x:f>IF(ISNUMBER(B1165),IF(AND(765&gt;$B$173,$B$78="Refinance",ISNUMBER($B$80),$B$80&gt;=0,$B$80&lt;=1,ROUND($B$81*12,0)&gt;=1,$B$81&lt;=100,SUM($B$82)&gt;=0,SUM($B$82)&lt;=1,SUM($B$83)&gt;=0),$B$80,IF(AND($B$175&gt;0,765&gt;$B$175,ISNUMBER($B$75)),$B$75,$B$61)),"")</x:f>
        <x:v>0.0625</x:v>
      </x:c>
      <x:c r="D1165" s="440" t="n">
        <x:f>IF(AND(ISNUMBER(B1165),B1165=0),0,IF(AND($B$171=1,I1164=0,ISNUMBER(C1165),ISNUMBER(IF(AND(765&lt;=$B$174,765&lt;=$B$173),B1165*C1165/12,IF(AND(765=$B$173+1,AND(765&gt;$B$173,$B$78="Refinance",ISNUMBER($B$80),$B$80&gt;=0,$B$80&lt;=1,ROUND($B$81*12,0)&gt;=1,$B$81&lt;=100,SUM($B$82)&gt;=0,SUM($B$82)&lt;=1,SUM($B$83)&gt;=0)),IF(B1165=0,0,IF(C1165=0,B1165/ROUND($B$81*12,0),B1165*(C1165/12)/(1-(1+C1165/12)^(-ROUND($B$81*12,0))))),IF(AND(NOT(AND(765&gt;$B$173,$B$78="Refinance",ISNUMBER($B$80),$B$80&gt;=0,$B$80&lt;=1,ROUND($B$81*12,0)&gt;=1,$B$81&lt;=100,SUM($B$82)&gt;=0,SUM($B$82)&lt;=1,SUM($B$83)&gt;=0)),OR(765=1,765=$B$174+1,AND($B$175&gt;0,765=$B$175+1))),IF(AND($B$170=1,$B$66&gt;0,OR($B$175=0,765&lt;=$B$175)),$B$66,IF($B$172-MAX(765-1,$B$174)&gt;0,IF(B1165=0,0,IF(C1165=0,B1165/($B$172-MAX(765-1,$B$174)),B1165*(C1165/12)/(1-(1+C1165/12)^(-($B$172-MAX(765-1,$B$174)))))),"")),D1164))))),IF(IF(AND(765&lt;=$B$174,765&lt;=$B$173),B1165*C1165/12,IF(AND(765=$B$173+1,AND(765&gt;$B$173,$B$78="Refinance",ISNUMBER($B$80),$B$80&gt;=0,$B$80&lt;=1,ROUND($B$81*12,0)&gt;=1,$B$81&lt;=100,SUM($B$82)&gt;=0,SUM($B$82)&lt;=1,SUM($B$83)&gt;=0)),IF(B1165=0,0,IF(C1165=0,B1165/ROUND($B$81*12,0),B1165*(C1165/12)/(1-(1+C1165/12)^(-ROUND($B$81*12,0))))),IF(AND(NOT(AND(765&gt;$B$173,$B$78="Refinance",ISNUMBER($B$80),$B$80&gt;=0,$B$80&lt;=1,ROUND($B$81*12,0)&gt;=1,$B$81&lt;=100,SUM($B$82)&gt;=0,SUM($B$82)&lt;=1,SUM($B$83)&gt;=0)),OR(765=1,765=$B$174+1,AND($B$175&gt;0,765=$B$175+1))),IF(AND($B$170=1,$B$66&gt;0,OR($B$175=0,765&lt;=$B$175)),$B$66,IF($B$172-MAX(765-1,$B$174)&gt;0,IF(B1165=0,0,IF(C1165=0,B1165/($B$172-MAX(765-1,$B$174)),B1165*(C1165/12)/(1-(1+C1165/12)^(-($B$172-MAX(765-1,$B$174)))))),"")),D1164)))+0.0000001&gt;=B1165*C1165/12,MIN(B1165*(1+C1165/12),IF(AND(765&lt;=$B$174,765&lt;=$B$173),B1165*C1165/12,IF(AND(765=$B$173+1,AND(765&gt;$B$173,$B$78="Refinance",ISNUMBER($B$80),$B$80&gt;=0,$B$80&lt;=1,ROUND($B$81*12,0)&gt;=1,$B$81&lt;=100,SUM($B$82)&gt;=0,SUM($B$82)&lt;=1,SUM($B$83)&gt;=0)),IF(B1165=0,0,IF(C1165=0,B1165/ROUND($B$81*12,0),B1165*(C1165/12)/(1-(1+C1165/12)^(-ROUND($B$81*12,0))))),IF(AND(NOT(AND(765&gt;$B$173,$B$78="Refinance",ISNUMBER($B$80),$B$80&gt;=0,$B$80&lt;=1,ROUND($B$81*12,0)&gt;=1,$B$81&lt;=100,SUM($B$82)&gt;=0,SUM($B$82)&lt;=1,SUM($B$83)&gt;=0)),OR(765=1,765=$B$174+1,AND($B$175&gt;0,765=$B$175+1))),IF(AND($B$170=1,$B$66&gt;0,OR($B$175=0,765&lt;=$B$175)),$B$66,IF($B$172-MAX(765-1,$B$174)&gt;0,IF(B1165=0,0,IF(C1165=0,B1165/($B$172-MAX(765-1,$B$174)),B1165*(C1165/12)/(1-(1+C1165/12)^(-($B$172-MAX(765-1,$B$174)))))),"")),D1164)))),""),""))</x:f>
        <x:v>0</x:v>
      </x:c>
      <x:c r="E1165" s="440" t="n">
        <x:f>IF(AND(765=$B$173,ISNUMBER(D1165)),IF(MAX(0,B1165*(1+C1165/12)-D1165)&lt;MAX(0.0000001,$E$17*0.00000000001),0,MAX(0,B1165*(1+C1165/12)-D1165)),0)</x:f>
        <x:v>0</x:v>
      </x:c>
      <x:c r="F1165" s="440" t="n">
        <x:f>IF($B$78="Cash payoff",E1165,0)</x:f>
        <x:v>0</x:v>
      </x:c>
      <x:c r="G1165" s="440" t="n">
        <x:f>IF(AND(E1165&gt;0,AND($B$78="Refinance",ISNUMBER($B$80),$B$80&gt;=0,$B$80&lt;=1,ROUND($B$81*12,0)&gt;=1,$B$81&lt;=100,SUM($B$82)&gt;=0,SUM($B$82)&lt;=1,SUM($B$83)&gt;=0)),E1165*SUM($B$82)+SUM($B$83),0)</x:f>
        <x:v>0</x:v>
      </x:c>
      <x:c r="H1165" s="440" t="n">
        <x:f>IF(ISNUMBER(D1165),IF(MAX(0,B1165*(1+C1165/12)-D1165-F1165)&lt;MAX(0.0000001,$E$17*0.00000000001),0,MAX(0,B1165*(1+C1165/12)-D1165-F1165)),IF(AND($B$171=1,I1164=1),B1165,""))</x:f>
        <x:v>0</x:v>
      </x:c>
      <x:c r="I1165" s="444" t="n">
        <x:f>IF(OR(I1164=1,AND(E1165&gt;0,$B$78&lt;&gt;"Cash payoff",NOT(AND($B$78="Refinance",ISNUMBER($B$80),$B$80&gt;=0,$B$80&lt;=1,ROUND($B$81*12,0)&gt;=1,$B$81&lt;=100,SUM($B$82)&gt;=0,SUM($B$82)&lt;=1,SUM($B$83)&gt;=0))),AND(ISNUMBER(B1165),B1165&gt;0,$B$171=1,NOT(ISNUMBER(D1165)))),1,0)</x:f>
        <x:v>0</x:v>
      </x:c>
      <x:c r="J1165" s="440" t="n">
        <x:f>IF(ISNUMBER(L1164),L1164,"")</x:f>
        <x:v>0</x:v>
      </x:c>
      <x:c r="K1165" s="440" t="n">
        <x:f>IF(AND(ISNUMBER(J1165),J1165=0),0,IF(AND($B$176=1,ISNUMBER(J1165)),MIN(J1165*(1+$B$87/12),IF($B$86=0,0,IF($B$87=0,$B$86/ROUND($B$88*12,0),$B$86*($B$87/12)/(1-(1+$B$87/12)^(-ROUND($B$88*12,0)))))),""))</x:f>
        <x:v>0</x:v>
      </x:c>
      <x:c r="L1165" s="440" t="n">
        <x:f>IF(ISNUMBER(K1165),IF(MAX(0,J1165*(1+SUM($B$87)/12)-K1165)&lt;MAX(0.0000001,$B$86*0.00000000001),0,MAX(0,J1165*(1+SUM($B$87)/12)-K1165)),"")</x:f>
        <x:v>0</x:v>
      </x:c>
      <x:c r="M1165" s="440" t="n">
        <x:f>IF(AND(ISNUMBER(D1165),ISNUMBER(K1165)),D1165+K1165,"")</x:f>
        <x:v>0</x:v>
      </x:c>
      <x:c r="N1165" s="440" t="n">
        <x:f>IF(AND(ISNUMBER(H1165),ISNUMBER(L1165)),H1165+L1165,"")</x:f>
        <x:v>0</x:v>
      </x:c>
    </x:row>
    <x:row r="1166" ht="22" customHeight="1">
      <x:c r="A1166" s="254" t="n">
        <x:f>766</x:f>
        <x:v>766</x:v>
      </x:c>
      <x:c r="B1166" s="440" t="n">
        <x:f>IF(ISNUMBER(H1165),H1165,"")</x:f>
        <x:v>0</x:v>
      </x:c>
      <x:c r="C1166" s="442" t="n">
        <x:f>IF(ISNUMBER(B1166),IF(AND(766&gt;$B$173,$B$78="Refinance",ISNUMBER($B$80),$B$80&gt;=0,$B$80&lt;=1,ROUND($B$81*12,0)&gt;=1,$B$81&lt;=100,SUM($B$82)&gt;=0,SUM($B$82)&lt;=1,SUM($B$83)&gt;=0),$B$80,IF(AND($B$175&gt;0,766&gt;$B$175,ISNUMBER($B$75)),$B$75,$B$61)),"")</x:f>
        <x:v>0.0625</x:v>
      </x:c>
      <x:c r="D1166" s="440" t="n">
        <x:f>IF(AND(ISNUMBER(B1166),B1166=0),0,IF(AND($B$171=1,I1165=0,ISNUMBER(C1166),ISNUMBER(IF(AND(766&lt;=$B$174,766&lt;=$B$173),B1166*C1166/12,IF(AND(766=$B$173+1,AND(766&gt;$B$173,$B$78="Refinance",ISNUMBER($B$80),$B$80&gt;=0,$B$80&lt;=1,ROUND($B$81*12,0)&gt;=1,$B$81&lt;=100,SUM($B$82)&gt;=0,SUM($B$82)&lt;=1,SUM($B$83)&gt;=0)),IF(B1166=0,0,IF(C1166=0,B1166/ROUND($B$81*12,0),B1166*(C1166/12)/(1-(1+C1166/12)^(-ROUND($B$81*12,0))))),IF(AND(NOT(AND(766&gt;$B$173,$B$78="Refinance",ISNUMBER($B$80),$B$80&gt;=0,$B$80&lt;=1,ROUND($B$81*12,0)&gt;=1,$B$81&lt;=100,SUM($B$82)&gt;=0,SUM($B$82)&lt;=1,SUM($B$83)&gt;=0)),OR(766=1,766=$B$174+1,AND($B$175&gt;0,766=$B$175+1))),IF(AND($B$170=1,$B$66&gt;0,OR($B$175=0,766&lt;=$B$175)),$B$66,IF($B$172-MAX(766-1,$B$174)&gt;0,IF(B1166=0,0,IF(C1166=0,B1166/($B$172-MAX(766-1,$B$174)),B1166*(C1166/12)/(1-(1+C1166/12)^(-($B$172-MAX(766-1,$B$174)))))),"")),D1165))))),IF(IF(AND(766&lt;=$B$174,766&lt;=$B$173),B1166*C1166/12,IF(AND(766=$B$173+1,AND(766&gt;$B$173,$B$78="Refinance",ISNUMBER($B$80),$B$80&gt;=0,$B$80&lt;=1,ROUND($B$81*12,0)&gt;=1,$B$81&lt;=100,SUM($B$82)&gt;=0,SUM($B$82)&lt;=1,SUM($B$83)&gt;=0)),IF(B1166=0,0,IF(C1166=0,B1166/ROUND($B$81*12,0),B1166*(C1166/12)/(1-(1+C1166/12)^(-ROUND($B$81*12,0))))),IF(AND(NOT(AND(766&gt;$B$173,$B$78="Refinance",ISNUMBER($B$80),$B$80&gt;=0,$B$80&lt;=1,ROUND($B$81*12,0)&gt;=1,$B$81&lt;=100,SUM($B$82)&gt;=0,SUM($B$82)&lt;=1,SUM($B$83)&gt;=0)),OR(766=1,766=$B$174+1,AND($B$175&gt;0,766=$B$175+1))),IF(AND($B$170=1,$B$66&gt;0,OR($B$175=0,766&lt;=$B$175)),$B$66,IF($B$172-MAX(766-1,$B$174)&gt;0,IF(B1166=0,0,IF(C1166=0,B1166/($B$172-MAX(766-1,$B$174)),B1166*(C1166/12)/(1-(1+C1166/12)^(-($B$172-MAX(766-1,$B$174)))))),"")),D1165)))+0.0000001&gt;=B1166*C1166/12,MIN(B1166*(1+C1166/12),IF(AND(766&lt;=$B$174,766&lt;=$B$173),B1166*C1166/12,IF(AND(766=$B$173+1,AND(766&gt;$B$173,$B$78="Refinance",ISNUMBER($B$80),$B$80&gt;=0,$B$80&lt;=1,ROUND($B$81*12,0)&gt;=1,$B$81&lt;=100,SUM($B$82)&gt;=0,SUM($B$82)&lt;=1,SUM($B$83)&gt;=0)),IF(B1166=0,0,IF(C1166=0,B1166/ROUND($B$81*12,0),B1166*(C1166/12)/(1-(1+C1166/12)^(-ROUND($B$81*12,0))))),IF(AND(NOT(AND(766&gt;$B$173,$B$78="Refinance",ISNUMBER($B$80),$B$80&gt;=0,$B$80&lt;=1,ROUND($B$81*12,0)&gt;=1,$B$81&lt;=100,SUM($B$82)&gt;=0,SUM($B$82)&lt;=1,SUM($B$83)&gt;=0)),OR(766=1,766=$B$174+1,AND($B$175&gt;0,766=$B$175+1))),IF(AND($B$170=1,$B$66&gt;0,OR($B$175=0,766&lt;=$B$175)),$B$66,IF($B$172-MAX(766-1,$B$174)&gt;0,IF(B1166=0,0,IF(C1166=0,B1166/($B$172-MAX(766-1,$B$174)),B1166*(C1166/12)/(1-(1+C1166/12)^(-($B$172-MAX(766-1,$B$174)))))),"")),D1165)))),""),""))</x:f>
        <x:v>0</x:v>
      </x:c>
      <x:c r="E1166" s="440" t="n">
        <x:f>IF(AND(766=$B$173,ISNUMBER(D1166)),IF(MAX(0,B1166*(1+C1166/12)-D1166)&lt;MAX(0.0000001,$E$17*0.00000000001),0,MAX(0,B1166*(1+C1166/12)-D1166)),0)</x:f>
        <x:v>0</x:v>
      </x:c>
      <x:c r="F1166" s="440" t="n">
        <x:f>IF($B$78="Cash payoff",E1166,0)</x:f>
        <x:v>0</x:v>
      </x:c>
      <x:c r="G1166" s="440" t="n">
        <x:f>IF(AND(E1166&gt;0,AND($B$78="Refinance",ISNUMBER($B$80),$B$80&gt;=0,$B$80&lt;=1,ROUND($B$81*12,0)&gt;=1,$B$81&lt;=100,SUM($B$82)&gt;=0,SUM($B$82)&lt;=1,SUM($B$83)&gt;=0)),E1166*SUM($B$82)+SUM($B$83),0)</x:f>
        <x:v>0</x:v>
      </x:c>
      <x:c r="H1166" s="440" t="n">
        <x:f>IF(ISNUMBER(D1166),IF(MAX(0,B1166*(1+C1166/12)-D1166-F1166)&lt;MAX(0.0000001,$E$17*0.00000000001),0,MAX(0,B1166*(1+C1166/12)-D1166-F1166)),IF(AND($B$171=1,I1165=1),B1166,""))</x:f>
        <x:v>0</x:v>
      </x:c>
      <x:c r="I1166" s="444" t="n">
        <x:f>IF(OR(I1165=1,AND(E1166&gt;0,$B$78&lt;&gt;"Cash payoff",NOT(AND($B$78="Refinance",ISNUMBER($B$80),$B$80&gt;=0,$B$80&lt;=1,ROUND($B$81*12,0)&gt;=1,$B$81&lt;=100,SUM($B$82)&gt;=0,SUM($B$82)&lt;=1,SUM($B$83)&gt;=0))),AND(ISNUMBER(B1166),B1166&gt;0,$B$171=1,NOT(ISNUMBER(D1166)))),1,0)</x:f>
        <x:v>0</x:v>
      </x:c>
      <x:c r="J1166" s="440" t="n">
        <x:f>IF(ISNUMBER(L1165),L1165,"")</x:f>
        <x:v>0</x:v>
      </x:c>
      <x:c r="K1166" s="440" t="n">
        <x:f>IF(AND(ISNUMBER(J1166),J1166=0),0,IF(AND($B$176=1,ISNUMBER(J1166)),MIN(J1166*(1+$B$87/12),IF($B$86=0,0,IF($B$87=0,$B$86/ROUND($B$88*12,0),$B$86*($B$87/12)/(1-(1+$B$87/12)^(-ROUND($B$88*12,0)))))),""))</x:f>
        <x:v>0</x:v>
      </x:c>
      <x:c r="L1166" s="440" t="n">
        <x:f>IF(ISNUMBER(K1166),IF(MAX(0,J1166*(1+SUM($B$87)/12)-K1166)&lt;MAX(0.0000001,$B$86*0.00000000001),0,MAX(0,J1166*(1+SUM($B$87)/12)-K1166)),"")</x:f>
        <x:v>0</x:v>
      </x:c>
      <x:c r="M1166" s="440" t="n">
        <x:f>IF(AND(ISNUMBER(D1166),ISNUMBER(K1166)),D1166+K1166,"")</x:f>
        <x:v>0</x:v>
      </x:c>
      <x:c r="N1166" s="440" t="n">
        <x:f>IF(AND(ISNUMBER(H1166),ISNUMBER(L1166)),H1166+L1166,"")</x:f>
        <x:v>0</x:v>
      </x:c>
    </x:row>
    <x:row r="1167" ht="22" customHeight="1">
      <x:c r="A1167" s="254" t="n">
        <x:f>767</x:f>
        <x:v>767</x:v>
      </x:c>
      <x:c r="B1167" s="440" t="n">
        <x:f>IF(ISNUMBER(H1166),H1166,"")</x:f>
        <x:v>0</x:v>
      </x:c>
      <x:c r="C1167" s="442" t="n">
        <x:f>IF(ISNUMBER(B1167),IF(AND(767&gt;$B$173,$B$78="Refinance",ISNUMBER($B$80),$B$80&gt;=0,$B$80&lt;=1,ROUND($B$81*12,0)&gt;=1,$B$81&lt;=100,SUM($B$82)&gt;=0,SUM($B$82)&lt;=1,SUM($B$83)&gt;=0),$B$80,IF(AND($B$175&gt;0,767&gt;$B$175,ISNUMBER($B$75)),$B$75,$B$61)),"")</x:f>
        <x:v>0.0625</x:v>
      </x:c>
      <x:c r="D1167" s="440" t="n">
        <x:f>IF(AND(ISNUMBER(B1167),B1167=0),0,IF(AND($B$171=1,I1166=0,ISNUMBER(C1167),ISNUMBER(IF(AND(767&lt;=$B$174,767&lt;=$B$173),B1167*C1167/12,IF(AND(767=$B$173+1,AND(767&gt;$B$173,$B$78="Refinance",ISNUMBER($B$80),$B$80&gt;=0,$B$80&lt;=1,ROUND($B$81*12,0)&gt;=1,$B$81&lt;=100,SUM($B$82)&gt;=0,SUM($B$82)&lt;=1,SUM($B$83)&gt;=0)),IF(B1167=0,0,IF(C1167=0,B1167/ROUND($B$81*12,0),B1167*(C1167/12)/(1-(1+C1167/12)^(-ROUND($B$81*12,0))))),IF(AND(NOT(AND(767&gt;$B$173,$B$78="Refinance",ISNUMBER($B$80),$B$80&gt;=0,$B$80&lt;=1,ROUND($B$81*12,0)&gt;=1,$B$81&lt;=100,SUM($B$82)&gt;=0,SUM($B$82)&lt;=1,SUM($B$83)&gt;=0)),OR(767=1,767=$B$174+1,AND($B$175&gt;0,767=$B$175+1))),IF(AND($B$170=1,$B$66&gt;0,OR($B$175=0,767&lt;=$B$175)),$B$66,IF($B$172-MAX(767-1,$B$174)&gt;0,IF(B1167=0,0,IF(C1167=0,B1167/($B$172-MAX(767-1,$B$174)),B1167*(C1167/12)/(1-(1+C1167/12)^(-($B$172-MAX(767-1,$B$174)))))),"")),D1166))))),IF(IF(AND(767&lt;=$B$174,767&lt;=$B$173),B1167*C1167/12,IF(AND(767=$B$173+1,AND(767&gt;$B$173,$B$78="Refinance",ISNUMBER($B$80),$B$80&gt;=0,$B$80&lt;=1,ROUND($B$81*12,0)&gt;=1,$B$81&lt;=100,SUM($B$82)&gt;=0,SUM($B$82)&lt;=1,SUM($B$83)&gt;=0)),IF(B1167=0,0,IF(C1167=0,B1167/ROUND($B$81*12,0),B1167*(C1167/12)/(1-(1+C1167/12)^(-ROUND($B$81*12,0))))),IF(AND(NOT(AND(767&gt;$B$173,$B$78="Refinance",ISNUMBER($B$80),$B$80&gt;=0,$B$80&lt;=1,ROUND($B$81*12,0)&gt;=1,$B$81&lt;=100,SUM($B$82)&gt;=0,SUM($B$82)&lt;=1,SUM($B$83)&gt;=0)),OR(767=1,767=$B$174+1,AND($B$175&gt;0,767=$B$175+1))),IF(AND($B$170=1,$B$66&gt;0,OR($B$175=0,767&lt;=$B$175)),$B$66,IF($B$172-MAX(767-1,$B$174)&gt;0,IF(B1167=0,0,IF(C1167=0,B1167/($B$172-MAX(767-1,$B$174)),B1167*(C1167/12)/(1-(1+C1167/12)^(-($B$172-MAX(767-1,$B$174)))))),"")),D1166)))+0.0000001&gt;=B1167*C1167/12,MIN(B1167*(1+C1167/12),IF(AND(767&lt;=$B$174,767&lt;=$B$173),B1167*C1167/12,IF(AND(767=$B$173+1,AND(767&gt;$B$173,$B$78="Refinance",ISNUMBER($B$80),$B$80&gt;=0,$B$80&lt;=1,ROUND($B$81*12,0)&gt;=1,$B$81&lt;=100,SUM($B$82)&gt;=0,SUM($B$82)&lt;=1,SUM($B$83)&gt;=0)),IF(B1167=0,0,IF(C1167=0,B1167/ROUND($B$81*12,0),B1167*(C1167/12)/(1-(1+C1167/12)^(-ROUND($B$81*12,0))))),IF(AND(NOT(AND(767&gt;$B$173,$B$78="Refinance",ISNUMBER($B$80),$B$80&gt;=0,$B$80&lt;=1,ROUND($B$81*12,0)&gt;=1,$B$81&lt;=100,SUM($B$82)&gt;=0,SUM($B$82)&lt;=1,SUM($B$83)&gt;=0)),OR(767=1,767=$B$174+1,AND($B$175&gt;0,767=$B$175+1))),IF(AND($B$170=1,$B$66&gt;0,OR($B$175=0,767&lt;=$B$175)),$B$66,IF($B$172-MAX(767-1,$B$174)&gt;0,IF(B1167=0,0,IF(C1167=0,B1167/($B$172-MAX(767-1,$B$174)),B1167*(C1167/12)/(1-(1+C1167/12)^(-($B$172-MAX(767-1,$B$174)))))),"")),D1166)))),""),""))</x:f>
        <x:v>0</x:v>
      </x:c>
      <x:c r="E1167" s="440" t="n">
        <x:f>IF(AND(767=$B$173,ISNUMBER(D1167)),IF(MAX(0,B1167*(1+C1167/12)-D1167)&lt;MAX(0.0000001,$E$17*0.00000000001),0,MAX(0,B1167*(1+C1167/12)-D1167)),0)</x:f>
        <x:v>0</x:v>
      </x:c>
      <x:c r="F1167" s="440" t="n">
        <x:f>IF($B$78="Cash payoff",E1167,0)</x:f>
        <x:v>0</x:v>
      </x:c>
      <x:c r="G1167" s="440" t="n">
        <x:f>IF(AND(E1167&gt;0,AND($B$78="Refinance",ISNUMBER($B$80),$B$80&gt;=0,$B$80&lt;=1,ROUND($B$81*12,0)&gt;=1,$B$81&lt;=100,SUM($B$82)&gt;=0,SUM($B$82)&lt;=1,SUM($B$83)&gt;=0)),E1167*SUM($B$82)+SUM($B$83),0)</x:f>
        <x:v>0</x:v>
      </x:c>
      <x:c r="H1167" s="440" t="n">
        <x:f>IF(ISNUMBER(D1167),IF(MAX(0,B1167*(1+C1167/12)-D1167-F1167)&lt;MAX(0.0000001,$E$17*0.00000000001),0,MAX(0,B1167*(1+C1167/12)-D1167-F1167)),IF(AND($B$171=1,I1166=1),B1167,""))</x:f>
        <x:v>0</x:v>
      </x:c>
      <x:c r="I1167" s="444" t="n">
        <x:f>IF(OR(I1166=1,AND(E1167&gt;0,$B$78&lt;&gt;"Cash payoff",NOT(AND($B$78="Refinance",ISNUMBER($B$80),$B$80&gt;=0,$B$80&lt;=1,ROUND($B$81*12,0)&gt;=1,$B$81&lt;=100,SUM($B$82)&gt;=0,SUM($B$82)&lt;=1,SUM($B$83)&gt;=0))),AND(ISNUMBER(B1167),B1167&gt;0,$B$171=1,NOT(ISNUMBER(D1167)))),1,0)</x:f>
        <x:v>0</x:v>
      </x:c>
      <x:c r="J1167" s="440" t="n">
        <x:f>IF(ISNUMBER(L1166),L1166,"")</x:f>
        <x:v>0</x:v>
      </x:c>
      <x:c r="K1167" s="440" t="n">
        <x:f>IF(AND(ISNUMBER(J1167),J1167=0),0,IF(AND($B$176=1,ISNUMBER(J1167)),MIN(J1167*(1+$B$87/12),IF($B$86=0,0,IF($B$87=0,$B$86/ROUND($B$88*12,0),$B$86*($B$87/12)/(1-(1+$B$87/12)^(-ROUND($B$88*12,0)))))),""))</x:f>
        <x:v>0</x:v>
      </x:c>
      <x:c r="L1167" s="440" t="n">
        <x:f>IF(ISNUMBER(K1167),IF(MAX(0,J1167*(1+SUM($B$87)/12)-K1167)&lt;MAX(0.0000001,$B$86*0.00000000001),0,MAX(0,J1167*(1+SUM($B$87)/12)-K1167)),"")</x:f>
        <x:v>0</x:v>
      </x:c>
      <x:c r="M1167" s="440" t="n">
        <x:f>IF(AND(ISNUMBER(D1167),ISNUMBER(K1167)),D1167+K1167,"")</x:f>
        <x:v>0</x:v>
      </x:c>
      <x:c r="N1167" s="440" t="n">
        <x:f>IF(AND(ISNUMBER(H1167),ISNUMBER(L1167)),H1167+L1167,"")</x:f>
        <x:v>0</x:v>
      </x:c>
    </x:row>
    <x:row r="1168" ht="22" customHeight="1">
      <x:c r="A1168" s="254" t="n">
        <x:f>768</x:f>
        <x:v>768</x:v>
      </x:c>
      <x:c r="B1168" s="440" t="n">
        <x:f>IF(ISNUMBER(H1167),H1167,"")</x:f>
        <x:v>0</x:v>
      </x:c>
      <x:c r="C1168" s="442" t="n">
        <x:f>IF(ISNUMBER(B1168),IF(AND(768&gt;$B$173,$B$78="Refinance",ISNUMBER($B$80),$B$80&gt;=0,$B$80&lt;=1,ROUND($B$81*12,0)&gt;=1,$B$81&lt;=100,SUM($B$82)&gt;=0,SUM($B$82)&lt;=1,SUM($B$83)&gt;=0),$B$80,IF(AND($B$175&gt;0,768&gt;$B$175,ISNUMBER($B$75)),$B$75,$B$61)),"")</x:f>
        <x:v>0.0625</x:v>
      </x:c>
      <x:c r="D1168" s="440" t="n">
        <x:f>IF(AND(ISNUMBER(B1168),B1168=0),0,IF(AND($B$171=1,I1167=0,ISNUMBER(C1168),ISNUMBER(IF(AND(768&lt;=$B$174,768&lt;=$B$173),B1168*C1168/12,IF(AND(768=$B$173+1,AND(768&gt;$B$173,$B$78="Refinance",ISNUMBER($B$80),$B$80&gt;=0,$B$80&lt;=1,ROUND($B$81*12,0)&gt;=1,$B$81&lt;=100,SUM($B$82)&gt;=0,SUM($B$82)&lt;=1,SUM($B$83)&gt;=0)),IF(B1168=0,0,IF(C1168=0,B1168/ROUND($B$81*12,0),B1168*(C1168/12)/(1-(1+C1168/12)^(-ROUND($B$81*12,0))))),IF(AND(NOT(AND(768&gt;$B$173,$B$78="Refinance",ISNUMBER($B$80),$B$80&gt;=0,$B$80&lt;=1,ROUND($B$81*12,0)&gt;=1,$B$81&lt;=100,SUM($B$82)&gt;=0,SUM($B$82)&lt;=1,SUM($B$83)&gt;=0)),OR(768=1,768=$B$174+1,AND($B$175&gt;0,768=$B$175+1))),IF(AND($B$170=1,$B$66&gt;0,OR($B$175=0,768&lt;=$B$175)),$B$66,IF($B$172-MAX(768-1,$B$174)&gt;0,IF(B1168=0,0,IF(C1168=0,B1168/($B$172-MAX(768-1,$B$174)),B1168*(C1168/12)/(1-(1+C1168/12)^(-($B$172-MAX(768-1,$B$174)))))),"")),D1167))))),IF(IF(AND(768&lt;=$B$174,768&lt;=$B$173),B1168*C1168/12,IF(AND(768=$B$173+1,AND(768&gt;$B$173,$B$78="Refinance",ISNUMBER($B$80),$B$80&gt;=0,$B$80&lt;=1,ROUND($B$81*12,0)&gt;=1,$B$81&lt;=100,SUM($B$82)&gt;=0,SUM($B$82)&lt;=1,SUM($B$83)&gt;=0)),IF(B1168=0,0,IF(C1168=0,B1168/ROUND($B$81*12,0),B1168*(C1168/12)/(1-(1+C1168/12)^(-ROUND($B$81*12,0))))),IF(AND(NOT(AND(768&gt;$B$173,$B$78="Refinance",ISNUMBER($B$80),$B$80&gt;=0,$B$80&lt;=1,ROUND($B$81*12,0)&gt;=1,$B$81&lt;=100,SUM($B$82)&gt;=0,SUM($B$82)&lt;=1,SUM($B$83)&gt;=0)),OR(768=1,768=$B$174+1,AND($B$175&gt;0,768=$B$175+1))),IF(AND($B$170=1,$B$66&gt;0,OR($B$175=0,768&lt;=$B$175)),$B$66,IF($B$172-MAX(768-1,$B$174)&gt;0,IF(B1168=0,0,IF(C1168=0,B1168/($B$172-MAX(768-1,$B$174)),B1168*(C1168/12)/(1-(1+C1168/12)^(-($B$172-MAX(768-1,$B$174)))))),"")),D1167)))+0.0000001&gt;=B1168*C1168/12,MIN(B1168*(1+C1168/12),IF(AND(768&lt;=$B$174,768&lt;=$B$173),B1168*C1168/12,IF(AND(768=$B$173+1,AND(768&gt;$B$173,$B$78="Refinance",ISNUMBER($B$80),$B$80&gt;=0,$B$80&lt;=1,ROUND($B$81*12,0)&gt;=1,$B$81&lt;=100,SUM($B$82)&gt;=0,SUM($B$82)&lt;=1,SUM($B$83)&gt;=0)),IF(B1168=0,0,IF(C1168=0,B1168/ROUND($B$81*12,0),B1168*(C1168/12)/(1-(1+C1168/12)^(-ROUND($B$81*12,0))))),IF(AND(NOT(AND(768&gt;$B$173,$B$78="Refinance",ISNUMBER($B$80),$B$80&gt;=0,$B$80&lt;=1,ROUND($B$81*12,0)&gt;=1,$B$81&lt;=100,SUM($B$82)&gt;=0,SUM($B$82)&lt;=1,SUM($B$83)&gt;=0)),OR(768=1,768=$B$174+1,AND($B$175&gt;0,768=$B$175+1))),IF(AND($B$170=1,$B$66&gt;0,OR($B$175=0,768&lt;=$B$175)),$B$66,IF($B$172-MAX(768-1,$B$174)&gt;0,IF(B1168=0,0,IF(C1168=0,B1168/($B$172-MAX(768-1,$B$174)),B1168*(C1168/12)/(1-(1+C1168/12)^(-($B$172-MAX(768-1,$B$174)))))),"")),D1167)))),""),""))</x:f>
        <x:v>0</x:v>
      </x:c>
      <x:c r="E1168" s="440" t="n">
        <x:f>IF(AND(768=$B$173,ISNUMBER(D1168)),IF(MAX(0,B1168*(1+C1168/12)-D1168)&lt;MAX(0.0000001,$E$17*0.00000000001),0,MAX(0,B1168*(1+C1168/12)-D1168)),0)</x:f>
        <x:v>0</x:v>
      </x:c>
      <x:c r="F1168" s="440" t="n">
        <x:f>IF($B$78="Cash payoff",E1168,0)</x:f>
        <x:v>0</x:v>
      </x:c>
      <x:c r="G1168" s="440" t="n">
        <x:f>IF(AND(E1168&gt;0,AND($B$78="Refinance",ISNUMBER($B$80),$B$80&gt;=0,$B$80&lt;=1,ROUND($B$81*12,0)&gt;=1,$B$81&lt;=100,SUM($B$82)&gt;=0,SUM($B$82)&lt;=1,SUM($B$83)&gt;=0)),E1168*SUM($B$82)+SUM($B$83),0)</x:f>
        <x:v>0</x:v>
      </x:c>
      <x:c r="H1168" s="440" t="n">
        <x:f>IF(ISNUMBER(D1168),IF(MAX(0,B1168*(1+C1168/12)-D1168-F1168)&lt;MAX(0.0000001,$E$17*0.00000000001),0,MAX(0,B1168*(1+C1168/12)-D1168-F1168)),IF(AND($B$171=1,I1167=1),B1168,""))</x:f>
        <x:v>0</x:v>
      </x:c>
      <x:c r="I1168" s="444" t="n">
        <x:f>IF(OR(I1167=1,AND(E1168&gt;0,$B$78&lt;&gt;"Cash payoff",NOT(AND($B$78="Refinance",ISNUMBER($B$80),$B$80&gt;=0,$B$80&lt;=1,ROUND($B$81*12,0)&gt;=1,$B$81&lt;=100,SUM($B$82)&gt;=0,SUM($B$82)&lt;=1,SUM($B$83)&gt;=0))),AND(ISNUMBER(B1168),B1168&gt;0,$B$171=1,NOT(ISNUMBER(D1168)))),1,0)</x:f>
        <x:v>0</x:v>
      </x:c>
      <x:c r="J1168" s="440" t="n">
        <x:f>IF(ISNUMBER(L1167),L1167,"")</x:f>
        <x:v>0</x:v>
      </x:c>
      <x:c r="K1168" s="440" t="n">
        <x:f>IF(AND(ISNUMBER(J1168),J1168=0),0,IF(AND($B$176=1,ISNUMBER(J1168)),MIN(J1168*(1+$B$87/12),IF($B$86=0,0,IF($B$87=0,$B$86/ROUND($B$88*12,0),$B$86*($B$87/12)/(1-(1+$B$87/12)^(-ROUND($B$88*12,0)))))),""))</x:f>
        <x:v>0</x:v>
      </x:c>
      <x:c r="L1168" s="440" t="n">
        <x:f>IF(ISNUMBER(K1168),IF(MAX(0,J1168*(1+SUM($B$87)/12)-K1168)&lt;MAX(0.0000001,$B$86*0.00000000001),0,MAX(0,J1168*(1+SUM($B$87)/12)-K1168)),"")</x:f>
        <x:v>0</x:v>
      </x:c>
      <x:c r="M1168" s="440" t="n">
        <x:f>IF(AND(ISNUMBER(D1168),ISNUMBER(K1168)),D1168+K1168,"")</x:f>
        <x:v>0</x:v>
      </x:c>
      <x:c r="N1168" s="440" t="n">
        <x:f>IF(AND(ISNUMBER(H1168),ISNUMBER(L1168)),H1168+L1168,"")</x:f>
        <x:v>0</x:v>
      </x:c>
    </x:row>
    <x:row r="1169" ht="22" customHeight="1">
      <x:c r="A1169" s="254" t="n">
        <x:f>769</x:f>
        <x:v>769</x:v>
      </x:c>
      <x:c r="B1169" s="440" t="n">
        <x:f>IF(ISNUMBER(H1168),H1168,"")</x:f>
        <x:v>0</x:v>
      </x:c>
      <x:c r="C1169" s="442" t="n">
        <x:f>IF(ISNUMBER(B1169),IF(AND(769&gt;$B$173,$B$78="Refinance",ISNUMBER($B$80),$B$80&gt;=0,$B$80&lt;=1,ROUND($B$81*12,0)&gt;=1,$B$81&lt;=100,SUM($B$82)&gt;=0,SUM($B$82)&lt;=1,SUM($B$83)&gt;=0),$B$80,IF(AND($B$175&gt;0,769&gt;$B$175,ISNUMBER($B$75)),$B$75,$B$61)),"")</x:f>
        <x:v>0.0625</x:v>
      </x:c>
      <x:c r="D1169" s="440" t="n">
        <x:f>IF(AND(ISNUMBER(B1169),B1169=0),0,IF(AND($B$171=1,I1168=0,ISNUMBER(C1169),ISNUMBER(IF(AND(769&lt;=$B$174,769&lt;=$B$173),B1169*C1169/12,IF(AND(769=$B$173+1,AND(769&gt;$B$173,$B$78="Refinance",ISNUMBER($B$80),$B$80&gt;=0,$B$80&lt;=1,ROUND($B$81*12,0)&gt;=1,$B$81&lt;=100,SUM($B$82)&gt;=0,SUM($B$82)&lt;=1,SUM($B$83)&gt;=0)),IF(B1169=0,0,IF(C1169=0,B1169/ROUND($B$81*12,0),B1169*(C1169/12)/(1-(1+C1169/12)^(-ROUND($B$81*12,0))))),IF(AND(NOT(AND(769&gt;$B$173,$B$78="Refinance",ISNUMBER($B$80),$B$80&gt;=0,$B$80&lt;=1,ROUND($B$81*12,0)&gt;=1,$B$81&lt;=100,SUM($B$82)&gt;=0,SUM($B$82)&lt;=1,SUM($B$83)&gt;=0)),OR(769=1,769=$B$174+1,AND($B$175&gt;0,769=$B$175+1))),IF(AND($B$170=1,$B$66&gt;0,OR($B$175=0,769&lt;=$B$175)),$B$66,IF($B$172-MAX(769-1,$B$174)&gt;0,IF(B1169=0,0,IF(C1169=0,B1169/($B$172-MAX(769-1,$B$174)),B1169*(C1169/12)/(1-(1+C1169/12)^(-($B$172-MAX(769-1,$B$174)))))),"")),D1168))))),IF(IF(AND(769&lt;=$B$174,769&lt;=$B$173),B1169*C1169/12,IF(AND(769=$B$173+1,AND(769&gt;$B$173,$B$78="Refinance",ISNUMBER($B$80),$B$80&gt;=0,$B$80&lt;=1,ROUND($B$81*12,0)&gt;=1,$B$81&lt;=100,SUM($B$82)&gt;=0,SUM($B$82)&lt;=1,SUM($B$83)&gt;=0)),IF(B1169=0,0,IF(C1169=0,B1169/ROUND($B$81*12,0),B1169*(C1169/12)/(1-(1+C1169/12)^(-ROUND($B$81*12,0))))),IF(AND(NOT(AND(769&gt;$B$173,$B$78="Refinance",ISNUMBER($B$80),$B$80&gt;=0,$B$80&lt;=1,ROUND($B$81*12,0)&gt;=1,$B$81&lt;=100,SUM($B$82)&gt;=0,SUM($B$82)&lt;=1,SUM($B$83)&gt;=0)),OR(769=1,769=$B$174+1,AND($B$175&gt;0,769=$B$175+1))),IF(AND($B$170=1,$B$66&gt;0,OR($B$175=0,769&lt;=$B$175)),$B$66,IF($B$172-MAX(769-1,$B$174)&gt;0,IF(B1169=0,0,IF(C1169=0,B1169/($B$172-MAX(769-1,$B$174)),B1169*(C1169/12)/(1-(1+C1169/12)^(-($B$172-MAX(769-1,$B$174)))))),"")),D1168)))+0.0000001&gt;=B1169*C1169/12,MIN(B1169*(1+C1169/12),IF(AND(769&lt;=$B$174,769&lt;=$B$173),B1169*C1169/12,IF(AND(769=$B$173+1,AND(769&gt;$B$173,$B$78="Refinance",ISNUMBER($B$80),$B$80&gt;=0,$B$80&lt;=1,ROUND($B$81*12,0)&gt;=1,$B$81&lt;=100,SUM($B$82)&gt;=0,SUM($B$82)&lt;=1,SUM($B$83)&gt;=0)),IF(B1169=0,0,IF(C1169=0,B1169/ROUND($B$81*12,0),B1169*(C1169/12)/(1-(1+C1169/12)^(-ROUND($B$81*12,0))))),IF(AND(NOT(AND(769&gt;$B$173,$B$78="Refinance",ISNUMBER($B$80),$B$80&gt;=0,$B$80&lt;=1,ROUND($B$81*12,0)&gt;=1,$B$81&lt;=100,SUM($B$82)&gt;=0,SUM($B$82)&lt;=1,SUM($B$83)&gt;=0)),OR(769=1,769=$B$174+1,AND($B$175&gt;0,769=$B$175+1))),IF(AND($B$170=1,$B$66&gt;0,OR($B$175=0,769&lt;=$B$175)),$B$66,IF($B$172-MAX(769-1,$B$174)&gt;0,IF(B1169=0,0,IF(C1169=0,B1169/($B$172-MAX(769-1,$B$174)),B1169*(C1169/12)/(1-(1+C1169/12)^(-($B$172-MAX(769-1,$B$174)))))),"")),D1168)))),""),""))</x:f>
        <x:v>0</x:v>
      </x:c>
      <x:c r="E1169" s="440" t="n">
        <x:f>IF(AND(769=$B$173,ISNUMBER(D1169)),IF(MAX(0,B1169*(1+C1169/12)-D1169)&lt;MAX(0.0000001,$E$17*0.00000000001),0,MAX(0,B1169*(1+C1169/12)-D1169)),0)</x:f>
        <x:v>0</x:v>
      </x:c>
      <x:c r="F1169" s="440" t="n">
        <x:f>IF($B$78="Cash payoff",E1169,0)</x:f>
        <x:v>0</x:v>
      </x:c>
      <x:c r="G1169" s="440" t="n">
        <x:f>IF(AND(E1169&gt;0,AND($B$78="Refinance",ISNUMBER($B$80),$B$80&gt;=0,$B$80&lt;=1,ROUND($B$81*12,0)&gt;=1,$B$81&lt;=100,SUM($B$82)&gt;=0,SUM($B$82)&lt;=1,SUM($B$83)&gt;=0)),E1169*SUM($B$82)+SUM($B$83),0)</x:f>
        <x:v>0</x:v>
      </x:c>
      <x:c r="H1169" s="440" t="n">
        <x:f>IF(ISNUMBER(D1169),IF(MAX(0,B1169*(1+C1169/12)-D1169-F1169)&lt;MAX(0.0000001,$E$17*0.00000000001),0,MAX(0,B1169*(1+C1169/12)-D1169-F1169)),IF(AND($B$171=1,I1168=1),B1169,""))</x:f>
        <x:v>0</x:v>
      </x:c>
      <x:c r="I1169" s="444" t="n">
        <x:f>IF(OR(I1168=1,AND(E1169&gt;0,$B$78&lt;&gt;"Cash payoff",NOT(AND($B$78="Refinance",ISNUMBER($B$80),$B$80&gt;=0,$B$80&lt;=1,ROUND($B$81*12,0)&gt;=1,$B$81&lt;=100,SUM($B$82)&gt;=0,SUM($B$82)&lt;=1,SUM($B$83)&gt;=0))),AND(ISNUMBER(B1169),B1169&gt;0,$B$171=1,NOT(ISNUMBER(D1169)))),1,0)</x:f>
        <x:v>0</x:v>
      </x:c>
      <x:c r="J1169" s="440" t="n">
        <x:f>IF(ISNUMBER(L1168),L1168,"")</x:f>
        <x:v>0</x:v>
      </x:c>
      <x:c r="K1169" s="440" t="n">
        <x:f>IF(AND(ISNUMBER(J1169),J1169=0),0,IF(AND($B$176=1,ISNUMBER(J1169)),MIN(J1169*(1+$B$87/12),IF($B$86=0,0,IF($B$87=0,$B$86/ROUND($B$88*12,0),$B$86*($B$87/12)/(1-(1+$B$87/12)^(-ROUND($B$88*12,0)))))),""))</x:f>
        <x:v>0</x:v>
      </x:c>
      <x:c r="L1169" s="440" t="n">
        <x:f>IF(ISNUMBER(K1169),IF(MAX(0,J1169*(1+SUM($B$87)/12)-K1169)&lt;MAX(0.0000001,$B$86*0.00000000001),0,MAX(0,J1169*(1+SUM($B$87)/12)-K1169)),"")</x:f>
        <x:v>0</x:v>
      </x:c>
      <x:c r="M1169" s="440" t="n">
        <x:f>IF(AND(ISNUMBER(D1169),ISNUMBER(K1169)),D1169+K1169,"")</x:f>
        <x:v>0</x:v>
      </x:c>
      <x:c r="N1169" s="440" t="n">
        <x:f>IF(AND(ISNUMBER(H1169),ISNUMBER(L1169)),H1169+L1169,"")</x:f>
        <x:v>0</x:v>
      </x:c>
    </x:row>
    <x:row r="1170" ht="22" customHeight="1">
      <x:c r="A1170" s="254" t="n">
        <x:f>770</x:f>
        <x:v>770</x:v>
      </x:c>
      <x:c r="B1170" s="440" t="n">
        <x:f>IF(ISNUMBER(H1169),H1169,"")</x:f>
        <x:v>0</x:v>
      </x:c>
      <x:c r="C1170" s="442" t="n">
        <x:f>IF(ISNUMBER(B1170),IF(AND(770&gt;$B$173,$B$78="Refinance",ISNUMBER($B$80),$B$80&gt;=0,$B$80&lt;=1,ROUND($B$81*12,0)&gt;=1,$B$81&lt;=100,SUM($B$82)&gt;=0,SUM($B$82)&lt;=1,SUM($B$83)&gt;=0),$B$80,IF(AND($B$175&gt;0,770&gt;$B$175,ISNUMBER($B$75)),$B$75,$B$61)),"")</x:f>
        <x:v>0.0625</x:v>
      </x:c>
      <x:c r="D1170" s="440" t="n">
        <x:f>IF(AND(ISNUMBER(B1170),B1170=0),0,IF(AND($B$171=1,I1169=0,ISNUMBER(C1170),ISNUMBER(IF(AND(770&lt;=$B$174,770&lt;=$B$173),B1170*C1170/12,IF(AND(770=$B$173+1,AND(770&gt;$B$173,$B$78="Refinance",ISNUMBER($B$80),$B$80&gt;=0,$B$80&lt;=1,ROUND($B$81*12,0)&gt;=1,$B$81&lt;=100,SUM($B$82)&gt;=0,SUM($B$82)&lt;=1,SUM($B$83)&gt;=0)),IF(B1170=0,0,IF(C1170=0,B1170/ROUND($B$81*12,0),B1170*(C1170/12)/(1-(1+C1170/12)^(-ROUND($B$81*12,0))))),IF(AND(NOT(AND(770&gt;$B$173,$B$78="Refinance",ISNUMBER($B$80),$B$80&gt;=0,$B$80&lt;=1,ROUND($B$81*12,0)&gt;=1,$B$81&lt;=100,SUM($B$82)&gt;=0,SUM($B$82)&lt;=1,SUM($B$83)&gt;=0)),OR(770=1,770=$B$174+1,AND($B$175&gt;0,770=$B$175+1))),IF(AND($B$170=1,$B$66&gt;0,OR($B$175=0,770&lt;=$B$175)),$B$66,IF($B$172-MAX(770-1,$B$174)&gt;0,IF(B1170=0,0,IF(C1170=0,B1170/($B$172-MAX(770-1,$B$174)),B1170*(C1170/12)/(1-(1+C1170/12)^(-($B$172-MAX(770-1,$B$174)))))),"")),D1169))))),IF(IF(AND(770&lt;=$B$174,770&lt;=$B$173),B1170*C1170/12,IF(AND(770=$B$173+1,AND(770&gt;$B$173,$B$78="Refinance",ISNUMBER($B$80),$B$80&gt;=0,$B$80&lt;=1,ROUND($B$81*12,0)&gt;=1,$B$81&lt;=100,SUM($B$82)&gt;=0,SUM($B$82)&lt;=1,SUM($B$83)&gt;=0)),IF(B1170=0,0,IF(C1170=0,B1170/ROUND($B$81*12,0),B1170*(C1170/12)/(1-(1+C1170/12)^(-ROUND($B$81*12,0))))),IF(AND(NOT(AND(770&gt;$B$173,$B$78="Refinance",ISNUMBER($B$80),$B$80&gt;=0,$B$80&lt;=1,ROUND($B$81*12,0)&gt;=1,$B$81&lt;=100,SUM($B$82)&gt;=0,SUM($B$82)&lt;=1,SUM($B$83)&gt;=0)),OR(770=1,770=$B$174+1,AND($B$175&gt;0,770=$B$175+1))),IF(AND($B$170=1,$B$66&gt;0,OR($B$175=0,770&lt;=$B$175)),$B$66,IF($B$172-MAX(770-1,$B$174)&gt;0,IF(B1170=0,0,IF(C1170=0,B1170/($B$172-MAX(770-1,$B$174)),B1170*(C1170/12)/(1-(1+C1170/12)^(-($B$172-MAX(770-1,$B$174)))))),"")),D1169)))+0.0000001&gt;=B1170*C1170/12,MIN(B1170*(1+C1170/12),IF(AND(770&lt;=$B$174,770&lt;=$B$173),B1170*C1170/12,IF(AND(770=$B$173+1,AND(770&gt;$B$173,$B$78="Refinance",ISNUMBER($B$80),$B$80&gt;=0,$B$80&lt;=1,ROUND($B$81*12,0)&gt;=1,$B$81&lt;=100,SUM($B$82)&gt;=0,SUM($B$82)&lt;=1,SUM($B$83)&gt;=0)),IF(B1170=0,0,IF(C1170=0,B1170/ROUND($B$81*12,0),B1170*(C1170/12)/(1-(1+C1170/12)^(-ROUND($B$81*12,0))))),IF(AND(NOT(AND(770&gt;$B$173,$B$78="Refinance",ISNUMBER($B$80),$B$80&gt;=0,$B$80&lt;=1,ROUND($B$81*12,0)&gt;=1,$B$81&lt;=100,SUM($B$82)&gt;=0,SUM($B$82)&lt;=1,SUM($B$83)&gt;=0)),OR(770=1,770=$B$174+1,AND($B$175&gt;0,770=$B$175+1))),IF(AND($B$170=1,$B$66&gt;0,OR($B$175=0,770&lt;=$B$175)),$B$66,IF($B$172-MAX(770-1,$B$174)&gt;0,IF(B1170=0,0,IF(C1170=0,B1170/($B$172-MAX(770-1,$B$174)),B1170*(C1170/12)/(1-(1+C1170/12)^(-($B$172-MAX(770-1,$B$174)))))),"")),D1169)))),""),""))</x:f>
        <x:v>0</x:v>
      </x:c>
      <x:c r="E1170" s="440" t="n">
        <x:f>IF(AND(770=$B$173,ISNUMBER(D1170)),IF(MAX(0,B1170*(1+C1170/12)-D1170)&lt;MAX(0.0000001,$E$17*0.00000000001),0,MAX(0,B1170*(1+C1170/12)-D1170)),0)</x:f>
        <x:v>0</x:v>
      </x:c>
      <x:c r="F1170" s="440" t="n">
        <x:f>IF($B$78="Cash payoff",E1170,0)</x:f>
        <x:v>0</x:v>
      </x:c>
      <x:c r="G1170" s="440" t="n">
        <x:f>IF(AND(E1170&gt;0,AND($B$78="Refinance",ISNUMBER($B$80),$B$80&gt;=0,$B$80&lt;=1,ROUND($B$81*12,0)&gt;=1,$B$81&lt;=100,SUM($B$82)&gt;=0,SUM($B$82)&lt;=1,SUM($B$83)&gt;=0)),E1170*SUM($B$82)+SUM($B$83),0)</x:f>
        <x:v>0</x:v>
      </x:c>
      <x:c r="H1170" s="440" t="n">
        <x:f>IF(ISNUMBER(D1170),IF(MAX(0,B1170*(1+C1170/12)-D1170-F1170)&lt;MAX(0.0000001,$E$17*0.00000000001),0,MAX(0,B1170*(1+C1170/12)-D1170-F1170)),IF(AND($B$171=1,I1169=1),B1170,""))</x:f>
        <x:v>0</x:v>
      </x:c>
      <x:c r="I1170" s="444" t="n">
        <x:f>IF(OR(I1169=1,AND(E1170&gt;0,$B$78&lt;&gt;"Cash payoff",NOT(AND($B$78="Refinance",ISNUMBER($B$80),$B$80&gt;=0,$B$80&lt;=1,ROUND($B$81*12,0)&gt;=1,$B$81&lt;=100,SUM($B$82)&gt;=0,SUM($B$82)&lt;=1,SUM($B$83)&gt;=0))),AND(ISNUMBER(B1170),B1170&gt;0,$B$171=1,NOT(ISNUMBER(D1170)))),1,0)</x:f>
        <x:v>0</x:v>
      </x:c>
      <x:c r="J1170" s="440" t="n">
        <x:f>IF(ISNUMBER(L1169),L1169,"")</x:f>
        <x:v>0</x:v>
      </x:c>
      <x:c r="K1170" s="440" t="n">
        <x:f>IF(AND(ISNUMBER(J1170),J1170=0),0,IF(AND($B$176=1,ISNUMBER(J1170)),MIN(J1170*(1+$B$87/12),IF($B$86=0,0,IF($B$87=0,$B$86/ROUND($B$88*12,0),$B$86*($B$87/12)/(1-(1+$B$87/12)^(-ROUND($B$88*12,0)))))),""))</x:f>
        <x:v>0</x:v>
      </x:c>
      <x:c r="L1170" s="440" t="n">
        <x:f>IF(ISNUMBER(K1170),IF(MAX(0,J1170*(1+SUM($B$87)/12)-K1170)&lt;MAX(0.0000001,$B$86*0.00000000001),0,MAX(0,J1170*(1+SUM($B$87)/12)-K1170)),"")</x:f>
        <x:v>0</x:v>
      </x:c>
      <x:c r="M1170" s="440" t="n">
        <x:f>IF(AND(ISNUMBER(D1170),ISNUMBER(K1170)),D1170+K1170,"")</x:f>
        <x:v>0</x:v>
      </x:c>
      <x:c r="N1170" s="440" t="n">
        <x:f>IF(AND(ISNUMBER(H1170),ISNUMBER(L1170)),H1170+L1170,"")</x:f>
        <x:v>0</x:v>
      </x:c>
    </x:row>
    <x:row r="1171" ht="22" customHeight="1">
      <x:c r="A1171" s="254" t="n">
        <x:f>771</x:f>
        <x:v>771</x:v>
      </x:c>
      <x:c r="B1171" s="440" t="n">
        <x:f>IF(ISNUMBER(H1170),H1170,"")</x:f>
        <x:v>0</x:v>
      </x:c>
      <x:c r="C1171" s="442" t="n">
        <x:f>IF(ISNUMBER(B1171),IF(AND(771&gt;$B$173,$B$78="Refinance",ISNUMBER($B$80),$B$80&gt;=0,$B$80&lt;=1,ROUND($B$81*12,0)&gt;=1,$B$81&lt;=100,SUM($B$82)&gt;=0,SUM($B$82)&lt;=1,SUM($B$83)&gt;=0),$B$80,IF(AND($B$175&gt;0,771&gt;$B$175,ISNUMBER($B$75)),$B$75,$B$61)),"")</x:f>
        <x:v>0.0625</x:v>
      </x:c>
      <x:c r="D1171" s="440" t="n">
        <x:f>IF(AND(ISNUMBER(B1171),B1171=0),0,IF(AND($B$171=1,I1170=0,ISNUMBER(C1171),ISNUMBER(IF(AND(771&lt;=$B$174,771&lt;=$B$173),B1171*C1171/12,IF(AND(771=$B$173+1,AND(771&gt;$B$173,$B$78="Refinance",ISNUMBER($B$80),$B$80&gt;=0,$B$80&lt;=1,ROUND($B$81*12,0)&gt;=1,$B$81&lt;=100,SUM($B$82)&gt;=0,SUM($B$82)&lt;=1,SUM($B$83)&gt;=0)),IF(B1171=0,0,IF(C1171=0,B1171/ROUND($B$81*12,0),B1171*(C1171/12)/(1-(1+C1171/12)^(-ROUND($B$81*12,0))))),IF(AND(NOT(AND(771&gt;$B$173,$B$78="Refinance",ISNUMBER($B$80),$B$80&gt;=0,$B$80&lt;=1,ROUND($B$81*12,0)&gt;=1,$B$81&lt;=100,SUM($B$82)&gt;=0,SUM($B$82)&lt;=1,SUM($B$83)&gt;=0)),OR(771=1,771=$B$174+1,AND($B$175&gt;0,771=$B$175+1))),IF(AND($B$170=1,$B$66&gt;0,OR($B$175=0,771&lt;=$B$175)),$B$66,IF($B$172-MAX(771-1,$B$174)&gt;0,IF(B1171=0,0,IF(C1171=0,B1171/($B$172-MAX(771-1,$B$174)),B1171*(C1171/12)/(1-(1+C1171/12)^(-($B$172-MAX(771-1,$B$174)))))),"")),D1170))))),IF(IF(AND(771&lt;=$B$174,771&lt;=$B$173),B1171*C1171/12,IF(AND(771=$B$173+1,AND(771&gt;$B$173,$B$78="Refinance",ISNUMBER($B$80),$B$80&gt;=0,$B$80&lt;=1,ROUND($B$81*12,0)&gt;=1,$B$81&lt;=100,SUM($B$82)&gt;=0,SUM($B$82)&lt;=1,SUM($B$83)&gt;=0)),IF(B1171=0,0,IF(C1171=0,B1171/ROUND($B$81*12,0),B1171*(C1171/12)/(1-(1+C1171/12)^(-ROUND($B$81*12,0))))),IF(AND(NOT(AND(771&gt;$B$173,$B$78="Refinance",ISNUMBER($B$80),$B$80&gt;=0,$B$80&lt;=1,ROUND($B$81*12,0)&gt;=1,$B$81&lt;=100,SUM($B$82)&gt;=0,SUM($B$82)&lt;=1,SUM($B$83)&gt;=0)),OR(771=1,771=$B$174+1,AND($B$175&gt;0,771=$B$175+1))),IF(AND($B$170=1,$B$66&gt;0,OR($B$175=0,771&lt;=$B$175)),$B$66,IF($B$172-MAX(771-1,$B$174)&gt;0,IF(B1171=0,0,IF(C1171=0,B1171/($B$172-MAX(771-1,$B$174)),B1171*(C1171/12)/(1-(1+C1171/12)^(-($B$172-MAX(771-1,$B$174)))))),"")),D1170)))+0.0000001&gt;=B1171*C1171/12,MIN(B1171*(1+C1171/12),IF(AND(771&lt;=$B$174,771&lt;=$B$173),B1171*C1171/12,IF(AND(771=$B$173+1,AND(771&gt;$B$173,$B$78="Refinance",ISNUMBER($B$80),$B$80&gt;=0,$B$80&lt;=1,ROUND($B$81*12,0)&gt;=1,$B$81&lt;=100,SUM($B$82)&gt;=0,SUM($B$82)&lt;=1,SUM($B$83)&gt;=0)),IF(B1171=0,0,IF(C1171=0,B1171/ROUND($B$81*12,0),B1171*(C1171/12)/(1-(1+C1171/12)^(-ROUND($B$81*12,0))))),IF(AND(NOT(AND(771&gt;$B$173,$B$78="Refinance",ISNUMBER($B$80),$B$80&gt;=0,$B$80&lt;=1,ROUND($B$81*12,0)&gt;=1,$B$81&lt;=100,SUM($B$82)&gt;=0,SUM($B$82)&lt;=1,SUM($B$83)&gt;=0)),OR(771=1,771=$B$174+1,AND($B$175&gt;0,771=$B$175+1))),IF(AND($B$170=1,$B$66&gt;0,OR($B$175=0,771&lt;=$B$175)),$B$66,IF($B$172-MAX(771-1,$B$174)&gt;0,IF(B1171=0,0,IF(C1171=0,B1171/($B$172-MAX(771-1,$B$174)),B1171*(C1171/12)/(1-(1+C1171/12)^(-($B$172-MAX(771-1,$B$174)))))),"")),D1170)))),""),""))</x:f>
        <x:v>0</x:v>
      </x:c>
      <x:c r="E1171" s="440" t="n">
        <x:f>IF(AND(771=$B$173,ISNUMBER(D1171)),IF(MAX(0,B1171*(1+C1171/12)-D1171)&lt;MAX(0.0000001,$E$17*0.00000000001),0,MAX(0,B1171*(1+C1171/12)-D1171)),0)</x:f>
        <x:v>0</x:v>
      </x:c>
      <x:c r="F1171" s="440" t="n">
        <x:f>IF($B$78="Cash payoff",E1171,0)</x:f>
        <x:v>0</x:v>
      </x:c>
      <x:c r="G1171" s="440" t="n">
        <x:f>IF(AND(E1171&gt;0,AND($B$78="Refinance",ISNUMBER($B$80),$B$80&gt;=0,$B$80&lt;=1,ROUND($B$81*12,0)&gt;=1,$B$81&lt;=100,SUM($B$82)&gt;=0,SUM($B$82)&lt;=1,SUM($B$83)&gt;=0)),E1171*SUM($B$82)+SUM($B$83),0)</x:f>
        <x:v>0</x:v>
      </x:c>
      <x:c r="H1171" s="440" t="n">
        <x:f>IF(ISNUMBER(D1171),IF(MAX(0,B1171*(1+C1171/12)-D1171-F1171)&lt;MAX(0.0000001,$E$17*0.00000000001),0,MAX(0,B1171*(1+C1171/12)-D1171-F1171)),IF(AND($B$171=1,I1170=1),B1171,""))</x:f>
        <x:v>0</x:v>
      </x:c>
      <x:c r="I1171" s="444" t="n">
        <x:f>IF(OR(I1170=1,AND(E1171&gt;0,$B$78&lt;&gt;"Cash payoff",NOT(AND($B$78="Refinance",ISNUMBER($B$80),$B$80&gt;=0,$B$80&lt;=1,ROUND($B$81*12,0)&gt;=1,$B$81&lt;=100,SUM($B$82)&gt;=0,SUM($B$82)&lt;=1,SUM($B$83)&gt;=0))),AND(ISNUMBER(B1171),B1171&gt;0,$B$171=1,NOT(ISNUMBER(D1171)))),1,0)</x:f>
        <x:v>0</x:v>
      </x:c>
      <x:c r="J1171" s="440" t="n">
        <x:f>IF(ISNUMBER(L1170),L1170,"")</x:f>
        <x:v>0</x:v>
      </x:c>
      <x:c r="K1171" s="440" t="n">
        <x:f>IF(AND(ISNUMBER(J1171),J1171=0),0,IF(AND($B$176=1,ISNUMBER(J1171)),MIN(J1171*(1+$B$87/12),IF($B$86=0,0,IF($B$87=0,$B$86/ROUND($B$88*12,0),$B$86*($B$87/12)/(1-(1+$B$87/12)^(-ROUND($B$88*12,0)))))),""))</x:f>
        <x:v>0</x:v>
      </x:c>
      <x:c r="L1171" s="440" t="n">
        <x:f>IF(ISNUMBER(K1171),IF(MAX(0,J1171*(1+SUM($B$87)/12)-K1171)&lt;MAX(0.0000001,$B$86*0.00000000001),0,MAX(0,J1171*(1+SUM($B$87)/12)-K1171)),"")</x:f>
        <x:v>0</x:v>
      </x:c>
      <x:c r="M1171" s="440" t="n">
        <x:f>IF(AND(ISNUMBER(D1171),ISNUMBER(K1171)),D1171+K1171,"")</x:f>
        <x:v>0</x:v>
      </x:c>
      <x:c r="N1171" s="440" t="n">
        <x:f>IF(AND(ISNUMBER(H1171),ISNUMBER(L1171)),H1171+L1171,"")</x:f>
        <x:v>0</x:v>
      </x:c>
    </x:row>
    <x:row r="1172" ht="22" customHeight="1">
      <x:c r="A1172" s="254" t="n">
        <x:f>772</x:f>
        <x:v>772</x:v>
      </x:c>
      <x:c r="B1172" s="440" t="n">
        <x:f>IF(ISNUMBER(H1171),H1171,"")</x:f>
        <x:v>0</x:v>
      </x:c>
      <x:c r="C1172" s="442" t="n">
        <x:f>IF(ISNUMBER(B1172),IF(AND(772&gt;$B$173,$B$78="Refinance",ISNUMBER($B$80),$B$80&gt;=0,$B$80&lt;=1,ROUND($B$81*12,0)&gt;=1,$B$81&lt;=100,SUM($B$82)&gt;=0,SUM($B$82)&lt;=1,SUM($B$83)&gt;=0),$B$80,IF(AND($B$175&gt;0,772&gt;$B$175,ISNUMBER($B$75)),$B$75,$B$61)),"")</x:f>
        <x:v>0.0625</x:v>
      </x:c>
      <x:c r="D1172" s="440" t="n">
        <x:f>IF(AND(ISNUMBER(B1172),B1172=0),0,IF(AND($B$171=1,I1171=0,ISNUMBER(C1172),ISNUMBER(IF(AND(772&lt;=$B$174,772&lt;=$B$173),B1172*C1172/12,IF(AND(772=$B$173+1,AND(772&gt;$B$173,$B$78="Refinance",ISNUMBER($B$80),$B$80&gt;=0,$B$80&lt;=1,ROUND($B$81*12,0)&gt;=1,$B$81&lt;=100,SUM($B$82)&gt;=0,SUM($B$82)&lt;=1,SUM($B$83)&gt;=0)),IF(B1172=0,0,IF(C1172=0,B1172/ROUND($B$81*12,0),B1172*(C1172/12)/(1-(1+C1172/12)^(-ROUND($B$81*12,0))))),IF(AND(NOT(AND(772&gt;$B$173,$B$78="Refinance",ISNUMBER($B$80),$B$80&gt;=0,$B$80&lt;=1,ROUND($B$81*12,0)&gt;=1,$B$81&lt;=100,SUM($B$82)&gt;=0,SUM($B$82)&lt;=1,SUM($B$83)&gt;=0)),OR(772=1,772=$B$174+1,AND($B$175&gt;0,772=$B$175+1))),IF(AND($B$170=1,$B$66&gt;0,OR($B$175=0,772&lt;=$B$175)),$B$66,IF($B$172-MAX(772-1,$B$174)&gt;0,IF(B1172=0,0,IF(C1172=0,B1172/($B$172-MAX(772-1,$B$174)),B1172*(C1172/12)/(1-(1+C1172/12)^(-($B$172-MAX(772-1,$B$174)))))),"")),D1171))))),IF(IF(AND(772&lt;=$B$174,772&lt;=$B$173),B1172*C1172/12,IF(AND(772=$B$173+1,AND(772&gt;$B$173,$B$78="Refinance",ISNUMBER($B$80),$B$80&gt;=0,$B$80&lt;=1,ROUND($B$81*12,0)&gt;=1,$B$81&lt;=100,SUM($B$82)&gt;=0,SUM($B$82)&lt;=1,SUM($B$83)&gt;=0)),IF(B1172=0,0,IF(C1172=0,B1172/ROUND($B$81*12,0),B1172*(C1172/12)/(1-(1+C1172/12)^(-ROUND($B$81*12,0))))),IF(AND(NOT(AND(772&gt;$B$173,$B$78="Refinance",ISNUMBER($B$80),$B$80&gt;=0,$B$80&lt;=1,ROUND($B$81*12,0)&gt;=1,$B$81&lt;=100,SUM($B$82)&gt;=0,SUM($B$82)&lt;=1,SUM($B$83)&gt;=0)),OR(772=1,772=$B$174+1,AND($B$175&gt;0,772=$B$175+1))),IF(AND($B$170=1,$B$66&gt;0,OR($B$175=0,772&lt;=$B$175)),$B$66,IF($B$172-MAX(772-1,$B$174)&gt;0,IF(B1172=0,0,IF(C1172=0,B1172/($B$172-MAX(772-1,$B$174)),B1172*(C1172/12)/(1-(1+C1172/12)^(-($B$172-MAX(772-1,$B$174)))))),"")),D1171)))+0.0000001&gt;=B1172*C1172/12,MIN(B1172*(1+C1172/12),IF(AND(772&lt;=$B$174,772&lt;=$B$173),B1172*C1172/12,IF(AND(772=$B$173+1,AND(772&gt;$B$173,$B$78="Refinance",ISNUMBER($B$80),$B$80&gt;=0,$B$80&lt;=1,ROUND($B$81*12,0)&gt;=1,$B$81&lt;=100,SUM($B$82)&gt;=0,SUM($B$82)&lt;=1,SUM($B$83)&gt;=0)),IF(B1172=0,0,IF(C1172=0,B1172/ROUND($B$81*12,0),B1172*(C1172/12)/(1-(1+C1172/12)^(-ROUND($B$81*12,0))))),IF(AND(NOT(AND(772&gt;$B$173,$B$78="Refinance",ISNUMBER($B$80),$B$80&gt;=0,$B$80&lt;=1,ROUND($B$81*12,0)&gt;=1,$B$81&lt;=100,SUM($B$82)&gt;=0,SUM($B$82)&lt;=1,SUM($B$83)&gt;=0)),OR(772=1,772=$B$174+1,AND($B$175&gt;0,772=$B$175+1))),IF(AND($B$170=1,$B$66&gt;0,OR($B$175=0,772&lt;=$B$175)),$B$66,IF($B$172-MAX(772-1,$B$174)&gt;0,IF(B1172=0,0,IF(C1172=0,B1172/($B$172-MAX(772-1,$B$174)),B1172*(C1172/12)/(1-(1+C1172/12)^(-($B$172-MAX(772-1,$B$174)))))),"")),D1171)))),""),""))</x:f>
        <x:v>0</x:v>
      </x:c>
      <x:c r="E1172" s="440" t="n">
        <x:f>IF(AND(772=$B$173,ISNUMBER(D1172)),IF(MAX(0,B1172*(1+C1172/12)-D1172)&lt;MAX(0.0000001,$E$17*0.00000000001),0,MAX(0,B1172*(1+C1172/12)-D1172)),0)</x:f>
        <x:v>0</x:v>
      </x:c>
      <x:c r="F1172" s="440" t="n">
        <x:f>IF($B$78="Cash payoff",E1172,0)</x:f>
        <x:v>0</x:v>
      </x:c>
      <x:c r="G1172" s="440" t="n">
        <x:f>IF(AND(E1172&gt;0,AND($B$78="Refinance",ISNUMBER($B$80),$B$80&gt;=0,$B$80&lt;=1,ROUND($B$81*12,0)&gt;=1,$B$81&lt;=100,SUM($B$82)&gt;=0,SUM($B$82)&lt;=1,SUM($B$83)&gt;=0)),E1172*SUM($B$82)+SUM($B$83),0)</x:f>
        <x:v>0</x:v>
      </x:c>
      <x:c r="H1172" s="440" t="n">
        <x:f>IF(ISNUMBER(D1172),IF(MAX(0,B1172*(1+C1172/12)-D1172-F1172)&lt;MAX(0.0000001,$E$17*0.00000000001),0,MAX(0,B1172*(1+C1172/12)-D1172-F1172)),IF(AND($B$171=1,I1171=1),B1172,""))</x:f>
        <x:v>0</x:v>
      </x:c>
      <x:c r="I1172" s="444" t="n">
        <x:f>IF(OR(I1171=1,AND(E1172&gt;0,$B$78&lt;&gt;"Cash payoff",NOT(AND($B$78="Refinance",ISNUMBER($B$80),$B$80&gt;=0,$B$80&lt;=1,ROUND($B$81*12,0)&gt;=1,$B$81&lt;=100,SUM($B$82)&gt;=0,SUM($B$82)&lt;=1,SUM($B$83)&gt;=0))),AND(ISNUMBER(B1172),B1172&gt;0,$B$171=1,NOT(ISNUMBER(D1172)))),1,0)</x:f>
        <x:v>0</x:v>
      </x:c>
      <x:c r="J1172" s="440" t="n">
        <x:f>IF(ISNUMBER(L1171),L1171,"")</x:f>
        <x:v>0</x:v>
      </x:c>
      <x:c r="K1172" s="440" t="n">
        <x:f>IF(AND(ISNUMBER(J1172),J1172=0),0,IF(AND($B$176=1,ISNUMBER(J1172)),MIN(J1172*(1+$B$87/12),IF($B$86=0,0,IF($B$87=0,$B$86/ROUND($B$88*12,0),$B$86*($B$87/12)/(1-(1+$B$87/12)^(-ROUND($B$88*12,0)))))),""))</x:f>
        <x:v>0</x:v>
      </x:c>
      <x:c r="L1172" s="440" t="n">
        <x:f>IF(ISNUMBER(K1172),IF(MAX(0,J1172*(1+SUM($B$87)/12)-K1172)&lt;MAX(0.0000001,$B$86*0.00000000001),0,MAX(0,J1172*(1+SUM($B$87)/12)-K1172)),"")</x:f>
        <x:v>0</x:v>
      </x:c>
      <x:c r="M1172" s="440" t="n">
        <x:f>IF(AND(ISNUMBER(D1172),ISNUMBER(K1172)),D1172+K1172,"")</x:f>
        <x:v>0</x:v>
      </x:c>
      <x:c r="N1172" s="440" t="n">
        <x:f>IF(AND(ISNUMBER(H1172),ISNUMBER(L1172)),H1172+L1172,"")</x:f>
        <x:v>0</x:v>
      </x:c>
    </x:row>
    <x:row r="1173" ht="22" customHeight="1">
      <x:c r="A1173" s="254" t="n">
        <x:f>773</x:f>
        <x:v>773</x:v>
      </x:c>
      <x:c r="B1173" s="440" t="n">
        <x:f>IF(ISNUMBER(H1172),H1172,"")</x:f>
        <x:v>0</x:v>
      </x:c>
      <x:c r="C1173" s="442" t="n">
        <x:f>IF(ISNUMBER(B1173),IF(AND(773&gt;$B$173,$B$78="Refinance",ISNUMBER($B$80),$B$80&gt;=0,$B$80&lt;=1,ROUND($B$81*12,0)&gt;=1,$B$81&lt;=100,SUM($B$82)&gt;=0,SUM($B$82)&lt;=1,SUM($B$83)&gt;=0),$B$80,IF(AND($B$175&gt;0,773&gt;$B$175,ISNUMBER($B$75)),$B$75,$B$61)),"")</x:f>
        <x:v>0.0625</x:v>
      </x:c>
      <x:c r="D1173" s="440" t="n">
        <x:f>IF(AND(ISNUMBER(B1173),B1173=0),0,IF(AND($B$171=1,I1172=0,ISNUMBER(C1173),ISNUMBER(IF(AND(773&lt;=$B$174,773&lt;=$B$173),B1173*C1173/12,IF(AND(773=$B$173+1,AND(773&gt;$B$173,$B$78="Refinance",ISNUMBER($B$80),$B$80&gt;=0,$B$80&lt;=1,ROUND($B$81*12,0)&gt;=1,$B$81&lt;=100,SUM($B$82)&gt;=0,SUM($B$82)&lt;=1,SUM($B$83)&gt;=0)),IF(B1173=0,0,IF(C1173=0,B1173/ROUND($B$81*12,0),B1173*(C1173/12)/(1-(1+C1173/12)^(-ROUND($B$81*12,0))))),IF(AND(NOT(AND(773&gt;$B$173,$B$78="Refinance",ISNUMBER($B$80),$B$80&gt;=0,$B$80&lt;=1,ROUND($B$81*12,0)&gt;=1,$B$81&lt;=100,SUM($B$82)&gt;=0,SUM($B$82)&lt;=1,SUM($B$83)&gt;=0)),OR(773=1,773=$B$174+1,AND($B$175&gt;0,773=$B$175+1))),IF(AND($B$170=1,$B$66&gt;0,OR($B$175=0,773&lt;=$B$175)),$B$66,IF($B$172-MAX(773-1,$B$174)&gt;0,IF(B1173=0,0,IF(C1173=0,B1173/($B$172-MAX(773-1,$B$174)),B1173*(C1173/12)/(1-(1+C1173/12)^(-($B$172-MAX(773-1,$B$174)))))),"")),D1172))))),IF(IF(AND(773&lt;=$B$174,773&lt;=$B$173),B1173*C1173/12,IF(AND(773=$B$173+1,AND(773&gt;$B$173,$B$78="Refinance",ISNUMBER($B$80),$B$80&gt;=0,$B$80&lt;=1,ROUND($B$81*12,0)&gt;=1,$B$81&lt;=100,SUM($B$82)&gt;=0,SUM($B$82)&lt;=1,SUM($B$83)&gt;=0)),IF(B1173=0,0,IF(C1173=0,B1173/ROUND($B$81*12,0),B1173*(C1173/12)/(1-(1+C1173/12)^(-ROUND($B$81*12,0))))),IF(AND(NOT(AND(773&gt;$B$173,$B$78="Refinance",ISNUMBER($B$80),$B$80&gt;=0,$B$80&lt;=1,ROUND($B$81*12,0)&gt;=1,$B$81&lt;=100,SUM($B$82)&gt;=0,SUM($B$82)&lt;=1,SUM($B$83)&gt;=0)),OR(773=1,773=$B$174+1,AND($B$175&gt;0,773=$B$175+1))),IF(AND($B$170=1,$B$66&gt;0,OR($B$175=0,773&lt;=$B$175)),$B$66,IF($B$172-MAX(773-1,$B$174)&gt;0,IF(B1173=0,0,IF(C1173=0,B1173/($B$172-MAX(773-1,$B$174)),B1173*(C1173/12)/(1-(1+C1173/12)^(-($B$172-MAX(773-1,$B$174)))))),"")),D1172)))+0.0000001&gt;=B1173*C1173/12,MIN(B1173*(1+C1173/12),IF(AND(773&lt;=$B$174,773&lt;=$B$173),B1173*C1173/12,IF(AND(773=$B$173+1,AND(773&gt;$B$173,$B$78="Refinance",ISNUMBER($B$80),$B$80&gt;=0,$B$80&lt;=1,ROUND($B$81*12,0)&gt;=1,$B$81&lt;=100,SUM($B$82)&gt;=0,SUM($B$82)&lt;=1,SUM($B$83)&gt;=0)),IF(B1173=0,0,IF(C1173=0,B1173/ROUND($B$81*12,0),B1173*(C1173/12)/(1-(1+C1173/12)^(-ROUND($B$81*12,0))))),IF(AND(NOT(AND(773&gt;$B$173,$B$78="Refinance",ISNUMBER($B$80),$B$80&gt;=0,$B$80&lt;=1,ROUND($B$81*12,0)&gt;=1,$B$81&lt;=100,SUM($B$82)&gt;=0,SUM($B$82)&lt;=1,SUM($B$83)&gt;=0)),OR(773=1,773=$B$174+1,AND($B$175&gt;0,773=$B$175+1))),IF(AND($B$170=1,$B$66&gt;0,OR($B$175=0,773&lt;=$B$175)),$B$66,IF($B$172-MAX(773-1,$B$174)&gt;0,IF(B1173=0,0,IF(C1173=0,B1173/($B$172-MAX(773-1,$B$174)),B1173*(C1173/12)/(1-(1+C1173/12)^(-($B$172-MAX(773-1,$B$174)))))),"")),D1172)))),""),""))</x:f>
        <x:v>0</x:v>
      </x:c>
      <x:c r="E1173" s="440" t="n">
        <x:f>IF(AND(773=$B$173,ISNUMBER(D1173)),IF(MAX(0,B1173*(1+C1173/12)-D1173)&lt;MAX(0.0000001,$E$17*0.00000000001),0,MAX(0,B1173*(1+C1173/12)-D1173)),0)</x:f>
        <x:v>0</x:v>
      </x:c>
      <x:c r="F1173" s="440" t="n">
        <x:f>IF($B$78="Cash payoff",E1173,0)</x:f>
        <x:v>0</x:v>
      </x:c>
      <x:c r="G1173" s="440" t="n">
        <x:f>IF(AND(E1173&gt;0,AND($B$78="Refinance",ISNUMBER($B$80),$B$80&gt;=0,$B$80&lt;=1,ROUND($B$81*12,0)&gt;=1,$B$81&lt;=100,SUM($B$82)&gt;=0,SUM($B$82)&lt;=1,SUM($B$83)&gt;=0)),E1173*SUM($B$82)+SUM($B$83),0)</x:f>
        <x:v>0</x:v>
      </x:c>
      <x:c r="H1173" s="440" t="n">
        <x:f>IF(ISNUMBER(D1173),IF(MAX(0,B1173*(1+C1173/12)-D1173-F1173)&lt;MAX(0.0000001,$E$17*0.00000000001),0,MAX(0,B1173*(1+C1173/12)-D1173-F1173)),IF(AND($B$171=1,I1172=1),B1173,""))</x:f>
        <x:v>0</x:v>
      </x:c>
      <x:c r="I1173" s="444" t="n">
        <x:f>IF(OR(I1172=1,AND(E1173&gt;0,$B$78&lt;&gt;"Cash payoff",NOT(AND($B$78="Refinance",ISNUMBER($B$80),$B$80&gt;=0,$B$80&lt;=1,ROUND($B$81*12,0)&gt;=1,$B$81&lt;=100,SUM($B$82)&gt;=0,SUM($B$82)&lt;=1,SUM($B$83)&gt;=0))),AND(ISNUMBER(B1173),B1173&gt;0,$B$171=1,NOT(ISNUMBER(D1173)))),1,0)</x:f>
        <x:v>0</x:v>
      </x:c>
      <x:c r="J1173" s="440" t="n">
        <x:f>IF(ISNUMBER(L1172),L1172,"")</x:f>
        <x:v>0</x:v>
      </x:c>
      <x:c r="K1173" s="440" t="n">
        <x:f>IF(AND(ISNUMBER(J1173),J1173=0),0,IF(AND($B$176=1,ISNUMBER(J1173)),MIN(J1173*(1+$B$87/12),IF($B$86=0,0,IF($B$87=0,$B$86/ROUND($B$88*12,0),$B$86*($B$87/12)/(1-(1+$B$87/12)^(-ROUND($B$88*12,0)))))),""))</x:f>
        <x:v>0</x:v>
      </x:c>
      <x:c r="L1173" s="440" t="n">
        <x:f>IF(ISNUMBER(K1173),IF(MAX(0,J1173*(1+SUM($B$87)/12)-K1173)&lt;MAX(0.0000001,$B$86*0.00000000001),0,MAX(0,J1173*(1+SUM($B$87)/12)-K1173)),"")</x:f>
        <x:v>0</x:v>
      </x:c>
      <x:c r="M1173" s="440" t="n">
        <x:f>IF(AND(ISNUMBER(D1173),ISNUMBER(K1173)),D1173+K1173,"")</x:f>
        <x:v>0</x:v>
      </x:c>
      <x:c r="N1173" s="440" t="n">
        <x:f>IF(AND(ISNUMBER(H1173),ISNUMBER(L1173)),H1173+L1173,"")</x:f>
        <x:v>0</x:v>
      </x:c>
    </x:row>
    <x:row r="1174" ht="22" customHeight="1">
      <x:c r="A1174" s="254" t="n">
        <x:f>774</x:f>
        <x:v>774</x:v>
      </x:c>
      <x:c r="B1174" s="440" t="n">
        <x:f>IF(ISNUMBER(H1173),H1173,"")</x:f>
        <x:v>0</x:v>
      </x:c>
      <x:c r="C1174" s="442" t="n">
        <x:f>IF(ISNUMBER(B1174),IF(AND(774&gt;$B$173,$B$78="Refinance",ISNUMBER($B$80),$B$80&gt;=0,$B$80&lt;=1,ROUND($B$81*12,0)&gt;=1,$B$81&lt;=100,SUM($B$82)&gt;=0,SUM($B$82)&lt;=1,SUM($B$83)&gt;=0),$B$80,IF(AND($B$175&gt;0,774&gt;$B$175,ISNUMBER($B$75)),$B$75,$B$61)),"")</x:f>
        <x:v>0.0625</x:v>
      </x:c>
      <x:c r="D1174" s="440" t="n">
        <x:f>IF(AND(ISNUMBER(B1174),B1174=0),0,IF(AND($B$171=1,I1173=0,ISNUMBER(C1174),ISNUMBER(IF(AND(774&lt;=$B$174,774&lt;=$B$173),B1174*C1174/12,IF(AND(774=$B$173+1,AND(774&gt;$B$173,$B$78="Refinance",ISNUMBER($B$80),$B$80&gt;=0,$B$80&lt;=1,ROUND($B$81*12,0)&gt;=1,$B$81&lt;=100,SUM($B$82)&gt;=0,SUM($B$82)&lt;=1,SUM($B$83)&gt;=0)),IF(B1174=0,0,IF(C1174=0,B1174/ROUND($B$81*12,0),B1174*(C1174/12)/(1-(1+C1174/12)^(-ROUND($B$81*12,0))))),IF(AND(NOT(AND(774&gt;$B$173,$B$78="Refinance",ISNUMBER($B$80),$B$80&gt;=0,$B$80&lt;=1,ROUND($B$81*12,0)&gt;=1,$B$81&lt;=100,SUM($B$82)&gt;=0,SUM($B$82)&lt;=1,SUM($B$83)&gt;=0)),OR(774=1,774=$B$174+1,AND($B$175&gt;0,774=$B$175+1))),IF(AND($B$170=1,$B$66&gt;0,OR($B$175=0,774&lt;=$B$175)),$B$66,IF($B$172-MAX(774-1,$B$174)&gt;0,IF(B1174=0,0,IF(C1174=0,B1174/($B$172-MAX(774-1,$B$174)),B1174*(C1174/12)/(1-(1+C1174/12)^(-($B$172-MAX(774-1,$B$174)))))),"")),D1173))))),IF(IF(AND(774&lt;=$B$174,774&lt;=$B$173),B1174*C1174/12,IF(AND(774=$B$173+1,AND(774&gt;$B$173,$B$78="Refinance",ISNUMBER($B$80),$B$80&gt;=0,$B$80&lt;=1,ROUND($B$81*12,0)&gt;=1,$B$81&lt;=100,SUM($B$82)&gt;=0,SUM($B$82)&lt;=1,SUM($B$83)&gt;=0)),IF(B1174=0,0,IF(C1174=0,B1174/ROUND($B$81*12,0),B1174*(C1174/12)/(1-(1+C1174/12)^(-ROUND($B$81*12,0))))),IF(AND(NOT(AND(774&gt;$B$173,$B$78="Refinance",ISNUMBER($B$80),$B$80&gt;=0,$B$80&lt;=1,ROUND($B$81*12,0)&gt;=1,$B$81&lt;=100,SUM($B$82)&gt;=0,SUM($B$82)&lt;=1,SUM($B$83)&gt;=0)),OR(774=1,774=$B$174+1,AND($B$175&gt;0,774=$B$175+1))),IF(AND($B$170=1,$B$66&gt;0,OR($B$175=0,774&lt;=$B$175)),$B$66,IF($B$172-MAX(774-1,$B$174)&gt;0,IF(B1174=0,0,IF(C1174=0,B1174/($B$172-MAX(774-1,$B$174)),B1174*(C1174/12)/(1-(1+C1174/12)^(-($B$172-MAX(774-1,$B$174)))))),"")),D1173)))+0.0000001&gt;=B1174*C1174/12,MIN(B1174*(1+C1174/12),IF(AND(774&lt;=$B$174,774&lt;=$B$173),B1174*C1174/12,IF(AND(774=$B$173+1,AND(774&gt;$B$173,$B$78="Refinance",ISNUMBER($B$80),$B$80&gt;=0,$B$80&lt;=1,ROUND($B$81*12,0)&gt;=1,$B$81&lt;=100,SUM($B$82)&gt;=0,SUM($B$82)&lt;=1,SUM($B$83)&gt;=0)),IF(B1174=0,0,IF(C1174=0,B1174/ROUND($B$81*12,0),B1174*(C1174/12)/(1-(1+C1174/12)^(-ROUND($B$81*12,0))))),IF(AND(NOT(AND(774&gt;$B$173,$B$78="Refinance",ISNUMBER($B$80),$B$80&gt;=0,$B$80&lt;=1,ROUND($B$81*12,0)&gt;=1,$B$81&lt;=100,SUM($B$82)&gt;=0,SUM($B$82)&lt;=1,SUM($B$83)&gt;=0)),OR(774=1,774=$B$174+1,AND($B$175&gt;0,774=$B$175+1))),IF(AND($B$170=1,$B$66&gt;0,OR($B$175=0,774&lt;=$B$175)),$B$66,IF($B$172-MAX(774-1,$B$174)&gt;0,IF(B1174=0,0,IF(C1174=0,B1174/($B$172-MAX(774-1,$B$174)),B1174*(C1174/12)/(1-(1+C1174/12)^(-($B$172-MAX(774-1,$B$174)))))),"")),D1173)))),""),""))</x:f>
        <x:v>0</x:v>
      </x:c>
      <x:c r="E1174" s="440" t="n">
        <x:f>IF(AND(774=$B$173,ISNUMBER(D1174)),IF(MAX(0,B1174*(1+C1174/12)-D1174)&lt;MAX(0.0000001,$E$17*0.00000000001),0,MAX(0,B1174*(1+C1174/12)-D1174)),0)</x:f>
        <x:v>0</x:v>
      </x:c>
      <x:c r="F1174" s="440" t="n">
        <x:f>IF($B$78="Cash payoff",E1174,0)</x:f>
        <x:v>0</x:v>
      </x:c>
      <x:c r="G1174" s="440" t="n">
        <x:f>IF(AND(E1174&gt;0,AND($B$78="Refinance",ISNUMBER($B$80),$B$80&gt;=0,$B$80&lt;=1,ROUND($B$81*12,0)&gt;=1,$B$81&lt;=100,SUM($B$82)&gt;=0,SUM($B$82)&lt;=1,SUM($B$83)&gt;=0)),E1174*SUM($B$82)+SUM($B$83),0)</x:f>
        <x:v>0</x:v>
      </x:c>
      <x:c r="H1174" s="440" t="n">
        <x:f>IF(ISNUMBER(D1174),IF(MAX(0,B1174*(1+C1174/12)-D1174-F1174)&lt;MAX(0.0000001,$E$17*0.00000000001),0,MAX(0,B1174*(1+C1174/12)-D1174-F1174)),IF(AND($B$171=1,I1173=1),B1174,""))</x:f>
        <x:v>0</x:v>
      </x:c>
      <x:c r="I1174" s="444" t="n">
        <x:f>IF(OR(I1173=1,AND(E1174&gt;0,$B$78&lt;&gt;"Cash payoff",NOT(AND($B$78="Refinance",ISNUMBER($B$80),$B$80&gt;=0,$B$80&lt;=1,ROUND($B$81*12,0)&gt;=1,$B$81&lt;=100,SUM($B$82)&gt;=0,SUM($B$82)&lt;=1,SUM($B$83)&gt;=0))),AND(ISNUMBER(B1174),B1174&gt;0,$B$171=1,NOT(ISNUMBER(D1174)))),1,0)</x:f>
        <x:v>0</x:v>
      </x:c>
      <x:c r="J1174" s="440" t="n">
        <x:f>IF(ISNUMBER(L1173),L1173,"")</x:f>
        <x:v>0</x:v>
      </x:c>
      <x:c r="K1174" s="440" t="n">
        <x:f>IF(AND(ISNUMBER(J1174),J1174=0),0,IF(AND($B$176=1,ISNUMBER(J1174)),MIN(J1174*(1+$B$87/12),IF($B$86=0,0,IF($B$87=0,$B$86/ROUND($B$88*12,0),$B$86*($B$87/12)/(1-(1+$B$87/12)^(-ROUND($B$88*12,0)))))),""))</x:f>
        <x:v>0</x:v>
      </x:c>
      <x:c r="L1174" s="440" t="n">
        <x:f>IF(ISNUMBER(K1174),IF(MAX(0,J1174*(1+SUM($B$87)/12)-K1174)&lt;MAX(0.0000001,$B$86*0.00000000001),0,MAX(0,J1174*(1+SUM($B$87)/12)-K1174)),"")</x:f>
        <x:v>0</x:v>
      </x:c>
      <x:c r="M1174" s="440" t="n">
        <x:f>IF(AND(ISNUMBER(D1174),ISNUMBER(K1174)),D1174+K1174,"")</x:f>
        <x:v>0</x:v>
      </x:c>
      <x:c r="N1174" s="440" t="n">
        <x:f>IF(AND(ISNUMBER(H1174),ISNUMBER(L1174)),H1174+L1174,"")</x:f>
        <x:v>0</x:v>
      </x:c>
    </x:row>
    <x:row r="1175" ht="22" customHeight="1">
      <x:c r="A1175" s="254" t="n">
        <x:f>775</x:f>
        <x:v>775</x:v>
      </x:c>
      <x:c r="B1175" s="440" t="n">
        <x:f>IF(ISNUMBER(H1174),H1174,"")</x:f>
        <x:v>0</x:v>
      </x:c>
      <x:c r="C1175" s="442" t="n">
        <x:f>IF(ISNUMBER(B1175),IF(AND(775&gt;$B$173,$B$78="Refinance",ISNUMBER($B$80),$B$80&gt;=0,$B$80&lt;=1,ROUND($B$81*12,0)&gt;=1,$B$81&lt;=100,SUM($B$82)&gt;=0,SUM($B$82)&lt;=1,SUM($B$83)&gt;=0),$B$80,IF(AND($B$175&gt;0,775&gt;$B$175,ISNUMBER($B$75)),$B$75,$B$61)),"")</x:f>
        <x:v>0.0625</x:v>
      </x:c>
      <x:c r="D1175" s="440" t="n">
        <x:f>IF(AND(ISNUMBER(B1175),B1175=0),0,IF(AND($B$171=1,I1174=0,ISNUMBER(C1175),ISNUMBER(IF(AND(775&lt;=$B$174,775&lt;=$B$173),B1175*C1175/12,IF(AND(775=$B$173+1,AND(775&gt;$B$173,$B$78="Refinance",ISNUMBER($B$80),$B$80&gt;=0,$B$80&lt;=1,ROUND($B$81*12,0)&gt;=1,$B$81&lt;=100,SUM($B$82)&gt;=0,SUM($B$82)&lt;=1,SUM($B$83)&gt;=0)),IF(B1175=0,0,IF(C1175=0,B1175/ROUND($B$81*12,0),B1175*(C1175/12)/(1-(1+C1175/12)^(-ROUND($B$81*12,0))))),IF(AND(NOT(AND(775&gt;$B$173,$B$78="Refinance",ISNUMBER($B$80),$B$80&gt;=0,$B$80&lt;=1,ROUND($B$81*12,0)&gt;=1,$B$81&lt;=100,SUM($B$82)&gt;=0,SUM($B$82)&lt;=1,SUM($B$83)&gt;=0)),OR(775=1,775=$B$174+1,AND($B$175&gt;0,775=$B$175+1))),IF(AND($B$170=1,$B$66&gt;0,OR($B$175=0,775&lt;=$B$175)),$B$66,IF($B$172-MAX(775-1,$B$174)&gt;0,IF(B1175=0,0,IF(C1175=0,B1175/($B$172-MAX(775-1,$B$174)),B1175*(C1175/12)/(1-(1+C1175/12)^(-($B$172-MAX(775-1,$B$174)))))),"")),D1174))))),IF(IF(AND(775&lt;=$B$174,775&lt;=$B$173),B1175*C1175/12,IF(AND(775=$B$173+1,AND(775&gt;$B$173,$B$78="Refinance",ISNUMBER($B$80),$B$80&gt;=0,$B$80&lt;=1,ROUND($B$81*12,0)&gt;=1,$B$81&lt;=100,SUM($B$82)&gt;=0,SUM($B$82)&lt;=1,SUM($B$83)&gt;=0)),IF(B1175=0,0,IF(C1175=0,B1175/ROUND($B$81*12,0),B1175*(C1175/12)/(1-(1+C1175/12)^(-ROUND($B$81*12,0))))),IF(AND(NOT(AND(775&gt;$B$173,$B$78="Refinance",ISNUMBER($B$80),$B$80&gt;=0,$B$80&lt;=1,ROUND($B$81*12,0)&gt;=1,$B$81&lt;=100,SUM($B$82)&gt;=0,SUM($B$82)&lt;=1,SUM($B$83)&gt;=0)),OR(775=1,775=$B$174+1,AND($B$175&gt;0,775=$B$175+1))),IF(AND($B$170=1,$B$66&gt;0,OR($B$175=0,775&lt;=$B$175)),$B$66,IF($B$172-MAX(775-1,$B$174)&gt;0,IF(B1175=0,0,IF(C1175=0,B1175/($B$172-MAX(775-1,$B$174)),B1175*(C1175/12)/(1-(1+C1175/12)^(-($B$172-MAX(775-1,$B$174)))))),"")),D1174)))+0.0000001&gt;=B1175*C1175/12,MIN(B1175*(1+C1175/12),IF(AND(775&lt;=$B$174,775&lt;=$B$173),B1175*C1175/12,IF(AND(775=$B$173+1,AND(775&gt;$B$173,$B$78="Refinance",ISNUMBER($B$80),$B$80&gt;=0,$B$80&lt;=1,ROUND($B$81*12,0)&gt;=1,$B$81&lt;=100,SUM($B$82)&gt;=0,SUM($B$82)&lt;=1,SUM($B$83)&gt;=0)),IF(B1175=0,0,IF(C1175=0,B1175/ROUND($B$81*12,0),B1175*(C1175/12)/(1-(1+C1175/12)^(-ROUND($B$81*12,0))))),IF(AND(NOT(AND(775&gt;$B$173,$B$78="Refinance",ISNUMBER($B$80),$B$80&gt;=0,$B$80&lt;=1,ROUND($B$81*12,0)&gt;=1,$B$81&lt;=100,SUM($B$82)&gt;=0,SUM($B$82)&lt;=1,SUM($B$83)&gt;=0)),OR(775=1,775=$B$174+1,AND($B$175&gt;0,775=$B$175+1))),IF(AND($B$170=1,$B$66&gt;0,OR($B$175=0,775&lt;=$B$175)),$B$66,IF($B$172-MAX(775-1,$B$174)&gt;0,IF(B1175=0,0,IF(C1175=0,B1175/($B$172-MAX(775-1,$B$174)),B1175*(C1175/12)/(1-(1+C1175/12)^(-($B$172-MAX(775-1,$B$174)))))),"")),D1174)))),""),""))</x:f>
        <x:v>0</x:v>
      </x:c>
      <x:c r="E1175" s="440" t="n">
        <x:f>IF(AND(775=$B$173,ISNUMBER(D1175)),IF(MAX(0,B1175*(1+C1175/12)-D1175)&lt;MAX(0.0000001,$E$17*0.00000000001),0,MAX(0,B1175*(1+C1175/12)-D1175)),0)</x:f>
        <x:v>0</x:v>
      </x:c>
      <x:c r="F1175" s="440" t="n">
        <x:f>IF($B$78="Cash payoff",E1175,0)</x:f>
        <x:v>0</x:v>
      </x:c>
      <x:c r="G1175" s="440" t="n">
        <x:f>IF(AND(E1175&gt;0,AND($B$78="Refinance",ISNUMBER($B$80),$B$80&gt;=0,$B$80&lt;=1,ROUND($B$81*12,0)&gt;=1,$B$81&lt;=100,SUM($B$82)&gt;=0,SUM($B$82)&lt;=1,SUM($B$83)&gt;=0)),E1175*SUM($B$82)+SUM($B$83),0)</x:f>
        <x:v>0</x:v>
      </x:c>
      <x:c r="H1175" s="440" t="n">
        <x:f>IF(ISNUMBER(D1175),IF(MAX(0,B1175*(1+C1175/12)-D1175-F1175)&lt;MAX(0.0000001,$E$17*0.00000000001),0,MAX(0,B1175*(1+C1175/12)-D1175-F1175)),IF(AND($B$171=1,I1174=1),B1175,""))</x:f>
        <x:v>0</x:v>
      </x:c>
      <x:c r="I1175" s="444" t="n">
        <x:f>IF(OR(I1174=1,AND(E1175&gt;0,$B$78&lt;&gt;"Cash payoff",NOT(AND($B$78="Refinance",ISNUMBER($B$80),$B$80&gt;=0,$B$80&lt;=1,ROUND($B$81*12,0)&gt;=1,$B$81&lt;=100,SUM($B$82)&gt;=0,SUM($B$82)&lt;=1,SUM($B$83)&gt;=0))),AND(ISNUMBER(B1175),B1175&gt;0,$B$171=1,NOT(ISNUMBER(D1175)))),1,0)</x:f>
        <x:v>0</x:v>
      </x:c>
      <x:c r="J1175" s="440" t="n">
        <x:f>IF(ISNUMBER(L1174),L1174,"")</x:f>
        <x:v>0</x:v>
      </x:c>
      <x:c r="K1175" s="440" t="n">
        <x:f>IF(AND(ISNUMBER(J1175),J1175=0),0,IF(AND($B$176=1,ISNUMBER(J1175)),MIN(J1175*(1+$B$87/12),IF($B$86=0,0,IF($B$87=0,$B$86/ROUND($B$88*12,0),$B$86*($B$87/12)/(1-(1+$B$87/12)^(-ROUND($B$88*12,0)))))),""))</x:f>
        <x:v>0</x:v>
      </x:c>
      <x:c r="L1175" s="440" t="n">
        <x:f>IF(ISNUMBER(K1175),IF(MAX(0,J1175*(1+SUM($B$87)/12)-K1175)&lt;MAX(0.0000001,$B$86*0.00000000001),0,MAX(0,J1175*(1+SUM($B$87)/12)-K1175)),"")</x:f>
        <x:v>0</x:v>
      </x:c>
      <x:c r="M1175" s="440" t="n">
        <x:f>IF(AND(ISNUMBER(D1175),ISNUMBER(K1175)),D1175+K1175,"")</x:f>
        <x:v>0</x:v>
      </x:c>
      <x:c r="N1175" s="440" t="n">
        <x:f>IF(AND(ISNUMBER(H1175),ISNUMBER(L1175)),H1175+L1175,"")</x:f>
        <x:v>0</x:v>
      </x:c>
    </x:row>
    <x:row r="1176" ht="22" customHeight="1">
      <x:c r="A1176" s="254" t="n">
        <x:f>776</x:f>
        <x:v>776</x:v>
      </x:c>
      <x:c r="B1176" s="440" t="n">
        <x:f>IF(ISNUMBER(H1175),H1175,"")</x:f>
        <x:v>0</x:v>
      </x:c>
      <x:c r="C1176" s="442" t="n">
        <x:f>IF(ISNUMBER(B1176),IF(AND(776&gt;$B$173,$B$78="Refinance",ISNUMBER($B$80),$B$80&gt;=0,$B$80&lt;=1,ROUND($B$81*12,0)&gt;=1,$B$81&lt;=100,SUM($B$82)&gt;=0,SUM($B$82)&lt;=1,SUM($B$83)&gt;=0),$B$80,IF(AND($B$175&gt;0,776&gt;$B$175,ISNUMBER($B$75)),$B$75,$B$61)),"")</x:f>
        <x:v>0.0625</x:v>
      </x:c>
      <x:c r="D1176" s="440" t="n">
        <x:f>IF(AND(ISNUMBER(B1176),B1176=0),0,IF(AND($B$171=1,I1175=0,ISNUMBER(C1176),ISNUMBER(IF(AND(776&lt;=$B$174,776&lt;=$B$173),B1176*C1176/12,IF(AND(776=$B$173+1,AND(776&gt;$B$173,$B$78="Refinance",ISNUMBER($B$80),$B$80&gt;=0,$B$80&lt;=1,ROUND($B$81*12,0)&gt;=1,$B$81&lt;=100,SUM($B$82)&gt;=0,SUM($B$82)&lt;=1,SUM($B$83)&gt;=0)),IF(B1176=0,0,IF(C1176=0,B1176/ROUND($B$81*12,0),B1176*(C1176/12)/(1-(1+C1176/12)^(-ROUND($B$81*12,0))))),IF(AND(NOT(AND(776&gt;$B$173,$B$78="Refinance",ISNUMBER($B$80),$B$80&gt;=0,$B$80&lt;=1,ROUND($B$81*12,0)&gt;=1,$B$81&lt;=100,SUM($B$82)&gt;=0,SUM($B$82)&lt;=1,SUM($B$83)&gt;=0)),OR(776=1,776=$B$174+1,AND($B$175&gt;0,776=$B$175+1))),IF(AND($B$170=1,$B$66&gt;0,OR($B$175=0,776&lt;=$B$175)),$B$66,IF($B$172-MAX(776-1,$B$174)&gt;0,IF(B1176=0,0,IF(C1176=0,B1176/($B$172-MAX(776-1,$B$174)),B1176*(C1176/12)/(1-(1+C1176/12)^(-($B$172-MAX(776-1,$B$174)))))),"")),D1175))))),IF(IF(AND(776&lt;=$B$174,776&lt;=$B$173),B1176*C1176/12,IF(AND(776=$B$173+1,AND(776&gt;$B$173,$B$78="Refinance",ISNUMBER($B$80),$B$80&gt;=0,$B$80&lt;=1,ROUND($B$81*12,0)&gt;=1,$B$81&lt;=100,SUM($B$82)&gt;=0,SUM($B$82)&lt;=1,SUM($B$83)&gt;=0)),IF(B1176=0,0,IF(C1176=0,B1176/ROUND($B$81*12,0),B1176*(C1176/12)/(1-(1+C1176/12)^(-ROUND($B$81*12,0))))),IF(AND(NOT(AND(776&gt;$B$173,$B$78="Refinance",ISNUMBER($B$80),$B$80&gt;=0,$B$80&lt;=1,ROUND($B$81*12,0)&gt;=1,$B$81&lt;=100,SUM($B$82)&gt;=0,SUM($B$82)&lt;=1,SUM($B$83)&gt;=0)),OR(776=1,776=$B$174+1,AND($B$175&gt;0,776=$B$175+1))),IF(AND($B$170=1,$B$66&gt;0,OR($B$175=0,776&lt;=$B$175)),$B$66,IF($B$172-MAX(776-1,$B$174)&gt;0,IF(B1176=0,0,IF(C1176=0,B1176/($B$172-MAX(776-1,$B$174)),B1176*(C1176/12)/(1-(1+C1176/12)^(-($B$172-MAX(776-1,$B$174)))))),"")),D1175)))+0.0000001&gt;=B1176*C1176/12,MIN(B1176*(1+C1176/12),IF(AND(776&lt;=$B$174,776&lt;=$B$173),B1176*C1176/12,IF(AND(776=$B$173+1,AND(776&gt;$B$173,$B$78="Refinance",ISNUMBER($B$80),$B$80&gt;=0,$B$80&lt;=1,ROUND($B$81*12,0)&gt;=1,$B$81&lt;=100,SUM($B$82)&gt;=0,SUM($B$82)&lt;=1,SUM($B$83)&gt;=0)),IF(B1176=0,0,IF(C1176=0,B1176/ROUND($B$81*12,0),B1176*(C1176/12)/(1-(1+C1176/12)^(-ROUND($B$81*12,0))))),IF(AND(NOT(AND(776&gt;$B$173,$B$78="Refinance",ISNUMBER($B$80),$B$80&gt;=0,$B$80&lt;=1,ROUND($B$81*12,0)&gt;=1,$B$81&lt;=100,SUM($B$82)&gt;=0,SUM($B$82)&lt;=1,SUM($B$83)&gt;=0)),OR(776=1,776=$B$174+1,AND($B$175&gt;0,776=$B$175+1))),IF(AND($B$170=1,$B$66&gt;0,OR($B$175=0,776&lt;=$B$175)),$B$66,IF($B$172-MAX(776-1,$B$174)&gt;0,IF(B1176=0,0,IF(C1176=0,B1176/($B$172-MAX(776-1,$B$174)),B1176*(C1176/12)/(1-(1+C1176/12)^(-($B$172-MAX(776-1,$B$174)))))),"")),D1175)))),""),""))</x:f>
        <x:v>0</x:v>
      </x:c>
      <x:c r="E1176" s="440" t="n">
        <x:f>IF(AND(776=$B$173,ISNUMBER(D1176)),IF(MAX(0,B1176*(1+C1176/12)-D1176)&lt;MAX(0.0000001,$E$17*0.00000000001),0,MAX(0,B1176*(1+C1176/12)-D1176)),0)</x:f>
        <x:v>0</x:v>
      </x:c>
      <x:c r="F1176" s="440" t="n">
        <x:f>IF($B$78="Cash payoff",E1176,0)</x:f>
        <x:v>0</x:v>
      </x:c>
      <x:c r="G1176" s="440" t="n">
        <x:f>IF(AND(E1176&gt;0,AND($B$78="Refinance",ISNUMBER($B$80),$B$80&gt;=0,$B$80&lt;=1,ROUND($B$81*12,0)&gt;=1,$B$81&lt;=100,SUM($B$82)&gt;=0,SUM($B$82)&lt;=1,SUM($B$83)&gt;=0)),E1176*SUM($B$82)+SUM($B$83),0)</x:f>
        <x:v>0</x:v>
      </x:c>
      <x:c r="H1176" s="440" t="n">
        <x:f>IF(ISNUMBER(D1176),IF(MAX(0,B1176*(1+C1176/12)-D1176-F1176)&lt;MAX(0.0000001,$E$17*0.00000000001),0,MAX(0,B1176*(1+C1176/12)-D1176-F1176)),IF(AND($B$171=1,I1175=1),B1176,""))</x:f>
        <x:v>0</x:v>
      </x:c>
      <x:c r="I1176" s="444" t="n">
        <x:f>IF(OR(I1175=1,AND(E1176&gt;0,$B$78&lt;&gt;"Cash payoff",NOT(AND($B$78="Refinance",ISNUMBER($B$80),$B$80&gt;=0,$B$80&lt;=1,ROUND($B$81*12,0)&gt;=1,$B$81&lt;=100,SUM($B$82)&gt;=0,SUM($B$82)&lt;=1,SUM($B$83)&gt;=0))),AND(ISNUMBER(B1176),B1176&gt;0,$B$171=1,NOT(ISNUMBER(D1176)))),1,0)</x:f>
        <x:v>0</x:v>
      </x:c>
      <x:c r="J1176" s="440" t="n">
        <x:f>IF(ISNUMBER(L1175),L1175,"")</x:f>
        <x:v>0</x:v>
      </x:c>
      <x:c r="K1176" s="440" t="n">
        <x:f>IF(AND(ISNUMBER(J1176),J1176=0),0,IF(AND($B$176=1,ISNUMBER(J1176)),MIN(J1176*(1+$B$87/12),IF($B$86=0,0,IF($B$87=0,$B$86/ROUND($B$88*12,0),$B$86*($B$87/12)/(1-(1+$B$87/12)^(-ROUND($B$88*12,0)))))),""))</x:f>
        <x:v>0</x:v>
      </x:c>
      <x:c r="L1176" s="440" t="n">
        <x:f>IF(ISNUMBER(K1176),IF(MAX(0,J1176*(1+SUM($B$87)/12)-K1176)&lt;MAX(0.0000001,$B$86*0.00000000001),0,MAX(0,J1176*(1+SUM($B$87)/12)-K1176)),"")</x:f>
        <x:v>0</x:v>
      </x:c>
      <x:c r="M1176" s="440" t="n">
        <x:f>IF(AND(ISNUMBER(D1176),ISNUMBER(K1176)),D1176+K1176,"")</x:f>
        <x:v>0</x:v>
      </x:c>
      <x:c r="N1176" s="440" t="n">
        <x:f>IF(AND(ISNUMBER(H1176),ISNUMBER(L1176)),H1176+L1176,"")</x:f>
        <x:v>0</x:v>
      </x:c>
    </x:row>
    <x:row r="1177" ht="22" customHeight="1">
      <x:c r="A1177" s="254" t="n">
        <x:f>777</x:f>
        <x:v>777</x:v>
      </x:c>
      <x:c r="B1177" s="440" t="n">
        <x:f>IF(ISNUMBER(H1176),H1176,"")</x:f>
        <x:v>0</x:v>
      </x:c>
      <x:c r="C1177" s="442" t="n">
        <x:f>IF(ISNUMBER(B1177),IF(AND(777&gt;$B$173,$B$78="Refinance",ISNUMBER($B$80),$B$80&gt;=0,$B$80&lt;=1,ROUND($B$81*12,0)&gt;=1,$B$81&lt;=100,SUM($B$82)&gt;=0,SUM($B$82)&lt;=1,SUM($B$83)&gt;=0),$B$80,IF(AND($B$175&gt;0,777&gt;$B$175,ISNUMBER($B$75)),$B$75,$B$61)),"")</x:f>
        <x:v>0.0625</x:v>
      </x:c>
      <x:c r="D1177" s="440" t="n">
        <x:f>IF(AND(ISNUMBER(B1177),B1177=0),0,IF(AND($B$171=1,I1176=0,ISNUMBER(C1177),ISNUMBER(IF(AND(777&lt;=$B$174,777&lt;=$B$173),B1177*C1177/12,IF(AND(777=$B$173+1,AND(777&gt;$B$173,$B$78="Refinance",ISNUMBER($B$80),$B$80&gt;=0,$B$80&lt;=1,ROUND($B$81*12,0)&gt;=1,$B$81&lt;=100,SUM($B$82)&gt;=0,SUM($B$82)&lt;=1,SUM($B$83)&gt;=0)),IF(B1177=0,0,IF(C1177=0,B1177/ROUND($B$81*12,0),B1177*(C1177/12)/(1-(1+C1177/12)^(-ROUND($B$81*12,0))))),IF(AND(NOT(AND(777&gt;$B$173,$B$78="Refinance",ISNUMBER($B$80),$B$80&gt;=0,$B$80&lt;=1,ROUND($B$81*12,0)&gt;=1,$B$81&lt;=100,SUM($B$82)&gt;=0,SUM($B$82)&lt;=1,SUM($B$83)&gt;=0)),OR(777=1,777=$B$174+1,AND($B$175&gt;0,777=$B$175+1))),IF(AND($B$170=1,$B$66&gt;0,OR($B$175=0,777&lt;=$B$175)),$B$66,IF($B$172-MAX(777-1,$B$174)&gt;0,IF(B1177=0,0,IF(C1177=0,B1177/($B$172-MAX(777-1,$B$174)),B1177*(C1177/12)/(1-(1+C1177/12)^(-($B$172-MAX(777-1,$B$174)))))),"")),D1176))))),IF(IF(AND(777&lt;=$B$174,777&lt;=$B$173),B1177*C1177/12,IF(AND(777=$B$173+1,AND(777&gt;$B$173,$B$78="Refinance",ISNUMBER($B$80),$B$80&gt;=0,$B$80&lt;=1,ROUND($B$81*12,0)&gt;=1,$B$81&lt;=100,SUM($B$82)&gt;=0,SUM($B$82)&lt;=1,SUM($B$83)&gt;=0)),IF(B1177=0,0,IF(C1177=0,B1177/ROUND($B$81*12,0),B1177*(C1177/12)/(1-(1+C1177/12)^(-ROUND($B$81*12,0))))),IF(AND(NOT(AND(777&gt;$B$173,$B$78="Refinance",ISNUMBER($B$80),$B$80&gt;=0,$B$80&lt;=1,ROUND($B$81*12,0)&gt;=1,$B$81&lt;=100,SUM($B$82)&gt;=0,SUM($B$82)&lt;=1,SUM($B$83)&gt;=0)),OR(777=1,777=$B$174+1,AND($B$175&gt;0,777=$B$175+1))),IF(AND($B$170=1,$B$66&gt;0,OR($B$175=0,777&lt;=$B$175)),$B$66,IF($B$172-MAX(777-1,$B$174)&gt;0,IF(B1177=0,0,IF(C1177=0,B1177/($B$172-MAX(777-1,$B$174)),B1177*(C1177/12)/(1-(1+C1177/12)^(-($B$172-MAX(777-1,$B$174)))))),"")),D1176)))+0.0000001&gt;=B1177*C1177/12,MIN(B1177*(1+C1177/12),IF(AND(777&lt;=$B$174,777&lt;=$B$173),B1177*C1177/12,IF(AND(777=$B$173+1,AND(777&gt;$B$173,$B$78="Refinance",ISNUMBER($B$80),$B$80&gt;=0,$B$80&lt;=1,ROUND($B$81*12,0)&gt;=1,$B$81&lt;=100,SUM($B$82)&gt;=0,SUM($B$82)&lt;=1,SUM($B$83)&gt;=0)),IF(B1177=0,0,IF(C1177=0,B1177/ROUND($B$81*12,0),B1177*(C1177/12)/(1-(1+C1177/12)^(-ROUND($B$81*12,0))))),IF(AND(NOT(AND(777&gt;$B$173,$B$78="Refinance",ISNUMBER($B$80),$B$80&gt;=0,$B$80&lt;=1,ROUND($B$81*12,0)&gt;=1,$B$81&lt;=100,SUM($B$82)&gt;=0,SUM($B$82)&lt;=1,SUM($B$83)&gt;=0)),OR(777=1,777=$B$174+1,AND($B$175&gt;0,777=$B$175+1))),IF(AND($B$170=1,$B$66&gt;0,OR($B$175=0,777&lt;=$B$175)),$B$66,IF($B$172-MAX(777-1,$B$174)&gt;0,IF(B1177=0,0,IF(C1177=0,B1177/($B$172-MAX(777-1,$B$174)),B1177*(C1177/12)/(1-(1+C1177/12)^(-($B$172-MAX(777-1,$B$174)))))),"")),D1176)))),""),""))</x:f>
        <x:v>0</x:v>
      </x:c>
      <x:c r="E1177" s="440" t="n">
        <x:f>IF(AND(777=$B$173,ISNUMBER(D1177)),IF(MAX(0,B1177*(1+C1177/12)-D1177)&lt;MAX(0.0000001,$E$17*0.00000000001),0,MAX(0,B1177*(1+C1177/12)-D1177)),0)</x:f>
        <x:v>0</x:v>
      </x:c>
      <x:c r="F1177" s="440" t="n">
        <x:f>IF($B$78="Cash payoff",E1177,0)</x:f>
        <x:v>0</x:v>
      </x:c>
      <x:c r="G1177" s="440" t="n">
        <x:f>IF(AND(E1177&gt;0,AND($B$78="Refinance",ISNUMBER($B$80),$B$80&gt;=0,$B$80&lt;=1,ROUND($B$81*12,0)&gt;=1,$B$81&lt;=100,SUM($B$82)&gt;=0,SUM($B$82)&lt;=1,SUM($B$83)&gt;=0)),E1177*SUM($B$82)+SUM($B$83),0)</x:f>
        <x:v>0</x:v>
      </x:c>
      <x:c r="H1177" s="440" t="n">
        <x:f>IF(ISNUMBER(D1177),IF(MAX(0,B1177*(1+C1177/12)-D1177-F1177)&lt;MAX(0.0000001,$E$17*0.00000000001),0,MAX(0,B1177*(1+C1177/12)-D1177-F1177)),IF(AND($B$171=1,I1176=1),B1177,""))</x:f>
        <x:v>0</x:v>
      </x:c>
      <x:c r="I1177" s="444" t="n">
        <x:f>IF(OR(I1176=1,AND(E1177&gt;0,$B$78&lt;&gt;"Cash payoff",NOT(AND($B$78="Refinance",ISNUMBER($B$80),$B$80&gt;=0,$B$80&lt;=1,ROUND($B$81*12,0)&gt;=1,$B$81&lt;=100,SUM($B$82)&gt;=0,SUM($B$82)&lt;=1,SUM($B$83)&gt;=0))),AND(ISNUMBER(B1177),B1177&gt;0,$B$171=1,NOT(ISNUMBER(D1177)))),1,0)</x:f>
        <x:v>0</x:v>
      </x:c>
      <x:c r="J1177" s="440" t="n">
        <x:f>IF(ISNUMBER(L1176),L1176,"")</x:f>
        <x:v>0</x:v>
      </x:c>
      <x:c r="K1177" s="440" t="n">
        <x:f>IF(AND(ISNUMBER(J1177),J1177=0),0,IF(AND($B$176=1,ISNUMBER(J1177)),MIN(J1177*(1+$B$87/12),IF($B$86=0,0,IF($B$87=0,$B$86/ROUND($B$88*12,0),$B$86*($B$87/12)/(1-(1+$B$87/12)^(-ROUND($B$88*12,0)))))),""))</x:f>
        <x:v>0</x:v>
      </x:c>
      <x:c r="L1177" s="440" t="n">
        <x:f>IF(ISNUMBER(K1177),IF(MAX(0,J1177*(1+SUM($B$87)/12)-K1177)&lt;MAX(0.0000001,$B$86*0.00000000001),0,MAX(0,J1177*(1+SUM($B$87)/12)-K1177)),"")</x:f>
        <x:v>0</x:v>
      </x:c>
      <x:c r="M1177" s="440" t="n">
        <x:f>IF(AND(ISNUMBER(D1177),ISNUMBER(K1177)),D1177+K1177,"")</x:f>
        <x:v>0</x:v>
      </x:c>
      <x:c r="N1177" s="440" t="n">
        <x:f>IF(AND(ISNUMBER(H1177),ISNUMBER(L1177)),H1177+L1177,"")</x:f>
        <x:v>0</x:v>
      </x:c>
    </x:row>
    <x:row r="1178" ht="22" customHeight="1">
      <x:c r="A1178" s="254" t="n">
        <x:f>778</x:f>
        <x:v>778</x:v>
      </x:c>
      <x:c r="B1178" s="440" t="n">
        <x:f>IF(ISNUMBER(H1177),H1177,"")</x:f>
        <x:v>0</x:v>
      </x:c>
      <x:c r="C1178" s="442" t="n">
        <x:f>IF(ISNUMBER(B1178),IF(AND(778&gt;$B$173,$B$78="Refinance",ISNUMBER($B$80),$B$80&gt;=0,$B$80&lt;=1,ROUND($B$81*12,0)&gt;=1,$B$81&lt;=100,SUM($B$82)&gt;=0,SUM($B$82)&lt;=1,SUM($B$83)&gt;=0),$B$80,IF(AND($B$175&gt;0,778&gt;$B$175,ISNUMBER($B$75)),$B$75,$B$61)),"")</x:f>
        <x:v>0.0625</x:v>
      </x:c>
      <x:c r="D1178" s="440" t="n">
        <x:f>IF(AND(ISNUMBER(B1178),B1178=0),0,IF(AND($B$171=1,I1177=0,ISNUMBER(C1178),ISNUMBER(IF(AND(778&lt;=$B$174,778&lt;=$B$173),B1178*C1178/12,IF(AND(778=$B$173+1,AND(778&gt;$B$173,$B$78="Refinance",ISNUMBER($B$80),$B$80&gt;=0,$B$80&lt;=1,ROUND($B$81*12,0)&gt;=1,$B$81&lt;=100,SUM($B$82)&gt;=0,SUM($B$82)&lt;=1,SUM($B$83)&gt;=0)),IF(B1178=0,0,IF(C1178=0,B1178/ROUND($B$81*12,0),B1178*(C1178/12)/(1-(1+C1178/12)^(-ROUND($B$81*12,0))))),IF(AND(NOT(AND(778&gt;$B$173,$B$78="Refinance",ISNUMBER($B$80),$B$80&gt;=0,$B$80&lt;=1,ROUND($B$81*12,0)&gt;=1,$B$81&lt;=100,SUM($B$82)&gt;=0,SUM($B$82)&lt;=1,SUM($B$83)&gt;=0)),OR(778=1,778=$B$174+1,AND($B$175&gt;0,778=$B$175+1))),IF(AND($B$170=1,$B$66&gt;0,OR($B$175=0,778&lt;=$B$175)),$B$66,IF($B$172-MAX(778-1,$B$174)&gt;0,IF(B1178=0,0,IF(C1178=0,B1178/($B$172-MAX(778-1,$B$174)),B1178*(C1178/12)/(1-(1+C1178/12)^(-($B$172-MAX(778-1,$B$174)))))),"")),D1177))))),IF(IF(AND(778&lt;=$B$174,778&lt;=$B$173),B1178*C1178/12,IF(AND(778=$B$173+1,AND(778&gt;$B$173,$B$78="Refinance",ISNUMBER($B$80),$B$80&gt;=0,$B$80&lt;=1,ROUND($B$81*12,0)&gt;=1,$B$81&lt;=100,SUM($B$82)&gt;=0,SUM($B$82)&lt;=1,SUM($B$83)&gt;=0)),IF(B1178=0,0,IF(C1178=0,B1178/ROUND($B$81*12,0),B1178*(C1178/12)/(1-(1+C1178/12)^(-ROUND($B$81*12,0))))),IF(AND(NOT(AND(778&gt;$B$173,$B$78="Refinance",ISNUMBER($B$80),$B$80&gt;=0,$B$80&lt;=1,ROUND($B$81*12,0)&gt;=1,$B$81&lt;=100,SUM($B$82)&gt;=0,SUM($B$82)&lt;=1,SUM($B$83)&gt;=0)),OR(778=1,778=$B$174+1,AND($B$175&gt;0,778=$B$175+1))),IF(AND($B$170=1,$B$66&gt;0,OR($B$175=0,778&lt;=$B$175)),$B$66,IF($B$172-MAX(778-1,$B$174)&gt;0,IF(B1178=0,0,IF(C1178=0,B1178/($B$172-MAX(778-1,$B$174)),B1178*(C1178/12)/(1-(1+C1178/12)^(-($B$172-MAX(778-1,$B$174)))))),"")),D1177)))+0.0000001&gt;=B1178*C1178/12,MIN(B1178*(1+C1178/12),IF(AND(778&lt;=$B$174,778&lt;=$B$173),B1178*C1178/12,IF(AND(778=$B$173+1,AND(778&gt;$B$173,$B$78="Refinance",ISNUMBER($B$80),$B$80&gt;=0,$B$80&lt;=1,ROUND($B$81*12,0)&gt;=1,$B$81&lt;=100,SUM($B$82)&gt;=0,SUM($B$82)&lt;=1,SUM($B$83)&gt;=0)),IF(B1178=0,0,IF(C1178=0,B1178/ROUND($B$81*12,0),B1178*(C1178/12)/(1-(1+C1178/12)^(-ROUND($B$81*12,0))))),IF(AND(NOT(AND(778&gt;$B$173,$B$78="Refinance",ISNUMBER($B$80),$B$80&gt;=0,$B$80&lt;=1,ROUND($B$81*12,0)&gt;=1,$B$81&lt;=100,SUM($B$82)&gt;=0,SUM($B$82)&lt;=1,SUM($B$83)&gt;=0)),OR(778=1,778=$B$174+1,AND($B$175&gt;0,778=$B$175+1))),IF(AND($B$170=1,$B$66&gt;0,OR($B$175=0,778&lt;=$B$175)),$B$66,IF($B$172-MAX(778-1,$B$174)&gt;0,IF(B1178=0,0,IF(C1178=0,B1178/($B$172-MAX(778-1,$B$174)),B1178*(C1178/12)/(1-(1+C1178/12)^(-($B$172-MAX(778-1,$B$174)))))),"")),D1177)))),""),""))</x:f>
        <x:v>0</x:v>
      </x:c>
      <x:c r="E1178" s="440" t="n">
        <x:f>IF(AND(778=$B$173,ISNUMBER(D1178)),IF(MAX(0,B1178*(1+C1178/12)-D1178)&lt;MAX(0.0000001,$E$17*0.00000000001),0,MAX(0,B1178*(1+C1178/12)-D1178)),0)</x:f>
        <x:v>0</x:v>
      </x:c>
      <x:c r="F1178" s="440" t="n">
        <x:f>IF($B$78="Cash payoff",E1178,0)</x:f>
        <x:v>0</x:v>
      </x:c>
      <x:c r="G1178" s="440" t="n">
        <x:f>IF(AND(E1178&gt;0,AND($B$78="Refinance",ISNUMBER($B$80),$B$80&gt;=0,$B$80&lt;=1,ROUND($B$81*12,0)&gt;=1,$B$81&lt;=100,SUM($B$82)&gt;=0,SUM($B$82)&lt;=1,SUM($B$83)&gt;=0)),E1178*SUM($B$82)+SUM($B$83),0)</x:f>
        <x:v>0</x:v>
      </x:c>
      <x:c r="H1178" s="440" t="n">
        <x:f>IF(ISNUMBER(D1178),IF(MAX(0,B1178*(1+C1178/12)-D1178-F1178)&lt;MAX(0.0000001,$E$17*0.00000000001),0,MAX(0,B1178*(1+C1178/12)-D1178-F1178)),IF(AND($B$171=1,I1177=1),B1178,""))</x:f>
        <x:v>0</x:v>
      </x:c>
      <x:c r="I1178" s="444" t="n">
        <x:f>IF(OR(I1177=1,AND(E1178&gt;0,$B$78&lt;&gt;"Cash payoff",NOT(AND($B$78="Refinance",ISNUMBER($B$80),$B$80&gt;=0,$B$80&lt;=1,ROUND($B$81*12,0)&gt;=1,$B$81&lt;=100,SUM($B$82)&gt;=0,SUM($B$82)&lt;=1,SUM($B$83)&gt;=0))),AND(ISNUMBER(B1178),B1178&gt;0,$B$171=1,NOT(ISNUMBER(D1178)))),1,0)</x:f>
        <x:v>0</x:v>
      </x:c>
      <x:c r="J1178" s="440" t="n">
        <x:f>IF(ISNUMBER(L1177),L1177,"")</x:f>
        <x:v>0</x:v>
      </x:c>
      <x:c r="K1178" s="440" t="n">
        <x:f>IF(AND(ISNUMBER(J1178),J1178=0),0,IF(AND($B$176=1,ISNUMBER(J1178)),MIN(J1178*(1+$B$87/12),IF($B$86=0,0,IF($B$87=0,$B$86/ROUND($B$88*12,0),$B$86*($B$87/12)/(1-(1+$B$87/12)^(-ROUND($B$88*12,0)))))),""))</x:f>
        <x:v>0</x:v>
      </x:c>
      <x:c r="L1178" s="440" t="n">
        <x:f>IF(ISNUMBER(K1178),IF(MAX(0,J1178*(1+SUM($B$87)/12)-K1178)&lt;MAX(0.0000001,$B$86*0.00000000001),0,MAX(0,J1178*(1+SUM($B$87)/12)-K1178)),"")</x:f>
        <x:v>0</x:v>
      </x:c>
      <x:c r="M1178" s="440" t="n">
        <x:f>IF(AND(ISNUMBER(D1178),ISNUMBER(K1178)),D1178+K1178,"")</x:f>
        <x:v>0</x:v>
      </x:c>
      <x:c r="N1178" s="440" t="n">
        <x:f>IF(AND(ISNUMBER(H1178),ISNUMBER(L1178)),H1178+L1178,"")</x:f>
        <x:v>0</x:v>
      </x:c>
    </x:row>
    <x:row r="1179" ht="22" customHeight="1">
      <x:c r="A1179" s="254" t="n">
        <x:f>779</x:f>
        <x:v>779</x:v>
      </x:c>
      <x:c r="B1179" s="440" t="n">
        <x:f>IF(ISNUMBER(H1178),H1178,"")</x:f>
        <x:v>0</x:v>
      </x:c>
      <x:c r="C1179" s="442" t="n">
        <x:f>IF(ISNUMBER(B1179),IF(AND(779&gt;$B$173,$B$78="Refinance",ISNUMBER($B$80),$B$80&gt;=0,$B$80&lt;=1,ROUND($B$81*12,0)&gt;=1,$B$81&lt;=100,SUM($B$82)&gt;=0,SUM($B$82)&lt;=1,SUM($B$83)&gt;=0),$B$80,IF(AND($B$175&gt;0,779&gt;$B$175,ISNUMBER($B$75)),$B$75,$B$61)),"")</x:f>
        <x:v>0.0625</x:v>
      </x:c>
      <x:c r="D1179" s="440" t="n">
        <x:f>IF(AND(ISNUMBER(B1179),B1179=0),0,IF(AND($B$171=1,I1178=0,ISNUMBER(C1179),ISNUMBER(IF(AND(779&lt;=$B$174,779&lt;=$B$173),B1179*C1179/12,IF(AND(779=$B$173+1,AND(779&gt;$B$173,$B$78="Refinance",ISNUMBER($B$80),$B$80&gt;=0,$B$80&lt;=1,ROUND($B$81*12,0)&gt;=1,$B$81&lt;=100,SUM($B$82)&gt;=0,SUM($B$82)&lt;=1,SUM($B$83)&gt;=0)),IF(B1179=0,0,IF(C1179=0,B1179/ROUND($B$81*12,0),B1179*(C1179/12)/(1-(1+C1179/12)^(-ROUND($B$81*12,0))))),IF(AND(NOT(AND(779&gt;$B$173,$B$78="Refinance",ISNUMBER($B$80),$B$80&gt;=0,$B$80&lt;=1,ROUND($B$81*12,0)&gt;=1,$B$81&lt;=100,SUM($B$82)&gt;=0,SUM($B$82)&lt;=1,SUM($B$83)&gt;=0)),OR(779=1,779=$B$174+1,AND($B$175&gt;0,779=$B$175+1))),IF(AND($B$170=1,$B$66&gt;0,OR($B$175=0,779&lt;=$B$175)),$B$66,IF($B$172-MAX(779-1,$B$174)&gt;0,IF(B1179=0,0,IF(C1179=0,B1179/($B$172-MAX(779-1,$B$174)),B1179*(C1179/12)/(1-(1+C1179/12)^(-($B$172-MAX(779-1,$B$174)))))),"")),D1178))))),IF(IF(AND(779&lt;=$B$174,779&lt;=$B$173),B1179*C1179/12,IF(AND(779=$B$173+1,AND(779&gt;$B$173,$B$78="Refinance",ISNUMBER($B$80),$B$80&gt;=0,$B$80&lt;=1,ROUND($B$81*12,0)&gt;=1,$B$81&lt;=100,SUM($B$82)&gt;=0,SUM($B$82)&lt;=1,SUM($B$83)&gt;=0)),IF(B1179=0,0,IF(C1179=0,B1179/ROUND($B$81*12,0),B1179*(C1179/12)/(1-(1+C1179/12)^(-ROUND($B$81*12,0))))),IF(AND(NOT(AND(779&gt;$B$173,$B$78="Refinance",ISNUMBER($B$80),$B$80&gt;=0,$B$80&lt;=1,ROUND($B$81*12,0)&gt;=1,$B$81&lt;=100,SUM($B$82)&gt;=0,SUM($B$82)&lt;=1,SUM($B$83)&gt;=0)),OR(779=1,779=$B$174+1,AND($B$175&gt;0,779=$B$175+1))),IF(AND($B$170=1,$B$66&gt;0,OR($B$175=0,779&lt;=$B$175)),$B$66,IF($B$172-MAX(779-1,$B$174)&gt;0,IF(B1179=0,0,IF(C1179=0,B1179/($B$172-MAX(779-1,$B$174)),B1179*(C1179/12)/(1-(1+C1179/12)^(-($B$172-MAX(779-1,$B$174)))))),"")),D1178)))+0.0000001&gt;=B1179*C1179/12,MIN(B1179*(1+C1179/12),IF(AND(779&lt;=$B$174,779&lt;=$B$173),B1179*C1179/12,IF(AND(779=$B$173+1,AND(779&gt;$B$173,$B$78="Refinance",ISNUMBER($B$80),$B$80&gt;=0,$B$80&lt;=1,ROUND($B$81*12,0)&gt;=1,$B$81&lt;=100,SUM($B$82)&gt;=0,SUM($B$82)&lt;=1,SUM($B$83)&gt;=0)),IF(B1179=0,0,IF(C1179=0,B1179/ROUND($B$81*12,0),B1179*(C1179/12)/(1-(1+C1179/12)^(-ROUND($B$81*12,0))))),IF(AND(NOT(AND(779&gt;$B$173,$B$78="Refinance",ISNUMBER($B$80),$B$80&gt;=0,$B$80&lt;=1,ROUND($B$81*12,0)&gt;=1,$B$81&lt;=100,SUM($B$82)&gt;=0,SUM($B$82)&lt;=1,SUM($B$83)&gt;=0)),OR(779=1,779=$B$174+1,AND($B$175&gt;0,779=$B$175+1))),IF(AND($B$170=1,$B$66&gt;0,OR($B$175=0,779&lt;=$B$175)),$B$66,IF($B$172-MAX(779-1,$B$174)&gt;0,IF(B1179=0,0,IF(C1179=0,B1179/($B$172-MAX(779-1,$B$174)),B1179*(C1179/12)/(1-(1+C1179/12)^(-($B$172-MAX(779-1,$B$174)))))),"")),D1178)))),""),""))</x:f>
        <x:v>0</x:v>
      </x:c>
      <x:c r="E1179" s="440" t="n">
        <x:f>IF(AND(779=$B$173,ISNUMBER(D1179)),IF(MAX(0,B1179*(1+C1179/12)-D1179)&lt;MAX(0.0000001,$E$17*0.00000000001),0,MAX(0,B1179*(1+C1179/12)-D1179)),0)</x:f>
        <x:v>0</x:v>
      </x:c>
      <x:c r="F1179" s="440" t="n">
        <x:f>IF($B$78="Cash payoff",E1179,0)</x:f>
        <x:v>0</x:v>
      </x:c>
      <x:c r="G1179" s="440" t="n">
        <x:f>IF(AND(E1179&gt;0,AND($B$78="Refinance",ISNUMBER($B$80),$B$80&gt;=0,$B$80&lt;=1,ROUND($B$81*12,0)&gt;=1,$B$81&lt;=100,SUM($B$82)&gt;=0,SUM($B$82)&lt;=1,SUM($B$83)&gt;=0)),E1179*SUM($B$82)+SUM($B$83),0)</x:f>
        <x:v>0</x:v>
      </x:c>
      <x:c r="H1179" s="440" t="n">
        <x:f>IF(ISNUMBER(D1179),IF(MAX(0,B1179*(1+C1179/12)-D1179-F1179)&lt;MAX(0.0000001,$E$17*0.00000000001),0,MAX(0,B1179*(1+C1179/12)-D1179-F1179)),IF(AND($B$171=1,I1178=1),B1179,""))</x:f>
        <x:v>0</x:v>
      </x:c>
      <x:c r="I1179" s="444" t="n">
        <x:f>IF(OR(I1178=1,AND(E1179&gt;0,$B$78&lt;&gt;"Cash payoff",NOT(AND($B$78="Refinance",ISNUMBER($B$80),$B$80&gt;=0,$B$80&lt;=1,ROUND($B$81*12,0)&gt;=1,$B$81&lt;=100,SUM($B$82)&gt;=0,SUM($B$82)&lt;=1,SUM($B$83)&gt;=0))),AND(ISNUMBER(B1179),B1179&gt;0,$B$171=1,NOT(ISNUMBER(D1179)))),1,0)</x:f>
        <x:v>0</x:v>
      </x:c>
      <x:c r="J1179" s="440" t="n">
        <x:f>IF(ISNUMBER(L1178),L1178,"")</x:f>
        <x:v>0</x:v>
      </x:c>
      <x:c r="K1179" s="440" t="n">
        <x:f>IF(AND(ISNUMBER(J1179),J1179=0),0,IF(AND($B$176=1,ISNUMBER(J1179)),MIN(J1179*(1+$B$87/12),IF($B$86=0,0,IF($B$87=0,$B$86/ROUND($B$88*12,0),$B$86*($B$87/12)/(1-(1+$B$87/12)^(-ROUND($B$88*12,0)))))),""))</x:f>
        <x:v>0</x:v>
      </x:c>
      <x:c r="L1179" s="440" t="n">
        <x:f>IF(ISNUMBER(K1179),IF(MAX(0,J1179*(1+SUM($B$87)/12)-K1179)&lt;MAX(0.0000001,$B$86*0.00000000001),0,MAX(0,J1179*(1+SUM($B$87)/12)-K1179)),"")</x:f>
        <x:v>0</x:v>
      </x:c>
      <x:c r="M1179" s="440" t="n">
        <x:f>IF(AND(ISNUMBER(D1179),ISNUMBER(K1179)),D1179+K1179,"")</x:f>
        <x:v>0</x:v>
      </x:c>
      <x:c r="N1179" s="440" t="n">
        <x:f>IF(AND(ISNUMBER(H1179),ISNUMBER(L1179)),H1179+L1179,"")</x:f>
        <x:v>0</x:v>
      </x:c>
    </x:row>
    <x:row r="1180" ht="22" customHeight="1">
      <x:c r="A1180" s="254" t="n">
        <x:f>780</x:f>
        <x:v>780</x:v>
      </x:c>
      <x:c r="B1180" s="440" t="n">
        <x:f>IF(ISNUMBER(H1179),H1179,"")</x:f>
        <x:v>0</x:v>
      </x:c>
      <x:c r="C1180" s="442" t="n">
        <x:f>IF(ISNUMBER(B1180),IF(AND(780&gt;$B$173,$B$78="Refinance",ISNUMBER($B$80),$B$80&gt;=0,$B$80&lt;=1,ROUND($B$81*12,0)&gt;=1,$B$81&lt;=100,SUM($B$82)&gt;=0,SUM($B$82)&lt;=1,SUM($B$83)&gt;=0),$B$80,IF(AND($B$175&gt;0,780&gt;$B$175,ISNUMBER($B$75)),$B$75,$B$61)),"")</x:f>
        <x:v>0.0625</x:v>
      </x:c>
      <x:c r="D1180" s="440" t="n">
        <x:f>IF(AND(ISNUMBER(B1180),B1180=0),0,IF(AND($B$171=1,I1179=0,ISNUMBER(C1180),ISNUMBER(IF(AND(780&lt;=$B$174,780&lt;=$B$173),B1180*C1180/12,IF(AND(780=$B$173+1,AND(780&gt;$B$173,$B$78="Refinance",ISNUMBER($B$80),$B$80&gt;=0,$B$80&lt;=1,ROUND($B$81*12,0)&gt;=1,$B$81&lt;=100,SUM($B$82)&gt;=0,SUM($B$82)&lt;=1,SUM($B$83)&gt;=0)),IF(B1180=0,0,IF(C1180=0,B1180/ROUND($B$81*12,0),B1180*(C1180/12)/(1-(1+C1180/12)^(-ROUND($B$81*12,0))))),IF(AND(NOT(AND(780&gt;$B$173,$B$78="Refinance",ISNUMBER($B$80),$B$80&gt;=0,$B$80&lt;=1,ROUND($B$81*12,0)&gt;=1,$B$81&lt;=100,SUM($B$82)&gt;=0,SUM($B$82)&lt;=1,SUM($B$83)&gt;=0)),OR(780=1,780=$B$174+1,AND($B$175&gt;0,780=$B$175+1))),IF(AND($B$170=1,$B$66&gt;0,OR($B$175=0,780&lt;=$B$175)),$B$66,IF($B$172-MAX(780-1,$B$174)&gt;0,IF(B1180=0,0,IF(C1180=0,B1180/($B$172-MAX(780-1,$B$174)),B1180*(C1180/12)/(1-(1+C1180/12)^(-($B$172-MAX(780-1,$B$174)))))),"")),D1179))))),IF(IF(AND(780&lt;=$B$174,780&lt;=$B$173),B1180*C1180/12,IF(AND(780=$B$173+1,AND(780&gt;$B$173,$B$78="Refinance",ISNUMBER($B$80),$B$80&gt;=0,$B$80&lt;=1,ROUND($B$81*12,0)&gt;=1,$B$81&lt;=100,SUM($B$82)&gt;=0,SUM($B$82)&lt;=1,SUM($B$83)&gt;=0)),IF(B1180=0,0,IF(C1180=0,B1180/ROUND($B$81*12,0),B1180*(C1180/12)/(1-(1+C1180/12)^(-ROUND($B$81*12,0))))),IF(AND(NOT(AND(780&gt;$B$173,$B$78="Refinance",ISNUMBER($B$80),$B$80&gt;=0,$B$80&lt;=1,ROUND($B$81*12,0)&gt;=1,$B$81&lt;=100,SUM($B$82)&gt;=0,SUM($B$82)&lt;=1,SUM($B$83)&gt;=0)),OR(780=1,780=$B$174+1,AND($B$175&gt;0,780=$B$175+1))),IF(AND($B$170=1,$B$66&gt;0,OR($B$175=0,780&lt;=$B$175)),$B$66,IF($B$172-MAX(780-1,$B$174)&gt;0,IF(B1180=0,0,IF(C1180=0,B1180/($B$172-MAX(780-1,$B$174)),B1180*(C1180/12)/(1-(1+C1180/12)^(-($B$172-MAX(780-1,$B$174)))))),"")),D1179)))+0.0000001&gt;=B1180*C1180/12,MIN(B1180*(1+C1180/12),IF(AND(780&lt;=$B$174,780&lt;=$B$173),B1180*C1180/12,IF(AND(780=$B$173+1,AND(780&gt;$B$173,$B$78="Refinance",ISNUMBER($B$80),$B$80&gt;=0,$B$80&lt;=1,ROUND($B$81*12,0)&gt;=1,$B$81&lt;=100,SUM($B$82)&gt;=0,SUM($B$82)&lt;=1,SUM($B$83)&gt;=0)),IF(B1180=0,0,IF(C1180=0,B1180/ROUND($B$81*12,0),B1180*(C1180/12)/(1-(1+C1180/12)^(-ROUND($B$81*12,0))))),IF(AND(NOT(AND(780&gt;$B$173,$B$78="Refinance",ISNUMBER($B$80),$B$80&gt;=0,$B$80&lt;=1,ROUND($B$81*12,0)&gt;=1,$B$81&lt;=100,SUM($B$82)&gt;=0,SUM($B$82)&lt;=1,SUM($B$83)&gt;=0)),OR(780=1,780=$B$174+1,AND($B$175&gt;0,780=$B$175+1))),IF(AND($B$170=1,$B$66&gt;0,OR($B$175=0,780&lt;=$B$175)),$B$66,IF($B$172-MAX(780-1,$B$174)&gt;0,IF(B1180=0,0,IF(C1180=0,B1180/($B$172-MAX(780-1,$B$174)),B1180*(C1180/12)/(1-(1+C1180/12)^(-($B$172-MAX(780-1,$B$174)))))),"")),D1179)))),""),""))</x:f>
        <x:v>0</x:v>
      </x:c>
      <x:c r="E1180" s="440" t="n">
        <x:f>IF(AND(780=$B$173,ISNUMBER(D1180)),IF(MAX(0,B1180*(1+C1180/12)-D1180)&lt;MAX(0.0000001,$E$17*0.00000000001),0,MAX(0,B1180*(1+C1180/12)-D1180)),0)</x:f>
        <x:v>0</x:v>
      </x:c>
      <x:c r="F1180" s="440" t="n">
        <x:f>IF($B$78="Cash payoff",E1180,0)</x:f>
        <x:v>0</x:v>
      </x:c>
      <x:c r="G1180" s="440" t="n">
        <x:f>IF(AND(E1180&gt;0,AND($B$78="Refinance",ISNUMBER($B$80),$B$80&gt;=0,$B$80&lt;=1,ROUND($B$81*12,0)&gt;=1,$B$81&lt;=100,SUM($B$82)&gt;=0,SUM($B$82)&lt;=1,SUM($B$83)&gt;=0)),E1180*SUM($B$82)+SUM($B$83),0)</x:f>
        <x:v>0</x:v>
      </x:c>
      <x:c r="H1180" s="440" t="n">
        <x:f>IF(ISNUMBER(D1180),IF(MAX(0,B1180*(1+C1180/12)-D1180-F1180)&lt;MAX(0.0000001,$E$17*0.00000000001),0,MAX(0,B1180*(1+C1180/12)-D1180-F1180)),IF(AND($B$171=1,I1179=1),B1180,""))</x:f>
        <x:v>0</x:v>
      </x:c>
      <x:c r="I1180" s="444" t="n">
        <x:f>IF(OR(I1179=1,AND(E1180&gt;0,$B$78&lt;&gt;"Cash payoff",NOT(AND($B$78="Refinance",ISNUMBER($B$80),$B$80&gt;=0,$B$80&lt;=1,ROUND($B$81*12,0)&gt;=1,$B$81&lt;=100,SUM($B$82)&gt;=0,SUM($B$82)&lt;=1,SUM($B$83)&gt;=0))),AND(ISNUMBER(B1180),B1180&gt;0,$B$171=1,NOT(ISNUMBER(D1180)))),1,0)</x:f>
        <x:v>0</x:v>
      </x:c>
      <x:c r="J1180" s="440" t="n">
        <x:f>IF(ISNUMBER(L1179),L1179,"")</x:f>
        <x:v>0</x:v>
      </x:c>
      <x:c r="K1180" s="440" t="n">
        <x:f>IF(AND(ISNUMBER(J1180),J1180=0),0,IF(AND($B$176=1,ISNUMBER(J1180)),MIN(J1180*(1+$B$87/12),IF($B$86=0,0,IF($B$87=0,$B$86/ROUND($B$88*12,0),$B$86*($B$87/12)/(1-(1+$B$87/12)^(-ROUND($B$88*12,0)))))),""))</x:f>
        <x:v>0</x:v>
      </x:c>
      <x:c r="L1180" s="440" t="n">
        <x:f>IF(ISNUMBER(K1180),IF(MAX(0,J1180*(1+SUM($B$87)/12)-K1180)&lt;MAX(0.0000001,$B$86*0.00000000001),0,MAX(0,J1180*(1+SUM($B$87)/12)-K1180)),"")</x:f>
        <x:v>0</x:v>
      </x:c>
      <x:c r="M1180" s="440" t="n">
        <x:f>IF(AND(ISNUMBER(D1180),ISNUMBER(K1180)),D1180+K1180,"")</x:f>
        <x:v>0</x:v>
      </x:c>
      <x:c r="N1180" s="440" t="n">
        <x:f>IF(AND(ISNUMBER(H1180),ISNUMBER(L1180)),H1180+L1180,"")</x:f>
        <x:v>0</x:v>
      </x:c>
    </x:row>
    <x:row r="1181" ht="22" customHeight="1">
      <x:c r="A1181" s="254" t="n">
        <x:f>781</x:f>
        <x:v>781</x:v>
      </x:c>
      <x:c r="B1181" s="440" t="n">
        <x:f>IF(ISNUMBER(H1180),H1180,"")</x:f>
        <x:v>0</x:v>
      </x:c>
      <x:c r="C1181" s="442" t="n">
        <x:f>IF(ISNUMBER(B1181),IF(AND(781&gt;$B$173,$B$78="Refinance",ISNUMBER($B$80),$B$80&gt;=0,$B$80&lt;=1,ROUND($B$81*12,0)&gt;=1,$B$81&lt;=100,SUM($B$82)&gt;=0,SUM($B$82)&lt;=1,SUM($B$83)&gt;=0),$B$80,IF(AND($B$175&gt;0,781&gt;$B$175,ISNUMBER($B$75)),$B$75,$B$61)),"")</x:f>
        <x:v>0.0625</x:v>
      </x:c>
      <x:c r="D1181" s="440" t="n">
        <x:f>IF(AND(ISNUMBER(B1181),B1181=0),0,IF(AND($B$171=1,I1180=0,ISNUMBER(C1181),ISNUMBER(IF(AND(781&lt;=$B$174,781&lt;=$B$173),B1181*C1181/12,IF(AND(781=$B$173+1,AND(781&gt;$B$173,$B$78="Refinance",ISNUMBER($B$80),$B$80&gt;=0,$B$80&lt;=1,ROUND($B$81*12,0)&gt;=1,$B$81&lt;=100,SUM($B$82)&gt;=0,SUM($B$82)&lt;=1,SUM($B$83)&gt;=0)),IF(B1181=0,0,IF(C1181=0,B1181/ROUND($B$81*12,0),B1181*(C1181/12)/(1-(1+C1181/12)^(-ROUND($B$81*12,0))))),IF(AND(NOT(AND(781&gt;$B$173,$B$78="Refinance",ISNUMBER($B$80),$B$80&gt;=0,$B$80&lt;=1,ROUND($B$81*12,0)&gt;=1,$B$81&lt;=100,SUM($B$82)&gt;=0,SUM($B$82)&lt;=1,SUM($B$83)&gt;=0)),OR(781=1,781=$B$174+1,AND($B$175&gt;0,781=$B$175+1))),IF(AND($B$170=1,$B$66&gt;0,OR($B$175=0,781&lt;=$B$175)),$B$66,IF($B$172-MAX(781-1,$B$174)&gt;0,IF(B1181=0,0,IF(C1181=0,B1181/($B$172-MAX(781-1,$B$174)),B1181*(C1181/12)/(1-(1+C1181/12)^(-($B$172-MAX(781-1,$B$174)))))),"")),D1180))))),IF(IF(AND(781&lt;=$B$174,781&lt;=$B$173),B1181*C1181/12,IF(AND(781=$B$173+1,AND(781&gt;$B$173,$B$78="Refinance",ISNUMBER($B$80),$B$80&gt;=0,$B$80&lt;=1,ROUND($B$81*12,0)&gt;=1,$B$81&lt;=100,SUM($B$82)&gt;=0,SUM($B$82)&lt;=1,SUM($B$83)&gt;=0)),IF(B1181=0,0,IF(C1181=0,B1181/ROUND($B$81*12,0),B1181*(C1181/12)/(1-(1+C1181/12)^(-ROUND($B$81*12,0))))),IF(AND(NOT(AND(781&gt;$B$173,$B$78="Refinance",ISNUMBER($B$80),$B$80&gt;=0,$B$80&lt;=1,ROUND($B$81*12,0)&gt;=1,$B$81&lt;=100,SUM($B$82)&gt;=0,SUM($B$82)&lt;=1,SUM($B$83)&gt;=0)),OR(781=1,781=$B$174+1,AND($B$175&gt;0,781=$B$175+1))),IF(AND($B$170=1,$B$66&gt;0,OR($B$175=0,781&lt;=$B$175)),$B$66,IF($B$172-MAX(781-1,$B$174)&gt;0,IF(B1181=0,0,IF(C1181=0,B1181/($B$172-MAX(781-1,$B$174)),B1181*(C1181/12)/(1-(1+C1181/12)^(-($B$172-MAX(781-1,$B$174)))))),"")),D1180)))+0.0000001&gt;=B1181*C1181/12,MIN(B1181*(1+C1181/12),IF(AND(781&lt;=$B$174,781&lt;=$B$173),B1181*C1181/12,IF(AND(781=$B$173+1,AND(781&gt;$B$173,$B$78="Refinance",ISNUMBER($B$80),$B$80&gt;=0,$B$80&lt;=1,ROUND($B$81*12,0)&gt;=1,$B$81&lt;=100,SUM($B$82)&gt;=0,SUM($B$82)&lt;=1,SUM($B$83)&gt;=0)),IF(B1181=0,0,IF(C1181=0,B1181/ROUND($B$81*12,0),B1181*(C1181/12)/(1-(1+C1181/12)^(-ROUND($B$81*12,0))))),IF(AND(NOT(AND(781&gt;$B$173,$B$78="Refinance",ISNUMBER($B$80),$B$80&gt;=0,$B$80&lt;=1,ROUND($B$81*12,0)&gt;=1,$B$81&lt;=100,SUM($B$82)&gt;=0,SUM($B$82)&lt;=1,SUM($B$83)&gt;=0)),OR(781=1,781=$B$174+1,AND($B$175&gt;0,781=$B$175+1))),IF(AND($B$170=1,$B$66&gt;0,OR($B$175=0,781&lt;=$B$175)),$B$66,IF($B$172-MAX(781-1,$B$174)&gt;0,IF(B1181=0,0,IF(C1181=0,B1181/($B$172-MAX(781-1,$B$174)),B1181*(C1181/12)/(1-(1+C1181/12)^(-($B$172-MAX(781-1,$B$174)))))),"")),D1180)))),""),""))</x:f>
        <x:v>0</x:v>
      </x:c>
      <x:c r="E1181" s="440" t="n">
        <x:f>IF(AND(781=$B$173,ISNUMBER(D1181)),IF(MAX(0,B1181*(1+C1181/12)-D1181)&lt;MAX(0.0000001,$E$17*0.00000000001),0,MAX(0,B1181*(1+C1181/12)-D1181)),0)</x:f>
        <x:v>0</x:v>
      </x:c>
      <x:c r="F1181" s="440" t="n">
        <x:f>IF($B$78="Cash payoff",E1181,0)</x:f>
        <x:v>0</x:v>
      </x:c>
      <x:c r="G1181" s="440" t="n">
        <x:f>IF(AND(E1181&gt;0,AND($B$78="Refinance",ISNUMBER($B$80),$B$80&gt;=0,$B$80&lt;=1,ROUND($B$81*12,0)&gt;=1,$B$81&lt;=100,SUM($B$82)&gt;=0,SUM($B$82)&lt;=1,SUM($B$83)&gt;=0)),E1181*SUM($B$82)+SUM($B$83),0)</x:f>
        <x:v>0</x:v>
      </x:c>
      <x:c r="H1181" s="440" t="n">
        <x:f>IF(ISNUMBER(D1181),IF(MAX(0,B1181*(1+C1181/12)-D1181-F1181)&lt;MAX(0.0000001,$E$17*0.00000000001),0,MAX(0,B1181*(1+C1181/12)-D1181-F1181)),IF(AND($B$171=1,I1180=1),B1181,""))</x:f>
        <x:v>0</x:v>
      </x:c>
      <x:c r="I1181" s="444" t="n">
        <x:f>IF(OR(I1180=1,AND(E1181&gt;0,$B$78&lt;&gt;"Cash payoff",NOT(AND($B$78="Refinance",ISNUMBER($B$80),$B$80&gt;=0,$B$80&lt;=1,ROUND($B$81*12,0)&gt;=1,$B$81&lt;=100,SUM($B$82)&gt;=0,SUM($B$82)&lt;=1,SUM($B$83)&gt;=0))),AND(ISNUMBER(B1181),B1181&gt;0,$B$171=1,NOT(ISNUMBER(D1181)))),1,0)</x:f>
        <x:v>0</x:v>
      </x:c>
      <x:c r="J1181" s="440" t="n">
        <x:f>IF(ISNUMBER(L1180),L1180,"")</x:f>
        <x:v>0</x:v>
      </x:c>
      <x:c r="K1181" s="440" t="n">
        <x:f>IF(AND(ISNUMBER(J1181),J1181=0),0,IF(AND($B$176=1,ISNUMBER(J1181)),MIN(J1181*(1+$B$87/12),IF($B$86=0,0,IF($B$87=0,$B$86/ROUND($B$88*12,0),$B$86*($B$87/12)/(1-(1+$B$87/12)^(-ROUND($B$88*12,0)))))),""))</x:f>
        <x:v>0</x:v>
      </x:c>
      <x:c r="L1181" s="440" t="n">
        <x:f>IF(ISNUMBER(K1181),IF(MAX(0,J1181*(1+SUM($B$87)/12)-K1181)&lt;MAX(0.0000001,$B$86*0.00000000001),0,MAX(0,J1181*(1+SUM($B$87)/12)-K1181)),"")</x:f>
        <x:v>0</x:v>
      </x:c>
      <x:c r="M1181" s="440" t="n">
        <x:f>IF(AND(ISNUMBER(D1181),ISNUMBER(K1181)),D1181+K1181,"")</x:f>
        <x:v>0</x:v>
      </x:c>
      <x:c r="N1181" s="440" t="n">
        <x:f>IF(AND(ISNUMBER(H1181),ISNUMBER(L1181)),H1181+L1181,"")</x:f>
        <x:v>0</x:v>
      </x:c>
    </x:row>
    <x:row r="1182" ht="22" customHeight="1">
      <x:c r="A1182" s="254" t="n">
        <x:f>782</x:f>
        <x:v>782</x:v>
      </x:c>
      <x:c r="B1182" s="440" t="n">
        <x:f>IF(ISNUMBER(H1181),H1181,"")</x:f>
        <x:v>0</x:v>
      </x:c>
      <x:c r="C1182" s="442" t="n">
        <x:f>IF(ISNUMBER(B1182),IF(AND(782&gt;$B$173,$B$78="Refinance",ISNUMBER($B$80),$B$80&gt;=0,$B$80&lt;=1,ROUND($B$81*12,0)&gt;=1,$B$81&lt;=100,SUM($B$82)&gt;=0,SUM($B$82)&lt;=1,SUM($B$83)&gt;=0),$B$80,IF(AND($B$175&gt;0,782&gt;$B$175,ISNUMBER($B$75)),$B$75,$B$61)),"")</x:f>
        <x:v>0.0625</x:v>
      </x:c>
      <x:c r="D1182" s="440" t="n">
        <x:f>IF(AND(ISNUMBER(B1182),B1182=0),0,IF(AND($B$171=1,I1181=0,ISNUMBER(C1182),ISNUMBER(IF(AND(782&lt;=$B$174,782&lt;=$B$173),B1182*C1182/12,IF(AND(782=$B$173+1,AND(782&gt;$B$173,$B$78="Refinance",ISNUMBER($B$80),$B$80&gt;=0,$B$80&lt;=1,ROUND($B$81*12,0)&gt;=1,$B$81&lt;=100,SUM($B$82)&gt;=0,SUM($B$82)&lt;=1,SUM($B$83)&gt;=0)),IF(B1182=0,0,IF(C1182=0,B1182/ROUND($B$81*12,0),B1182*(C1182/12)/(1-(1+C1182/12)^(-ROUND($B$81*12,0))))),IF(AND(NOT(AND(782&gt;$B$173,$B$78="Refinance",ISNUMBER($B$80),$B$80&gt;=0,$B$80&lt;=1,ROUND($B$81*12,0)&gt;=1,$B$81&lt;=100,SUM($B$82)&gt;=0,SUM($B$82)&lt;=1,SUM($B$83)&gt;=0)),OR(782=1,782=$B$174+1,AND($B$175&gt;0,782=$B$175+1))),IF(AND($B$170=1,$B$66&gt;0,OR($B$175=0,782&lt;=$B$175)),$B$66,IF($B$172-MAX(782-1,$B$174)&gt;0,IF(B1182=0,0,IF(C1182=0,B1182/($B$172-MAX(782-1,$B$174)),B1182*(C1182/12)/(1-(1+C1182/12)^(-($B$172-MAX(782-1,$B$174)))))),"")),D1181))))),IF(IF(AND(782&lt;=$B$174,782&lt;=$B$173),B1182*C1182/12,IF(AND(782=$B$173+1,AND(782&gt;$B$173,$B$78="Refinance",ISNUMBER($B$80),$B$80&gt;=0,$B$80&lt;=1,ROUND($B$81*12,0)&gt;=1,$B$81&lt;=100,SUM($B$82)&gt;=0,SUM($B$82)&lt;=1,SUM($B$83)&gt;=0)),IF(B1182=0,0,IF(C1182=0,B1182/ROUND($B$81*12,0),B1182*(C1182/12)/(1-(1+C1182/12)^(-ROUND($B$81*12,0))))),IF(AND(NOT(AND(782&gt;$B$173,$B$78="Refinance",ISNUMBER($B$80),$B$80&gt;=0,$B$80&lt;=1,ROUND($B$81*12,0)&gt;=1,$B$81&lt;=100,SUM($B$82)&gt;=0,SUM($B$82)&lt;=1,SUM($B$83)&gt;=0)),OR(782=1,782=$B$174+1,AND($B$175&gt;0,782=$B$175+1))),IF(AND($B$170=1,$B$66&gt;0,OR($B$175=0,782&lt;=$B$175)),$B$66,IF($B$172-MAX(782-1,$B$174)&gt;0,IF(B1182=0,0,IF(C1182=0,B1182/($B$172-MAX(782-1,$B$174)),B1182*(C1182/12)/(1-(1+C1182/12)^(-($B$172-MAX(782-1,$B$174)))))),"")),D1181)))+0.0000001&gt;=B1182*C1182/12,MIN(B1182*(1+C1182/12),IF(AND(782&lt;=$B$174,782&lt;=$B$173),B1182*C1182/12,IF(AND(782=$B$173+1,AND(782&gt;$B$173,$B$78="Refinance",ISNUMBER($B$80),$B$80&gt;=0,$B$80&lt;=1,ROUND($B$81*12,0)&gt;=1,$B$81&lt;=100,SUM($B$82)&gt;=0,SUM($B$82)&lt;=1,SUM($B$83)&gt;=0)),IF(B1182=0,0,IF(C1182=0,B1182/ROUND($B$81*12,0),B1182*(C1182/12)/(1-(1+C1182/12)^(-ROUND($B$81*12,0))))),IF(AND(NOT(AND(782&gt;$B$173,$B$78="Refinance",ISNUMBER($B$80),$B$80&gt;=0,$B$80&lt;=1,ROUND($B$81*12,0)&gt;=1,$B$81&lt;=100,SUM($B$82)&gt;=0,SUM($B$82)&lt;=1,SUM($B$83)&gt;=0)),OR(782=1,782=$B$174+1,AND($B$175&gt;0,782=$B$175+1))),IF(AND($B$170=1,$B$66&gt;0,OR($B$175=0,782&lt;=$B$175)),$B$66,IF($B$172-MAX(782-1,$B$174)&gt;0,IF(B1182=0,0,IF(C1182=0,B1182/($B$172-MAX(782-1,$B$174)),B1182*(C1182/12)/(1-(1+C1182/12)^(-($B$172-MAX(782-1,$B$174)))))),"")),D1181)))),""),""))</x:f>
        <x:v>0</x:v>
      </x:c>
      <x:c r="E1182" s="440" t="n">
        <x:f>IF(AND(782=$B$173,ISNUMBER(D1182)),IF(MAX(0,B1182*(1+C1182/12)-D1182)&lt;MAX(0.0000001,$E$17*0.00000000001),0,MAX(0,B1182*(1+C1182/12)-D1182)),0)</x:f>
        <x:v>0</x:v>
      </x:c>
      <x:c r="F1182" s="440" t="n">
        <x:f>IF($B$78="Cash payoff",E1182,0)</x:f>
        <x:v>0</x:v>
      </x:c>
      <x:c r="G1182" s="440" t="n">
        <x:f>IF(AND(E1182&gt;0,AND($B$78="Refinance",ISNUMBER($B$80),$B$80&gt;=0,$B$80&lt;=1,ROUND($B$81*12,0)&gt;=1,$B$81&lt;=100,SUM($B$82)&gt;=0,SUM($B$82)&lt;=1,SUM($B$83)&gt;=0)),E1182*SUM($B$82)+SUM($B$83),0)</x:f>
        <x:v>0</x:v>
      </x:c>
      <x:c r="H1182" s="440" t="n">
        <x:f>IF(ISNUMBER(D1182),IF(MAX(0,B1182*(1+C1182/12)-D1182-F1182)&lt;MAX(0.0000001,$E$17*0.00000000001),0,MAX(0,B1182*(1+C1182/12)-D1182-F1182)),IF(AND($B$171=1,I1181=1),B1182,""))</x:f>
        <x:v>0</x:v>
      </x:c>
      <x:c r="I1182" s="444" t="n">
        <x:f>IF(OR(I1181=1,AND(E1182&gt;0,$B$78&lt;&gt;"Cash payoff",NOT(AND($B$78="Refinance",ISNUMBER($B$80),$B$80&gt;=0,$B$80&lt;=1,ROUND($B$81*12,0)&gt;=1,$B$81&lt;=100,SUM($B$82)&gt;=0,SUM($B$82)&lt;=1,SUM($B$83)&gt;=0))),AND(ISNUMBER(B1182),B1182&gt;0,$B$171=1,NOT(ISNUMBER(D1182)))),1,0)</x:f>
        <x:v>0</x:v>
      </x:c>
      <x:c r="J1182" s="440" t="n">
        <x:f>IF(ISNUMBER(L1181),L1181,"")</x:f>
        <x:v>0</x:v>
      </x:c>
      <x:c r="K1182" s="440" t="n">
        <x:f>IF(AND(ISNUMBER(J1182),J1182=0),0,IF(AND($B$176=1,ISNUMBER(J1182)),MIN(J1182*(1+$B$87/12),IF($B$86=0,0,IF($B$87=0,$B$86/ROUND($B$88*12,0),$B$86*($B$87/12)/(1-(1+$B$87/12)^(-ROUND($B$88*12,0)))))),""))</x:f>
        <x:v>0</x:v>
      </x:c>
      <x:c r="L1182" s="440" t="n">
        <x:f>IF(ISNUMBER(K1182),IF(MAX(0,J1182*(1+SUM($B$87)/12)-K1182)&lt;MAX(0.0000001,$B$86*0.00000000001),0,MAX(0,J1182*(1+SUM($B$87)/12)-K1182)),"")</x:f>
        <x:v>0</x:v>
      </x:c>
      <x:c r="M1182" s="440" t="n">
        <x:f>IF(AND(ISNUMBER(D1182),ISNUMBER(K1182)),D1182+K1182,"")</x:f>
        <x:v>0</x:v>
      </x:c>
      <x:c r="N1182" s="440" t="n">
        <x:f>IF(AND(ISNUMBER(H1182),ISNUMBER(L1182)),H1182+L1182,"")</x:f>
        <x:v>0</x:v>
      </x:c>
    </x:row>
    <x:row r="1183" ht="22" customHeight="1">
      <x:c r="A1183" s="254" t="n">
        <x:f>783</x:f>
        <x:v>783</x:v>
      </x:c>
      <x:c r="B1183" s="440" t="n">
        <x:f>IF(ISNUMBER(H1182),H1182,"")</x:f>
        <x:v>0</x:v>
      </x:c>
      <x:c r="C1183" s="442" t="n">
        <x:f>IF(ISNUMBER(B1183),IF(AND(783&gt;$B$173,$B$78="Refinance",ISNUMBER($B$80),$B$80&gt;=0,$B$80&lt;=1,ROUND($B$81*12,0)&gt;=1,$B$81&lt;=100,SUM($B$82)&gt;=0,SUM($B$82)&lt;=1,SUM($B$83)&gt;=0),$B$80,IF(AND($B$175&gt;0,783&gt;$B$175,ISNUMBER($B$75)),$B$75,$B$61)),"")</x:f>
        <x:v>0.0625</x:v>
      </x:c>
      <x:c r="D1183" s="440" t="n">
        <x:f>IF(AND(ISNUMBER(B1183),B1183=0),0,IF(AND($B$171=1,I1182=0,ISNUMBER(C1183),ISNUMBER(IF(AND(783&lt;=$B$174,783&lt;=$B$173),B1183*C1183/12,IF(AND(783=$B$173+1,AND(783&gt;$B$173,$B$78="Refinance",ISNUMBER($B$80),$B$80&gt;=0,$B$80&lt;=1,ROUND($B$81*12,0)&gt;=1,$B$81&lt;=100,SUM($B$82)&gt;=0,SUM($B$82)&lt;=1,SUM($B$83)&gt;=0)),IF(B1183=0,0,IF(C1183=0,B1183/ROUND($B$81*12,0),B1183*(C1183/12)/(1-(1+C1183/12)^(-ROUND($B$81*12,0))))),IF(AND(NOT(AND(783&gt;$B$173,$B$78="Refinance",ISNUMBER($B$80),$B$80&gt;=0,$B$80&lt;=1,ROUND($B$81*12,0)&gt;=1,$B$81&lt;=100,SUM($B$82)&gt;=0,SUM($B$82)&lt;=1,SUM($B$83)&gt;=0)),OR(783=1,783=$B$174+1,AND($B$175&gt;0,783=$B$175+1))),IF(AND($B$170=1,$B$66&gt;0,OR($B$175=0,783&lt;=$B$175)),$B$66,IF($B$172-MAX(783-1,$B$174)&gt;0,IF(B1183=0,0,IF(C1183=0,B1183/($B$172-MAX(783-1,$B$174)),B1183*(C1183/12)/(1-(1+C1183/12)^(-($B$172-MAX(783-1,$B$174)))))),"")),D1182))))),IF(IF(AND(783&lt;=$B$174,783&lt;=$B$173),B1183*C1183/12,IF(AND(783=$B$173+1,AND(783&gt;$B$173,$B$78="Refinance",ISNUMBER($B$80),$B$80&gt;=0,$B$80&lt;=1,ROUND($B$81*12,0)&gt;=1,$B$81&lt;=100,SUM($B$82)&gt;=0,SUM($B$82)&lt;=1,SUM($B$83)&gt;=0)),IF(B1183=0,0,IF(C1183=0,B1183/ROUND($B$81*12,0),B1183*(C1183/12)/(1-(1+C1183/12)^(-ROUND($B$81*12,0))))),IF(AND(NOT(AND(783&gt;$B$173,$B$78="Refinance",ISNUMBER($B$80),$B$80&gt;=0,$B$80&lt;=1,ROUND($B$81*12,0)&gt;=1,$B$81&lt;=100,SUM($B$82)&gt;=0,SUM($B$82)&lt;=1,SUM($B$83)&gt;=0)),OR(783=1,783=$B$174+1,AND($B$175&gt;0,783=$B$175+1))),IF(AND($B$170=1,$B$66&gt;0,OR($B$175=0,783&lt;=$B$175)),$B$66,IF($B$172-MAX(783-1,$B$174)&gt;0,IF(B1183=0,0,IF(C1183=0,B1183/($B$172-MAX(783-1,$B$174)),B1183*(C1183/12)/(1-(1+C1183/12)^(-($B$172-MAX(783-1,$B$174)))))),"")),D1182)))+0.0000001&gt;=B1183*C1183/12,MIN(B1183*(1+C1183/12),IF(AND(783&lt;=$B$174,783&lt;=$B$173),B1183*C1183/12,IF(AND(783=$B$173+1,AND(783&gt;$B$173,$B$78="Refinance",ISNUMBER($B$80),$B$80&gt;=0,$B$80&lt;=1,ROUND($B$81*12,0)&gt;=1,$B$81&lt;=100,SUM($B$82)&gt;=0,SUM($B$82)&lt;=1,SUM($B$83)&gt;=0)),IF(B1183=0,0,IF(C1183=0,B1183/ROUND($B$81*12,0),B1183*(C1183/12)/(1-(1+C1183/12)^(-ROUND($B$81*12,0))))),IF(AND(NOT(AND(783&gt;$B$173,$B$78="Refinance",ISNUMBER($B$80),$B$80&gt;=0,$B$80&lt;=1,ROUND($B$81*12,0)&gt;=1,$B$81&lt;=100,SUM($B$82)&gt;=0,SUM($B$82)&lt;=1,SUM($B$83)&gt;=0)),OR(783=1,783=$B$174+1,AND($B$175&gt;0,783=$B$175+1))),IF(AND($B$170=1,$B$66&gt;0,OR($B$175=0,783&lt;=$B$175)),$B$66,IF($B$172-MAX(783-1,$B$174)&gt;0,IF(B1183=0,0,IF(C1183=0,B1183/($B$172-MAX(783-1,$B$174)),B1183*(C1183/12)/(1-(1+C1183/12)^(-($B$172-MAX(783-1,$B$174)))))),"")),D1182)))),""),""))</x:f>
        <x:v>0</x:v>
      </x:c>
      <x:c r="E1183" s="440" t="n">
        <x:f>IF(AND(783=$B$173,ISNUMBER(D1183)),IF(MAX(0,B1183*(1+C1183/12)-D1183)&lt;MAX(0.0000001,$E$17*0.00000000001),0,MAX(0,B1183*(1+C1183/12)-D1183)),0)</x:f>
        <x:v>0</x:v>
      </x:c>
      <x:c r="F1183" s="440" t="n">
        <x:f>IF($B$78="Cash payoff",E1183,0)</x:f>
        <x:v>0</x:v>
      </x:c>
      <x:c r="G1183" s="440" t="n">
        <x:f>IF(AND(E1183&gt;0,AND($B$78="Refinance",ISNUMBER($B$80),$B$80&gt;=0,$B$80&lt;=1,ROUND($B$81*12,0)&gt;=1,$B$81&lt;=100,SUM($B$82)&gt;=0,SUM($B$82)&lt;=1,SUM($B$83)&gt;=0)),E1183*SUM($B$82)+SUM($B$83),0)</x:f>
        <x:v>0</x:v>
      </x:c>
      <x:c r="H1183" s="440" t="n">
        <x:f>IF(ISNUMBER(D1183),IF(MAX(0,B1183*(1+C1183/12)-D1183-F1183)&lt;MAX(0.0000001,$E$17*0.00000000001),0,MAX(0,B1183*(1+C1183/12)-D1183-F1183)),IF(AND($B$171=1,I1182=1),B1183,""))</x:f>
        <x:v>0</x:v>
      </x:c>
      <x:c r="I1183" s="444" t="n">
        <x:f>IF(OR(I1182=1,AND(E1183&gt;0,$B$78&lt;&gt;"Cash payoff",NOT(AND($B$78="Refinance",ISNUMBER($B$80),$B$80&gt;=0,$B$80&lt;=1,ROUND($B$81*12,0)&gt;=1,$B$81&lt;=100,SUM($B$82)&gt;=0,SUM($B$82)&lt;=1,SUM($B$83)&gt;=0))),AND(ISNUMBER(B1183),B1183&gt;0,$B$171=1,NOT(ISNUMBER(D1183)))),1,0)</x:f>
        <x:v>0</x:v>
      </x:c>
      <x:c r="J1183" s="440" t="n">
        <x:f>IF(ISNUMBER(L1182),L1182,"")</x:f>
        <x:v>0</x:v>
      </x:c>
      <x:c r="K1183" s="440" t="n">
        <x:f>IF(AND(ISNUMBER(J1183),J1183=0),0,IF(AND($B$176=1,ISNUMBER(J1183)),MIN(J1183*(1+$B$87/12),IF($B$86=0,0,IF($B$87=0,$B$86/ROUND($B$88*12,0),$B$86*($B$87/12)/(1-(1+$B$87/12)^(-ROUND($B$88*12,0)))))),""))</x:f>
        <x:v>0</x:v>
      </x:c>
      <x:c r="L1183" s="440" t="n">
        <x:f>IF(ISNUMBER(K1183),IF(MAX(0,J1183*(1+SUM($B$87)/12)-K1183)&lt;MAX(0.0000001,$B$86*0.00000000001),0,MAX(0,J1183*(1+SUM($B$87)/12)-K1183)),"")</x:f>
        <x:v>0</x:v>
      </x:c>
      <x:c r="M1183" s="440" t="n">
        <x:f>IF(AND(ISNUMBER(D1183),ISNUMBER(K1183)),D1183+K1183,"")</x:f>
        <x:v>0</x:v>
      </x:c>
      <x:c r="N1183" s="440" t="n">
        <x:f>IF(AND(ISNUMBER(H1183),ISNUMBER(L1183)),H1183+L1183,"")</x:f>
        <x:v>0</x:v>
      </x:c>
    </x:row>
    <x:row r="1184" ht="22" customHeight="1">
      <x:c r="A1184" s="254" t="n">
        <x:f>784</x:f>
        <x:v>784</x:v>
      </x:c>
      <x:c r="B1184" s="440" t="n">
        <x:f>IF(ISNUMBER(H1183),H1183,"")</x:f>
        <x:v>0</x:v>
      </x:c>
      <x:c r="C1184" s="442" t="n">
        <x:f>IF(ISNUMBER(B1184),IF(AND(784&gt;$B$173,$B$78="Refinance",ISNUMBER($B$80),$B$80&gt;=0,$B$80&lt;=1,ROUND($B$81*12,0)&gt;=1,$B$81&lt;=100,SUM($B$82)&gt;=0,SUM($B$82)&lt;=1,SUM($B$83)&gt;=0),$B$80,IF(AND($B$175&gt;0,784&gt;$B$175,ISNUMBER($B$75)),$B$75,$B$61)),"")</x:f>
        <x:v>0.0625</x:v>
      </x:c>
      <x:c r="D1184" s="440" t="n">
        <x:f>IF(AND(ISNUMBER(B1184),B1184=0),0,IF(AND($B$171=1,I1183=0,ISNUMBER(C1184),ISNUMBER(IF(AND(784&lt;=$B$174,784&lt;=$B$173),B1184*C1184/12,IF(AND(784=$B$173+1,AND(784&gt;$B$173,$B$78="Refinance",ISNUMBER($B$80),$B$80&gt;=0,$B$80&lt;=1,ROUND($B$81*12,0)&gt;=1,$B$81&lt;=100,SUM($B$82)&gt;=0,SUM($B$82)&lt;=1,SUM($B$83)&gt;=0)),IF(B1184=0,0,IF(C1184=0,B1184/ROUND($B$81*12,0),B1184*(C1184/12)/(1-(1+C1184/12)^(-ROUND($B$81*12,0))))),IF(AND(NOT(AND(784&gt;$B$173,$B$78="Refinance",ISNUMBER($B$80),$B$80&gt;=0,$B$80&lt;=1,ROUND($B$81*12,0)&gt;=1,$B$81&lt;=100,SUM($B$82)&gt;=0,SUM($B$82)&lt;=1,SUM($B$83)&gt;=0)),OR(784=1,784=$B$174+1,AND($B$175&gt;0,784=$B$175+1))),IF(AND($B$170=1,$B$66&gt;0,OR($B$175=0,784&lt;=$B$175)),$B$66,IF($B$172-MAX(784-1,$B$174)&gt;0,IF(B1184=0,0,IF(C1184=0,B1184/($B$172-MAX(784-1,$B$174)),B1184*(C1184/12)/(1-(1+C1184/12)^(-($B$172-MAX(784-1,$B$174)))))),"")),D1183))))),IF(IF(AND(784&lt;=$B$174,784&lt;=$B$173),B1184*C1184/12,IF(AND(784=$B$173+1,AND(784&gt;$B$173,$B$78="Refinance",ISNUMBER($B$80),$B$80&gt;=0,$B$80&lt;=1,ROUND($B$81*12,0)&gt;=1,$B$81&lt;=100,SUM($B$82)&gt;=0,SUM($B$82)&lt;=1,SUM($B$83)&gt;=0)),IF(B1184=0,0,IF(C1184=0,B1184/ROUND($B$81*12,0),B1184*(C1184/12)/(1-(1+C1184/12)^(-ROUND($B$81*12,0))))),IF(AND(NOT(AND(784&gt;$B$173,$B$78="Refinance",ISNUMBER($B$80),$B$80&gt;=0,$B$80&lt;=1,ROUND($B$81*12,0)&gt;=1,$B$81&lt;=100,SUM($B$82)&gt;=0,SUM($B$82)&lt;=1,SUM($B$83)&gt;=0)),OR(784=1,784=$B$174+1,AND($B$175&gt;0,784=$B$175+1))),IF(AND($B$170=1,$B$66&gt;0,OR($B$175=0,784&lt;=$B$175)),$B$66,IF($B$172-MAX(784-1,$B$174)&gt;0,IF(B1184=0,0,IF(C1184=0,B1184/($B$172-MAX(784-1,$B$174)),B1184*(C1184/12)/(1-(1+C1184/12)^(-($B$172-MAX(784-1,$B$174)))))),"")),D1183)))+0.0000001&gt;=B1184*C1184/12,MIN(B1184*(1+C1184/12),IF(AND(784&lt;=$B$174,784&lt;=$B$173),B1184*C1184/12,IF(AND(784=$B$173+1,AND(784&gt;$B$173,$B$78="Refinance",ISNUMBER($B$80),$B$80&gt;=0,$B$80&lt;=1,ROUND($B$81*12,0)&gt;=1,$B$81&lt;=100,SUM($B$82)&gt;=0,SUM($B$82)&lt;=1,SUM($B$83)&gt;=0)),IF(B1184=0,0,IF(C1184=0,B1184/ROUND($B$81*12,0),B1184*(C1184/12)/(1-(1+C1184/12)^(-ROUND($B$81*12,0))))),IF(AND(NOT(AND(784&gt;$B$173,$B$78="Refinance",ISNUMBER($B$80),$B$80&gt;=0,$B$80&lt;=1,ROUND($B$81*12,0)&gt;=1,$B$81&lt;=100,SUM($B$82)&gt;=0,SUM($B$82)&lt;=1,SUM($B$83)&gt;=0)),OR(784=1,784=$B$174+1,AND($B$175&gt;0,784=$B$175+1))),IF(AND($B$170=1,$B$66&gt;0,OR($B$175=0,784&lt;=$B$175)),$B$66,IF($B$172-MAX(784-1,$B$174)&gt;0,IF(B1184=0,0,IF(C1184=0,B1184/($B$172-MAX(784-1,$B$174)),B1184*(C1184/12)/(1-(1+C1184/12)^(-($B$172-MAX(784-1,$B$174)))))),"")),D1183)))),""),""))</x:f>
        <x:v>0</x:v>
      </x:c>
      <x:c r="E1184" s="440" t="n">
        <x:f>IF(AND(784=$B$173,ISNUMBER(D1184)),IF(MAX(0,B1184*(1+C1184/12)-D1184)&lt;MAX(0.0000001,$E$17*0.00000000001),0,MAX(0,B1184*(1+C1184/12)-D1184)),0)</x:f>
        <x:v>0</x:v>
      </x:c>
      <x:c r="F1184" s="440" t="n">
        <x:f>IF($B$78="Cash payoff",E1184,0)</x:f>
        <x:v>0</x:v>
      </x:c>
      <x:c r="G1184" s="440" t="n">
        <x:f>IF(AND(E1184&gt;0,AND($B$78="Refinance",ISNUMBER($B$80),$B$80&gt;=0,$B$80&lt;=1,ROUND($B$81*12,0)&gt;=1,$B$81&lt;=100,SUM($B$82)&gt;=0,SUM($B$82)&lt;=1,SUM($B$83)&gt;=0)),E1184*SUM($B$82)+SUM($B$83),0)</x:f>
        <x:v>0</x:v>
      </x:c>
      <x:c r="H1184" s="440" t="n">
        <x:f>IF(ISNUMBER(D1184),IF(MAX(0,B1184*(1+C1184/12)-D1184-F1184)&lt;MAX(0.0000001,$E$17*0.00000000001),0,MAX(0,B1184*(1+C1184/12)-D1184-F1184)),IF(AND($B$171=1,I1183=1),B1184,""))</x:f>
        <x:v>0</x:v>
      </x:c>
      <x:c r="I1184" s="444" t="n">
        <x:f>IF(OR(I1183=1,AND(E1184&gt;0,$B$78&lt;&gt;"Cash payoff",NOT(AND($B$78="Refinance",ISNUMBER($B$80),$B$80&gt;=0,$B$80&lt;=1,ROUND($B$81*12,0)&gt;=1,$B$81&lt;=100,SUM($B$82)&gt;=0,SUM($B$82)&lt;=1,SUM($B$83)&gt;=0))),AND(ISNUMBER(B1184),B1184&gt;0,$B$171=1,NOT(ISNUMBER(D1184)))),1,0)</x:f>
        <x:v>0</x:v>
      </x:c>
      <x:c r="J1184" s="440" t="n">
        <x:f>IF(ISNUMBER(L1183),L1183,"")</x:f>
        <x:v>0</x:v>
      </x:c>
      <x:c r="K1184" s="440" t="n">
        <x:f>IF(AND(ISNUMBER(J1184),J1184=0),0,IF(AND($B$176=1,ISNUMBER(J1184)),MIN(J1184*(1+$B$87/12),IF($B$86=0,0,IF($B$87=0,$B$86/ROUND($B$88*12,0),$B$86*($B$87/12)/(1-(1+$B$87/12)^(-ROUND($B$88*12,0)))))),""))</x:f>
        <x:v>0</x:v>
      </x:c>
      <x:c r="L1184" s="440" t="n">
        <x:f>IF(ISNUMBER(K1184),IF(MAX(0,J1184*(1+SUM($B$87)/12)-K1184)&lt;MAX(0.0000001,$B$86*0.00000000001),0,MAX(0,J1184*(1+SUM($B$87)/12)-K1184)),"")</x:f>
        <x:v>0</x:v>
      </x:c>
      <x:c r="M1184" s="440" t="n">
        <x:f>IF(AND(ISNUMBER(D1184),ISNUMBER(K1184)),D1184+K1184,"")</x:f>
        <x:v>0</x:v>
      </x:c>
      <x:c r="N1184" s="440" t="n">
        <x:f>IF(AND(ISNUMBER(H1184),ISNUMBER(L1184)),H1184+L1184,"")</x:f>
        <x:v>0</x:v>
      </x:c>
    </x:row>
    <x:row r="1185" ht="22" customHeight="1">
      <x:c r="A1185" s="254" t="n">
        <x:f>785</x:f>
        <x:v>785</x:v>
      </x:c>
      <x:c r="B1185" s="440" t="n">
        <x:f>IF(ISNUMBER(H1184),H1184,"")</x:f>
        <x:v>0</x:v>
      </x:c>
      <x:c r="C1185" s="442" t="n">
        <x:f>IF(ISNUMBER(B1185),IF(AND(785&gt;$B$173,$B$78="Refinance",ISNUMBER($B$80),$B$80&gt;=0,$B$80&lt;=1,ROUND($B$81*12,0)&gt;=1,$B$81&lt;=100,SUM($B$82)&gt;=0,SUM($B$82)&lt;=1,SUM($B$83)&gt;=0),$B$80,IF(AND($B$175&gt;0,785&gt;$B$175,ISNUMBER($B$75)),$B$75,$B$61)),"")</x:f>
        <x:v>0.0625</x:v>
      </x:c>
      <x:c r="D1185" s="440" t="n">
        <x:f>IF(AND(ISNUMBER(B1185),B1185=0),0,IF(AND($B$171=1,I1184=0,ISNUMBER(C1185),ISNUMBER(IF(AND(785&lt;=$B$174,785&lt;=$B$173),B1185*C1185/12,IF(AND(785=$B$173+1,AND(785&gt;$B$173,$B$78="Refinance",ISNUMBER($B$80),$B$80&gt;=0,$B$80&lt;=1,ROUND($B$81*12,0)&gt;=1,$B$81&lt;=100,SUM($B$82)&gt;=0,SUM($B$82)&lt;=1,SUM($B$83)&gt;=0)),IF(B1185=0,0,IF(C1185=0,B1185/ROUND($B$81*12,0),B1185*(C1185/12)/(1-(1+C1185/12)^(-ROUND($B$81*12,0))))),IF(AND(NOT(AND(785&gt;$B$173,$B$78="Refinance",ISNUMBER($B$80),$B$80&gt;=0,$B$80&lt;=1,ROUND($B$81*12,0)&gt;=1,$B$81&lt;=100,SUM($B$82)&gt;=0,SUM($B$82)&lt;=1,SUM($B$83)&gt;=0)),OR(785=1,785=$B$174+1,AND($B$175&gt;0,785=$B$175+1))),IF(AND($B$170=1,$B$66&gt;0,OR($B$175=0,785&lt;=$B$175)),$B$66,IF($B$172-MAX(785-1,$B$174)&gt;0,IF(B1185=0,0,IF(C1185=0,B1185/($B$172-MAX(785-1,$B$174)),B1185*(C1185/12)/(1-(1+C1185/12)^(-($B$172-MAX(785-1,$B$174)))))),"")),D1184))))),IF(IF(AND(785&lt;=$B$174,785&lt;=$B$173),B1185*C1185/12,IF(AND(785=$B$173+1,AND(785&gt;$B$173,$B$78="Refinance",ISNUMBER($B$80),$B$80&gt;=0,$B$80&lt;=1,ROUND($B$81*12,0)&gt;=1,$B$81&lt;=100,SUM($B$82)&gt;=0,SUM($B$82)&lt;=1,SUM($B$83)&gt;=0)),IF(B1185=0,0,IF(C1185=0,B1185/ROUND($B$81*12,0),B1185*(C1185/12)/(1-(1+C1185/12)^(-ROUND($B$81*12,0))))),IF(AND(NOT(AND(785&gt;$B$173,$B$78="Refinance",ISNUMBER($B$80),$B$80&gt;=0,$B$80&lt;=1,ROUND($B$81*12,0)&gt;=1,$B$81&lt;=100,SUM($B$82)&gt;=0,SUM($B$82)&lt;=1,SUM($B$83)&gt;=0)),OR(785=1,785=$B$174+1,AND($B$175&gt;0,785=$B$175+1))),IF(AND($B$170=1,$B$66&gt;0,OR($B$175=0,785&lt;=$B$175)),$B$66,IF($B$172-MAX(785-1,$B$174)&gt;0,IF(B1185=0,0,IF(C1185=0,B1185/($B$172-MAX(785-1,$B$174)),B1185*(C1185/12)/(1-(1+C1185/12)^(-($B$172-MAX(785-1,$B$174)))))),"")),D1184)))+0.0000001&gt;=B1185*C1185/12,MIN(B1185*(1+C1185/12),IF(AND(785&lt;=$B$174,785&lt;=$B$173),B1185*C1185/12,IF(AND(785=$B$173+1,AND(785&gt;$B$173,$B$78="Refinance",ISNUMBER($B$80),$B$80&gt;=0,$B$80&lt;=1,ROUND($B$81*12,0)&gt;=1,$B$81&lt;=100,SUM($B$82)&gt;=0,SUM($B$82)&lt;=1,SUM($B$83)&gt;=0)),IF(B1185=0,0,IF(C1185=0,B1185/ROUND($B$81*12,0),B1185*(C1185/12)/(1-(1+C1185/12)^(-ROUND($B$81*12,0))))),IF(AND(NOT(AND(785&gt;$B$173,$B$78="Refinance",ISNUMBER($B$80),$B$80&gt;=0,$B$80&lt;=1,ROUND($B$81*12,0)&gt;=1,$B$81&lt;=100,SUM($B$82)&gt;=0,SUM($B$82)&lt;=1,SUM($B$83)&gt;=0)),OR(785=1,785=$B$174+1,AND($B$175&gt;0,785=$B$175+1))),IF(AND($B$170=1,$B$66&gt;0,OR($B$175=0,785&lt;=$B$175)),$B$66,IF($B$172-MAX(785-1,$B$174)&gt;0,IF(B1185=0,0,IF(C1185=0,B1185/($B$172-MAX(785-1,$B$174)),B1185*(C1185/12)/(1-(1+C1185/12)^(-($B$172-MAX(785-1,$B$174)))))),"")),D1184)))),""),""))</x:f>
        <x:v>0</x:v>
      </x:c>
      <x:c r="E1185" s="440" t="n">
        <x:f>IF(AND(785=$B$173,ISNUMBER(D1185)),IF(MAX(0,B1185*(1+C1185/12)-D1185)&lt;MAX(0.0000001,$E$17*0.00000000001),0,MAX(0,B1185*(1+C1185/12)-D1185)),0)</x:f>
        <x:v>0</x:v>
      </x:c>
      <x:c r="F1185" s="440" t="n">
        <x:f>IF($B$78="Cash payoff",E1185,0)</x:f>
        <x:v>0</x:v>
      </x:c>
      <x:c r="G1185" s="440" t="n">
        <x:f>IF(AND(E1185&gt;0,AND($B$78="Refinance",ISNUMBER($B$80),$B$80&gt;=0,$B$80&lt;=1,ROUND($B$81*12,0)&gt;=1,$B$81&lt;=100,SUM($B$82)&gt;=0,SUM($B$82)&lt;=1,SUM($B$83)&gt;=0)),E1185*SUM($B$82)+SUM($B$83),0)</x:f>
        <x:v>0</x:v>
      </x:c>
      <x:c r="H1185" s="440" t="n">
        <x:f>IF(ISNUMBER(D1185),IF(MAX(0,B1185*(1+C1185/12)-D1185-F1185)&lt;MAX(0.0000001,$E$17*0.00000000001),0,MAX(0,B1185*(1+C1185/12)-D1185-F1185)),IF(AND($B$171=1,I1184=1),B1185,""))</x:f>
        <x:v>0</x:v>
      </x:c>
      <x:c r="I1185" s="444" t="n">
        <x:f>IF(OR(I1184=1,AND(E1185&gt;0,$B$78&lt;&gt;"Cash payoff",NOT(AND($B$78="Refinance",ISNUMBER($B$80),$B$80&gt;=0,$B$80&lt;=1,ROUND($B$81*12,0)&gt;=1,$B$81&lt;=100,SUM($B$82)&gt;=0,SUM($B$82)&lt;=1,SUM($B$83)&gt;=0))),AND(ISNUMBER(B1185),B1185&gt;0,$B$171=1,NOT(ISNUMBER(D1185)))),1,0)</x:f>
        <x:v>0</x:v>
      </x:c>
      <x:c r="J1185" s="440" t="n">
        <x:f>IF(ISNUMBER(L1184),L1184,"")</x:f>
        <x:v>0</x:v>
      </x:c>
      <x:c r="K1185" s="440" t="n">
        <x:f>IF(AND(ISNUMBER(J1185),J1185=0),0,IF(AND($B$176=1,ISNUMBER(J1185)),MIN(J1185*(1+$B$87/12),IF($B$86=0,0,IF($B$87=0,$B$86/ROUND($B$88*12,0),$B$86*($B$87/12)/(1-(1+$B$87/12)^(-ROUND($B$88*12,0)))))),""))</x:f>
        <x:v>0</x:v>
      </x:c>
      <x:c r="L1185" s="440" t="n">
        <x:f>IF(ISNUMBER(K1185),IF(MAX(0,J1185*(1+SUM($B$87)/12)-K1185)&lt;MAX(0.0000001,$B$86*0.00000000001),0,MAX(0,J1185*(1+SUM($B$87)/12)-K1185)),"")</x:f>
        <x:v>0</x:v>
      </x:c>
      <x:c r="M1185" s="440" t="n">
        <x:f>IF(AND(ISNUMBER(D1185),ISNUMBER(K1185)),D1185+K1185,"")</x:f>
        <x:v>0</x:v>
      </x:c>
      <x:c r="N1185" s="440" t="n">
        <x:f>IF(AND(ISNUMBER(H1185),ISNUMBER(L1185)),H1185+L1185,"")</x:f>
        <x:v>0</x:v>
      </x:c>
    </x:row>
    <x:row r="1186" ht="22" customHeight="1">
      <x:c r="A1186" s="254" t="n">
        <x:f>786</x:f>
        <x:v>786</x:v>
      </x:c>
      <x:c r="B1186" s="440" t="n">
        <x:f>IF(ISNUMBER(H1185),H1185,"")</x:f>
        <x:v>0</x:v>
      </x:c>
      <x:c r="C1186" s="442" t="n">
        <x:f>IF(ISNUMBER(B1186),IF(AND(786&gt;$B$173,$B$78="Refinance",ISNUMBER($B$80),$B$80&gt;=0,$B$80&lt;=1,ROUND($B$81*12,0)&gt;=1,$B$81&lt;=100,SUM($B$82)&gt;=0,SUM($B$82)&lt;=1,SUM($B$83)&gt;=0),$B$80,IF(AND($B$175&gt;0,786&gt;$B$175,ISNUMBER($B$75)),$B$75,$B$61)),"")</x:f>
        <x:v>0.0625</x:v>
      </x:c>
      <x:c r="D1186" s="440" t="n">
        <x:f>IF(AND(ISNUMBER(B1186),B1186=0),0,IF(AND($B$171=1,I1185=0,ISNUMBER(C1186),ISNUMBER(IF(AND(786&lt;=$B$174,786&lt;=$B$173),B1186*C1186/12,IF(AND(786=$B$173+1,AND(786&gt;$B$173,$B$78="Refinance",ISNUMBER($B$80),$B$80&gt;=0,$B$80&lt;=1,ROUND($B$81*12,0)&gt;=1,$B$81&lt;=100,SUM($B$82)&gt;=0,SUM($B$82)&lt;=1,SUM($B$83)&gt;=0)),IF(B1186=0,0,IF(C1186=0,B1186/ROUND($B$81*12,0),B1186*(C1186/12)/(1-(1+C1186/12)^(-ROUND($B$81*12,0))))),IF(AND(NOT(AND(786&gt;$B$173,$B$78="Refinance",ISNUMBER($B$80),$B$80&gt;=0,$B$80&lt;=1,ROUND($B$81*12,0)&gt;=1,$B$81&lt;=100,SUM($B$82)&gt;=0,SUM($B$82)&lt;=1,SUM($B$83)&gt;=0)),OR(786=1,786=$B$174+1,AND($B$175&gt;0,786=$B$175+1))),IF(AND($B$170=1,$B$66&gt;0,OR($B$175=0,786&lt;=$B$175)),$B$66,IF($B$172-MAX(786-1,$B$174)&gt;0,IF(B1186=0,0,IF(C1186=0,B1186/($B$172-MAX(786-1,$B$174)),B1186*(C1186/12)/(1-(1+C1186/12)^(-($B$172-MAX(786-1,$B$174)))))),"")),D1185))))),IF(IF(AND(786&lt;=$B$174,786&lt;=$B$173),B1186*C1186/12,IF(AND(786=$B$173+1,AND(786&gt;$B$173,$B$78="Refinance",ISNUMBER($B$80),$B$80&gt;=0,$B$80&lt;=1,ROUND($B$81*12,0)&gt;=1,$B$81&lt;=100,SUM($B$82)&gt;=0,SUM($B$82)&lt;=1,SUM($B$83)&gt;=0)),IF(B1186=0,0,IF(C1186=0,B1186/ROUND($B$81*12,0),B1186*(C1186/12)/(1-(1+C1186/12)^(-ROUND($B$81*12,0))))),IF(AND(NOT(AND(786&gt;$B$173,$B$78="Refinance",ISNUMBER($B$80),$B$80&gt;=0,$B$80&lt;=1,ROUND($B$81*12,0)&gt;=1,$B$81&lt;=100,SUM($B$82)&gt;=0,SUM($B$82)&lt;=1,SUM($B$83)&gt;=0)),OR(786=1,786=$B$174+1,AND($B$175&gt;0,786=$B$175+1))),IF(AND($B$170=1,$B$66&gt;0,OR($B$175=0,786&lt;=$B$175)),$B$66,IF($B$172-MAX(786-1,$B$174)&gt;0,IF(B1186=0,0,IF(C1186=0,B1186/($B$172-MAX(786-1,$B$174)),B1186*(C1186/12)/(1-(1+C1186/12)^(-($B$172-MAX(786-1,$B$174)))))),"")),D1185)))+0.0000001&gt;=B1186*C1186/12,MIN(B1186*(1+C1186/12),IF(AND(786&lt;=$B$174,786&lt;=$B$173),B1186*C1186/12,IF(AND(786=$B$173+1,AND(786&gt;$B$173,$B$78="Refinance",ISNUMBER($B$80),$B$80&gt;=0,$B$80&lt;=1,ROUND($B$81*12,0)&gt;=1,$B$81&lt;=100,SUM($B$82)&gt;=0,SUM($B$82)&lt;=1,SUM($B$83)&gt;=0)),IF(B1186=0,0,IF(C1186=0,B1186/ROUND($B$81*12,0),B1186*(C1186/12)/(1-(1+C1186/12)^(-ROUND($B$81*12,0))))),IF(AND(NOT(AND(786&gt;$B$173,$B$78="Refinance",ISNUMBER($B$80),$B$80&gt;=0,$B$80&lt;=1,ROUND($B$81*12,0)&gt;=1,$B$81&lt;=100,SUM($B$82)&gt;=0,SUM($B$82)&lt;=1,SUM($B$83)&gt;=0)),OR(786=1,786=$B$174+1,AND($B$175&gt;0,786=$B$175+1))),IF(AND($B$170=1,$B$66&gt;0,OR($B$175=0,786&lt;=$B$175)),$B$66,IF($B$172-MAX(786-1,$B$174)&gt;0,IF(B1186=0,0,IF(C1186=0,B1186/($B$172-MAX(786-1,$B$174)),B1186*(C1186/12)/(1-(1+C1186/12)^(-($B$172-MAX(786-1,$B$174)))))),"")),D1185)))),""),""))</x:f>
        <x:v>0</x:v>
      </x:c>
      <x:c r="E1186" s="440" t="n">
        <x:f>IF(AND(786=$B$173,ISNUMBER(D1186)),IF(MAX(0,B1186*(1+C1186/12)-D1186)&lt;MAX(0.0000001,$E$17*0.00000000001),0,MAX(0,B1186*(1+C1186/12)-D1186)),0)</x:f>
        <x:v>0</x:v>
      </x:c>
      <x:c r="F1186" s="440" t="n">
        <x:f>IF($B$78="Cash payoff",E1186,0)</x:f>
        <x:v>0</x:v>
      </x:c>
      <x:c r="G1186" s="440" t="n">
        <x:f>IF(AND(E1186&gt;0,AND($B$78="Refinance",ISNUMBER($B$80),$B$80&gt;=0,$B$80&lt;=1,ROUND($B$81*12,0)&gt;=1,$B$81&lt;=100,SUM($B$82)&gt;=0,SUM($B$82)&lt;=1,SUM($B$83)&gt;=0)),E1186*SUM($B$82)+SUM($B$83),0)</x:f>
        <x:v>0</x:v>
      </x:c>
      <x:c r="H1186" s="440" t="n">
        <x:f>IF(ISNUMBER(D1186),IF(MAX(0,B1186*(1+C1186/12)-D1186-F1186)&lt;MAX(0.0000001,$E$17*0.00000000001),0,MAX(0,B1186*(1+C1186/12)-D1186-F1186)),IF(AND($B$171=1,I1185=1),B1186,""))</x:f>
        <x:v>0</x:v>
      </x:c>
      <x:c r="I1186" s="444" t="n">
        <x:f>IF(OR(I1185=1,AND(E1186&gt;0,$B$78&lt;&gt;"Cash payoff",NOT(AND($B$78="Refinance",ISNUMBER($B$80),$B$80&gt;=0,$B$80&lt;=1,ROUND($B$81*12,0)&gt;=1,$B$81&lt;=100,SUM($B$82)&gt;=0,SUM($B$82)&lt;=1,SUM($B$83)&gt;=0))),AND(ISNUMBER(B1186),B1186&gt;0,$B$171=1,NOT(ISNUMBER(D1186)))),1,0)</x:f>
        <x:v>0</x:v>
      </x:c>
      <x:c r="J1186" s="440" t="n">
        <x:f>IF(ISNUMBER(L1185),L1185,"")</x:f>
        <x:v>0</x:v>
      </x:c>
      <x:c r="K1186" s="440" t="n">
        <x:f>IF(AND(ISNUMBER(J1186),J1186=0),0,IF(AND($B$176=1,ISNUMBER(J1186)),MIN(J1186*(1+$B$87/12),IF($B$86=0,0,IF($B$87=0,$B$86/ROUND($B$88*12,0),$B$86*($B$87/12)/(1-(1+$B$87/12)^(-ROUND($B$88*12,0)))))),""))</x:f>
        <x:v>0</x:v>
      </x:c>
      <x:c r="L1186" s="440" t="n">
        <x:f>IF(ISNUMBER(K1186),IF(MAX(0,J1186*(1+SUM($B$87)/12)-K1186)&lt;MAX(0.0000001,$B$86*0.00000000001),0,MAX(0,J1186*(1+SUM($B$87)/12)-K1186)),"")</x:f>
        <x:v>0</x:v>
      </x:c>
      <x:c r="M1186" s="440" t="n">
        <x:f>IF(AND(ISNUMBER(D1186),ISNUMBER(K1186)),D1186+K1186,"")</x:f>
        <x:v>0</x:v>
      </x:c>
      <x:c r="N1186" s="440" t="n">
        <x:f>IF(AND(ISNUMBER(H1186),ISNUMBER(L1186)),H1186+L1186,"")</x:f>
        <x:v>0</x:v>
      </x:c>
    </x:row>
    <x:row r="1187" ht="22" customHeight="1">
      <x:c r="A1187" s="254" t="n">
        <x:f>787</x:f>
        <x:v>787</x:v>
      </x:c>
      <x:c r="B1187" s="440" t="n">
        <x:f>IF(ISNUMBER(H1186),H1186,"")</x:f>
        <x:v>0</x:v>
      </x:c>
      <x:c r="C1187" s="442" t="n">
        <x:f>IF(ISNUMBER(B1187),IF(AND(787&gt;$B$173,$B$78="Refinance",ISNUMBER($B$80),$B$80&gt;=0,$B$80&lt;=1,ROUND($B$81*12,0)&gt;=1,$B$81&lt;=100,SUM($B$82)&gt;=0,SUM($B$82)&lt;=1,SUM($B$83)&gt;=0),$B$80,IF(AND($B$175&gt;0,787&gt;$B$175,ISNUMBER($B$75)),$B$75,$B$61)),"")</x:f>
        <x:v>0.0625</x:v>
      </x:c>
      <x:c r="D1187" s="440" t="n">
        <x:f>IF(AND(ISNUMBER(B1187),B1187=0),0,IF(AND($B$171=1,I1186=0,ISNUMBER(C1187),ISNUMBER(IF(AND(787&lt;=$B$174,787&lt;=$B$173),B1187*C1187/12,IF(AND(787=$B$173+1,AND(787&gt;$B$173,$B$78="Refinance",ISNUMBER($B$80),$B$80&gt;=0,$B$80&lt;=1,ROUND($B$81*12,0)&gt;=1,$B$81&lt;=100,SUM($B$82)&gt;=0,SUM($B$82)&lt;=1,SUM($B$83)&gt;=0)),IF(B1187=0,0,IF(C1187=0,B1187/ROUND($B$81*12,0),B1187*(C1187/12)/(1-(1+C1187/12)^(-ROUND($B$81*12,0))))),IF(AND(NOT(AND(787&gt;$B$173,$B$78="Refinance",ISNUMBER($B$80),$B$80&gt;=0,$B$80&lt;=1,ROUND($B$81*12,0)&gt;=1,$B$81&lt;=100,SUM($B$82)&gt;=0,SUM($B$82)&lt;=1,SUM($B$83)&gt;=0)),OR(787=1,787=$B$174+1,AND($B$175&gt;0,787=$B$175+1))),IF(AND($B$170=1,$B$66&gt;0,OR($B$175=0,787&lt;=$B$175)),$B$66,IF($B$172-MAX(787-1,$B$174)&gt;0,IF(B1187=0,0,IF(C1187=0,B1187/($B$172-MAX(787-1,$B$174)),B1187*(C1187/12)/(1-(1+C1187/12)^(-($B$172-MAX(787-1,$B$174)))))),"")),D1186))))),IF(IF(AND(787&lt;=$B$174,787&lt;=$B$173),B1187*C1187/12,IF(AND(787=$B$173+1,AND(787&gt;$B$173,$B$78="Refinance",ISNUMBER($B$80),$B$80&gt;=0,$B$80&lt;=1,ROUND($B$81*12,0)&gt;=1,$B$81&lt;=100,SUM($B$82)&gt;=0,SUM($B$82)&lt;=1,SUM($B$83)&gt;=0)),IF(B1187=0,0,IF(C1187=0,B1187/ROUND($B$81*12,0),B1187*(C1187/12)/(1-(1+C1187/12)^(-ROUND($B$81*12,0))))),IF(AND(NOT(AND(787&gt;$B$173,$B$78="Refinance",ISNUMBER($B$80),$B$80&gt;=0,$B$80&lt;=1,ROUND($B$81*12,0)&gt;=1,$B$81&lt;=100,SUM($B$82)&gt;=0,SUM($B$82)&lt;=1,SUM($B$83)&gt;=0)),OR(787=1,787=$B$174+1,AND($B$175&gt;0,787=$B$175+1))),IF(AND($B$170=1,$B$66&gt;0,OR($B$175=0,787&lt;=$B$175)),$B$66,IF($B$172-MAX(787-1,$B$174)&gt;0,IF(B1187=0,0,IF(C1187=0,B1187/($B$172-MAX(787-1,$B$174)),B1187*(C1187/12)/(1-(1+C1187/12)^(-($B$172-MAX(787-1,$B$174)))))),"")),D1186)))+0.0000001&gt;=B1187*C1187/12,MIN(B1187*(1+C1187/12),IF(AND(787&lt;=$B$174,787&lt;=$B$173),B1187*C1187/12,IF(AND(787=$B$173+1,AND(787&gt;$B$173,$B$78="Refinance",ISNUMBER($B$80),$B$80&gt;=0,$B$80&lt;=1,ROUND($B$81*12,0)&gt;=1,$B$81&lt;=100,SUM($B$82)&gt;=0,SUM($B$82)&lt;=1,SUM($B$83)&gt;=0)),IF(B1187=0,0,IF(C1187=0,B1187/ROUND($B$81*12,0),B1187*(C1187/12)/(1-(1+C1187/12)^(-ROUND($B$81*12,0))))),IF(AND(NOT(AND(787&gt;$B$173,$B$78="Refinance",ISNUMBER($B$80),$B$80&gt;=0,$B$80&lt;=1,ROUND($B$81*12,0)&gt;=1,$B$81&lt;=100,SUM($B$82)&gt;=0,SUM($B$82)&lt;=1,SUM($B$83)&gt;=0)),OR(787=1,787=$B$174+1,AND($B$175&gt;0,787=$B$175+1))),IF(AND($B$170=1,$B$66&gt;0,OR($B$175=0,787&lt;=$B$175)),$B$66,IF($B$172-MAX(787-1,$B$174)&gt;0,IF(B1187=0,0,IF(C1187=0,B1187/($B$172-MAX(787-1,$B$174)),B1187*(C1187/12)/(1-(1+C1187/12)^(-($B$172-MAX(787-1,$B$174)))))),"")),D1186)))),""),""))</x:f>
        <x:v>0</x:v>
      </x:c>
      <x:c r="E1187" s="440" t="n">
        <x:f>IF(AND(787=$B$173,ISNUMBER(D1187)),IF(MAX(0,B1187*(1+C1187/12)-D1187)&lt;MAX(0.0000001,$E$17*0.00000000001),0,MAX(0,B1187*(1+C1187/12)-D1187)),0)</x:f>
        <x:v>0</x:v>
      </x:c>
      <x:c r="F1187" s="440" t="n">
        <x:f>IF($B$78="Cash payoff",E1187,0)</x:f>
        <x:v>0</x:v>
      </x:c>
      <x:c r="G1187" s="440" t="n">
        <x:f>IF(AND(E1187&gt;0,AND($B$78="Refinance",ISNUMBER($B$80),$B$80&gt;=0,$B$80&lt;=1,ROUND($B$81*12,0)&gt;=1,$B$81&lt;=100,SUM($B$82)&gt;=0,SUM($B$82)&lt;=1,SUM($B$83)&gt;=0)),E1187*SUM($B$82)+SUM($B$83),0)</x:f>
        <x:v>0</x:v>
      </x:c>
      <x:c r="H1187" s="440" t="n">
        <x:f>IF(ISNUMBER(D1187),IF(MAX(0,B1187*(1+C1187/12)-D1187-F1187)&lt;MAX(0.0000001,$E$17*0.00000000001),0,MAX(0,B1187*(1+C1187/12)-D1187-F1187)),IF(AND($B$171=1,I1186=1),B1187,""))</x:f>
        <x:v>0</x:v>
      </x:c>
      <x:c r="I1187" s="444" t="n">
        <x:f>IF(OR(I1186=1,AND(E1187&gt;0,$B$78&lt;&gt;"Cash payoff",NOT(AND($B$78="Refinance",ISNUMBER($B$80),$B$80&gt;=0,$B$80&lt;=1,ROUND($B$81*12,0)&gt;=1,$B$81&lt;=100,SUM($B$82)&gt;=0,SUM($B$82)&lt;=1,SUM($B$83)&gt;=0))),AND(ISNUMBER(B1187),B1187&gt;0,$B$171=1,NOT(ISNUMBER(D1187)))),1,0)</x:f>
        <x:v>0</x:v>
      </x:c>
      <x:c r="J1187" s="440" t="n">
        <x:f>IF(ISNUMBER(L1186),L1186,"")</x:f>
        <x:v>0</x:v>
      </x:c>
      <x:c r="K1187" s="440" t="n">
        <x:f>IF(AND(ISNUMBER(J1187),J1187=0),0,IF(AND($B$176=1,ISNUMBER(J1187)),MIN(J1187*(1+$B$87/12),IF($B$86=0,0,IF($B$87=0,$B$86/ROUND($B$88*12,0),$B$86*($B$87/12)/(1-(1+$B$87/12)^(-ROUND($B$88*12,0)))))),""))</x:f>
        <x:v>0</x:v>
      </x:c>
      <x:c r="L1187" s="440" t="n">
        <x:f>IF(ISNUMBER(K1187),IF(MAX(0,J1187*(1+SUM($B$87)/12)-K1187)&lt;MAX(0.0000001,$B$86*0.00000000001),0,MAX(0,J1187*(1+SUM($B$87)/12)-K1187)),"")</x:f>
        <x:v>0</x:v>
      </x:c>
      <x:c r="M1187" s="440" t="n">
        <x:f>IF(AND(ISNUMBER(D1187),ISNUMBER(K1187)),D1187+K1187,"")</x:f>
        <x:v>0</x:v>
      </x:c>
      <x:c r="N1187" s="440" t="n">
        <x:f>IF(AND(ISNUMBER(H1187),ISNUMBER(L1187)),H1187+L1187,"")</x:f>
        <x:v>0</x:v>
      </x:c>
    </x:row>
    <x:row r="1188" ht="22" customHeight="1">
      <x:c r="A1188" s="254" t="n">
        <x:f>788</x:f>
        <x:v>788</x:v>
      </x:c>
      <x:c r="B1188" s="440" t="n">
        <x:f>IF(ISNUMBER(H1187),H1187,"")</x:f>
        <x:v>0</x:v>
      </x:c>
      <x:c r="C1188" s="442" t="n">
        <x:f>IF(ISNUMBER(B1188),IF(AND(788&gt;$B$173,$B$78="Refinance",ISNUMBER($B$80),$B$80&gt;=0,$B$80&lt;=1,ROUND($B$81*12,0)&gt;=1,$B$81&lt;=100,SUM($B$82)&gt;=0,SUM($B$82)&lt;=1,SUM($B$83)&gt;=0),$B$80,IF(AND($B$175&gt;0,788&gt;$B$175,ISNUMBER($B$75)),$B$75,$B$61)),"")</x:f>
        <x:v>0.0625</x:v>
      </x:c>
      <x:c r="D1188" s="440" t="n">
        <x:f>IF(AND(ISNUMBER(B1188),B1188=0),0,IF(AND($B$171=1,I1187=0,ISNUMBER(C1188),ISNUMBER(IF(AND(788&lt;=$B$174,788&lt;=$B$173),B1188*C1188/12,IF(AND(788=$B$173+1,AND(788&gt;$B$173,$B$78="Refinance",ISNUMBER($B$80),$B$80&gt;=0,$B$80&lt;=1,ROUND($B$81*12,0)&gt;=1,$B$81&lt;=100,SUM($B$82)&gt;=0,SUM($B$82)&lt;=1,SUM($B$83)&gt;=0)),IF(B1188=0,0,IF(C1188=0,B1188/ROUND($B$81*12,0),B1188*(C1188/12)/(1-(1+C1188/12)^(-ROUND($B$81*12,0))))),IF(AND(NOT(AND(788&gt;$B$173,$B$78="Refinance",ISNUMBER($B$80),$B$80&gt;=0,$B$80&lt;=1,ROUND($B$81*12,0)&gt;=1,$B$81&lt;=100,SUM($B$82)&gt;=0,SUM($B$82)&lt;=1,SUM($B$83)&gt;=0)),OR(788=1,788=$B$174+1,AND($B$175&gt;0,788=$B$175+1))),IF(AND($B$170=1,$B$66&gt;0,OR($B$175=0,788&lt;=$B$175)),$B$66,IF($B$172-MAX(788-1,$B$174)&gt;0,IF(B1188=0,0,IF(C1188=0,B1188/($B$172-MAX(788-1,$B$174)),B1188*(C1188/12)/(1-(1+C1188/12)^(-($B$172-MAX(788-1,$B$174)))))),"")),D1187))))),IF(IF(AND(788&lt;=$B$174,788&lt;=$B$173),B1188*C1188/12,IF(AND(788=$B$173+1,AND(788&gt;$B$173,$B$78="Refinance",ISNUMBER($B$80),$B$80&gt;=0,$B$80&lt;=1,ROUND($B$81*12,0)&gt;=1,$B$81&lt;=100,SUM($B$82)&gt;=0,SUM($B$82)&lt;=1,SUM($B$83)&gt;=0)),IF(B1188=0,0,IF(C1188=0,B1188/ROUND($B$81*12,0),B1188*(C1188/12)/(1-(1+C1188/12)^(-ROUND($B$81*12,0))))),IF(AND(NOT(AND(788&gt;$B$173,$B$78="Refinance",ISNUMBER($B$80),$B$80&gt;=0,$B$80&lt;=1,ROUND($B$81*12,0)&gt;=1,$B$81&lt;=100,SUM($B$82)&gt;=0,SUM($B$82)&lt;=1,SUM($B$83)&gt;=0)),OR(788=1,788=$B$174+1,AND($B$175&gt;0,788=$B$175+1))),IF(AND($B$170=1,$B$66&gt;0,OR($B$175=0,788&lt;=$B$175)),$B$66,IF($B$172-MAX(788-1,$B$174)&gt;0,IF(B1188=0,0,IF(C1188=0,B1188/($B$172-MAX(788-1,$B$174)),B1188*(C1188/12)/(1-(1+C1188/12)^(-($B$172-MAX(788-1,$B$174)))))),"")),D1187)))+0.0000001&gt;=B1188*C1188/12,MIN(B1188*(1+C1188/12),IF(AND(788&lt;=$B$174,788&lt;=$B$173),B1188*C1188/12,IF(AND(788=$B$173+1,AND(788&gt;$B$173,$B$78="Refinance",ISNUMBER($B$80),$B$80&gt;=0,$B$80&lt;=1,ROUND($B$81*12,0)&gt;=1,$B$81&lt;=100,SUM($B$82)&gt;=0,SUM($B$82)&lt;=1,SUM($B$83)&gt;=0)),IF(B1188=0,0,IF(C1188=0,B1188/ROUND($B$81*12,0),B1188*(C1188/12)/(1-(1+C1188/12)^(-ROUND($B$81*12,0))))),IF(AND(NOT(AND(788&gt;$B$173,$B$78="Refinance",ISNUMBER($B$80),$B$80&gt;=0,$B$80&lt;=1,ROUND($B$81*12,0)&gt;=1,$B$81&lt;=100,SUM($B$82)&gt;=0,SUM($B$82)&lt;=1,SUM($B$83)&gt;=0)),OR(788=1,788=$B$174+1,AND($B$175&gt;0,788=$B$175+1))),IF(AND($B$170=1,$B$66&gt;0,OR($B$175=0,788&lt;=$B$175)),$B$66,IF($B$172-MAX(788-1,$B$174)&gt;0,IF(B1188=0,0,IF(C1188=0,B1188/($B$172-MAX(788-1,$B$174)),B1188*(C1188/12)/(1-(1+C1188/12)^(-($B$172-MAX(788-1,$B$174)))))),"")),D1187)))),""),""))</x:f>
        <x:v>0</x:v>
      </x:c>
      <x:c r="E1188" s="440" t="n">
        <x:f>IF(AND(788=$B$173,ISNUMBER(D1188)),IF(MAX(0,B1188*(1+C1188/12)-D1188)&lt;MAX(0.0000001,$E$17*0.00000000001),0,MAX(0,B1188*(1+C1188/12)-D1188)),0)</x:f>
        <x:v>0</x:v>
      </x:c>
      <x:c r="F1188" s="440" t="n">
        <x:f>IF($B$78="Cash payoff",E1188,0)</x:f>
        <x:v>0</x:v>
      </x:c>
      <x:c r="G1188" s="440" t="n">
        <x:f>IF(AND(E1188&gt;0,AND($B$78="Refinance",ISNUMBER($B$80),$B$80&gt;=0,$B$80&lt;=1,ROUND($B$81*12,0)&gt;=1,$B$81&lt;=100,SUM($B$82)&gt;=0,SUM($B$82)&lt;=1,SUM($B$83)&gt;=0)),E1188*SUM($B$82)+SUM($B$83),0)</x:f>
        <x:v>0</x:v>
      </x:c>
      <x:c r="H1188" s="440" t="n">
        <x:f>IF(ISNUMBER(D1188),IF(MAX(0,B1188*(1+C1188/12)-D1188-F1188)&lt;MAX(0.0000001,$E$17*0.00000000001),0,MAX(0,B1188*(1+C1188/12)-D1188-F1188)),IF(AND($B$171=1,I1187=1),B1188,""))</x:f>
        <x:v>0</x:v>
      </x:c>
      <x:c r="I1188" s="444" t="n">
        <x:f>IF(OR(I1187=1,AND(E1188&gt;0,$B$78&lt;&gt;"Cash payoff",NOT(AND($B$78="Refinance",ISNUMBER($B$80),$B$80&gt;=0,$B$80&lt;=1,ROUND($B$81*12,0)&gt;=1,$B$81&lt;=100,SUM($B$82)&gt;=0,SUM($B$82)&lt;=1,SUM($B$83)&gt;=0))),AND(ISNUMBER(B1188),B1188&gt;0,$B$171=1,NOT(ISNUMBER(D1188)))),1,0)</x:f>
        <x:v>0</x:v>
      </x:c>
      <x:c r="J1188" s="440" t="n">
        <x:f>IF(ISNUMBER(L1187),L1187,"")</x:f>
        <x:v>0</x:v>
      </x:c>
      <x:c r="K1188" s="440" t="n">
        <x:f>IF(AND(ISNUMBER(J1188),J1188=0),0,IF(AND($B$176=1,ISNUMBER(J1188)),MIN(J1188*(1+$B$87/12),IF($B$86=0,0,IF($B$87=0,$B$86/ROUND($B$88*12,0),$B$86*($B$87/12)/(1-(1+$B$87/12)^(-ROUND($B$88*12,0)))))),""))</x:f>
        <x:v>0</x:v>
      </x:c>
      <x:c r="L1188" s="440" t="n">
        <x:f>IF(ISNUMBER(K1188),IF(MAX(0,J1188*(1+SUM($B$87)/12)-K1188)&lt;MAX(0.0000001,$B$86*0.00000000001),0,MAX(0,J1188*(1+SUM($B$87)/12)-K1188)),"")</x:f>
        <x:v>0</x:v>
      </x:c>
      <x:c r="M1188" s="440" t="n">
        <x:f>IF(AND(ISNUMBER(D1188),ISNUMBER(K1188)),D1188+K1188,"")</x:f>
        <x:v>0</x:v>
      </x:c>
      <x:c r="N1188" s="440" t="n">
        <x:f>IF(AND(ISNUMBER(H1188),ISNUMBER(L1188)),H1188+L1188,"")</x:f>
        <x:v>0</x:v>
      </x:c>
    </x:row>
    <x:row r="1189" ht="22" customHeight="1">
      <x:c r="A1189" s="254" t="n">
        <x:f>789</x:f>
        <x:v>789</x:v>
      </x:c>
      <x:c r="B1189" s="440" t="n">
        <x:f>IF(ISNUMBER(H1188),H1188,"")</x:f>
        <x:v>0</x:v>
      </x:c>
      <x:c r="C1189" s="442" t="n">
        <x:f>IF(ISNUMBER(B1189),IF(AND(789&gt;$B$173,$B$78="Refinance",ISNUMBER($B$80),$B$80&gt;=0,$B$80&lt;=1,ROUND($B$81*12,0)&gt;=1,$B$81&lt;=100,SUM($B$82)&gt;=0,SUM($B$82)&lt;=1,SUM($B$83)&gt;=0),$B$80,IF(AND($B$175&gt;0,789&gt;$B$175,ISNUMBER($B$75)),$B$75,$B$61)),"")</x:f>
        <x:v>0.0625</x:v>
      </x:c>
      <x:c r="D1189" s="440" t="n">
        <x:f>IF(AND(ISNUMBER(B1189),B1189=0),0,IF(AND($B$171=1,I1188=0,ISNUMBER(C1189),ISNUMBER(IF(AND(789&lt;=$B$174,789&lt;=$B$173),B1189*C1189/12,IF(AND(789=$B$173+1,AND(789&gt;$B$173,$B$78="Refinance",ISNUMBER($B$80),$B$80&gt;=0,$B$80&lt;=1,ROUND($B$81*12,0)&gt;=1,$B$81&lt;=100,SUM($B$82)&gt;=0,SUM($B$82)&lt;=1,SUM($B$83)&gt;=0)),IF(B1189=0,0,IF(C1189=0,B1189/ROUND($B$81*12,0),B1189*(C1189/12)/(1-(1+C1189/12)^(-ROUND($B$81*12,0))))),IF(AND(NOT(AND(789&gt;$B$173,$B$78="Refinance",ISNUMBER($B$80),$B$80&gt;=0,$B$80&lt;=1,ROUND($B$81*12,0)&gt;=1,$B$81&lt;=100,SUM($B$82)&gt;=0,SUM($B$82)&lt;=1,SUM($B$83)&gt;=0)),OR(789=1,789=$B$174+1,AND($B$175&gt;0,789=$B$175+1))),IF(AND($B$170=1,$B$66&gt;0,OR($B$175=0,789&lt;=$B$175)),$B$66,IF($B$172-MAX(789-1,$B$174)&gt;0,IF(B1189=0,0,IF(C1189=0,B1189/($B$172-MAX(789-1,$B$174)),B1189*(C1189/12)/(1-(1+C1189/12)^(-($B$172-MAX(789-1,$B$174)))))),"")),D1188))))),IF(IF(AND(789&lt;=$B$174,789&lt;=$B$173),B1189*C1189/12,IF(AND(789=$B$173+1,AND(789&gt;$B$173,$B$78="Refinance",ISNUMBER($B$80),$B$80&gt;=0,$B$80&lt;=1,ROUND($B$81*12,0)&gt;=1,$B$81&lt;=100,SUM($B$82)&gt;=0,SUM($B$82)&lt;=1,SUM($B$83)&gt;=0)),IF(B1189=0,0,IF(C1189=0,B1189/ROUND($B$81*12,0),B1189*(C1189/12)/(1-(1+C1189/12)^(-ROUND($B$81*12,0))))),IF(AND(NOT(AND(789&gt;$B$173,$B$78="Refinance",ISNUMBER($B$80),$B$80&gt;=0,$B$80&lt;=1,ROUND($B$81*12,0)&gt;=1,$B$81&lt;=100,SUM($B$82)&gt;=0,SUM($B$82)&lt;=1,SUM($B$83)&gt;=0)),OR(789=1,789=$B$174+1,AND($B$175&gt;0,789=$B$175+1))),IF(AND($B$170=1,$B$66&gt;0,OR($B$175=0,789&lt;=$B$175)),$B$66,IF($B$172-MAX(789-1,$B$174)&gt;0,IF(B1189=0,0,IF(C1189=0,B1189/($B$172-MAX(789-1,$B$174)),B1189*(C1189/12)/(1-(1+C1189/12)^(-($B$172-MAX(789-1,$B$174)))))),"")),D1188)))+0.0000001&gt;=B1189*C1189/12,MIN(B1189*(1+C1189/12),IF(AND(789&lt;=$B$174,789&lt;=$B$173),B1189*C1189/12,IF(AND(789=$B$173+1,AND(789&gt;$B$173,$B$78="Refinance",ISNUMBER($B$80),$B$80&gt;=0,$B$80&lt;=1,ROUND($B$81*12,0)&gt;=1,$B$81&lt;=100,SUM($B$82)&gt;=0,SUM($B$82)&lt;=1,SUM($B$83)&gt;=0)),IF(B1189=0,0,IF(C1189=0,B1189/ROUND($B$81*12,0),B1189*(C1189/12)/(1-(1+C1189/12)^(-ROUND($B$81*12,0))))),IF(AND(NOT(AND(789&gt;$B$173,$B$78="Refinance",ISNUMBER($B$80),$B$80&gt;=0,$B$80&lt;=1,ROUND($B$81*12,0)&gt;=1,$B$81&lt;=100,SUM($B$82)&gt;=0,SUM($B$82)&lt;=1,SUM($B$83)&gt;=0)),OR(789=1,789=$B$174+1,AND($B$175&gt;0,789=$B$175+1))),IF(AND($B$170=1,$B$66&gt;0,OR($B$175=0,789&lt;=$B$175)),$B$66,IF($B$172-MAX(789-1,$B$174)&gt;0,IF(B1189=0,0,IF(C1189=0,B1189/($B$172-MAX(789-1,$B$174)),B1189*(C1189/12)/(1-(1+C1189/12)^(-($B$172-MAX(789-1,$B$174)))))),"")),D1188)))),""),""))</x:f>
        <x:v>0</x:v>
      </x:c>
      <x:c r="E1189" s="440" t="n">
        <x:f>IF(AND(789=$B$173,ISNUMBER(D1189)),IF(MAX(0,B1189*(1+C1189/12)-D1189)&lt;MAX(0.0000001,$E$17*0.00000000001),0,MAX(0,B1189*(1+C1189/12)-D1189)),0)</x:f>
        <x:v>0</x:v>
      </x:c>
      <x:c r="F1189" s="440" t="n">
        <x:f>IF($B$78="Cash payoff",E1189,0)</x:f>
        <x:v>0</x:v>
      </x:c>
      <x:c r="G1189" s="440" t="n">
        <x:f>IF(AND(E1189&gt;0,AND($B$78="Refinance",ISNUMBER($B$80),$B$80&gt;=0,$B$80&lt;=1,ROUND($B$81*12,0)&gt;=1,$B$81&lt;=100,SUM($B$82)&gt;=0,SUM($B$82)&lt;=1,SUM($B$83)&gt;=0)),E1189*SUM($B$82)+SUM($B$83),0)</x:f>
        <x:v>0</x:v>
      </x:c>
      <x:c r="H1189" s="440" t="n">
        <x:f>IF(ISNUMBER(D1189),IF(MAX(0,B1189*(1+C1189/12)-D1189-F1189)&lt;MAX(0.0000001,$E$17*0.00000000001),0,MAX(0,B1189*(1+C1189/12)-D1189-F1189)),IF(AND($B$171=1,I1188=1),B1189,""))</x:f>
        <x:v>0</x:v>
      </x:c>
      <x:c r="I1189" s="444" t="n">
        <x:f>IF(OR(I1188=1,AND(E1189&gt;0,$B$78&lt;&gt;"Cash payoff",NOT(AND($B$78="Refinance",ISNUMBER($B$80),$B$80&gt;=0,$B$80&lt;=1,ROUND($B$81*12,0)&gt;=1,$B$81&lt;=100,SUM($B$82)&gt;=0,SUM($B$82)&lt;=1,SUM($B$83)&gt;=0))),AND(ISNUMBER(B1189),B1189&gt;0,$B$171=1,NOT(ISNUMBER(D1189)))),1,0)</x:f>
        <x:v>0</x:v>
      </x:c>
      <x:c r="J1189" s="440" t="n">
        <x:f>IF(ISNUMBER(L1188),L1188,"")</x:f>
        <x:v>0</x:v>
      </x:c>
      <x:c r="K1189" s="440" t="n">
        <x:f>IF(AND(ISNUMBER(J1189),J1189=0),0,IF(AND($B$176=1,ISNUMBER(J1189)),MIN(J1189*(1+$B$87/12),IF($B$86=0,0,IF($B$87=0,$B$86/ROUND($B$88*12,0),$B$86*($B$87/12)/(1-(1+$B$87/12)^(-ROUND($B$88*12,0)))))),""))</x:f>
        <x:v>0</x:v>
      </x:c>
      <x:c r="L1189" s="440" t="n">
        <x:f>IF(ISNUMBER(K1189),IF(MAX(0,J1189*(1+SUM($B$87)/12)-K1189)&lt;MAX(0.0000001,$B$86*0.00000000001),0,MAX(0,J1189*(1+SUM($B$87)/12)-K1189)),"")</x:f>
        <x:v>0</x:v>
      </x:c>
      <x:c r="M1189" s="440" t="n">
        <x:f>IF(AND(ISNUMBER(D1189),ISNUMBER(K1189)),D1189+K1189,"")</x:f>
        <x:v>0</x:v>
      </x:c>
      <x:c r="N1189" s="440" t="n">
        <x:f>IF(AND(ISNUMBER(H1189),ISNUMBER(L1189)),H1189+L1189,"")</x:f>
        <x:v>0</x:v>
      </x:c>
    </x:row>
    <x:row r="1190" ht="22" customHeight="1">
      <x:c r="A1190" s="254" t="n">
        <x:f>790</x:f>
        <x:v>790</x:v>
      </x:c>
      <x:c r="B1190" s="440" t="n">
        <x:f>IF(ISNUMBER(H1189),H1189,"")</x:f>
        <x:v>0</x:v>
      </x:c>
      <x:c r="C1190" s="442" t="n">
        <x:f>IF(ISNUMBER(B1190),IF(AND(790&gt;$B$173,$B$78="Refinance",ISNUMBER($B$80),$B$80&gt;=0,$B$80&lt;=1,ROUND($B$81*12,0)&gt;=1,$B$81&lt;=100,SUM($B$82)&gt;=0,SUM($B$82)&lt;=1,SUM($B$83)&gt;=0),$B$80,IF(AND($B$175&gt;0,790&gt;$B$175,ISNUMBER($B$75)),$B$75,$B$61)),"")</x:f>
        <x:v>0.0625</x:v>
      </x:c>
      <x:c r="D1190" s="440" t="n">
        <x:f>IF(AND(ISNUMBER(B1190),B1190=0),0,IF(AND($B$171=1,I1189=0,ISNUMBER(C1190),ISNUMBER(IF(AND(790&lt;=$B$174,790&lt;=$B$173),B1190*C1190/12,IF(AND(790=$B$173+1,AND(790&gt;$B$173,$B$78="Refinance",ISNUMBER($B$80),$B$80&gt;=0,$B$80&lt;=1,ROUND($B$81*12,0)&gt;=1,$B$81&lt;=100,SUM($B$82)&gt;=0,SUM($B$82)&lt;=1,SUM($B$83)&gt;=0)),IF(B1190=0,0,IF(C1190=0,B1190/ROUND($B$81*12,0),B1190*(C1190/12)/(1-(1+C1190/12)^(-ROUND($B$81*12,0))))),IF(AND(NOT(AND(790&gt;$B$173,$B$78="Refinance",ISNUMBER($B$80),$B$80&gt;=0,$B$80&lt;=1,ROUND($B$81*12,0)&gt;=1,$B$81&lt;=100,SUM($B$82)&gt;=0,SUM($B$82)&lt;=1,SUM($B$83)&gt;=0)),OR(790=1,790=$B$174+1,AND($B$175&gt;0,790=$B$175+1))),IF(AND($B$170=1,$B$66&gt;0,OR($B$175=0,790&lt;=$B$175)),$B$66,IF($B$172-MAX(790-1,$B$174)&gt;0,IF(B1190=0,0,IF(C1190=0,B1190/($B$172-MAX(790-1,$B$174)),B1190*(C1190/12)/(1-(1+C1190/12)^(-($B$172-MAX(790-1,$B$174)))))),"")),D1189))))),IF(IF(AND(790&lt;=$B$174,790&lt;=$B$173),B1190*C1190/12,IF(AND(790=$B$173+1,AND(790&gt;$B$173,$B$78="Refinance",ISNUMBER($B$80),$B$80&gt;=0,$B$80&lt;=1,ROUND($B$81*12,0)&gt;=1,$B$81&lt;=100,SUM($B$82)&gt;=0,SUM($B$82)&lt;=1,SUM($B$83)&gt;=0)),IF(B1190=0,0,IF(C1190=0,B1190/ROUND($B$81*12,0),B1190*(C1190/12)/(1-(1+C1190/12)^(-ROUND($B$81*12,0))))),IF(AND(NOT(AND(790&gt;$B$173,$B$78="Refinance",ISNUMBER($B$80),$B$80&gt;=0,$B$80&lt;=1,ROUND($B$81*12,0)&gt;=1,$B$81&lt;=100,SUM($B$82)&gt;=0,SUM($B$82)&lt;=1,SUM($B$83)&gt;=0)),OR(790=1,790=$B$174+1,AND($B$175&gt;0,790=$B$175+1))),IF(AND($B$170=1,$B$66&gt;0,OR($B$175=0,790&lt;=$B$175)),$B$66,IF($B$172-MAX(790-1,$B$174)&gt;0,IF(B1190=0,0,IF(C1190=0,B1190/($B$172-MAX(790-1,$B$174)),B1190*(C1190/12)/(1-(1+C1190/12)^(-($B$172-MAX(790-1,$B$174)))))),"")),D1189)))+0.0000001&gt;=B1190*C1190/12,MIN(B1190*(1+C1190/12),IF(AND(790&lt;=$B$174,790&lt;=$B$173),B1190*C1190/12,IF(AND(790=$B$173+1,AND(790&gt;$B$173,$B$78="Refinance",ISNUMBER($B$80),$B$80&gt;=0,$B$80&lt;=1,ROUND($B$81*12,0)&gt;=1,$B$81&lt;=100,SUM($B$82)&gt;=0,SUM($B$82)&lt;=1,SUM($B$83)&gt;=0)),IF(B1190=0,0,IF(C1190=0,B1190/ROUND($B$81*12,0),B1190*(C1190/12)/(1-(1+C1190/12)^(-ROUND($B$81*12,0))))),IF(AND(NOT(AND(790&gt;$B$173,$B$78="Refinance",ISNUMBER($B$80),$B$80&gt;=0,$B$80&lt;=1,ROUND($B$81*12,0)&gt;=1,$B$81&lt;=100,SUM($B$82)&gt;=0,SUM($B$82)&lt;=1,SUM($B$83)&gt;=0)),OR(790=1,790=$B$174+1,AND($B$175&gt;0,790=$B$175+1))),IF(AND($B$170=1,$B$66&gt;0,OR($B$175=0,790&lt;=$B$175)),$B$66,IF($B$172-MAX(790-1,$B$174)&gt;0,IF(B1190=0,0,IF(C1190=0,B1190/($B$172-MAX(790-1,$B$174)),B1190*(C1190/12)/(1-(1+C1190/12)^(-($B$172-MAX(790-1,$B$174)))))),"")),D1189)))),""),""))</x:f>
        <x:v>0</x:v>
      </x:c>
      <x:c r="E1190" s="440" t="n">
        <x:f>IF(AND(790=$B$173,ISNUMBER(D1190)),IF(MAX(0,B1190*(1+C1190/12)-D1190)&lt;MAX(0.0000001,$E$17*0.00000000001),0,MAX(0,B1190*(1+C1190/12)-D1190)),0)</x:f>
        <x:v>0</x:v>
      </x:c>
      <x:c r="F1190" s="440" t="n">
        <x:f>IF($B$78="Cash payoff",E1190,0)</x:f>
        <x:v>0</x:v>
      </x:c>
      <x:c r="G1190" s="440" t="n">
        <x:f>IF(AND(E1190&gt;0,AND($B$78="Refinance",ISNUMBER($B$80),$B$80&gt;=0,$B$80&lt;=1,ROUND($B$81*12,0)&gt;=1,$B$81&lt;=100,SUM($B$82)&gt;=0,SUM($B$82)&lt;=1,SUM($B$83)&gt;=0)),E1190*SUM($B$82)+SUM($B$83),0)</x:f>
        <x:v>0</x:v>
      </x:c>
      <x:c r="H1190" s="440" t="n">
        <x:f>IF(ISNUMBER(D1190),IF(MAX(0,B1190*(1+C1190/12)-D1190-F1190)&lt;MAX(0.0000001,$E$17*0.00000000001),0,MAX(0,B1190*(1+C1190/12)-D1190-F1190)),IF(AND($B$171=1,I1189=1),B1190,""))</x:f>
        <x:v>0</x:v>
      </x:c>
      <x:c r="I1190" s="444" t="n">
        <x:f>IF(OR(I1189=1,AND(E1190&gt;0,$B$78&lt;&gt;"Cash payoff",NOT(AND($B$78="Refinance",ISNUMBER($B$80),$B$80&gt;=0,$B$80&lt;=1,ROUND($B$81*12,0)&gt;=1,$B$81&lt;=100,SUM($B$82)&gt;=0,SUM($B$82)&lt;=1,SUM($B$83)&gt;=0))),AND(ISNUMBER(B1190),B1190&gt;0,$B$171=1,NOT(ISNUMBER(D1190)))),1,0)</x:f>
        <x:v>0</x:v>
      </x:c>
      <x:c r="J1190" s="440" t="n">
        <x:f>IF(ISNUMBER(L1189),L1189,"")</x:f>
        <x:v>0</x:v>
      </x:c>
      <x:c r="K1190" s="440" t="n">
        <x:f>IF(AND(ISNUMBER(J1190),J1190=0),0,IF(AND($B$176=1,ISNUMBER(J1190)),MIN(J1190*(1+$B$87/12),IF($B$86=0,0,IF($B$87=0,$B$86/ROUND($B$88*12,0),$B$86*($B$87/12)/(1-(1+$B$87/12)^(-ROUND($B$88*12,0)))))),""))</x:f>
        <x:v>0</x:v>
      </x:c>
      <x:c r="L1190" s="440" t="n">
        <x:f>IF(ISNUMBER(K1190),IF(MAX(0,J1190*(1+SUM($B$87)/12)-K1190)&lt;MAX(0.0000001,$B$86*0.00000000001),0,MAX(0,J1190*(1+SUM($B$87)/12)-K1190)),"")</x:f>
        <x:v>0</x:v>
      </x:c>
      <x:c r="M1190" s="440" t="n">
        <x:f>IF(AND(ISNUMBER(D1190),ISNUMBER(K1190)),D1190+K1190,"")</x:f>
        <x:v>0</x:v>
      </x:c>
      <x:c r="N1190" s="440" t="n">
        <x:f>IF(AND(ISNUMBER(H1190),ISNUMBER(L1190)),H1190+L1190,"")</x:f>
        <x:v>0</x:v>
      </x:c>
    </x:row>
    <x:row r="1191" ht="22" customHeight="1">
      <x:c r="A1191" s="254" t="n">
        <x:f>791</x:f>
        <x:v>791</x:v>
      </x:c>
      <x:c r="B1191" s="440" t="n">
        <x:f>IF(ISNUMBER(H1190),H1190,"")</x:f>
        <x:v>0</x:v>
      </x:c>
      <x:c r="C1191" s="442" t="n">
        <x:f>IF(ISNUMBER(B1191),IF(AND(791&gt;$B$173,$B$78="Refinance",ISNUMBER($B$80),$B$80&gt;=0,$B$80&lt;=1,ROUND($B$81*12,0)&gt;=1,$B$81&lt;=100,SUM($B$82)&gt;=0,SUM($B$82)&lt;=1,SUM($B$83)&gt;=0),$B$80,IF(AND($B$175&gt;0,791&gt;$B$175,ISNUMBER($B$75)),$B$75,$B$61)),"")</x:f>
        <x:v>0.0625</x:v>
      </x:c>
      <x:c r="D1191" s="440" t="n">
        <x:f>IF(AND(ISNUMBER(B1191),B1191=0),0,IF(AND($B$171=1,I1190=0,ISNUMBER(C1191),ISNUMBER(IF(AND(791&lt;=$B$174,791&lt;=$B$173),B1191*C1191/12,IF(AND(791=$B$173+1,AND(791&gt;$B$173,$B$78="Refinance",ISNUMBER($B$80),$B$80&gt;=0,$B$80&lt;=1,ROUND($B$81*12,0)&gt;=1,$B$81&lt;=100,SUM($B$82)&gt;=0,SUM($B$82)&lt;=1,SUM($B$83)&gt;=0)),IF(B1191=0,0,IF(C1191=0,B1191/ROUND($B$81*12,0),B1191*(C1191/12)/(1-(1+C1191/12)^(-ROUND($B$81*12,0))))),IF(AND(NOT(AND(791&gt;$B$173,$B$78="Refinance",ISNUMBER($B$80),$B$80&gt;=0,$B$80&lt;=1,ROUND($B$81*12,0)&gt;=1,$B$81&lt;=100,SUM($B$82)&gt;=0,SUM($B$82)&lt;=1,SUM($B$83)&gt;=0)),OR(791=1,791=$B$174+1,AND($B$175&gt;0,791=$B$175+1))),IF(AND($B$170=1,$B$66&gt;0,OR($B$175=0,791&lt;=$B$175)),$B$66,IF($B$172-MAX(791-1,$B$174)&gt;0,IF(B1191=0,0,IF(C1191=0,B1191/($B$172-MAX(791-1,$B$174)),B1191*(C1191/12)/(1-(1+C1191/12)^(-($B$172-MAX(791-1,$B$174)))))),"")),D1190))))),IF(IF(AND(791&lt;=$B$174,791&lt;=$B$173),B1191*C1191/12,IF(AND(791=$B$173+1,AND(791&gt;$B$173,$B$78="Refinance",ISNUMBER($B$80),$B$80&gt;=0,$B$80&lt;=1,ROUND($B$81*12,0)&gt;=1,$B$81&lt;=100,SUM($B$82)&gt;=0,SUM($B$82)&lt;=1,SUM($B$83)&gt;=0)),IF(B1191=0,0,IF(C1191=0,B1191/ROUND($B$81*12,0),B1191*(C1191/12)/(1-(1+C1191/12)^(-ROUND($B$81*12,0))))),IF(AND(NOT(AND(791&gt;$B$173,$B$78="Refinance",ISNUMBER($B$80),$B$80&gt;=0,$B$80&lt;=1,ROUND($B$81*12,0)&gt;=1,$B$81&lt;=100,SUM($B$82)&gt;=0,SUM($B$82)&lt;=1,SUM($B$83)&gt;=0)),OR(791=1,791=$B$174+1,AND($B$175&gt;0,791=$B$175+1))),IF(AND($B$170=1,$B$66&gt;0,OR($B$175=0,791&lt;=$B$175)),$B$66,IF($B$172-MAX(791-1,$B$174)&gt;0,IF(B1191=0,0,IF(C1191=0,B1191/($B$172-MAX(791-1,$B$174)),B1191*(C1191/12)/(1-(1+C1191/12)^(-($B$172-MAX(791-1,$B$174)))))),"")),D1190)))+0.0000001&gt;=B1191*C1191/12,MIN(B1191*(1+C1191/12),IF(AND(791&lt;=$B$174,791&lt;=$B$173),B1191*C1191/12,IF(AND(791=$B$173+1,AND(791&gt;$B$173,$B$78="Refinance",ISNUMBER($B$80),$B$80&gt;=0,$B$80&lt;=1,ROUND($B$81*12,0)&gt;=1,$B$81&lt;=100,SUM($B$82)&gt;=0,SUM($B$82)&lt;=1,SUM($B$83)&gt;=0)),IF(B1191=0,0,IF(C1191=0,B1191/ROUND($B$81*12,0),B1191*(C1191/12)/(1-(1+C1191/12)^(-ROUND($B$81*12,0))))),IF(AND(NOT(AND(791&gt;$B$173,$B$78="Refinance",ISNUMBER($B$80),$B$80&gt;=0,$B$80&lt;=1,ROUND($B$81*12,0)&gt;=1,$B$81&lt;=100,SUM($B$82)&gt;=0,SUM($B$82)&lt;=1,SUM($B$83)&gt;=0)),OR(791=1,791=$B$174+1,AND($B$175&gt;0,791=$B$175+1))),IF(AND($B$170=1,$B$66&gt;0,OR($B$175=0,791&lt;=$B$175)),$B$66,IF($B$172-MAX(791-1,$B$174)&gt;0,IF(B1191=0,0,IF(C1191=0,B1191/($B$172-MAX(791-1,$B$174)),B1191*(C1191/12)/(1-(1+C1191/12)^(-($B$172-MAX(791-1,$B$174)))))),"")),D1190)))),""),""))</x:f>
        <x:v>0</x:v>
      </x:c>
      <x:c r="E1191" s="440" t="n">
        <x:f>IF(AND(791=$B$173,ISNUMBER(D1191)),IF(MAX(0,B1191*(1+C1191/12)-D1191)&lt;MAX(0.0000001,$E$17*0.00000000001),0,MAX(0,B1191*(1+C1191/12)-D1191)),0)</x:f>
        <x:v>0</x:v>
      </x:c>
      <x:c r="F1191" s="440" t="n">
        <x:f>IF($B$78="Cash payoff",E1191,0)</x:f>
        <x:v>0</x:v>
      </x:c>
      <x:c r="G1191" s="440" t="n">
        <x:f>IF(AND(E1191&gt;0,AND($B$78="Refinance",ISNUMBER($B$80),$B$80&gt;=0,$B$80&lt;=1,ROUND($B$81*12,0)&gt;=1,$B$81&lt;=100,SUM($B$82)&gt;=0,SUM($B$82)&lt;=1,SUM($B$83)&gt;=0)),E1191*SUM($B$82)+SUM($B$83),0)</x:f>
        <x:v>0</x:v>
      </x:c>
      <x:c r="H1191" s="440" t="n">
        <x:f>IF(ISNUMBER(D1191),IF(MAX(0,B1191*(1+C1191/12)-D1191-F1191)&lt;MAX(0.0000001,$E$17*0.00000000001),0,MAX(0,B1191*(1+C1191/12)-D1191-F1191)),IF(AND($B$171=1,I1190=1),B1191,""))</x:f>
        <x:v>0</x:v>
      </x:c>
      <x:c r="I1191" s="444" t="n">
        <x:f>IF(OR(I1190=1,AND(E1191&gt;0,$B$78&lt;&gt;"Cash payoff",NOT(AND($B$78="Refinance",ISNUMBER($B$80),$B$80&gt;=0,$B$80&lt;=1,ROUND($B$81*12,0)&gt;=1,$B$81&lt;=100,SUM($B$82)&gt;=0,SUM($B$82)&lt;=1,SUM($B$83)&gt;=0))),AND(ISNUMBER(B1191),B1191&gt;0,$B$171=1,NOT(ISNUMBER(D1191)))),1,0)</x:f>
        <x:v>0</x:v>
      </x:c>
      <x:c r="J1191" s="440" t="n">
        <x:f>IF(ISNUMBER(L1190),L1190,"")</x:f>
        <x:v>0</x:v>
      </x:c>
      <x:c r="K1191" s="440" t="n">
        <x:f>IF(AND(ISNUMBER(J1191),J1191=0),0,IF(AND($B$176=1,ISNUMBER(J1191)),MIN(J1191*(1+$B$87/12),IF($B$86=0,0,IF($B$87=0,$B$86/ROUND($B$88*12,0),$B$86*($B$87/12)/(1-(1+$B$87/12)^(-ROUND($B$88*12,0)))))),""))</x:f>
        <x:v>0</x:v>
      </x:c>
      <x:c r="L1191" s="440" t="n">
        <x:f>IF(ISNUMBER(K1191),IF(MAX(0,J1191*(1+SUM($B$87)/12)-K1191)&lt;MAX(0.0000001,$B$86*0.00000000001),0,MAX(0,J1191*(1+SUM($B$87)/12)-K1191)),"")</x:f>
        <x:v>0</x:v>
      </x:c>
      <x:c r="M1191" s="440" t="n">
        <x:f>IF(AND(ISNUMBER(D1191),ISNUMBER(K1191)),D1191+K1191,"")</x:f>
        <x:v>0</x:v>
      </x:c>
      <x:c r="N1191" s="440" t="n">
        <x:f>IF(AND(ISNUMBER(H1191),ISNUMBER(L1191)),H1191+L1191,"")</x:f>
        <x:v>0</x:v>
      </x:c>
    </x:row>
    <x:row r="1192" ht="22" customHeight="1">
      <x:c r="A1192" s="254" t="n">
        <x:f>792</x:f>
        <x:v>792</x:v>
      </x:c>
      <x:c r="B1192" s="440" t="n">
        <x:f>IF(ISNUMBER(H1191),H1191,"")</x:f>
        <x:v>0</x:v>
      </x:c>
      <x:c r="C1192" s="442" t="n">
        <x:f>IF(ISNUMBER(B1192),IF(AND(792&gt;$B$173,$B$78="Refinance",ISNUMBER($B$80),$B$80&gt;=0,$B$80&lt;=1,ROUND($B$81*12,0)&gt;=1,$B$81&lt;=100,SUM($B$82)&gt;=0,SUM($B$82)&lt;=1,SUM($B$83)&gt;=0),$B$80,IF(AND($B$175&gt;0,792&gt;$B$175,ISNUMBER($B$75)),$B$75,$B$61)),"")</x:f>
        <x:v>0.0625</x:v>
      </x:c>
      <x:c r="D1192" s="440" t="n">
        <x:f>IF(AND(ISNUMBER(B1192),B1192=0),0,IF(AND($B$171=1,I1191=0,ISNUMBER(C1192),ISNUMBER(IF(AND(792&lt;=$B$174,792&lt;=$B$173),B1192*C1192/12,IF(AND(792=$B$173+1,AND(792&gt;$B$173,$B$78="Refinance",ISNUMBER($B$80),$B$80&gt;=0,$B$80&lt;=1,ROUND($B$81*12,0)&gt;=1,$B$81&lt;=100,SUM($B$82)&gt;=0,SUM($B$82)&lt;=1,SUM($B$83)&gt;=0)),IF(B1192=0,0,IF(C1192=0,B1192/ROUND($B$81*12,0),B1192*(C1192/12)/(1-(1+C1192/12)^(-ROUND($B$81*12,0))))),IF(AND(NOT(AND(792&gt;$B$173,$B$78="Refinance",ISNUMBER($B$80),$B$80&gt;=0,$B$80&lt;=1,ROUND($B$81*12,0)&gt;=1,$B$81&lt;=100,SUM($B$82)&gt;=0,SUM($B$82)&lt;=1,SUM($B$83)&gt;=0)),OR(792=1,792=$B$174+1,AND($B$175&gt;0,792=$B$175+1))),IF(AND($B$170=1,$B$66&gt;0,OR($B$175=0,792&lt;=$B$175)),$B$66,IF($B$172-MAX(792-1,$B$174)&gt;0,IF(B1192=0,0,IF(C1192=0,B1192/($B$172-MAX(792-1,$B$174)),B1192*(C1192/12)/(1-(1+C1192/12)^(-($B$172-MAX(792-1,$B$174)))))),"")),D1191))))),IF(IF(AND(792&lt;=$B$174,792&lt;=$B$173),B1192*C1192/12,IF(AND(792=$B$173+1,AND(792&gt;$B$173,$B$78="Refinance",ISNUMBER($B$80),$B$80&gt;=0,$B$80&lt;=1,ROUND($B$81*12,0)&gt;=1,$B$81&lt;=100,SUM($B$82)&gt;=0,SUM($B$82)&lt;=1,SUM($B$83)&gt;=0)),IF(B1192=0,0,IF(C1192=0,B1192/ROUND($B$81*12,0),B1192*(C1192/12)/(1-(1+C1192/12)^(-ROUND($B$81*12,0))))),IF(AND(NOT(AND(792&gt;$B$173,$B$78="Refinance",ISNUMBER($B$80),$B$80&gt;=0,$B$80&lt;=1,ROUND($B$81*12,0)&gt;=1,$B$81&lt;=100,SUM($B$82)&gt;=0,SUM($B$82)&lt;=1,SUM($B$83)&gt;=0)),OR(792=1,792=$B$174+1,AND($B$175&gt;0,792=$B$175+1))),IF(AND($B$170=1,$B$66&gt;0,OR($B$175=0,792&lt;=$B$175)),$B$66,IF($B$172-MAX(792-1,$B$174)&gt;0,IF(B1192=0,0,IF(C1192=0,B1192/($B$172-MAX(792-1,$B$174)),B1192*(C1192/12)/(1-(1+C1192/12)^(-($B$172-MAX(792-1,$B$174)))))),"")),D1191)))+0.0000001&gt;=B1192*C1192/12,MIN(B1192*(1+C1192/12),IF(AND(792&lt;=$B$174,792&lt;=$B$173),B1192*C1192/12,IF(AND(792=$B$173+1,AND(792&gt;$B$173,$B$78="Refinance",ISNUMBER($B$80),$B$80&gt;=0,$B$80&lt;=1,ROUND($B$81*12,0)&gt;=1,$B$81&lt;=100,SUM($B$82)&gt;=0,SUM($B$82)&lt;=1,SUM($B$83)&gt;=0)),IF(B1192=0,0,IF(C1192=0,B1192/ROUND($B$81*12,0),B1192*(C1192/12)/(1-(1+C1192/12)^(-ROUND($B$81*12,0))))),IF(AND(NOT(AND(792&gt;$B$173,$B$78="Refinance",ISNUMBER($B$80),$B$80&gt;=0,$B$80&lt;=1,ROUND($B$81*12,0)&gt;=1,$B$81&lt;=100,SUM($B$82)&gt;=0,SUM($B$82)&lt;=1,SUM($B$83)&gt;=0)),OR(792=1,792=$B$174+1,AND($B$175&gt;0,792=$B$175+1))),IF(AND($B$170=1,$B$66&gt;0,OR($B$175=0,792&lt;=$B$175)),$B$66,IF($B$172-MAX(792-1,$B$174)&gt;0,IF(B1192=0,0,IF(C1192=0,B1192/($B$172-MAX(792-1,$B$174)),B1192*(C1192/12)/(1-(1+C1192/12)^(-($B$172-MAX(792-1,$B$174)))))),"")),D1191)))),""),""))</x:f>
        <x:v>0</x:v>
      </x:c>
      <x:c r="E1192" s="440" t="n">
        <x:f>IF(AND(792=$B$173,ISNUMBER(D1192)),IF(MAX(0,B1192*(1+C1192/12)-D1192)&lt;MAX(0.0000001,$E$17*0.00000000001),0,MAX(0,B1192*(1+C1192/12)-D1192)),0)</x:f>
        <x:v>0</x:v>
      </x:c>
      <x:c r="F1192" s="440" t="n">
        <x:f>IF($B$78="Cash payoff",E1192,0)</x:f>
        <x:v>0</x:v>
      </x:c>
      <x:c r="G1192" s="440" t="n">
        <x:f>IF(AND(E1192&gt;0,AND($B$78="Refinance",ISNUMBER($B$80),$B$80&gt;=0,$B$80&lt;=1,ROUND($B$81*12,0)&gt;=1,$B$81&lt;=100,SUM($B$82)&gt;=0,SUM($B$82)&lt;=1,SUM($B$83)&gt;=0)),E1192*SUM($B$82)+SUM($B$83),0)</x:f>
        <x:v>0</x:v>
      </x:c>
      <x:c r="H1192" s="440" t="n">
        <x:f>IF(ISNUMBER(D1192),IF(MAX(0,B1192*(1+C1192/12)-D1192-F1192)&lt;MAX(0.0000001,$E$17*0.00000000001),0,MAX(0,B1192*(1+C1192/12)-D1192-F1192)),IF(AND($B$171=1,I1191=1),B1192,""))</x:f>
        <x:v>0</x:v>
      </x:c>
      <x:c r="I1192" s="444" t="n">
        <x:f>IF(OR(I1191=1,AND(E1192&gt;0,$B$78&lt;&gt;"Cash payoff",NOT(AND($B$78="Refinance",ISNUMBER($B$80),$B$80&gt;=0,$B$80&lt;=1,ROUND($B$81*12,0)&gt;=1,$B$81&lt;=100,SUM($B$82)&gt;=0,SUM($B$82)&lt;=1,SUM($B$83)&gt;=0))),AND(ISNUMBER(B1192),B1192&gt;0,$B$171=1,NOT(ISNUMBER(D1192)))),1,0)</x:f>
        <x:v>0</x:v>
      </x:c>
      <x:c r="J1192" s="440" t="n">
        <x:f>IF(ISNUMBER(L1191),L1191,"")</x:f>
        <x:v>0</x:v>
      </x:c>
      <x:c r="K1192" s="440" t="n">
        <x:f>IF(AND(ISNUMBER(J1192),J1192=0),0,IF(AND($B$176=1,ISNUMBER(J1192)),MIN(J1192*(1+$B$87/12),IF($B$86=0,0,IF($B$87=0,$B$86/ROUND($B$88*12,0),$B$86*($B$87/12)/(1-(1+$B$87/12)^(-ROUND($B$88*12,0)))))),""))</x:f>
        <x:v>0</x:v>
      </x:c>
      <x:c r="L1192" s="440" t="n">
        <x:f>IF(ISNUMBER(K1192),IF(MAX(0,J1192*(1+SUM($B$87)/12)-K1192)&lt;MAX(0.0000001,$B$86*0.00000000001),0,MAX(0,J1192*(1+SUM($B$87)/12)-K1192)),"")</x:f>
        <x:v>0</x:v>
      </x:c>
      <x:c r="M1192" s="440" t="n">
        <x:f>IF(AND(ISNUMBER(D1192),ISNUMBER(K1192)),D1192+K1192,"")</x:f>
        <x:v>0</x:v>
      </x:c>
      <x:c r="N1192" s="440" t="n">
        <x:f>IF(AND(ISNUMBER(H1192),ISNUMBER(L1192)),H1192+L1192,"")</x:f>
        <x:v>0</x:v>
      </x:c>
    </x:row>
    <x:row r="1193" ht="22" customHeight="1">
      <x:c r="A1193" s="254" t="n">
        <x:f>793</x:f>
        <x:v>793</x:v>
      </x:c>
      <x:c r="B1193" s="440" t="n">
        <x:f>IF(ISNUMBER(H1192),H1192,"")</x:f>
        <x:v>0</x:v>
      </x:c>
      <x:c r="C1193" s="442" t="n">
        <x:f>IF(ISNUMBER(B1193),IF(AND(793&gt;$B$173,$B$78="Refinance",ISNUMBER($B$80),$B$80&gt;=0,$B$80&lt;=1,ROUND($B$81*12,0)&gt;=1,$B$81&lt;=100,SUM($B$82)&gt;=0,SUM($B$82)&lt;=1,SUM($B$83)&gt;=0),$B$80,IF(AND($B$175&gt;0,793&gt;$B$175,ISNUMBER($B$75)),$B$75,$B$61)),"")</x:f>
        <x:v>0.0625</x:v>
      </x:c>
      <x:c r="D1193" s="440" t="n">
        <x:f>IF(AND(ISNUMBER(B1193),B1193=0),0,IF(AND($B$171=1,I1192=0,ISNUMBER(C1193),ISNUMBER(IF(AND(793&lt;=$B$174,793&lt;=$B$173),B1193*C1193/12,IF(AND(793=$B$173+1,AND(793&gt;$B$173,$B$78="Refinance",ISNUMBER($B$80),$B$80&gt;=0,$B$80&lt;=1,ROUND($B$81*12,0)&gt;=1,$B$81&lt;=100,SUM($B$82)&gt;=0,SUM($B$82)&lt;=1,SUM($B$83)&gt;=0)),IF(B1193=0,0,IF(C1193=0,B1193/ROUND($B$81*12,0),B1193*(C1193/12)/(1-(1+C1193/12)^(-ROUND($B$81*12,0))))),IF(AND(NOT(AND(793&gt;$B$173,$B$78="Refinance",ISNUMBER($B$80),$B$80&gt;=0,$B$80&lt;=1,ROUND($B$81*12,0)&gt;=1,$B$81&lt;=100,SUM($B$82)&gt;=0,SUM($B$82)&lt;=1,SUM($B$83)&gt;=0)),OR(793=1,793=$B$174+1,AND($B$175&gt;0,793=$B$175+1))),IF(AND($B$170=1,$B$66&gt;0,OR($B$175=0,793&lt;=$B$175)),$B$66,IF($B$172-MAX(793-1,$B$174)&gt;0,IF(B1193=0,0,IF(C1193=0,B1193/($B$172-MAX(793-1,$B$174)),B1193*(C1193/12)/(1-(1+C1193/12)^(-($B$172-MAX(793-1,$B$174)))))),"")),D1192))))),IF(IF(AND(793&lt;=$B$174,793&lt;=$B$173),B1193*C1193/12,IF(AND(793=$B$173+1,AND(793&gt;$B$173,$B$78="Refinance",ISNUMBER($B$80),$B$80&gt;=0,$B$80&lt;=1,ROUND($B$81*12,0)&gt;=1,$B$81&lt;=100,SUM($B$82)&gt;=0,SUM($B$82)&lt;=1,SUM($B$83)&gt;=0)),IF(B1193=0,0,IF(C1193=0,B1193/ROUND($B$81*12,0),B1193*(C1193/12)/(1-(1+C1193/12)^(-ROUND($B$81*12,0))))),IF(AND(NOT(AND(793&gt;$B$173,$B$78="Refinance",ISNUMBER($B$80),$B$80&gt;=0,$B$80&lt;=1,ROUND($B$81*12,0)&gt;=1,$B$81&lt;=100,SUM($B$82)&gt;=0,SUM($B$82)&lt;=1,SUM($B$83)&gt;=0)),OR(793=1,793=$B$174+1,AND($B$175&gt;0,793=$B$175+1))),IF(AND($B$170=1,$B$66&gt;0,OR($B$175=0,793&lt;=$B$175)),$B$66,IF($B$172-MAX(793-1,$B$174)&gt;0,IF(B1193=0,0,IF(C1193=0,B1193/($B$172-MAX(793-1,$B$174)),B1193*(C1193/12)/(1-(1+C1193/12)^(-($B$172-MAX(793-1,$B$174)))))),"")),D1192)))+0.0000001&gt;=B1193*C1193/12,MIN(B1193*(1+C1193/12),IF(AND(793&lt;=$B$174,793&lt;=$B$173),B1193*C1193/12,IF(AND(793=$B$173+1,AND(793&gt;$B$173,$B$78="Refinance",ISNUMBER($B$80),$B$80&gt;=0,$B$80&lt;=1,ROUND($B$81*12,0)&gt;=1,$B$81&lt;=100,SUM($B$82)&gt;=0,SUM($B$82)&lt;=1,SUM($B$83)&gt;=0)),IF(B1193=0,0,IF(C1193=0,B1193/ROUND($B$81*12,0),B1193*(C1193/12)/(1-(1+C1193/12)^(-ROUND($B$81*12,0))))),IF(AND(NOT(AND(793&gt;$B$173,$B$78="Refinance",ISNUMBER($B$80),$B$80&gt;=0,$B$80&lt;=1,ROUND($B$81*12,0)&gt;=1,$B$81&lt;=100,SUM($B$82)&gt;=0,SUM($B$82)&lt;=1,SUM($B$83)&gt;=0)),OR(793=1,793=$B$174+1,AND($B$175&gt;0,793=$B$175+1))),IF(AND($B$170=1,$B$66&gt;0,OR($B$175=0,793&lt;=$B$175)),$B$66,IF($B$172-MAX(793-1,$B$174)&gt;0,IF(B1193=0,0,IF(C1193=0,B1193/($B$172-MAX(793-1,$B$174)),B1193*(C1193/12)/(1-(1+C1193/12)^(-($B$172-MAX(793-1,$B$174)))))),"")),D1192)))),""),""))</x:f>
        <x:v>0</x:v>
      </x:c>
      <x:c r="E1193" s="440" t="n">
        <x:f>IF(AND(793=$B$173,ISNUMBER(D1193)),IF(MAX(0,B1193*(1+C1193/12)-D1193)&lt;MAX(0.0000001,$E$17*0.00000000001),0,MAX(0,B1193*(1+C1193/12)-D1193)),0)</x:f>
        <x:v>0</x:v>
      </x:c>
      <x:c r="F1193" s="440" t="n">
        <x:f>IF($B$78="Cash payoff",E1193,0)</x:f>
        <x:v>0</x:v>
      </x:c>
      <x:c r="G1193" s="440" t="n">
        <x:f>IF(AND(E1193&gt;0,AND($B$78="Refinance",ISNUMBER($B$80),$B$80&gt;=0,$B$80&lt;=1,ROUND($B$81*12,0)&gt;=1,$B$81&lt;=100,SUM($B$82)&gt;=0,SUM($B$82)&lt;=1,SUM($B$83)&gt;=0)),E1193*SUM($B$82)+SUM($B$83),0)</x:f>
        <x:v>0</x:v>
      </x:c>
      <x:c r="H1193" s="440" t="n">
        <x:f>IF(ISNUMBER(D1193),IF(MAX(0,B1193*(1+C1193/12)-D1193-F1193)&lt;MAX(0.0000001,$E$17*0.00000000001),0,MAX(0,B1193*(1+C1193/12)-D1193-F1193)),IF(AND($B$171=1,I1192=1),B1193,""))</x:f>
        <x:v>0</x:v>
      </x:c>
      <x:c r="I1193" s="444" t="n">
        <x:f>IF(OR(I1192=1,AND(E1193&gt;0,$B$78&lt;&gt;"Cash payoff",NOT(AND($B$78="Refinance",ISNUMBER($B$80),$B$80&gt;=0,$B$80&lt;=1,ROUND($B$81*12,0)&gt;=1,$B$81&lt;=100,SUM($B$82)&gt;=0,SUM($B$82)&lt;=1,SUM($B$83)&gt;=0))),AND(ISNUMBER(B1193),B1193&gt;0,$B$171=1,NOT(ISNUMBER(D1193)))),1,0)</x:f>
        <x:v>0</x:v>
      </x:c>
      <x:c r="J1193" s="440" t="n">
        <x:f>IF(ISNUMBER(L1192),L1192,"")</x:f>
        <x:v>0</x:v>
      </x:c>
      <x:c r="K1193" s="440" t="n">
        <x:f>IF(AND(ISNUMBER(J1193),J1193=0),0,IF(AND($B$176=1,ISNUMBER(J1193)),MIN(J1193*(1+$B$87/12),IF($B$86=0,0,IF($B$87=0,$B$86/ROUND($B$88*12,0),$B$86*($B$87/12)/(1-(1+$B$87/12)^(-ROUND($B$88*12,0)))))),""))</x:f>
        <x:v>0</x:v>
      </x:c>
      <x:c r="L1193" s="440" t="n">
        <x:f>IF(ISNUMBER(K1193),IF(MAX(0,J1193*(1+SUM($B$87)/12)-K1193)&lt;MAX(0.0000001,$B$86*0.00000000001),0,MAX(0,J1193*(1+SUM($B$87)/12)-K1193)),"")</x:f>
        <x:v>0</x:v>
      </x:c>
      <x:c r="M1193" s="440" t="n">
        <x:f>IF(AND(ISNUMBER(D1193),ISNUMBER(K1193)),D1193+K1193,"")</x:f>
        <x:v>0</x:v>
      </x:c>
      <x:c r="N1193" s="440" t="n">
        <x:f>IF(AND(ISNUMBER(H1193),ISNUMBER(L1193)),H1193+L1193,"")</x:f>
        <x:v>0</x:v>
      </x:c>
    </x:row>
    <x:row r="1194" ht="22" customHeight="1">
      <x:c r="A1194" s="254" t="n">
        <x:f>794</x:f>
        <x:v>794</x:v>
      </x:c>
      <x:c r="B1194" s="440" t="n">
        <x:f>IF(ISNUMBER(H1193),H1193,"")</x:f>
        <x:v>0</x:v>
      </x:c>
      <x:c r="C1194" s="442" t="n">
        <x:f>IF(ISNUMBER(B1194),IF(AND(794&gt;$B$173,$B$78="Refinance",ISNUMBER($B$80),$B$80&gt;=0,$B$80&lt;=1,ROUND($B$81*12,0)&gt;=1,$B$81&lt;=100,SUM($B$82)&gt;=0,SUM($B$82)&lt;=1,SUM($B$83)&gt;=0),$B$80,IF(AND($B$175&gt;0,794&gt;$B$175,ISNUMBER($B$75)),$B$75,$B$61)),"")</x:f>
        <x:v>0.0625</x:v>
      </x:c>
      <x:c r="D1194" s="440" t="n">
        <x:f>IF(AND(ISNUMBER(B1194),B1194=0),0,IF(AND($B$171=1,I1193=0,ISNUMBER(C1194),ISNUMBER(IF(AND(794&lt;=$B$174,794&lt;=$B$173),B1194*C1194/12,IF(AND(794=$B$173+1,AND(794&gt;$B$173,$B$78="Refinance",ISNUMBER($B$80),$B$80&gt;=0,$B$80&lt;=1,ROUND($B$81*12,0)&gt;=1,$B$81&lt;=100,SUM($B$82)&gt;=0,SUM($B$82)&lt;=1,SUM($B$83)&gt;=0)),IF(B1194=0,0,IF(C1194=0,B1194/ROUND($B$81*12,0),B1194*(C1194/12)/(1-(1+C1194/12)^(-ROUND($B$81*12,0))))),IF(AND(NOT(AND(794&gt;$B$173,$B$78="Refinance",ISNUMBER($B$80),$B$80&gt;=0,$B$80&lt;=1,ROUND($B$81*12,0)&gt;=1,$B$81&lt;=100,SUM($B$82)&gt;=0,SUM($B$82)&lt;=1,SUM($B$83)&gt;=0)),OR(794=1,794=$B$174+1,AND($B$175&gt;0,794=$B$175+1))),IF(AND($B$170=1,$B$66&gt;0,OR($B$175=0,794&lt;=$B$175)),$B$66,IF($B$172-MAX(794-1,$B$174)&gt;0,IF(B1194=0,0,IF(C1194=0,B1194/($B$172-MAX(794-1,$B$174)),B1194*(C1194/12)/(1-(1+C1194/12)^(-($B$172-MAX(794-1,$B$174)))))),"")),D1193))))),IF(IF(AND(794&lt;=$B$174,794&lt;=$B$173),B1194*C1194/12,IF(AND(794=$B$173+1,AND(794&gt;$B$173,$B$78="Refinance",ISNUMBER($B$80),$B$80&gt;=0,$B$80&lt;=1,ROUND($B$81*12,0)&gt;=1,$B$81&lt;=100,SUM($B$82)&gt;=0,SUM($B$82)&lt;=1,SUM($B$83)&gt;=0)),IF(B1194=0,0,IF(C1194=0,B1194/ROUND($B$81*12,0),B1194*(C1194/12)/(1-(1+C1194/12)^(-ROUND($B$81*12,0))))),IF(AND(NOT(AND(794&gt;$B$173,$B$78="Refinance",ISNUMBER($B$80),$B$80&gt;=0,$B$80&lt;=1,ROUND($B$81*12,0)&gt;=1,$B$81&lt;=100,SUM($B$82)&gt;=0,SUM($B$82)&lt;=1,SUM($B$83)&gt;=0)),OR(794=1,794=$B$174+1,AND($B$175&gt;0,794=$B$175+1))),IF(AND($B$170=1,$B$66&gt;0,OR($B$175=0,794&lt;=$B$175)),$B$66,IF($B$172-MAX(794-1,$B$174)&gt;0,IF(B1194=0,0,IF(C1194=0,B1194/($B$172-MAX(794-1,$B$174)),B1194*(C1194/12)/(1-(1+C1194/12)^(-($B$172-MAX(794-1,$B$174)))))),"")),D1193)))+0.0000001&gt;=B1194*C1194/12,MIN(B1194*(1+C1194/12),IF(AND(794&lt;=$B$174,794&lt;=$B$173),B1194*C1194/12,IF(AND(794=$B$173+1,AND(794&gt;$B$173,$B$78="Refinance",ISNUMBER($B$80),$B$80&gt;=0,$B$80&lt;=1,ROUND($B$81*12,0)&gt;=1,$B$81&lt;=100,SUM($B$82)&gt;=0,SUM($B$82)&lt;=1,SUM($B$83)&gt;=0)),IF(B1194=0,0,IF(C1194=0,B1194/ROUND($B$81*12,0),B1194*(C1194/12)/(1-(1+C1194/12)^(-ROUND($B$81*12,0))))),IF(AND(NOT(AND(794&gt;$B$173,$B$78="Refinance",ISNUMBER($B$80),$B$80&gt;=0,$B$80&lt;=1,ROUND($B$81*12,0)&gt;=1,$B$81&lt;=100,SUM($B$82)&gt;=0,SUM($B$82)&lt;=1,SUM($B$83)&gt;=0)),OR(794=1,794=$B$174+1,AND($B$175&gt;0,794=$B$175+1))),IF(AND($B$170=1,$B$66&gt;0,OR($B$175=0,794&lt;=$B$175)),$B$66,IF($B$172-MAX(794-1,$B$174)&gt;0,IF(B1194=0,0,IF(C1194=0,B1194/($B$172-MAX(794-1,$B$174)),B1194*(C1194/12)/(1-(1+C1194/12)^(-($B$172-MAX(794-1,$B$174)))))),"")),D1193)))),""),""))</x:f>
        <x:v>0</x:v>
      </x:c>
      <x:c r="E1194" s="440" t="n">
        <x:f>IF(AND(794=$B$173,ISNUMBER(D1194)),IF(MAX(0,B1194*(1+C1194/12)-D1194)&lt;MAX(0.0000001,$E$17*0.00000000001),0,MAX(0,B1194*(1+C1194/12)-D1194)),0)</x:f>
        <x:v>0</x:v>
      </x:c>
      <x:c r="F1194" s="440" t="n">
        <x:f>IF($B$78="Cash payoff",E1194,0)</x:f>
        <x:v>0</x:v>
      </x:c>
      <x:c r="G1194" s="440" t="n">
        <x:f>IF(AND(E1194&gt;0,AND($B$78="Refinance",ISNUMBER($B$80),$B$80&gt;=0,$B$80&lt;=1,ROUND($B$81*12,0)&gt;=1,$B$81&lt;=100,SUM($B$82)&gt;=0,SUM($B$82)&lt;=1,SUM($B$83)&gt;=0)),E1194*SUM($B$82)+SUM($B$83),0)</x:f>
        <x:v>0</x:v>
      </x:c>
      <x:c r="H1194" s="440" t="n">
        <x:f>IF(ISNUMBER(D1194),IF(MAX(0,B1194*(1+C1194/12)-D1194-F1194)&lt;MAX(0.0000001,$E$17*0.00000000001),0,MAX(0,B1194*(1+C1194/12)-D1194-F1194)),IF(AND($B$171=1,I1193=1),B1194,""))</x:f>
        <x:v>0</x:v>
      </x:c>
      <x:c r="I1194" s="444" t="n">
        <x:f>IF(OR(I1193=1,AND(E1194&gt;0,$B$78&lt;&gt;"Cash payoff",NOT(AND($B$78="Refinance",ISNUMBER($B$80),$B$80&gt;=0,$B$80&lt;=1,ROUND($B$81*12,0)&gt;=1,$B$81&lt;=100,SUM($B$82)&gt;=0,SUM($B$82)&lt;=1,SUM($B$83)&gt;=0))),AND(ISNUMBER(B1194),B1194&gt;0,$B$171=1,NOT(ISNUMBER(D1194)))),1,0)</x:f>
        <x:v>0</x:v>
      </x:c>
      <x:c r="J1194" s="440" t="n">
        <x:f>IF(ISNUMBER(L1193),L1193,"")</x:f>
        <x:v>0</x:v>
      </x:c>
      <x:c r="K1194" s="440" t="n">
        <x:f>IF(AND(ISNUMBER(J1194),J1194=0),0,IF(AND($B$176=1,ISNUMBER(J1194)),MIN(J1194*(1+$B$87/12),IF($B$86=0,0,IF($B$87=0,$B$86/ROUND($B$88*12,0),$B$86*($B$87/12)/(1-(1+$B$87/12)^(-ROUND($B$88*12,0)))))),""))</x:f>
        <x:v>0</x:v>
      </x:c>
      <x:c r="L1194" s="440" t="n">
        <x:f>IF(ISNUMBER(K1194),IF(MAX(0,J1194*(1+SUM($B$87)/12)-K1194)&lt;MAX(0.0000001,$B$86*0.00000000001),0,MAX(0,J1194*(1+SUM($B$87)/12)-K1194)),"")</x:f>
        <x:v>0</x:v>
      </x:c>
      <x:c r="M1194" s="440" t="n">
        <x:f>IF(AND(ISNUMBER(D1194),ISNUMBER(K1194)),D1194+K1194,"")</x:f>
        <x:v>0</x:v>
      </x:c>
      <x:c r="N1194" s="440" t="n">
        <x:f>IF(AND(ISNUMBER(H1194),ISNUMBER(L1194)),H1194+L1194,"")</x:f>
        <x:v>0</x:v>
      </x:c>
    </x:row>
    <x:row r="1195" ht="22" customHeight="1">
      <x:c r="A1195" s="254" t="n">
        <x:f>795</x:f>
        <x:v>795</x:v>
      </x:c>
      <x:c r="B1195" s="440" t="n">
        <x:f>IF(ISNUMBER(H1194),H1194,"")</x:f>
        <x:v>0</x:v>
      </x:c>
      <x:c r="C1195" s="442" t="n">
        <x:f>IF(ISNUMBER(B1195),IF(AND(795&gt;$B$173,$B$78="Refinance",ISNUMBER($B$80),$B$80&gt;=0,$B$80&lt;=1,ROUND($B$81*12,0)&gt;=1,$B$81&lt;=100,SUM($B$82)&gt;=0,SUM($B$82)&lt;=1,SUM($B$83)&gt;=0),$B$80,IF(AND($B$175&gt;0,795&gt;$B$175,ISNUMBER($B$75)),$B$75,$B$61)),"")</x:f>
        <x:v>0.0625</x:v>
      </x:c>
      <x:c r="D1195" s="440" t="n">
        <x:f>IF(AND(ISNUMBER(B1195),B1195=0),0,IF(AND($B$171=1,I1194=0,ISNUMBER(C1195),ISNUMBER(IF(AND(795&lt;=$B$174,795&lt;=$B$173),B1195*C1195/12,IF(AND(795=$B$173+1,AND(795&gt;$B$173,$B$78="Refinance",ISNUMBER($B$80),$B$80&gt;=0,$B$80&lt;=1,ROUND($B$81*12,0)&gt;=1,$B$81&lt;=100,SUM($B$82)&gt;=0,SUM($B$82)&lt;=1,SUM($B$83)&gt;=0)),IF(B1195=0,0,IF(C1195=0,B1195/ROUND($B$81*12,0),B1195*(C1195/12)/(1-(1+C1195/12)^(-ROUND($B$81*12,0))))),IF(AND(NOT(AND(795&gt;$B$173,$B$78="Refinance",ISNUMBER($B$80),$B$80&gt;=0,$B$80&lt;=1,ROUND($B$81*12,0)&gt;=1,$B$81&lt;=100,SUM($B$82)&gt;=0,SUM($B$82)&lt;=1,SUM($B$83)&gt;=0)),OR(795=1,795=$B$174+1,AND($B$175&gt;0,795=$B$175+1))),IF(AND($B$170=1,$B$66&gt;0,OR($B$175=0,795&lt;=$B$175)),$B$66,IF($B$172-MAX(795-1,$B$174)&gt;0,IF(B1195=0,0,IF(C1195=0,B1195/($B$172-MAX(795-1,$B$174)),B1195*(C1195/12)/(1-(1+C1195/12)^(-($B$172-MAX(795-1,$B$174)))))),"")),D1194))))),IF(IF(AND(795&lt;=$B$174,795&lt;=$B$173),B1195*C1195/12,IF(AND(795=$B$173+1,AND(795&gt;$B$173,$B$78="Refinance",ISNUMBER($B$80),$B$80&gt;=0,$B$80&lt;=1,ROUND($B$81*12,0)&gt;=1,$B$81&lt;=100,SUM($B$82)&gt;=0,SUM($B$82)&lt;=1,SUM($B$83)&gt;=0)),IF(B1195=0,0,IF(C1195=0,B1195/ROUND($B$81*12,0),B1195*(C1195/12)/(1-(1+C1195/12)^(-ROUND($B$81*12,0))))),IF(AND(NOT(AND(795&gt;$B$173,$B$78="Refinance",ISNUMBER($B$80),$B$80&gt;=0,$B$80&lt;=1,ROUND($B$81*12,0)&gt;=1,$B$81&lt;=100,SUM($B$82)&gt;=0,SUM($B$82)&lt;=1,SUM($B$83)&gt;=0)),OR(795=1,795=$B$174+1,AND($B$175&gt;0,795=$B$175+1))),IF(AND($B$170=1,$B$66&gt;0,OR($B$175=0,795&lt;=$B$175)),$B$66,IF($B$172-MAX(795-1,$B$174)&gt;0,IF(B1195=0,0,IF(C1195=0,B1195/($B$172-MAX(795-1,$B$174)),B1195*(C1195/12)/(1-(1+C1195/12)^(-($B$172-MAX(795-1,$B$174)))))),"")),D1194)))+0.0000001&gt;=B1195*C1195/12,MIN(B1195*(1+C1195/12),IF(AND(795&lt;=$B$174,795&lt;=$B$173),B1195*C1195/12,IF(AND(795=$B$173+1,AND(795&gt;$B$173,$B$78="Refinance",ISNUMBER($B$80),$B$80&gt;=0,$B$80&lt;=1,ROUND($B$81*12,0)&gt;=1,$B$81&lt;=100,SUM($B$82)&gt;=0,SUM($B$82)&lt;=1,SUM($B$83)&gt;=0)),IF(B1195=0,0,IF(C1195=0,B1195/ROUND($B$81*12,0),B1195*(C1195/12)/(1-(1+C1195/12)^(-ROUND($B$81*12,0))))),IF(AND(NOT(AND(795&gt;$B$173,$B$78="Refinance",ISNUMBER($B$80),$B$80&gt;=0,$B$80&lt;=1,ROUND($B$81*12,0)&gt;=1,$B$81&lt;=100,SUM($B$82)&gt;=0,SUM($B$82)&lt;=1,SUM($B$83)&gt;=0)),OR(795=1,795=$B$174+1,AND($B$175&gt;0,795=$B$175+1))),IF(AND($B$170=1,$B$66&gt;0,OR($B$175=0,795&lt;=$B$175)),$B$66,IF($B$172-MAX(795-1,$B$174)&gt;0,IF(B1195=0,0,IF(C1195=0,B1195/($B$172-MAX(795-1,$B$174)),B1195*(C1195/12)/(1-(1+C1195/12)^(-($B$172-MAX(795-1,$B$174)))))),"")),D1194)))),""),""))</x:f>
        <x:v>0</x:v>
      </x:c>
      <x:c r="E1195" s="440" t="n">
        <x:f>IF(AND(795=$B$173,ISNUMBER(D1195)),IF(MAX(0,B1195*(1+C1195/12)-D1195)&lt;MAX(0.0000001,$E$17*0.00000000001),0,MAX(0,B1195*(1+C1195/12)-D1195)),0)</x:f>
        <x:v>0</x:v>
      </x:c>
      <x:c r="F1195" s="440" t="n">
        <x:f>IF($B$78="Cash payoff",E1195,0)</x:f>
        <x:v>0</x:v>
      </x:c>
      <x:c r="G1195" s="440" t="n">
        <x:f>IF(AND(E1195&gt;0,AND($B$78="Refinance",ISNUMBER($B$80),$B$80&gt;=0,$B$80&lt;=1,ROUND($B$81*12,0)&gt;=1,$B$81&lt;=100,SUM($B$82)&gt;=0,SUM($B$82)&lt;=1,SUM($B$83)&gt;=0)),E1195*SUM($B$82)+SUM($B$83),0)</x:f>
        <x:v>0</x:v>
      </x:c>
      <x:c r="H1195" s="440" t="n">
        <x:f>IF(ISNUMBER(D1195),IF(MAX(0,B1195*(1+C1195/12)-D1195-F1195)&lt;MAX(0.0000001,$E$17*0.00000000001),0,MAX(0,B1195*(1+C1195/12)-D1195-F1195)),IF(AND($B$171=1,I1194=1),B1195,""))</x:f>
        <x:v>0</x:v>
      </x:c>
      <x:c r="I1195" s="444" t="n">
        <x:f>IF(OR(I1194=1,AND(E1195&gt;0,$B$78&lt;&gt;"Cash payoff",NOT(AND($B$78="Refinance",ISNUMBER($B$80),$B$80&gt;=0,$B$80&lt;=1,ROUND($B$81*12,0)&gt;=1,$B$81&lt;=100,SUM($B$82)&gt;=0,SUM($B$82)&lt;=1,SUM($B$83)&gt;=0))),AND(ISNUMBER(B1195),B1195&gt;0,$B$171=1,NOT(ISNUMBER(D1195)))),1,0)</x:f>
        <x:v>0</x:v>
      </x:c>
      <x:c r="J1195" s="440" t="n">
        <x:f>IF(ISNUMBER(L1194),L1194,"")</x:f>
        <x:v>0</x:v>
      </x:c>
      <x:c r="K1195" s="440" t="n">
        <x:f>IF(AND(ISNUMBER(J1195),J1195=0),0,IF(AND($B$176=1,ISNUMBER(J1195)),MIN(J1195*(1+$B$87/12),IF($B$86=0,0,IF($B$87=0,$B$86/ROUND($B$88*12,0),$B$86*($B$87/12)/(1-(1+$B$87/12)^(-ROUND($B$88*12,0)))))),""))</x:f>
        <x:v>0</x:v>
      </x:c>
      <x:c r="L1195" s="440" t="n">
        <x:f>IF(ISNUMBER(K1195),IF(MAX(0,J1195*(1+SUM($B$87)/12)-K1195)&lt;MAX(0.0000001,$B$86*0.00000000001),0,MAX(0,J1195*(1+SUM($B$87)/12)-K1195)),"")</x:f>
        <x:v>0</x:v>
      </x:c>
      <x:c r="M1195" s="440" t="n">
        <x:f>IF(AND(ISNUMBER(D1195),ISNUMBER(K1195)),D1195+K1195,"")</x:f>
        <x:v>0</x:v>
      </x:c>
      <x:c r="N1195" s="440" t="n">
        <x:f>IF(AND(ISNUMBER(H1195),ISNUMBER(L1195)),H1195+L1195,"")</x:f>
        <x:v>0</x:v>
      </x:c>
    </x:row>
    <x:row r="1196" ht="22" customHeight="1">
      <x:c r="A1196" s="254" t="n">
        <x:f>796</x:f>
        <x:v>796</x:v>
      </x:c>
      <x:c r="B1196" s="440" t="n">
        <x:f>IF(ISNUMBER(H1195),H1195,"")</x:f>
        <x:v>0</x:v>
      </x:c>
      <x:c r="C1196" s="442" t="n">
        <x:f>IF(ISNUMBER(B1196),IF(AND(796&gt;$B$173,$B$78="Refinance",ISNUMBER($B$80),$B$80&gt;=0,$B$80&lt;=1,ROUND($B$81*12,0)&gt;=1,$B$81&lt;=100,SUM($B$82)&gt;=0,SUM($B$82)&lt;=1,SUM($B$83)&gt;=0),$B$80,IF(AND($B$175&gt;0,796&gt;$B$175,ISNUMBER($B$75)),$B$75,$B$61)),"")</x:f>
        <x:v>0.0625</x:v>
      </x:c>
      <x:c r="D1196" s="440" t="n">
        <x:f>IF(AND(ISNUMBER(B1196),B1196=0),0,IF(AND($B$171=1,I1195=0,ISNUMBER(C1196),ISNUMBER(IF(AND(796&lt;=$B$174,796&lt;=$B$173),B1196*C1196/12,IF(AND(796=$B$173+1,AND(796&gt;$B$173,$B$78="Refinance",ISNUMBER($B$80),$B$80&gt;=0,$B$80&lt;=1,ROUND($B$81*12,0)&gt;=1,$B$81&lt;=100,SUM($B$82)&gt;=0,SUM($B$82)&lt;=1,SUM($B$83)&gt;=0)),IF(B1196=0,0,IF(C1196=0,B1196/ROUND($B$81*12,0),B1196*(C1196/12)/(1-(1+C1196/12)^(-ROUND($B$81*12,0))))),IF(AND(NOT(AND(796&gt;$B$173,$B$78="Refinance",ISNUMBER($B$80),$B$80&gt;=0,$B$80&lt;=1,ROUND($B$81*12,0)&gt;=1,$B$81&lt;=100,SUM($B$82)&gt;=0,SUM($B$82)&lt;=1,SUM($B$83)&gt;=0)),OR(796=1,796=$B$174+1,AND($B$175&gt;0,796=$B$175+1))),IF(AND($B$170=1,$B$66&gt;0,OR($B$175=0,796&lt;=$B$175)),$B$66,IF($B$172-MAX(796-1,$B$174)&gt;0,IF(B1196=0,0,IF(C1196=0,B1196/($B$172-MAX(796-1,$B$174)),B1196*(C1196/12)/(1-(1+C1196/12)^(-($B$172-MAX(796-1,$B$174)))))),"")),D1195))))),IF(IF(AND(796&lt;=$B$174,796&lt;=$B$173),B1196*C1196/12,IF(AND(796=$B$173+1,AND(796&gt;$B$173,$B$78="Refinance",ISNUMBER($B$80),$B$80&gt;=0,$B$80&lt;=1,ROUND($B$81*12,0)&gt;=1,$B$81&lt;=100,SUM($B$82)&gt;=0,SUM($B$82)&lt;=1,SUM($B$83)&gt;=0)),IF(B1196=0,0,IF(C1196=0,B1196/ROUND($B$81*12,0),B1196*(C1196/12)/(1-(1+C1196/12)^(-ROUND($B$81*12,0))))),IF(AND(NOT(AND(796&gt;$B$173,$B$78="Refinance",ISNUMBER($B$80),$B$80&gt;=0,$B$80&lt;=1,ROUND($B$81*12,0)&gt;=1,$B$81&lt;=100,SUM($B$82)&gt;=0,SUM($B$82)&lt;=1,SUM($B$83)&gt;=0)),OR(796=1,796=$B$174+1,AND($B$175&gt;0,796=$B$175+1))),IF(AND($B$170=1,$B$66&gt;0,OR($B$175=0,796&lt;=$B$175)),$B$66,IF($B$172-MAX(796-1,$B$174)&gt;0,IF(B1196=0,0,IF(C1196=0,B1196/($B$172-MAX(796-1,$B$174)),B1196*(C1196/12)/(1-(1+C1196/12)^(-($B$172-MAX(796-1,$B$174)))))),"")),D1195)))+0.0000001&gt;=B1196*C1196/12,MIN(B1196*(1+C1196/12),IF(AND(796&lt;=$B$174,796&lt;=$B$173),B1196*C1196/12,IF(AND(796=$B$173+1,AND(796&gt;$B$173,$B$78="Refinance",ISNUMBER($B$80),$B$80&gt;=0,$B$80&lt;=1,ROUND($B$81*12,0)&gt;=1,$B$81&lt;=100,SUM($B$82)&gt;=0,SUM($B$82)&lt;=1,SUM($B$83)&gt;=0)),IF(B1196=0,0,IF(C1196=0,B1196/ROUND($B$81*12,0),B1196*(C1196/12)/(1-(1+C1196/12)^(-ROUND($B$81*12,0))))),IF(AND(NOT(AND(796&gt;$B$173,$B$78="Refinance",ISNUMBER($B$80),$B$80&gt;=0,$B$80&lt;=1,ROUND($B$81*12,0)&gt;=1,$B$81&lt;=100,SUM($B$82)&gt;=0,SUM($B$82)&lt;=1,SUM($B$83)&gt;=0)),OR(796=1,796=$B$174+1,AND($B$175&gt;0,796=$B$175+1))),IF(AND($B$170=1,$B$66&gt;0,OR($B$175=0,796&lt;=$B$175)),$B$66,IF($B$172-MAX(796-1,$B$174)&gt;0,IF(B1196=0,0,IF(C1196=0,B1196/($B$172-MAX(796-1,$B$174)),B1196*(C1196/12)/(1-(1+C1196/12)^(-($B$172-MAX(796-1,$B$174)))))),"")),D1195)))),""),""))</x:f>
        <x:v>0</x:v>
      </x:c>
      <x:c r="E1196" s="440" t="n">
        <x:f>IF(AND(796=$B$173,ISNUMBER(D1196)),IF(MAX(0,B1196*(1+C1196/12)-D1196)&lt;MAX(0.0000001,$E$17*0.00000000001),0,MAX(0,B1196*(1+C1196/12)-D1196)),0)</x:f>
        <x:v>0</x:v>
      </x:c>
      <x:c r="F1196" s="440" t="n">
        <x:f>IF($B$78="Cash payoff",E1196,0)</x:f>
        <x:v>0</x:v>
      </x:c>
      <x:c r="G1196" s="440" t="n">
        <x:f>IF(AND(E1196&gt;0,AND($B$78="Refinance",ISNUMBER($B$80),$B$80&gt;=0,$B$80&lt;=1,ROUND($B$81*12,0)&gt;=1,$B$81&lt;=100,SUM($B$82)&gt;=0,SUM($B$82)&lt;=1,SUM($B$83)&gt;=0)),E1196*SUM($B$82)+SUM($B$83),0)</x:f>
        <x:v>0</x:v>
      </x:c>
      <x:c r="H1196" s="440" t="n">
        <x:f>IF(ISNUMBER(D1196),IF(MAX(0,B1196*(1+C1196/12)-D1196-F1196)&lt;MAX(0.0000001,$E$17*0.00000000001),0,MAX(0,B1196*(1+C1196/12)-D1196-F1196)),IF(AND($B$171=1,I1195=1),B1196,""))</x:f>
        <x:v>0</x:v>
      </x:c>
      <x:c r="I1196" s="444" t="n">
        <x:f>IF(OR(I1195=1,AND(E1196&gt;0,$B$78&lt;&gt;"Cash payoff",NOT(AND($B$78="Refinance",ISNUMBER($B$80),$B$80&gt;=0,$B$80&lt;=1,ROUND($B$81*12,0)&gt;=1,$B$81&lt;=100,SUM($B$82)&gt;=0,SUM($B$82)&lt;=1,SUM($B$83)&gt;=0))),AND(ISNUMBER(B1196),B1196&gt;0,$B$171=1,NOT(ISNUMBER(D1196)))),1,0)</x:f>
        <x:v>0</x:v>
      </x:c>
      <x:c r="J1196" s="440" t="n">
        <x:f>IF(ISNUMBER(L1195),L1195,"")</x:f>
        <x:v>0</x:v>
      </x:c>
      <x:c r="K1196" s="440" t="n">
        <x:f>IF(AND(ISNUMBER(J1196),J1196=0),0,IF(AND($B$176=1,ISNUMBER(J1196)),MIN(J1196*(1+$B$87/12),IF($B$86=0,0,IF($B$87=0,$B$86/ROUND($B$88*12,0),$B$86*($B$87/12)/(1-(1+$B$87/12)^(-ROUND($B$88*12,0)))))),""))</x:f>
        <x:v>0</x:v>
      </x:c>
      <x:c r="L1196" s="440" t="n">
        <x:f>IF(ISNUMBER(K1196),IF(MAX(0,J1196*(1+SUM($B$87)/12)-K1196)&lt;MAX(0.0000001,$B$86*0.00000000001),0,MAX(0,J1196*(1+SUM($B$87)/12)-K1196)),"")</x:f>
        <x:v>0</x:v>
      </x:c>
      <x:c r="M1196" s="440" t="n">
        <x:f>IF(AND(ISNUMBER(D1196),ISNUMBER(K1196)),D1196+K1196,"")</x:f>
        <x:v>0</x:v>
      </x:c>
      <x:c r="N1196" s="440" t="n">
        <x:f>IF(AND(ISNUMBER(H1196),ISNUMBER(L1196)),H1196+L1196,"")</x:f>
        <x:v>0</x:v>
      </x:c>
    </x:row>
    <x:row r="1197" ht="22" customHeight="1">
      <x:c r="A1197" s="254" t="n">
        <x:f>797</x:f>
        <x:v>797</x:v>
      </x:c>
      <x:c r="B1197" s="440" t="n">
        <x:f>IF(ISNUMBER(H1196),H1196,"")</x:f>
        <x:v>0</x:v>
      </x:c>
      <x:c r="C1197" s="442" t="n">
        <x:f>IF(ISNUMBER(B1197),IF(AND(797&gt;$B$173,$B$78="Refinance",ISNUMBER($B$80),$B$80&gt;=0,$B$80&lt;=1,ROUND($B$81*12,0)&gt;=1,$B$81&lt;=100,SUM($B$82)&gt;=0,SUM($B$82)&lt;=1,SUM($B$83)&gt;=0),$B$80,IF(AND($B$175&gt;0,797&gt;$B$175,ISNUMBER($B$75)),$B$75,$B$61)),"")</x:f>
        <x:v>0.0625</x:v>
      </x:c>
      <x:c r="D1197" s="440" t="n">
        <x:f>IF(AND(ISNUMBER(B1197),B1197=0),0,IF(AND($B$171=1,I1196=0,ISNUMBER(C1197),ISNUMBER(IF(AND(797&lt;=$B$174,797&lt;=$B$173),B1197*C1197/12,IF(AND(797=$B$173+1,AND(797&gt;$B$173,$B$78="Refinance",ISNUMBER($B$80),$B$80&gt;=0,$B$80&lt;=1,ROUND($B$81*12,0)&gt;=1,$B$81&lt;=100,SUM($B$82)&gt;=0,SUM($B$82)&lt;=1,SUM($B$83)&gt;=0)),IF(B1197=0,0,IF(C1197=0,B1197/ROUND($B$81*12,0),B1197*(C1197/12)/(1-(1+C1197/12)^(-ROUND($B$81*12,0))))),IF(AND(NOT(AND(797&gt;$B$173,$B$78="Refinance",ISNUMBER($B$80),$B$80&gt;=0,$B$80&lt;=1,ROUND($B$81*12,0)&gt;=1,$B$81&lt;=100,SUM($B$82)&gt;=0,SUM($B$82)&lt;=1,SUM($B$83)&gt;=0)),OR(797=1,797=$B$174+1,AND($B$175&gt;0,797=$B$175+1))),IF(AND($B$170=1,$B$66&gt;0,OR($B$175=0,797&lt;=$B$175)),$B$66,IF($B$172-MAX(797-1,$B$174)&gt;0,IF(B1197=0,0,IF(C1197=0,B1197/($B$172-MAX(797-1,$B$174)),B1197*(C1197/12)/(1-(1+C1197/12)^(-($B$172-MAX(797-1,$B$174)))))),"")),D1196))))),IF(IF(AND(797&lt;=$B$174,797&lt;=$B$173),B1197*C1197/12,IF(AND(797=$B$173+1,AND(797&gt;$B$173,$B$78="Refinance",ISNUMBER($B$80),$B$80&gt;=0,$B$80&lt;=1,ROUND($B$81*12,0)&gt;=1,$B$81&lt;=100,SUM($B$82)&gt;=0,SUM($B$82)&lt;=1,SUM($B$83)&gt;=0)),IF(B1197=0,0,IF(C1197=0,B1197/ROUND($B$81*12,0),B1197*(C1197/12)/(1-(1+C1197/12)^(-ROUND($B$81*12,0))))),IF(AND(NOT(AND(797&gt;$B$173,$B$78="Refinance",ISNUMBER($B$80),$B$80&gt;=0,$B$80&lt;=1,ROUND($B$81*12,0)&gt;=1,$B$81&lt;=100,SUM($B$82)&gt;=0,SUM($B$82)&lt;=1,SUM($B$83)&gt;=0)),OR(797=1,797=$B$174+1,AND($B$175&gt;0,797=$B$175+1))),IF(AND($B$170=1,$B$66&gt;0,OR($B$175=0,797&lt;=$B$175)),$B$66,IF($B$172-MAX(797-1,$B$174)&gt;0,IF(B1197=0,0,IF(C1197=0,B1197/($B$172-MAX(797-1,$B$174)),B1197*(C1197/12)/(1-(1+C1197/12)^(-($B$172-MAX(797-1,$B$174)))))),"")),D1196)))+0.0000001&gt;=B1197*C1197/12,MIN(B1197*(1+C1197/12),IF(AND(797&lt;=$B$174,797&lt;=$B$173),B1197*C1197/12,IF(AND(797=$B$173+1,AND(797&gt;$B$173,$B$78="Refinance",ISNUMBER($B$80),$B$80&gt;=0,$B$80&lt;=1,ROUND($B$81*12,0)&gt;=1,$B$81&lt;=100,SUM($B$82)&gt;=0,SUM($B$82)&lt;=1,SUM($B$83)&gt;=0)),IF(B1197=0,0,IF(C1197=0,B1197/ROUND($B$81*12,0),B1197*(C1197/12)/(1-(1+C1197/12)^(-ROUND($B$81*12,0))))),IF(AND(NOT(AND(797&gt;$B$173,$B$78="Refinance",ISNUMBER($B$80),$B$80&gt;=0,$B$80&lt;=1,ROUND($B$81*12,0)&gt;=1,$B$81&lt;=100,SUM($B$82)&gt;=0,SUM($B$82)&lt;=1,SUM($B$83)&gt;=0)),OR(797=1,797=$B$174+1,AND($B$175&gt;0,797=$B$175+1))),IF(AND($B$170=1,$B$66&gt;0,OR($B$175=0,797&lt;=$B$175)),$B$66,IF($B$172-MAX(797-1,$B$174)&gt;0,IF(B1197=0,0,IF(C1197=0,B1197/($B$172-MAX(797-1,$B$174)),B1197*(C1197/12)/(1-(1+C1197/12)^(-($B$172-MAX(797-1,$B$174)))))),"")),D1196)))),""),""))</x:f>
        <x:v>0</x:v>
      </x:c>
      <x:c r="E1197" s="440" t="n">
        <x:f>IF(AND(797=$B$173,ISNUMBER(D1197)),IF(MAX(0,B1197*(1+C1197/12)-D1197)&lt;MAX(0.0000001,$E$17*0.00000000001),0,MAX(0,B1197*(1+C1197/12)-D1197)),0)</x:f>
        <x:v>0</x:v>
      </x:c>
      <x:c r="F1197" s="440" t="n">
        <x:f>IF($B$78="Cash payoff",E1197,0)</x:f>
        <x:v>0</x:v>
      </x:c>
      <x:c r="G1197" s="440" t="n">
        <x:f>IF(AND(E1197&gt;0,AND($B$78="Refinance",ISNUMBER($B$80),$B$80&gt;=0,$B$80&lt;=1,ROUND($B$81*12,0)&gt;=1,$B$81&lt;=100,SUM($B$82)&gt;=0,SUM($B$82)&lt;=1,SUM($B$83)&gt;=0)),E1197*SUM($B$82)+SUM($B$83),0)</x:f>
        <x:v>0</x:v>
      </x:c>
      <x:c r="H1197" s="440" t="n">
        <x:f>IF(ISNUMBER(D1197),IF(MAX(0,B1197*(1+C1197/12)-D1197-F1197)&lt;MAX(0.0000001,$E$17*0.00000000001),0,MAX(0,B1197*(1+C1197/12)-D1197-F1197)),IF(AND($B$171=1,I1196=1),B1197,""))</x:f>
        <x:v>0</x:v>
      </x:c>
      <x:c r="I1197" s="444" t="n">
        <x:f>IF(OR(I1196=1,AND(E1197&gt;0,$B$78&lt;&gt;"Cash payoff",NOT(AND($B$78="Refinance",ISNUMBER($B$80),$B$80&gt;=0,$B$80&lt;=1,ROUND($B$81*12,0)&gt;=1,$B$81&lt;=100,SUM($B$82)&gt;=0,SUM($B$82)&lt;=1,SUM($B$83)&gt;=0))),AND(ISNUMBER(B1197),B1197&gt;0,$B$171=1,NOT(ISNUMBER(D1197)))),1,0)</x:f>
        <x:v>0</x:v>
      </x:c>
      <x:c r="J1197" s="440" t="n">
        <x:f>IF(ISNUMBER(L1196),L1196,"")</x:f>
        <x:v>0</x:v>
      </x:c>
      <x:c r="K1197" s="440" t="n">
        <x:f>IF(AND(ISNUMBER(J1197),J1197=0),0,IF(AND($B$176=1,ISNUMBER(J1197)),MIN(J1197*(1+$B$87/12),IF($B$86=0,0,IF($B$87=0,$B$86/ROUND($B$88*12,0),$B$86*($B$87/12)/(1-(1+$B$87/12)^(-ROUND($B$88*12,0)))))),""))</x:f>
        <x:v>0</x:v>
      </x:c>
      <x:c r="L1197" s="440" t="n">
        <x:f>IF(ISNUMBER(K1197),IF(MAX(0,J1197*(1+SUM($B$87)/12)-K1197)&lt;MAX(0.0000001,$B$86*0.00000000001),0,MAX(0,J1197*(1+SUM($B$87)/12)-K1197)),"")</x:f>
        <x:v>0</x:v>
      </x:c>
      <x:c r="M1197" s="440" t="n">
        <x:f>IF(AND(ISNUMBER(D1197),ISNUMBER(K1197)),D1197+K1197,"")</x:f>
        <x:v>0</x:v>
      </x:c>
      <x:c r="N1197" s="440" t="n">
        <x:f>IF(AND(ISNUMBER(H1197),ISNUMBER(L1197)),H1197+L1197,"")</x:f>
        <x:v>0</x:v>
      </x:c>
    </x:row>
    <x:row r="1198" ht="22" customHeight="1">
      <x:c r="A1198" s="254" t="n">
        <x:f>798</x:f>
        <x:v>798</x:v>
      </x:c>
      <x:c r="B1198" s="440" t="n">
        <x:f>IF(ISNUMBER(H1197),H1197,"")</x:f>
        <x:v>0</x:v>
      </x:c>
      <x:c r="C1198" s="442" t="n">
        <x:f>IF(ISNUMBER(B1198),IF(AND(798&gt;$B$173,$B$78="Refinance",ISNUMBER($B$80),$B$80&gt;=0,$B$80&lt;=1,ROUND($B$81*12,0)&gt;=1,$B$81&lt;=100,SUM($B$82)&gt;=0,SUM($B$82)&lt;=1,SUM($B$83)&gt;=0),$B$80,IF(AND($B$175&gt;0,798&gt;$B$175,ISNUMBER($B$75)),$B$75,$B$61)),"")</x:f>
        <x:v>0.0625</x:v>
      </x:c>
      <x:c r="D1198" s="440" t="n">
        <x:f>IF(AND(ISNUMBER(B1198),B1198=0),0,IF(AND($B$171=1,I1197=0,ISNUMBER(C1198),ISNUMBER(IF(AND(798&lt;=$B$174,798&lt;=$B$173),B1198*C1198/12,IF(AND(798=$B$173+1,AND(798&gt;$B$173,$B$78="Refinance",ISNUMBER($B$80),$B$80&gt;=0,$B$80&lt;=1,ROUND($B$81*12,0)&gt;=1,$B$81&lt;=100,SUM($B$82)&gt;=0,SUM($B$82)&lt;=1,SUM($B$83)&gt;=0)),IF(B1198=0,0,IF(C1198=0,B1198/ROUND($B$81*12,0),B1198*(C1198/12)/(1-(1+C1198/12)^(-ROUND($B$81*12,0))))),IF(AND(NOT(AND(798&gt;$B$173,$B$78="Refinance",ISNUMBER($B$80),$B$80&gt;=0,$B$80&lt;=1,ROUND($B$81*12,0)&gt;=1,$B$81&lt;=100,SUM($B$82)&gt;=0,SUM($B$82)&lt;=1,SUM($B$83)&gt;=0)),OR(798=1,798=$B$174+1,AND($B$175&gt;0,798=$B$175+1))),IF(AND($B$170=1,$B$66&gt;0,OR($B$175=0,798&lt;=$B$175)),$B$66,IF($B$172-MAX(798-1,$B$174)&gt;0,IF(B1198=0,0,IF(C1198=0,B1198/($B$172-MAX(798-1,$B$174)),B1198*(C1198/12)/(1-(1+C1198/12)^(-($B$172-MAX(798-1,$B$174)))))),"")),D1197))))),IF(IF(AND(798&lt;=$B$174,798&lt;=$B$173),B1198*C1198/12,IF(AND(798=$B$173+1,AND(798&gt;$B$173,$B$78="Refinance",ISNUMBER($B$80),$B$80&gt;=0,$B$80&lt;=1,ROUND($B$81*12,0)&gt;=1,$B$81&lt;=100,SUM($B$82)&gt;=0,SUM($B$82)&lt;=1,SUM($B$83)&gt;=0)),IF(B1198=0,0,IF(C1198=0,B1198/ROUND($B$81*12,0),B1198*(C1198/12)/(1-(1+C1198/12)^(-ROUND($B$81*12,0))))),IF(AND(NOT(AND(798&gt;$B$173,$B$78="Refinance",ISNUMBER($B$80),$B$80&gt;=0,$B$80&lt;=1,ROUND($B$81*12,0)&gt;=1,$B$81&lt;=100,SUM($B$82)&gt;=0,SUM($B$82)&lt;=1,SUM($B$83)&gt;=0)),OR(798=1,798=$B$174+1,AND($B$175&gt;0,798=$B$175+1))),IF(AND($B$170=1,$B$66&gt;0,OR($B$175=0,798&lt;=$B$175)),$B$66,IF($B$172-MAX(798-1,$B$174)&gt;0,IF(B1198=0,0,IF(C1198=0,B1198/($B$172-MAX(798-1,$B$174)),B1198*(C1198/12)/(1-(1+C1198/12)^(-($B$172-MAX(798-1,$B$174)))))),"")),D1197)))+0.0000001&gt;=B1198*C1198/12,MIN(B1198*(1+C1198/12),IF(AND(798&lt;=$B$174,798&lt;=$B$173),B1198*C1198/12,IF(AND(798=$B$173+1,AND(798&gt;$B$173,$B$78="Refinance",ISNUMBER($B$80),$B$80&gt;=0,$B$80&lt;=1,ROUND($B$81*12,0)&gt;=1,$B$81&lt;=100,SUM($B$82)&gt;=0,SUM($B$82)&lt;=1,SUM($B$83)&gt;=0)),IF(B1198=0,0,IF(C1198=0,B1198/ROUND($B$81*12,0),B1198*(C1198/12)/(1-(1+C1198/12)^(-ROUND($B$81*12,0))))),IF(AND(NOT(AND(798&gt;$B$173,$B$78="Refinance",ISNUMBER($B$80),$B$80&gt;=0,$B$80&lt;=1,ROUND($B$81*12,0)&gt;=1,$B$81&lt;=100,SUM($B$82)&gt;=0,SUM($B$82)&lt;=1,SUM($B$83)&gt;=0)),OR(798=1,798=$B$174+1,AND($B$175&gt;0,798=$B$175+1))),IF(AND($B$170=1,$B$66&gt;0,OR($B$175=0,798&lt;=$B$175)),$B$66,IF($B$172-MAX(798-1,$B$174)&gt;0,IF(B1198=0,0,IF(C1198=0,B1198/($B$172-MAX(798-1,$B$174)),B1198*(C1198/12)/(1-(1+C1198/12)^(-($B$172-MAX(798-1,$B$174)))))),"")),D1197)))),""),""))</x:f>
        <x:v>0</x:v>
      </x:c>
      <x:c r="E1198" s="440" t="n">
        <x:f>IF(AND(798=$B$173,ISNUMBER(D1198)),IF(MAX(0,B1198*(1+C1198/12)-D1198)&lt;MAX(0.0000001,$E$17*0.00000000001),0,MAX(0,B1198*(1+C1198/12)-D1198)),0)</x:f>
        <x:v>0</x:v>
      </x:c>
      <x:c r="F1198" s="440" t="n">
        <x:f>IF($B$78="Cash payoff",E1198,0)</x:f>
        <x:v>0</x:v>
      </x:c>
      <x:c r="G1198" s="440" t="n">
        <x:f>IF(AND(E1198&gt;0,AND($B$78="Refinance",ISNUMBER($B$80),$B$80&gt;=0,$B$80&lt;=1,ROUND($B$81*12,0)&gt;=1,$B$81&lt;=100,SUM($B$82)&gt;=0,SUM($B$82)&lt;=1,SUM($B$83)&gt;=0)),E1198*SUM($B$82)+SUM($B$83),0)</x:f>
        <x:v>0</x:v>
      </x:c>
      <x:c r="H1198" s="440" t="n">
        <x:f>IF(ISNUMBER(D1198),IF(MAX(0,B1198*(1+C1198/12)-D1198-F1198)&lt;MAX(0.0000001,$E$17*0.00000000001),0,MAX(0,B1198*(1+C1198/12)-D1198-F1198)),IF(AND($B$171=1,I1197=1),B1198,""))</x:f>
        <x:v>0</x:v>
      </x:c>
      <x:c r="I1198" s="444" t="n">
        <x:f>IF(OR(I1197=1,AND(E1198&gt;0,$B$78&lt;&gt;"Cash payoff",NOT(AND($B$78="Refinance",ISNUMBER($B$80),$B$80&gt;=0,$B$80&lt;=1,ROUND($B$81*12,0)&gt;=1,$B$81&lt;=100,SUM($B$82)&gt;=0,SUM($B$82)&lt;=1,SUM($B$83)&gt;=0))),AND(ISNUMBER(B1198),B1198&gt;0,$B$171=1,NOT(ISNUMBER(D1198)))),1,0)</x:f>
        <x:v>0</x:v>
      </x:c>
      <x:c r="J1198" s="440" t="n">
        <x:f>IF(ISNUMBER(L1197),L1197,"")</x:f>
        <x:v>0</x:v>
      </x:c>
      <x:c r="K1198" s="440" t="n">
        <x:f>IF(AND(ISNUMBER(J1198),J1198=0),0,IF(AND($B$176=1,ISNUMBER(J1198)),MIN(J1198*(1+$B$87/12),IF($B$86=0,0,IF($B$87=0,$B$86/ROUND($B$88*12,0),$B$86*($B$87/12)/(1-(1+$B$87/12)^(-ROUND($B$88*12,0)))))),""))</x:f>
        <x:v>0</x:v>
      </x:c>
      <x:c r="L1198" s="440" t="n">
        <x:f>IF(ISNUMBER(K1198),IF(MAX(0,J1198*(1+SUM($B$87)/12)-K1198)&lt;MAX(0.0000001,$B$86*0.00000000001),0,MAX(0,J1198*(1+SUM($B$87)/12)-K1198)),"")</x:f>
        <x:v>0</x:v>
      </x:c>
      <x:c r="M1198" s="440" t="n">
        <x:f>IF(AND(ISNUMBER(D1198),ISNUMBER(K1198)),D1198+K1198,"")</x:f>
        <x:v>0</x:v>
      </x:c>
      <x:c r="N1198" s="440" t="n">
        <x:f>IF(AND(ISNUMBER(H1198),ISNUMBER(L1198)),H1198+L1198,"")</x:f>
        <x:v>0</x:v>
      </x:c>
    </x:row>
    <x:row r="1199" ht="22" customHeight="1">
      <x:c r="A1199" s="254" t="n">
        <x:f>799</x:f>
        <x:v>799</x:v>
      </x:c>
      <x:c r="B1199" s="440" t="n">
        <x:f>IF(ISNUMBER(H1198),H1198,"")</x:f>
        <x:v>0</x:v>
      </x:c>
      <x:c r="C1199" s="442" t="n">
        <x:f>IF(ISNUMBER(B1199),IF(AND(799&gt;$B$173,$B$78="Refinance",ISNUMBER($B$80),$B$80&gt;=0,$B$80&lt;=1,ROUND($B$81*12,0)&gt;=1,$B$81&lt;=100,SUM($B$82)&gt;=0,SUM($B$82)&lt;=1,SUM($B$83)&gt;=0),$B$80,IF(AND($B$175&gt;0,799&gt;$B$175,ISNUMBER($B$75)),$B$75,$B$61)),"")</x:f>
        <x:v>0.0625</x:v>
      </x:c>
      <x:c r="D1199" s="440" t="n">
        <x:f>IF(AND(ISNUMBER(B1199),B1199=0),0,IF(AND($B$171=1,I1198=0,ISNUMBER(C1199),ISNUMBER(IF(AND(799&lt;=$B$174,799&lt;=$B$173),B1199*C1199/12,IF(AND(799=$B$173+1,AND(799&gt;$B$173,$B$78="Refinance",ISNUMBER($B$80),$B$80&gt;=0,$B$80&lt;=1,ROUND($B$81*12,0)&gt;=1,$B$81&lt;=100,SUM($B$82)&gt;=0,SUM($B$82)&lt;=1,SUM($B$83)&gt;=0)),IF(B1199=0,0,IF(C1199=0,B1199/ROUND($B$81*12,0),B1199*(C1199/12)/(1-(1+C1199/12)^(-ROUND($B$81*12,0))))),IF(AND(NOT(AND(799&gt;$B$173,$B$78="Refinance",ISNUMBER($B$80),$B$80&gt;=0,$B$80&lt;=1,ROUND($B$81*12,0)&gt;=1,$B$81&lt;=100,SUM($B$82)&gt;=0,SUM($B$82)&lt;=1,SUM($B$83)&gt;=0)),OR(799=1,799=$B$174+1,AND($B$175&gt;0,799=$B$175+1))),IF(AND($B$170=1,$B$66&gt;0,OR($B$175=0,799&lt;=$B$175)),$B$66,IF($B$172-MAX(799-1,$B$174)&gt;0,IF(B1199=0,0,IF(C1199=0,B1199/($B$172-MAX(799-1,$B$174)),B1199*(C1199/12)/(1-(1+C1199/12)^(-($B$172-MAX(799-1,$B$174)))))),"")),D1198))))),IF(IF(AND(799&lt;=$B$174,799&lt;=$B$173),B1199*C1199/12,IF(AND(799=$B$173+1,AND(799&gt;$B$173,$B$78="Refinance",ISNUMBER($B$80),$B$80&gt;=0,$B$80&lt;=1,ROUND($B$81*12,0)&gt;=1,$B$81&lt;=100,SUM($B$82)&gt;=0,SUM($B$82)&lt;=1,SUM($B$83)&gt;=0)),IF(B1199=0,0,IF(C1199=0,B1199/ROUND($B$81*12,0),B1199*(C1199/12)/(1-(1+C1199/12)^(-ROUND($B$81*12,0))))),IF(AND(NOT(AND(799&gt;$B$173,$B$78="Refinance",ISNUMBER($B$80),$B$80&gt;=0,$B$80&lt;=1,ROUND($B$81*12,0)&gt;=1,$B$81&lt;=100,SUM($B$82)&gt;=0,SUM($B$82)&lt;=1,SUM($B$83)&gt;=0)),OR(799=1,799=$B$174+1,AND($B$175&gt;0,799=$B$175+1))),IF(AND($B$170=1,$B$66&gt;0,OR($B$175=0,799&lt;=$B$175)),$B$66,IF($B$172-MAX(799-1,$B$174)&gt;0,IF(B1199=0,0,IF(C1199=0,B1199/($B$172-MAX(799-1,$B$174)),B1199*(C1199/12)/(1-(1+C1199/12)^(-($B$172-MAX(799-1,$B$174)))))),"")),D1198)))+0.0000001&gt;=B1199*C1199/12,MIN(B1199*(1+C1199/12),IF(AND(799&lt;=$B$174,799&lt;=$B$173),B1199*C1199/12,IF(AND(799=$B$173+1,AND(799&gt;$B$173,$B$78="Refinance",ISNUMBER($B$80),$B$80&gt;=0,$B$80&lt;=1,ROUND($B$81*12,0)&gt;=1,$B$81&lt;=100,SUM($B$82)&gt;=0,SUM($B$82)&lt;=1,SUM($B$83)&gt;=0)),IF(B1199=0,0,IF(C1199=0,B1199/ROUND($B$81*12,0),B1199*(C1199/12)/(1-(1+C1199/12)^(-ROUND($B$81*12,0))))),IF(AND(NOT(AND(799&gt;$B$173,$B$78="Refinance",ISNUMBER($B$80),$B$80&gt;=0,$B$80&lt;=1,ROUND($B$81*12,0)&gt;=1,$B$81&lt;=100,SUM($B$82)&gt;=0,SUM($B$82)&lt;=1,SUM($B$83)&gt;=0)),OR(799=1,799=$B$174+1,AND($B$175&gt;0,799=$B$175+1))),IF(AND($B$170=1,$B$66&gt;0,OR($B$175=0,799&lt;=$B$175)),$B$66,IF($B$172-MAX(799-1,$B$174)&gt;0,IF(B1199=0,0,IF(C1199=0,B1199/($B$172-MAX(799-1,$B$174)),B1199*(C1199/12)/(1-(1+C1199/12)^(-($B$172-MAX(799-1,$B$174)))))),"")),D1198)))),""),""))</x:f>
        <x:v>0</x:v>
      </x:c>
      <x:c r="E1199" s="440" t="n">
        <x:f>IF(AND(799=$B$173,ISNUMBER(D1199)),IF(MAX(0,B1199*(1+C1199/12)-D1199)&lt;MAX(0.0000001,$E$17*0.00000000001),0,MAX(0,B1199*(1+C1199/12)-D1199)),0)</x:f>
        <x:v>0</x:v>
      </x:c>
      <x:c r="F1199" s="440" t="n">
        <x:f>IF($B$78="Cash payoff",E1199,0)</x:f>
        <x:v>0</x:v>
      </x:c>
      <x:c r="G1199" s="440" t="n">
        <x:f>IF(AND(E1199&gt;0,AND($B$78="Refinance",ISNUMBER($B$80),$B$80&gt;=0,$B$80&lt;=1,ROUND($B$81*12,0)&gt;=1,$B$81&lt;=100,SUM($B$82)&gt;=0,SUM($B$82)&lt;=1,SUM($B$83)&gt;=0)),E1199*SUM($B$82)+SUM($B$83),0)</x:f>
        <x:v>0</x:v>
      </x:c>
      <x:c r="H1199" s="440" t="n">
        <x:f>IF(ISNUMBER(D1199),IF(MAX(0,B1199*(1+C1199/12)-D1199-F1199)&lt;MAX(0.0000001,$E$17*0.00000000001),0,MAX(0,B1199*(1+C1199/12)-D1199-F1199)),IF(AND($B$171=1,I1198=1),B1199,""))</x:f>
        <x:v>0</x:v>
      </x:c>
      <x:c r="I1199" s="444" t="n">
        <x:f>IF(OR(I1198=1,AND(E1199&gt;0,$B$78&lt;&gt;"Cash payoff",NOT(AND($B$78="Refinance",ISNUMBER($B$80),$B$80&gt;=0,$B$80&lt;=1,ROUND($B$81*12,0)&gt;=1,$B$81&lt;=100,SUM($B$82)&gt;=0,SUM($B$82)&lt;=1,SUM($B$83)&gt;=0))),AND(ISNUMBER(B1199),B1199&gt;0,$B$171=1,NOT(ISNUMBER(D1199)))),1,0)</x:f>
        <x:v>0</x:v>
      </x:c>
      <x:c r="J1199" s="440" t="n">
        <x:f>IF(ISNUMBER(L1198),L1198,"")</x:f>
        <x:v>0</x:v>
      </x:c>
      <x:c r="K1199" s="440" t="n">
        <x:f>IF(AND(ISNUMBER(J1199),J1199=0),0,IF(AND($B$176=1,ISNUMBER(J1199)),MIN(J1199*(1+$B$87/12),IF($B$86=0,0,IF($B$87=0,$B$86/ROUND($B$88*12,0),$B$86*($B$87/12)/(1-(1+$B$87/12)^(-ROUND($B$88*12,0)))))),""))</x:f>
        <x:v>0</x:v>
      </x:c>
      <x:c r="L1199" s="440" t="n">
        <x:f>IF(ISNUMBER(K1199),IF(MAX(0,J1199*(1+SUM($B$87)/12)-K1199)&lt;MAX(0.0000001,$B$86*0.00000000001),0,MAX(0,J1199*(1+SUM($B$87)/12)-K1199)),"")</x:f>
        <x:v>0</x:v>
      </x:c>
      <x:c r="M1199" s="440" t="n">
        <x:f>IF(AND(ISNUMBER(D1199),ISNUMBER(K1199)),D1199+K1199,"")</x:f>
        <x:v>0</x:v>
      </x:c>
      <x:c r="N1199" s="440" t="n">
        <x:f>IF(AND(ISNUMBER(H1199),ISNUMBER(L1199)),H1199+L1199,"")</x:f>
        <x:v>0</x:v>
      </x:c>
    </x:row>
    <x:row r="1200" ht="22" customHeight="1">
      <x:c r="A1200" s="254" t="n">
        <x:f>800</x:f>
        <x:v>800</x:v>
      </x:c>
      <x:c r="B1200" s="440" t="n">
        <x:f>IF(ISNUMBER(H1199),H1199,"")</x:f>
        <x:v>0</x:v>
      </x:c>
      <x:c r="C1200" s="442" t="n">
        <x:f>IF(ISNUMBER(B1200),IF(AND(800&gt;$B$173,$B$78="Refinance",ISNUMBER($B$80),$B$80&gt;=0,$B$80&lt;=1,ROUND($B$81*12,0)&gt;=1,$B$81&lt;=100,SUM($B$82)&gt;=0,SUM($B$82)&lt;=1,SUM($B$83)&gt;=0),$B$80,IF(AND($B$175&gt;0,800&gt;$B$175,ISNUMBER($B$75)),$B$75,$B$61)),"")</x:f>
        <x:v>0.0625</x:v>
      </x:c>
      <x:c r="D1200" s="440" t="n">
        <x:f>IF(AND(ISNUMBER(B1200),B1200=0),0,IF(AND($B$171=1,I1199=0,ISNUMBER(C1200),ISNUMBER(IF(AND(800&lt;=$B$174,800&lt;=$B$173),B1200*C1200/12,IF(AND(800=$B$173+1,AND(800&gt;$B$173,$B$78="Refinance",ISNUMBER($B$80),$B$80&gt;=0,$B$80&lt;=1,ROUND($B$81*12,0)&gt;=1,$B$81&lt;=100,SUM($B$82)&gt;=0,SUM($B$82)&lt;=1,SUM($B$83)&gt;=0)),IF(B1200=0,0,IF(C1200=0,B1200/ROUND($B$81*12,0),B1200*(C1200/12)/(1-(1+C1200/12)^(-ROUND($B$81*12,0))))),IF(AND(NOT(AND(800&gt;$B$173,$B$78="Refinance",ISNUMBER($B$80),$B$80&gt;=0,$B$80&lt;=1,ROUND($B$81*12,0)&gt;=1,$B$81&lt;=100,SUM($B$82)&gt;=0,SUM($B$82)&lt;=1,SUM($B$83)&gt;=0)),OR(800=1,800=$B$174+1,AND($B$175&gt;0,800=$B$175+1))),IF(AND($B$170=1,$B$66&gt;0,OR($B$175=0,800&lt;=$B$175)),$B$66,IF($B$172-MAX(800-1,$B$174)&gt;0,IF(B1200=0,0,IF(C1200=0,B1200/($B$172-MAX(800-1,$B$174)),B1200*(C1200/12)/(1-(1+C1200/12)^(-($B$172-MAX(800-1,$B$174)))))),"")),D1199))))),IF(IF(AND(800&lt;=$B$174,800&lt;=$B$173),B1200*C1200/12,IF(AND(800=$B$173+1,AND(800&gt;$B$173,$B$78="Refinance",ISNUMBER($B$80),$B$80&gt;=0,$B$80&lt;=1,ROUND($B$81*12,0)&gt;=1,$B$81&lt;=100,SUM($B$82)&gt;=0,SUM($B$82)&lt;=1,SUM($B$83)&gt;=0)),IF(B1200=0,0,IF(C1200=0,B1200/ROUND($B$81*12,0),B1200*(C1200/12)/(1-(1+C1200/12)^(-ROUND($B$81*12,0))))),IF(AND(NOT(AND(800&gt;$B$173,$B$78="Refinance",ISNUMBER($B$80),$B$80&gt;=0,$B$80&lt;=1,ROUND($B$81*12,0)&gt;=1,$B$81&lt;=100,SUM($B$82)&gt;=0,SUM($B$82)&lt;=1,SUM($B$83)&gt;=0)),OR(800=1,800=$B$174+1,AND($B$175&gt;0,800=$B$175+1))),IF(AND($B$170=1,$B$66&gt;0,OR($B$175=0,800&lt;=$B$175)),$B$66,IF($B$172-MAX(800-1,$B$174)&gt;0,IF(B1200=0,0,IF(C1200=0,B1200/($B$172-MAX(800-1,$B$174)),B1200*(C1200/12)/(1-(1+C1200/12)^(-($B$172-MAX(800-1,$B$174)))))),"")),D1199)))+0.0000001&gt;=B1200*C1200/12,MIN(B1200*(1+C1200/12),IF(AND(800&lt;=$B$174,800&lt;=$B$173),B1200*C1200/12,IF(AND(800=$B$173+1,AND(800&gt;$B$173,$B$78="Refinance",ISNUMBER($B$80),$B$80&gt;=0,$B$80&lt;=1,ROUND($B$81*12,0)&gt;=1,$B$81&lt;=100,SUM($B$82)&gt;=0,SUM($B$82)&lt;=1,SUM($B$83)&gt;=0)),IF(B1200=0,0,IF(C1200=0,B1200/ROUND($B$81*12,0),B1200*(C1200/12)/(1-(1+C1200/12)^(-ROUND($B$81*12,0))))),IF(AND(NOT(AND(800&gt;$B$173,$B$78="Refinance",ISNUMBER($B$80),$B$80&gt;=0,$B$80&lt;=1,ROUND($B$81*12,0)&gt;=1,$B$81&lt;=100,SUM($B$82)&gt;=0,SUM($B$82)&lt;=1,SUM($B$83)&gt;=0)),OR(800=1,800=$B$174+1,AND($B$175&gt;0,800=$B$175+1))),IF(AND($B$170=1,$B$66&gt;0,OR($B$175=0,800&lt;=$B$175)),$B$66,IF($B$172-MAX(800-1,$B$174)&gt;0,IF(B1200=0,0,IF(C1200=0,B1200/($B$172-MAX(800-1,$B$174)),B1200*(C1200/12)/(1-(1+C1200/12)^(-($B$172-MAX(800-1,$B$174)))))),"")),D1199)))),""),""))</x:f>
        <x:v>0</x:v>
      </x:c>
      <x:c r="E1200" s="440" t="n">
        <x:f>IF(AND(800=$B$173,ISNUMBER(D1200)),IF(MAX(0,B1200*(1+C1200/12)-D1200)&lt;MAX(0.0000001,$E$17*0.00000000001),0,MAX(0,B1200*(1+C1200/12)-D1200)),0)</x:f>
        <x:v>0</x:v>
      </x:c>
      <x:c r="F1200" s="440" t="n">
        <x:f>IF($B$78="Cash payoff",E1200,0)</x:f>
        <x:v>0</x:v>
      </x:c>
      <x:c r="G1200" s="440" t="n">
        <x:f>IF(AND(E1200&gt;0,AND($B$78="Refinance",ISNUMBER($B$80),$B$80&gt;=0,$B$80&lt;=1,ROUND($B$81*12,0)&gt;=1,$B$81&lt;=100,SUM($B$82)&gt;=0,SUM($B$82)&lt;=1,SUM($B$83)&gt;=0)),E1200*SUM($B$82)+SUM($B$83),0)</x:f>
        <x:v>0</x:v>
      </x:c>
      <x:c r="H1200" s="440" t="n">
        <x:f>IF(ISNUMBER(D1200),IF(MAX(0,B1200*(1+C1200/12)-D1200-F1200)&lt;MAX(0.0000001,$E$17*0.00000000001),0,MAX(0,B1200*(1+C1200/12)-D1200-F1200)),IF(AND($B$171=1,I1199=1),B1200,""))</x:f>
        <x:v>0</x:v>
      </x:c>
      <x:c r="I1200" s="444" t="n">
        <x:f>IF(OR(I1199=1,AND(E1200&gt;0,$B$78&lt;&gt;"Cash payoff",NOT(AND($B$78="Refinance",ISNUMBER($B$80),$B$80&gt;=0,$B$80&lt;=1,ROUND($B$81*12,0)&gt;=1,$B$81&lt;=100,SUM($B$82)&gt;=0,SUM($B$82)&lt;=1,SUM($B$83)&gt;=0))),AND(ISNUMBER(B1200),B1200&gt;0,$B$171=1,NOT(ISNUMBER(D1200)))),1,0)</x:f>
        <x:v>0</x:v>
      </x:c>
      <x:c r="J1200" s="440" t="n">
        <x:f>IF(ISNUMBER(L1199),L1199,"")</x:f>
        <x:v>0</x:v>
      </x:c>
      <x:c r="K1200" s="440" t="n">
        <x:f>IF(AND(ISNUMBER(J1200),J1200=0),0,IF(AND($B$176=1,ISNUMBER(J1200)),MIN(J1200*(1+$B$87/12),IF($B$86=0,0,IF($B$87=0,$B$86/ROUND($B$88*12,0),$B$86*($B$87/12)/(1-(1+$B$87/12)^(-ROUND($B$88*12,0)))))),""))</x:f>
        <x:v>0</x:v>
      </x:c>
      <x:c r="L1200" s="440" t="n">
        <x:f>IF(ISNUMBER(K1200),IF(MAX(0,J1200*(1+SUM($B$87)/12)-K1200)&lt;MAX(0.0000001,$B$86*0.00000000001),0,MAX(0,J1200*(1+SUM($B$87)/12)-K1200)),"")</x:f>
        <x:v>0</x:v>
      </x:c>
      <x:c r="M1200" s="440" t="n">
        <x:f>IF(AND(ISNUMBER(D1200),ISNUMBER(K1200)),D1200+K1200,"")</x:f>
        <x:v>0</x:v>
      </x:c>
      <x:c r="N1200" s="440" t="n">
        <x:f>IF(AND(ISNUMBER(H1200),ISNUMBER(L1200)),H1200+L1200,"")</x:f>
        <x:v>0</x:v>
      </x:c>
    </x:row>
    <x:row r="1201" ht="22" customHeight="1">
      <x:c r="A1201" s="254" t="n">
        <x:f>801</x:f>
        <x:v>801</x:v>
      </x:c>
      <x:c r="B1201" s="440" t="n">
        <x:f>IF(ISNUMBER(H1200),H1200,"")</x:f>
        <x:v>0</x:v>
      </x:c>
      <x:c r="C1201" s="442" t="n">
        <x:f>IF(ISNUMBER(B1201),IF(AND(801&gt;$B$173,$B$78="Refinance",ISNUMBER($B$80),$B$80&gt;=0,$B$80&lt;=1,ROUND($B$81*12,0)&gt;=1,$B$81&lt;=100,SUM($B$82)&gt;=0,SUM($B$82)&lt;=1,SUM($B$83)&gt;=0),$B$80,IF(AND($B$175&gt;0,801&gt;$B$175,ISNUMBER($B$75)),$B$75,$B$61)),"")</x:f>
        <x:v>0.0625</x:v>
      </x:c>
      <x:c r="D1201" s="440" t="n">
        <x:f>IF(AND(ISNUMBER(B1201),B1201=0),0,IF(AND($B$171=1,I1200=0,ISNUMBER(C1201),ISNUMBER(IF(AND(801&lt;=$B$174,801&lt;=$B$173),B1201*C1201/12,IF(AND(801=$B$173+1,AND(801&gt;$B$173,$B$78="Refinance",ISNUMBER($B$80),$B$80&gt;=0,$B$80&lt;=1,ROUND($B$81*12,0)&gt;=1,$B$81&lt;=100,SUM($B$82)&gt;=0,SUM($B$82)&lt;=1,SUM($B$83)&gt;=0)),IF(B1201=0,0,IF(C1201=0,B1201/ROUND($B$81*12,0),B1201*(C1201/12)/(1-(1+C1201/12)^(-ROUND($B$81*12,0))))),IF(AND(NOT(AND(801&gt;$B$173,$B$78="Refinance",ISNUMBER($B$80),$B$80&gt;=0,$B$80&lt;=1,ROUND($B$81*12,0)&gt;=1,$B$81&lt;=100,SUM($B$82)&gt;=0,SUM($B$82)&lt;=1,SUM($B$83)&gt;=0)),OR(801=1,801=$B$174+1,AND($B$175&gt;0,801=$B$175+1))),IF(AND($B$170=1,$B$66&gt;0,OR($B$175=0,801&lt;=$B$175)),$B$66,IF($B$172-MAX(801-1,$B$174)&gt;0,IF(B1201=0,0,IF(C1201=0,B1201/($B$172-MAX(801-1,$B$174)),B1201*(C1201/12)/(1-(1+C1201/12)^(-($B$172-MAX(801-1,$B$174)))))),"")),D1200))))),IF(IF(AND(801&lt;=$B$174,801&lt;=$B$173),B1201*C1201/12,IF(AND(801=$B$173+1,AND(801&gt;$B$173,$B$78="Refinance",ISNUMBER($B$80),$B$80&gt;=0,$B$80&lt;=1,ROUND($B$81*12,0)&gt;=1,$B$81&lt;=100,SUM($B$82)&gt;=0,SUM($B$82)&lt;=1,SUM($B$83)&gt;=0)),IF(B1201=0,0,IF(C1201=0,B1201/ROUND($B$81*12,0),B1201*(C1201/12)/(1-(1+C1201/12)^(-ROUND($B$81*12,0))))),IF(AND(NOT(AND(801&gt;$B$173,$B$78="Refinance",ISNUMBER($B$80),$B$80&gt;=0,$B$80&lt;=1,ROUND($B$81*12,0)&gt;=1,$B$81&lt;=100,SUM($B$82)&gt;=0,SUM($B$82)&lt;=1,SUM($B$83)&gt;=0)),OR(801=1,801=$B$174+1,AND($B$175&gt;0,801=$B$175+1))),IF(AND($B$170=1,$B$66&gt;0,OR($B$175=0,801&lt;=$B$175)),$B$66,IF($B$172-MAX(801-1,$B$174)&gt;0,IF(B1201=0,0,IF(C1201=0,B1201/($B$172-MAX(801-1,$B$174)),B1201*(C1201/12)/(1-(1+C1201/12)^(-($B$172-MAX(801-1,$B$174)))))),"")),D1200)))+0.0000001&gt;=B1201*C1201/12,MIN(B1201*(1+C1201/12),IF(AND(801&lt;=$B$174,801&lt;=$B$173),B1201*C1201/12,IF(AND(801=$B$173+1,AND(801&gt;$B$173,$B$78="Refinance",ISNUMBER($B$80),$B$80&gt;=0,$B$80&lt;=1,ROUND($B$81*12,0)&gt;=1,$B$81&lt;=100,SUM($B$82)&gt;=0,SUM($B$82)&lt;=1,SUM($B$83)&gt;=0)),IF(B1201=0,0,IF(C1201=0,B1201/ROUND($B$81*12,0),B1201*(C1201/12)/(1-(1+C1201/12)^(-ROUND($B$81*12,0))))),IF(AND(NOT(AND(801&gt;$B$173,$B$78="Refinance",ISNUMBER($B$80),$B$80&gt;=0,$B$80&lt;=1,ROUND($B$81*12,0)&gt;=1,$B$81&lt;=100,SUM($B$82)&gt;=0,SUM($B$82)&lt;=1,SUM($B$83)&gt;=0)),OR(801=1,801=$B$174+1,AND($B$175&gt;0,801=$B$175+1))),IF(AND($B$170=1,$B$66&gt;0,OR($B$175=0,801&lt;=$B$175)),$B$66,IF($B$172-MAX(801-1,$B$174)&gt;0,IF(B1201=0,0,IF(C1201=0,B1201/($B$172-MAX(801-1,$B$174)),B1201*(C1201/12)/(1-(1+C1201/12)^(-($B$172-MAX(801-1,$B$174)))))),"")),D1200)))),""),""))</x:f>
        <x:v>0</x:v>
      </x:c>
      <x:c r="E1201" s="440" t="n">
        <x:f>IF(AND(801=$B$173,ISNUMBER(D1201)),IF(MAX(0,B1201*(1+C1201/12)-D1201)&lt;MAX(0.0000001,$E$17*0.00000000001),0,MAX(0,B1201*(1+C1201/12)-D1201)),0)</x:f>
        <x:v>0</x:v>
      </x:c>
      <x:c r="F1201" s="440" t="n">
        <x:f>IF($B$78="Cash payoff",E1201,0)</x:f>
        <x:v>0</x:v>
      </x:c>
      <x:c r="G1201" s="440" t="n">
        <x:f>IF(AND(E1201&gt;0,AND($B$78="Refinance",ISNUMBER($B$80),$B$80&gt;=0,$B$80&lt;=1,ROUND($B$81*12,0)&gt;=1,$B$81&lt;=100,SUM($B$82)&gt;=0,SUM($B$82)&lt;=1,SUM($B$83)&gt;=0)),E1201*SUM($B$82)+SUM($B$83),0)</x:f>
        <x:v>0</x:v>
      </x:c>
      <x:c r="H1201" s="440" t="n">
        <x:f>IF(ISNUMBER(D1201),IF(MAX(0,B1201*(1+C1201/12)-D1201-F1201)&lt;MAX(0.0000001,$E$17*0.00000000001),0,MAX(0,B1201*(1+C1201/12)-D1201-F1201)),IF(AND($B$171=1,I1200=1),B1201,""))</x:f>
        <x:v>0</x:v>
      </x:c>
      <x:c r="I1201" s="444" t="n">
        <x:f>IF(OR(I1200=1,AND(E1201&gt;0,$B$78&lt;&gt;"Cash payoff",NOT(AND($B$78="Refinance",ISNUMBER($B$80),$B$80&gt;=0,$B$80&lt;=1,ROUND($B$81*12,0)&gt;=1,$B$81&lt;=100,SUM($B$82)&gt;=0,SUM($B$82)&lt;=1,SUM($B$83)&gt;=0))),AND(ISNUMBER(B1201),B1201&gt;0,$B$171=1,NOT(ISNUMBER(D1201)))),1,0)</x:f>
        <x:v>0</x:v>
      </x:c>
      <x:c r="J1201" s="440" t="n">
        <x:f>IF(ISNUMBER(L1200),L1200,"")</x:f>
        <x:v>0</x:v>
      </x:c>
      <x:c r="K1201" s="440" t="n">
        <x:f>IF(AND(ISNUMBER(J1201),J1201=0),0,IF(AND($B$176=1,ISNUMBER(J1201)),MIN(J1201*(1+$B$87/12),IF($B$86=0,0,IF($B$87=0,$B$86/ROUND($B$88*12,0),$B$86*($B$87/12)/(1-(1+$B$87/12)^(-ROUND($B$88*12,0)))))),""))</x:f>
        <x:v>0</x:v>
      </x:c>
      <x:c r="L1201" s="440" t="n">
        <x:f>IF(ISNUMBER(K1201),IF(MAX(0,J1201*(1+SUM($B$87)/12)-K1201)&lt;MAX(0.0000001,$B$86*0.00000000001),0,MAX(0,J1201*(1+SUM($B$87)/12)-K1201)),"")</x:f>
        <x:v>0</x:v>
      </x:c>
      <x:c r="M1201" s="440" t="n">
        <x:f>IF(AND(ISNUMBER(D1201),ISNUMBER(K1201)),D1201+K1201,"")</x:f>
        <x:v>0</x:v>
      </x:c>
      <x:c r="N1201" s="440" t="n">
        <x:f>IF(AND(ISNUMBER(H1201),ISNUMBER(L1201)),H1201+L1201,"")</x:f>
        <x:v>0</x:v>
      </x:c>
    </x:row>
    <x:row r="1202" ht="22" customHeight="1">
      <x:c r="A1202" s="254" t="n">
        <x:f>802</x:f>
        <x:v>802</x:v>
      </x:c>
      <x:c r="B1202" s="440" t="n">
        <x:f>IF(ISNUMBER(H1201),H1201,"")</x:f>
        <x:v>0</x:v>
      </x:c>
      <x:c r="C1202" s="442" t="n">
        <x:f>IF(ISNUMBER(B1202),IF(AND(802&gt;$B$173,$B$78="Refinance",ISNUMBER($B$80),$B$80&gt;=0,$B$80&lt;=1,ROUND($B$81*12,0)&gt;=1,$B$81&lt;=100,SUM($B$82)&gt;=0,SUM($B$82)&lt;=1,SUM($B$83)&gt;=0),$B$80,IF(AND($B$175&gt;0,802&gt;$B$175,ISNUMBER($B$75)),$B$75,$B$61)),"")</x:f>
        <x:v>0.0625</x:v>
      </x:c>
      <x:c r="D1202" s="440" t="n">
        <x:f>IF(AND(ISNUMBER(B1202),B1202=0),0,IF(AND($B$171=1,I1201=0,ISNUMBER(C1202),ISNUMBER(IF(AND(802&lt;=$B$174,802&lt;=$B$173),B1202*C1202/12,IF(AND(802=$B$173+1,AND(802&gt;$B$173,$B$78="Refinance",ISNUMBER($B$80),$B$80&gt;=0,$B$80&lt;=1,ROUND($B$81*12,0)&gt;=1,$B$81&lt;=100,SUM($B$82)&gt;=0,SUM($B$82)&lt;=1,SUM($B$83)&gt;=0)),IF(B1202=0,0,IF(C1202=0,B1202/ROUND($B$81*12,0),B1202*(C1202/12)/(1-(1+C1202/12)^(-ROUND($B$81*12,0))))),IF(AND(NOT(AND(802&gt;$B$173,$B$78="Refinance",ISNUMBER($B$80),$B$80&gt;=0,$B$80&lt;=1,ROUND($B$81*12,0)&gt;=1,$B$81&lt;=100,SUM($B$82)&gt;=0,SUM($B$82)&lt;=1,SUM($B$83)&gt;=0)),OR(802=1,802=$B$174+1,AND($B$175&gt;0,802=$B$175+1))),IF(AND($B$170=1,$B$66&gt;0,OR($B$175=0,802&lt;=$B$175)),$B$66,IF($B$172-MAX(802-1,$B$174)&gt;0,IF(B1202=0,0,IF(C1202=0,B1202/($B$172-MAX(802-1,$B$174)),B1202*(C1202/12)/(1-(1+C1202/12)^(-($B$172-MAX(802-1,$B$174)))))),"")),D1201))))),IF(IF(AND(802&lt;=$B$174,802&lt;=$B$173),B1202*C1202/12,IF(AND(802=$B$173+1,AND(802&gt;$B$173,$B$78="Refinance",ISNUMBER($B$80),$B$80&gt;=0,$B$80&lt;=1,ROUND($B$81*12,0)&gt;=1,$B$81&lt;=100,SUM($B$82)&gt;=0,SUM($B$82)&lt;=1,SUM($B$83)&gt;=0)),IF(B1202=0,0,IF(C1202=0,B1202/ROUND($B$81*12,0),B1202*(C1202/12)/(1-(1+C1202/12)^(-ROUND($B$81*12,0))))),IF(AND(NOT(AND(802&gt;$B$173,$B$78="Refinance",ISNUMBER($B$80),$B$80&gt;=0,$B$80&lt;=1,ROUND($B$81*12,0)&gt;=1,$B$81&lt;=100,SUM($B$82)&gt;=0,SUM($B$82)&lt;=1,SUM($B$83)&gt;=0)),OR(802=1,802=$B$174+1,AND($B$175&gt;0,802=$B$175+1))),IF(AND($B$170=1,$B$66&gt;0,OR($B$175=0,802&lt;=$B$175)),$B$66,IF($B$172-MAX(802-1,$B$174)&gt;0,IF(B1202=0,0,IF(C1202=0,B1202/($B$172-MAX(802-1,$B$174)),B1202*(C1202/12)/(1-(1+C1202/12)^(-($B$172-MAX(802-1,$B$174)))))),"")),D1201)))+0.0000001&gt;=B1202*C1202/12,MIN(B1202*(1+C1202/12),IF(AND(802&lt;=$B$174,802&lt;=$B$173),B1202*C1202/12,IF(AND(802=$B$173+1,AND(802&gt;$B$173,$B$78="Refinance",ISNUMBER($B$80),$B$80&gt;=0,$B$80&lt;=1,ROUND($B$81*12,0)&gt;=1,$B$81&lt;=100,SUM($B$82)&gt;=0,SUM($B$82)&lt;=1,SUM($B$83)&gt;=0)),IF(B1202=0,0,IF(C1202=0,B1202/ROUND($B$81*12,0),B1202*(C1202/12)/(1-(1+C1202/12)^(-ROUND($B$81*12,0))))),IF(AND(NOT(AND(802&gt;$B$173,$B$78="Refinance",ISNUMBER($B$80),$B$80&gt;=0,$B$80&lt;=1,ROUND($B$81*12,0)&gt;=1,$B$81&lt;=100,SUM($B$82)&gt;=0,SUM($B$82)&lt;=1,SUM($B$83)&gt;=0)),OR(802=1,802=$B$174+1,AND($B$175&gt;0,802=$B$175+1))),IF(AND($B$170=1,$B$66&gt;0,OR($B$175=0,802&lt;=$B$175)),$B$66,IF($B$172-MAX(802-1,$B$174)&gt;0,IF(B1202=0,0,IF(C1202=0,B1202/($B$172-MAX(802-1,$B$174)),B1202*(C1202/12)/(1-(1+C1202/12)^(-($B$172-MAX(802-1,$B$174)))))),"")),D1201)))),""),""))</x:f>
        <x:v>0</x:v>
      </x:c>
      <x:c r="E1202" s="440" t="n">
        <x:f>IF(AND(802=$B$173,ISNUMBER(D1202)),IF(MAX(0,B1202*(1+C1202/12)-D1202)&lt;MAX(0.0000001,$E$17*0.00000000001),0,MAX(0,B1202*(1+C1202/12)-D1202)),0)</x:f>
        <x:v>0</x:v>
      </x:c>
      <x:c r="F1202" s="440" t="n">
        <x:f>IF($B$78="Cash payoff",E1202,0)</x:f>
        <x:v>0</x:v>
      </x:c>
      <x:c r="G1202" s="440" t="n">
        <x:f>IF(AND(E1202&gt;0,AND($B$78="Refinance",ISNUMBER($B$80),$B$80&gt;=0,$B$80&lt;=1,ROUND($B$81*12,0)&gt;=1,$B$81&lt;=100,SUM($B$82)&gt;=0,SUM($B$82)&lt;=1,SUM($B$83)&gt;=0)),E1202*SUM($B$82)+SUM($B$83),0)</x:f>
        <x:v>0</x:v>
      </x:c>
      <x:c r="H1202" s="440" t="n">
        <x:f>IF(ISNUMBER(D1202),IF(MAX(0,B1202*(1+C1202/12)-D1202-F1202)&lt;MAX(0.0000001,$E$17*0.00000000001),0,MAX(0,B1202*(1+C1202/12)-D1202-F1202)),IF(AND($B$171=1,I1201=1),B1202,""))</x:f>
        <x:v>0</x:v>
      </x:c>
      <x:c r="I1202" s="444" t="n">
        <x:f>IF(OR(I1201=1,AND(E1202&gt;0,$B$78&lt;&gt;"Cash payoff",NOT(AND($B$78="Refinance",ISNUMBER($B$80),$B$80&gt;=0,$B$80&lt;=1,ROUND($B$81*12,0)&gt;=1,$B$81&lt;=100,SUM($B$82)&gt;=0,SUM($B$82)&lt;=1,SUM($B$83)&gt;=0))),AND(ISNUMBER(B1202),B1202&gt;0,$B$171=1,NOT(ISNUMBER(D1202)))),1,0)</x:f>
        <x:v>0</x:v>
      </x:c>
      <x:c r="J1202" s="440" t="n">
        <x:f>IF(ISNUMBER(L1201),L1201,"")</x:f>
        <x:v>0</x:v>
      </x:c>
      <x:c r="K1202" s="440" t="n">
        <x:f>IF(AND(ISNUMBER(J1202),J1202=0),0,IF(AND($B$176=1,ISNUMBER(J1202)),MIN(J1202*(1+$B$87/12),IF($B$86=0,0,IF($B$87=0,$B$86/ROUND($B$88*12,0),$B$86*($B$87/12)/(1-(1+$B$87/12)^(-ROUND($B$88*12,0)))))),""))</x:f>
        <x:v>0</x:v>
      </x:c>
      <x:c r="L1202" s="440" t="n">
        <x:f>IF(ISNUMBER(K1202),IF(MAX(0,J1202*(1+SUM($B$87)/12)-K1202)&lt;MAX(0.0000001,$B$86*0.00000000001),0,MAX(0,J1202*(1+SUM($B$87)/12)-K1202)),"")</x:f>
        <x:v>0</x:v>
      </x:c>
      <x:c r="M1202" s="440" t="n">
        <x:f>IF(AND(ISNUMBER(D1202),ISNUMBER(K1202)),D1202+K1202,"")</x:f>
        <x:v>0</x:v>
      </x:c>
      <x:c r="N1202" s="440" t="n">
        <x:f>IF(AND(ISNUMBER(H1202),ISNUMBER(L1202)),H1202+L1202,"")</x:f>
        <x:v>0</x:v>
      </x:c>
    </x:row>
    <x:row r="1203" ht="22" customHeight="1">
      <x:c r="A1203" s="254" t="n">
        <x:f>803</x:f>
        <x:v>803</x:v>
      </x:c>
      <x:c r="B1203" s="440" t="n">
        <x:f>IF(ISNUMBER(H1202),H1202,"")</x:f>
        <x:v>0</x:v>
      </x:c>
      <x:c r="C1203" s="442" t="n">
        <x:f>IF(ISNUMBER(B1203),IF(AND(803&gt;$B$173,$B$78="Refinance",ISNUMBER($B$80),$B$80&gt;=0,$B$80&lt;=1,ROUND($B$81*12,0)&gt;=1,$B$81&lt;=100,SUM($B$82)&gt;=0,SUM($B$82)&lt;=1,SUM($B$83)&gt;=0),$B$80,IF(AND($B$175&gt;0,803&gt;$B$175,ISNUMBER($B$75)),$B$75,$B$61)),"")</x:f>
        <x:v>0.0625</x:v>
      </x:c>
      <x:c r="D1203" s="440" t="n">
        <x:f>IF(AND(ISNUMBER(B1203),B1203=0),0,IF(AND($B$171=1,I1202=0,ISNUMBER(C1203),ISNUMBER(IF(AND(803&lt;=$B$174,803&lt;=$B$173),B1203*C1203/12,IF(AND(803=$B$173+1,AND(803&gt;$B$173,$B$78="Refinance",ISNUMBER($B$80),$B$80&gt;=0,$B$80&lt;=1,ROUND($B$81*12,0)&gt;=1,$B$81&lt;=100,SUM($B$82)&gt;=0,SUM($B$82)&lt;=1,SUM($B$83)&gt;=0)),IF(B1203=0,0,IF(C1203=0,B1203/ROUND($B$81*12,0),B1203*(C1203/12)/(1-(1+C1203/12)^(-ROUND($B$81*12,0))))),IF(AND(NOT(AND(803&gt;$B$173,$B$78="Refinance",ISNUMBER($B$80),$B$80&gt;=0,$B$80&lt;=1,ROUND($B$81*12,0)&gt;=1,$B$81&lt;=100,SUM($B$82)&gt;=0,SUM($B$82)&lt;=1,SUM($B$83)&gt;=0)),OR(803=1,803=$B$174+1,AND($B$175&gt;0,803=$B$175+1))),IF(AND($B$170=1,$B$66&gt;0,OR($B$175=0,803&lt;=$B$175)),$B$66,IF($B$172-MAX(803-1,$B$174)&gt;0,IF(B1203=0,0,IF(C1203=0,B1203/($B$172-MAX(803-1,$B$174)),B1203*(C1203/12)/(1-(1+C1203/12)^(-($B$172-MAX(803-1,$B$174)))))),"")),D1202))))),IF(IF(AND(803&lt;=$B$174,803&lt;=$B$173),B1203*C1203/12,IF(AND(803=$B$173+1,AND(803&gt;$B$173,$B$78="Refinance",ISNUMBER($B$80),$B$80&gt;=0,$B$80&lt;=1,ROUND($B$81*12,0)&gt;=1,$B$81&lt;=100,SUM($B$82)&gt;=0,SUM($B$82)&lt;=1,SUM($B$83)&gt;=0)),IF(B1203=0,0,IF(C1203=0,B1203/ROUND($B$81*12,0),B1203*(C1203/12)/(1-(1+C1203/12)^(-ROUND($B$81*12,0))))),IF(AND(NOT(AND(803&gt;$B$173,$B$78="Refinance",ISNUMBER($B$80),$B$80&gt;=0,$B$80&lt;=1,ROUND($B$81*12,0)&gt;=1,$B$81&lt;=100,SUM($B$82)&gt;=0,SUM($B$82)&lt;=1,SUM($B$83)&gt;=0)),OR(803=1,803=$B$174+1,AND($B$175&gt;0,803=$B$175+1))),IF(AND($B$170=1,$B$66&gt;0,OR($B$175=0,803&lt;=$B$175)),$B$66,IF($B$172-MAX(803-1,$B$174)&gt;0,IF(B1203=0,0,IF(C1203=0,B1203/($B$172-MAX(803-1,$B$174)),B1203*(C1203/12)/(1-(1+C1203/12)^(-($B$172-MAX(803-1,$B$174)))))),"")),D1202)))+0.0000001&gt;=B1203*C1203/12,MIN(B1203*(1+C1203/12),IF(AND(803&lt;=$B$174,803&lt;=$B$173),B1203*C1203/12,IF(AND(803=$B$173+1,AND(803&gt;$B$173,$B$78="Refinance",ISNUMBER($B$80),$B$80&gt;=0,$B$80&lt;=1,ROUND($B$81*12,0)&gt;=1,$B$81&lt;=100,SUM($B$82)&gt;=0,SUM($B$82)&lt;=1,SUM($B$83)&gt;=0)),IF(B1203=0,0,IF(C1203=0,B1203/ROUND($B$81*12,0),B1203*(C1203/12)/(1-(1+C1203/12)^(-ROUND($B$81*12,0))))),IF(AND(NOT(AND(803&gt;$B$173,$B$78="Refinance",ISNUMBER($B$80),$B$80&gt;=0,$B$80&lt;=1,ROUND($B$81*12,0)&gt;=1,$B$81&lt;=100,SUM($B$82)&gt;=0,SUM($B$82)&lt;=1,SUM($B$83)&gt;=0)),OR(803=1,803=$B$174+1,AND($B$175&gt;0,803=$B$175+1))),IF(AND($B$170=1,$B$66&gt;0,OR($B$175=0,803&lt;=$B$175)),$B$66,IF($B$172-MAX(803-1,$B$174)&gt;0,IF(B1203=0,0,IF(C1203=0,B1203/($B$172-MAX(803-1,$B$174)),B1203*(C1203/12)/(1-(1+C1203/12)^(-($B$172-MAX(803-1,$B$174)))))),"")),D1202)))),""),""))</x:f>
        <x:v>0</x:v>
      </x:c>
      <x:c r="E1203" s="440" t="n">
        <x:f>IF(AND(803=$B$173,ISNUMBER(D1203)),IF(MAX(0,B1203*(1+C1203/12)-D1203)&lt;MAX(0.0000001,$E$17*0.00000000001),0,MAX(0,B1203*(1+C1203/12)-D1203)),0)</x:f>
        <x:v>0</x:v>
      </x:c>
      <x:c r="F1203" s="440" t="n">
        <x:f>IF($B$78="Cash payoff",E1203,0)</x:f>
        <x:v>0</x:v>
      </x:c>
      <x:c r="G1203" s="440" t="n">
        <x:f>IF(AND(E1203&gt;0,AND($B$78="Refinance",ISNUMBER($B$80),$B$80&gt;=0,$B$80&lt;=1,ROUND($B$81*12,0)&gt;=1,$B$81&lt;=100,SUM($B$82)&gt;=0,SUM($B$82)&lt;=1,SUM($B$83)&gt;=0)),E1203*SUM($B$82)+SUM($B$83),0)</x:f>
        <x:v>0</x:v>
      </x:c>
      <x:c r="H1203" s="440" t="n">
        <x:f>IF(ISNUMBER(D1203),IF(MAX(0,B1203*(1+C1203/12)-D1203-F1203)&lt;MAX(0.0000001,$E$17*0.00000000001),0,MAX(0,B1203*(1+C1203/12)-D1203-F1203)),IF(AND($B$171=1,I1202=1),B1203,""))</x:f>
        <x:v>0</x:v>
      </x:c>
      <x:c r="I1203" s="444" t="n">
        <x:f>IF(OR(I1202=1,AND(E1203&gt;0,$B$78&lt;&gt;"Cash payoff",NOT(AND($B$78="Refinance",ISNUMBER($B$80),$B$80&gt;=0,$B$80&lt;=1,ROUND($B$81*12,0)&gt;=1,$B$81&lt;=100,SUM($B$82)&gt;=0,SUM($B$82)&lt;=1,SUM($B$83)&gt;=0))),AND(ISNUMBER(B1203),B1203&gt;0,$B$171=1,NOT(ISNUMBER(D1203)))),1,0)</x:f>
        <x:v>0</x:v>
      </x:c>
      <x:c r="J1203" s="440" t="n">
        <x:f>IF(ISNUMBER(L1202),L1202,"")</x:f>
        <x:v>0</x:v>
      </x:c>
      <x:c r="K1203" s="440" t="n">
        <x:f>IF(AND(ISNUMBER(J1203),J1203=0),0,IF(AND($B$176=1,ISNUMBER(J1203)),MIN(J1203*(1+$B$87/12),IF($B$86=0,0,IF($B$87=0,$B$86/ROUND($B$88*12,0),$B$86*($B$87/12)/(1-(1+$B$87/12)^(-ROUND($B$88*12,0)))))),""))</x:f>
        <x:v>0</x:v>
      </x:c>
      <x:c r="L1203" s="440" t="n">
        <x:f>IF(ISNUMBER(K1203),IF(MAX(0,J1203*(1+SUM($B$87)/12)-K1203)&lt;MAX(0.0000001,$B$86*0.00000000001),0,MAX(0,J1203*(1+SUM($B$87)/12)-K1203)),"")</x:f>
        <x:v>0</x:v>
      </x:c>
      <x:c r="M1203" s="440" t="n">
        <x:f>IF(AND(ISNUMBER(D1203),ISNUMBER(K1203)),D1203+K1203,"")</x:f>
        <x:v>0</x:v>
      </x:c>
      <x:c r="N1203" s="440" t="n">
        <x:f>IF(AND(ISNUMBER(H1203),ISNUMBER(L1203)),H1203+L1203,"")</x:f>
        <x:v>0</x:v>
      </x:c>
    </x:row>
    <x:row r="1204" ht="22" customHeight="1">
      <x:c r="A1204" s="254" t="n">
        <x:f>804</x:f>
        <x:v>804</x:v>
      </x:c>
      <x:c r="B1204" s="440" t="n">
        <x:f>IF(ISNUMBER(H1203),H1203,"")</x:f>
        <x:v>0</x:v>
      </x:c>
      <x:c r="C1204" s="442" t="n">
        <x:f>IF(ISNUMBER(B1204),IF(AND(804&gt;$B$173,$B$78="Refinance",ISNUMBER($B$80),$B$80&gt;=0,$B$80&lt;=1,ROUND($B$81*12,0)&gt;=1,$B$81&lt;=100,SUM($B$82)&gt;=0,SUM($B$82)&lt;=1,SUM($B$83)&gt;=0),$B$80,IF(AND($B$175&gt;0,804&gt;$B$175,ISNUMBER($B$75)),$B$75,$B$61)),"")</x:f>
        <x:v>0.0625</x:v>
      </x:c>
      <x:c r="D1204" s="440" t="n">
        <x:f>IF(AND(ISNUMBER(B1204),B1204=0),0,IF(AND($B$171=1,I1203=0,ISNUMBER(C1204),ISNUMBER(IF(AND(804&lt;=$B$174,804&lt;=$B$173),B1204*C1204/12,IF(AND(804=$B$173+1,AND(804&gt;$B$173,$B$78="Refinance",ISNUMBER($B$80),$B$80&gt;=0,$B$80&lt;=1,ROUND($B$81*12,0)&gt;=1,$B$81&lt;=100,SUM($B$82)&gt;=0,SUM($B$82)&lt;=1,SUM($B$83)&gt;=0)),IF(B1204=0,0,IF(C1204=0,B1204/ROUND($B$81*12,0),B1204*(C1204/12)/(1-(1+C1204/12)^(-ROUND($B$81*12,0))))),IF(AND(NOT(AND(804&gt;$B$173,$B$78="Refinance",ISNUMBER($B$80),$B$80&gt;=0,$B$80&lt;=1,ROUND($B$81*12,0)&gt;=1,$B$81&lt;=100,SUM($B$82)&gt;=0,SUM($B$82)&lt;=1,SUM($B$83)&gt;=0)),OR(804=1,804=$B$174+1,AND($B$175&gt;0,804=$B$175+1))),IF(AND($B$170=1,$B$66&gt;0,OR($B$175=0,804&lt;=$B$175)),$B$66,IF($B$172-MAX(804-1,$B$174)&gt;0,IF(B1204=0,0,IF(C1204=0,B1204/($B$172-MAX(804-1,$B$174)),B1204*(C1204/12)/(1-(1+C1204/12)^(-($B$172-MAX(804-1,$B$174)))))),"")),D1203))))),IF(IF(AND(804&lt;=$B$174,804&lt;=$B$173),B1204*C1204/12,IF(AND(804=$B$173+1,AND(804&gt;$B$173,$B$78="Refinance",ISNUMBER($B$80),$B$80&gt;=0,$B$80&lt;=1,ROUND($B$81*12,0)&gt;=1,$B$81&lt;=100,SUM($B$82)&gt;=0,SUM($B$82)&lt;=1,SUM($B$83)&gt;=0)),IF(B1204=0,0,IF(C1204=0,B1204/ROUND($B$81*12,0),B1204*(C1204/12)/(1-(1+C1204/12)^(-ROUND($B$81*12,0))))),IF(AND(NOT(AND(804&gt;$B$173,$B$78="Refinance",ISNUMBER($B$80),$B$80&gt;=0,$B$80&lt;=1,ROUND($B$81*12,0)&gt;=1,$B$81&lt;=100,SUM($B$82)&gt;=0,SUM($B$82)&lt;=1,SUM($B$83)&gt;=0)),OR(804=1,804=$B$174+1,AND($B$175&gt;0,804=$B$175+1))),IF(AND($B$170=1,$B$66&gt;0,OR($B$175=0,804&lt;=$B$175)),$B$66,IF($B$172-MAX(804-1,$B$174)&gt;0,IF(B1204=0,0,IF(C1204=0,B1204/($B$172-MAX(804-1,$B$174)),B1204*(C1204/12)/(1-(1+C1204/12)^(-($B$172-MAX(804-1,$B$174)))))),"")),D1203)))+0.0000001&gt;=B1204*C1204/12,MIN(B1204*(1+C1204/12),IF(AND(804&lt;=$B$174,804&lt;=$B$173),B1204*C1204/12,IF(AND(804=$B$173+1,AND(804&gt;$B$173,$B$78="Refinance",ISNUMBER($B$80),$B$80&gt;=0,$B$80&lt;=1,ROUND($B$81*12,0)&gt;=1,$B$81&lt;=100,SUM($B$82)&gt;=0,SUM($B$82)&lt;=1,SUM($B$83)&gt;=0)),IF(B1204=0,0,IF(C1204=0,B1204/ROUND($B$81*12,0),B1204*(C1204/12)/(1-(1+C1204/12)^(-ROUND($B$81*12,0))))),IF(AND(NOT(AND(804&gt;$B$173,$B$78="Refinance",ISNUMBER($B$80),$B$80&gt;=0,$B$80&lt;=1,ROUND($B$81*12,0)&gt;=1,$B$81&lt;=100,SUM($B$82)&gt;=0,SUM($B$82)&lt;=1,SUM($B$83)&gt;=0)),OR(804=1,804=$B$174+1,AND($B$175&gt;0,804=$B$175+1))),IF(AND($B$170=1,$B$66&gt;0,OR($B$175=0,804&lt;=$B$175)),$B$66,IF($B$172-MAX(804-1,$B$174)&gt;0,IF(B1204=0,0,IF(C1204=0,B1204/($B$172-MAX(804-1,$B$174)),B1204*(C1204/12)/(1-(1+C1204/12)^(-($B$172-MAX(804-1,$B$174)))))),"")),D1203)))),""),""))</x:f>
        <x:v>0</x:v>
      </x:c>
      <x:c r="E1204" s="440" t="n">
        <x:f>IF(AND(804=$B$173,ISNUMBER(D1204)),IF(MAX(0,B1204*(1+C1204/12)-D1204)&lt;MAX(0.0000001,$E$17*0.00000000001),0,MAX(0,B1204*(1+C1204/12)-D1204)),0)</x:f>
        <x:v>0</x:v>
      </x:c>
      <x:c r="F1204" s="440" t="n">
        <x:f>IF($B$78="Cash payoff",E1204,0)</x:f>
        <x:v>0</x:v>
      </x:c>
      <x:c r="G1204" s="440" t="n">
        <x:f>IF(AND(E1204&gt;0,AND($B$78="Refinance",ISNUMBER($B$80),$B$80&gt;=0,$B$80&lt;=1,ROUND($B$81*12,0)&gt;=1,$B$81&lt;=100,SUM($B$82)&gt;=0,SUM($B$82)&lt;=1,SUM($B$83)&gt;=0)),E1204*SUM($B$82)+SUM($B$83),0)</x:f>
        <x:v>0</x:v>
      </x:c>
      <x:c r="H1204" s="440" t="n">
        <x:f>IF(ISNUMBER(D1204),IF(MAX(0,B1204*(1+C1204/12)-D1204-F1204)&lt;MAX(0.0000001,$E$17*0.00000000001),0,MAX(0,B1204*(1+C1204/12)-D1204-F1204)),IF(AND($B$171=1,I1203=1),B1204,""))</x:f>
        <x:v>0</x:v>
      </x:c>
      <x:c r="I1204" s="444" t="n">
        <x:f>IF(OR(I1203=1,AND(E1204&gt;0,$B$78&lt;&gt;"Cash payoff",NOT(AND($B$78="Refinance",ISNUMBER($B$80),$B$80&gt;=0,$B$80&lt;=1,ROUND($B$81*12,0)&gt;=1,$B$81&lt;=100,SUM($B$82)&gt;=0,SUM($B$82)&lt;=1,SUM($B$83)&gt;=0))),AND(ISNUMBER(B1204),B1204&gt;0,$B$171=1,NOT(ISNUMBER(D1204)))),1,0)</x:f>
        <x:v>0</x:v>
      </x:c>
      <x:c r="J1204" s="440" t="n">
        <x:f>IF(ISNUMBER(L1203),L1203,"")</x:f>
        <x:v>0</x:v>
      </x:c>
      <x:c r="K1204" s="440" t="n">
        <x:f>IF(AND(ISNUMBER(J1204),J1204=0),0,IF(AND($B$176=1,ISNUMBER(J1204)),MIN(J1204*(1+$B$87/12),IF($B$86=0,0,IF($B$87=0,$B$86/ROUND($B$88*12,0),$B$86*($B$87/12)/(1-(1+$B$87/12)^(-ROUND($B$88*12,0)))))),""))</x:f>
        <x:v>0</x:v>
      </x:c>
      <x:c r="L1204" s="440" t="n">
        <x:f>IF(ISNUMBER(K1204),IF(MAX(0,J1204*(1+SUM($B$87)/12)-K1204)&lt;MAX(0.0000001,$B$86*0.00000000001),0,MAX(0,J1204*(1+SUM($B$87)/12)-K1204)),"")</x:f>
        <x:v>0</x:v>
      </x:c>
      <x:c r="M1204" s="440" t="n">
        <x:f>IF(AND(ISNUMBER(D1204),ISNUMBER(K1204)),D1204+K1204,"")</x:f>
        <x:v>0</x:v>
      </x:c>
      <x:c r="N1204" s="440" t="n">
        <x:f>IF(AND(ISNUMBER(H1204),ISNUMBER(L1204)),H1204+L1204,"")</x:f>
        <x:v>0</x:v>
      </x:c>
    </x:row>
    <x:row r="1205" ht="22" customHeight="1">
      <x:c r="A1205" s="254" t="n">
        <x:f>805</x:f>
        <x:v>805</x:v>
      </x:c>
      <x:c r="B1205" s="440" t="n">
        <x:f>IF(ISNUMBER(H1204),H1204,"")</x:f>
        <x:v>0</x:v>
      </x:c>
      <x:c r="C1205" s="442" t="n">
        <x:f>IF(ISNUMBER(B1205),IF(AND(805&gt;$B$173,$B$78="Refinance",ISNUMBER($B$80),$B$80&gt;=0,$B$80&lt;=1,ROUND($B$81*12,0)&gt;=1,$B$81&lt;=100,SUM($B$82)&gt;=0,SUM($B$82)&lt;=1,SUM($B$83)&gt;=0),$B$80,IF(AND($B$175&gt;0,805&gt;$B$175,ISNUMBER($B$75)),$B$75,$B$61)),"")</x:f>
        <x:v>0.0625</x:v>
      </x:c>
      <x:c r="D1205" s="440" t="n">
        <x:f>IF(AND(ISNUMBER(B1205),B1205=0),0,IF(AND($B$171=1,I1204=0,ISNUMBER(C1205),ISNUMBER(IF(AND(805&lt;=$B$174,805&lt;=$B$173),B1205*C1205/12,IF(AND(805=$B$173+1,AND(805&gt;$B$173,$B$78="Refinance",ISNUMBER($B$80),$B$80&gt;=0,$B$80&lt;=1,ROUND($B$81*12,0)&gt;=1,$B$81&lt;=100,SUM($B$82)&gt;=0,SUM($B$82)&lt;=1,SUM($B$83)&gt;=0)),IF(B1205=0,0,IF(C1205=0,B1205/ROUND($B$81*12,0),B1205*(C1205/12)/(1-(1+C1205/12)^(-ROUND($B$81*12,0))))),IF(AND(NOT(AND(805&gt;$B$173,$B$78="Refinance",ISNUMBER($B$80),$B$80&gt;=0,$B$80&lt;=1,ROUND($B$81*12,0)&gt;=1,$B$81&lt;=100,SUM($B$82)&gt;=0,SUM($B$82)&lt;=1,SUM($B$83)&gt;=0)),OR(805=1,805=$B$174+1,AND($B$175&gt;0,805=$B$175+1))),IF(AND($B$170=1,$B$66&gt;0,OR($B$175=0,805&lt;=$B$175)),$B$66,IF($B$172-MAX(805-1,$B$174)&gt;0,IF(B1205=0,0,IF(C1205=0,B1205/($B$172-MAX(805-1,$B$174)),B1205*(C1205/12)/(1-(1+C1205/12)^(-($B$172-MAX(805-1,$B$174)))))),"")),D1204))))),IF(IF(AND(805&lt;=$B$174,805&lt;=$B$173),B1205*C1205/12,IF(AND(805=$B$173+1,AND(805&gt;$B$173,$B$78="Refinance",ISNUMBER($B$80),$B$80&gt;=0,$B$80&lt;=1,ROUND($B$81*12,0)&gt;=1,$B$81&lt;=100,SUM($B$82)&gt;=0,SUM($B$82)&lt;=1,SUM($B$83)&gt;=0)),IF(B1205=0,0,IF(C1205=0,B1205/ROUND($B$81*12,0),B1205*(C1205/12)/(1-(1+C1205/12)^(-ROUND($B$81*12,0))))),IF(AND(NOT(AND(805&gt;$B$173,$B$78="Refinance",ISNUMBER($B$80),$B$80&gt;=0,$B$80&lt;=1,ROUND($B$81*12,0)&gt;=1,$B$81&lt;=100,SUM($B$82)&gt;=0,SUM($B$82)&lt;=1,SUM($B$83)&gt;=0)),OR(805=1,805=$B$174+1,AND($B$175&gt;0,805=$B$175+1))),IF(AND($B$170=1,$B$66&gt;0,OR($B$175=0,805&lt;=$B$175)),$B$66,IF($B$172-MAX(805-1,$B$174)&gt;0,IF(B1205=0,0,IF(C1205=0,B1205/($B$172-MAX(805-1,$B$174)),B1205*(C1205/12)/(1-(1+C1205/12)^(-($B$172-MAX(805-1,$B$174)))))),"")),D1204)))+0.0000001&gt;=B1205*C1205/12,MIN(B1205*(1+C1205/12),IF(AND(805&lt;=$B$174,805&lt;=$B$173),B1205*C1205/12,IF(AND(805=$B$173+1,AND(805&gt;$B$173,$B$78="Refinance",ISNUMBER($B$80),$B$80&gt;=0,$B$80&lt;=1,ROUND($B$81*12,0)&gt;=1,$B$81&lt;=100,SUM($B$82)&gt;=0,SUM($B$82)&lt;=1,SUM($B$83)&gt;=0)),IF(B1205=0,0,IF(C1205=0,B1205/ROUND($B$81*12,0),B1205*(C1205/12)/(1-(1+C1205/12)^(-ROUND($B$81*12,0))))),IF(AND(NOT(AND(805&gt;$B$173,$B$78="Refinance",ISNUMBER($B$80),$B$80&gt;=0,$B$80&lt;=1,ROUND($B$81*12,0)&gt;=1,$B$81&lt;=100,SUM($B$82)&gt;=0,SUM($B$82)&lt;=1,SUM($B$83)&gt;=0)),OR(805=1,805=$B$174+1,AND($B$175&gt;0,805=$B$175+1))),IF(AND($B$170=1,$B$66&gt;0,OR($B$175=0,805&lt;=$B$175)),$B$66,IF($B$172-MAX(805-1,$B$174)&gt;0,IF(B1205=0,0,IF(C1205=0,B1205/($B$172-MAX(805-1,$B$174)),B1205*(C1205/12)/(1-(1+C1205/12)^(-($B$172-MAX(805-1,$B$174)))))),"")),D1204)))),""),""))</x:f>
        <x:v>0</x:v>
      </x:c>
      <x:c r="E1205" s="440" t="n">
        <x:f>IF(AND(805=$B$173,ISNUMBER(D1205)),IF(MAX(0,B1205*(1+C1205/12)-D1205)&lt;MAX(0.0000001,$E$17*0.00000000001),0,MAX(0,B1205*(1+C1205/12)-D1205)),0)</x:f>
        <x:v>0</x:v>
      </x:c>
      <x:c r="F1205" s="440" t="n">
        <x:f>IF($B$78="Cash payoff",E1205,0)</x:f>
        <x:v>0</x:v>
      </x:c>
      <x:c r="G1205" s="440" t="n">
        <x:f>IF(AND(E1205&gt;0,AND($B$78="Refinance",ISNUMBER($B$80),$B$80&gt;=0,$B$80&lt;=1,ROUND($B$81*12,0)&gt;=1,$B$81&lt;=100,SUM($B$82)&gt;=0,SUM($B$82)&lt;=1,SUM($B$83)&gt;=0)),E1205*SUM($B$82)+SUM($B$83),0)</x:f>
        <x:v>0</x:v>
      </x:c>
      <x:c r="H1205" s="440" t="n">
        <x:f>IF(ISNUMBER(D1205),IF(MAX(0,B1205*(1+C1205/12)-D1205-F1205)&lt;MAX(0.0000001,$E$17*0.00000000001),0,MAX(0,B1205*(1+C1205/12)-D1205-F1205)),IF(AND($B$171=1,I1204=1),B1205,""))</x:f>
        <x:v>0</x:v>
      </x:c>
      <x:c r="I1205" s="444" t="n">
        <x:f>IF(OR(I1204=1,AND(E1205&gt;0,$B$78&lt;&gt;"Cash payoff",NOT(AND($B$78="Refinance",ISNUMBER($B$80),$B$80&gt;=0,$B$80&lt;=1,ROUND($B$81*12,0)&gt;=1,$B$81&lt;=100,SUM($B$82)&gt;=0,SUM($B$82)&lt;=1,SUM($B$83)&gt;=0))),AND(ISNUMBER(B1205),B1205&gt;0,$B$171=1,NOT(ISNUMBER(D1205)))),1,0)</x:f>
        <x:v>0</x:v>
      </x:c>
      <x:c r="J1205" s="440" t="n">
        <x:f>IF(ISNUMBER(L1204),L1204,"")</x:f>
        <x:v>0</x:v>
      </x:c>
      <x:c r="K1205" s="440" t="n">
        <x:f>IF(AND(ISNUMBER(J1205),J1205=0),0,IF(AND($B$176=1,ISNUMBER(J1205)),MIN(J1205*(1+$B$87/12),IF($B$86=0,0,IF($B$87=0,$B$86/ROUND($B$88*12,0),$B$86*($B$87/12)/(1-(1+$B$87/12)^(-ROUND($B$88*12,0)))))),""))</x:f>
        <x:v>0</x:v>
      </x:c>
      <x:c r="L1205" s="440" t="n">
        <x:f>IF(ISNUMBER(K1205),IF(MAX(0,J1205*(1+SUM($B$87)/12)-K1205)&lt;MAX(0.0000001,$B$86*0.00000000001),0,MAX(0,J1205*(1+SUM($B$87)/12)-K1205)),"")</x:f>
        <x:v>0</x:v>
      </x:c>
      <x:c r="M1205" s="440" t="n">
        <x:f>IF(AND(ISNUMBER(D1205),ISNUMBER(K1205)),D1205+K1205,"")</x:f>
        <x:v>0</x:v>
      </x:c>
      <x:c r="N1205" s="440" t="n">
        <x:f>IF(AND(ISNUMBER(H1205),ISNUMBER(L1205)),H1205+L1205,"")</x:f>
        <x:v>0</x:v>
      </x:c>
    </x:row>
    <x:row r="1206" ht="22" customHeight="1">
      <x:c r="A1206" s="254" t="n">
        <x:f>806</x:f>
        <x:v>806</x:v>
      </x:c>
      <x:c r="B1206" s="440" t="n">
        <x:f>IF(ISNUMBER(H1205),H1205,"")</x:f>
        <x:v>0</x:v>
      </x:c>
      <x:c r="C1206" s="442" t="n">
        <x:f>IF(ISNUMBER(B1206),IF(AND(806&gt;$B$173,$B$78="Refinance",ISNUMBER($B$80),$B$80&gt;=0,$B$80&lt;=1,ROUND($B$81*12,0)&gt;=1,$B$81&lt;=100,SUM($B$82)&gt;=0,SUM($B$82)&lt;=1,SUM($B$83)&gt;=0),$B$80,IF(AND($B$175&gt;0,806&gt;$B$175,ISNUMBER($B$75)),$B$75,$B$61)),"")</x:f>
        <x:v>0.0625</x:v>
      </x:c>
      <x:c r="D1206" s="440" t="n">
        <x:f>IF(AND(ISNUMBER(B1206),B1206=0),0,IF(AND($B$171=1,I1205=0,ISNUMBER(C1206),ISNUMBER(IF(AND(806&lt;=$B$174,806&lt;=$B$173),B1206*C1206/12,IF(AND(806=$B$173+1,AND(806&gt;$B$173,$B$78="Refinance",ISNUMBER($B$80),$B$80&gt;=0,$B$80&lt;=1,ROUND($B$81*12,0)&gt;=1,$B$81&lt;=100,SUM($B$82)&gt;=0,SUM($B$82)&lt;=1,SUM($B$83)&gt;=0)),IF(B1206=0,0,IF(C1206=0,B1206/ROUND($B$81*12,0),B1206*(C1206/12)/(1-(1+C1206/12)^(-ROUND($B$81*12,0))))),IF(AND(NOT(AND(806&gt;$B$173,$B$78="Refinance",ISNUMBER($B$80),$B$80&gt;=0,$B$80&lt;=1,ROUND($B$81*12,0)&gt;=1,$B$81&lt;=100,SUM($B$82)&gt;=0,SUM($B$82)&lt;=1,SUM($B$83)&gt;=0)),OR(806=1,806=$B$174+1,AND($B$175&gt;0,806=$B$175+1))),IF(AND($B$170=1,$B$66&gt;0,OR($B$175=0,806&lt;=$B$175)),$B$66,IF($B$172-MAX(806-1,$B$174)&gt;0,IF(B1206=0,0,IF(C1206=0,B1206/($B$172-MAX(806-1,$B$174)),B1206*(C1206/12)/(1-(1+C1206/12)^(-($B$172-MAX(806-1,$B$174)))))),"")),D1205))))),IF(IF(AND(806&lt;=$B$174,806&lt;=$B$173),B1206*C1206/12,IF(AND(806=$B$173+1,AND(806&gt;$B$173,$B$78="Refinance",ISNUMBER($B$80),$B$80&gt;=0,$B$80&lt;=1,ROUND($B$81*12,0)&gt;=1,$B$81&lt;=100,SUM($B$82)&gt;=0,SUM($B$82)&lt;=1,SUM($B$83)&gt;=0)),IF(B1206=0,0,IF(C1206=0,B1206/ROUND($B$81*12,0),B1206*(C1206/12)/(1-(1+C1206/12)^(-ROUND($B$81*12,0))))),IF(AND(NOT(AND(806&gt;$B$173,$B$78="Refinance",ISNUMBER($B$80),$B$80&gt;=0,$B$80&lt;=1,ROUND($B$81*12,0)&gt;=1,$B$81&lt;=100,SUM($B$82)&gt;=0,SUM($B$82)&lt;=1,SUM($B$83)&gt;=0)),OR(806=1,806=$B$174+1,AND($B$175&gt;0,806=$B$175+1))),IF(AND($B$170=1,$B$66&gt;0,OR($B$175=0,806&lt;=$B$175)),$B$66,IF($B$172-MAX(806-1,$B$174)&gt;0,IF(B1206=0,0,IF(C1206=0,B1206/($B$172-MAX(806-1,$B$174)),B1206*(C1206/12)/(1-(1+C1206/12)^(-($B$172-MAX(806-1,$B$174)))))),"")),D1205)))+0.0000001&gt;=B1206*C1206/12,MIN(B1206*(1+C1206/12),IF(AND(806&lt;=$B$174,806&lt;=$B$173),B1206*C1206/12,IF(AND(806=$B$173+1,AND(806&gt;$B$173,$B$78="Refinance",ISNUMBER($B$80),$B$80&gt;=0,$B$80&lt;=1,ROUND($B$81*12,0)&gt;=1,$B$81&lt;=100,SUM($B$82)&gt;=0,SUM($B$82)&lt;=1,SUM($B$83)&gt;=0)),IF(B1206=0,0,IF(C1206=0,B1206/ROUND($B$81*12,0),B1206*(C1206/12)/(1-(1+C1206/12)^(-ROUND($B$81*12,0))))),IF(AND(NOT(AND(806&gt;$B$173,$B$78="Refinance",ISNUMBER($B$80),$B$80&gt;=0,$B$80&lt;=1,ROUND($B$81*12,0)&gt;=1,$B$81&lt;=100,SUM($B$82)&gt;=0,SUM($B$82)&lt;=1,SUM($B$83)&gt;=0)),OR(806=1,806=$B$174+1,AND($B$175&gt;0,806=$B$175+1))),IF(AND($B$170=1,$B$66&gt;0,OR($B$175=0,806&lt;=$B$175)),$B$66,IF($B$172-MAX(806-1,$B$174)&gt;0,IF(B1206=0,0,IF(C1206=0,B1206/($B$172-MAX(806-1,$B$174)),B1206*(C1206/12)/(1-(1+C1206/12)^(-($B$172-MAX(806-1,$B$174)))))),"")),D1205)))),""),""))</x:f>
        <x:v>0</x:v>
      </x:c>
      <x:c r="E1206" s="440" t="n">
        <x:f>IF(AND(806=$B$173,ISNUMBER(D1206)),IF(MAX(0,B1206*(1+C1206/12)-D1206)&lt;MAX(0.0000001,$E$17*0.00000000001),0,MAX(0,B1206*(1+C1206/12)-D1206)),0)</x:f>
        <x:v>0</x:v>
      </x:c>
      <x:c r="F1206" s="440" t="n">
        <x:f>IF($B$78="Cash payoff",E1206,0)</x:f>
        <x:v>0</x:v>
      </x:c>
      <x:c r="G1206" s="440" t="n">
        <x:f>IF(AND(E1206&gt;0,AND($B$78="Refinance",ISNUMBER($B$80),$B$80&gt;=0,$B$80&lt;=1,ROUND($B$81*12,0)&gt;=1,$B$81&lt;=100,SUM($B$82)&gt;=0,SUM($B$82)&lt;=1,SUM($B$83)&gt;=0)),E1206*SUM($B$82)+SUM($B$83),0)</x:f>
        <x:v>0</x:v>
      </x:c>
      <x:c r="H1206" s="440" t="n">
        <x:f>IF(ISNUMBER(D1206),IF(MAX(0,B1206*(1+C1206/12)-D1206-F1206)&lt;MAX(0.0000001,$E$17*0.00000000001),0,MAX(0,B1206*(1+C1206/12)-D1206-F1206)),IF(AND($B$171=1,I1205=1),B1206,""))</x:f>
        <x:v>0</x:v>
      </x:c>
      <x:c r="I1206" s="444" t="n">
        <x:f>IF(OR(I1205=1,AND(E1206&gt;0,$B$78&lt;&gt;"Cash payoff",NOT(AND($B$78="Refinance",ISNUMBER($B$80),$B$80&gt;=0,$B$80&lt;=1,ROUND($B$81*12,0)&gt;=1,$B$81&lt;=100,SUM($B$82)&gt;=0,SUM($B$82)&lt;=1,SUM($B$83)&gt;=0))),AND(ISNUMBER(B1206),B1206&gt;0,$B$171=1,NOT(ISNUMBER(D1206)))),1,0)</x:f>
        <x:v>0</x:v>
      </x:c>
      <x:c r="J1206" s="440" t="n">
        <x:f>IF(ISNUMBER(L1205),L1205,"")</x:f>
        <x:v>0</x:v>
      </x:c>
      <x:c r="K1206" s="440" t="n">
        <x:f>IF(AND(ISNUMBER(J1206),J1206=0),0,IF(AND($B$176=1,ISNUMBER(J1206)),MIN(J1206*(1+$B$87/12),IF($B$86=0,0,IF($B$87=0,$B$86/ROUND($B$88*12,0),$B$86*($B$87/12)/(1-(1+$B$87/12)^(-ROUND($B$88*12,0)))))),""))</x:f>
        <x:v>0</x:v>
      </x:c>
      <x:c r="L1206" s="440" t="n">
        <x:f>IF(ISNUMBER(K1206),IF(MAX(0,J1206*(1+SUM($B$87)/12)-K1206)&lt;MAX(0.0000001,$B$86*0.00000000001),0,MAX(0,J1206*(1+SUM($B$87)/12)-K1206)),"")</x:f>
        <x:v>0</x:v>
      </x:c>
      <x:c r="M1206" s="440" t="n">
        <x:f>IF(AND(ISNUMBER(D1206),ISNUMBER(K1206)),D1206+K1206,"")</x:f>
        <x:v>0</x:v>
      </x:c>
      <x:c r="N1206" s="440" t="n">
        <x:f>IF(AND(ISNUMBER(H1206),ISNUMBER(L1206)),H1206+L1206,"")</x:f>
        <x:v>0</x:v>
      </x:c>
    </x:row>
    <x:row r="1207" ht="22" customHeight="1">
      <x:c r="A1207" s="254" t="n">
        <x:f>807</x:f>
        <x:v>807</x:v>
      </x:c>
      <x:c r="B1207" s="440" t="n">
        <x:f>IF(ISNUMBER(H1206),H1206,"")</x:f>
        <x:v>0</x:v>
      </x:c>
      <x:c r="C1207" s="442" t="n">
        <x:f>IF(ISNUMBER(B1207),IF(AND(807&gt;$B$173,$B$78="Refinance",ISNUMBER($B$80),$B$80&gt;=0,$B$80&lt;=1,ROUND($B$81*12,0)&gt;=1,$B$81&lt;=100,SUM($B$82)&gt;=0,SUM($B$82)&lt;=1,SUM($B$83)&gt;=0),$B$80,IF(AND($B$175&gt;0,807&gt;$B$175,ISNUMBER($B$75)),$B$75,$B$61)),"")</x:f>
        <x:v>0.0625</x:v>
      </x:c>
      <x:c r="D1207" s="440" t="n">
        <x:f>IF(AND(ISNUMBER(B1207),B1207=0),0,IF(AND($B$171=1,I1206=0,ISNUMBER(C1207),ISNUMBER(IF(AND(807&lt;=$B$174,807&lt;=$B$173),B1207*C1207/12,IF(AND(807=$B$173+1,AND(807&gt;$B$173,$B$78="Refinance",ISNUMBER($B$80),$B$80&gt;=0,$B$80&lt;=1,ROUND($B$81*12,0)&gt;=1,$B$81&lt;=100,SUM($B$82)&gt;=0,SUM($B$82)&lt;=1,SUM($B$83)&gt;=0)),IF(B1207=0,0,IF(C1207=0,B1207/ROUND($B$81*12,0),B1207*(C1207/12)/(1-(1+C1207/12)^(-ROUND($B$81*12,0))))),IF(AND(NOT(AND(807&gt;$B$173,$B$78="Refinance",ISNUMBER($B$80),$B$80&gt;=0,$B$80&lt;=1,ROUND($B$81*12,0)&gt;=1,$B$81&lt;=100,SUM($B$82)&gt;=0,SUM($B$82)&lt;=1,SUM($B$83)&gt;=0)),OR(807=1,807=$B$174+1,AND($B$175&gt;0,807=$B$175+1))),IF(AND($B$170=1,$B$66&gt;0,OR($B$175=0,807&lt;=$B$175)),$B$66,IF($B$172-MAX(807-1,$B$174)&gt;0,IF(B1207=0,0,IF(C1207=0,B1207/($B$172-MAX(807-1,$B$174)),B1207*(C1207/12)/(1-(1+C1207/12)^(-($B$172-MAX(807-1,$B$174)))))),"")),D1206))))),IF(IF(AND(807&lt;=$B$174,807&lt;=$B$173),B1207*C1207/12,IF(AND(807=$B$173+1,AND(807&gt;$B$173,$B$78="Refinance",ISNUMBER($B$80),$B$80&gt;=0,$B$80&lt;=1,ROUND($B$81*12,0)&gt;=1,$B$81&lt;=100,SUM($B$82)&gt;=0,SUM($B$82)&lt;=1,SUM($B$83)&gt;=0)),IF(B1207=0,0,IF(C1207=0,B1207/ROUND($B$81*12,0),B1207*(C1207/12)/(1-(1+C1207/12)^(-ROUND($B$81*12,0))))),IF(AND(NOT(AND(807&gt;$B$173,$B$78="Refinance",ISNUMBER($B$80),$B$80&gt;=0,$B$80&lt;=1,ROUND($B$81*12,0)&gt;=1,$B$81&lt;=100,SUM($B$82)&gt;=0,SUM($B$82)&lt;=1,SUM($B$83)&gt;=0)),OR(807=1,807=$B$174+1,AND($B$175&gt;0,807=$B$175+1))),IF(AND($B$170=1,$B$66&gt;0,OR($B$175=0,807&lt;=$B$175)),$B$66,IF($B$172-MAX(807-1,$B$174)&gt;0,IF(B1207=0,0,IF(C1207=0,B1207/($B$172-MAX(807-1,$B$174)),B1207*(C1207/12)/(1-(1+C1207/12)^(-($B$172-MAX(807-1,$B$174)))))),"")),D1206)))+0.0000001&gt;=B1207*C1207/12,MIN(B1207*(1+C1207/12),IF(AND(807&lt;=$B$174,807&lt;=$B$173),B1207*C1207/12,IF(AND(807=$B$173+1,AND(807&gt;$B$173,$B$78="Refinance",ISNUMBER($B$80),$B$80&gt;=0,$B$80&lt;=1,ROUND($B$81*12,0)&gt;=1,$B$81&lt;=100,SUM($B$82)&gt;=0,SUM($B$82)&lt;=1,SUM($B$83)&gt;=0)),IF(B1207=0,0,IF(C1207=0,B1207/ROUND($B$81*12,0),B1207*(C1207/12)/(1-(1+C1207/12)^(-ROUND($B$81*12,0))))),IF(AND(NOT(AND(807&gt;$B$173,$B$78="Refinance",ISNUMBER($B$80),$B$80&gt;=0,$B$80&lt;=1,ROUND($B$81*12,0)&gt;=1,$B$81&lt;=100,SUM($B$82)&gt;=0,SUM($B$82)&lt;=1,SUM($B$83)&gt;=0)),OR(807=1,807=$B$174+1,AND($B$175&gt;0,807=$B$175+1))),IF(AND($B$170=1,$B$66&gt;0,OR($B$175=0,807&lt;=$B$175)),$B$66,IF($B$172-MAX(807-1,$B$174)&gt;0,IF(B1207=0,0,IF(C1207=0,B1207/($B$172-MAX(807-1,$B$174)),B1207*(C1207/12)/(1-(1+C1207/12)^(-($B$172-MAX(807-1,$B$174)))))),"")),D1206)))),""),""))</x:f>
        <x:v>0</x:v>
      </x:c>
      <x:c r="E1207" s="440" t="n">
        <x:f>IF(AND(807=$B$173,ISNUMBER(D1207)),IF(MAX(0,B1207*(1+C1207/12)-D1207)&lt;MAX(0.0000001,$E$17*0.00000000001),0,MAX(0,B1207*(1+C1207/12)-D1207)),0)</x:f>
        <x:v>0</x:v>
      </x:c>
      <x:c r="F1207" s="440" t="n">
        <x:f>IF($B$78="Cash payoff",E1207,0)</x:f>
        <x:v>0</x:v>
      </x:c>
      <x:c r="G1207" s="440" t="n">
        <x:f>IF(AND(E1207&gt;0,AND($B$78="Refinance",ISNUMBER($B$80),$B$80&gt;=0,$B$80&lt;=1,ROUND($B$81*12,0)&gt;=1,$B$81&lt;=100,SUM($B$82)&gt;=0,SUM($B$82)&lt;=1,SUM($B$83)&gt;=0)),E1207*SUM($B$82)+SUM($B$83),0)</x:f>
        <x:v>0</x:v>
      </x:c>
      <x:c r="H1207" s="440" t="n">
        <x:f>IF(ISNUMBER(D1207),IF(MAX(0,B1207*(1+C1207/12)-D1207-F1207)&lt;MAX(0.0000001,$E$17*0.00000000001),0,MAX(0,B1207*(1+C1207/12)-D1207-F1207)),IF(AND($B$171=1,I1206=1),B1207,""))</x:f>
        <x:v>0</x:v>
      </x:c>
      <x:c r="I1207" s="444" t="n">
        <x:f>IF(OR(I1206=1,AND(E1207&gt;0,$B$78&lt;&gt;"Cash payoff",NOT(AND($B$78="Refinance",ISNUMBER($B$80),$B$80&gt;=0,$B$80&lt;=1,ROUND($B$81*12,0)&gt;=1,$B$81&lt;=100,SUM($B$82)&gt;=0,SUM($B$82)&lt;=1,SUM($B$83)&gt;=0))),AND(ISNUMBER(B1207),B1207&gt;0,$B$171=1,NOT(ISNUMBER(D1207)))),1,0)</x:f>
        <x:v>0</x:v>
      </x:c>
      <x:c r="J1207" s="440" t="n">
        <x:f>IF(ISNUMBER(L1206),L1206,"")</x:f>
        <x:v>0</x:v>
      </x:c>
      <x:c r="K1207" s="440" t="n">
        <x:f>IF(AND(ISNUMBER(J1207),J1207=0),0,IF(AND($B$176=1,ISNUMBER(J1207)),MIN(J1207*(1+$B$87/12),IF($B$86=0,0,IF($B$87=0,$B$86/ROUND($B$88*12,0),$B$86*($B$87/12)/(1-(1+$B$87/12)^(-ROUND($B$88*12,0)))))),""))</x:f>
        <x:v>0</x:v>
      </x:c>
      <x:c r="L1207" s="440" t="n">
        <x:f>IF(ISNUMBER(K1207),IF(MAX(0,J1207*(1+SUM($B$87)/12)-K1207)&lt;MAX(0.0000001,$B$86*0.00000000001),0,MAX(0,J1207*(1+SUM($B$87)/12)-K1207)),"")</x:f>
        <x:v>0</x:v>
      </x:c>
      <x:c r="M1207" s="440" t="n">
        <x:f>IF(AND(ISNUMBER(D1207),ISNUMBER(K1207)),D1207+K1207,"")</x:f>
        <x:v>0</x:v>
      </x:c>
      <x:c r="N1207" s="440" t="n">
        <x:f>IF(AND(ISNUMBER(H1207),ISNUMBER(L1207)),H1207+L1207,"")</x:f>
        <x:v>0</x:v>
      </x:c>
    </x:row>
    <x:row r="1208" ht="22" customHeight="1">
      <x:c r="A1208" s="254" t="n">
        <x:f>808</x:f>
        <x:v>808</x:v>
      </x:c>
      <x:c r="B1208" s="440" t="n">
        <x:f>IF(ISNUMBER(H1207),H1207,"")</x:f>
        <x:v>0</x:v>
      </x:c>
      <x:c r="C1208" s="442" t="n">
        <x:f>IF(ISNUMBER(B1208),IF(AND(808&gt;$B$173,$B$78="Refinance",ISNUMBER($B$80),$B$80&gt;=0,$B$80&lt;=1,ROUND($B$81*12,0)&gt;=1,$B$81&lt;=100,SUM($B$82)&gt;=0,SUM($B$82)&lt;=1,SUM($B$83)&gt;=0),$B$80,IF(AND($B$175&gt;0,808&gt;$B$175,ISNUMBER($B$75)),$B$75,$B$61)),"")</x:f>
        <x:v>0.0625</x:v>
      </x:c>
      <x:c r="D1208" s="440" t="n">
        <x:f>IF(AND(ISNUMBER(B1208),B1208=0),0,IF(AND($B$171=1,I1207=0,ISNUMBER(C1208),ISNUMBER(IF(AND(808&lt;=$B$174,808&lt;=$B$173),B1208*C1208/12,IF(AND(808=$B$173+1,AND(808&gt;$B$173,$B$78="Refinance",ISNUMBER($B$80),$B$80&gt;=0,$B$80&lt;=1,ROUND($B$81*12,0)&gt;=1,$B$81&lt;=100,SUM($B$82)&gt;=0,SUM($B$82)&lt;=1,SUM($B$83)&gt;=0)),IF(B1208=0,0,IF(C1208=0,B1208/ROUND($B$81*12,0),B1208*(C1208/12)/(1-(1+C1208/12)^(-ROUND($B$81*12,0))))),IF(AND(NOT(AND(808&gt;$B$173,$B$78="Refinance",ISNUMBER($B$80),$B$80&gt;=0,$B$80&lt;=1,ROUND($B$81*12,0)&gt;=1,$B$81&lt;=100,SUM($B$82)&gt;=0,SUM($B$82)&lt;=1,SUM($B$83)&gt;=0)),OR(808=1,808=$B$174+1,AND($B$175&gt;0,808=$B$175+1))),IF(AND($B$170=1,$B$66&gt;0,OR($B$175=0,808&lt;=$B$175)),$B$66,IF($B$172-MAX(808-1,$B$174)&gt;0,IF(B1208=0,0,IF(C1208=0,B1208/($B$172-MAX(808-1,$B$174)),B1208*(C1208/12)/(1-(1+C1208/12)^(-($B$172-MAX(808-1,$B$174)))))),"")),D1207))))),IF(IF(AND(808&lt;=$B$174,808&lt;=$B$173),B1208*C1208/12,IF(AND(808=$B$173+1,AND(808&gt;$B$173,$B$78="Refinance",ISNUMBER($B$80),$B$80&gt;=0,$B$80&lt;=1,ROUND($B$81*12,0)&gt;=1,$B$81&lt;=100,SUM($B$82)&gt;=0,SUM($B$82)&lt;=1,SUM($B$83)&gt;=0)),IF(B1208=0,0,IF(C1208=0,B1208/ROUND($B$81*12,0),B1208*(C1208/12)/(1-(1+C1208/12)^(-ROUND($B$81*12,0))))),IF(AND(NOT(AND(808&gt;$B$173,$B$78="Refinance",ISNUMBER($B$80),$B$80&gt;=0,$B$80&lt;=1,ROUND($B$81*12,0)&gt;=1,$B$81&lt;=100,SUM($B$82)&gt;=0,SUM($B$82)&lt;=1,SUM($B$83)&gt;=0)),OR(808=1,808=$B$174+1,AND($B$175&gt;0,808=$B$175+1))),IF(AND($B$170=1,$B$66&gt;0,OR($B$175=0,808&lt;=$B$175)),$B$66,IF($B$172-MAX(808-1,$B$174)&gt;0,IF(B1208=0,0,IF(C1208=0,B1208/($B$172-MAX(808-1,$B$174)),B1208*(C1208/12)/(1-(1+C1208/12)^(-($B$172-MAX(808-1,$B$174)))))),"")),D1207)))+0.0000001&gt;=B1208*C1208/12,MIN(B1208*(1+C1208/12),IF(AND(808&lt;=$B$174,808&lt;=$B$173),B1208*C1208/12,IF(AND(808=$B$173+1,AND(808&gt;$B$173,$B$78="Refinance",ISNUMBER($B$80),$B$80&gt;=0,$B$80&lt;=1,ROUND($B$81*12,0)&gt;=1,$B$81&lt;=100,SUM($B$82)&gt;=0,SUM($B$82)&lt;=1,SUM($B$83)&gt;=0)),IF(B1208=0,0,IF(C1208=0,B1208/ROUND($B$81*12,0),B1208*(C1208/12)/(1-(1+C1208/12)^(-ROUND($B$81*12,0))))),IF(AND(NOT(AND(808&gt;$B$173,$B$78="Refinance",ISNUMBER($B$80),$B$80&gt;=0,$B$80&lt;=1,ROUND($B$81*12,0)&gt;=1,$B$81&lt;=100,SUM($B$82)&gt;=0,SUM($B$82)&lt;=1,SUM($B$83)&gt;=0)),OR(808=1,808=$B$174+1,AND($B$175&gt;0,808=$B$175+1))),IF(AND($B$170=1,$B$66&gt;0,OR($B$175=0,808&lt;=$B$175)),$B$66,IF($B$172-MAX(808-1,$B$174)&gt;0,IF(B1208=0,0,IF(C1208=0,B1208/($B$172-MAX(808-1,$B$174)),B1208*(C1208/12)/(1-(1+C1208/12)^(-($B$172-MAX(808-1,$B$174)))))),"")),D1207)))),""),""))</x:f>
        <x:v>0</x:v>
      </x:c>
      <x:c r="E1208" s="440" t="n">
        <x:f>IF(AND(808=$B$173,ISNUMBER(D1208)),IF(MAX(0,B1208*(1+C1208/12)-D1208)&lt;MAX(0.0000001,$E$17*0.00000000001),0,MAX(0,B1208*(1+C1208/12)-D1208)),0)</x:f>
        <x:v>0</x:v>
      </x:c>
      <x:c r="F1208" s="440" t="n">
        <x:f>IF($B$78="Cash payoff",E1208,0)</x:f>
        <x:v>0</x:v>
      </x:c>
      <x:c r="G1208" s="440" t="n">
        <x:f>IF(AND(E1208&gt;0,AND($B$78="Refinance",ISNUMBER($B$80),$B$80&gt;=0,$B$80&lt;=1,ROUND($B$81*12,0)&gt;=1,$B$81&lt;=100,SUM($B$82)&gt;=0,SUM($B$82)&lt;=1,SUM($B$83)&gt;=0)),E1208*SUM($B$82)+SUM($B$83),0)</x:f>
        <x:v>0</x:v>
      </x:c>
      <x:c r="H1208" s="440" t="n">
        <x:f>IF(ISNUMBER(D1208),IF(MAX(0,B1208*(1+C1208/12)-D1208-F1208)&lt;MAX(0.0000001,$E$17*0.00000000001),0,MAX(0,B1208*(1+C1208/12)-D1208-F1208)),IF(AND($B$171=1,I1207=1),B1208,""))</x:f>
        <x:v>0</x:v>
      </x:c>
      <x:c r="I1208" s="444" t="n">
        <x:f>IF(OR(I1207=1,AND(E1208&gt;0,$B$78&lt;&gt;"Cash payoff",NOT(AND($B$78="Refinance",ISNUMBER($B$80),$B$80&gt;=0,$B$80&lt;=1,ROUND($B$81*12,0)&gt;=1,$B$81&lt;=100,SUM($B$82)&gt;=0,SUM($B$82)&lt;=1,SUM($B$83)&gt;=0))),AND(ISNUMBER(B1208),B1208&gt;0,$B$171=1,NOT(ISNUMBER(D1208)))),1,0)</x:f>
        <x:v>0</x:v>
      </x:c>
      <x:c r="J1208" s="440" t="n">
        <x:f>IF(ISNUMBER(L1207),L1207,"")</x:f>
        <x:v>0</x:v>
      </x:c>
      <x:c r="K1208" s="440" t="n">
        <x:f>IF(AND(ISNUMBER(J1208),J1208=0),0,IF(AND($B$176=1,ISNUMBER(J1208)),MIN(J1208*(1+$B$87/12),IF($B$86=0,0,IF($B$87=0,$B$86/ROUND($B$88*12,0),$B$86*($B$87/12)/(1-(1+$B$87/12)^(-ROUND($B$88*12,0)))))),""))</x:f>
        <x:v>0</x:v>
      </x:c>
      <x:c r="L1208" s="440" t="n">
        <x:f>IF(ISNUMBER(K1208),IF(MAX(0,J1208*(1+SUM($B$87)/12)-K1208)&lt;MAX(0.0000001,$B$86*0.00000000001),0,MAX(0,J1208*(1+SUM($B$87)/12)-K1208)),"")</x:f>
        <x:v>0</x:v>
      </x:c>
      <x:c r="M1208" s="440" t="n">
        <x:f>IF(AND(ISNUMBER(D1208),ISNUMBER(K1208)),D1208+K1208,"")</x:f>
        <x:v>0</x:v>
      </x:c>
      <x:c r="N1208" s="440" t="n">
        <x:f>IF(AND(ISNUMBER(H1208),ISNUMBER(L1208)),H1208+L1208,"")</x:f>
        <x:v>0</x:v>
      </x:c>
    </x:row>
    <x:row r="1209" ht="22" customHeight="1">
      <x:c r="A1209" s="254" t="n">
        <x:f>809</x:f>
        <x:v>809</x:v>
      </x:c>
      <x:c r="B1209" s="440" t="n">
        <x:f>IF(ISNUMBER(H1208),H1208,"")</x:f>
        <x:v>0</x:v>
      </x:c>
      <x:c r="C1209" s="442" t="n">
        <x:f>IF(ISNUMBER(B1209),IF(AND(809&gt;$B$173,$B$78="Refinance",ISNUMBER($B$80),$B$80&gt;=0,$B$80&lt;=1,ROUND($B$81*12,0)&gt;=1,$B$81&lt;=100,SUM($B$82)&gt;=0,SUM($B$82)&lt;=1,SUM($B$83)&gt;=0),$B$80,IF(AND($B$175&gt;0,809&gt;$B$175,ISNUMBER($B$75)),$B$75,$B$61)),"")</x:f>
        <x:v>0.0625</x:v>
      </x:c>
      <x:c r="D1209" s="440" t="n">
        <x:f>IF(AND(ISNUMBER(B1209),B1209=0),0,IF(AND($B$171=1,I1208=0,ISNUMBER(C1209),ISNUMBER(IF(AND(809&lt;=$B$174,809&lt;=$B$173),B1209*C1209/12,IF(AND(809=$B$173+1,AND(809&gt;$B$173,$B$78="Refinance",ISNUMBER($B$80),$B$80&gt;=0,$B$80&lt;=1,ROUND($B$81*12,0)&gt;=1,$B$81&lt;=100,SUM($B$82)&gt;=0,SUM($B$82)&lt;=1,SUM($B$83)&gt;=0)),IF(B1209=0,0,IF(C1209=0,B1209/ROUND($B$81*12,0),B1209*(C1209/12)/(1-(1+C1209/12)^(-ROUND($B$81*12,0))))),IF(AND(NOT(AND(809&gt;$B$173,$B$78="Refinance",ISNUMBER($B$80),$B$80&gt;=0,$B$80&lt;=1,ROUND($B$81*12,0)&gt;=1,$B$81&lt;=100,SUM($B$82)&gt;=0,SUM($B$82)&lt;=1,SUM($B$83)&gt;=0)),OR(809=1,809=$B$174+1,AND($B$175&gt;0,809=$B$175+1))),IF(AND($B$170=1,$B$66&gt;0,OR($B$175=0,809&lt;=$B$175)),$B$66,IF($B$172-MAX(809-1,$B$174)&gt;0,IF(B1209=0,0,IF(C1209=0,B1209/($B$172-MAX(809-1,$B$174)),B1209*(C1209/12)/(1-(1+C1209/12)^(-($B$172-MAX(809-1,$B$174)))))),"")),D1208))))),IF(IF(AND(809&lt;=$B$174,809&lt;=$B$173),B1209*C1209/12,IF(AND(809=$B$173+1,AND(809&gt;$B$173,$B$78="Refinance",ISNUMBER($B$80),$B$80&gt;=0,$B$80&lt;=1,ROUND($B$81*12,0)&gt;=1,$B$81&lt;=100,SUM($B$82)&gt;=0,SUM($B$82)&lt;=1,SUM($B$83)&gt;=0)),IF(B1209=0,0,IF(C1209=0,B1209/ROUND($B$81*12,0),B1209*(C1209/12)/(1-(1+C1209/12)^(-ROUND($B$81*12,0))))),IF(AND(NOT(AND(809&gt;$B$173,$B$78="Refinance",ISNUMBER($B$80),$B$80&gt;=0,$B$80&lt;=1,ROUND($B$81*12,0)&gt;=1,$B$81&lt;=100,SUM($B$82)&gt;=0,SUM($B$82)&lt;=1,SUM($B$83)&gt;=0)),OR(809=1,809=$B$174+1,AND($B$175&gt;0,809=$B$175+1))),IF(AND($B$170=1,$B$66&gt;0,OR($B$175=0,809&lt;=$B$175)),$B$66,IF($B$172-MAX(809-1,$B$174)&gt;0,IF(B1209=0,0,IF(C1209=0,B1209/($B$172-MAX(809-1,$B$174)),B1209*(C1209/12)/(1-(1+C1209/12)^(-($B$172-MAX(809-1,$B$174)))))),"")),D1208)))+0.0000001&gt;=B1209*C1209/12,MIN(B1209*(1+C1209/12),IF(AND(809&lt;=$B$174,809&lt;=$B$173),B1209*C1209/12,IF(AND(809=$B$173+1,AND(809&gt;$B$173,$B$78="Refinance",ISNUMBER($B$80),$B$80&gt;=0,$B$80&lt;=1,ROUND($B$81*12,0)&gt;=1,$B$81&lt;=100,SUM($B$82)&gt;=0,SUM($B$82)&lt;=1,SUM($B$83)&gt;=0)),IF(B1209=0,0,IF(C1209=0,B1209/ROUND($B$81*12,0),B1209*(C1209/12)/(1-(1+C1209/12)^(-ROUND($B$81*12,0))))),IF(AND(NOT(AND(809&gt;$B$173,$B$78="Refinance",ISNUMBER($B$80),$B$80&gt;=0,$B$80&lt;=1,ROUND($B$81*12,0)&gt;=1,$B$81&lt;=100,SUM($B$82)&gt;=0,SUM($B$82)&lt;=1,SUM($B$83)&gt;=0)),OR(809=1,809=$B$174+1,AND($B$175&gt;0,809=$B$175+1))),IF(AND($B$170=1,$B$66&gt;0,OR($B$175=0,809&lt;=$B$175)),$B$66,IF($B$172-MAX(809-1,$B$174)&gt;0,IF(B1209=0,0,IF(C1209=0,B1209/($B$172-MAX(809-1,$B$174)),B1209*(C1209/12)/(1-(1+C1209/12)^(-($B$172-MAX(809-1,$B$174)))))),"")),D1208)))),""),""))</x:f>
        <x:v>0</x:v>
      </x:c>
      <x:c r="E1209" s="440" t="n">
        <x:f>IF(AND(809=$B$173,ISNUMBER(D1209)),IF(MAX(0,B1209*(1+C1209/12)-D1209)&lt;MAX(0.0000001,$E$17*0.00000000001),0,MAX(0,B1209*(1+C1209/12)-D1209)),0)</x:f>
        <x:v>0</x:v>
      </x:c>
      <x:c r="F1209" s="440" t="n">
        <x:f>IF($B$78="Cash payoff",E1209,0)</x:f>
        <x:v>0</x:v>
      </x:c>
      <x:c r="G1209" s="440" t="n">
        <x:f>IF(AND(E1209&gt;0,AND($B$78="Refinance",ISNUMBER($B$80),$B$80&gt;=0,$B$80&lt;=1,ROUND($B$81*12,0)&gt;=1,$B$81&lt;=100,SUM($B$82)&gt;=0,SUM($B$82)&lt;=1,SUM($B$83)&gt;=0)),E1209*SUM($B$82)+SUM($B$83),0)</x:f>
        <x:v>0</x:v>
      </x:c>
      <x:c r="H1209" s="440" t="n">
        <x:f>IF(ISNUMBER(D1209),IF(MAX(0,B1209*(1+C1209/12)-D1209-F1209)&lt;MAX(0.0000001,$E$17*0.00000000001),0,MAX(0,B1209*(1+C1209/12)-D1209-F1209)),IF(AND($B$171=1,I1208=1),B1209,""))</x:f>
        <x:v>0</x:v>
      </x:c>
      <x:c r="I1209" s="444" t="n">
        <x:f>IF(OR(I1208=1,AND(E1209&gt;0,$B$78&lt;&gt;"Cash payoff",NOT(AND($B$78="Refinance",ISNUMBER($B$80),$B$80&gt;=0,$B$80&lt;=1,ROUND($B$81*12,0)&gt;=1,$B$81&lt;=100,SUM($B$82)&gt;=0,SUM($B$82)&lt;=1,SUM($B$83)&gt;=0))),AND(ISNUMBER(B1209),B1209&gt;0,$B$171=1,NOT(ISNUMBER(D1209)))),1,0)</x:f>
        <x:v>0</x:v>
      </x:c>
      <x:c r="J1209" s="440" t="n">
        <x:f>IF(ISNUMBER(L1208),L1208,"")</x:f>
        <x:v>0</x:v>
      </x:c>
      <x:c r="K1209" s="440" t="n">
        <x:f>IF(AND(ISNUMBER(J1209),J1209=0),0,IF(AND($B$176=1,ISNUMBER(J1209)),MIN(J1209*(1+$B$87/12),IF($B$86=0,0,IF($B$87=0,$B$86/ROUND($B$88*12,0),$B$86*($B$87/12)/(1-(1+$B$87/12)^(-ROUND($B$88*12,0)))))),""))</x:f>
        <x:v>0</x:v>
      </x:c>
      <x:c r="L1209" s="440" t="n">
        <x:f>IF(ISNUMBER(K1209),IF(MAX(0,J1209*(1+SUM($B$87)/12)-K1209)&lt;MAX(0.0000001,$B$86*0.00000000001),0,MAX(0,J1209*(1+SUM($B$87)/12)-K1209)),"")</x:f>
        <x:v>0</x:v>
      </x:c>
      <x:c r="M1209" s="440" t="n">
        <x:f>IF(AND(ISNUMBER(D1209),ISNUMBER(K1209)),D1209+K1209,"")</x:f>
        <x:v>0</x:v>
      </x:c>
      <x:c r="N1209" s="440" t="n">
        <x:f>IF(AND(ISNUMBER(H1209),ISNUMBER(L1209)),H1209+L1209,"")</x:f>
        <x:v>0</x:v>
      </x:c>
    </x:row>
    <x:row r="1210" ht="22" customHeight="1">
      <x:c r="A1210" s="254" t="n">
        <x:f>810</x:f>
        <x:v>810</x:v>
      </x:c>
      <x:c r="B1210" s="440" t="n">
        <x:f>IF(ISNUMBER(H1209),H1209,"")</x:f>
        <x:v>0</x:v>
      </x:c>
      <x:c r="C1210" s="442" t="n">
        <x:f>IF(ISNUMBER(B1210),IF(AND(810&gt;$B$173,$B$78="Refinance",ISNUMBER($B$80),$B$80&gt;=0,$B$80&lt;=1,ROUND($B$81*12,0)&gt;=1,$B$81&lt;=100,SUM($B$82)&gt;=0,SUM($B$82)&lt;=1,SUM($B$83)&gt;=0),$B$80,IF(AND($B$175&gt;0,810&gt;$B$175,ISNUMBER($B$75)),$B$75,$B$61)),"")</x:f>
        <x:v>0.0625</x:v>
      </x:c>
      <x:c r="D1210" s="440" t="n">
        <x:f>IF(AND(ISNUMBER(B1210),B1210=0),0,IF(AND($B$171=1,I1209=0,ISNUMBER(C1210),ISNUMBER(IF(AND(810&lt;=$B$174,810&lt;=$B$173),B1210*C1210/12,IF(AND(810=$B$173+1,AND(810&gt;$B$173,$B$78="Refinance",ISNUMBER($B$80),$B$80&gt;=0,$B$80&lt;=1,ROUND($B$81*12,0)&gt;=1,$B$81&lt;=100,SUM($B$82)&gt;=0,SUM($B$82)&lt;=1,SUM($B$83)&gt;=0)),IF(B1210=0,0,IF(C1210=0,B1210/ROUND($B$81*12,0),B1210*(C1210/12)/(1-(1+C1210/12)^(-ROUND($B$81*12,0))))),IF(AND(NOT(AND(810&gt;$B$173,$B$78="Refinance",ISNUMBER($B$80),$B$80&gt;=0,$B$80&lt;=1,ROUND($B$81*12,0)&gt;=1,$B$81&lt;=100,SUM($B$82)&gt;=0,SUM($B$82)&lt;=1,SUM($B$83)&gt;=0)),OR(810=1,810=$B$174+1,AND($B$175&gt;0,810=$B$175+1))),IF(AND($B$170=1,$B$66&gt;0,OR($B$175=0,810&lt;=$B$175)),$B$66,IF($B$172-MAX(810-1,$B$174)&gt;0,IF(B1210=0,0,IF(C1210=0,B1210/($B$172-MAX(810-1,$B$174)),B1210*(C1210/12)/(1-(1+C1210/12)^(-($B$172-MAX(810-1,$B$174)))))),"")),D1209))))),IF(IF(AND(810&lt;=$B$174,810&lt;=$B$173),B1210*C1210/12,IF(AND(810=$B$173+1,AND(810&gt;$B$173,$B$78="Refinance",ISNUMBER($B$80),$B$80&gt;=0,$B$80&lt;=1,ROUND($B$81*12,0)&gt;=1,$B$81&lt;=100,SUM($B$82)&gt;=0,SUM($B$82)&lt;=1,SUM($B$83)&gt;=0)),IF(B1210=0,0,IF(C1210=0,B1210/ROUND($B$81*12,0),B1210*(C1210/12)/(1-(1+C1210/12)^(-ROUND($B$81*12,0))))),IF(AND(NOT(AND(810&gt;$B$173,$B$78="Refinance",ISNUMBER($B$80),$B$80&gt;=0,$B$80&lt;=1,ROUND($B$81*12,0)&gt;=1,$B$81&lt;=100,SUM($B$82)&gt;=0,SUM($B$82)&lt;=1,SUM($B$83)&gt;=0)),OR(810=1,810=$B$174+1,AND($B$175&gt;0,810=$B$175+1))),IF(AND($B$170=1,$B$66&gt;0,OR($B$175=0,810&lt;=$B$175)),$B$66,IF($B$172-MAX(810-1,$B$174)&gt;0,IF(B1210=0,0,IF(C1210=0,B1210/($B$172-MAX(810-1,$B$174)),B1210*(C1210/12)/(1-(1+C1210/12)^(-($B$172-MAX(810-1,$B$174)))))),"")),D1209)))+0.0000001&gt;=B1210*C1210/12,MIN(B1210*(1+C1210/12),IF(AND(810&lt;=$B$174,810&lt;=$B$173),B1210*C1210/12,IF(AND(810=$B$173+1,AND(810&gt;$B$173,$B$78="Refinance",ISNUMBER($B$80),$B$80&gt;=0,$B$80&lt;=1,ROUND($B$81*12,0)&gt;=1,$B$81&lt;=100,SUM($B$82)&gt;=0,SUM($B$82)&lt;=1,SUM($B$83)&gt;=0)),IF(B1210=0,0,IF(C1210=0,B1210/ROUND($B$81*12,0),B1210*(C1210/12)/(1-(1+C1210/12)^(-ROUND($B$81*12,0))))),IF(AND(NOT(AND(810&gt;$B$173,$B$78="Refinance",ISNUMBER($B$80),$B$80&gt;=0,$B$80&lt;=1,ROUND($B$81*12,0)&gt;=1,$B$81&lt;=100,SUM($B$82)&gt;=0,SUM($B$82)&lt;=1,SUM($B$83)&gt;=0)),OR(810=1,810=$B$174+1,AND($B$175&gt;0,810=$B$175+1))),IF(AND($B$170=1,$B$66&gt;0,OR($B$175=0,810&lt;=$B$175)),$B$66,IF($B$172-MAX(810-1,$B$174)&gt;0,IF(B1210=0,0,IF(C1210=0,B1210/($B$172-MAX(810-1,$B$174)),B1210*(C1210/12)/(1-(1+C1210/12)^(-($B$172-MAX(810-1,$B$174)))))),"")),D1209)))),""),""))</x:f>
        <x:v>0</x:v>
      </x:c>
      <x:c r="E1210" s="440" t="n">
        <x:f>IF(AND(810=$B$173,ISNUMBER(D1210)),IF(MAX(0,B1210*(1+C1210/12)-D1210)&lt;MAX(0.0000001,$E$17*0.00000000001),0,MAX(0,B1210*(1+C1210/12)-D1210)),0)</x:f>
        <x:v>0</x:v>
      </x:c>
      <x:c r="F1210" s="440" t="n">
        <x:f>IF($B$78="Cash payoff",E1210,0)</x:f>
        <x:v>0</x:v>
      </x:c>
      <x:c r="G1210" s="440" t="n">
        <x:f>IF(AND(E1210&gt;0,AND($B$78="Refinance",ISNUMBER($B$80),$B$80&gt;=0,$B$80&lt;=1,ROUND($B$81*12,0)&gt;=1,$B$81&lt;=100,SUM($B$82)&gt;=0,SUM($B$82)&lt;=1,SUM($B$83)&gt;=0)),E1210*SUM($B$82)+SUM($B$83),0)</x:f>
        <x:v>0</x:v>
      </x:c>
      <x:c r="H1210" s="440" t="n">
        <x:f>IF(ISNUMBER(D1210),IF(MAX(0,B1210*(1+C1210/12)-D1210-F1210)&lt;MAX(0.0000001,$E$17*0.00000000001),0,MAX(0,B1210*(1+C1210/12)-D1210-F1210)),IF(AND($B$171=1,I1209=1),B1210,""))</x:f>
        <x:v>0</x:v>
      </x:c>
      <x:c r="I1210" s="444" t="n">
        <x:f>IF(OR(I1209=1,AND(E1210&gt;0,$B$78&lt;&gt;"Cash payoff",NOT(AND($B$78="Refinance",ISNUMBER($B$80),$B$80&gt;=0,$B$80&lt;=1,ROUND($B$81*12,0)&gt;=1,$B$81&lt;=100,SUM($B$82)&gt;=0,SUM($B$82)&lt;=1,SUM($B$83)&gt;=0))),AND(ISNUMBER(B1210),B1210&gt;0,$B$171=1,NOT(ISNUMBER(D1210)))),1,0)</x:f>
        <x:v>0</x:v>
      </x:c>
      <x:c r="J1210" s="440" t="n">
        <x:f>IF(ISNUMBER(L1209),L1209,"")</x:f>
        <x:v>0</x:v>
      </x:c>
      <x:c r="K1210" s="440" t="n">
        <x:f>IF(AND(ISNUMBER(J1210),J1210=0),0,IF(AND($B$176=1,ISNUMBER(J1210)),MIN(J1210*(1+$B$87/12),IF($B$86=0,0,IF($B$87=0,$B$86/ROUND($B$88*12,0),$B$86*($B$87/12)/(1-(1+$B$87/12)^(-ROUND($B$88*12,0)))))),""))</x:f>
        <x:v>0</x:v>
      </x:c>
      <x:c r="L1210" s="440" t="n">
        <x:f>IF(ISNUMBER(K1210),IF(MAX(0,J1210*(1+SUM($B$87)/12)-K1210)&lt;MAX(0.0000001,$B$86*0.00000000001),0,MAX(0,J1210*(1+SUM($B$87)/12)-K1210)),"")</x:f>
        <x:v>0</x:v>
      </x:c>
      <x:c r="M1210" s="440" t="n">
        <x:f>IF(AND(ISNUMBER(D1210),ISNUMBER(K1210)),D1210+K1210,"")</x:f>
        <x:v>0</x:v>
      </x:c>
      <x:c r="N1210" s="440" t="n">
        <x:f>IF(AND(ISNUMBER(H1210),ISNUMBER(L1210)),H1210+L1210,"")</x:f>
        <x:v>0</x:v>
      </x:c>
    </x:row>
    <x:row r="1211" ht="22" customHeight="1">
      <x:c r="A1211" s="254" t="n">
        <x:f>811</x:f>
        <x:v>811</x:v>
      </x:c>
      <x:c r="B1211" s="440" t="n">
        <x:f>IF(ISNUMBER(H1210),H1210,"")</x:f>
        <x:v>0</x:v>
      </x:c>
      <x:c r="C1211" s="442" t="n">
        <x:f>IF(ISNUMBER(B1211),IF(AND(811&gt;$B$173,$B$78="Refinance",ISNUMBER($B$80),$B$80&gt;=0,$B$80&lt;=1,ROUND($B$81*12,0)&gt;=1,$B$81&lt;=100,SUM($B$82)&gt;=0,SUM($B$82)&lt;=1,SUM($B$83)&gt;=0),$B$80,IF(AND($B$175&gt;0,811&gt;$B$175,ISNUMBER($B$75)),$B$75,$B$61)),"")</x:f>
        <x:v>0.0625</x:v>
      </x:c>
      <x:c r="D1211" s="440" t="n">
        <x:f>IF(AND(ISNUMBER(B1211),B1211=0),0,IF(AND($B$171=1,I1210=0,ISNUMBER(C1211),ISNUMBER(IF(AND(811&lt;=$B$174,811&lt;=$B$173),B1211*C1211/12,IF(AND(811=$B$173+1,AND(811&gt;$B$173,$B$78="Refinance",ISNUMBER($B$80),$B$80&gt;=0,$B$80&lt;=1,ROUND($B$81*12,0)&gt;=1,$B$81&lt;=100,SUM($B$82)&gt;=0,SUM($B$82)&lt;=1,SUM($B$83)&gt;=0)),IF(B1211=0,0,IF(C1211=0,B1211/ROUND($B$81*12,0),B1211*(C1211/12)/(1-(1+C1211/12)^(-ROUND($B$81*12,0))))),IF(AND(NOT(AND(811&gt;$B$173,$B$78="Refinance",ISNUMBER($B$80),$B$80&gt;=0,$B$80&lt;=1,ROUND($B$81*12,0)&gt;=1,$B$81&lt;=100,SUM($B$82)&gt;=0,SUM($B$82)&lt;=1,SUM($B$83)&gt;=0)),OR(811=1,811=$B$174+1,AND($B$175&gt;0,811=$B$175+1))),IF(AND($B$170=1,$B$66&gt;0,OR($B$175=0,811&lt;=$B$175)),$B$66,IF($B$172-MAX(811-1,$B$174)&gt;0,IF(B1211=0,0,IF(C1211=0,B1211/($B$172-MAX(811-1,$B$174)),B1211*(C1211/12)/(1-(1+C1211/12)^(-($B$172-MAX(811-1,$B$174)))))),"")),D1210))))),IF(IF(AND(811&lt;=$B$174,811&lt;=$B$173),B1211*C1211/12,IF(AND(811=$B$173+1,AND(811&gt;$B$173,$B$78="Refinance",ISNUMBER($B$80),$B$80&gt;=0,$B$80&lt;=1,ROUND($B$81*12,0)&gt;=1,$B$81&lt;=100,SUM($B$82)&gt;=0,SUM($B$82)&lt;=1,SUM($B$83)&gt;=0)),IF(B1211=0,0,IF(C1211=0,B1211/ROUND($B$81*12,0),B1211*(C1211/12)/(1-(1+C1211/12)^(-ROUND($B$81*12,0))))),IF(AND(NOT(AND(811&gt;$B$173,$B$78="Refinance",ISNUMBER($B$80),$B$80&gt;=0,$B$80&lt;=1,ROUND($B$81*12,0)&gt;=1,$B$81&lt;=100,SUM($B$82)&gt;=0,SUM($B$82)&lt;=1,SUM($B$83)&gt;=0)),OR(811=1,811=$B$174+1,AND($B$175&gt;0,811=$B$175+1))),IF(AND($B$170=1,$B$66&gt;0,OR($B$175=0,811&lt;=$B$175)),$B$66,IF($B$172-MAX(811-1,$B$174)&gt;0,IF(B1211=0,0,IF(C1211=0,B1211/($B$172-MAX(811-1,$B$174)),B1211*(C1211/12)/(1-(1+C1211/12)^(-($B$172-MAX(811-1,$B$174)))))),"")),D1210)))+0.0000001&gt;=B1211*C1211/12,MIN(B1211*(1+C1211/12),IF(AND(811&lt;=$B$174,811&lt;=$B$173),B1211*C1211/12,IF(AND(811=$B$173+1,AND(811&gt;$B$173,$B$78="Refinance",ISNUMBER($B$80),$B$80&gt;=0,$B$80&lt;=1,ROUND($B$81*12,0)&gt;=1,$B$81&lt;=100,SUM($B$82)&gt;=0,SUM($B$82)&lt;=1,SUM($B$83)&gt;=0)),IF(B1211=0,0,IF(C1211=0,B1211/ROUND($B$81*12,0),B1211*(C1211/12)/(1-(1+C1211/12)^(-ROUND($B$81*12,0))))),IF(AND(NOT(AND(811&gt;$B$173,$B$78="Refinance",ISNUMBER($B$80),$B$80&gt;=0,$B$80&lt;=1,ROUND($B$81*12,0)&gt;=1,$B$81&lt;=100,SUM($B$82)&gt;=0,SUM($B$82)&lt;=1,SUM($B$83)&gt;=0)),OR(811=1,811=$B$174+1,AND($B$175&gt;0,811=$B$175+1))),IF(AND($B$170=1,$B$66&gt;0,OR($B$175=0,811&lt;=$B$175)),$B$66,IF($B$172-MAX(811-1,$B$174)&gt;0,IF(B1211=0,0,IF(C1211=0,B1211/($B$172-MAX(811-1,$B$174)),B1211*(C1211/12)/(1-(1+C1211/12)^(-($B$172-MAX(811-1,$B$174)))))),"")),D1210)))),""),""))</x:f>
        <x:v>0</x:v>
      </x:c>
      <x:c r="E1211" s="440" t="n">
        <x:f>IF(AND(811=$B$173,ISNUMBER(D1211)),IF(MAX(0,B1211*(1+C1211/12)-D1211)&lt;MAX(0.0000001,$E$17*0.00000000001),0,MAX(0,B1211*(1+C1211/12)-D1211)),0)</x:f>
        <x:v>0</x:v>
      </x:c>
      <x:c r="F1211" s="440" t="n">
        <x:f>IF($B$78="Cash payoff",E1211,0)</x:f>
        <x:v>0</x:v>
      </x:c>
      <x:c r="G1211" s="440" t="n">
        <x:f>IF(AND(E1211&gt;0,AND($B$78="Refinance",ISNUMBER($B$80),$B$80&gt;=0,$B$80&lt;=1,ROUND($B$81*12,0)&gt;=1,$B$81&lt;=100,SUM($B$82)&gt;=0,SUM($B$82)&lt;=1,SUM($B$83)&gt;=0)),E1211*SUM($B$82)+SUM($B$83),0)</x:f>
        <x:v>0</x:v>
      </x:c>
      <x:c r="H1211" s="440" t="n">
        <x:f>IF(ISNUMBER(D1211),IF(MAX(0,B1211*(1+C1211/12)-D1211-F1211)&lt;MAX(0.0000001,$E$17*0.00000000001),0,MAX(0,B1211*(1+C1211/12)-D1211-F1211)),IF(AND($B$171=1,I1210=1),B1211,""))</x:f>
        <x:v>0</x:v>
      </x:c>
      <x:c r="I1211" s="444" t="n">
        <x:f>IF(OR(I1210=1,AND(E1211&gt;0,$B$78&lt;&gt;"Cash payoff",NOT(AND($B$78="Refinance",ISNUMBER($B$80),$B$80&gt;=0,$B$80&lt;=1,ROUND($B$81*12,0)&gt;=1,$B$81&lt;=100,SUM($B$82)&gt;=0,SUM($B$82)&lt;=1,SUM($B$83)&gt;=0))),AND(ISNUMBER(B1211),B1211&gt;0,$B$171=1,NOT(ISNUMBER(D1211)))),1,0)</x:f>
        <x:v>0</x:v>
      </x:c>
      <x:c r="J1211" s="440" t="n">
        <x:f>IF(ISNUMBER(L1210),L1210,"")</x:f>
        <x:v>0</x:v>
      </x:c>
      <x:c r="K1211" s="440" t="n">
        <x:f>IF(AND(ISNUMBER(J1211),J1211=0),0,IF(AND($B$176=1,ISNUMBER(J1211)),MIN(J1211*(1+$B$87/12),IF($B$86=0,0,IF($B$87=0,$B$86/ROUND($B$88*12,0),$B$86*($B$87/12)/(1-(1+$B$87/12)^(-ROUND($B$88*12,0)))))),""))</x:f>
        <x:v>0</x:v>
      </x:c>
      <x:c r="L1211" s="440" t="n">
        <x:f>IF(ISNUMBER(K1211),IF(MAX(0,J1211*(1+SUM($B$87)/12)-K1211)&lt;MAX(0.0000001,$B$86*0.00000000001),0,MAX(0,J1211*(1+SUM($B$87)/12)-K1211)),"")</x:f>
        <x:v>0</x:v>
      </x:c>
      <x:c r="M1211" s="440" t="n">
        <x:f>IF(AND(ISNUMBER(D1211),ISNUMBER(K1211)),D1211+K1211,"")</x:f>
        <x:v>0</x:v>
      </x:c>
      <x:c r="N1211" s="440" t="n">
        <x:f>IF(AND(ISNUMBER(H1211),ISNUMBER(L1211)),H1211+L1211,"")</x:f>
        <x:v>0</x:v>
      </x:c>
    </x:row>
    <x:row r="1212" ht="22" customHeight="1">
      <x:c r="A1212" s="254" t="n">
        <x:f>812</x:f>
        <x:v>812</x:v>
      </x:c>
      <x:c r="B1212" s="440" t="n">
        <x:f>IF(ISNUMBER(H1211),H1211,"")</x:f>
        <x:v>0</x:v>
      </x:c>
      <x:c r="C1212" s="442" t="n">
        <x:f>IF(ISNUMBER(B1212),IF(AND(812&gt;$B$173,$B$78="Refinance",ISNUMBER($B$80),$B$80&gt;=0,$B$80&lt;=1,ROUND($B$81*12,0)&gt;=1,$B$81&lt;=100,SUM($B$82)&gt;=0,SUM($B$82)&lt;=1,SUM($B$83)&gt;=0),$B$80,IF(AND($B$175&gt;0,812&gt;$B$175,ISNUMBER($B$75)),$B$75,$B$61)),"")</x:f>
        <x:v>0.0625</x:v>
      </x:c>
      <x:c r="D1212" s="440" t="n">
        <x:f>IF(AND(ISNUMBER(B1212),B1212=0),0,IF(AND($B$171=1,I1211=0,ISNUMBER(C1212),ISNUMBER(IF(AND(812&lt;=$B$174,812&lt;=$B$173),B1212*C1212/12,IF(AND(812=$B$173+1,AND(812&gt;$B$173,$B$78="Refinance",ISNUMBER($B$80),$B$80&gt;=0,$B$80&lt;=1,ROUND($B$81*12,0)&gt;=1,$B$81&lt;=100,SUM($B$82)&gt;=0,SUM($B$82)&lt;=1,SUM($B$83)&gt;=0)),IF(B1212=0,0,IF(C1212=0,B1212/ROUND($B$81*12,0),B1212*(C1212/12)/(1-(1+C1212/12)^(-ROUND($B$81*12,0))))),IF(AND(NOT(AND(812&gt;$B$173,$B$78="Refinance",ISNUMBER($B$80),$B$80&gt;=0,$B$80&lt;=1,ROUND($B$81*12,0)&gt;=1,$B$81&lt;=100,SUM($B$82)&gt;=0,SUM($B$82)&lt;=1,SUM($B$83)&gt;=0)),OR(812=1,812=$B$174+1,AND($B$175&gt;0,812=$B$175+1))),IF(AND($B$170=1,$B$66&gt;0,OR($B$175=0,812&lt;=$B$175)),$B$66,IF($B$172-MAX(812-1,$B$174)&gt;0,IF(B1212=0,0,IF(C1212=0,B1212/($B$172-MAX(812-1,$B$174)),B1212*(C1212/12)/(1-(1+C1212/12)^(-($B$172-MAX(812-1,$B$174)))))),"")),D1211))))),IF(IF(AND(812&lt;=$B$174,812&lt;=$B$173),B1212*C1212/12,IF(AND(812=$B$173+1,AND(812&gt;$B$173,$B$78="Refinance",ISNUMBER($B$80),$B$80&gt;=0,$B$80&lt;=1,ROUND($B$81*12,0)&gt;=1,$B$81&lt;=100,SUM($B$82)&gt;=0,SUM($B$82)&lt;=1,SUM($B$83)&gt;=0)),IF(B1212=0,0,IF(C1212=0,B1212/ROUND($B$81*12,0),B1212*(C1212/12)/(1-(1+C1212/12)^(-ROUND($B$81*12,0))))),IF(AND(NOT(AND(812&gt;$B$173,$B$78="Refinance",ISNUMBER($B$80),$B$80&gt;=0,$B$80&lt;=1,ROUND($B$81*12,0)&gt;=1,$B$81&lt;=100,SUM($B$82)&gt;=0,SUM($B$82)&lt;=1,SUM($B$83)&gt;=0)),OR(812=1,812=$B$174+1,AND($B$175&gt;0,812=$B$175+1))),IF(AND($B$170=1,$B$66&gt;0,OR($B$175=0,812&lt;=$B$175)),$B$66,IF($B$172-MAX(812-1,$B$174)&gt;0,IF(B1212=0,0,IF(C1212=0,B1212/($B$172-MAX(812-1,$B$174)),B1212*(C1212/12)/(1-(1+C1212/12)^(-($B$172-MAX(812-1,$B$174)))))),"")),D1211)))+0.0000001&gt;=B1212*C1212/12,MIN(B1212*(1+C1212/12),IF(AND(812&lt;=$B$174,812&lt;=$B$173),B1212*C1212/12,IF(AND(812=$B$173+1,AND(812&gt;$B$173,$B$78="Refinance",ISNUMBER($B$80),$B$80&gt;=0,$B$80&lt;=1,ROUND($B$81*12,0)&gt;=1,$B$81&lt;=100,SUM($B$82)&gt;=0,SUM($B$82)&lt;=1,SUM($B$83)&gt;=0)),IF(B1212=0,0,IF(C1212=0,B1212/ROUND($B$81*12,0),B1212*(C1212/12)/(1-(1+C1212/12)^(-ROUND($B$81*12,0))))),IF(AND(NOT(AND(812&gt;$B$173,$B$78="Refinance",ISNUMBER($B$80),$B$80&gt;=0,$B$80&lt;=1,ROUND($B$81*12,0)&gt;=1,$B$81&lt;=100,SUM($B$82)&gt;=0,SUM($B$82)&lt;=1,SUM($B$83)&gt;=0)),OR(812=1,812=$B$174+1,AND($B$175&gt;0,812=$B$175+1))),IF(AND($B$170=1,$B$66&gt;0,OR($B$175=0,812&lt;=$B$175)),$B$66,IF($B$172-MAX(812-1,$B$174)&gt;0,IF(B1212=0,0,IF(C1212=0,B1212/($B$172-MAX(812-1,$B$174)),B1212*(C1212/12)/(1-(1+C1212/12)^(-($B$172-MAX(812-1,$B$174)))))),"")),D1211)))),""),""))</x:f>
        <x:v>0</x:v>
      </x:c>
      <x:c r="E1212" s="440" t="n">
        <x:f>IF(AND(812=$B$173,ISNUMBER(D1212)),IF(MAX(0,B1212*(1+C1212/12)-D1212)&lt;MAX(0.0000001,$E$17*0.00000000001),0,MAX(0,B1212*(1+C1212/12)-D1212)),0)</x:f>
        <x:v>0</x:v>
      </x:c>
      <x:c r="F1212" s="440" t="n">
        <x:f>IF($B$78="Cash payoff",E1212,0)</x:f>
        <x:v>0</x:v>
      </x:c>
      <x:c r="G1212" s="440" t="n">
        <x:f>IF(AND(E1212&gt;0,AND($B$78="Refinance",ISNUMBER($B$80),$B$80&gt;=0,$B$80&lt;=1,ROUND($B$81*12,0)&gt;=1,$B$81&lt;=100,SUM($B$82)&gt;=0,SUM($B$82)&lt;=1,SUM($B$83)&gt;=0)),E1212*SUM($B$82)+SUM($B$83),0)</x:f>
        <x:v>0</x:v>
      </x:c>
      <x:c r="H1212" s="440" t="n">
        <x:f>IF(ISNUMBER(D1212),IF(MAX(0,B1212*(1+C1212/12)-D1212-F1212)&lt;MAX(0.0000001,$E$17*0.00000000001),0,MAX(0,B1212*(1+C1212/12)-D1212-F1212)),IF(AND($B$171=1,I1211=1),B1212,""))</x:f>
        <x:v>0</x:v>
      </x:c>
      <x:c r="I1212" s="444" t="n">
        <x:f>IF(OR(I1211=1,AND(E1212&gt;0,$B$78&lt;&gt;"Cash payoff",NOT(AND($B$78="Refinance",ISNUMBER($B$80),$B$80&gt;=0,$B$80&lt;=1,ROUND($B$81*12,0)&gt;=1,$B$81&lt;=100,SUM($B$82)&gt;=0,SUM($B$82)&lt;=1,SUM($B$83)&gt;=0))),AND(ISNUMBER(B1212),B1212&gt;0,$B$171=1,NOT(ISNUMBER(D1212)))),1,0)</x:f>
        <x:v>0</x:v>
      </x:c>
      <x:c r="J1212" s="440" t="n">
        <x:f>IF(ISNUMBER(L1211),L1211,"")</x:f>
        <x:v>0</x:v>
      </x:c>
      <x:c r="K1212" s="440" t="n">
        <x:f>IF(AND(ISNUMBER(J1212),J1212=0),0,IF(AND($B$176=1,ISNUMBER(J1212)),MIN(J1212*(1+$B$87/12),IF($B$86=0,0,IF($B$87=0,$B$86/ROUND($B$88*12,0),$B$86*($B$87/12)/(1-(1+$B$87/12)^(-ROUND($B$88*12,0)))))),""))</x:f>
        <x:v>0</x:v>
      </x:c>
      <x:c r="L1212" s="440" t="n">
        <x:f>IF(ISNUMBER(K1212),IF(MAX(0,J1212*(1+SUM($B$87)/12)-K1212)&lt;MAX(0.0000001,$B$86*0.00000000001),0,MAX(0,J1212*(1+SUM($B$87)/12)-K1212)),"")</x:f>
        <x:v>0</x:v>
      </x:c>
      <x:c r="M1212" s="440" t="n">
        <x:f>IF(AND(ISNUMBER(D1212),ISNUMBER(K1212)),D1212+K1212,"")</x:f>
        <x:v>0</x:v>
      </x:c>
      <x:c r="N1212" s="440" t="n">
        <x:f>IF(AND(ISNUMBER(H1212),ISNUMBER(L1212)),H1212+L1212,"")</x:f>
        <x:v>0</x:v>
      </x:c>
    </x:row>
    <x:row r="1213" ht="22" customHeight="1">
      <x:c r="A1213" s="254" t="n">
        <x:f>813</x:f>
        <x:v>813</x:v>
      </x:c>
      <x:c r="B1213" s="440" t="n">
        <x:f>IF(ISNUMBER(H1212),H1212,"")</x:f>
        <x:v>0</x:v>
      </x:c>
      <x:c r="C1213" s="442" t="n">
        <x:f>IF(ISNUMBER(B1213),IF(AND(813&gt;$B$173,$B$78="Refinance",ISNUMBER($B$80),$B$80&gt;=0,$B$80&lt;=1,ROUND($B$81*12,0)&gt;=1,$B$81&lt;=100,SUM($B$82)&gt;=0,SUM($B$82)&lt;=1,SUM($B$83)&gt;=0),$B$80,IF(AND($B$175&gt;0,813&gt;$B$175,ISNUMBER($B$75)),$B$75,$B$61)),"")</x:f>
        <x:v>0.0625</x:v>
      </x:c>
      <x:c r="D1213" s="440" t="n">
        <x:f>IF(AND(ISNUMBER(B1213),B1213=0),0,IF(AND($B$171=1,I1212=0,ISNUMBER(C1213),ISNUMBER(IF(AND(813&lt;=$B$174,813&lt;=$B$173),B1213*C1213/12,IF(AND(813=$B$173+1,AND(813&gt;$B$173,$B$78="Refinance",ISNUMBER($B$80),$B$80&gt;=0,$B$80&lt;=1,ROUND($B$81*12,0)&gt;=1,$B$81&lt;=100,SUM($B$82)&gt;=0,SUM($B$82)&lt;=1,SUM($B$83)&gt;=0)),IF(B1213=0,0,IF(C1213=0,B1213/ROUND($B$81*12,0),B1213*(C1213/12)/(1-(1+C1213/12)^(-ROUND($B$81*12,0))))),IF(AND(NOT(AND(813&gt;$B$173,$B$78="Refinance",ISNUMBER($B$80),$B$80&gt;=0,$B$80&lt;=1,ROUND($B$81*12,0)&gt;=1,$B$81&lt;=100,SUM($B$82)&gt;=0,SUM($B$82)&lt;=1,SUM($B$83)&gt;=0)),OR(813=1,813=$B$174+1,AND($B$175&gt;0,813=$B$175+1))),IF(AND($B$170=1,$B$66&gt;0,OR($B$175=0,813&lt;=$B$175)),$B$66,IF($B$172-MAX(813-1,$B$174)&gt;0,IF(B1213=0,0,IF(C1213=0,B1213/($B$172-MAX(813-1,$B$174)),B1213*(C1213/12)/(1-(1+C1213/12)^(-($B$172-MAX(813-1,$B$174)))))),"")),D1212))))),IF(IF(AND(813&lt;=$B$174,813&lt;=$B$173),B1213*C1213/12,IF(AND(813=$B$173+1,AND(813&gt;$B$173,$B$78="Refinance",ISNUMBER($B$80),$B$80&gt;=0,$B$80&lt;=1,ROUND($B$81*12,0)&gt;=1,$B$81&lt;=100,SUM($B$82)&gt;=0,SUM($B$82)&lt;=1,SUM($B$83)&gt;=0)),IF(B1213=0,0,IF(C1213=0,B1213/ROUND($B$81*12,0),B1213*(C1213/12)/(1-(1+C1213/12)^(-ROUND($B$81*12,0))))),IF(AND(NOT(AND(813&gt;$B$173,$B$78="Refinance",ISNUMBER($B$80),$B$80&gt;=0,$B$80&lt;=1,ROUND($B$81*12,0)&gt;=1,$B$81&lt;=100,SUM($B$82)&gt;=0,SUM($B$82)&lt;=1,SUM($B$83)&gt;=0)),OR(813=1,813=$B$174+1,AND($B$175&gt;0,813=$B$175+1))),IF(AND($B$170=1,$B$66&gt;0,OR($B$175=0,813&lt;=$B$175)),$B$66,IF($B$172-MAX(813-1,$B$174)&gt;0,IF(B1213=0,0,IF(C1213=0,B1213/($B$172-MAX(813-1,$B$174)),B1213*(C1213/12)/(1-(1+C1213/12)^(-($B$172-MAX(813-1,$B$174)))))),"")),D1212)))+0.0000001&gt;=B1213*C1213/12,MIN(B1213*(1+C1213/12),IF(AND(813&lt;=$B$174,813&lt;=$B$173),B1213*C1213/12,IF(AND(813=$B$173+1,AND(813&gt;$B$173,$B$78="Refinance",ISNUMBER($B$80),$B$80&gt;=0,$B$80&lt;=1,ROUND($B$81*12,0)&gt;=1,$B$81&lt;=100,SUM($B$82)&gt;=0,SUM($B$82)&lt;=1,SUM($B$83)&gt;=0)),IF(B1213=0,0,IF(C1213=0,B1213/ROUND($B$81*12,0),B1213*(C1213/12)/(1-(1+C1213/12)^(-ROUND($B$81*12,0))))),IF(AND(NOT(AND(813&gt;$B$173,$B$78="Refinance",ISNUMBER($B$80),$B$80&gt;=0,$B$80&lt;=1,ROUND($B$81*12,0)&gt;=1,$B$81&lt;=100,SUM($B$82)&gt;=0,SUM($B$82)&lt;=1,SUM($B$83)&gt;=0)),OR(813=1,813=$B$174+1,AND($B$175&gt;0,813=$B$175+1))),IF(AND($B$170=1,$B$66&gt;0,OR($B$175=0,813&lt;=$B$175)),$B$66,IF($B$172-MAX(813-1,$B$174)&gt;0,IF(B1213=0,0,IF(C1213=0,B1213/($B$172-MAX(813-1,$B$174)),B1213*(C1213/12)/(1-(1+C1213/12)^(-($B$172-MAX(813-1,$B$174)))))),"")),D1212)))),""),""))</x:f>
        <x:v>0</x:v>
      </x:c>
      <x:c r="E1213" s="440" t="n">
        <x:f>IF(AND(813=$B$173,ISNUMBER(D1213)),IF(MAX(0,B1213*(1+C1213/12)-D1213)&lt;MAX(0.0000001,$E$17*0.00000000001),0,MAX(0,B1213*(1+C1213/12)-D1213)),0)</x:f>
        <x:v>0</x:v>
      </x:c>
      <x:c r="F1213" s="440" t="n">
        <x:f>IF($B$78="Cash payoff",E1213,0)</x:f>
        <x:v>0</x:v>
      </x:c>
      <x:c r="G1213" s="440" t="n">
        <x:f>IF(AND(E1213&gt;0,AND($B$78="Refinance",ISNUMBER($B$80),$B$80&gt;=0,$B$80&lt;=1,ROUND($B$81*12,0)&gt;=1,$B$81&lt;=100,SUM($B$82)&gt;=0,SUM($B$82)&lt;=1,SUM($B$83)&gt;=0)),E1213*SUM($B$82)+SUM($B$83),0)</x:f>
        <x:v>0</x:v>
      </x:c>
      <x:c r="H1213" s="440" t="n">
        <x:f>IF(ISNUMBER(D1213),IF(MAX(0,B1213*(1+C1213/12)-D1213-F1213)&lt;MAX(0.0000001,$E$17*0.00000000001),0,MAX(0,B1213*(1+C1213/12)-D1213-F1213)),IF(AND($B$171=1,I1212=1),B1213,""))</x:f>
        <x:v>0</x:v>
      </x:c>
      <x:c r="I1213" s="444" t="n">
        <x:f>IF(OR(I1212=1,AND(E1213&gt;0,$B$78&lt;&gt;"Cash payoff",NOT(AND($B$78="Refinance",ISNUMBER($B$80),$B$80&gt;=0,$B$80&lt;=1,ROUND($B$81*12,0)&gt;=1,$B$81&lt;=100,SUM($B$82)&gt;=0,SUM($B$82)&lt;=1,SUM($B$83)&gt;=0))),AND(ISNUMBER(B1213),B1213&gt;0,$B$171=1,NOT(ISNUMBER(D1213)))),1,0)</x:f>
        <x:v>0</x:v>
      </x:c>
      <x:c r="J1213" s="440" t="n">
        <x:f>IF(ISNUMBER(L1212),L1212,"")</x:f>
        <x:v>0</x:v>
      </x:c>
      <x:c r="K1213" s="440" t="n">
        <x:f>IF(AND(ISNUMBER(J1213),J1213=0),0,IF(AND($B$176=1,ISNUMBER(J1213)),MIN(J1213*(1+$B$87/12),IF($B$86=0,0,IF($B$87=0,$B$86/ROUND($B$88*12,0),$B$86*($B$87/12)/(1-(1+$B$87/12)^(-ROUND($B$88*12,0)))))),""))</x:f>
        <x:v>0</x:v>
      </x:c>
      <x:c r="L1213" s="440" t="n">
        <x:f>IF(ISNUMBER(K1213),IF(MAX(0,J1213*(1+SUM($B$87)/12)-K1213)&lt;MAX(0.0000001,$B$86*0.00000000001),0,MAX(0,J1213*(1+SUM($B$87)/12)-K1213)),"")</x:f>
        <x:v>0</x:v>
      </x:c>
      <x:c r="M1213" s="440" t="n">
        <x:f>IF(AND(ISNUMBER(D1213),ISNUMBER(K1213)),D1213+K1213,"")</x:f>
        <x:v>0</x:v>
      </x:c>
      <x:c r="N1213" s="440" t="n">
        <x:f>IF(AND(ISNUMBER(H1213),ISNUMBER(L1213)),H1213+L1213,"")</x:f>
        <x:v>0</x:v>
      </x:c>
    </x:row>
    <x:row r="1214" ht="22" customHeight="1">
      <x:c r="A1214" s="254" t="n">
        <x:f>814</x:f>
        <x:v>814</x:v>
      </x:c>
      <x:c r="B1214" s="440" t="n">
        <x:f>IF(ISNUMBER(H1213),H1213,"")</x:f>
        <x:v>0</x:v>
      </x:c>
      <x:c r="C1214" s="442" t="n">
        <x:f>IF(ISNUMBER(B1214),IF(AND(814&gt;$B$173,$B$78="Refinance",ISNUMBER($B$80),$B$80&gt;=0,$B$80&lt;=1,ROUND($B$81*12,0)&gt;=1,$B$81&lt;=100,SUM($B$82)&gt;=0,SUM($B$82)&lt;=1,SUM($B$83)&gt;=0),$B$80,IF(AND($B$175&gt;0,814&gt;$B$175,ISNUMBER($B$75)),$B$75,$B$61)),"")</x:f>
        <x:v>0.0625</x:v>
      </x:c>
      <x:c r="D1214" s="440" t="n">
        <x:f>IF(AND(ISNUMBER(B1214),B1214=0),0,IF(AND($B$171=1,I1213=0,ISNUMBER(C1214),ISNUMBER(IF(AND(814&lt;=$B$174,814&lt;=$B$173),B1214*C1214/12,IF(AND(814=$B$173+1,AND(814&gt;$B$173,$B$78="Refinance",ISNUMBER($B$80),$B$80&gt;=0,$B$80&lt;=1,ROUND($B$81*12,0)&gt;=1,$B$81&lt;=100,SUM($B$82)&gt;=0,SUM($B$82)&lt;=1,SUM($B$83)&gt;=0)),IF(B1214=0,0,IF(C1214=0,B1214/ROUND($B$81*12,0),B1214*(C1214/12)/(1-(1+C1214/12)^(-ROUND($B$81*12,0))))),IF(AND(NOT(AND(814&gt;$B$173,$B$78="Refinance",ISNUMBER($B$80),$B$80&gt;=0,$B$80&lt;=1,ROUND($B$81*12,0)&gt;=1,$B$81&lt;=100,SUM($B$82)&gt;=0,SUM($B$82)&lt;=1,SUM($B$83)&gt;=0)),OR(814=1,814=$B$174+1,AND($B$175&gt;0,814=$B$175+1))),IF(AND($B$170=1,$B$66&gt;0,OR($B$175=0,814&lt;=$B$175)),$B$66,IF($B$172-MAX(814-1,$B$174)&gt;0,IF(B1214=0,0,IF(C1214=0,B1214/($B$172-MAX(814-1,$B$174)),B1214*(C1214/12)/(1-(1+C1214/12)^(-($B$172-MAX(814-1,$B$174)))))),"")),D1213))))),IF(IF(AND(814&lt;=$B$174,814&lt;=$B$173),B1214*C1214/12,IF(AND(814=$B$173+1,AND(814&gt;$B$173,$B$78="Refinance",ISNUMBER($B$80),$B$80&gt;=0,$B$80&lt;=1,ROUND($B$81*12,0)&gt;=1,$B$81&lt;=100,SUM($B$82)&gt;=0,SUM($B$82)&lt;=1,SUM($B$83)&gt;=0)),IF(B1214=0,0,IF(C1214=0,B1214/ROUND($B$81*12,0),B1214*(C1214/12)/(1-(1+C1214/12)^(-ROUND($B$81*12,0))))),IF(AND(NOT(AND(814&gt;$B$173,$B$78="Refinance",ISNUMBER($B$80),$B$80&gt;=0,$B$80&lt;=1,ROUND($B$81*12,0)&gt;=1,$B$81&lt;=100,SUM($B$82)&gt;=0,SUM($B$82)&lt;=1,SUM($B$83)&gt;=0)),OR(814=1,814=$B$174+1,AND($B$175&gt;0,814=$B$175+1))),IF(AND($B$170=1,$B$66&gt;0,OR($B$175=0,814&lt;=$B$175)),$B$66,IF($B$172-MAX(814-1,$B$174)&gt;0,IF(B1214=0,0,IF(C1214=0,B1214/($B$172-MAX(814-1,$B$174)),B1214*(C1214/12)/(1-(1+C1214/12)^(-($B$172-MAX(814-1,$B$174)))))),"")),D1213)))+0.0000001&gt;=B1214*C1214/12,MIN(B1214*(1+C1214/12),IF(AND(814&lt;=$B$174,814&lt;=$B$173),B1214*C1214/12,IF(AND(814=$B$173+1,AND(814&gt;$B$173,$B$78="Refinance",ISNUMBER($B$80),$B$80&gt;=0,$B$80&lt;=1,ROUND($B$81*12,0)&gt;=1,$B$81&lt;=100,SUM($B$82)&gt;=0,SUM($B$82)&lt;=1,SUM($B$83)&gt;=0)),IF(B1214=0,0,IF(C1214=0,B1214/ROUND($B$81*12,0),B1214*(C1214/12)/(1-(1+C1214/12)^(-ROUND($B$81*12,0))))),IF(AND(NOT(AND(814&gt;$B$173,$B$78="Refinance",ISNUMBER($B$80),$B$80&gt;=0,$B$80&lt;=1,ROUND($B$81*12,0)&gt;=1,$B$81&lt;=100,SUM($B$82)&gt;=0,SUM($B$82)&lt;=1,SUM($B$83)&gt;=0)),OR(814=1,814=$B$174+1,AND($B$175&gt;0,814=$B$175+1))),IF(AND($B$170=1,$B$66&gt;0,OR($B$175=0,814&lt;=$B$175)),$B$66,IF($B$172-MAX(814-1,$B$174)&gt;0,IF(B1214=0,0,IF(C1214=0,B1214/($B$172-MAX(814-1,$B$174)),B1214*(C1214/12)/(1-(1+C1214/12)^(-($B$172-MAX(814-1,$B$174)))))),"")),D1213)))),""),""))</x:f>
        <x:v>0</x:v>
      </x:c>
      <x:c r="E1214" s="440" t="n">
        <x:f>IF(AND(814=$B$173,ISNUMBER(D1214)),IF(MAX(0,B1214*(1+C1214/12)-D1214)&lt;MAX(0.0000001,$E$17*0.00000000001),0,MAX(0,B1214*(1+C1214/12)-D1214)),0)</x:f>
        <x:v>0</x:v>
      </x:c>
      <x:c r="F1214" s="440" t="n">
        <x:f>IF($B$78="Cash payoff",E1214,0)</x:f>
        <x:v>0</x:v>
      </x:c>
      <x:c r="G1214" s="440" t="n">
        <x:f>IF(AND(E1214&gt;0,AND($B$78="Refinance",ISNUMBER($B$80),$B$80&gt;=0,$B$80&lt;=1,ROUND($B$81*12,0)&gt;=1,$B$81&lt;=100,SUM($B$82)&gt;=0,SUM($B$82)&lt;=1,SUM($B$83)&gt;=0)),E1214*SUM($B$82)+SUM($B$83),0)</x:f>
        <x:v>0</x:v>
      </x:c>
      <x:c r="H1214" s="440" t="n">
        <x:f>IF(ISNUMBER(D1214),IF(MAX(0,B1214*(1+C1214/12)-D1214-F1214)&lt;MAX(0.0000001,$E$17*0.00000000001),0,MAX(0,B1214*(1+C1214/12)-D1214-F1214)),IF(AND($B$171=1,I1213=1),B1214,""))</x:f>
        <x:v>0</x:v>
      </x:c>
      <x:c r="I1214" s="444" t="n">
        <x:f>IF(OR(I1213=1,AND(E1214&gt;0,$B$78&lt;&gt;"Cash payoff",NOT(AND($B$78="Refinance",ISNUMBER($B$80),$B$80&gt;=0,$B$80&lt;=1,ROUND($B$81*12,0)&gt;=1,$B$81&lt;=100,SUM($B$82)&gt;=0,SUM($B$82)&lt;=1,SUM($B$83)&gt;=0))),AND(ISNUMBER(B1214),B1214&gt;0,$B$171=1,NOT(ISNUMBER(D1214)))),1,0)</x:f>
        <x:v>0</x:v>
      </x:c>
      <x:c r="J1214" s="440" t="n">
        <x:f>IF(ISNUMBER(L1213),L1213,"")</x:f>
        <x:v>0</x:v>
      </x:c>
      <x:c r="K1214" s="440" t="n">
        <x:f>IF(AND(ISNUMBER(J1214),J1214=0),0,IF(AND($B$176=1,ISNUMBER(J1214)),MIN(J1214*(1+$B$87/12),IF($B$86=0,0,IF($B$87=0,$B$86/ROUND($B$88*12,0),$B$86*($B$87/12)/(1-(1+$B$87/12)^(-ROUND($B$88*12,0)))))),""))</x:f>
        <x:v>0</x:v>
      </x:c>
      <x:c r="L1214" s="440" t="n">
        <x:f>IF(ISNUMBER(K1214),IF(MAX(0,J1214*(1+SUM($B$87)/12)-K1214)&lt;MAX(0.0000001,$B$86*0.00000000001),0,MAX(0,J1214*(1+SUM($B$87)/12)-K1214)),"")</x:f>
        <x:v>0</x:v>
      </x:c>
      <x:c r="M1214" s="440" t="n">
        <x:f>IF(AND(ISNUMBER(D1214),ISNUMBER(K1214)),D1214+K1214,"")</x:f>
        <x:v>0</x:v>
      </x:c>
      <x:c r="N1214" s="440" t="n">
        <x:f>IF(AND(ISNUMBER(H1214),ISNUMBER(L1214)),H1214+L1214,"")</x:f>
        <x:v>0</x:v>
      </x:c>
    </x:row>
    <x:row r="1215" ht="22" customHeight="1">
      <x:c r="A1215" s="254" t="n">
        <x:f>815</x:f>
        <x:v>815</x:v>
      </x:c>
      <x:c r="B1215" s="440" t="n">
        <x:f>IF(ISNUMBER(H1214),H1214,"")</x:f>
        <x:v>0</x:v>
      </x:c>
      <x:c r="C1215" s="442" t="n">
        <x:f>IF(ISNUMBER(B1215),IF(AND(815&gt;$B$173,$B$78="Refinance",ISNUMBER($B$80),$B$80&gt;=0,$B$80&lt;=1,ROUND($B$81*12,0)&gt;=1,$B$81&lt;=100,SUM($B$82)&gt;=0,SUM($B$82)&lt;=1,SUM($B$83)&gt;=0),$B$80,IF(AND($B$175&gt;0,815&gt;$B$175,ISNUMBER($B$75)),$B$75,$B$61)),"")</x:f>
        <x:v>0.0625</x:v>
      </x:c>
      <x:c r="D1215" s="440" t="n">
        <x:f>IF(AND(ISNUMBER(B1215),B1215=0),0,IF(AND($B$171=1,I1214=0,ISNUMBER(C1215),ISNUMBER(IF(AND(815&lt;=$B$174,815&lt;=$B$173),B1215*C1215/12,IF(AND(815=$B$173+1,AND(815&gt;$B$173,$B$78="Refinance",ISNUMBER($B$80),$B$80&gt;=0,$B$80&lt;=1,ROUND($B$81*12,0)&gt;=1,$B$81&lt;=100,SUM($B$82)&gt;=0,SUM($B$82)&lt;=1,SUM($B$83)&gt;=0)),IF(B1215=0,0,IF(C1215=0,B1215/ROUND($B$81*12,0),B1215*(C1215/12)/(1-(1+C1215/12)^(-ROUND($B$81*12,0))))),IF(AND(NOT(AND(815&gt;$B$173,$B$78="Refinance",ISNUMBER($B$80),$B$80&gt;=0,$B$80&lt;=1,ROUND($B$81*12,0)&gt;=1,$B$81&lt;=100,SUM($B$82)&gt;=0,SUM($B$82)&lt;=1,SUM($B$83)&gt;=0)),OR(815=1,815=$B$174+1,AND($B$175&gt;0,815=$B$175+1))),IF(AND($B$170=1,$B$66&gt;0,OR($B$175=0,815&lt;=$B$175)),$B$66,IF($B$172-MAX(815-1,$B$174)&gt;0,IF(B1215=0,0,IF(C1215=0,B1215/($B$172-MAX(815-1,$B$174)),B1215*(C1215/12)/(1-(1+C1215/12)^(-($B$172-MAX(815-1,$B$174)))))),"")),D1214))))),IF(IF(AND(815&lt;=$B$174,815&lt;=$B$173),B1215*C1215/12,IF(AND(815=$B$173+1,AND(815&gt;$B$173,$B$78="Refinance",ISNUMBER($B$80),$B$80&gt;=0,$B$80&lt;=1,ROUND($B$81*12,0)&gt;=1,$B$81&lt;=100,SUM($B$82)&gt;=0,SUM($B$82)&lt;=1,SUM($B$83)&gt;=0)),IF(B1215=0,0,IF(C1215=0,B1215/ROUND($B$81*12,0),B1215*(C1215/12)/(1-(1+C1215/12)^(-ROUND($B$81*12,0))))),IF(AND(NOT(AND(815&gt;$B$173,$B$78="Refinance",ISNUMBER($B$80),$B$80&gt;=0,$B$80&lt;=1,ROUND($B$81*12,0)&gt;=1,$B$81&lt;=100,SUM($B$82)&gt;=0,SUM($B$82)&lt;=1,SUM($B$83)&gt;=0)),OR(815=1,815=$B$174+1,AND($B$175&gt;0,815=$B$175+1))),IF(AND($B$170=1,$B$66&gt;0,OR($B$175=0,815&lt;=$B$175)),$B$66,IF($B$172-MAX(815-1,$B$174)&gt;0,IF(B1215=0,0,IF(C1215=0,B1215/($B$172-MAX(815-1,$B$174)),B1215*(C1215/12)/(1-(1+C1215/12)^(-($B$172-MAX(815-1,$B$174)))))),"")),D1214)))+0.0000001&gt;=B1215*C1215/12,MIN(B1215*(1+C1215/12),IF(AND(815&lt;=$B$174,815&lt;=$B$173),B1215*C1215/12,IF(AND(815=$B$173+1,AND(815&gt;$B$173,$B$78="Refinance",ISNUMBER($B$80),$B$80&gt;=0,$B$80&lt;=1,ROUND($B$81*12,0)&gt;=1,$B$81&lt;=100,SUM($B$82)&gt;=0,SUM($B$82)&lt;=1,SUM($B$83)&gt;=0)),IF(B1215=0,0,IF(C1215=0,B1215/ROUND($B$81*12,0),B1215*(C1215/12)/(1-(1+C1215/12)^(-ROUND($B$81*12,0))))),IF(AND(NOT(AND(815&gt;$B$173,$B$78="Refinance",ISNUMBER($B$80),$B$80&gt;=0,$B$80&lt;=1,ROUND($B$81*12,0)&gt;=1,$B$81&lt;=100,SUM($B$82)&gt;=0,SUM($B$82)&lt;=1,SUM($B$83)&gt;=0)),OR(815=1,815=$B$174+1,AND($B$175&gt;0,815=$B$175+1))),IF(AND($B$170=1,$B$66&gt;0,OR($B$175=0,815&lt;=$B$175)),$B$66,IF($B$172-MAX(815-1,$B$174)&gt;0,IF(B1215=0,0,IF(C1215=0,B1215/($B$172-MAX(815-1,$B$174)),B1215*(C1215/12)/(1-(1+C1215/12)^(-($B$172-MAX(815-1,$B$174)))))),"")),D1214)))),""),""))</x:f>
        <x:v>0</x:v>
      </x:c>
      <x:c r="E1215" s="440" t="n">
        <x:f>IF(AND(815=$B$173,ISNUMBER(D1215)),IF(MAX(0,B1215*(1+C1215/12)-D1215)&lt;MAX(0.0000001,$E$17*0.00000000001),0,MAX(0,B1215*(1+C1215/12)-D1215)),0)</x:f>
        <x:v>0</x:v>
      </x:c>
      <x:c r="F1215" s="440" t="n">
        <x:f>IF($B$78="Cash payoff",E1215,0)</x:f>
        <x:v>0</x:v>
      </x:c>
      <x:c r="G1215" s="440" t="n">
        <x:f>IF(AND(E1215&gt;0,AND($B$78="Refinance",ISNUMBER($B$80),$B$80&gt;=0,$B$80&lt;=1,ROUND($B$81*12,0)&gt;=1,$B$81&lt;=100,SUM($B$82)&gt;=0,SUM($B$82)&lt;=1,SUM($B$83)&gt;=0)),E1215*SUM($B$82)+SUM($B$83),0)</x:f>
        <x:v>0</x:v>
      </x:c>
      <x:c r="H1215" s="440" t="n">
        <x:f>IF(ISNUMBER(D1215),IF(MAX(0,B1215*(1+C1215/12)-D1215-F1215)&lt;MAX(0.0000001,$E$17*0.00000000001),0,MAX(0,B1215*(1+C1215/12)-D1215-F1215)),IF(AND($B$171=1,I1214=1),B1215,""))</x:f>
        <x:v>0</x:v>
      </x:c>
      <x:c r="I1215" s="444" t="n">
        <x:f>IF(OR(I1214=1,AND(E1215&gt;0,$B$78&lt;&gt;"Cash payoff",NOT(AND($B$78="Refinance",ISNUMBER($B$80),$B$80&gt;=0,$B$80&lt;=1,ROUND($B$81*12,0)&gt;=1,$B$81&lt;=100,SUM($B$82)&gt;=0,SUM($B$82)&lt;=1,SUM($B$83)&gt;=0))),AND(ISNUMBER(B1215),B1215&gt;0,$B$171=1,NOT(ISNUMBER(D1215)))),1,0)</x:f>
        <x:v>0</x:v>
      </x:c>
      <x:c r="J1215" s="440" t="n">
        <x:f>IF(ISNUMBER(L1214),L1214,"")</x:f>
        <x:v>0</x:v>
      </x:c>
      <x:c r="K1215" s="440" t="n">
        <x:f>IF(AND(ISNUMBER(J1215),J1215=0),0,IF(AND($B$176=1,ISNUMBER(J1215)),MIN(J1215*(1+$B$87/12),IF($B$86=0,0,IF($B$87=0,$B$86/ROUND($B$88*12,0),$B$86*($B$87/12)/(1-(1+$B$87/12)^(-ROUND($B$88*12,0)))))),""))</x:f>
        <x:v>0</x:v>
      </x:c>
      <x:c r="L1215" s="440" t="n">
        <x:f>IF(ISNUMBER(K1215),IF(MAX(0,J1215*(1+SUM($B$87)/12)-K1215)&lt;MAX(0.0000001,$B$86*0.00000000001),0,MAX(0,J1215*(1+SUM($B$87)/12)-K1215)),"")</x:f>
        <x:v>0</x:v>
      </x:c>
      <x:c r="M1215" s="440" t="n">
        <x:f>IF(AND(ISNUMBER(D1215),ISNUMBER(K1215)),D1215+K1215,"")</x:f>
        <x:v>0</x:v>
      </x:c>
      <x:c r="N1215" s="440" t="n">
        <x:f>IF(AND(ISNUMBER(H1215),ISNUMBER(L1215)),H1215+L1215,"")</x:f>
        <x:v>0</x:v>
      </x:c>
    </x:row>
    <x:row r="1216" ht="22" customHeight="1">
      <x:c r="A1216" s="254" t="n">
        <x:f>816</x:f>
        <x:v>816</x:v>
      </x:c>
      <x:c r="B1216" s="440" t="n">
        <x:f>IF(ISNUMBER(H1215),H1215,"")</x:f>
        <x:v>0</x:v>
      </x:c>
      <x:c r="C1216" s="442" t="n">
        <x:f>IF(ISNUMBER(B1216),IF(AND(816&gt;$B$173,$B$78="Refinance",ISNUMBER($B$80),$B$80&gt;=0,$B$80&lt;=1,ROUND($B$81*12,0)&gt;=1,$B$81&lt;=100,SUM($B$82)&gt;=0,SUM($B$82)&lt;=1,SUM($B$83)&gt;=0),$B$80,IF(AND($B$175&gt;0,816&gt;$B$175,ISNUMBER($B$75)),$B$75,$B$61)),"")</x:f>
        <x:v>0.0625</x:v>
      </x:c>
      <x:c r="D1216" s="440" t="n">
        <x:f>IF(AND(ISNUMBER(B1216),B1216=0),0,IF(AND($B$171=1,I1215=0,ISNUMBER(C1216),ISNUMBER(IF(AND(816&lt;=$B$174,816&lt;=$B$173),B1216*C1216/12,IF(AND(816=$B$173+1,AND(816&gt;$B$173,$B$78="Refinance",ISNUMBER($B$80),$B$80&gt;=0,$B$80&lt;=1,ROUND($B$81*12,0)&gt;=1,$B$81&lt;=100,SUM($B$82)&gt;=0,SUM($B$82)&lt;=1,SUM($B$83)&gt;=0)),IF(B1216=0,0,IF(C1216=0,B1216/ROUND($B$81*12,0),B1216*(C1216/12)/(1-(1+C1216/12)^(-ROUND($B$81*12,0))))),IF(AND(NOT(AND(816&gt;$B$173,$B$78="Refinance",ISNUMBER($B$80),$B$80&gt;=0,$B$80&lt;=1,ROUND($B$81*12,0)&gt;=1,$B$81&lt;=100,SUM($B$82)&gt;=0,SUM($B$82)&lt;=1,SUM($B$83)&gt;=0)),OR(816=1,816=$B$174+1,AND($B$175&gt;0,816=$B$175+1))),IF(AND($B$170=1,$B$66&gt;0,OR($B$175=0,816&lt;=$B$175)),$B$66,IF($B$172-MAX(816-1,$B$174)&gt;0,IF(B1216=0,0,IF(C1216=0,B1216/($B$172-MAX(816-1,$B$174)),B1216*(C1216/12)/(1-(1+C1216/12)^(-($B$172-MAX(816-1,$B$174)))))),"")),D1215))))),IF(IF(AND(816&lt;=$B$174,816&lt;=$B$173),B1216*C1216/12,IF(AND(816=$B$173+1,AND(816&gt;$B$173,$B$78="Refinance",ISNUMBER($B$80),$B$80&gt;=0,$B$80&lt;=1,ROUND($B$81*12,0)&gt;=1,$B$81&lt;=100,SUM($B$82)&gt;=0,SUM($B$82)&lt;=1,SUM($B$83)&gt;=0)),IF(B1216=0,0,IF(C1216=0,B1216/ROUND($B$81*12,0),B1216*(C1216/12)/(1-(1+C1216/12)^(-ROUND($B$81*12,0))))),IF(AND(NOT(AND(816&gt;$B$173,$B$78="Refinance",ISNUMBER($B$80),$B$80&gt;=0,$B$80&lt;=1,ROUND($B$81*12,0)&gt;=1,$B$81&lt;=100,SUM($B$82)&gt;=0,SUM($B$82)&lt;=1,SUM($B$83)&gt;=0)),OR(816=1,816=$B$174+1,AND($B$175&gt;0,816=$B$175+1))),IF(AND($B$170=1,$B$66&gt;0,OR($B$175=0,816&lt;=$B$175)),$B$66,IF($B$172-MAX(816-1,$B$174)&gt;0,IF(B1216=0,0,IF(C1216=0,B1216/($B$172-MAX(816-1,$B$174)),B1216*(C1216/12)/(1-(1+C1216/12)^(-($B$172-MAX(816-1,$B$174)))))),"")),D1215)))+0.0000001&gt;=B1216*C1216/12,MIN(B1216*(1+C1216/12),IF(AND(816&lt;=$B$174,816&lt;=$B$173),B1216*C1216/12,IF(AND(816=$B$173+1,AND(816&gt;$B$173,$B$78="Refinance",ISNUMBER($B$80),$B$80&gt;=0,$B$80&lt;=1,ROUND($B$81*12,0)&gt;=1,$B$81&lt;=100,SUM($B$82)&gt;=0,SUM($B$82)&lt;=1,SUM($B$83)&gt;=0)),IF(B1216=0,0,IF(C1216=0,B1216/ROUND($B$81*12,0),B1216*(C1216/12)/(1-(1+C1216/12)^(-ROUND($B$81*12,0))))),IF(AND(NOT(AND(816&gt;$B$173,$B$78="Refinance",ISNUMBER($B$80),$B$80&gt;=0,$B$80&lt;=1,ROUND($B$81*12,0)&gt;=1,$B$81&lt;=100,SUM($B$82)&gt;=0,SUM($B$82)&lt;=1,SUM($B$83)&gt;=0)),OR(816=1,816=$B$174+1,AND($B$175&gt;0,816=$B$175+1))),IF(AND($B$170=1,$B$66&gt;0,OR($B$175=0,816&lt;=$B$175)),$B$66,IF($B$172-MAX(816-1,$B$174)&gt;0,IF(B1216=0,0,IF(C1216=0,B1216/($B$172-MAX(816-1,$B$174)),B1216*(C1216/12)/(1-(1+C1216/12)^(-($B$172-MAX(816-1,$B$174)))))),"")),D1215)))),""),""))</x:f>
        <x:v>0</x:v>
      </x:c>
      <x:c r="E1216" s="440" t="n">
        <x:f>IF(AND(816=$B$173,ISNUMBER(D1216)),IF(MAX(0,B1216*(1+C1216/12)-D1216)&lt;MAX(0.0000001,$E$17*0.00000000001),0,MAX(0,B1216*(1+C1216/12)-D1216)),0)</x:f>
        <x:v>0</x:v>
      </x:c>
      <x:c r="F1216" s="440" t="n">
        <x:f>IF($B$78="Cash payoff",E1216,0)</x:f>
        <x:v>0</x:v>
      </x:c>
      <x:c r="G1216" s="440" t="n">
        <x:f>IF(AND(E1216&gt;0,AND($B$78="Refinance",ISNUMBER($B$80),$B$80&gt;=0,$B$80&lt;=1,ROUND($B$81*12,0)&gt;=1,$B$81&lt;=100,SUM($B$82)&gt;=0,SUM($B$82)&lt;=1,SUM($B$83)&gt;=0)),E1216*SUM($B$82)+SUM($B$83),0)</x:f>
        <x:v>0</x:v>
      </x:c>
      <x:c r="H1216" s="440" t="n">
        <x:f>IF(ISNUMBER(D1216),IF(MAX(0,B1216*(1+C1216/12)-D1216-F1216)&lt;MAX(0.0000001,$E$17*0.00000000001),0,MAX(0,B1216*(1+C1216/12)-D1216-F1216)),IF(AND($B$171=1,I1215=1),B1216,""))</x:f>
        <x:v>0</x:v>
      </x:c>
      <x:c r="I1216" s="444" t="n">
        <x:f>IF(OR(I1215=1,AND(E1216&gt;0,$B$78&lt;&gt;"Cash payoff",NOT(AND($B$78="Refinance",ISNUMBER($B$80),$B$80&gt;=0,$B$80&lt;=1,ROUND($B$81*12,0)&gt;=1,$B$81&lt;=100,SUM($B$82)&gt;=0,SUM($B$82)&lt;=1,SUM($B$83)&gt;=0))),AND(ISNUMBER(B1216),B1216&gt;0,$B$171=1,NOT(ISNUMBER(D1216)))),1,0)</x:f>
        <x:v>0</x:v>
      </x:c>
      <x:c r="J1216" s="440" t="n">
        <x:f>IF(ISNUMBER(L1215),L1215,"")</x:f>
        <x:v>0</x:v>
      </x:c>
      <x:c r="K1216" s="440" t="n">
        <x:f>IF(AND(ISNUMBER(J1216),J1216=0),0,IF(AND($B$176=1,ISNUMBER(J1216)),MIN(J1216*(1+$B$87/12),IF($B$86=0,0,IF($B$87=0,$B$86/ROUND($B$88*12,0),$B$86*($B$87/12)/(1-(1+$B$87/12)^(-ROUND($B$88*12,0)))))),""))</x:f>
        <x:v>0</x:v>
      </x:c>
      <x:c r="L1216" s="440" t="n">
        <x:f>IF(ISNUMBER(K1216),IF(MAX(0,J1216*(1+SUM($B$87)/12)-K1216)&lt;MAX(0.0000001,$B$86*0.00000000001),0,MAX(0,J1216*(1+SUM($B$87)/12)-K1216)),"")</x:f>
        <x:v>0</x:v>
      </x:c>
      <x:c r="M1216" s="440" t="n">
        <x:f>IF(AND(ISNUMBER(D1216),ISNUMBER(K1216)),D1216+K1216,"")</x:f>
        <x:v>0</x:v>
      </x:c>
      <x:c r="N1216" s="440" t="n">
        <x:f>IF(AND(ISNUMBER(H1216),ISNUMBER(L1216)),H1216+L1216,"")</x:f>
        <x:v>0</x:v>
      </x:c>
    </x:row>
    <x:row r="1217" ht="22" customHeight="1">
      <x:c r="A1217" s="254" t="n">
        <x:f>817</x:f>
        <x:v>817</x:v>
      </x:c>
      <x:c r="B1217" s="440" t="n">
        <x:f>IF(ISNUMBER(H1216),H1216,"")</x:f>
        <x:v>0</x:v>
      </x:c>
      <x:c r="C1217" s="442" t="n">
        <x:f>IF(ISNUMBER(B1217),IF(AND(817&gt;$B$173,$B$78="Refinance",ISNUMBER($B$80),$B$80&gt;=0,$B$80&lt;=1,ROUND($B$81*12,0)&gt;=1,$B$81&lt;=100,SUM($B$82)&gt;=0,SUM($B$82)&lt;=1,SUM($B$83)&gt;=0),$B$80,IF(AND($B$175&gt;0,817&gt;$B$175,ISNUMBER($B$75)),$B$75,$B$61)),"")</x:f>
        <x:v>0.0625</x:v>
      </x:c>
      <x:c r="D1217" s="440" t="n">
        <x:f>IF(AND(ISNUMBER(B1217),B1217=0),0,IF(AND($B$171=1,I1216=0,ISNUMBER(C1217),ISNUMBER(IF(AND(817&lt;=$B$174,817&lt;=$B$173),B1217*C1217/12,IF(AND(817=$B$173+1,AND(817&gt;$B$173,$B$78="Refinance",ISNUMBER($B$80),$B$80&gt;=0,$B$80&lt;=1,ROUND($B$81*12,0)&gt;=1,$B$81&lt;=100,SUM($B$82)&gt;=0,SUM($B$82)&lt;=1,SUM($B$83)&gt;=0)),IF(B1217=0,0,IF(C1217=0,B1217/ROUND($B$81*12,0),B1217*(C1217/12)/(1-(1+C1217/12)^(-ROUND($B$81*12,0))))),IF(AND(NOT(AND(817&gt;$B$173,$B$78="Refinance",ISNUMBER($B$80),$B$80&gt;=0,$B$80&lt;=1,ROUND($B$81*12,0)&gt;=1,$B$81&lt;=100,SUM($B$82)&gt;=0,SUM($B$82)&lt;=1,SUM($B$83)&gt;=0)),OR(817=1,817=$B$174+1,AND($B$175&gt;0,817=$B$175+1))),IF(AND($B$170=1,$B$66&gt;0,OR($B$175=0,817&lt;=$B$175)),$B$66,IF($B$172-MAX(817-1,$B$174)&gt;0,IF(B1217=0,0,IF(C1217=0,B1217/($B$172-MAX(817-1,$B$174)),B1217*(C1217/12)/(1-(1+C1217/12)^(-($B$172-MAX(817-1,$B$174)))))),"")),D1216))))),IF(IF(AND(817&lt;=$B$174,817&lt;=$B$173),B1217*C1217/12,IF(AND(817=$B$173+1,AND(817&gt;$B$173,$B$78="Refinance",ISNUMBER($B$80),$B$80&gt;=0,$B$80&lt;=1,ROUND($B$81*12,0)&gt;=1,$B$81&lt;=100,SUM($B$82)&gt;=0,SUM($B$82)&lt;=1,SUM($B$83)&gt;=0)),IF(B1217=0,0,IF(C1217=0,B1217/ROUND($B$81*12,0),B1217*(C1217/12)/(1-(1+C1217/12)^(-ROUND($B$81*12,0))))),IF(AND(NOT(AND(817&gt;$B$173,$B$78="Refinance",ISNUMBER($B$80),$B$80&gt;=0,$B$80&lt;=1,ROUND($B$81*12,0)&gt;=1,$B$81&lt;=100,SUM($B$82)&gt;=0,SUM($B$82)&lt;=1,SUM($B$83)&gt;=0)),OR(817=1,817=$B$174+1,AND($B$175&gt;0,817=$B$175+1))),IF(AND($B$170=1,$B$66&gt;0,OR($B$175=0,817&lt;=$B$175)),$B$66,IF($B$172-MAX(817-1,$B$174)&gt;0,IF(B1217=0,0,IF(C1217=0,B1217/($B$172-MAX(817-1,$B$174)),B1217*(C1217/12)/(1-(1+C1217/12)^(-($B$172-MAX(817-1,$B$174)))))),"")),D1216)))+0.0000001&gt;=B1217*C1217/12,MIN(B1217*(1+C1217/12),IF(AND(817&lt;=$B$174,817&lt;=$B$173),B1217*C1217/12,IF(AND(817=$B$173+1,AND(817&gt;$B$173,$B$78="Refinance",ISNUMBER($B$80),$B$80&gt;=0,$B$80&lt;=1,ROUND($B$81*12,0)&gt;=1,$B$81&lt;=100,SUM($B$82)&gt;=0,SUM($B$82)&lt;=1,SUM($B$83)&gt;=0)),IF(B1217=0,0,IF(C1217=0,B1217/ROUND($B$81*12,0),B1217*(C1217/12)/(1-(1+C1217/12)^(-ROUND($B$81*12,0))))),IF(AND(NOT(AND(817&gt;$B$173,$B$78="Refinance",ISNUMBER($B$80),$B$80&gt;=0,$B$80&lt;=1,ROUND($B$81*12,0)&gt;=1,$B$81&lt;=100,SUM($B$82)&gt;=0,SUM($B$82)&lt;=1,SUM($B$83)&gt;=0)),OR(817=1,817=$B$174+1,AND($B$175&gt;0,817=$B$175+1))),IF(AND($B$170=1,$B$66&gt;0,OR($B$175=0,817&lt;=$B$175)),$B$66,IF($B$172-MAX(817-1,$B$174)&gt;0,IF(B1217=0,0,IF(C1217=0,B1217/($B$172-MAX(817-1,$B$174)),B1217*(C1217/12)/(1-(1+C1217/12)^(-($B$172-MAX(817-1,$B$174)))))),"")),D1216)))),""),""))</x:f>
        <x:v>0</x:v>
      </x:c>
      <x:c r="E1217" s="440" t="n">
        <x:f>IF(AND(817=$B$173,ISNUMBER(D1217)),IF(MAX(0,B1217*(1+C1217/12)-D1217)&lt;MAX(0.0000001,$E$17*0.00000000001),0,MAX(0,B1217*(1+C1217/12)-D1217)),0)</x:f>
        <x:v>0</x:v>
      </x:c>
      <x:c r="F1217" s="440" t="n">
        <x:f>IF($B$78="Cash payoff",E1217,0)</x:f>
        <x:v>0</x:v>
      </x:c>
      <x:c r="G1217" s="440" t="n">
        <x:f>IF(AND(E1217&gt;0,AND($B$78="Refinance",ISNUMBER($B$80),$B$80&gt;=0,$B$80&lt;=1,ROUND($B$81*12,0)&gt;=1,$B$81&lt;=100,SUM($B$82)&gt;=0,SUM($B$82)&lt;=1,SUM($B$83)&gt;=0)),E1217*SUM($B$82)+SUM($B$83),0)</x:f>
        <x:v>0</x:v>
      </x:c>
      <x:c r="H1217" s="440" t="n">
        <x:f>IF(ISNUMBER(D1217),IF(MAX(0,B1217*(1+C1217/12)-D1217-F1217)&lt;MAX(0.0000001,$E$17*0.00000000001),0,MAX(0,B1217*(1+C1217/12)-D1217-F1217)),IF(AND($B$171=1,I1216=1),B1217,""))</x:f>
        <x:v>0</x:v>
      </x:c>
      <x:c r="I1217" s="444" t="n">
        <x:f>IF(OR(I1216=1,AND(E1217&gt;0,$B$78&lt;&gt;"Cash payoff",NOT(AND($B$78="Refinance",ISNUMBER($B$80),$B$80&gt;=0,$B$80&lt;=1,ROUND($B$81*12,0)&gt;=1,$B$81&lt;=100,SUM($B$82)&gt;=0,SUM($B$82)&lt;=1,SUM($B$83)&gt;=0))),AND(ISNUMBER(B1217),B1217&gt;0,$B$171=1,NOT(ISNUMBER(D1217)))),1,0)</x:f>
        <x:v>0</x:v>
      </x:c>
      <x:c r="J1217" s="440" t="n">
        <x:f>IF(ISNUMBER(L1216),L1216,"")</x:f>
        <x:v>0</x:v>
      </x:c>
      <x:c r="K1217" s="440" t="n">
        <x:f>IF(AND(ISNUMBER(J1217),J1217=0),0,IF(AND($B$176=1,ISNUMBER(J1217)),MIN(J1217*(1+$B$87/12),IF($B$86=0,0,IF($B$87=0,$B$86/ROUND($B$88*12,0),$B$86*($B$87/12)/(1-(1+$B$87/12)^(-ROUND($B$88*12,0)))))),""))</x:f>
        <x:v>0</x:v>
      </x:c>
      <x:c r="L1217" s="440" t="n">
        <x:f>IF(ISNUMBER(K1217),IF(MAX(0,J1217*(1+SUM($B$87)/12)-K1217)&lt;MAX(0.0000001,$B$86*0.00000000001),0,MAX(0,J1217*(1+SUM($B$87)/12)-K1217)),"")</x:f>
        <x:v>0</x:v>
      </x:c>
      <x:c r="M1217" s="440" t="n">
        <x:f>IF(AND(ISNUMBER(D1217),ISNUMBER(K1217)),D1217+K1217,"")</x:f>
        <x:v>0</x:v>
      </x:c>
      <x:c r="N1217" s="440" t="n">
        <x:f>IF(AND(ISNUMBER(H1217),ISNUMBER(L1217)),H1217+L1217,"")</x:f>
        <x:v>0</x:v>
      </x:c>
    </x:row>
    <x:row r="1218" ht="22" customHeight="1">
      <x:c r="A1218" s="254" t="n">
        <x:f>818</x:f>
        <x:v>818</x:v>
      </x:c>
      <x:c r="B1218" s="440" t="n">
        <x:f>IF(ISNUMBER(H1217),H1217,"")</x:f>
        <x:v>0</x:v>
      </x:c>
      <x:c r="C1218" s="442" t="n">
        <x:f>IF(ISNUMBER(B1218),IF(AND(818&gt;$B$173,$B$78="Refinance",ISNUMBER($B$80),$B$80&gt;=0,$B$80&lt;=1,ROUND($B$81*12,0)&gt;=1,$B$81&lt;=100,SUM($B$82)&gt;=0,SUM($B$82)&lt;=1,SUM($B$83)&gt;=0),$B$80,IF(AND($B$175&gt;0,818&gt;$B$175,ISNUMBER($B$75)),$B$75,$B$61)),"")</x:f>
        <x:v>0.0625</x:v>
      </x:c>
      <x:c r="D1218" s="440" t="n">
        <x:f>IF(AND(ISNUMBER(B1218),B1218=0),0,IF(AND($B$171=1,I1217=0,ISNUMBER(C1218),ISNUMBER(IF(AND(818&lt;=$B$174,818&lt;=$B$173),B1218*C1218/12,IF(AND(818=$B$173+1,AND(818&gt;$B$173,$B$78="Refinance",ISNUMBER($B$80),$B$80&gt;=0,$B$80&lt;=1,ROUND($B$81*12,0)&gt;=1,$B$81&lt;=100,SUM($B$82)&gt;=0,SUM($B$82)&lt;=1,SUM($B$83)&gt;=0)),IF(B1218=0,0,IF(C1218=0,B1218/ROUND($B$81*12,0),B1218*(C1218/12)/(1-(1+C1218/12)^(-ROUND($B$81*12,0))))),IF(AND(NOT(AND(818&gt;$B$173,$B$78="Refinance",ISNUMBER($B$80),$B$80&gt;=0,$B$80&lt;=1,ROUND($B$81*12,0)&gt;=1,$B$81&lt;=100,SUM($B$82)&gt;=0,SUM($B$82)&lt;=1,SUM($B$83)&gt;=0)),OR(818=1,818=$B$174+1,AND($B$175&gt;0,818=$B$175+1))),IF(AND($B$170=1,$B$66&gt;0,OR($B$175=0,818&lt;=$B$175)),$B$66,IF($B$172-MAX(818-1,$B$174)&gt;0,IF(B1218=0,0,IF(C1218=0,B1218/($B$172-MAX(818-1,$B$174)),B1218*(C1218/12)/(1-(1+C1218/12)^(-($B$172-MAX(818-1,$B$174)))))),"")),D1217))))),IF(IF(AND(818&lt;=$B$174,818&lt;=$B$173),B1218*C1218/12,IF(AND(818=$B$173+1,AND(818&gt;$B$173,$B$78="Refinance",ISNUMBER($B$80),$B$80&gt;=0,$B$80&lt;=1,ROUND($B$81*12,0)&gt;=1,$B$81&lt;=100,SUM($B$82)&gt;=0,SUM($B$82)&lt;=1,SUM($B$83)&gt;=0)),IF(B1218=0,0,IF(C1218=0,B1218/ROUND($B$81*12,0),B1218*(C1218/12)/(1-(1+C1218/12)^(-ROUND($B$81*12,0))))),IF(AND(NOT(AND(818&gt;$B$173,$B$78="Refinance",ISNUMBER($B$80),$B$80&gt;=0,$B$80&lt;=1,ROUND($B$81*12,0)&gt;=1,$B$81&lt;=100,SUM($B$82)&gt;=0,SUM($B$82)&lt;=1,SUM($B$83)&gt;=0)),OR(818=1,818=$B$174+1,AND($B$175&gt;0,818=$B$175+1))),IF(AND($B$170=1,$B$66&gt;0,OR($B$175=0,818&lt;=$B$175)),$B$66,IF($B$172-MAX(818-1,$B$174)&gt;0,IF(B1218=0,0,IF(C1218=0,B1218/($B$172-MAX(818-1,$B$174)),B1218*(C1218/12)/(1-(1+C1218/12)^(-($B$172-MAX(818-1,$B$174)))))),"")),D1217)))+0.0000001&gt;=B1218*C1218/12,MIN(B1218*(1+C1218/12),IF(AND(818&lt;=$B$174,818&lt;=$B$173),B1218*C1218/12,IF(AND(818=$B$173+1,AND(818&gt;$B$173,$B$78="Refinance",ISNUMBER($B$80),$B$80&gt;=0,$B$80&lt;=1,ROUND($B$81*12,0)&gt;=1,$B$81&lt;=100,SUM($B$82)&gt;=0,SUM($B$82)&lt;=1,SUM($B$83)&gt;=0)),IF(B1218=0,0,IF(C1218=0,B1218/ROUND($B$81*12,0),B1218*(C1218/12)/(1-(1+C1218/12)^(-ROUND($B$81*12,0))))),IF(AND(NOT(AND(818&gt;$B$173,$B$78="Refinance",ISNUMBER($B$80),$B$80&gt;=0,$B$80&lt;=1,ROUND($B$81*12,0)&gt;=1,$B$81&lt;=100,SUM($B$82)&gt;=0,SUM($B$82)&lt;=1,SUM($B$83)&gt;=0)),OR(818=1,818=$B$174+1,AND($B$175&gt;0,818=$B$175+1))),IF(AND($B$170=1,$B$66&gt;0,OR($B$175=0,818&lt;=$B$175)),$B$66,IF($B$172-MAX(818-1,$B$174)&gt;0,IF(B1218=0,0,IF(C1218=0,B1218/($B$172-MAX(818-1,$B$174)),B1218*(C1218/12)/(1-(1+C1218/12)^(-($B$172-MAX(818-1,$B$174)))))),"")),D1217)))),""),""))</x:f>
        <x:v>0</x:v>
      </x:c>
      <x:c r="E1218" s="440" t="n">
        <x:f>IF(AND(818=$B$173,ISNUMBER(D1218)),IF(MAX(0,B1218*(1+C1218/12)-D1218)&lt;MAX(0.0000001,$E$17*0.00000000001),0,MAX(0,B1218*(1+C1218/12)-D1218)),0)</x:f>
        <x:v>0</x:v>
      </x:c>
      <x:c r="F1218" s="440" t="n">
        <x:f>IF($B$78="Cash payoff",E1218,0)</x:f>
        <x:v>0</x:v>
      </x:c>
      <x:c r="G1218" s="440" t="n">
        <x:f>IF(AND(E1218&gt;0,AND($B$78="Refinance",ISNUMBER($B$80),$B$80&gt;=0,$B$80&lt;=1,ROUND($B$81*12,0)&gt;=1,$B$81&lt;=100,SUM($B$82)&gt;=0,SUM($B$82)&lt;=1,SUM($B$83)&gt;=0)),E1218*SUM($B$82)+SUM($B$83),0)</x:f>
        <x:v>0</x:v>
      </x:c>
      <x:c r="H1218" s="440" t="n">
        <x:f>IF(ISNUMBER(D1218),IF(MAX(0,B1218*(1+C1218/12)-D1218-F1218)&lt;MAX(0.0000001,$E$17*0.00000000001),0,MAX(0,B1218*(1+C1218/12)-D1218-F1218)),IF(AND($B$171=1,I1217=1),B1218,""))</x:f>
        <x:v>0</x:v>
      </x:c>
      <x:c r="I1218" s="444" t="n">
        <x:f>IF(OR(I1217=1,AND(E1218&gt;0,$B$78&lt;&gt;"Cash payoff",NOT(AND($B$78="Refinance",ISNUMBER($B$80),$B$80&gt;=0,$B$80&lt;=1,ROUND($B$81*12,0)&gt;=1,$B$81&lt;=100,SUM($B$82)&gt;=0,SUM($B$82)&lt;=1,SUM($B$83)&gt;=0))),AND(ISNUMBER(B1218),B1218&gt;0,$B$171=1,NOT(ISNUMBER(D1218)))),1,0)</x:f>
        <x:v>0</x:v>
      </x:c>
      <x:c r="J1218" s="440" t="n">
        <x:f>IF(ISNUMBER(L1217),L1217,"")</x:f>
        <x:v>0</x:v>
      </x:c>
      <x:c r="K1218" s="440" t="n">
        <x:f>IF(AND(ISNUMBER(J1218),J1218=0),0,IF(AND($B$176=1,ISNUMBER(J1218)),MIN(J1218*(1+$B$87/12),IF($B$86=0,0,IF($B$87=0,$B$86/ROUND($B$88*12,0),$B$86*($B$87/12)/(1-(1+$B$87/12)^(-ROUND($B$88*12,0)))))),""))</x:f>
        <x:v>0</x:v>
      </x:c>
      <x:c r="L1218" s="440" t="n">
        <x:f>IF(ISNUMBER(K1218),IF(MAX(0,J1218*(1+SUM($B$87)/12)-K1218)&lt;MAX(0.0000001,$B$86*0.00000000001),0,MAX(0,J1218*(1+SUM($B$87)/12)-K1218)),"")</x:f>
        <x:v>0</x:v>
      </x:c>
      <x:c r="M1218" s="440" t="n">
        <x:f>IF(AND(ISNUMBER(D1218),ISNUMBER(K1218)),D1218+K1218,"")</x:f>
        <x:v>0</x:v>
      </x:c>
      <x:c r="N1218" s="440" t="n">
        <x:f>IF(AND(ISNUMBER(H1218),ISNUMBER(L1218)),H1218+L1218,"")</x:f>
        <x:v>0</x:v>
      </x:c>
    </x:row>
    <x:row r="1219" ht="22" customHeight="1">
      <x:c r="A1219" s="254" t="n">
        <x:f>819</x:f>
        <x:v>819</x:v>
      </x:c>
      <x:c r="B1219" s="440" t="n">
        <x:f>IF(ISNUMBER(H1218),H1218,"")</x:f>
        <x:v>0</x:v>
      </x:c>
      <x:c r="C1219" s="442" t="n">
        <x:f>IF(ISNUMBER(B1219),IF(AND(819&gt;$B$173,$B$78="Refinance",ISNUMBER($B$80),$B$80&gt;=0,$B$80&lt;=1,ROUND($B$81*12,0)&gt;=1,$B$81&lt;=100,SUM($B$82)&gt;=0,SUM($B$82)&lt;=1,SUM($B$83)&gt;=0),$B$80,IF(AND($B$175&gt;0,819&gt;$B$175,ISNUMBER($B$75)),$B$75,$B$61)),"")</x:f>
        <x:v>0.0625</x:v>
      </x:c>
      <x:c r="D1219" s="440" t="n">
        <x:f>IF(AND(ISNUMBER(B1219),B1219=0),0,IF(AND($B$171=1,I1218=0,ISNUMBER(C1219),ISNUMBER(IF(AND(819&lt;=$B$174,819&lt;=$B$173),B1219*C1219/12,IF(AND(819=$B$173+1,AND(819&gt;$B$173,$B$78="Refinance",ISNUMBER($B$80),$B$80&gt;=0,$B$80&lt;=1,ROUND($B$81*12,0)&gt;=1,$B$81&lt;=100,SUM($B$82)&gt;=0,SUM($B$82)&lt;=1,SUM($B$83)&gt;=0)),IF(B1219=0,0,IF(C1219=0,B1219/ROUND($B$81*12,0),B1219*(C1219/12)/(1-(1+C1219/12)^(-ROUND($B$81*12,0))))),IF(AND(NOT(AND(819&gt;$B$173,$B$78="Refinance",ISNUMBER($B$80),$B$80&gt;=0,$B$80&lt;=1,ROUND($B$81*12,0)&gt;=1,$B$81&lt;=100,SUM($B$82)&gt;=0,SUM($B$82)&lt;=1,SUM($B$83)&gt;=0)),OR(819=1,819=$B$174+1,AND($B$175&gt;0,819=$B$175+1))),IF(AND($B$170=1,$B$66&gt;0,OR($B$175=0,819&lt;=$B$175)),$B$66,IF($B$172-MAX(819-1,$B$174)&gt;0,IF(B1219=0,0,IF(C1219=0,B1219/($B$172-MAX(819-1,$B$174)),B1219*(C1219/12)/(1-(1+C1219/12)^(-($B$172-MAX(819-1,$B$174)))))),"")),D1218))))),IF(IF(AND(819&lt;=$B$174,819&lt;=$B$173),B1219*C1219/12,IF(AND(819=$B$173+1,AND(819&gt;$B$173,$B$78="Refinance",ISNUMBER($B$80),$B$80&gt;=0,$B$80&lt;=1,ROUND($B$81*12,0)&gt;=1,$B$81&lt;=100,SUM($B$82)&gt;=0,SUM($B$82)&lt;=1,SUM($B$83)&gt;=0)),IF(B1219=0,0,IF(C1219=0,B1219/ROUND($B$81*12,0),B1219*(C1219/12)/(1-(1+C1219/12)^(-ROUND($B$81*12,0))))),IF(AND(NOT(AND(819&gt;$B$173,$B$78="Refinance",ISNUMBER($B$80),$B$80&gt;=0,$B$80&lt;=1,ROUND($B$81*12,0)&gt;=1,$B$81&lt;=100,SUM($B$82)&gt;=0,SUM($B$82)&lt;=1,SUM($B$83)&gt;=0)),OR(819=1,819=$B$174+1,AND($B$175&gt;0,819=$B$175+1))),IF(AND($B$170=1,$B$66&gt;0,OR($B$175=0,819&lt;=$B$175)),$B$66,IF($B$172-MAX(819-1,$B$174)&gt;0,IF(B1219=0,0,IF(C1219=0,B1219/($B$172-MAX(819-1,$B$174)),B1219*(C1219/12)/(1-(1+C1219/12)^(-($B$172-MAX(819-1,$B$174)))))),"")),D1218)))+0.0000001&gt;=B1219*C1219/12,MIN(B1219*(1+C1219/12),IF(AND(819&lt;=$B$174,819&lt;=$B$173),B1219*C1219/12,IF(AND(819=$B$173+1,AND(819&gt;$B$173,$B$78="Refinance",ISNUMBER($B$80),$B$80&gt;=0,$B$80&lt;=1,ROUND($B$81*12,0)&gt;=1,$B$81&lt;=100,SUM($B$82)&gt;=0,SUM($B$82)&lt;=1,SUM($B$83)&gt;=0)),IF(B1219=0,0,IF(C1219=0,B1219/ROUND($B$81*12,0),B1219*(C1219/12)/(1-(1+C1219/12)^(-ROUND($B$81*12,0))))),IF(AND(NOT(AND(819&gt;$B$173,$B$78="Refinance",ISNUMBER($B$80),$B$80&gt;=0,$B$80&lt;=1,ROUND($B$81*12,0)&gt;=1,$B$81&lt;=100,SUM($B$82)&gt;=0,SUM($B$82)&lt;=1,SUM($B$83)&gt;=0)),OR(819=1,819=$B$174+1,AND($B$175&gt;0,819=$B$175+1))),IF(AND($B$170=1,$B$66&gt;0,OR($B$175=0,819&lt;=$B$175)),$B$66,IF($B$172-MAX(819-1,$B$174)&gt;0,IF(B1219=0,0,IF(C1219=0,B1219/($B$172-MAX(819-1,$B$174)),B1219*(C1219/12)/(1-(1+C1219/12)^(-($B$172-MAX(819-1,$B$174)))))),"")),D1218)))),""),""))</x:f>
        <x:v>0</x:v>
      </x:c>
      <x:c r="E1219" s="440" t="n">
        <x:f>IF(AND(819=$B$173,ISNUMBER(D1219)),IF(MAX(0,B1219*(1+C1219/12)-D1219)&lt;MAX(0.0000001,$E$17*0.00000000001),0,MAX(0,B1219*(1+C1219/12)-D1219)),0)</x:f>
        <x:v>0</x:v>
      </x:c>
      <x:c r="F1219" s="440" t="n">
        <x:f>IF($B$78="Cash payoff",E1219,0)</x:f>
        <x:v>0</x:v>
      </x:c>
      <x:c r="G1219" s="440" t="n">
        <x:f>IF(AND(E1219&gt;0,AND($B$78="Refinance",ISNUMBER($B$80),$B$80&gt;=0,$B$80&lt;=1,ROUND($B$81*12,0)&gt;=1,$B$81&lt;=100,SUM($B$82)&gt;=0,SUM($B$82)&lt;=1,SUM($B$83)&gt;=0)),E1219*SUM($B$82)+SUM($B$83),0)</x:f>
        <x:v>0</x:v>
      </x:c>
      <x:c r="H1219" s="440" t="n">
        <x:f>IF(ISNUMBER(D1219),IF(MAX(0,B1219*(1+C1219/12)-D1219-F1219)&lt;MAX(0.0000001,$E$17*0.00000000001),0,MAX(0,B1219*(1+C1219/12)-D1219-F1219)),IF(AND($B$171=1,I1218=1),B1219,""))</x:f>
        <x:v>0</x:v>
      </x:c>
      <x:c r="I1219" s="444" t="n">
        <x:f>IF(OR(I1218=1,AND(E1219&gt;0,$B$78&lt;&gt;"Cash payoff",NOT(AND($B$78="Refinance",ISNUMBER($B$80),$B$80&gt;=0,$B$80&lt;=1,ROUND($B$81*12,0)&gt;=1,$B$81&lt;=100,SUM($B$82)&gt;=0,SUM($B$82)&lt;=1,SUM($B$83)&gt;=0))),AND(ISNUMBER(B1219),B1219&gt;0,$B$171=1,NOT(ISNUMBER(D1219)))),1,0)</x:f>
        <x:v>0</x:v>
      </x:c>
      <x:c r="J1219" s="440" t="n">
        <x:f>IF(ISNUMBER(L1218),L1218,"")</x:f>
        <x:v>0</x:v>
      </x:c>
      <x:c r="K1219" s="440" t="n">
        <x:f>IF(AND(ISNUMBER(J1219),J1219=0),0,IF(AND($B$176=1,ISNUMBER(J1219)),MIN(J1219*(1+$B$87/12),IF($B$86=0,0,IF($B$87=0,$B$86/ROUND($B$88*12,0),$B$86*($B$87/12)/(1-(1+$B$87/12)^(-ROUND($B$88*12,0)))))),""))</x:f>
        <x:v>0</x:v>
      </x:c>
      <x:c r="L1219" s="440" t="n">
        <x:f>IF(ISNUMBER(K1219),IF(MAX(0,J1219*(1+SUM($B$87)/12)-K1219)&lt;MAX(0.0000001,$B$86*0.00000000001),0,MAX(0,J1219*(1+SUM($B$87)/12)-K1219)),"")</x:f>
        <x:v>0</x:v>
      </x:c>
      <x:c r="M1219" s="440" t="n">
        <x:f>IF(AND(ISNUMBER(D1219),ISNUMBER(K1219)),D1219+K1219,"")</x:f>
        <x:v>0</x:v>
      </x:c>
      <x:c r="N1219" s="440" t="n">
        <x:f>IF(AND(ISNUMBER(H1219),ISNUMBER(L1219)),H1219+L1219,"")</x:f>
        <x:v>0</x:v>
      </x:c>
    </x:row>
    <x:row r="1220" ht="22" customHeight="1">
      <x:c r="A1220" s="254" t="n">
        <x:f>820</x:f>
        <x:v>820</x:v>
      </x:c>
      <x:c r="B1220" s="440" t="n">
        <x:f>IF(ISNUMBER(H1219),H1219,"")</x:f>
        <x:v>0</x:v>
      </x:c>
      <x:c r="C1220" s="442" t="n">
        <x:f>IF(ISNUMBER(B1220),IF(AND(820&gt;$B$173,$B$78="Refinance",ISNUMBER($B$80),$B$80&gt;=0,$B$80&lt;=1,ROUND($B$81*12,0)&gt;=1,$B$81&lt;=100,SUM($B$82)&gt;=0,SUM($B$82)&lt;=1,SUM($B$83)&gt;=0),$B$80,IF(AND($B$175&gt;0,820&gt;$B$175,ISNUMBER($B$75)),$B$75,$B$61)),"")</x:f>
        <x:v>0.0625</x:v>
      </x:c>
      <x:c r="D1220" s="440" t="n">
        <x:f>IF(AND(ISNUMBER(B1220),B1220=0),0,IF(AND($B$171=1,I1219=0,ISNUMBER(C1220),ISNUMBER(IF(AND(820&lt;=$B$174,820&lt;=$B$173),B1220*C1220/12,IF(AND(820=$B$173+1,AND(820&gt;$B$173,$B$78="Refinance",ISNUMBER($B$80),$B$80&gt;=0,$B$80&lt;=1,ROUND($B$81*12,0)&gt;=1,$B$81&lt;=100,SUM($B$82)&gt;=0,SUM($B$82)&lt;=1,SUM($B$83)&gt;=0)),IF(B1220=0,0,IF(C1220=0,B1220/ROUND($B$81*12,0),B1220*(C1220/12)/(1-(1+C1220/12)^(-ROUND($B$81*12,0))))),IF(AND(NOT(AND(820&gt;$B$173,$B$78="Refinance",ISNUMBER($B$80),$B$80&gt;=0,$B$80&lt;=1,ROUND($B$81*12,0)&gt;=1,$B$81&lt;=100,SUM($B$82)&gt;=0,SUM($B$82)&lt;=1,SUM($B$83)&gt;=0)),OR(820=1,820=$B$174+1,AND($B$175&gt;0,820=$B$175+1))),IF(AND($B$170=1,$B$66&gt;0,OR($B$175=0,820&lt;=$B$175)),$B$66,IF($B$172-MAX(820-1,$B$174)&gt;0,IF(B1220=0,0,IF(C1220=0,B1220/($B$172-MAX(820-1,$B$174)),B1220*(C1220/12)/(1-(1+C1220/12)^(-($B$172-MAX(820-1,$B$174)))))),"")),D1219))))),IF(IF(AND(820&lt;=$B$174,820&lt;=$B$173),B1220*C1220/12,IF(AND(820=$B$173+1,AND(820&gt;$B$173,$B$78="Refinance",ISNUMBER($B$80),$B$80&gt;=0,$B$80&lt;=1,ROUND($B$81*12,0)&gt;=1,$B$81&lt;=100,SUM($B$82)&gt;=0,SUM($B$82)&lt;=1,SUM($B$83)&gt;=0)),IF(B1220=0,0,IF(C1220=0,B1220/ROUND($B$81*12,0),B1220*(C1220/12)/(1-(1+C1220/12)^(-ROUND($B$81*12,0))))),IF(AND(NOT(AND(820&gt;$B$173,$B$78="Refinance",ISNUMBER($B$80),$B$80&gt;=0,$B$80&lt;=1,ROUND($B$81*12,0)&gt;=1,$B$81&lt;=100,SUM($B$82)&gt;=0,SUM($B$82)&lt;=1,SUM($B$83)&gt;=0)),OR(820=1,820=$B$174+1,AND($B$175&gt;0,820=$B$175+1))),IF(AND($B$170=1,$B$66&gt;0,OR($B$175=0,820&lt;=$B$175)),$B$66,IF($B$172-MAX(820-1,$B$174)&gt;0,IF(B1220=0,0,IF(C1220=0,B1220/($B$172-MAX(820-1,$B$174)),B1220*(C1220/12)/(1-(1+C1220/12)^(-($B$172-MAX(820-1,$B$174)))))),"")),D1219)))+0.0000001&gt;=B1220*C1220/12,MIN(B1220*(1+C1220/12),IF(AND(820&lt;=$B$174,820&lt;=$B$173),B1220*C1220/12,IF(AND(820=$B$173+1,AND(820&gt;$B$173,$B$78="Refinance",ISNUMBER($B$80),$B$80&gt;=0,$B$80&lt;=1,ROUND($B$81*12,0)&gt;=1,$B$81&lt;=100,SUM($B$82)&gt;=0,SUM($B$82)&lt;=1,SUM($B$83)&gt;=0)),IF(B1220=0,0,IF(C1220=0,B1220/ROUND($B$81*12,0),B1220*(C1220/12)/(1-(1+C1220/12)^(-ROUND($B$81*12,0))))),IF(AND(NOT(AND(820&gt;$B$173,$B$78="Refinance",ISNUMBER($B$80),$B$80&gt;=0,$B$80&lt;=1,ROUND($B$81*12,0)&gt;=1,$B$81&lt;=100,SUM($B$82)&gt;=0,SUM($B$82)&lt;=1,SUM($B$83)&gt;=0)),OR(820=1,820=$B$174+1,AND($B$175&gt;0,820=$B$175+1))),IF(AND($B$170=1,$B$66&gt;0,OR($B$175=0,820&lt;=$B$175)),$B$66,IF($B$172-MAX(820-1,$B$174)&gt;0,IF(B1220=0,0,IF(C1220=0,B1220/($B$172-MAX(820-1,$B$174)),B1220*(C1220/12)/(1-(1+C1220/12)^(-($B$172-MAX(820-1,$B$174)))))),"")),D1219)))),""),""))</x:f>
        <x:v>0</x:v>
      </x:c>
      <x:c r="E1220" s="440" t="n">
        <x:f>IF(AND(820=$B$173,ISNUMBER(D1220)),IF(MAX(0,B1220*(1+C1220/12)-D1220)&lt;MAX(0.0000001,$E$17*0.00000000001),0,MAX(0,B1220*(1+C1220/12)-D1220)),0)</x:f>
        <x:v>0</x:v>
      </x:c>
      <x:c r="F1220" s="440" t="n">
        <x:f>IF($B$78="Cash payoff",E1220,0)</x:f>
        <x:v>0</x:v>
      </x:c>
      <x:c r="G1220" s="440" t="n">
        <x:f>IF(AND(E1220&gt;0,AND($B$78="Refinance",ISNUMBER($B$80),$B$80&gt;=0,$B$80&lt;=1,ROUND($B$81*12,0)&gt;=1,$B$81&lt;=100,SUM($B$82)&gt;=0,SUM($B$82)&lt;=1,SUM($B$83)&gt;=0)),E1220*SUM($B$82)+SUM($B$83),0)</x:f>
        <x:v>0</x:v>
      </x:c>
      <x:c r="H1220" s="440" t="n">
        <x:f>IF(ISNUMBER(D1220),IF(MAX(0,B1220*(1+C1220/12)-D1220-F1220)&lt;MAX(0.0000001,$E$17*0.00000000001),0,MAX(0,B1220*(1+C1220/12)-D1220-F1220)),IF(AND($B$171=1,I1219=1),B1220,""))</x:f>
        <x:v>0</x:v>
      </x:c>
      <x:c r="I1220" s="444" t="n">
        <x:f>IF(OR(I1219=1,AND(E1220&gt;0,$B$78&lt;&gt;"Cash payoff",NOT(AND($B$78="Refinance",ISNUMBER($B$80),$B$80&gt;=0,$B$80&lt;=1,ROUND($B$81*12,0)&gt;=1,$B$81&lt;=100,SUM($B$82)&gt;=0,SUM($B$82)&lt;=1,SUM($B$83)&gt;=0))),AND(ISNUMBER(B1220),B1220&gt;0,$B$171=1,NOT(ISNUMBER(D1220)))),1,0)</x:f>
        <x:v>0</x:v>
      </x:c>
      <x:c r="J1220" s="440" t="n">
        <x:f>IF(ISNUMBER(L1219),L1219,"")</x:f>
        <x:v>0</x:v>
      </x:c>
      <x:c r="K1220" s="440" t="n">
        <x:f>IF(AND(ISNUMBER(J1220),J1220=0),0,IF(AND($B$176=1,ISNUMBER(J1220)),MIN(J1220*(1+$B$87/12),IF($B$86=0,0,IF($B$87=0,$B$86/ROUND($B$88*12,0),$B$86*($B$87/12)/(1-(1+$B$87/12)^(-ROUND($B$88*12,0)))))),""))</x:f>
        <x:v>0</x:v>
      </x:c>
      <x:c r="L1220" s="440" t="n">
        <x:f>IF(ISNUMBER(K1220),IF(MAX(0,J1220*(1+SUM($B$87)/12)-K1220)&lt;MAX(0.0000001,$B$86*0.00000000001),0,MAX(0,J1220*(1+SUM($B$87)/12)-K1220)),"")</x:f>
        <x:v>0</x:v>
      </x:c>
      <x:c r="M1220" s="440" t="n">
        <x:f>IF(AND(ISNUMBER(D1220),ISNUMBER(K1220)),D1220+K1220,"")</x:f>
        <x:v>0</x:v>
      </x:c>
      <x:c r="N1220" s="440" t="n">
        <x:f>IF(AND(ISNUMBER(H1220),ISNUMBER(L1220)),H1220+L1220,"")</x:f>
        <x:v>0</x:v>
      </x:c>
    </x:row>
    <x:row r="1221" ht="22" customHeight="1">
      <x:c r="A1221" s="254" t="n">
        <x:f>821</x:f>
        <x:v>821</x:v>
      </x:c>
      <x:c r="B1221" s="440" t="n">
        <x:f>IF(ISNUMBER(H1220),H1220,"")</x:f>
        <x:v>0</x:v>
      </x:c>
      <x:c r="C1221" s="442" t="n">
        <x:f>IF(ISNUMBER(B1221),IF(AND(821&gt;$B$173,$B$78="Refinance",ISNUMBER($B$80),$B$80&gt;=0,$B$80&lt;=1,ROUND($B$81*12,0)&gt;=1,$B$81&lt;=100,SUM($B$82)&gt;=0,SUM($B$82)&lt;=1,SUM($B$83)&gt;=0),$B$80,IF(AND($B$175&gt;0,821&gt;$B$175,ISNUMBER($B$75)),$B$75,$B$61)),"")</x:f>
        <x:v>0.0625</x:v>
      </x:c>
      <x:c r="D1221" s="440" t="n">
        <x:f>IF(AND(ISNUMBER(B1221),B1221=0),0,IF(AND($B$171=1,I1220=0,ISNUMBER(C1221),ISNUMBER(IF(AND(821&lt;=$B$174,821&lt;=$B$173),B1221*C1221/12,IF(AND(821=$B$173+1,AND(821&gt;$B$173,$B$78="Refinance",ISNUMBER($B$80),$B$80&gt;=0,$B$80&lt;=1,ROUND($B$81*12,0)&gt;=1,$B$81&lt;=100,SUM($B$82)&gt;=0,SUM($B$82)&lt;=1,SUM($B$83)&gt;=0)),IF(B1221=0,0,IF(C1221=0,B1221/ROUND($B$81*12,0),B1221*(C1221/12)/(1-(1+C1221/12)^(-ROUND($B$81*12,0))))),IF(AND(NOT(AND(821&gt;$B$173,$B$78="Refinance",ISNUMBER($B$80),$B$80&gt;=0,$B$80&lt;=1,ROUND($B$81*12,0)&gt;=1,$B$81&lt;=100,SUM($B$82)&gt;=0,SUM($B$82)&lt;=1,SUM($B$83)&gt;=0)),OR(821=1,821=$B$174+1,AND($B$175&gt;0,821=$B$175+1))),IF(AND($B$170=1,$B$66&gt;0,OR($B$175=0,821&lt;=$B$175)),$B$66,IF($B$172-MAX(821-1,$B$174)&gt;0,IF(B1221=0,0,IF(C1221=0,B1221/($B$172-MAX(821-1,$B$174)),B1221*(C1221/12)/(1-(1+C1221/12)^(-($B$172-MAX(821-1,$B$174)))))),"")),D1220))))),IF(IF(AND(821&lt;=$B$174,821&lt;=$B$173),B1221*C1221/12,IF(AND(821=$B$173+1,AND(821&gt;$B$173,$B$78="Refinance",ISNUMBER($B$80),$B$80&gt;=0,$B$80&lt;=1,ROUND($B$81*12,0)&gt;=1,$B$81&lt;=100,SUM($B$82)&gt;=0,SUM($B$82)&lt;=1,SUM($B$83)&gt;=0)),IF(B1221=0,0,IF(C1221=0,B1221/ROUND($B$81*12,0),B1221*(C1221/12)/(1-(1+C1221/12)^(-ROUND($B$81*12,0))))),IF(AND(NOT(AND(821&gt;$B$173,$B$78="Refinance",ISNUMBER($B$80),$B$80&gt;=0,$B$80&lt;=1,ROUND($B$81*12,0)&gt;=1,$B$81&lt;=100,SUM($B$82)&gt;=0,SUM($B$82)&lt;=1,SUM($B$83)&gt;=0)),OR(821=1,821=$B$174+1,AND($B$175&gt;0,821=$B$175+1))),IF(AND($B$170=1,$B$66&gt;0,OR($B$175=0,821&lt;=$B$175)),$B$66,IF($B$172-MAX(821-1,$B$174)&gt;0,IF(B1221=0,0,IF(C1221=0,B1221/($B$172-MAX(821-1,$B$174)),B1221*(C1221/12)/(1-(1+C1221/12)^(-($B$172-MAX(821-1,$B$174)))))),"")),D1220)))+0.0000001&gt;=B1221*C1221/12,MIN(B1221*(1+C1221/12),IF(AND(821&lt;=$B$174,821&lt;=$B$173),B1221*C1221/12,IF(AND(821=$B$173+1,AND(821&gt;$B$173,$B$78="Refinance",ISNUMBER($B$80),$B$80&gt;=0,$B$80&lt;=1,ROUND($B$81*12,0)&gt;=1,$B$81&lt;=100,SUM($B$82)&gt;=0,SUM($B$82)&lt;=1,SUM($B$83)&gt;=0)),IF(B1221=0,0,IF(C1221=0,B1221/ROUND($B$81*12,0),B1221*(C1221/12)/(1-(1+C1221/12)^(-ROUND($B$81*12,0))))),IF(AND(NOT(AND(821&gt;$B$173,$B$78="Refinance",ISNUMBER($B$80),$B$80&gt;=0,$B$80&lt;=1,ROUND($B$81*12,0)&gt;=1,$B$81&lt;=100,SUM($B$82)&gt;=0,SUM($B$82)&lt;=1,SUM($B$83)&gt;=0)),OR(821=1,821=$B$174+1,AND($B$175&gt;0,821=$B$175+1))),IF(AND($B$170=1,$B$66&gt;0,OR($B$175=0,821&lt;=$B$175)),$B$66,IF($B$172-MAX(821-1,$B$174)&gt;0,IF(B1221=0,0,IF(C1221=0,B1221/($B$172-MAX(821-1,$B$174)),B1221*(C1221/12)/(1-(1+C1221/12)^(-($B$172-MAX(821-1,$B$174)))))),"")),D1220)))),""),""))</x:f>
        <x:v>0</x:v>
      </x:c>
      <x:c r="E1221" s="440" t="n">
        <x:f>IF(AND(821=$B$173,ISNUMBER(D1221)),IF(MAX(0,B1221*(1+C1221/12)-D1221)&lt;MAX(0.0000001,$E$17*0.00000000001),0,MAX(0,B1221*(1+C1221/12)-D1221)),0)</x:f>
        <x:v>0</x:v>
      </x:c>
      <x:c r="F1221" s="440" t="n">
        <x:f>IF($B$78="Cash payoff",E1221,0)</x:f>
        <x:v>0</x:v>
      </x:c>
      <x:c r="G1221" s="440" t="n">
        <x:f>IF(AND(E1221&gt;0,AND($B$78="Refinance",ISNUMBER($B$80),$B$80&gt;=0,$B$80&lt;=1,ROUND($B$81*12,0)&gt;=1,$B$81&lt;=100,SUM($B$82)&gt;=0,SUM($B$82)&lt;=1,SUM($B$83)&gt;=0)),E1221*SUM($B$82)+SUM($B$83),0)</x:f>
        <x:v>0</x:v>
      </x:c>
      <x:c r="H1221" s="440" t="n">
        <x:f>IF(ISNUMBER(D1221),IF(MAX(0,B1221*(1+C1221/12)-D1221-F1221)&lt;MAX(0.0000001,$E$17*0.00000000001),0,MAX(0,B1221*(1+C1221/12)-D1221-F1221)),IF(AND($B$171=1,I1220=1),B1221,""))</x:f>
        <x:v>0</x:v>
      </x:c>
      <x:c r="I1221" s="444" t="n">
        <x:f>IF(OR(I1220=1,AND(E1221&gt;0,$B$78&lt;&gt;"Cash payoff",NOT(AND($B$78="Refinance",ISNUMBER($B$80),$B$80&gt;=0,$B$80&lt;=1,ROUND($B$81*12,0)&gt;=1,$B$81&lt;=100,SUM($B$82)&gt;=0,SUM($B$82)&lt;=1,SUM($B$83)&gt;=0))),AND(ISNUMBER(B1221),B1221&gt;0,$B$171=1,NOT(ISNUMBER(D1221)))),1,0)</x:f>
        <x:v>0</x:v>
      </x:c>
      <x:c r="J1221" s="440" t="n">
        <x:f>IF(ISNUMBER(L1220),L1220,"")</x:f>
        <x:v>0</x:v>
      </x:c>
      <x:c r="K1221" s="440" t="n">
        <x:f>IF(AND(ISNUMBER(J1221),J1221=0),0,IF(AND($B$176=1,ISNUMBER(J1221)),MIN(J1221*(1+$B$87/12),IF($B$86=0,0,IF($B$87=0,$B$86/ROUND($B$88*12,0),$B$86*($B$87/12)/(1-(1+$B$87/12)^(-ROUND($B$88*12,0)))))),""))</x:f>
        <x:v>0</x:v>
      </x:c>
      <x:c r="L1221" s="440" t="n">
        <x:f>IF(ISNUMBER(K1221),IF(MAX(0,J1221*(1+SUM($B$87)/12)-K1221)&lt;MAX(0.0000001,$B$86*0.00000000001),0,MAX(0,J1221*(1+SUM($B$87)/12)-K1221)),"")</x:f>
        <x:v>0</x:v>
      </x:c>
      <x:c r="M1221" s="440" t="n">
        <x:f>IF(AND(ISNUMBER(D1221),ISNUMBER(K1221)),D1221+K1221,"")</x:f>
        <x:v>0</x:v>
      </x:c>
      <x:c r="N1221" s="440" t="n">
        <x:f>IF(AND(ISNUMBER(H1221),ISNUMBER(L1221)),H1221+L1221,"")</x:f>
        <x:v>0</x:v>
      </x:c>
    </x:row>
    <x:row r="1222" ht="22" customHeight="1">
      <x:c r="A1222" s="254" t="n">
        <x:f>822</x:f>
        <x:v>822</x:v>
      </x:c>
      <x:c r="B1222" s="440" t="n">
        <x:f>IF(ISNUMBER(H1221),H1221,"")</x:f>
        <x:v>0</x:v>
      </x:c>
      <x:c r="C1222" s="442" t="n">
        <x:f>IF(ISNUMBER(B1222),IF(AND(822&gt;$B$173,$B$78="Refinance",ISNUMBER($B$80),$B$80&gt;=0,$B$80&lt;=1,ROUND($B$81*12,0)&gt;=1,$B$81&lt;=100,SUM($B$82)&gt;=0,SUM($B$82)&lt;=1,SUM($B$83)&gt;=0),$B$80,IF(AND($B$175&gt;0,822&gt;$B$175,ISNUMBER($B$75)),$B$75,$B$61)),"")</x:f>
        <x:v>0.0625</x:v>
      </x:c>
      <x:c r="D1222" s="440" t="n">
        <x:f>IF(AND(ISNUMBER(B1222),B1222=0),0,IF(AND($B$171=1,I1221=0,ISNUMBER(C1222),ISNUMBER(IF(AND(822&lt;=$B$174,822&lt;=$B$173),B1222*C1222/12,IF(AND(822=$B$173+1,AND(822&gt;$B$173,$B$78="Refinance",ISNUMBER($B$80),$B$80&gt;=0,$B$80&lt;=1,ROUND($B$81*12,0)&gt;=1,$B$81&lt;=100,SUM($B$82)&gt;=0,SUM($B$82)&lt;=1,SUM($B$83)&gt;=0)),IF(B1222=0,0,IF(C1222=0,B1222/ROUND($B$81*12,0),B1222*(C1222/12)/(1-(1+C1222/12)^(-ROUND($B$81*12,0))))),IF(AND(NOT(AND(822&gt;$B$173,$B$78="Refinance",ISNUMBER($B$80),$B$80&gt;=0,$B$80&lt;=1,ROUND($B$81*12,0)&gt;=1,$B$81&lt;=100,SUM($B$82)&gt;=0,SUM($B$82)&lt;=1,SUM($B$83)&gt;=0)),OR(822=1,822=$B$174+1,AND($B$175&gt;0,822=$B$175+1))),IF(AND($B$170=1,$B$66&gt;0,OR($B$175=0,822&lt;=$B$175)),$B$66,IF($B$172-MAX(822-1,$B$174)&gt;0,IF(B1222=0,0,IF(C1222=0,B1222/($B$172-MAX(822-1,$B$174)),B1222*(C1222/12)/(1-(1+C1222/12)^(-($B$172-MAX(822-1,$B$174)))))),"")),D1221))))),IF(IF(AND(822&lt;=$B$174,822&lt;=$B$173),B1222*C1222/12,IF(AND(822=$B$173+1,AND(822&gt;$B$173,$B$78="Refinance",ISNUMBER($B$80),$B$80&gt;=0,$B$80&lt;=1,ROUND($B$81*12,0)&gt;=1,$B$81&lt;=100,SUM($B$82)&gt;=0,SUM($B$82)&lt;=1,SUM($B$83)&gt;=0)),IF(B1222=0,0,IF(C1222=0,B1222/ROUND($B$81*12,0),B1222*(C1222/12)/(1-(1+C1222/12)^(-ROUND($B$81*12,0))))),IF(AND(NOT(AND(822&gt;$B$173,$B$78="Refinance",ISNUMBER($B$80),$B$80&gt;=0,$B$80&lt;=1,ROUND($B$81*12,0)&gt;=1,$B$81&lt;=100,SUM($B$82)&gt;=0,SUM($B$82)&lt;=1,SUM($B$83)&gt;=0)),OR(822=1,822=$B$174+1,AND($B$175&gt;0,822=$B$175+1))),IF(AND($B$170=1,$B$66&gt;0,OR($B$175=0,822&lt;=$B$175)),$B$66,IF($B$172-MAX(822-1,$B$174)&gt;0,IF(B1222=0,0,IF(C1222=0,B1222/($B$172-MAX(822-1,$B$174)),B1222*(C1222/12)/(1-(1+C1222/12)^(-($B$172-MAX(822-1,$B$174)))))),"")),D1221)))+0.0000001&gt;=B1222*C1222/12,MIN(B1222*(1+C1222/12),IF(AND(822&lt;=$B$174,822&lt;=$B$173),B1222*C1222/12,IF(AND(822=$B$173+1,AND(822&gt;$B$173,$B$78="Refinance",ISNUMBER($B$80),$B$80&gt;=0,$B$80&lt;=1,ROUND($B$81*12,0)&gt;=1,$B$81&lt;=100,SUM($B$82)&gt;=0,SUM($B$82)&lt;=1,SUM($B$83)&gt;=0)),IF(B1222=0,0,IF(C1222=0,B1222/ROUND($B$81*12,0),B1222*(C1222/12)/(1-(1+C1222/12)^(-ROUND($B$81*12,0))))),IF(AND(NOT(AND(822&gt;$B$173,$B$78="Refinance",ISNUMBER($B$80),$B$80&gt;=0,$B$80&lt;=1,ROUND($B$81*12,0)&gt;=1,$B$81&lt;=100,SUM($B$82)&gt;=0,SUM($B$82)&lt;=1,SUM($B$83)&gt;=0)),OR(822=1,822=$B$174+1,AND($B$175&gt;0,822=$B$175+1))),IF(AND($B$170=1,$B$66&gt;0,OR($B$175=0,822&lt;=$B$175)),$B$66,IF($B$172-MAX(822-1,$B$174)&gt;0,IF(B1222=0,0,IF(C1222=0,B1222/($B$172-MAX(822-1,$B$174)),B1222*(C1222/12)/(1-(1+C1222/12)^(-($B$172-MAX(822-1,$B$174)))))),"")),D1221)))),""),""))</x:f>
        <x:v>0</x:v>
      </x:c>
      <x:c r="E1222" s="440" t="n">
        <x:f>IF(AND(822=$B$173,ISNUMBER(D1222)),IF(MAX(0,B1222*(1+C1222/12)-D1222)&lt;MAX(0.0000001,$E$17*0.00000000001),0,MAX(0,B1222*(1+C1222/12)-D1222)),0)</x:f>
        <x:v>0</x:v>
      </x:c>
      <x:c r="F1222" s="440" t="n">
        <x:f>IF($B$78="Cash payoff",E1222,0)</x:f>
        <x:v>0</x:v>
      </x:c>
      <x:c r="G1222" s="440" t="n">
        <x:f>IF(AND(E1222&gt;0,AND($B$78="Refinance",ISNUMBER($B$80),$B$80&gt;=0,$B$80&lt;=1,ROUND($B$81*12,0)&gt;=1,$B$81&lt;=100,SUM($B$82)&gt;=0,SUM($B$82)&lt;=1,SUM($B$83)&gt;=0)),E1222*SUM($B$82)+SUM($B$83),0)</x:f>
        <x:v>0</x:v>
      </x:c>
      <x:c r="H1222" s="440" t="n">
        <x:f>IF(ISNUMBER(D1222),IF(MAX(0,B1222*(1+C1222/12)-D1222-F1222)&lt;MAX(0.0000001,$E$17*0.00000000001),0,MAX(0,B1222*(1+C1222/12)-D1222-F1222)),IF(AND($B$171=1,I1221=1),B1222,""))</x:f>
        <x:v>0</x:v>
      </x:c>
      <x:c r="I1222" s="444" t="n">
        <x:f>IF(OR(I1221=1,AND(E1222&gt;0,$B$78&lt;&gt;"Cash payoff",NOT(AND($B$78="Refinance",ISNUMBER($B$80),$B$80&gt;=0,$B$80&lt;=1,ROUND($B$81*12,0)&gt;=1,$B$81&lt;=100,SUM($B$82)&gt;=0,SUM($B$82)&lt;=1,SUM($B$83)&gt;=0))),AND(ISNUMBER(B1222),B1222&gt;0,$B$171=1,NOT(ISNUMBER(D1222)))),1,0)</x:f>
        <x:v>0</x:v>
      </x:c>
      <x:c r="J1222" s="440" t="n">
        <x:f>IF(ISNUMBER(L1221),L1221,"")</x:f>
        <x:v>0</x:v>
      </x:c>
      <x:c r="K1222" s="440" t="n">
        <x:f>IF(AND(ISNUMBER(J1222),J1222=0),0,IF(AND($B$176=1,ISNUMBER(J1222)),MIN(J1222*(1+$B$87/12),IF($B$86=0,0,IF($B$87=0,$B$86/ROUND($B$88*12,0),$B$86*($B$87/12)/(1-(1+$B$87/12)^(-ROUND($B$88*12,0)))))),""))</x:f>
        <x:v>0</x:v>
      </x:c>
      <x:c r="L1222" s="440" t="n">
        <x:f>IF(ISNUMBER(K1222),IF(MAX(0,J1222*(1+SUM($B$87)/12)-K1222)&lt;MAX(0.0000001,$B$86*0.00000000001),0,MAX(0,J1222*(1+SUM($B$87)/12)-K1222)),"")</x:f>
        <x:v>0</x:v>
      </x:c>
      <x:c r="M1222" s="440" t="n">
        <x:f>IF(AND(ISNUMBER(D1222),ISNUMBER(K1222)),D1222+K1222,"")</x:f>
        <x:v>0</x:v>
      </x:c>
      <x:c r="N1222" s="440" t="n">
        <x:f>IF(AND(ISNUMBER(H1222),ISNUMBER(L1222)),H1222+L1222,"")</x:f>
        <x:v>0</x:v>
      </x:c>
    </x:row>
    <x:row r="1223" ht="22" customHeight="1">
      <x:c r="A1223" s="254" t="n">
        <x:f>823</x:f>
        <x:v>823</x:v>
      </x:c>
      <x:c r="B1223" s="440" t="n">
        <x:f>IF(ISNUMBER(H1222),H1222,"")</x:f>
        <x:v>0</x:v>
      </x:c>
      <x:c r="C1223" s="442" t="n">
        <x:f>IF(ISNUMBER(B1223),IF(AND(823&gt;$B$173,$B$78="Refinance",ISNUMBER($B$80),$B$80&gt;=0,$B$80&lt;=1,ROUND($B$81*12,0)&gt;=1,$B$81&lt;=100,SUM($B$82)&gt;=0,SUM($B$82)&lt;=1,SUM($B$83)&gt;=0),$B$80,IF(AND($B$175&gt;0,823&gt;$B$175,ISNUMBER($B$75)),$B$75,$B$61)),"")</x:f>
        <x:v>0.0625</x:v>
      </x:c>
      <x:c r="D1223" s="440" t="n">
        <x:f>IF(AND(ISNUMBER(B1223),B1223=0),0,IF(AND($B$171=1,I1222=0,ISNUMBER(C1223),ISNUMBER(IF(AND(823&lt;=$B$174,823&lt;=$B$173),B1223*C1223/12,IF(AND(823=$B$173+1,AND(823&gt;$B$173,$B$78="Refinance",ISNUMBER($B$80),$B$80&gt;=0,$B$80&lt;=1,ROUND($B$81*12,0)&gt;=1,$B$81&lt;=100,SUM($B$82)&gt;=0,SUM($B$82)&lt;=1,SUM($B$83)&gt;=0)),IF(B1223=0,0,IF(C1223=0,B1223/ROUND($B$81*12,0),B1223*(C1223/12)/(1-(1+C1223/12)^(-ROUND($B$81*12,0))))),IF(AND(NOT(AND(823&gt;$B$173,$B$78="Refinance",ISNUMBER($B$80),$B$80&gt;=0,$B$80&lt;=1,ROUND($B$81*12,0)&gt;=1,$B$81&lt;=100,SUM($B$82)&gt;=0,SUM($B$82)&lt;=1,SUM($B$83)&gt;=0)),OR(823=1,823=$B$174+1,AND($B$175&gt;0,823=$B$175+1))),IF(AND($B$170=1,$B$66&gt;0,OR($B$175=0,823&lt;=$B$175)),$B$66,IF($B$172-MAX(823-1,$B$174)&gt;0,IF(B1223=0,0,IF(C1223=0,B1223/($B$172-MAX(823-1,$B$174)),B1223*(C1223/12)/(1-(1+C1223/12)^(-($B$172-MAX(823-1,$B$174)))))),"")),D1222))))),IF(IF(AND(823&lt;=$B$174,823&lt;=$B$173),B1223*C1223/12,IF(AND(823=$B$173+1,AND(823&gt;$B$173,$B$78="Refinance",ISNUMBER($B$80),$B$80&gt;=0,$B$80&lt;=1,ROUND($B$81*12,0)&gt;=1,$B$81&lt;=100,SUM($B$82)&gt;=0,SUM($B$82)&lt;=1,SUM($B$83)&gt;=0)),IF(B1223=0,0,IF(C1223=0,B1223/ROUND($B$81*12,0),B1223*(C1223/12)/(1-(1+C1223/12)^(-ROUND($B$81*12,0))))),IF(AND(NOT(AND(823&gt;$B$173,$B$78="Refinance",ISNUMBER($B$80),$B$80&gt;=0,$B$80&lt;=1,ROUND($B$81*12,0)&gt;=1,$B$81&lt;=100,SUM($B$82)&gt;=0,SUM($B$82)&lt;=1,SUM($B$83)&gt;=0)),OR(823=1,823=$B$174+1,AND($B$175&gt;0,823=$B$175+1))),IF(AND($B$170=1,$B$66&gt;0,OR($B$175=0,823&lt;=$B$175)),$B$66,IF($B$172-MAX(823-1,$B$174)&gt;0,IF(B1223=0,0,IF(C1223=0,B1223/($B$172-MAX(823-1,$B$174)),B1223*(C1223/12)/(1-(1+C1223/12)^(-($B$172-MAX(823-1,$B$174)))))),"")),D1222)))+0.0000001&gt;=B1223*C1223/12,MIN(B1223*(1+C1223/12),IF(AND(823&lt;=$B$174,823&lt;=$B$173),B1223*C1223/12,IF(AND(823=$B$173+1,AND(823&gt;$B$173,$B$78="Refinance",ISNUMBER($B$80),$B$80&gt;=0,$B$80&lt;=1,ROUND($B$81*12,0)&gt;=1,$B$81&lt;=100,SUM($B$82)&gt;=0,SUM($B$82)&lt;=1,SUM($B$83)&gt;=0)),IF(B1223=0,0,IF(C1223=0,B1223/ROUND($B$81*12,0),B1223*(C1223/12)/(1-(1+C1223/12)^(-ROUND($B$81*12,0))))),IF(AND(NOT(AND(823&gt;$B$173,$B$78="Refinance",ISNUMBER($B$80),$B$80&gt;=0,$B$80&lt;=1,ROUND($B$81*12,0)&gt;=1,$B$81&lt;=100,SUM($B$82)&gt;=0,SUM($B$82)&lt;=1,SUM($B$83)&gt;=0)),OR(823=1,823=$B$174+1,AND($B$175&gt;0,823=$B$175+1))),IF(AND($B$170=1,$B$66&gt;0,OR($B$175=0,823&lt;=$B$175)),$B$66,IF($B$172-MAX(823-1,$B$174)&gt;0,IF(B1223=0,0,IF(C1223=0,B1223/($B$172-MAX(823-1,$B$174)),B1223*(C1223/12)/(1-(1+C1223/12)^(-($B$172-MAX(823-1,$B$174)))))),"")),D1222)))),""),""))</x:f>
        <x:v>0</x:v>
      </x:c>
      <x:c r="E1223" s="440" t="n">
        <x:f>IF(AND(823=$B$173,ISNUMBER(D1223)),IF(MAX(0,B1223*(1+C1223/12)-D1223)&lt;MAX(0.0000001,$E$17*0.00000000001),0,MAX(0,B1223*(1+C1223/12)-D1223)),0)</x:f>
        <x:v>0</x:v>
      </x:c>
      <x:c r="F1223" s="440" t="n">
        <x:f>IF($B$78="Cash payoff",E1223,0)</x:f>
        <x:v>0</x:v>
      </x:c>
      <x:c r="G1223" s="440" t="n">
        <x:f>IF(AND(E1223&gt;0,AND($B$78="Refinance",ISNUMBER($B$80),$B$80&gt;=0,$B$80&lt;=1,ROUND($B$81*12,0)&gt;=1,$B$81&lt;=100,SUM($B$82)&gt;=0,SUM($B$82)&lt;=1,SUM($B$83)&gt;=0)),E1223*SUM($B$82)+SUM($B$83),0)</x:f>
        <x:v>0</x:v>
      </x:c>
      <x:c r="H1223" s="440" t="n">
        <x:f>IF(ISNUMBER(D1223),IF(MAX(0,B1223*(1+C1223/12)-D1223-F1223)&lt;MAX(0.0000001,$E$17*0.00000000001),0,MAX(0,B1223*(1+C1223/12)-D1223-F1223)),IF(AND($B$171=1,I1222=1),B1223,""))</x:f>
        <x:v>0</x:v>
      </x:c>
      <x:c r="I1223" s="444" t="n">
        <x:f>IF(OR(I1222=1,AND(E1223&gt;0,$B$78&lt;&gt;"Cash payoff",NOT(AND($B$78="Refinance",ISNUMBER($B$80),$B$80&gt;=0,$B$80&lt;=1,ROUND($B$81*12,0)&gt;=1,$B$81&lt;=100,SUM($B$82)&gt;=0,SUM($B$82)&lt;=1,SUM($B$83)&gt;=0))),AND(ISNUMBER(B1223),B1223&gt;0,$B$171=1,NOT(ISNUMBER(D1223)))),1,0)</x:f>
        <x:v>0</x:v>
      </x:c>
      <x:c r="J1223" s="440" t="n">
        <x:f>IF(ISNUMBER(L1222),L1222,"")</x:f>
        <x:v>0</x:v>
      </x:c>
      <x:c r="K1223" s="440" t="n">
        <x:f>IF(AND(ISNUMBER(J1223),J1223=0),0,IF(AND($B$176=1,ISNUMBER(J1223)),MIN(J1223*(1+$B$87/12),IF($B$86=0,0,IF($B$87=0,$B$86/ROUND($B$88*12,0),$B$86*($B$87/12)/(1-(1+$B$87/12)^(-ROUND($B$88*12,0)))))),""))</x:f>
        <x:v>0</x:v>
      </x:c>
      <x:c r="L1223" s="440" t="n">
        <x:f>IF(ISNUMBER(K1223),IF(MAX(0,J1223*(1+SUM($B$87)/12)-K1223)&lt;MAX(0.0000001,$B$86*0.00000000001),0,MAX(0,J1223*(1+SUM($B$87)/12)-K1223)),"")</x:f>
        <x:v>0</x:v>
      </x:c>
      <x:c r="M1223" s="440" t="n">
        <x:f>IF(AND(ISNUMBER(D1223),ISNUMBER(K1223)),D1223+K1223,"")</x:f>
        <x:v>0</x:v>
      </x:c>
      <x:c r="N1223" s="440" t="n">
        <x:f>IF(AND(ISNUMBER(H1223),ISNUMBER(L1223)),H1223+L1223,"")</x:f>
        <x:v>0</x:v>
      </x:c>
    </x:row>
    <x:row r="1224" ht="22" customHeight="1">
      <x:c r="A1224" s="254" t="n">
        <x:f>824</x:f>
        <x:v>824</x:v>
      </x:c>
      <x:c r="B1224" s="440" t="n">
        <x:f>IF(ISNUMBER(H1223),H1223,"")</x:f>
        <x:v>0</x:v>
      </x:c>
      <x:c r="C1224" s="442" t="n">
        <x:f>IF(ISNUMBER(B1224),IF(AND(824&gt;$B$173,$B$78="Refinance",ISNUMBER($B$80),$B$80&gt;=0,$B$80&lt;=1,ROUND($B$81*12,0)&gt;=1,$B$81&lt;=100,SUM($B$82)&gt;=0,SUM($B$82)&lt;=1,SUM($B$83)&gt;=0),$B$80,IF(AND($B$175&gt;0,824&gt;$B$175,ISNUMBER($B$75)),$B$75,$B$61)),"")</x:f>
        <x:v>0.0625</x:v>
      </x:c>
      <x:c r="D1224" s="440" t="n">
        <x:f>IF(AND(ISNUMBER(B1224),B1224=0),0,IF(AND($B$171=1,I1223=0,ISNUMBER(C1224),ISNUMBER(IF(AND(824&lt;=$B$174,824&lt;=$B$173),B1224*C1224/12,IF(AND(824=$B$173+1,AND(824&gt;$B$173,$B$78="Refinance",ISNUMBER($B$80),$B$80&gt;=0,$B$80&lt;=1,ROUND($B$81*12,0)&gt;=1,$B$81&lt;=100,SUM($B$82)&gt;=0,SUM($B$82)&lt;=1,SUM($B$83)&gt;=0)),IF(B1224=0,0,IF(C1224=0,B1224/ROUND($B$81*12,0),B1224*(C1224/12)/(1-(1+C1224/12)^(-ROUND($B$81*12,0))))),IF(AND(NOT(AND(824&gt;$B$173,$B$78="Refinance",ISNUMBER($B$80),$B$80&gt;=0,$B$80&lt;=1,ROUND($B$81*12,0)&gt;=1,$B$81&lt;=100,SUM($B$82)&gt;=0,SUM($B$82)&lt;=1,SUM($B$83)&gt;=0)),OR(824=1,824=$B$174+1,AND($B$175&gt;0,824=$B$175+1))),IF(AND($B$170=1,$B$66&gt;0,OR($B$175=0,824&lt;=$B$175)),$B$66,IF($B$172-MAX(824-1,$B$174)&gt;0,IF(B1224=0,0,IF(C1224=0,B1224/($B$172-MAX(824-1,$B$174)),B1224*(C1224/12)/(1-(1+C1224/12)^(-($B$172-MAX(824-1,$B$174)))))),"")),D1223))))),IF(IF(AND(824&lt;=$B$174,824&lt;=$B$173),B1224*C1224/12,IF(AND(824=$B$173+1,AND(824&gt;$B$173,$B$78="Refinance",ISNUMBER($B$80),$B$80&gt;=0,$B$80&lt;=1,ROUND($B$81*12,0)&gt;=1,$B$81&lt;=100,SUM($B$82)&gt;=0,SUM($B$82)&lt;=1,SUM($B$83)&gt;=0)),IF(B1224=0,0,IF(C1224=0,B1224/ROUND($B$81*12,0),B1224*(C1224/12)/(1-(1+C1224/12)^(-ROUND($B$81*12,0))))),IF(AND(NOT(AND(824&gt;$B$173,$B$78="Refinance",ISNUMBER($B$80),$B$80&gt;=0,$B$80&lt;=1,ROUND($B$81*12,0)&gt;=1,$B$81&lt;=100,SUM($B$82)&gt;=0,SUM($B$82)&lt;=1,SUM($B$83)&gt;=0)),OR(824=1,824=$B$174+1,AND($B$175&gt;0,824=$B$175+1))),IF(AND($B$170=1,$B$66&gt;0,OR($B$175=0,824&lt;=$B$175)),$B$66,IF($B$172-MAX(824-1,$B$174)&gt;0,IF(B1224=0,0,IF(C1224=0,B1224/($B$172-MAX(824-1,$B$174)),B1224*(C1224/12)/(1-(1+C1224/12)^(-($B$172-MAX(824-1,$B$174)))))),"")),D1223)))+0.0000001&gt;=B1224*C1224/12,MIN(B1224*(1+C1224/12),IF(AND(824&lt;=$B$174,824&lt;=$B$173),B1224*C1224/12,IF(AND(824=$B$173+1,AND(824&gt;$B$173,$B$78="Refinance",ISNUMBER($B$80),$B$80&gt;=0,$B$80&lt;=1,ROUND($B$81*12,0)&gt;=1,$B$81&lt;=100,SUM($B$82)&gt;=0,SUM($B$82)&lt;=1,SUM($B$83)&gt;=0)),IF(B1224=0,0,IF(C1224=0,B1224/ROUND($B$81*12,0),B1224*(C1224/12)/(1-(1+C1224/12)^(-ROUND($B$81*12,0))))),IF(AND(NOT(AND(824&gt;$B$173,$B$78="Refinance",ISNUMBER($B$80),$B$80&gt;=0,$B$80&lt;=1,ROUND($B$81*12,0)&gt;=1,$B$81&lt;=100,SUM($B$82)&gt;=0,SUM($B$82)&lt;=1,SUM($B$83)&gt;=0)),OR(824=1,824=$B$174+1,AND($B$175&gt;0,824=$B$175+1))),IF(AND($B$170=1,$B$66&gt;0,OR($B$175=0,824&lt;=$B$175)),$B$66,IF($B$172-MAX(824-1,$B$174)&gt;0,IF(B1224=0,0,IF(C1224=0,B1224/($B$172-MAX(824-1,$B$174)),B1224*(C1224/12)/(1-(1+C1224/12)^(-($B$172-MAX(824-1,$B$174)))))),"")),D1223)))),""),""))</x:f>
        <x:v>0</x:v>
      </x:c>
      <x:c r="E1224" s="440" t="n">
        <x:f>IF(AND(824=$B$173,ISNUMBER(D1224)),IF(MAX(0,B1224*(1+C1224/12)-D1224)&lt;MAX(0.0000001,$E$17*0.00000000001),0,MAX(0,B1224*(1+C1224/12)-D1224)),0)</x:f>
        <x:v>0</x:v>
      </x:c>
      <x:c r="F1224" s="440" t="n">
        <x:f>IF($B$78="Cash payoff",E1224,0)</x:f>
        <x:v>0</x:v>
      </x:c>
      <x:c r="G1224" s="440" t="n">
        <x:f>IF(AND(E1224&gt;0,AND($B$78="Refinance",ISNUMBER($B$80),$B$80&gt;=0,$B$80&lt;=1,ROUND($B$81*12,0)&gt;=1,$B$81&lt;=100,SUM($B$82)&gt;=0,SUM($B$82)&lt;=1,SUM($B$83)&gt;=0)),E1224*SUM($B$82)+SUM($B$83),0)</x:f>
        <x:v>0</x:v>
      </x:c>
      <x:c r="H1224" s="440" t="n">
        <x:f>IF(ISNUMBER(D1224),IF(MAX(0,B1224*(1+C1224/12)-D1224-F1224)&lt;MAX(0.0000001,$E$17*0.00000000001),0,MAX(0,B1224*(1+C1224/12)-D1224-F1224)),IF(AND($B$171=1,I1223=1),B1224,""))</x:f>
        <x:v>0</x:v>
      </x:c>
      <x:c r="I1224" s="444" t="n">
        <x:f>IF(OR(I1223=1,AND(E1224&gt;0,$B$78&lt;&gt;"Cash payoff",NOT(AND($B$78="Refinance",ISNUMBER($B$80),$B$80&gt;=0,$B$80&lt;=1,ROUND($B$81*12,0)&gt;=1,$B$81&lt;=100,SUM($B$82)&gt;=0,SUM($B$82)&lt;=1,SUM($B$83)&gt;=0))),AND(ISNUMBER(B1224),B1224&gt;0,$B$171=1,NOT(ISNUMBER(D1224)))),1,0)</x:f>
        <x:v>0</x:v>
      </x:c>
      <x:c r="J1224" s="440" t="n">
        <x:f>IF(ISNUMBER(L1223),L1223,"")</x:f>
        <x:v>0</x:v>
      </x:c>
      <x:c r="K1224" s="440" t="n">
        <x:f>IF(AND(ISNUMBER(J1224),J1224=0),0,IF(AND($B$176=1,ISNUMBER(J1224)),MIN(J1224*(1+$B$87/12),IF($B$86=0,0,IF($B$87=0,$B$86/ROUND($B$88*12,0),$B$86*($B$87/12)/(1-(1+$B$87/12)^(-ROUND($B$88*12,0)))))),""))</x:f>
        <x:v>0</x:v>
      </x:c>
      <x:c r="L1224" s="440" t="n">
        <x:f>IF(ISNUMBER(K1224),IF(MAX(0,J1224*(1+SUM($B$87)/12)-K1224)&lt;MAX(0.0000001,$B$86*0.00000000001),0,MAX(0,J1224*(1+SUM($B$87)/12)-K1224)),"")</x:f>
        <x:v>0</x:v>
      </x:c>
      <x:c r="M1224" s="440" t="n">
        <x:f>IF(AND(ISNUMBER(D1224),ISNUMBER(K1224)),D1224+K1224,"")</x:f>
        <x:v>0</x:v>
      </x:c>
      <x:c r="N1224" s="440" t="n">
        <x:f>IF(AND(ISNUMBER(H1224),ISNUMBER(L1224)),H1224+L1224,"")</x:f>
        <x:v>0</x:v>
      </x:c>
    </x:row>
    <x:row r="1225" ht="22" customHeight="1">
      <x:c r="A1225" s="254" t="n">
        <x:f>825</x:f>
        <x:v>825</x:v>
      </x:c>
      <x:c r="B1225" s="440" t="n">
        <x:f>IF(ISNUMBER(H1224),H1224,"")</x:f>
        <x:v>0</x:v>
      </x:c>
      <x:c r="C1225" s="442" t="n">
        <x:f>IF(ISNUMBER(B1225),IF(AND(825&gt;$B$173,$B$78="Refinance",ISNUMBER($B$80),$B$80&gt;=0,$B$80&lt;=1,ROUND($B$81*12,0)&gt;=1,$B$81&lt;=100,SUM($B$82)&gt;=0,SUM($B$82)&lt;=1,SUM($B$83)&gt;=0),$B$80,IF(AND($B$175&gt;0,825&gt;$B$175,ISNUMBER($B$75)),$B$75,$B$61)),"")</x:f>
        <x:v>0.0625</x:v>
      </x:c>
      <x:c r="D1225" s="440" t="n">
        <x:f>IF(AND(ISNUMBER(B1225),B1225=0),0,IF(AND($B$171=1,I1224=0,ISNUMBER(C1225),ISNUMBER(IF(AND(825&lt;=$B$174,825&lt;=$B$173),B1225*C1225/12,IF(AND(825=$B$173+1,AND(825&gt;$B$173,$B$78="Refinance",ISNUMBER($B$80),$B$80&gt;=0,$B$80&lt;=1,ROUND($B$81*12,0)&gt;=1,$B$81&lt;=100,SUM($B$82)&gt;=0,SUM($B$82)&lt;=1,SUM($B$83)&gt;=0)),IF(B1225=0,0,IF(C1225=0,B1225/ROUND($B$81*12,0),B1225*(C1225/12)/(1-(1+C1225/12)^(-ROUND($B$81*12,0))))),IF(AND(NOT(AND(825&gt;$B$173,$B$78="Refinance",ISNUMBER($B$80),$B$80&gt;=0,$B$80&lt;=1,ROUND($B$81*12,0)&gt;=1,$B$81&lt;=100,SUM($B$82)&gt;=0,SUM($B$82)&lt;=1,SUM($B$83)&gt;=0)),OR(825=1,825=$B$174+1,AND($B$175&gt;0,825=$B$175+1))),IF(AND($B$170=1,$B$66&gt;0,OR($B$175=0,825&lt;=$B$175)),$B$66,IF($B$172-MAX(825-1,$B$174)&gt;0,IF(B1225=0,0,IF(C1225=0,B1225/($B$172-MAX(825-1,$B$174)),B1225*(C1225/12)/(1-(1+C1225/12)^(-($B$172-MAX(825-1,$B$174)))))),"")),D1224))))),IF(IF(AND(825&lt;=$B$174,825&lt;=$B$173),B1225*C1225/12,IF(AND(825=$B$173+1,AND(825&gt;$B$173,$B$78="Refinance",ISNUMBER($B$80),$B$80&gt;=0,$B$80&lt;=1,ROUND($B$81*12,0)&gt;=1,$B$81&lt;=100,SUM($B$82)&gt;=0,SUM($B$82)&lt;=1,SUM($B$83)&gt;=0)),IF(B1225=0,0,IF(C1225=0,B1225/ROUND($B$81*12,0),B1225*(C1225/12)/(1-(1+C1225/12)^(-ROUND($B$81*12,0))))),IF(AND(NOT(AND(825&gt;$B$173,$B$78="Refinance",ISNUMBER($B$80),$B$80&gt;=0,$B$80&lt;=1,ROUND($B$81*12,0)&gt;=1,$B$81&lt;=100,SUM($B$82)&gt;=0,SUM($B$82)&lt;=1,SUM($B$83)&gt;=0)),OR(825=1,825=$B$174+1,AND($B$175&gt;0,825=$B$175+1))),IF(AND($B$170=1,$B$66&gt;0,OR($B$175=0,825&lt;=$B$175)),$B$66,IF($B$172-MAX(825-1,$B$174)&gt;0,IF(B1225=0,0,IF(C1225=0,B1225/($B$172-MAX(825-1,$B$174)),B1225*(C1225/12)/(1-(1+C1225/12)^(-($B$172-MAX(825-1,$B$174)))))),"")),D1224)))+0.0000001&gt;=B1225*C1225/12,MIN(B1225*(1+C1225/12),IF(AND(825&lt;=$B$174,825&lt;=$B$173),B1225*C1225/12,IF(AND(825=$B$173+1,AND(825&gt;$B$173,$B$78="Refinance",ISNUMBER($B$80),$B$80&gt;=0,$B$80&lt;=1,ROUND($B$81*12,0)&gt;=1,$B$81&lt;=100,SUM($B$82)&gt;=0,SUM($B$82)&lt;=1,SUM($B$83)&gt;=0)),IF(B1225=0,0,IF(C1225=0,B1225/ROUND($B$81*12,0),B1225*(C1225/12)/(1-(1+C1225/12)^(-ROUND($B$81*12,0))))),IF(AND(NOT(AND(825&gt;$B$173,$B$78="Refinance",ISNUMBER($B$80),$B$80&gt;=0,$B$80&lt;=1,ROUND($B$81*12,0)&gt;=1,$B$81&lt;=100,SUM($B$82)&gt;=0,SUM($B$82)&lt;=1,SUM($B$83)&gt;=0)),OR(825=1,825=$B$174+1,AND($B$175&gt;0,825=$B$175+1))),IF(AND($B$170=1,$B$66&gt;0,OR($B$175=0,825&lt;=$B$175)),$B$66,IF($B$172-MAX(825-1,$B$174)&gt;0,IF(B1225=0,0,IF(C1225=0,B1225/($B$172-MAX(825-1,$B$174)),B1225*(C1225/12)/(1-(1+C1225/12)^(-($B$172-MAX(825-1,$B$174)))))),"")),D1224)))),""),""))</x:f>
        <x:v>0</x:v>
      </x:c>
      <x:c r="E1225" s="440" t="n">
        <x:f>IF(AND(825=$B$173,ISNUMBER(D1225)),IF(MAX(0,B1225*(1+C1225/12)-D1225)&lt;MAX(0.0000001,$E$17*0.00000000001),0,MAX(0,B1225*(1+C1225/12)-D1225)),0)</x:f>
        <x:v>0</x:v>
      </x:c>
      <x:c r="F1225" s="440" t="n">
        <x:f>IF($B$78="Cash payoff",E1225,0)</x:f>
        <x:v>0</x:v>
      </x:c>
      <x:c r="G1225" s="440" t="n">
        <x:f>IF(AND(E1225&gt;0,AND($B$78="Refinance",ISNUMBER($B$80),$B$80&gt;=0,$B$80&lt;=1,ROUND($B$81*12,0)&gt;=1,$B$81&lt;=100,SUM($B$82)&gt;=0,SUM($B$82)&lt;=1,SUM($B$83)&gt;=0)),E1225*SUM($B$82)+SUM($B$83),0)</x:f>
        <x:v>0</x:v>
      </x:c>
      <x:c r="H1225" s="440" t="n">
        <x:f>IF(ISNUMBER(D1225),IF(MAX(0,B1225*(1+C1225/12)-D1225-F1225)&lt;MAX(0.0000001,$E$17*0.00000000001),0,MAX(0,B1225*(1+C1225/12)-D1225-F1225)),IF(AND($B$171=1,I1224=1),B1225,""))</x:f>
        <x:v>0</x:v>
      </x:c>
      <x:c r="I1225" s="444" t="n">
        <x:f>IF(OR(I1224=1,AND(E1225&gt;0,$B$78&lt;&gt;"Cash payoff",NOT(AND($B$78="Refinance",ISNUMBER($B$80),$B$80&gt;=0,$B$80&lt;=1,ROUND($B$81*12,0)&gt;=1,$B$81&lt;=100,SUM($B$82)&gt;=0,SUM($B$82)&lt;=1,SUM($B$83)&gt;=0))),AND(ISNUMBER(B1225),B1225&gt;0,$B$171=1,NOT(ISNUMBER(D1225)))),1,0)</x:f>
        <x:v>0</x:v>
      </x:c>
      <x:c r="J1225" s="440" t="n">
        <x:f>IF(ISNUMBER(L1224),L1224,"")</x:f>
        <x:v>0</x:v>
      </x:c>
      <x:c r="K1225" s="440" t="n">
        <x:f>IF(AND(ISNUMBER(J1225),J1225=0),0,IF(AND($B$176=1,ISNUMBER(J1225)),MIN(J1225*(1+$B$87/12),IF($B$86=0,0,IF($B$87=0,$B$86/ROUND($B$88*12,0),$B$86*($B$87/12)/(1-(1+$B$87/12)^(-ROUND($B$88*12,0)))))),""))</x:f>
        <x:v>0</x:v>
      </x:c>
      <x:c r="L1225" s="440" t="n">
        <x:f>IF(ISNUMBER(K1225),IF(MAX(0,J1225*(1+SUM($B$87)/12)-K1225)&lt;MAX(0.0000001,$B$86*0.00000000001),0,MAX(0,J1225*(1+SUM($B$87)/12)-K1225)),"")</x:f>
        <x:v>0</x:v>
      </x:c>
      <x:c r="M1225" s="440" t="n">
        <x:f>IF(AND(ISNUMBER(D1225),ISNUMBER(K1225)),D1225+K1225,"")</x:f>
        <x:v>0</x:v>
      </x:c>
      <x:c r="N1225" s="440" t="n">
        <x:f>IF(AND(ISNUMBER(H1225),ISNUMBER(L1225)),H1225+L1225,"")</x:f>
        <x:v>0</x:v>
      </x:c>
    </x:row>
    <x:row r="1226" ht="22" customHeight="1">
      <x:c r="A1226" s="254" t="n">
        <x:f>826</x:f>
        <x:v>826</x:v>
      </x:c>
      <x:c r="B1226" s="440" t="n">
        <x:f>IF(ISNUMBER(H1225),H1225,"")</x:f>
        <x:v>0</x:v>
      </x:c>
      <x:c r="C1226" s="442" t="n">
        <x:f>IF(ISNUMBER(B1226),IF(AND(826&gt;$B$173,$B$78="Refinance",ISNUMBER($B$80),$B$80&gt;=0,$B$80&lt;=1,ROUND($B$81*12,0)&gt;=1,$B$81&lt;=100,SUM($B$82)&gt;=0,SUM($B$82)&lt;=1,SUM($B$83)&gt;=0),$B$80,IF(AND($B$175&gt;0,826&gt;$B$175,ISNUMBER($B$75)),$B$75,$B$61)),"")</x:f>
        <x:v>0.0625</x:v>
      </x:c>
      <x:c r="D1226" s="440" t="n">
        <x:f>IF(AND(ISNUMBER(B1226),B1226=0),0,IF(AND($B$171=1,I1225=0,ISNUMBER(C1226),ISNUMBER(IF(AND(826&lt;=$B$174,826&lt;=$B$173),B1226*C1226/12,IF(AND(826=$B$173+1,AND(826&gt;$B$173,$B$78="Refinance",ISNUMBER($B$80),$B$80&gt;=0,$B$80&lt;=1,ROUND($B$81*12,0)&gt;=1,$B$81&lt;=100,SUM($B$82)&gt;=0,SUM($B$82)&lt;=1,SUM($B$83)&gt;=0)),IF(B1226=0,0,IF(C1226=0,B1226/ROUND($B$81*12,0),B1226*(C1226/12)/(1-(1+C1226/12)^(-ROUND($B$81*12,0))))),IF(AND(NOT(AND(826&gt;$B$173,$B$78="Refinance",ISNUMBER($B$80),$B$80&gt;=0,$B$80&lt;=1,ROUND($B$81*12,0)&gt;=1,$B$81&lt;=100,SUM($B$82)&gt;=0,SUM($B$82)&lt;=1,SUM($B$83)&gt;=0)),OR(826=1,826=$B$174+1,AND($B$175&gt;0,826=$B$175+1))),IF(AND($B$170=1,$B$66&gt;0,OR($B$175=0,826&lt;=$B$175)),$B$66,IF($B$172-MAX(826-1,$B$174)&gt;0,IF(B1226=0,0,IF(C1226=0,B1226/($B$172-MAX(826-1,$B$174)),B1226*(C1226/12)/(1-(1+C1226/12)^(-($B$172-MAX(826-1,$B$174)))))),"")),D1225))))),IF(IF(AND(826&lt;=$B$174,826&lt;=$B$173),B1226*C1226/12,IF(AND(826=$B$173+1,AND(826&gt;$B$173,$B$78="Refinance",ISNUMBER($B$80),$B$80&gt;=0,$B$80&lt;=1,ROUND($B$81*12,0)&gt;=1,$B$81&lt;=100,SUM($B$82)&gt;=0,SUM($B$82)&lt;=1,SUM($B$83)&gt;=0)),IF(B1226=0,0,IF(C1226=0,B1226/ROUND($B$81*12,0),B1226*(C1226/12)/(1-(1+C1226/12)^(-ROUND($B$81*12,0))))),IF(AND(NOT(AND(826&gt;$B$173,$B$78="Refinance",ISNUMBER($B$80),$B$80&gt;=0,$B$80&lt;=1,ROUND($B$81*12,0)&gt;=1,$B$81&lt;=100,SUM($B$82)&gt;=0,SUM($B$82)&lt;=1,SUM($B$83)&gt;=0)),OR(826=1,826=$B$174+1,AND($B$175&gt;0,826=$B$175+1))),IF(AND($B$170=1,$B$66&gt;0,OR($B$175=0,826&lt;=$B$175)),$B$66,IF($B$172-MAX(826-1,$B$174)&gt;0,IF(B1226=0,0,IF(C1226=0,B1226/($B$172-MAX(826-1,$B$174)),B1226*(C1226/12)/(1-(1+C1226/12)^(-($B$172-MAX(826-1,$B$174)))))),"")),D1225)))+0.0000001&gt;=B1226*C1226/12,MIN(B1226*(1+C1226/12),IF(AND(826&lt;=$B$174,826&lt;=$B$173),B1226*C1226/12,IF(AND(826=$B$173+1,AND(826&gt;$B$173,$B$78="Refinance",ISNUMBER($B$80),$B$80&gt;=0,$B$80&lt;=1,ROUND($B$81*12,0)&gt;=1,$B$81&lt;=100,SUM($B$82)&gt;=0,SUM($B$82)&lt;=1,SUM($B$83)&gt;=0)),IF(B1226=0,0,IF(C1226=0,B1226/ROUND($B$81*12,0),B1226*(C1226/12)/(1-(1+C1226/12)^(-ROUND($B$81*12,0))))),IF(AND(NOT(AND(826&gt;$B$173,$B$78="Refinance",ISNUMBER($B$80),$B$80&gt;=0,$B$80&lt;=1,ROUND($B$81*12,0)&gt;=1,$B$81&lt;=100,SUM($B$82)&gt;=0,SUM($B$82)&lt;=1,SUM($B$83)&gt;=0)),OR(826=1,826=$B$174+1,AND($B$175&gt;0,826=$B$175+1))),IF(AND($B$170=1,$B$66&gt;0,OR($B$175=0,826&lt;=$B$175)),$B$66,IF($B$172-MAX(826-1,$B$174)&gt;0,IF(B1226=0,0,IF(C1226=0,B1226/($B$172-MAX(826-1,$B$174)),B1226*(C1226/12)/(1-(1+C1226/12)^(-($B$172-MAX(826-1,$B$174)))))),"")),D1225)))),""),""))</x:f>
        <x:v>0</x:v>
      </x:c>
      <x:c r="E1226" s="440" t="n">
        <x:f>IF(AND(826=$B$173,ISNUMBER(D1226)),IF(MAX(0,B1226*(1+C1226/12)-D1226)&lt;MAX(0.0000001,$E$17*0.00000000001),0,MAX(0,B1226*(1+C1226/12)-D1226)),0)</x:f>
        <x:v>0</x:v>
      </x:c>
      <x:c r="F1226" s="440" t="n">
        <x:f>IF($B$78="Cash payoff",E1226,0)</x:f>
        <x:v>0</x:v>
      </x:c>
      <x:c r="G1226" s="440" t="n">
        <x:f>IF(AND(E1226&gt;0,AND($B$78="Refinance",ISNUMBER($B$80),$B$80&gt;=0,$B$80&lt;=1,ROUND($B$81*12,0)&gt;=1,$B$81&lt;=100,SUM($B$82)&gt;=0,SUM($B$82)&lt;=1,SUM($B$83)&gt;=0)),E1226*SUM($B$82)+SUM($B$83),0)</x:f>
        <x:v>0</x:v>
      </x:c>
      <x:c r="H1226" s="440" t="n">
        <x:f>IF(ISNUMBER(D1226),IF(MAX(0,B1226*(1+C1226/12)-D1226-F1226)&lt;MAX(0.0000001,$E$17*0.00000000001),0,MAX(0,B1226*(1+C1226/12)-D1226-F1226)),IF(AND($B$171=1,I1225=1),B1226,""))</x:f>
        <x:v>0</x:v>
      </x:c>
      <x:c r="I1226" s="444" t="n">
        <x:f>IF(OR(I1225=1,AND(E1226&gt;0,$B$78&lt;&gt;"Cash payoff",NOT(AND($B$78="Refinance",ISNUMBER($B$80),$B$80&gt;=0,$B$80&lt;=1,ROUND($B$81*12,0)&gt;=1,$B$81&lt;=100,SUM($B$82)&gt;=0,SUM($B$82)&lt;=1,SUM($B$83)&gt;=0))),AND(ISNUMBER(B1226),B1226&gt;0,$B$171=1,NOT(ISNUMBER(D1226)))),1,0)</x:f>
        <x:v>0</x:v>
      </x:c>
      <x:c r="J1226" s="440" t="n">
        <x:f>IF(ISNUMBER(L1225),L1225,"")</x:f>
        <x:v>0</x:v>
      </x:c>
      <x:c r="K1226" s="440" t="n">
        <x:f>IF(AND(ISNUMBER(J1226),J1226=0),0,IF(AND($B$176=1,ISNUMBER(J1226)),MIN(J1226*(1+$B$87/12),IF($B$86=0,0,IF($B$87=0,$B$86/ROUND($B$88*12,0),$B$86*($B$87/12)/(1-(1+$B$87/12)^(-ROUND($B$88*12,0)))))),""))</x:f>
        <x:v>0</x:v>
      </x:c>
      <x:c r="L1226" s="440" t="n">
        <x:f>IF(ISNUMBER(K1226),IF(MAX(0,J1226*(1+SUM($B$87)/12)-K1226)&lt;MAX(0.0000001,$B$86*0.00000000001),0,MAX(0,J1226*(1+SUM($B$87)/12)-K1226)),"")</x:f>
        <x:v>0</x:v>
      </x:c>
      <x:c r="M1226" s="440" t="n">
        <x:f>IF(AND(ISNUMBER(D1226),ISNUMBER(K1226)),D1226+K1226,"")</x:f>
        <x:v>0</x:v>
      </x:c>
      <x:c r="N1226" s="440" t="n">
        <x:f>IF(AND(ISNUMBER(H1226),ISNUMBER(L1226)),H1226+L1226,"")</x:f>
        <x:v>0</x:v>
      </x:c>
    </x:row>
    <x:row r="1227" ht="22" customHeight="1">
      <x:c r="A1227" s="254" t="n">
        <x:f>827</x:f>
        <x:v>827</x:v>
      </x:c>
      <x:c r="B1227" s="440" t="n">
        <x:f>IF(ISNUMBER(H1226),H1226,"")</x:f>
        <x:v>0</x:v>
      </x:c>
      <x:c r="C1227" s="442" t="n">
        <x:f>IF(ISNUMBER(B1227),IF(AND(827&gt;$B$173,$B$78="Refinance",ISNUMBER($B$80),$B$80&gt;=0,$B$80&lt;=1,ROUND($B$81*12,0)&gt;=1,$B$81&lt;=100,SUM($B$82)&gt;=0,SUM($B$82)&lt;=1,SUM($B$83)&gt;=0),$B$80,IF(AND($B$175&gt;0,827&gt;$B$175,ISNUMBER($B$75)),$B$75,$B$61)),"")</x:f>
        <x:v>0.0625</x:v>
      </x:c>
      <x:c r="D1227" s="440" t="n">
        <x:f>IF(AND(ISNUMBER(B1227),B1227=0),0,IF(AND($B$171=1,I1226=0,ISNUMBER(C1227),ISNUMBER(IF(AND(827&lt;=$B$174,827&lt;=$B$173),B1227*C1227/12,IF(AND(827=$B$173+1,AND(827&gt;$B$173,$B$78="Refinance",ISNUMBER($B$80),$B$80&gt;=0,$B$80&lt;=1,ROUND($B$81*12,0)&gt;=1,$B$81&lt;=100,SUM($B$82)&gt;=0,SUM($B$82)&lt;=1,SUM($B$83)&gt;=0)),IF(B1227=0,0,IF(C1227=0,B1227/ROUND($B$81*12,0),B1227*(C1227/12)/(1-(1+C1227/12)^(-ROUND($B$81*12,0))))),IF(AND(NOT(AND(827&gt;$B$173,$B$78="Refinance",ISNUMBER($B$80),$B$80&gt;=0,$B$80&lt;=1,ROUND($B$81*12,0)&gt;=1,$B$81&lt;=100,SUM($B$82)&gt;=0,SUM($B$82)&lt;=1,SUM($B$83)&gt;=0)),OR(827=1,827=$B$174+1,AND($B$175&gt;0,827=$B$175+1))),IF(AND($B$170=1,$B$66&gt;0,OR($B$175=0,827&lt;=$B$175)),$B$66,IF($B$172-MAX(827-1,$B$174)&gt;0,IF(B1227=0,0,IF(C1227=0,B1227/($B$172-MAX(827-1,$B$174)),B1227*(C1227/12)/(1-(1+C1227/12)^(-($B$172-MAX(827-1,$B$174)))))),"")),D1226))))),IF(IF(AND(827&lt;=$B$174,827&lt;=$B$173),B1227*C1227/12,IF(AND(827=$B$173+1,AND(827&gt;$B$173,$B$78="Refinance",ISNUMBER($B$80),$B$80&gt;=0,$B$80&lt;=1,ROUND($B$81*12,0)&gt;=1,$B$81&lt;=100,SUM($B$82)&gt;=0,SUM($B$82)&lt;=1,SUM($B$83)&gt;=0)),IF(B1227=0,0,IF(C1227=0,B1227/ROUND($B$81*12,0),B1227*(C1227/12)/(1-(1+C1227/12)^(-ROUND($B$81*12,0))))),IF(AND(NOT(AND(827&gt;$B$173,$B$78="Refinance",ISNUMBER($B$80),$B$80&gt;=0,$B$80&lt;=1,ROUND($B$81*12,0)&gt;=1,$B$81&lt;=100,SUM($B$82)&gt;=0,SUM($B$82)&lt;=1,SUM($B$83)&gt;=0)),OR(827=1,827=$B$174+1,AND($B$175&gt;0,827=$B$175+1))),IF(AND($B$170=1,$B$66&gt;0,OR($B$175=0,827&lt;=$B$175)),$B$66,IF($B$172-MAX(827-1,$B$174)&gt;0,IF(B1227=0,0,IF(C1227=0,B1227/($B$172-MAX(827-1,$B$174)),B1227*(C1227/12)/(1-(1+C1227/12)^(-($B$172-MAX(827-1,$B$174)))))),"")),D1226)))+0.0000001&gt;=B1227*C1227/12,MIN(B1227*(1+C1227/12),IF(AND(827&lt;=$B$174,827&lt;=$B$173),B1227*C1227/12,IF(AND(827=$B$173+1,AND(827&gt;$B$173,$B$78="Refinance",ISNUMBER($B$80),$B$80&gt;=0,$B$80&lt;=1,ROUND($B$81*12,0)&gt;=1,$B$81&lt;=100,SUM($B$82)&gt;=0,SUM($B$82)&lt;=1,SUM($B$83)&gt;=0)),IF(B1227=0,0,IF(C1227=0,B1227/ROUND($B$81*12,0),B1227*(C1227/12)/(1-(1+C1227/12)^(-ROUND($B$81*12,0))))),IF(AND(NOT(AND(827&gt;$B$173,$B$78="Refinance",ISNUMBER($B$80),$B$80&gt;=0,$B$80&lt;=1,ROUND($B$81*12,0)&gt;=1,$B$81&lt;=100,SUM($B$82)&gt;=0,SUM($B$82)&lt;=1,SUM($B$83)&gt;=0)),OR(827=1,827=$B$174+1,AND($B$175&gt;0,827=$B$175+1))),IF(AND($B$170=1,$B$66&gt;0,OR($B$175=0,827&lt;=$B$175)),$B$66,IF($B$172-MAX(827-1,$B$174)&gt;0,IF(B1227=0,0,IF(C1227=0,B1227/($B$172-MAX(827-1,$B$174)),B1227*(C1227/12)/(1-(1+C1227/12)^(-($B$172-MAX(827-1,$B$174)))))),"")),D1226)))),""),""))</x:f>
        <x:v>0</x:v>
      </x:c>
      <x:c r="E1227" s="440" t="n">
        <x:f>IF(AND(827=$B$173,ISNUMBER(D1227)),IF(MAX(0,B1227*(1+C1227/12)-D1227)&lt;MAX(0.0000001,$E$17*0.00000000001),0,MAX(0,B1227*(1+C1227/12)-D1227)),0)</x:f>
        <x:v>0</x:v>
      </x:c>
      <x:c r="F1227" s="440" t="n">
        <x:f>IF($B$78="Cash payoff",E1227,0)</x:f>
        <x:v>0</x:v>
      </x:c>
      <x:c r="G1227" s="440" t="n">
        <x:f>IF(AND(E1227&gt;0,AND($B$78="Refinance",ISNUMBER($B$80),$B$80&gt;=0,$B$80&lt;=1,ROUND($B$81*12,0)&gt;=1,$B$81&lt;=100,SUM($B$82)&gt;=0,SUM($B$82)&lt;=1,SUM($B$83)&gt;=0)),E1227*SUM($B$82)+SUM($B$83),0)</x:f>
        <x:v>0</x:v>
      </x:c>
      <x:c r="H1227" s="440" t="n">
        <x:f>IF(ISNUMBER(D1227),IF(MAX(0,B1227*(1+C1227/12)-D1227-F1227)&lt;MAX(0.0000001,$E$17*0.00000000001),0,MAX(0,B1227*(1+C1227/12)-D1227-F1227)),IF(AND($B$171=1,I1226=1),B1227,""))</x:f>
        <x:v>0</x:v>
      </x:c>
      <x:c r="I1227" s="444" t="n">
        <x:f>IF(OR(I1226=1,AND(E1227&gt;0,$B$78&lt;&gt;"Cash payoff",NOT(AND($B$78="Refinance",ISNUMBER($B$80),$B$80&gt;=0,$B$80&lt;=1,ROUND($B$81*12,0)&gt;=1,$B$81&lt;=100,SUM($B$82)&gt;=0,SUM($B$82)&lt;=1,SUM($B$83)&gt;=0))),AND(ISNUMBER(B1227),B1227&gt;0,$B$171=1,NOT(ISNUMBER(D1227)))),1,0)</x:f>
        <x:v>0</x:v>
      </x:c>
      <x:c r="J1227" s="440" t="n">
        <x:f>IF(ISNUMBER(L1226),L1226,"")</x:f>
        <x:v>0</x:v>
      </x:c>
      <x:c r="K1227" s="440" t="n">
        <x:f>IF(AND(ISNUMBER(J1227),J1227=0),0,IF(AND($B$176=1,ISNUMBER(J1227)),MIN(J1227*(1+$B$87/12),IF($B$86=0,0,IF($B$87=0,$B$86/ROUND($B$88*12,0),$B$86*($B$87/12)/(1-(1+$B$87/12)^(-ROUND($B$88*12,0)))))),""))</x:f>
        <x:v>0</x:v>
      </x:c>
      <x:c r="L1227" s="440" t="n">
        <x:f>IF(ISNUMBER(K1227),IF(MAX(0,J1227*(1+SUM($B$87)/12)-K1227)&lt;MAX(0.0000001,$B$86*0.00000000001),0,MAX(0,J1227*(1+SUM($B$87)/12)-K1227)),"")</x:f>
        <x:v>0</x:v>
      </x:c>
      <x:c r="M1227" s="440" t="n">
        <x:f>IF(AND(ISNUMBER(D1227),ISNUMBER(K1227)),D1227+K1227,"")</x:f>
        <x:v>0</x:v>
      </x:c>
      <x:c r="N1227" s="440" t="n">
        <x:f>IF(AND(ISNUMBER(H1227),ISNUMBER(L1227)),H1227+L1227,"")</x:f>
        <x:v>0</x:v>
      </x:c>
    </x:row>
    <x:row r="1228" ht="22" customHeight="1">
      <x:c r="A1228" s="254" t="n">
        <x:f>828</x:f>
        <x:v>828</x:v>
      </x:c>
      <x:c r="B1228" s="440" t="n">
        <x:f>IF(ISNUMBER(H1227),H1227,"")</x:f>
        <x:v>0</x:v>
      </x:c>
      <x:c r="C1228" s="442" t="n">
        <x:f>IF(ISNUMBER(B1228),IF(AND(828&gt;$B$173,$B$78="Refinance",ISNUMBER($B$80),$B$80&gt;=0,$B$80&lt;=1,ROUND($B$81*12,0)&gt;=1,$B$81&lt;=100,SUM($B$82)&gt;=0,SUM($B$82)&lt;=1,SUM($B$83)&gt;=0),$B$80,IF(AND($B$175&gt;0,828&gt;$B$175,ISNUMBER($B$75)),$B$75,$B$61)),"")</x:f>
        <x:v>0.0625</x:v>
      </x:c>
      <x:c r="D1228" s="440" t="n">
        <x:f>IF(AND(ISNUMBER(B1228),B1228=0),0,IF(AND($B$171=1,I1227=0,ISNUMBER(C1228),ISNUMBER(IF(AND(828&lt;=$B$174,828&lt;=$B$173),B1228*C1228/12,IF(AND(828=$B$173+1,AND(828&gt;$B$173,$B$78="Refinance",ISNUMBER($B$80),$B$80&gt;=0,$B$80&lt;=1,ROUND($B$81*12,0)&gt;=1,$B$81&lt;=100,SUM($B$82)&gt;=0,SUM($B$82)&lt;=1,SUM($B$83)&gt;=0)),IF(B1228=0,0,IF(C1228=0,B1228/ROUND($B$81*12,0),B1228*(C1228/12)/(1-(1+C1228/12)^(-ROUND($B$81*12,0))))),IF(AND(NOT(AND(828&gt;$B$173,$B$78="Refinance",ISNUMBER($B$80),$B$80&gt;=0,$B$80&lt;=1,ROUND($B$81*12,0)&gt;=1,$B$81&lt;=100,SUM($B$82)&gt;=0,SUM($B$82)&lt;=1,SUM($B$83)&gt;=0)),OR(828=1,828=$B$174+1,AND($B$175&gt;0,828=$B$175+1))),IF(AND($B$170=1,$B$66&gt;0,OR($B$175=0,828&lt;=$B$175)),$B$66,IF($B$172-MAX(828-1,$B$174)&gt;0,IF(B1228=0,0,IF(C1228=0,B1228/($B$172-MAX(828-1,$B$174)),B1228*(C1228/12)/(1-(1+C1228/12)^(-($B$172-MAX(828-1,$B$174)))))),"")),D1227))))),IF(IF(AND(828&lt;=$B$174,828&lt;=$B$173),B1228*C1228/12,IF(AND(828=$B$173+1,AND(828&gt;$B$173,$B$78="Refinance",ISNUMBER($B$80),$B$80&gt;=0,$B$80&lt;=1,ROUND($B$81*12,0)&gt;=1,$B$81&lt;=100,SUM($B$82)&gt;=0,SUM($B$82)&lt;=1,SUM($B$83)&gt;=0)),IF(B1228=0,0,IF(C1228=0,B1228/ROUND($B$81*12,0),B1228*(C1228/12)/(1-(1+C1228/12)^(-ROUND($B$81*12,0))))),IF(AND(NOT(AND(828&gt;$B$173,$B$78="Refinance",ISNUMBER($B$80),$B$80&gt;=0,$B$80&lt;=1,ROUND($B$81*12,0)&gt;=1,$B$81&lt;=100,SUM($B$82)&gt;=0,SUM($B$82)&lt;=1,SUM($B$83)&gt;=0)),OR(828=1,828=$B$174+1,AND($B$175&gt;0,828=$B$175+1))),IF(AND($B$170=1,$B$66&gt;0,OR($B$175=0,828&lt;=$B$175)),$B$66,IF($B$172-MAX(828-1,$B$174)&gt;0,IF(B1228=0,0,IF(C1228=0,B1228/($B$172-MAX(828-1,$B$174)),B1228*(C1228/12)/(1-(1+C1228/12)^(-($B$172-MAX(828-1,$B$174)))))),"")),D1227)))+0.0000001&gt;=B1228*C1228/12,MIN(B1228*(1+C1228/12),IF(AND(828&lt;=$B$174,828&lt;=$B$173),B1228*C1228/12,IF(AND(828=$B$173+1,AND(828&gt;$B$173,$B$78="Refinance",ISNUMBER($B$80),$B$80&gt;=0,$B$80&lt;=1,ROUND($B$81*12,0)&gt;=1,$B$81&lt;=100,SUM($B$82)&gt;=0,SUM($B$82)&lt;=1,SUM($B$83)&gt;=0)),IF(B1228=0,0,IF(C1228=0,B1228/ROUND($B$81*12,0),B1228*(C1228/12)/(1-(1+C1228/12)^(-ROUND($B$81*12,0))))),IF(AND(NOT(AND(828&gt;$B$173,$B$78="Refinance",ISNUMBER($B$80),$B$80&gt;=0,$B$80&lt;=1,ROUND($B$81*12,0)&gt;=1,$B$81&lt;=100,SUM($B$82)&gt;=0,SUM($B$82)&lt;=1,SUM($B$83)&gt;=0)),OR(828=1,828=$B$174+1,AND($B$175&gt;0,828=$B$175+1))),IF(AND($B$170=1,$B$66&gt;0,OR($B$175=0,828&lt;=$B$175)),$B$66,IF($B$172-MAX(828-1,$B$174)&gt;0,IF(B1228=0,0,IF(C1228=0,B1228/($B$172-MAX(828-1,$B$174)),B1228*(C1228/12)/(1-(1+C1228/12)^(-($B$172-MAX(828-1,$B$174)))))),"")),D1227)))),""),""))</x:f>
        <x:v>0</x:v>
      </x:c>
      <x:c r="E1228" s="440" t="n">
        <x:f>IF(AND(828=$B$173,ISNUMBER(D1228)),IF(MAX(0,B1228*(1+C1228/12)-D1228)&lt;MAX(0.0000001,$E$17*0.00000000001),0,MAX(0,B1228*(1+C1228/12)-D1228)),0)</x:f>
        <x:v>0</x:v>
      </x:c>
      <x:c r="F1228" s="440" t="n">
        <x:f>IF($B$78="Cash payoff",E1228,0)</x:f>
        <x:v>0</x:v>
      </x:c>
      <x:c r="G1228" s="440" t="n">
        <x:f>IF(AND(E1228&gt;0,AND($B$78="Refinance",ISNUMBER($B$80),$B$80&gt;=0,$B$80&lt;=1,ROUND($B$81*12,0)&gt;=1,$B$81&lt;=100,SUM($B$82)&gt;=0,SUM($B$82)&lt;=1,SUM($B$83)&gt;=0)),E1228*SUM($B$82)+SUM($B$83),0)</x:f>
        <x:v>0</x:v>
      </x:c>
      <x:c r="H1228" s="440" t="n">
        <x:f>IF(ISNUMBER(D1228),IF(MAX(0,B1228*(1+C1228/12)-D1228-F1228)&lt;MAX(0.0000001,$E$17*0.00000000001),0,MAX(0,B1228*(1+C1228/12)-D1228-F1228)),IF(AND($B$171=1,I1227=1),B1228,""))</x:f>
        <x:v>0</x:v>
      </x:c>
      <x:c r="I1228" s="444" t="n">
        <x:f>IF(OR(I1227=1,AND(E1228&gt;0,$B$78&lt;&gt;"Cash payoff",NOT(AND($B$78="Refinance",ISNUMBER($B$80),$B$80&gt;=0,$B$80&lt;=1,ROUND($B$81*12,0)&gt;=1,$B$81&lt;=100,SUM($B$82)&gt;=0,SUM($B$82)&lt;=1,SUM($B$83)&gt;=0))),AND(ISNUMBER(B1228),B1228&gt;0,$B$171=1,NOT(ISNUMBER(D1228)))),1,0)</x:f>
        <x:v>0</x:v>
      </x:c>
      <x:c r="J1228" s="440" t="n">
        <x:f>IF(ISNUMBER(L1227),L1227,"")</x:f>
        <x:v>0</x:v>
      </x:c>
      <x:c r="K1228" s="440" t="n">
        <x:f>IF(AND(ISNUMBER(J1228),J1228=0),0,IF(AND($B$176=1,ISNUMBER(J1228)),MIN(J1228*(1+$B$87/12),IF($B$86=0,0,IF($B$87=0,$B$86/ROUND($B$88*12,0),$B$86*($B$87/12)/(1-(1+$B$87/12)^(-ROUND($B$88*12,0)))))),""))</x:f>
        <x:v>0</x:v>
      </x:c>
      <x:c r="L1228" s="440" t="n">
        <x:f>IF(ISNUMBER(K1228),IF(MAX(0,J1228*(1+SUM($B$87)/12)-K1228)&lt;MAX(0.0000001,$B$86*0.00000000001),0,MAX(0,J1228*(1+SUM($B$87)/12)-K1228)),"")</x:f>
        <x:v>0</x:v>
      </x:c>
      <x:c r="M1228" s="440" t="n">
        <x:f>IF(AND(ISNUMBER(D1228),ISNUMBER(K1228)),D1228+K1228,"")</x:f>
        <x:v>0</x:v>
      </x:c>
      <x:c r="N1228" s="440" t="n">
        <x:f>IF(AND(ISNUMBER(H1228),ISNUMBER(L1228)),H1228+L1228,"")</x:f>
        <x:v>0</x:v>
      </x:c>
    </x:row>
    <x:row r="1229" ht="22" customHeight="1">
      <x:c r="A1229" s="254" t="n">
        <x:f>829</x:f>
        <x:v>829</x:v>
      </x:c>
      <x:c r="B1229" s="440" t="n">
        <x:f>IF(ISNUMBER(H1228),H1228,"")</x:f>
        <x:v>0</x:v>
      </x:c>
      <x:c r="C1229" s="442" t="n">
        <x:f>IF(ISNUMBER(B1229),IF(AND(829&gt;$B$173,$B$78="Refinance",ISNUMBER($B$80),$B$80&gt;=0,$B$80&lt;=1,ROUND($B$81*12,0)&gt;=1,$B$81&lt;=100,SUM($B$82)&gt;=0,SUM($B$82)&lt;=1,SUM($B$83)&gt;=0),$B$80,IF(AND($B$175&gt;0,829&gt;$B$175,ISNUMBER($B$75)),$B$75,$B$61)),"")</x:f>
        <x:v>0.0625</x:v>
      </x:c>
      <x:c r="D1229" s="440" t="n">
        <x:f>IF(AND(ISNUMBER(B1229),B1229=0),0,IF(AND($B$171=1,I1228=0,ISNUMBER(C1229),ISNUMBER(IF(AND(829&lt;=$B$174,829&lt;=$B$173),B1229*C1229/12,IF(AND(829=$B$173+1,AND(829&gt;$B$173,$B$78="Refinance",ISNUMBER($B$80),$B$80&gt;=0,$B$80&lt;=1,ROUND($B$81*12,0)&gt;=1,$B$81&lt;=100,SUM($B$82)&gt;=0,SUM($B$82)&lt;=1,SUM($B$83)&gt;=0)),IF(B1229=0,0,IF(C1229=0,B1229/ROUND($B$81*12,0),B1229*(C1229/12)/(1-(1+C1229/12)^(-ROUND($B$81*12,0))))),IF(AND(NOT(AND(829&gt;$B$173,$B$78="Refinance",ISNUMBER($B$80),$B$80&gt;=0,$B$80&lt;=1,ROUND($B$81*12,0)&gt;=1,$B$81&lt;=100,SUM($B$82)&gt;=0,SUM($B$82)&lt;=1,SUM($B$83)&gt;=0)),OR(829=1,829=$B$174+1,AND($B$175&gt;0,829=$B$175+1))),IF(AND($B$170=1,$B$66&gt;0,OR($B$175=0,829&lt;=$B$175)),$B$66,IF($B$172-MAX(829-1,$B$174)&gt;0,IF(B1229=0,0,IF(C1229=0,B1229/($B$172-MAX(829-1,$B$174)),B1229*(C1229/12)/(1-(1+C1229/12)^(-($B$172-MAX(829-1,$B$174)))))),"")),D1228))))),IF(IF(AND(829&lt;=$B$174,829&lt;=$B$173),B1229*C1229/12,IF(AND(829=$B$173+1,AND(829&gt;$B$173,$B$78="Refinance",ISNUMBER($B$80),$B$80&gt;=0,$B$80&lt;=1,ROUND($B$81*12,0)&gt;=1,$B$81&lt;=100,SUM($B$82)&gt;=0,SUM($B$82)&lt;=1,SUM($B$83)&gt;=0)),IF(B1229=0,0,IF(C1229=0,B1229/ROUND($B$81*12,0),B1229*(C1229/12)/(1-(1+C1229/12)^(-ROUND($B$81*12,0))))),IF(AND(NOT(AND(829&gt;$B$173,$B$78="Refinance",ISNUMBER($B$80),$B$80&gt;=0,$B$80&lt;=1,ROUND($B$81*12,0)&gt;=1,$B$81&lt;=100,SUM($B$82)&gt;=0,SUM($B$82)&lt;=1,SUM($B$83)&gt;=0)),OR(829=1,829=$B$174+1,AND($B$175&gt;0,829=$B$175+1))),IF(AND($B$170=1,$B$66&gt;0,OR($B$175=0,829&lt;=$B$175)),$B$66,IF($B$172-MAX(829-1,$B$174)&gt;0,IF(B1229=0,0,IF(C1229=0,B1229/($B$172-MAX(829-1,$B$174)),B1229*(C1229/12)/(1-(1+C1229/12)^(-($B$172-MAX(829-1,$B$174)))))),"")),D1228)))+0.0000001&gt;=B1229*C1229/12,MIN(B1229*(1+C1229/12),IF(AND(829&lt;=$B$174,829&lt;=$B$173),B1229*C1229/12,IF(AND(829=$B$173+1,AND(829&gt;$B$173,$B$78="Refinance",ISNUMBER($B$80),$B$80&gt;=0,$B$80&lt;=1,ROUND($B$81*12,0)&gt;=1,$B$81&lt;=100,SUM($B$82)&gt;=0,SUM($B$82)&lt;=1,SUM($B$83)&gt;=0)),IF(B1229=0,0,IF(C1229=0,B1229/ROUND($B$81*12,0),B1229*(C1229/12)/(1-(1+C1229/12)^(-ROUND($B$81*12,0))))),IF(AND(NOT(AND(829&gt;$B$173,$B$78="Refinance",ISNUMBER($B$80),$B$80&gt;=0,$B$80&lt;=1,ROUND($B$81*12,0)&gt;=1,$B$81&lt;=100,SUM($B$82)&gt;=0,SUM($B$82)&lt;=1,SUM($B$83)&gt;=0)),OR(829=1,829=$B$174+1,AND($B$175&gt;0,829=$B$175+1))),IF(AND($B$170=1,$B$66&gt;0,OR($B$175=0,829&lt;=$B$175)),$B$66,IF($B$172-MAX(829-1,$B$174)&gt;0,IF(B1229=0,0,IF(C1229=0,B1229/($B$172-MAX(829-1,$B$174)),B1229*(C1229/12)/(1-(1+C1229/12)^(-($B$172-MAX(829-1,$B$174)))))),"")),D1228)))),""),""))</x:f>
        <x:v>0</x:v>
      </x:c>
      <x:c r="E1229" s="440" t="n">
        <x:f>IF(AND(829=$B$173,ISNUMBER(D1229)),IF(MAX(0,B1229*(1+C1229/12)-D1229)&lt;MAX(0.0000001,$E$17*0.00000000001),0,MAX(0,B1229*(1+C1229/12)-D1229)),0)</x:f>
        <x:v>0</x:v>
      </x:c>
      <x:c r="F1229" s="440" t="n">
        <x:f>IF($B$78="Cash payoff",E1229,0)</x:f>
        <x:v>0</x:v>
      </x:c>
      <x:c r="G1229" s="440" t="n">
        <x:f>IF(AND(E1229&gt;0,AND($B$78="Refinance",ISNUMBER($B$80),$B$80&gt;=0,$B$80&lt;=1,ROUND($B$81*12,0)&gt;=1,$B$81&lt;=100,SUM($B$82)&gt;=0,SUM($B$82)&lt;=1,SUM($B$83)&gt;=0)),E1229*SUM($B$82)+SUM($B$83),0)</x:f>
        <x:v>0</x:v>
      </x:c>
      <x:c r="H1229" s="440" t="n">
        <x:f>IF(ISNUMBER(D1229),IF(MAX(0,B1229*(1+C1229/12)-D1229-F1229)&lt;MAX(0.0000001,$E$17*0.00000000001),0,MAX(0,B1229*(1+C1229/12)-D1229-F1229)),IF(AND($B$171=1,I1228=1),B1229,""))</x:f>
        <x:v>0</x:v>
      </x:c>
      <x:c r="I1229" s="444" t="n">
        <x:f>IF(OR(I1228=1,AND(E1229&gt;0,$B$78&lt;&gt;"Cash payoff",NOT(AND($B$78="Refinance",ISNUMBER($B$80),$B$80&gt;=0,$B$80&lt;=1,ROUND($B$81*12,0)&gt;=1,$B$81&lt;=100,SUM($B$82)&gt;=0,SUM($B$82)&lt;=1,SUM($B$83)&gt;=0))),AND(ISNUMBER(B1229),B1229&gt;0,$B$171=1,NOT(ISNUMBER(D1229)))),1,0)</x:f>
        <x:v>0</x:v>
      </x:c>
      <x:c r="J1229" s="440" t="n">
        <x:f>IF(ISNUMBER(L1228),L1228,"")</x:f>
        <x:v>0</x:v>
      </x:c>
      <x:c r="K1229" s="440" t="n">
        <x:f>IF(AND(ISNUMBER(J1229),J1229=0),0,IF(AND($B$176=1,ISNUMBER(J1229)),MIN(J1229*(1+$B$87/12),IF($B$86=0,0,IF($B$87=0,$B$86/ROUND($B$88*12,0),$B$86*($B$87/12)/(1-(1+$B$87/12)^(-ROUND($B$88*12,0)))))),""))</x:f>
        <x:v>0</x:v>
      </x:c>
      <x:c r="L1229" s="440" t="n">
        <x:f>IF(ISNUMBER(K1229),IF(MAX(0,J1229*(1+SUM($B$87)/12)-K1229)&lt;MAX(0.0000001,$B$86*0.00000000001),0,MAX(0,J1229*(1+SUM($B$87)/12)-K1229)),"")</x:f>
        <x:v>0</x:v>
      </x:c>
      <x:c r="M1229" s="440" t="n">
        <x:f>IF(AND(ISNUMBER(D1229),ISNUMBER(K1229)),D1229+K1229,"")</x:f>
        <x:v>0</x:v>
      </x:c>
      <x:c r="N1229" s="440" t="n">
        <x:f>IF(AND(ISNUMBER(H1229),ISNUMBER(L1229)),H1229+L1229,"")</x:f>
        <x:v>0</x:v>
      </x:c>
    </x:row>
    <x:row r="1230" ht="22" customHeight="1">
      <x:c r="A1230" s="254" t="n">
        <x:f>830</x:f>
        <x:v>830</x:v>
      </x:c>
      <x:c r="B1230" s="440" t="n">
        <x:f>IF(ISNUMBER(H1229),H1229,"")</x:f>
        <x:v>0</x:v>
      </x:c>
      <x:c r="C1230" s="442" t="n">
        <x:f>IF(ISNUMBER(B1230),IF(AND(830&gt;$B$173,$B$78="Refinance",ISNUMBER($B$80),$B$80&gt;=0,$B$80&lt;=1,ROUND($B$81*12,0)&gt;=1,$B$81&lt;=100,SUM($B$82)&gt;=0,SUM($B$82)&lt;=1,SUM($B$83)&gt;=0),$B$80,IF(AND($B$175&gt;0,830&gt;$B$175,ISNUMBER($B$75)),$B$75,$B$61)),"")</x:f>
        <x:v>0.0625</x:v>
      </x:c>
      <x:c r="D1230" s="440" t="n">
        <x:f>IF(AND(ISNUMBER(B1230),B1230=0),0,IF(AND($B$171=1,I1229=0,ISNUMBER(C1230),ISNUMBER(IF(AND(830&lt;=$B$174,830&lt;=$B$173),B1230*C1230/12,IF(AND(830=$B$173+1,AND(830&gt;$B$173,$B$78="Refinance",ISNUMBER($B$80),$B$80&gt;=0,$B$80&lt;=1,ROUND($B$81*12,0)&gt;=1,$B$81&lt;=100,SUM($B$82)&gt;=0,SUM($B$82)&lt;=1,SUM($B$83)&gt;=0)),IF(B1230=0,0,IF(C1230=0,B1230/ROUND($B$81*12,0),B1230*(C1230/12)/(1-(1+C1230/12)^(-ROUND($B$81*12,0))))),IF(AND(NOT(AND(830&gt;$B$173,$B$78="Refinance",ISNUMBER($B$80),$B$80&gt;=0,$B$80&lt;=1,ROUND($B$81*12,0)&gt;=1,$B$81&lt;=100,SUM($B$82)&gt;=0,SUM($B$82)&lt;=1,SUM($B$83)&gt;=0)),OR(830=1,830=$B$174+1,AND($B$175&gt;0,830=$B$175+1))),IF(AND($B$170=1,$B$66&gt;0,OR($B$175=0,830&lt;=$B$175)),$B$66,IF($B$172-MAX(830-1,$B$174)&gt;0,IF(B1230=0,0,IF(C1230=0,B1230/($B$172-MAX(830-1,$B$174)),B1230*(C1230/12)/(1-(1+C1230/12)^(-($B$172-MAX(830-1,$B$174)))))),"")),D1229))))),IF(IF(AND(830&lt;=$B$174,830&lt;=$B$173),B1230*C1230/12,IF(AND(830=$B$173+1,AND(830&gt;$B$173,$B$78="Refinance",ISNUMBER($B$80),$B$80&gt;=0,$B$80&lt;=1,ROUND($B$81*12,0)&gt;=1,$B$81&lt;=100,SUM($B$82)&gt;=0,SUM($B$82)&lt;=1,SUM($B$83)&gt;=0)),IF(B1230=0,0,IF(C1230=0,B1230/ROUND($B$81*12,0),B1230*(C1230/12)/(1-(1+C1230/12)^(-ROUND($B$81*12,0))))),IF(AND(NOT(AND(830&gt;$B$173,$B$78="Refinance",ISNUMBER($B$80),$B$80&gt;=0,$B$80&lt;=1,ROUND($B$81*12,0)&gt;=1,$B$81&lt;=100,SUM($B$82)&gt;=0,SUM($B$82)&lt;=1,SUM($B$83)&gt;=0)),OR(830=1,830=$B$174+1,AND($B$175&gt;0,830=$B$175+1))),IF(AND($B$170=1,$B$66&gt;0,OR($B$175=0,830&lt;=$B$175)),$B$66,IF($B$172-MAX(830-1,$B$174)&gt;0,IF(B1230=0,0,IF(C1230=0,B1230/($B$172-MAX(830-1,$B$174)),B1230*(C1230/12)/(1-(1+C1230/12)^(-($B$172-MAX(830-1,$B$174)))))),"")),D1229)))+0.0000001&gt;=B1230*C1230/12,MIN(B1230*(1+C1230/12),IF(AND(830&lt;=$B$174,830&lt;=$B$173),B1230*C1230/12,IF(AND(830=$B$173+1,AND(830&gt;$B$173,$B$78="Refinance",ISNUMBER($B$80),$B$80&gt;=0,$B$80&lt;=1,ROUND($B$81*12,0)&gt;=1,$B$81&lt;=100,SUM($B$82)&gt;=0,SUM($B$82)&lt;=1,SUM($B$83)&gt;=0)),IF(B1230=0,0,IF(C1230=0,B1230/ROUND($B$81*12,0),B1230*(C1230/12)/(1-(1+C1230/12)^(-ROUND($B$81*12,0))))),IF(AND(NOT(AND(830&gt;$B$173,$B$78="Refinance",ISNUMBER($B$80),$B$80&gt;=0,$B$80&lt;=1,ROUND($B$81*12,0)&gt;=1,$B$81&lt;=100,SUM($B$82)&gt;=0,SUM($B$82)&lt;=1,SUM($B$83)&gt;=0)),OR(830=1,830=$B$174+1,AND($B$175&gt;0,830=$B$175+1))),IF(AND($B$170=1,$B$66&gt;0,OR($B$175=0,830&lt;=$B$175)),$B$66,IF($B$172-MAX(830-1,$B$174)&gt;0,IF(B1230=0,0,IF(C1230=0,B1230/($B$172-MAX(830-1,$B$174)),B1230*(C1230/12)/(1-(1+C1230/12)^(-($B$172-MAX(830-1,$B$174)))))),"")),D1229)))),""),""))</x:f>
        <x:v>0</x:v>
      </x:c>
      <x:c r="E1230" s="440" t="n">
        <x:f>IF(AND(830=$B$173,ISNUMBER(D1230)),IF(MAX(0,B1230*(1+C1230/12)-D1230)&lt;MAX(0.0000001,$E$17*0.00000000001),0,MAX(0,B1230*(1+C1230/12)-D1230)),0)</x:f>
        <x:v>0</x:v>
      </x:c>
      <x:c r="F1230" s="440" t="n">
        <x:f>IF($B$78="Cash payoff",E1230,0)</x:f>
        <x:v>0</x:v>
      </x:c>
      <x:c r="G1230" s="440" t="n">
        <x:f>IF(AND(E1230&gt;0,AND($B$78="Refinance",ISNUMBER($B$80),$B$80&gt;=0,$B$80&lt;=1,ROUND($B$81*12,0)&gt;=1,$B$81&lt;=100,SUM($B$82)&gt;=0,SUM($B$82)&lt;=1,SUM($B$83)&gt;=0)),E1230*SUM($B$82)+SUM($B$83),0)</x:f>
        <x:v>0</x:v>
      </x:c>
      <x:c r="H1230" s="440" t="n">
        <x:f>IF(ISNUMBER(D1230),IF(MAX(0,B1230*(1+C1230/12)-D1230-F1230)&lt;MAX(0.0000001,$E$17*0.00000000001),0,MAX(0,B1230*(1+C1230/12)-D1230-F1230)),IF(AND($B$171=1,I1229=1),B1230,""))</x:f>
        <x:v>0</x:v>
      </x:c>
      <x:c r="I1230" s="444" t="n">
        <x:f>IF(OR(I1229=1,AND(E1230&gt;0,$B$78&lt;&gt;"Cash payoff",NOT(AND($B$78="Refinance",ISNUMBER($B$80),$B$80&gt;=0,$B$80&lt;=1,ROUND($B$81*12,0)&gt;=1,$B$81&lt;=100,SUM($B$82)&gt;=0,SUM($B$82)&lt;=1,SUM($B$83)&gt;=0))),AND(ISNUMBER(B1230),B1230&gt;0,$B$171=1,NOT(ISNUMBER(D1230)))),1,0)</x:f>
        <x:v>0</x:v>
      </x:c>
      <x:c r="J1230" s="440" t="n">
        <x:f>IF(ISNUMBER(L1229),L1229,"")</x:f>
        <x:v>0</x:v>
      </x:c>
      <x:c r="K1230" s="440" t="n">
        <x:f>IF(AND(ISNUMBER(J1230),J1230=0),0,IF(AND($B$176=1,ISNUMBER(J1230)),MIN(J1230*(1+$B$87/12),IF($B$86=0,0,IF($B$87=0,$B$86/ROUND($B$88*12,0),$B$86*($B$87/12)/(1-(1+$B$87/12)^(-ROUND($B$88*12,0)))))),""))</x:f>
        <x:v>0</x:v>
      </x:c>
      <x:c r="L1230" s="440" t="n">
        <x:f>IF(ISNUMBER(K1230),IF(MAX(0,J1230*(1+SUM($B$87)/12)-K1230)&lt;MAX(0.0000001,$B$86*0.00000000001),0,MAX(0,J1230*(1+SUM($B$87)/12)-K1230)),"")</x:f>
        <x:v>0</x:v>
      </x:c>
      <x:c r="M1230" s="440" t="n">
        <x:f>IF(AND(ISNUMBER(D1230),ISNUMBER(K1230)),D1230+K1230,"")</x:f>
        <x:v>0</x:v>
      </x:c>
      <x:c r="N1230" s="440" t="n">
        <x:f>IF(AND(ISNUMBER(H1230),ISNUMBER(L1230)),H1230+L1230,"")</x:f>
        <x:v>0</x:v>
      </x:c>
    </x:row>
    <x:row r="1231" ht="22" customHeight="1">
      <x:c r="A1231" s="254" t="n">
        <x:f>831</x:f>
        <x:v>831</x:v>
      </x:c>
      <x:c r="B1231" s="440" t="n">
        <x:f>IF(ISNUMBER(H1230),H1230,"")</x:f>
        <x:v>0</x:v>
      </x:c>
      <x:c r="C1231" s="442" t="n">
        <x:f>IF(ISNUMBER(B1231),IF(AND(831&gt;$B$173,$B$78="Refinance",ISNUMBER($B$80),$B$80&gt;=0,$B$80&lt;=1,ROUND($B$81*12,0)&gt;=1,$B$81&lt;=100,SUM($B$82)&gt;=0,SUM($B$82)&lt;=1,SUM($B$83)&gt;=0),$B$80,IF(AND($B$175&gt;0,831&gt;$B$175,ISNUMBER($B$75)),$B$75,$B$61)),"")</x:f>
        <x:v>0.0625</x:v>
      </x:c>
      <x:c r="D1231" s="440" t="n">
        <x:f>IF(AND(ISNUMBER(B1231),B1231=0),0,IF(AND($B$171=1,I1230=0,ISNUMBER(C1231),ISNUMBER(IF(AND(831&lt;=$B$174,831&lt;=$B$173),B1231*C1231/12,IF(AND(831=$B$173+1,AND(831&gt;$B$173,$B$78="Refinance",ISNUMBER($B$80),$B$80&gt;=0,$B$80&lt;=1,ROUND($B$81*12,0)&gt;=1,$B$81&lt;=100,SUM($B$82)&gt;=0,SUM($B$82)&lt;=1,SUM($B$83)&gt;=0)),IF(B1231=0,0,IF(C1231=0,B1231/ROUND($B$81*12,0),B1231*(C1231/12)/(1-(1+C1231/12)^(-ROUND($B$81*12,0))))),IF(AND(NOT(AND(831&gt;$B$173,$B$78="Refinance",ISNUMBER($B$80),$B$80&gt;=0,$B$80&lt;=1,ROUND($B$81*12,0)&gt;=1,$B$81&lt;=100,SUM($B$82)&gt;=0,SUM($B$82)&lt;=1,SUM($B$83)&gt;=0)),OR(831=1,831=$B$174+1,AND($B$175&gt;0,831=$B$175+1))),IF(AND($B$170=1,$B$66&gt;0,OR($B$175=0,831&lt;=$B$175)),$B$66,IF($B$172-MAX(831-1,$B$174)&gt;0,IF(B1231=0,0,IF(C1231=0,B1231/($B$172-MAX(831-1,$B$174)),B1231*(C1231/12)/(1-(1+C1231/12)^(-($B$172-MAX(831-1,$B$174)))))),"")),D1230))))),IF(IF(AND(831&lt;=$B$174,831&lt;=$B$173),B1231*C1231/12,IF(AND(831=$B$173+1,AND(831&gt;$B$173,$B$78="Refinance",ISNUMBER($B$80),$B$80&gt;=0,$B$80&lt;=1,ROUND($B$81*12,0)&gt;=1,$B$81&lt;=100,SUM($B$82)&gt;=0,SUM($B$82)&lt;=1,SUM($B$83)&gt;=0)),IF(B1231=0,0,IF(C1231=0,B1231/ROUND($B$81*12,0),B1231*(C1231/12)/(1-(1+C1231/12)^(-ROUND($B$81*12,0))))),IF(AND(NOT(AND(831&gt;$B$173,$B$78="Refinance",ISNUMBER($B$80),$B$80&gt;=0,$B$80&lt;=1,ROUND($B$81*12,0)&gt;=1,$B$81&lt;=100,SUM($B$82)&gt;=0,SUM($B$82)&lt;=1,SUM($B$83)&gt;=0)),OR(831=1,831=$B$174+1,AND($B$175&gt;0,831=$B$175+1))),IF(AND($B$170=1,$B$66&gt;0,OR($B$175=0,831&lt;=$B$175)),$B$66,IF($B$172-MAX(831-1,$B$174)&gt;0,IF(B1231=0,0,IF(C1231=0,B1231/($B$172-MAX(831-1,$B$174)),B1231*(C1231/12)/(1-(1+C1231/12)^(-($B$172-MAX(831-1,$B$174)))))),"")),D1230)))+0.0000001&gt;=B1231*C1231/12,MIN(B1231*(1+C1231/12),IF(AND(831&lt;=$B$174,831&lt;=$B$173),B1231*C1231/12,IF(AND(831=$B$173+1,AND(831&gt;$B$173,$B$78="Refinance",ISNUMBER($B$80),$B$80&gt;=0,$B$80&lt;=1,ROUND($B$81*12,0)&gt;=1,$B$81&lt;=100,SUM($B$82)&gt;=0,SUM($B$82)&lt;=1,SUM($B$83)&gt;=0)),IF(B1231=0,0,IF(C1231=0,B1231/ROUND($B$81*12,0),B1231*(C1231/12)/(1-(1+C1231/12)^(-ROUND($B$81*12,0))))),IF(AND(NOT(AND(831&gt;$B$173,$B$78="Refinance",ISNUMBER($B$80),$B$80&gt;=0,$B$80&lt;=1,ROUND($B$81*12,0)&gt;=1,$B$81&lt;=100,SUM($B$82)&gt;=0,SUM($B$82)&lt;=1,SUM($B$83)&gt;=0)),OR(831=1,831=$B$174+1,AND($B$175&gt;0,831=$B$175+1))),IF(AND($B$170=1,$B$66&gt;0,OR($B$175=0,831&lt;=$B$175)),$B$66,IF($B$172-MAX(831-1,$B$174)&gt;0,IF(B1231=0,0,IF(C1231=0,B1231/($B$172-MAX(831-1,$B$174)),B1231*(C1231/12)/(1-(1+C1231/12)^(-($B$172-MAX(831-1,$B$174)))))),"")),D1230)))),""),""))</x:f>
        <x:v>0</x:v>
      </x:c>
      <x:c r="E1231" s="440" t="n">
        <x:f>IF(AND(831=$B$173,ISNUMBER(D1231)),IF(MAX(0,B1231*(1+C1231/12)-D1231)&lt;MAX(0.0000001,$E$17*0.00000000001),0,MAX(0,B1231*(1+C1231/12)-D1231)),0)</x:f>
        <x:v>0</x:v>
      </x:c>
      <x:c r="F1231" s="440" t="n">
        <x:f>IF($B$78="Cash payoff",E1231,0)</x:f>
        <x:v>0</x:v>
      </x:c>
      <x:c r="G1231" s="440" t="n">
        <x:f>IF(AND(E1231&gt;0,AND($B$78="Refinance",ISNUMBER($B$80),$B$80&gt;=0,$B$80&lt;=1,ROUND($B$81*12,0)&gt;=1,$B$81&lt;=100,SUM($B$82)&gt;=0,SUM($B$82)&lt;=1,SUM($B$83)&gt;=0)),E1231*SUM($B$82)+SUM($B$83),0)</x:f>
        <x:v>0</x:v>
      </x:c>
      <x:c r="H1231" s="440" t="n">
        <x:f>IF(ISNUMBER(D1231),IF(MAX(0,B1231*(1+C1231/12)-D1231-F1231)&lt;MAX(0.0000001,$E$17*0.00000000001),0,MAX(0,B1231*(1+C1231/12)-D1231-F1231)),IF(AND($B$171=1,I1230=1),B1231,""))</x:f>
        <x:v>0</x:v>
      </x:c>
      <x:c r="I1231" s="444" t="n">
        <x:f>IF(OR(I1230=1,AND(E1231&gt;0,$B$78&lt;&gt;"Cash payoff",NOT(AND($B$78="Refinance",ISNUMBER($B$80),$B$80&gt;=0,$B$80&lt;=1,ROUND($B$81*12,0)&gt;=1,$B$81&lt;=100,SUM($B$82)&gt;=0,SUM($B$82)&lt;=1,SUM($B$83)&gt;=0))),AND(ISNUMBER(B1231),B1231&gt;0,$B$171=1,NOT(ISNUMBER(D1231)))),1,0)</x:f>
        <x:v>0</x:v>
      </x:c>
      <x:c r="J1231" s="440" t="n">
        <x:f>IF(ISNUMBER(L1230),L1230,"")</x:f>
        <x:v>0</x:v>
      </x:c>
      <x:c r="K1231" s="440" t="n">
        <x:f>IF(AND(ISNUMBER(J1231),J1231=0),0,IF(AND($B$176=1,ISNUMBER(J1231)),MIN(J1231*(1+$B$87/12),IF($B$86=0,0,IF($B$87=0,$B$86/ROUND($B$88*12,0),$B$86*($B$87/12)/(1-(1+$B$87/12)^(-ROUND($B$88*12,0)))))),""))</x:f>
        <x:v>0</x:v>
      </x:c>
      <x:c r="L1231" s="440" t="n">
        <x:f>IF(ISNUMBER(K1231),IF(MAX(0,J1231*(1+SUM($B$87)/12)-K1231)&lt;MAX(0.0000001,$B$86*0.00000000001),0,MAX(0,J1231*(1+SUM($B$87)/12)-K1231)),"")</x:f>
        <x:v>0</x:v>
      </x:c>
      <x:c r="M1231" s="440" t="n">
        <x:f>IF(AND(ISNUMBER(D1231),ISNUMBER(K1231)),D1231+K1231,"")</x:f>
        <x:v>0</x:v>
      </x:c>
      <x:c r="N1231" s="440" t="n">
        <x:f>IF(AND(ISNUMBER(H1231),ISNUMBER(L1231)),H1231+L1231,"")</x:f>
        <x:v>0</x:v>
      </x:c>
    </x:row>
    <x:row r="1232" ht="22" customHeight="1">
      <x:c r="A1232" s="254" t="n">
        <x:f>832</x:f>
        <x:v>832</x:v>
      </x:c>
      <x:c r="B1232" s="440" t="n">
        <x:f>IF(ISNUMBER(H1231),H1231,"")</x:f>
        <x:v>0</x:v>
      </x:c>
      <x:c r="C1232" s="442" t="n">
        <x:f>IF(ISNUMBER(B1232),IF(AND(832&gt;$B$173,$B$78="Refinance",ISNUMBER($B$80),$B$80&gt;=0,$B$80&lt;=1,ROUND($B$81*12,0)&gt;=1,$B$81&lt;=100,SUM($B$82)&gt;=0,SUM($B$82)&lt;=1,SUM($B$83)&gt;=0),$B$80,IF(AND($B$175&gt;0,832&gt;$B$175,ISNUMBER($B$75)),$B$75,$B$61)),"")</x:f>
        <x:v>0.0625</x:v>
      </x:c>
      <x:c r="D1232" s="440" t="n">
        <x:f>IF(AND(ISNUMBER(B1232),B1232=0),0,IF(AND($B$171=1,I1231=0,ISNUMBER(C1232),ISNUMBER(IF(AND(832&lt;=$B$174,832&lt;=$B$173),B1232*C1232/12,IF(AND(832=$B$173+1,AND(832&gt;$B$173,$B$78="Refinance",ISNUMBER($B$80),$B$80&gt;=0,$B$80&lt;=1,ROUND($B$81*12,0)&gt;=1,$B$81&lt;=100,SUM($B$82)&gt;=0,SUM($B$82)&lt;=1,SUM($B$83)&gt;=0)),IF(B1232=0,0,IF(C1232=0,B1232/ROUND($B$81*12,0),B1232*(C1232/12)/(1-(1+C1232/12)^(-ROUND($B$81*12,0))))),IF(AND(NOT(AND(832&gt;$B$173,$B$78="Refinance",ISNUMBER($B$80),$B$80&gt;=0,$B$80&lt;=1,ROUND($B$81*12,0)&gt;=1,$B$81&lt;=100,SUM($B$82)&gt;=0,SUM($B$82)&lt;=1,SUM($B$83)&gt;=0)),OR(832=1,832=$B$174+1,AND($B$175&gt;0,832=$B$175+1))),IF(AND($B$170=1,$B$66&gt;0,OR($B$175=0,832&lt;=$B$175)),$B$66,IF($B$172-MAX(832-1,$B$174)&gt;0,IF(B1232=0,0,IF(C1232=0,B1232/($B$172-MAX(832-1,$B$174)),B1232*(C1232/12)/(1-(1+C1232/12)^(-($B$172-MAX(832-1,$B$174)))))),"")),D1231))))),IF(IF(AND(832&lt;=$B$174,832&lt;=$B$173),B1232*C1232/12,IF(AND(832=$B$173+1,AND(832&gt;$B$173,$B$78="Refinance",ISNUMBER($B$80),$B$80&gt;=0,$B$80&lt;=1,ROUND($B$81*12,0)&gt;=1,$B$81&lt;=100,SUM($B$82)&gt;=0,SUM($B$82)&lt;=1,SUM($B$83)&gt;=0)),IF(B1232=0,0,IF(C1232=0,B1232/ROUND($B$81*12,0),B1232*(C1232/12)/(1-(1+C1232/12)^(-ROUND($B$81*12,0))))),IF(AND(NOT(AND(832&gt;$B$173,$B$78="Refinance",ISNUMBER($B$80),$B$80&gt;=0,$B$80&lt;=1,ROUND($B$81*12,0)&gt;=1,$B$81&lt;=100,SUM($B$82)&gt;=0,SUM($B$82)&lt;=1,SUM($B$83)&gt;=0)),OR(832=1,832=$B$174+1,AND($B$175&gt;0,832=$B$175+1))),IF(AND($B$170=1,$B$66&gt;0,OR($B$175=0,832&lt;=$B$175)),$B$66,IF($B$172-MAX(832-1,$B$174)&gt;0,IF(B1232=0,0,IF(C1232=0,B1232/($B$172-MAX(832-1,$B$174)),B1232*(C1232/12)/(1-(1+C1232/12)^(-($B$172-MAX(832-1,$B$174)))))),"")),D1231)))+0.0000001&gt;=B1232*C1232/12,MIN(B1232*(1+C1232/12),IF(AND(832&lt;=$B$174,832&lt;=$B$173),B1232*C1232/12,IF(AND(832=$B$173+1,AND(832&gt;$B$173,$B$78="Refinance",ISNUMBER($B$80),$B$80&gt;=0,$B$80&lt;=1,ROUND($B$81*12,0)&gt;=1,$B$81&lt;=100,SUM($B$82)&gt;=0,SUM($B$82)&lt;=1,SUM($B$83)&gt;=0)),IF(B1232=0,0,IF(C1232=0,B1232/ROUND($B$81*12,0),B1232*(C1232/12)/(1-(1+C1232/12)^(-ROUND($B$81*12,0))))),IF(AND(NOT(AND(832&gt;$B$173,$B$78="Refinance",ISNUMBER($B$80),$B$80&gt;=0,$B$80&lt;=1,ROUND($B$81*12,0)&gt;=1,$B$81&lt;=100,SUM($B$82)&gt;=0,SUM($B$82)&lt;=1,SUM($B$83)&gt;=0)),OR(832=1,832=$B$174+1,AND($B$175&gt;0,832=$B$175+1))),IF(AND($B$170=1,$B$66&gt;0,OR($B$175=0,832&lt;=$B$175)),$B$66,IF($B$172-MAX(832-1,$B$174)&gt;0,IF(B1232=0,0,IF(C1232=0,B1232/($B$172-MAX(832-1,$B$174)),B1232*(C1232/12)/(1-(1+C1232/12)^(-($B$172-MAX(832-1,$B$174)))))),"")),D1231)))),""),""))</x:f>
        <x:v>0</x:v>
      </x:c>
      <x:c r="E1232" s="440" t="n">
        <x:f>IF(AND(832=$B$173,ISNUMBER(D1232)),IF(MAX(0,B1232*(1+C1232/12)-D1232)&lt;MAX(0.0000001,$E$17*0.00000000001),0,MAX(0,B1232*(1+C1232/12)-D1232)),0)</x:f>
        <x:v>0</x:v>
      </x:c>
      <x:c r="F1232" s="440" t="n">
        <x:f>IF($B$78="Cash payoff",E1232,0)</x:f>
        <x:v>0</x:v>
      </x:c>
      <x:c r="G1232" s="440" t="n">
        <x:f>IF(AND(E1232&gt;0,AND($B$78="Refinance",ISNUMBER($B$80),$B$80&gt;=0,$B$80&lt;=1,ROUND($B$81*12,0)&gt;=1,$B$81&lt;=100,SUM($B$82)&gt;=0,SUM($B$82)&lt;=1,SUM($B$83)&gt;=0)),E1232*SUM($B$82)+SUM($B$83),0)</x:f>
        <x:v>0</x:v>
      </x:c>
      <x:c r="H1232" s="440" t="n">
        <x:f>IF(ISNUMBER(D1232),IF(MAX(0,B1232*(1+C1232/12)-D1232-F1232)&lt;MAX(0.0000001,$E$17*0.00000000001),0,MAX(0,B1232*(1+C1232/12)-D1232-F1232)),IF(AND($B$171=1,I1231=1),B1232,""))</x:f>
        <x:v>0</x:v>
      </x:c>
      <x:c r="I1232" s="444" t="n">
        <x:f>IF(OR(I1231=1,AND(E1232&gt;0,$B$78&lt;&gt;"Cash payoff",NOT(AND($B$78="Refinance",ISNUMBER($B$80),$B$80&gt;=0,$B$80&lt;=1,ROUND($B$81*12,0)&gt;=1,$B$81&lt;=100,SUM($B$82)&gt;=0,SUM($B$82)&lt;=1,SUM($B$83)&gt;=0))),AND(ISNUMBER(B1232),B1232&gt;0,$B$171=1,NOT(ISNUMBER(D1232)))),1,0)</x:f>
        <x:v>0</x:v>
      </x:c>
      <x:c r="J1232" s="440" t="n">
        <x:f>IF(ISNUMBER(L1231),L1231,"")</x:f>
        <x:v>0</x:v>
      </x:c>
      <x:c r="K1232" s="440" t="n">
        <x:f>IF(AND(ISNUMBER(J1232),J1232=0),0,IF(AND($B$176=1,ISNUMBER(J1232)),MIN(J1232*(1+$B$87/12),IF($B$86=0,0,IF($B$87=0,$B$86/ROUND($B$88*12,0),$B$86*($B$87/12)/(1-(1+$B$87/12)^(-ROUND($B$88*12,0)))))),""))</x:f>
        <x:v>0</x:v>
      </x:c>
      <x:c r="L1232" s="440" t="n">
        <x:f>IF(ISNUMBER(K1232),IF(MAX(0,J1232*(1+SUM($B$87)/12)-K1232)&lt;MAX(0.0000001,$B$86*0.00000000001),0,MAX(0,J1232*(1+SUM($B$87)/12)-K1232)),"")</x:f>
        <x:v>0</x:v>
      </x:c>
      <x:c r="M1232" s="440" t="n">
        <x:f>IF(AND(ISNUMBER(D1232),ISNUMBER(K1232)),D1232+K1232,"")</x:f>
        <x:v>0</x:v>
      </x:c>
      <x:c r="N1232" s="440" t="n">
        <x:f>IF(AND(ISNUMBER(H1232),ISNUMBER(L1232)),H1232+L1232,"")</x:f>
        <x:v>0</x:v>
      </x:c>
    </x:row>
    <x:row r="1233" ht="22" customHeight="1">
      <x:c r="A1233" s="254" t="n">
        <x:f>833</x:f>
        <x:v>833</x:v>
      </x:c>
      <x:c r="B1233" s="440" t="n">
        <x:f>IF(ISNUMBER(H1232),H1232,"")</x:f>
        <x:v>0</x:v>
      </x:c>
      <x:c r="C1233" s="442" t="n">
        <x:f>IF(ISNUMBER(B1233),IF(AND(833&gt;$B$173,$B$78="Refinance",ISNUMBER($B$80),$B$80&gt;=0,$B$80&lt;=1,ROUND($B$81*12,0)&gt;=1,$B$81&lt;=100,SUM($B$82)&gt;=0,SUM($B$82)&lt;=1,SUM($B$83)&gt;=0),$B$80,IF(AND($B$175&gt;0,833&gt;$B$175,ISNUMBER($B$75)),$B$75,$B$61)),"")</x:f>
        <x:v>0.0625</x:v>
      </x:c>
      <x:c r="D1233" s="440" t="n">
        <x:f>IF(AND(ISNUMBER(B1233),B1233=0),0,IF(AND($B$171=1,I1232=0,ISNUMBER(C1233),ISNUMBER(IF(AND(833&lt;=$B$174,833&lt;=$B$173),B1233*C1233/12,IF(AND(833=$B$173+1,AND(833&gt;$B$173,$B$78="Refinance",ISNUMBER($B$80),$B$80&gt;=0,$B$80&lt;=1,ROUND($B$81*12,0)&gt;=1,$B$81&lt;=100,SUM($B$82)&gt;=0,SUM($B$82)&lt;=1,SUM($B$83)&gt;=0)),IF(B1233=0,0,IF(C1233=0,B1233/ROUND($B$81*12,0),B1233*(C1233/12)/(1-(1+C1233/12)^(-ROUND($B$81*12,0))))),IF(AND(NOT(AND(833&gt;$B$173,$B$78="Refinance",ISNUMBER($B$80),$B$80&gt;=0,$B$80&lt;=1,ROUND($B$81*12,0)&gt;=1,$B$81&lt;=100,SUM($B$82)&gt;=0,SUM($B$82)&lt;=1,SUM($B$83)&gt;=0)),OR(833=1,833=$B$174+1,AND($B$175&gt;0,833=$B$175+1))),IF(AND($B$170=1,$B$66&gt;0,OR($B$175=0,833&lt;=$B$175)),$B$66,IF($B$172-MAX(833-1,$B$174)&gt;0,IF(B1233=0,0,IF(C1233=0,B1233/($B$172-MAX(833-1,$B$174)),B1233*(C1233/12)/(1-(1+C1233/12)^(-($B$172-MAX(833-1,$B$174)))))),"")),D1232))))),IF(IF(AND(833&lt;=$B$174,833&lt;=$B$173),B1233*C1233/12,IF(AND(833=$B$173+1,AND(833&gt;$B$173,$B$78="Refinance",ISNUMBER($B$80),$B$80&gt;=0,$B$80&lt;=1,ROUND($B$81*12,0)&gt;=1,$B$81&lt;=100,SUM($B$82)&gt;=0,SUM($B$82)&lt;=1,SUM($B$83)&gt;=0)),IF(B1233=0,0,IF(C1233=0,B1233/ROUND($B$81*12,0),B1233*(C1233/12)/(1-(1+C1233/12)^(-ROUND($B$81*12,0))))),IF(AND(NOT(AND(833&gt;$B$173,$B$78="Refinance",ISNUMBER($B$80),$B$80&gt;=0,$B$80&lt;=1,ROUND($B$81*12,0)&gt;=1,$B$81&lt;=100,SUM($B$82)&gt;=0,SUM($B$82)&lt;=1,SUM($B$83)&gt;=0)),OR(833=1,833=$B$174+1,AND($B$175&gt;0,833=$B$175+1))),IF(AND($B$170=1,$B$66&gt;0,OR($B$175=0,833&lt;=$B$175)),$B$66,IF($B$172-MAX(833-1,$B$174)&gt;0,IF(B1233=0,0,IF(C1233=0,B1233/($B$172-MAX(833-1,$B$174)),B1233*(C1233/12)/(1-(1+C1233/12)^(-($B$172-MAX(833-1,$B$174)))))),"")),D1232)))+0.0000001&gt;=B1233*C1233/12,MIN(B1233*(1+C1233/12),IF(AND(833&lt;=$B$174,833&lt;=$B$173),B1233*C1233/12,IF(AND(833=$B$173+1,AND(833&gt;$B$173,$B$78="Refinance",ISNUMBER($B$80),$B$80&gt;=0,$B$80&lt;=1,ROUND($B$81*12,0)&gt;=1,$B$81&lt;=100,SUM($B$82)&gt;=0,SUM($B$82)&lt;=1,SUM($B$83)&gt;=0)),IF(B1233=0,0,IF(C1233=0,B1233/ROUND($B$81*12,0),B1233*(C1233/12)/(1-(1+C1233/12)^(-ROUND($B$81*12,0))))),IF(AND(NOT(AND(833&gt;$B$173,$B$78="Refinance",ISNUMBER($B$80),$B$80&gt;=0,$B$80&lt;=1,ROUND($B$81*12,0)&gt;=1,$B$81&lt;=100,SUM($B$82)&gt;=0,SUM($B$82)&lt;=1,SUM($B$83)&gt;=0)),OR(833=1,833=$B$174+1,AND($B$175&gt;0,833=$B$175+1))),IF(AND($B$170=1,$B$66&gt;0,OR($B$175=0,833&lt;=$B$175)),$B$66,IF($B$172-MAX(833-1,$B$174)&gt;0,IF(B1233=0,0,IF(C1233=0,B1233/($B$172-MAX(833-1,$B$174)),B1233*(C1233/12)/(1-(1+C1233/12)^(-($B$172-MAX(833-1,$B$174)))))),"")),D1232)))),""),""))</x:f>
        <x:v>0</x:v>
      </x:c>
      <x:c r="E1233" s="440" t="n">
        <x:f>IF(AND(833=$B$173,ISNUMBER(D1233)),IF(MAX(0,B1233*(1+C1233/12)-D1233)&lt;MAX(0.0000001,$E$17*0.00000000001),0,MAX(0,B1233*(1+C1233/12)-D1233)),0)</x:f>
        <x:v>0</x:v>
      </x:c>
      <x:c r="F1233" s="440" t="n">
        <x:f>IF($B$78="Cash payoff",E1233,0)</x:f>
        <x:v>0</x:v>
      </x:c>
      <x:c r="G1233" s="440" t="n">
        <x:f>IF(AND(E1233&gt;0,AND($B$78="Refinance",ISNUMBER($B$80),$B$80&gt;=0,$B$80&lt;=1,ROUND($B$81*12,0)&gt;=1,$B$81&lt;=100,SUM($B$82)&gt;=0,SUM($B$82)&lt;=1,SUM($B$83)&gt;=0)),E1233*SUM($B$82)+SUM($B$83),0)</x:f>
        <x:v>0</x:v>
      </x:c>
      <x:c r="H1233" s="440" t="n">
        <x:f>IF(ISNUMBER(D1233),IF(MAX(0,B1233*(1+C1233/12)-D1233-F1233)&lt;MAX(0.0000001,$E$17*0.00000000001),0,MAX(0,B1233*(1+C1233/12)-D1233-F1233)),IF(AND($B$171=1,I1232=1),B1233,""))</x:f>
        <x:v>0</x:v>
      </x:c>
      <x:c r="I1233" s="444" t="n">
        <x:f>IF(OR(I1232=1,AND(E1233&gt;0,$B$78&lt;&gt;"Cash payoff",NOT(AND($B$78="Refinance",ISNUMBER($B$80),$B$80&gt;=0,$B$80&lt;=1,ROUND($B$81*12,0)&gt;=1,$B$81&lt;=100,SUM($B$82)&gt;=0,SUM($B$82)&lt;=1,SUM($B$83)&gt;=0))),AND(ISNUMBER(B1233),B1233&gt;0,$B$171=1,NOT(ISNUMBER(D1233)))),1,0)</x:f>
        <x:v>0</x:v>
      </x:c>
      <x:c r="J1233" s="440" t="n">
        <x:f>IF(ISNUMBER(L1232),L1232,"")</x:f>
        <x:v>0</x:v>
      </x:c>
      <x:c r="K1233" s="440" t="n">
        <x:f>IF(AND(ISNUMBER(J1233),J1233=0),0,IF(AND($B$176=1,ISNUMBER(J1233)),MIN(J1233*(1+$B$87/12),IF($B$86=0,0,IF($B$87=0,$B$86/ROUND($B$88*12,0),$B$86*($B$87/12)/(1-(1+$B$87/12)^(-ROUND($B$88*12,0)))))),""))</x:f>
        <x:v>0</x:v>
      </x:c>
      <x:c r="L1233" s="440" t="n">
        <x:f>IF(ISNUMBER(K1233),IF(MAX(0,J1233*(1+SUM($B$87)/12)-K1233)&lt;MAX(0.0000001,$B$86*0.00000000001),0,MAX(0,J1233*(1+SUM($B$87)/12)-K1233)),"")</x:f>
        <x:v>0</x:v>
      </x:c>
      <x:c r="M1233" s="440" t="n">
        <x:f>IF(AND(ISNUMBER(D1233),ISNUMBER(K1233)),D1233+K1233,"")</x:f>
        <x:v>0</x:v>
      </x:c>
      <x:c r="N1233" s="440" t="n">
        <x:f>IF(AND(ISNUMBER(H1233),ISNUMBER(L1233)),H1233+L1233,"")</x:f>
        <x:v>0</x:v>
      </x:c>
    </x:row>
    <x:row r="1234" ht="22" customHeight="1">
      <x:c r="A1234" s="254" t="n">
        <x:f>834</x:f>
        <x:v>834</x:v>
      </x:c>
      <x:c r="B1234" s="440" t="n">
        <x:f>IF(ISNUMBER(H1233),H1233,"")</x:f>
        <x:v>0</x:v>
      </x:c>
      <x:c r="C1234" s="442" t="n">
        <x:f>IF(ISNUMBER(B1234),IF(AND(834&gt;$B$173,$B$78="Refinance",ISNUMBER($B$80),$B$80&gt;=0,$B$80&lt;=1,ROUND($B$81*12,0)&gt;=1,$B$81&lt;=100,SUM($B$82)&gt;=0,SUM($B$82)&lt;=1,SUM($B$83)&gt;=0),$B$80,IF(AND($B$175&gt;0,834&gt;$B$175,ISNUMBER($B$75)),$B$75,$B$61)),"")</x:f>
        <x:v>0.0625</x:v>
      </x:c>
      <x:c r="D1234" s="440" t="n">
        <x:f>IF(AND(ISNUMBER(B1234),B1234=0),0,IF(AND($B$171=1,I1233=0,ISNUMBER(C1234),ISNUMBER(IF(AND(834&lt;=$B$174,834&lt;=$B$173),B1234*C1234/12,IF(AND(834=$B$173+1,AND(834&gt;$B$173,$B$78="Refinance",ISNUMBER($B$80),$B$80&gt;=0,$B$80&lt;=1,ROUND($B$81*12,0)&gt;=1,$B$81&lt;=100,SUM($B$82)&gt;=0,SUM($B$82)&lt;=1,SUM($B$83)&gt;=0)),IF(B1234=0,0,IF(C1234=0,B1234/ROUND($B$81*12,0),B1234*(C1234/12)/(1-(1+C1234/12)^(-ROUND($B$81*12,0))))),IF(AND(NOT(AND(834&gt;$B$173,$B$78="Refinance",ISNUMBER($B$80),$B$80&gt;=0,$B$80&lt;=1,ROUND($B$81*12,0)&gt;=1,$B$81&lt;=100,SUM($B$82)&gt;=0,SUM($B$82)&lt;=1,SUM($B$83)&gt;=0)),OR(834=1,834=$B$174+1,AND($B$175&gt;0,834=$B$175+1))),IF(AND($B$170=1,$B$66&gt;0,OR($B$175=0,834&lt;=$B$175)),$B$66,IF($B$172-MAX(834-1,$B$174)&gt;0,IF(B1234=0,0,IF(C1234=0,B1234/($B$172-MAX(834-1,$B$174)),B1234*(C1234/12)/(1-(1+C1234/12)^(-($B$172-MAX(834-1,$B$174)))))),"")),D1233))))),IF(IF(AND(834&lt;=$B$174,834&lt;=$B$173),B1234*C1234/12,IF(AND(834=$B$173+1,AND(834&gt;$B$173,$B$78="Refinance",ISNUMBER($B$80),$B$80&gt;=0,$B$80&lt;=1,ROUND($B$81*12,0)&gt;=1,$B$81&lt;=100,SUM($B$82)&gt;=0,SUM($B$82)&lt;=1,SUM($B$83)&gt;=0)),IF(B1234=0,0,IF(C1234=0,B1234/ROUND($B$81*12,0),B1234*(C1234/12)/(1-(1+C1234/12)^(-ROUND($B$81*12,0))))),IF(AND(NOT(AND(834&gt;$B$173,$B$78="Refinance",ISNUMBER($B$80),$B$80&gt;=0,$B$80&lt;=1,ROUND($B$81*12,0)&gt;=1,$B$81&lt;=100,SUM($B$82)&gt;=0,SUM($B$82)&lt;=1,SUM($B$83)&gt;=0)),OR(834=1,834=$B$174+1,AND($B$175&gt;0,834=$B$175+1))),IF(AND($B$170=1,$B$66&gt;0,OR($B$175=0,834&lt;=$B$175)),$B$66,IF($B$172-MAX(834-1,$B$174)&gt;0,IF(B1234=0,0,IF(C1234=0,B1234/($B$172-MAX(834-1,$B$174)),B1234*(C1234/12)/(1-(1+C1234/12)^(-($B$172-MAX(834-1,$B$174)))))),"")),D1233)))+0.0000001&gt;=B1234*C1234/12,MIN(B1234*(1+C1234/12),IF(AND(834&lt;=$B$174,834&lt;=$B$173),B1234*C1234/12,IF(AND(834=$B$173+1,AND(834&gt;$B$173,$B$78="Refinance",ISNUMBER($B$80),$B$80&gt;=0,$B$80&lt;=1,ROUND($B$81*12,0)&gt;=1,$B$81&lt;=100,SUM($B$82)&gt;=0,SUM($B$82)&lt;=1,SUM($B$83)&gt;=0)),IF(B1234=0,0,IF(C1234=0,B1234/ROUND($B$81*12,0),B1234*(C1234/12)/(1-(1+C1234/12)^(-ROUND($B$81*12,0))))),IF(AND(NOT(AND(834&gt;$B$173,$B$78="Refinance",ISNUMBER($B$80),$B$80&gt;=0,$B$80&lt;=1,ROUND($B$81*12,0)&gt;=1,$B$81&lt;=100,SUM($B$82)&gt;=0,SUM($B$82)&lt;=1,SUM($B$83)&gt;=0)),OR(834=1,834=$B$174+1,AND($B$175&gt;0,834=$B$175+1))),IF(AND($B$170=1,$B$66&gt;0,OR($B$175=0,834&lt;=$B$175)),$B$66,IF($B$172-MAX(834-1,$B$174)&gt;0,IF(B1234=0,0,IF(C1234=0,B1234/($B$172-MAX(834-1,$B$174)),B1234*(C1234/12)/(1-(1+C1234/12)^(-($B$172-MAX(834-1,$B$174)))))),"")),D1233)))),""),""))</x:f>
        <x:v>0</x:v>
      </x:c>
      <x:c r="E1234" s="440" t="n">
        <x:f>IF(AND(834=$B$173,ISNUMBER(D1234)),IF(MAX(0,B1234*(1+C1234/12)-D1234)&lt;MAX(0.0000001,$E$17*0.00000000001),0,MAX(0,B1234*(1+C1234/12)-D1234)),0)</x:f>
        <x:v>0</x:v>
      </x:c>
      <x:c r="F1234" s="440" t="n">
        <x:f>IF($B$78="Cash payoff",E1234,0)</x:f>
        <x:v>0</x:v>
      </x:c>
      <x:c r="G1234" s="440" t="n">
        <x:f>IF(AND(E1234&gt;0,AND($B$78="Refinance",ISNUMBER($B$80),$B$80&gt;=0,$B$80&lt;=1,ROUND($B$81*12,0)&gt;=1,$B$81&lt;=100,SUM($B$82)&gt;=0,SUM($B$82)&lt;=1,SUM($B$83)&gt;=0)),E1234*SUM($B$82)+SUM($B$83),0)</x:f>
        <x:v>0</x:v>
      </x:c>
      <x:c r="H1234" s="440" t="n">
        <x:f>IF(ISNUMBER(D1234),IF(MAX(0,B1234*(1+C1234/12)-D1234-F1234)&lt;MAX(0.0000001,$E$17*0.00000000001),0,MAX(0,B1234*(1+C1234/12)-D1234-F1234)),IF(AND($B$171=1,I1233=1),B1234,""))</x:f>
        <x:v>0</x:v>
      </x:c>
      <x:c r="I1234" s="444" t="n">
        <x:f>IF(OR(I1233=1,AND(E1234&gt;0,$B$78&lt;&gt;"Cash payoff",NOT(AND($B$78="Refinance",ISNUMBER($B$80),$B$80&gt;=0,$B$80&lt;=1,ROUND($B$81*12,0)&gt;=1,$B$81&lt;=100,SUM($B$82)&gt;=0,SUM($B$82)&lt;=1,SUM($B$83)&gt;=0))),AND(ISNUMBER(B1234),B1234&gt;0,$B$171=1,NOT(ISNUMBER(D1234)))),1,0)</x:f>
        <x:v>0</x:v>
      </x:c>
      <x:c r="J1234" s="440" t="n">
        <x:f>IF(ISNUMBER(L1233),L1233,"")</x:f>
        <x:v>0</x:v>
      </x:c>
      <x:c r="K1234" s="440" t="n">
        <x:f>IF(AND(ISNUMBER(J1234),J1234=0),0,IF(AND($B$176=1,ISNUMBER(J1234)),MIN(J1234*(1+$B$87/12),IF($B$86=0,0,IF($B$87=0,$B$86/ROUND($B$88*12,0),$B$86*($B$87/12)/(1-(1+$B$87/12)^(-ROUND($B$88*12,0)))))),""))</x:f>
        <x:v>0</x:v>
      </x:c>
      <x:c r="L1234" s="440" t="n">
        <x:f>IF(ISNUMBER(K1234),IF(MAX(0,J1234*(1+SUM($B$87)/12)-K1234)&lt;MAX(0.0000001,$B$86*0.00000000001),0,MAX(0,J1234*(1+SUM($B$87)/12)-K1234)),"")</x:f>
        <x:v>0</x:v>
      </x:c>
      <x:c r="M1234" s="440" t="n">
        <x:f>IF(AND(ISNUMBER(D1234),ISNUMBER(K1234)),D1234+K1234,"")</x:f>
        <x:v>0</x:v>
      </x:c>
      <x:c r="N1234" s="440" t="n">
        <x:f>IF(AND(ISNUMBER(H1234),ISNUMBER(L1234)),H1234+L1234,"")</x:f>
        <x:v>0</x:v>
      </x:c>
    </x:row>
    <x:row r="1235" ht="22" customHeight="1">
      <x:c r="A1235" s="254" t="n">
        <x:f>835</x:f>
        <x:v>835</x:v>
      </x:c>
      <x:c r="B1235" s="440" t="n">
        <x:f>IF(ISNUMBER(H1234),H1234,"")</x:f>
        <x:v>0</x:v>
      </x:c>
      <x:c r="C1235" s="442" t="n">
        <x:f>IF(ISNUMBER(B1235),IF(AND(835&gt;$B$173,$B$78="Refinance",ISNUMBER($B$80),$B$80&gt;=0,$B$80&lt;=1,ROUND($B$81*12,0)&gt;=1,$B$81&lt;=100,SUM($B$82)&gt;=0,SUM($B$82)&lt;=1,SUM($B$83)&gt;=0),$B$80,IF(AND($B$175&gt;0,835&gt;$B$175,ISNUMBER($B$75)),$B$75,$B$61)),"")</x:f>
        <x:v>0.0625</x:v>
      </x:c>
      <x:c r="D1235" s="440" t="n">
        <x:f>IF(AND(ISNUMBER(B1235),B1235=0),0,IF(AND($B$171=1,I1234=0,ISNUMBER(C1235),ISNUMBER(IF(AND(835&lt;=$B$174,835&lt;=$B$173),B1235*C1235/12,IF(AND(835=$B$173+1,AND(835&gt;$B$173,$B$78="Refinance",ISNUMBER($B$80),$B$80&gt;=0,$B$80&lt;=1,ROUND($B$81*12,0)&gt;=1,$B$81&lt;=100,SUM($B$82)&gt;=0,SUM($B$82)&lt;=1,SUM($B$83)&gt;=0)),IF(B1235=0,0,IF(C1235=0,B1235/ROUND($B$81*12,0),B1235*(C1235/12)/(1-(1+C1235/12)^(-ROUND($B$81*12,0))))),IF(AND(NOT(AND(835&gt;$B$173,$B$78="Refinance",ISNUMBER($B$80),$B$80&gt;=0,$B$80&lt;=1,ROUND($B$81*12,0)&gt;=1,$B$81&lt;=100,SUM($B$82)&gt;=0,SUM($B$82)&lt;=1,SUM($B$83)&gt;=0)),OR(835=1,835=$B$174+1,AND($B$175&gt;0,835=$B$175+1))),IF(AND($B$170=1,$B$66&gt;0,OR($B$175=0,835&lt;=$B$175)),$B$66,IF($B$172-MAX(835-1,$B$174)&gt;0,IF(B1235=0,0,IF(C1235=0,B1235/($B$172-MAX(835-1,$B$174)),B1235*(C1235/12)/(1-(1+C1235/12)^(-($B$172-MAX(835-1,$B$174)))))),"")),D1234))))),IF(IF(AND(835&lt;=$B$174,835&lt;=$B$173),B1235*C1235/12,IF(AND(835=$B$173+1,AND(835&gt;$B$173,$B$78="Refinance",ISNUMBER($B$80),$B$80&gt;=0,$B$80&lt;=1,ROUND($B$81*12,0)&gt;=1,$B$81&lt;=100,SUM($B$82)&gt;=0,SUM($B$82)&lt;=1,SUM($B$83)&gt;=0)),IF(B1235=0,0,IF(C1235=0,B1235/ROUND($B$81*12,0),B1235*(C1235/12)/(1-(1+C1235/12)^(-ROUND($B$81*12,0))))),IF(AND(NOT(AND(835&gt;$B$173,$B$78="Refinance",ISNUMBER($B$80),$B$80&gt;=0,$B$80&lt;=1,ROUND($B$81*12,0)&gt;=1,$B$81&lt;=100,SUM($B$82)&gt;=0,SUM($B$82)&lt;=1,SUM($B$83)&gt;=0)),OR(835=1,835=$B$174+1,AND($B$175&gt;0,835=$B$175+1))),IF(AND($B$170=1,$B$66&gt;0,OR($B$175=0,835&lt;=$B$175)),$B$66,IF($B$172-MAX(835-1,$B$174)&gt;0,IF(B1235=0,0,IF(C1235=0,B1235/($B$172-MAX(835-1,$B$174)),B1235*(C1235/12)/(1-(1+C1235/12)^(-($B$172-MAX(835-1,$B$174)))))),"")),D1234)))+0.0000001&gt;=B1235*C1235/12,MIN(B1235*(1+C1235/12),IF(AND(835&lt;=$B$174,835&lt;=$B$173),B1235*C1235/12,IF(AND(835=$B$173+1,AND(835&gt;$B$173,$B$78="Refinance",ISNUMBER($B$80),$B$80&gt;=0,$B$80&lt;=1,ROUND($B$81*12,0)&gt;=1,$B$81&lt;=100,SUM($B$82)&gt;=0,SUM($B$82)&lt;=1,SUM($B$83)&gt;=0)),IF(B1235=0,0,IF(C1235=0,B1235/ROUND($B$81*12,0),B1235*(C1235/12)/(1-(1+C1235/12)^(-ROUND($B$81*12,0))))),IF(AND(NOT(AND(835&gt;$B$173,$B$78="Refinance",ISNUMBER($B$80),$B$80&gt;=0,$B$80&lt;=1,ROUND($B$81*12,0)&gt;=1,$B$81&lt;=100,SUM($B$82)&gt;=0,SUM($B$82)&lt;=1,SUM($B$83)&gt;=0)),OR(835=1,835=$B$174+1,AND($B$175&gt;0,835=$B$175+1))),IF(AND($B$170=1,$B$66&gt;0,OR($B$175=0,835&lt;=$B$175)),$B$66,IF($B$172-MAX(835-1,$B$174)&gt;0,IF(B1235=0,0,IF(C1235=0,B1235/($B$172-MAX(835-1,$B$174)),B1235*(C1235/12)/(1-(1+C1235/12)^(-($B$172-MAX(835-1,$B$174)))))),"")),D1234)))),""),""))</x:f>
        <x:v>0</x:v>
      </x:c>
      <x:c r="E1235" s="440" t="n">
        <x:f>IF(AND(835=$B$173,ISNUMBER(D1235)),IF(MAX(0,B1235*(1+C1235/12)-D1235)&lt;MAX(0.0000001,$E$17*0.00000000001),0,MAX(0,B1235*(1+C1235/12)-D1235)),0)</x:f>
        <x:v>0</x:v>
      </x:c>
      <x:c r="F1235" s="440" t="n">
        <x:f>IF($B$78="Cash payoff",E1235,0)</x:f>
        <x:v>0</x:v>
      </x:c>
      <x:c r="G1235" s="440" t="n">
        <x:f>IF(AND(E1235&gt;0,AND($B$78="Refinance",ISNUMBER($B$80),$B$80&gt;=0,$B$80&lt;=1,ROUND($B$81*12,0)&gt;=1,$B$81&lt;=100,SUM($B$82)&gt;=0,SUM($B$82)&lt;=1,SUM($B$83)&gt;=0)),E1235*SUM($B$82)+SUM($B$83),0)</x:f>
        <x:v>0</x:v>
      </x:c>
      <x:c r="H1235" s="440" t="n">
        <x:f>IF(ISNUMBER(D1235),IF(MAX(0,B1235*(1+C1235/12)-D1235-F1235)&lt;MAX(0.0000001,$E$17*0.00000000001),0,MAX(0,B1235*(1+C1235/12)-D1235-F1235)),IF(AND($B$171=1,I1234=1),B1235,""))</x:f>
        <x:v>0</x:v>
      </x:c>
      <x:c r="I1235" s="444" t="n">
        <x:f>IF(OR(I1234=1,AND(E1235&gt;0,$B$78&lt;&gt;"Cash payoff",NOT(AND($B$78="Refinance",ISNUMBER($B$80),$B$80&gt;=0,$B$80&lt;=1,ROUND($B$81*12,0)&gt;=1,$B$81&lt;=100,SUM($B$82)&gt;=0,SUM($B$82)&lt;=1,SUM($B$83)&gt;=0))),AND(ISNUMBER(B1235),B1235&gt;0,$B$171=1,NOT(ISNUMBER(D1235)))),1,0)</x:f>
        <x:v>0</x:v>
      </x:c>
      <x:c r="J1235" s="440" t="n">
        <x:f>IF(ISNUMBER(L1234),L1234,"")</x:f>
        <x:v>0</x:v>
      </x:c>
      <x:c r="K1235" s="440" t="n">
        <x:f>IF(AND(ISNUMBER(J1235),J1235=0),0,IF(AND($B$176=1,ISNUMBER(J1235)),MIN(J1235*(1+$B$87/12),IF($B$86=0,0,IF($B$87=0,$B$86/ROUND($B$88*12,0),$B$86*($B$87/12)/(1-(1+$B$87/12)^(-ROUND($B$88*12,0)))))),""))</x:f>
        <x:v>0</x:v>
      </x:c>
      <x:c r="L1235" s="440" t="n">
        <x:f>IF(ISNUMBER(K1235),IF(MAX(0,J1235*(1+SUM($B$87)/12)-K1235)&lt;MAX(0.0000001,$B$86*0.00000000001),0,MAX(0,J1235*(1+SUM($B$87)/12)-K1235)),"")</x:f>
        <x:v>0</x:v>
      </x:c>
      <x:c r="M1235" s="440" t="n">
        <x:f>IF(AND(ISNUMBER(D1235),ISNUMBER(K1235)),D1235+K1235,"")</x:f>
        <x:v>0</x:v>
      </x:c>
      <x:c r="N1235" s="440" t="n">
        <x:f>IF(AND(ISNUMBER(H1235),ISNUMBER(L1235)),H1235+L1235,"")</x:f>
        <x:v>0</x:v>
      </x:c>
    </x:row>
    <x:row r="1236" ht="22" customHeight="1">
      <x:c r="A1236" s="254" t="n">
        <x:f>836</x:f>
        <x:v>836</x:v>
      </x:c>
      <x:c r="B1236" s="440" t="n">
        <x:f>IF(ISNUMBER(H1235),H1235,"")</x:f>
        <x:v>0</x:v>
      </x:c>
      <x:c r="C1236" s="442" t="n">
        <x:f>IF(ISNUMBER(B1236),IF(AND(836&gt;$B$173,$B$78="Refinance",ISNUMBER($B$80),$B$80&gt;=0,$B$80&lt;=1,ROUND($B$81*12,0)&gt;=1,$B$81&lt;=100,SUM($B$82)&gt;=0,SUM($B$82)&lt;=1,SUM($B$83)&gt;=0),$B$80,IF(AND($B$175&gt;0,836&gt;$B$175,ISNUMBER($B$75)),$B$75,$B$61)),"")</x:f>
        <x:v>0.0625</x:v>
      </x:c>
      <x:c r="D1236" s="440" t="n">
        <x:f>IF(AND(ISNUMBER(B1236),B1236=0),0,IF(AND($B$171=1,I1235=0,ISNUMBER(C1236),ISNUMBER(IF(AND(836&lt;=$B$174,836&lt;=$B$173),B1236*C1236/12,IF(AND(836=$B$173+1,AND(836&gt;$B$173,$B$78="Refinance",ISNUMBER($B$80),$B$80&gt;=0,$B$80&lt;=1,ROUND($B$81*12,0)&gt;=1,$B$81&lt;=100,SUM($B$82)&gt;=0,SUM($B$82)&lt;=1,SUM($B$83)&gt;=0)),IF(B1236=0,0,IF(C1236=0,B1236/ROUND($B$81*12,0),B1236*(C1236/12)/(1-(1+C1236/12)^(-ROUND($B$81*12,0))))),IF(AND(NOT(AND(836&gt;$B$173,$B$78="Refinance",ISNUMBER($B$80),$B$80&gt;=0,$B$80&lt;=1,ROUND($B$81*12,0)&gt;=1,$B$81&lt;=100,SUM($B$82)&gt;=0,SUM($B$82)&lt;=1,SUM($B$83)&gt;=0)),OR(836=1,836=$B$174+1,AND($B$175&gt;0,836=$B$175+1))),IF(AND($B$170=1,$B$66&gt;0,OR($B$175=0,836&lt;=$B$175)),$B$66,IF($B$172-MAX(836-1,$B$174)&gt;0,IF(B1236=0,0,IF(C1236=0,B1236/($B$172-MAX(836-1,$B$174)),B1236*(C1236/12)/(1-(1+C1236/12)^(-($B$172-MAX(836-1,$B$174)))))),"")),D1235))))),IF(IF(AND(836&lt;=$B$174,836&lt;=$B$173),B1236*C1236/12,IF(AND(836=$B$173+1,AND(836&gt;$B$173,$B$78="Refinance",ISNUMBER($B$80),$B$80&gt;=0,$B$80&lt;=1,ROUND($B$81*12,0)&gt;=1,$B$81&lt;=100,SUM($B$82)&gt;=0,SUM($B$82)&lt;=1,SUM($B$83)&gt;=0)),IF(B1236=0,0,IF(C1236=0,B1236/ROUND($B$81*12,0),B1236*(C1236/12)/(1-(1+C1236/12)^(-ROUND($B$81*12,0))))),IF(AND(NOT(AND(836&gt;$B$173,$B$78="Refinance",ISNUMBER($B$80),$B$80&gt;=0,$B$80&lt;=1,ROUND($B$81*12,0)&gt;=1,$B$81&lt;=100,SUM($B$82)&gt;=0,SUM($B$82)&lt;=1,SUM($B$83)&gt;=0)),OR(836=1,836=$B$174+1,AND($B$175&gt;0,836=$B$175+1))),IF(AND($B$170=1,$B$66&gt;0,OR($B$175=0,836&lt;=$B$175)),$B$66,IF($B$172-MAX(836-1,$B$174)&gt;0,IF(B1236=0,0,IF(C1236=0,B1236/($B$172-MAX(836-1,$B$174)),B1236*(C1236/12)/(1-(1+C1236/12)^(-($B$172-MAX(836-1,$B$174)))))),"")),D1235)))+0.0000001&gt;=B1236*C1236/12,MIN(B1236*(1+C1236/12),IF(AND(836&lt;=$B$174,836&lt;=$B$173),B1236*C1236/12,IF(AND(836=$B$173+1,AND(836&gt;$B$173,$B$78="Refinance",ISNUMBER($B$80),$B$80&gt;=0,$B$80&lt;=1,ROUND($B$81*12,0)&gt;=1,$B$81&lt;=100,SUM($B$82)&gt;=0,SUM($B$82)&lt;=1,SUM($B$83)&gt;=0)),IF(B1236=0,0,IF(C1236=0,B1236/ROUND($B$81*12,0),B1236*(C1236/12)/(1-(1+C1236/12)^(-ROUND($B$81*12,0))))),IF(AND(NOT(AND(836&gt;$B$173,$B$78="Refinance",ISNUMBER($B$80),$B$80&gt;=0,$B$80&lt;=1,ROUND($B$81*12,0)&gt;=1,$B$81&lt;=100,SUM($B$82)&gt;=0,SUM($B$82)&lt;=1,SUM($B$83)&gt;=0)),OR(836=1,836=$B$174+1,AND($B$175&gt;0,836=$B$175+1))),IF(AND($B$170=1,$B$66&gt;0,OR($B$175=0,836&lt;=$B$175)),$B$66,IF($B$172-MAX(836-1,$B$174)&gt;0,IF(B1236=0,0,IF(C1236=0,B1236/($B$172-MAX(836-1,$B$174)),B1236*(C1236/12)/(1-(1+C1236/12)^(-($B$172-MAX(836-1,$B$174)))))),"")),D1235)))),""),""))</x:f>
        <x:v>0</x:v>
      </x:c>
      <x:c r="E1236" s="440" t="n">
        <x:f>IF(AND(836=$B$173,ISNUMBER(D1236)),IF(MAX(0,B1236*(1+C1236/12)-D1236)&lt;MAX(0.0000001,$E$17*0.00000000001),0,MAX(0,B1236*(1+C1236/12)-D1236)),0)</x:f>
        <x:v>0</x:v>
      </x:c>
      <x:c r="F1236" s="440" t="n">
        <x:f>IF($B$78="Cash payoff",E1236,0)</x:f>
        <x:v>0</x:v>
      </x:c>
      <x:c r="G1236" s="440" t="n">
        <x:f>IF(AND(E1236&gt;0,AND($B$78="Refinance",ISNUMBER($B$80),$B$80&gt;=0,$B$80&lt;=1,ROUND($B$81*12,0)&gt;=1,$B$81&lt;=100,SUM($B$82)&gt;=0,SUM($B$82)&lt;=1,SUM($B$83)&gt;=0)),E1236*SUM($B$82)+SUM($B$83),0)</x:f>
        <x:v>0</x:v>
      </x:c>
      <x:c r="H1236" s="440" t="n">
        <x:f>IF(ISNUMBER(D1236),IF(MAX(0,B1236*(1+C1236/12)-D1236-F1236)&lt;MAX(0.0000001,$E$17*0.00000000001),0,MAX(0,B1236*(1+C1236/12)-D1236-F1236)),IF(AND($B$171=1,I1235=1),B1236,""))</x:f>
        <x:v>0</x:v>
      </x:c>
      <x:c r="I1236" s="444" t="n">
        <x:f>IF(OR(I1235=1,AND(E1236&gt;0,$B$78&lt;&gt;"Cash payoff",NOT(AND($B$78="Refinance",ISNUMBER($B$80),$B$80&gt;=0,$B$80&lt;=1,ROUND($B$81*12,0)&gt;=1,$B$81&lt;=100,SUM($B$82)&gt;=0,SUM($B$82)&lt;=1,SUM($B$83)&gt;=0))),AND(ISNUMBER(B1236),B1236&gt;0,$B$171=1,NOT(ISNUMBER(D1236)))),1,0)</x:f>
        <x:v>0</x:v>
      </x:c>
      <x:c r="J1236" s="440" t="n">
        <x:f>IF(ISNUMBER(L1235),L1235,"")</x:f>
        <x:v>0</x:v>
      </x:c>
      <x:c r="K1236" s="440" t="n">
        <x:f>IF(AND(ISNUMBER(J1236),J1236=0),0,IF(AND($B$176=1,ISNUMBER(J1236)),MIN(J1236*(1+$B$87/12),IF($B$86=0,0,IF($B$87=0,$B$86/ROUND($B$88*12,0),$B$86*($B$87/12)/(1-(1+$B$87/12)^(-ROUND($B$88*12,0)))))),""))</x:f>
        <x:v>0</x:v>
      </x:c>
      <x:c r="L1236" s="440" t="n">
        <x:f>IF(ISNUMBER(K1236),IF(MAX(0,J1236*(1+SUM($B$87)/12)-K1236)&lt;MAX(0.0000001,$B$86*0.00000000001),0,MAX(0,J1236*(1+SUM($B$87)/12)-K1236)),"")</x:f>
        <x:v>0</x:v>
      </x:c>
      <x:c r="M1236" s="440" t="n">
        <x:f>IF(AND(ISNUMBER(D1236),ISNUMBER(K1236)),D1236+K1236,"")</x:f>
        <x:v>0</x:v>
      </x:c>
      <x:c r="N1236" s="440" t="n">
        <x:f>IF(AND(ISNUMBER(H1236),ISNUMBER(L1236)),H1236+L1236,"")</x:f>
        <x:v>0</x:v>
      </x:c>
    </x:row>
    <x:row r="1237" ht="22" customHeight="1">
      <x:c r="A1237" s="254" t="n">
        <x:f>837</x:f>
        <x:v>837</x:v>
      </x:c>
      <x:c r="B1237" s="440" t="n">
        <x:f>IF(ISNUMBER(H1236),H1236,"")</x:f>
        <x:v>0</x:v>
      </x:c>
      <x:c r="C1237" s="442" t="n">
        <x:f>IF(ISNUMBER(B1237),IF(AND(837&gt;$B$173,$B$78="Refinance",ISNUMBER($B$80),$B$80&gt;=0,$B$80&lt;=1,ROUND($B$81*12,0)&gt;=1,$B$81&lt;=100,SUM($B$82)&gt;=0,SUM($B$82)&lt;=1,SUM($B$83)&gt;=0),$B$80,IF(AND($B$175&gt;0,837&gt;$B$175,ISNUMBER($B$75)),$B$75,$B$61)),"")</x:f>
        <x:v>0.0625</x:v>
      </x:c>
      <x:c r="D1237" s="440" t="n">
        <x:f>IF(AND(ISNUMBER(B1237),B1237=0),0,IF(AND($B$171=1,I1236=0,ISNUMBER(C1237),ISNUMBER(IF(AND(837&lt;=$B$174,837&lt;=$B$173),B1237*C1237/12,IF(AND(837=$B$173+1,AND(837&gt;$B$173,$B$78="Refinance",ISNUMBER($B$80),$B$80&gt;=0,$B$80&lt;=1,ROUND($B$81*12,0)&gt;=1,$B$81&lt;=100,SUM($B$82)&gt;=0,SUM($B$82)&lt;=1,SUM($B$83)&gt;=0)),IF(B1237=0,0,IF(C1237=0,B1237/ROUND($B$81*12,0),B1237*(C1237/12)/(1-(1+C1237/12)^(-ROUND($B$81*12,0))))),IF(AND(NOT(AND(837&gt;$B$173,$B$78="Refinance",ISNUMBER($B$80),$B$80&gt;=0,$B$80&lt;=1,ROUND($B$81*12,0)&gt;=1,$B$81&lt;=100,SUM($B$82)&gt;=0,SUM($B$82)&lt;=1,SUM($B$83)&gt;=0)),OR(837=1,837=$B$174+1,AND($B$175&gt;0,837=$B$175+1))),IF(AND($B$170=1,$B$66&gt;0,OR($B$175=0,837&lt;=$B$175)),$B$66,IF($B$172-MAX(837-1,$B$174)&gt;0,IF(B1237=0,0,IF(C1237=0,B1237/($B$172-MAX(837-1,$B$174)),B1237*(C1237/12)/(1-(1+C1237/12)^(-($B$172-MAX(837-1,$B$174)))))),"")),D1236))))),IF(IF(AND(837&lt;=$B$174,837&lt;=$B$173),B1237*C1237/12,IF(AND(837=$B$173+1,AND(837&gt;$B$173,$B$78="Refinance",ISNUMBER($B$80),$B$80&gt;=0,$B$80&lt;=1,ROUND($B$81*12,0)&gt;=1,$B$81&lt;=100,SUM($B$82)&gt;=0,SUM($B$82)&lt;=1,SUM($B$83)&gt;=0)),IF(B1237=0,0,IF(C1237=0,B1237/ROUND($B$81*12,0),B1237*(C1237/12)/(1-(1+C1237/12)^(-ROUND($B$81*12,0))))),IF(AND(NOT(AND(837&gt;$B$173,$B$78="Refinance",ISNUMBER($B$80),$B$80&gt;=0,$B$80&lt;=1,ROUND($B$81*12,0)&gt;=1,$B$81&lt;=100,SUM($B$82)&gt;=0,SUM($B$82)&lt;=1,SUM($B$83)&gt;=0)),OR(837=1,837=$B$174+1,AND($B$175&gt;0,837=$B$175+1))),IF(AND($B$170=1,$B$66&gt;0,OR($B$175=0,837&lt;=$B$175)),$B$66,IF($B$172-MAX(837-1,$B$174)&gt;0,IF(B1237=0,0,IF(C1237=0,B1237/($B$172-MAX(837-1,$B$174)),B1237*(C1237/12)/(1-(1+C1237/12)^(-($B$172-MAX(837-1,$B$174)))))),"")),D1236)))+0.0000001&gt;=B1237*C1237/12,MIN(B1237*(1+C1237/12),IF(AND(837&lt;=$B$174,837&lt;=$B$173),B1237*C1237/12,IF(AND(837=$B$173+1,AND(837&gt;$B$173,$B$78="Refinance",ISNUMBER($B$80),$B$80&gt;=0,$B$80&lt;=1,ROUND($B$81*12,0)&gt;=1,$B$81&lt;=100,SUM($B$82)&gt;=0,SUM($B$82)&lt;=1,SUM($B$83)&gt;=0)),IF(B1237=0,0,IF(C1237=0,B1237/ROUND($B$81*12,0),B1237*(C1237/12)/(1-(1+C1237/12)^(-ROUND($B$81*12,0))))),IF(AND(NOT(AND(837&gt;$B$173,$B$78="Refinance",ISNUMBER($B$80),$B$80&gt;=0,$B$80&lt;=1,ROUND($B$81*12,0)&gt;=1,$B$81&lt;=100,SUM($B$82)&gt;=0,SUM($B$82)&lt;=1,SUM($B$83)&gt;=0)),OR(837=1,837=$B$174+1,AND($B$175&gt;0,837=$B$175+1))),IF(AND($B$170=1,$B$66&gt;0,OR($B$175=0,837&lt;=$B$175)),$B$66,IF($B$172-MAX(837-1,$B$174)&gt;0,IF(B1237=0,0,IF(C1237=0,B1237/($B$172-MAX(837-1,$B$174)),B1237*(C1237/12)/(1-(1+C1237/12)^(-($B$172-MAX(837-1,$B$174)))))),"")),D1236)))),""),""))</x:f>
        <x:v>0</x:v>
      </x:c>
      <x:c r="E1237" s="440" t="n">
        <x:f>IF(AND(837=$B$173,ISNUMBER(D1237)),IF(MAX(0,B1237*(1+C1237/12)-D1237)&lt;MAX(0.0000001,$E$17*0.00000000001),0,MAX(0,B1237*(1+C1237/12)-D1237)),0)</x:f>
        <x:v>0</x:v>
      </x:c>
      <x:c r="F1237" s="440" t="n">
        <x:f>IF($B$78="Cash payoff",E1237,0)</x:f>
        <x:v>0</x:v>
      </x:c>
      <x:c r="G1237" s="440" t="n">
        <x:f>IF(AND(E1237&gt;0,AND($B$78="Refinance",ISNUMBER($B$80),$B$80&gt;=0,$B$80&lt;=1,ROUND($B$81*12,0)&gt;=1,$B$81&lt;=100,SUM($B$82)&gt;=0,SUM($B$82)&lt;=1,SUM($B$83)&gt;=0)),E1237*SUM($B$82)+SUM($B$83),0)</x:f>
        <x:v>0</x:v>
      </x:c>
      <x:c r="H1237" s="440" t="n">
        <x:f>IF(ISNUMBER(D1237),IF(MAX(0,B1237*(1+C1237/12)-D1237-F1237)&lt;MAX(0.0000001,$E$17*0.00000000001),0,MAX(0,B1237*(1+C1237/12)-D1237-F1237)),IF(AND($B$171=1,I1236=1),B1237,""))</x:f>
        <x:v>0</x:v>
      </x:c>
      <x:c r="I1237" s="444" t="n">
        <x:f>IF(OR(I1236=1,AND(E1237&gt;0,$B$78&lt;&gt;"Cash payoff",NOT(AND($B$78="Refinance",ISNUMBER($B$80),$B$80&gt;=0,$B$80&lt;=1,ROUND($B$81*12,0)&gt;=1,$B$81&lt;=100,SUM($B$82)&gt;=0,SUM($B$82)&lt;=1,SUM($B$83)&gt;=0))),AND(ISNUMBER(B1237),B1237&gt;0,$B$171=1,NOT(ISNUMBER(D1237)))),1,0)</x:f>
        <x:v>0</x:v>
      </x:c>
      <x:c r="J1237" s="440" t="n">
        <x:f>IF(ISNUMBER(L1236),L1236,"")</x:f>
        <x:v>0</x:v>
      </x:c>
      <x:c r="K1237" s="440" t="n">
        <x:f>IF(AND(ISNUMBER(J1237),J1237=0),0,IF(AND($B$176=1,ISNUMBER(J1237)),MIN(J1237*(1+$B$87/12),IF($B$86=0,0,IF($B$87=0,$B$86/ROUND($B$88*12,0),$B$86*($B$87/12)/(1-(1+$B$87/12)^(-ROUND($B$88*12,0)))))),""))</x:f>
        <x:v>0</x:v>
      </x:c>
      <x:c r="L1237" s="440" t="n">
        <x:f>IF(ISNUMBER(K1237),IF(MAX(0,J1237*(1+SUM($B$87)/12)-K1237)&lt;MAX(0.0000001,$B$86*0.00000000001),0,MAX(0,J1237*(1+SUM($B$87)/12)-K1237)),"")</x:f>
        <x:v>0</x:v>
      </x:c>
      <x:c r="M1237" s="440" t="n">
        <x:f>IF(AND(ISNUMBER(D1237),ISNUMBER(K1237)),D1237+K1237,"")</x:f>
        <x:v>0</x:v>
      </x:c>
      <x:c r="N1237" s="440" t="n">
        <x:f>IF(AND(ISNUMBER(H1237),ISNUMBER(L1237)),H1237+L1237,"")</x:f>
        <x:v>0</x:v>
      </x:c>
    </x:row>
    <x:row r="1238" ht="22" customHeight="1">
      <x:c r="A1238" s="254" t="n">
        <x:f>838</x:f>
        <x:v>838</x:v>
      </x:c>
      <x:c r="B1238" s="440" t="n">
        <x:f>IF(ISNUMBER(H1237),H1237,"")</x:f>
        <x:v>0</x:v>
      </x:c>
      <x:c r="C1238" s="442" t="n">
        <x:f>IF(ISNUMBER(B1238),IF(AND(838&gt;$B$173,$B$78="Refinance",ISNUMBER($B$80),$B$80&gt;=0,$B$80&lt;=1,ROUND($B$81*12,0)&gt;=1,$B$81&lt;=100,SUM($B$82)&gt;=0,SUM($B$82)&lt;=1,SUM($B$83)&gt;=0),$B$80,IF(AND($B$175&gt;0,838&gt;$B$175,ISNUMBER($B$75)),$B$75,$B$61)),"")</x:f>
        <x:v>0.0625</x:v>
      </x:c>
      <x:c r="D1238" s="440" t="n">
        <x:f>IF(AND(ISNUMBER(B1238),B1238=0),0,IF(AND($B$171=1,I1237=0,ISNUMBER(C1238),ISNUMBER(IF(AND(838&lt;=$B$174,838&lt;=$B$173),B1238*C1238/12,IF(AND(838=$B$173+1,AND(838&gt;$B$173,$B$78="Refinance",ISNUMBER($B$80),$B$80&gt;=0,$B$80&lt;=1,ROUND($B$81*12,0)&gt;=1,$B$81&lt;=100,SUM($B$82)&gt;=0,SUM($B$82)&lt;=1,SUM($B$83)&gt;=0)),IF(B1238=0,0,IF(C1238=0,B1238/ROUND($B$81*12,0),B1238*(C1238/12)/(1-(1+C1238/12)^(-ROUND($B$81*12,0))))),IF(AND(NOT(AND(838&gt;$B$173,$B$78="Refinance",ISNUMBER($B$80),$B$80&gt;=0,$B$80&lt;=1,ROUND($B$81*12,0)&gt;=1,$B$81&lt;=100,SUM($B$82)&gt;=0,SUM($B$82)&lt;=1,SUM($B$83)&gt;=0)),OR(838=1,838=$B$174+1,AND($B$175&gt;0,838=$B$175+1))),IF(AND($B$170=1,$B$66&gt;0,OR($B$175=0,838&lt;=$B$175)),$B$66,IF($B$172-MAX(838-1,$B$174)&gt;0,IF(B1238=0,0,IF(C1238=0,B1238/($B$172-MAX(838-1,$B$174)),B1238*(C1238/12)/(1-(1+C1238/12)^(-($B$172-MAX(838-1,$B$174)))))),"")),D1237))))),IF(IF(AND(838&lt;=$B$174,838&lt;=$B$173),B1238*C1238/12,IF(AND(838=$B$173+1,AND(838&gt;$B$173,$B$78="Refinance",ISNUMBER($B$80),$B$80&gt;=0,$B$80&lt;=1,ROUND($B$81*12,0)&gt;=1,$B$81&lt;=100,SUM($B$82)&gt;=0,SUM($B$82)&lt;=1,SUM($B$83)&gt;=0)),IF(B1238=0,0,IF(C1238=0,B1238/ROUND($B$81*12,0),B1238*(C1238/12)/(1-(1+C1238/12)^(-ROUND($B$81*12,0))))),IF(AND(NOT(AND(838&gt;$B$173,$B$78="Refinance",ISNUMBER($B$80),$B$80&gt;=0,$B$80&lt;=1,ROUND($B$81*12,0)&gt;=1,$B$81&lt;=100,SUM($B$82)&gt;=0,SUM($B$82)&lt;=1,SUM($B$83)&gt;=0)),OR(838=1,838=$B$174+1,AND($B$175&gt;0,838=$B$175+1))),IF(AND($B$170=1,$B$66&gt;0,OR($B$175=0,838&lt;=$B$175)),$B$66,IF($B$172-MAX(838-1,$B$174)&gt;0,IF(B1238=0,0,IF(C1238=0,B1238/($B$172-MAX(838-1,$B$174)),B1238*(C1238/12)/(1-(1+C1238/12)^(-($B$172-MAX(838-1,$B$174)))))),"")),D1237)))+0.0000001&gt;=B1238*C1238/12,MIN(B1238*(1+C1238/12),IF(AND(838&lt;=$B$174,838&lt;=$B$173),B1238*C1238/12,IF(AND(838=$B$173+1,AND(838&gt;$B$173,$B$78="Refinance",ISNUMBER($B$80),$B$80&gt;=0,$B$80&lt;=1,ROUND($B$81*12,0)&gt;=1,$B$81&lt;=100,SUM($B$82)&gt;=0,SUM($B$82)&lt;=1,SUM($B$83)&gt;=0)),IF(B1238=0,0,IF(C1238=0,B1238/ROUND($B$81*12,0),B1238*(C1238/12)/(1-(1+C1238/12)^(-ROUND($B$81*12,0))))),IF(AND(NOT(AND(838&gt;$B$173,$B$78="Refinance",ISNUMBER($B$80),$B$80&gt;=0,$B$80&lt;=1,ROUND($B$81*12,0)&gt;=1,$B$81&lt;=100,SUM($B$82)&gt;=0,SUM($B$82)&lt;=1,SUM($B$83)&gt;=0)),OR(838=1,838=$B$174+1,AND($B$175&gt;0,838=$B$175+1))),IF(AND($B$170=1,$B$66&gt;0,OR($B$175=0,838&lt;=$B$175)),$B$66,IF($B$172-MAX(838-1,$B$174)&gt;0,IF(B1238=0,0,IF(C1238=0,B1238/($B$172-MAX(838-1,$B$174)),B1238*(C1238/12)/(1-(1+C1238/12)^(-($B$172-MAX(838-1,$B$174)))))),"")),D1237)))),""),""))</x:f>
        <x:v>0</x:v>
      </x:c>
      <x:c r="E1238" s="440" t="n">
        <x:f>IF(AND(838=$B$173,ISNUMBER(D1238)),IF(MAX(0,B1238*(1+C1238/12)-D1238)&lt;MAX(0.0000001,$E$17*0.00000000001),0,MAX(0,B1238*(1+C1238/12)-D1238)),0)</x:f>
        <x:v>0</x:v>
      </x:c>
      <x:c r="F1238" s="440" t="n">
        <x:f>IF($B$78="Cash payoff",E1238,0)</x:f>
        <x:v>0</x:v>
      </x:c>
      <x:c r="G1238" s="440" t="n">
        <x:f>IF(AND(E1238&gt;0,AND($B$78="Refinance",ISNUMBER($B$80),$B$80&gt;=0,$B$80&lt;=1,ROUND($B$81*12,0)&gt;=1,$B$81&lt;=100,SUM($B$82)&gt;=0,SUM($B$82)&lt;=1,SUM($B$83)&gt;=0)),E1238*SUM($B$82)+SUM($B$83),0)</x:f>
        <x:v>0</x:v>
      </x:c>
      <x:c r="H1238" s="440" t="n">
        <x:f>IF(ISNUMBER(D1238),IF(MAX(0,B1238*(1+C1238/12)-D1238-F1238)&lt;MAX(0.0000001,$E$17*0.00000000001),0,MAX(0,B1238*(1+C1238/12)-D1238-F1238)),IF(AND($B$171=1,I1237=1),B1238,""))</x:f>
        <x:v>0</x:v>
      </x:c>
      <x:c r="I1238" s="444" t="n">
        <x:f>IF(OR(I1237=1,AND(E1238&gt;0,$B$78&lt;&gt;"Cash payoff",NOT(AND($B$78="Refinance",ISNUMBER($B$80),$B$80&gt;=0,$B$80&lt;=1,ROUND($B$81*12,0)&gt;=1,$B$81&lt;=100,SUM($B$82)&gt;=0,SUM($B$82)&lt;=1,SUM($B$83)&gt;=0))),AND(ISNUMBER(B1238),B1238&gt;0,$B$171=1,NOT(ISNUMBER(D1238)))),1,0)</x:f>
        <x:v>0</x:v>
      </x:c>
      <x:c r="J1238" s="440" t="n">
        <x:f>IF(ISNUMBER(L1237),L1237,"")</x:f>
        <x:v>0</x:v>
      </x:c>
      <x:c r="K1238" s="440" t="n">
        <x:f>IF(AND(ISNUMBER(J1238),J1238=0),0,IF(AND($B$176=1,ISNUMBER(J1238)),MIN(J1238*(1+$B$87/12),IF($B$86=0,0,IF($B$87=0,$B$86/ROUND($B$88*12,0),$B$86*($B$87/12)/(1-(1+$B$87/12)^(-ROUND($B$88*12,0)))))),""))</x:f>
        <x:v>0</x:v>
      </x:c>
      <x:c r="L1238" s="440" t="n">
        <x:f>IF(ISNUMBER(K1238),IF(MAX(0,J1238*(1+SUM($B$87)/12)-K1238)&lt;MAX(0.0000001,$B$86*0.00000000001),0,MAX(0,J1238*(1+SUM($B$87)/12)-K1238)),"")</x:f>
        <x:v>0</x:v>
      </x:c>
      <x:c r="M1238" s="440" t="n">
        <x:f>IF(AND(ISNUMBER(D1238),ISNUMBER(K1238)),D1238+K1238,"")</x:f>
        <x:v>0</x:v>
      </x:c>
      <x:c r="N1238" s="440" t="n">
        <x:f>IF(AND(ISNUMBER(H1238),ISNUMBER(L1238)),H1238+L1238,"")</x:f>
        <x:v>0</x:v>
      </x:c>
    </x:row>
    <x:row r="1239" ht="22" customHeight="1">
      <x:c r="A1239" s="254" t="n">
        <x:f>839</x:f>
        <x:v>839</x:v>
      </x:c>
      <x:c r="B1239" s="440" t="n">
        <x:f>IF(ISNUMBER(H1238),H1238,"")</x:f>
        <x:v>0</x:v>
      </x:c>
      <x:c r="C1239" s="442" t="n">
        <x:f>IF(ISNUMBER(B1239),IF(AND(839&gt;$B$173,$B$78="Refinance",ISNUMBER($B$80),$B$80&gt;=0,$B$80&lt;=1,ROUND($B$81*12,0)&gt;=1,$B$81&lt;=100,SUM($B$82)&gt;=0,SUM($B$82)&lt;=1,SUM($B$83)&gt;=0),$B$80,IF(AND($B$175&gt;0,839&gt;$B$175,ISNUMBER($B$75)),$B$75,$B$61)),"")</x:f>
        <x:v>0.0625</x:v>
      </x:c>
      <x:c r="D1239" s="440" t="n">
        <x:f>IF(AND(ISNUMBER(B1239),B1239=0),0,IF(AND($B$171=1,I1238=0,ISNUMBER(C1239),ISNUMBER(IF(AND(839&lt;=$B$174,839&lt;=$B$173),B1239*C1239/12,IF(AND(839=$B$173+1,AND(839&gt;$B$173,$B$78="Refinance",ISNUMBER($B$80),$B$80&gt;=0,$B$80&lt;=1,ROUND($B$81*12,0)&gt;=1,$B$81&lt;=100,SUM($B$82)&gt;=0,SUM($B$82)&lt;=1,SUM($B$83)&gt;=0)),IF(B1239=0,0,IF(C1239=0,B1239/ROUND($B$81*12,0),B1239*(C1239/12)/(1-(1+C1239/12)^(-ROUND($B$81*12,0))))),IF(AND(NOT(AND(839&gt;$B$173,$B$78="Refinance",ISNUMBER($B$80),$B$80&gt;=0,$B$80&lt;=1,ROUND($B$81*12,0)&gt;=1,$B$81&lt;=100,SUM($B$82)&gt;=0,SUM($B$82)&lt;=1,SUM($B$83)&gt;=0)),OR(839=1,839=$B$174+1,AND($B$175&gt;0,839=$B$175+1))),IF(AND($B$170=1,$B$66&gt;0,OR($B$175=0,839&lt;=$B$175)),$B$66,IF($B$172-MAX(839-1,$B$174)&gt;0,IF(B1239=0,0,IF(C1239=0,B1239/($B$172-MAX(839-1,$B$174)),B1239*(C1239/12)/(1-(1+C1239/12)^(-($B$172-MAX(839-1,$B$174)))))),"")),D1238))))),IF(IF(AND(839&lt;=$B$174,839&lt;=$B$173),B1239*C1239/12,IF(AND(839=$B$173+1,AND(839&gt;$B$173,$B$78="Refinance",ISNUMBER($B$80),$B$80&gt;=0,$B$80&lt;=1,ROUND($B$81*12,0)&gt;=1,$B$81&lt;=100,SUM($B$82)&gt;=0,SUM($B$82)&lt;=1,SUM($B$83)&gt;=0)),IF(B1239=0,0,IF(C1239=0,B1239/ROUND($B$81*12,0),B1239*(C1239/12)/(1-(1+C1239/12)^(-ROUND($B$81*12,0))))),IF(AND(NOT(AND(839&gt;$B$173,$B$78="Refinance",ISNUMBER($B$80),$B$80&gt;=0,$B$80&lt;=1,ROUND($B$81*12,0)&gt;=1,$B$81&lt;=100,SUM($B$82)&gt;=0,SUM($B$82)&lt;=1,SUM($B$83)&gt;=0)),OR(839=1,839=$B$174+1,AND($B$175&gt;0,839=$B$175+1))),IF(AND($B$170=1,$B$66&gt;0,OR($B$175=0,839&lt;=$B$175)),$B$66,IF($B$172-MAX(839-1,$B$174)&gt;0,IF(B1239=0,0,IF(C1239=0,B1239/($B$172-MAX(839-1,$B$174)),B1239*(C1239/12)/(1-(1+C1239/12)^(-($B$172-MAX(839-1,$B$174)))))),"")),D1238)))+0.0000001&gt;=B1239*C1239/12,MIN(B1239*(1+C1239/12),IF(AND(839&lt;=$B$174,839&lt;=$B$173),B1239*C1239/12,IF(AND(839=$B$173+1,AND(839&gt;$B$173,$B$78="Refinance",ISNUMBER($B$80),$B$80&gt;=0,$B$80&lt;=1,ROUND($B$81*12,0)&gt;=1,$B$81&lt;=100,SUM($B$82)&gt;=0,SUM($B$82)&lt;=1,SUM($B$83)&gt;=0)),IF(B1239=0,0,IF(C1239=0,B1239/ROUND($B$81*12,0),B1239*(C1239/12)/(1-(1+C1239/12)^(-ROUND($B$81*12,0))))),IF(AND(NOT(AND(839&gt;$B$173,$B$78="Refinance",ISNUMBER($B$80),$B$80&gt;=0,$B$80&lt;=1,ROUND($B$81*12,0)&gt;=1,$B$81&lt;=100,SUM($B$82)&gt;=0,SUM($B$82)&lt;=1,SUM($B$83)&gt;=0)),OR(839=1,839=$B$174+1,AND($B$175&gt;0,839=$B$175+1))),IF(AND($B$170=1,$B$66&gt;0,OR($B$175=0,839&lt;=$B$175)),$B$66,IF($B$172-MAX(839-1,$B$174)&gt;0,IF(B1239=0,0,IF(C1239=0,B1239/($B$172-MAX(839-1,$B$174)),B1239*(C1239/12)/(1-(1+C1239/12)^(-($B$172-MAX(839-1,$B$174)))))),"")),D1238)))),""),""))</x:f>
        <x:v>0</x:v>
      </x:c>
      <x:c r="E1239" s="440" t="n">
        <x:f>IF(AND(839=$B$173,ISNUMBER(D1239)),IF(MAX(0,B1239*(1+C1239/12)-D1239)&lt;MAX(0.0000001,$E$17*0.00000000001),0,MAX(0,B1239*(1+C1239/12)-D1239)),0)</x:f>
        <x:v>0</x:v>
      </x:c>
      <x:c r="F1239" s="440" t="n">
        <x:f>IF($B$78="Cash payoff",E1239,0)</x:f>
        <x:v>0</x:v>
      </x:c>
      <x:c r="G1239" s="440" t="n">
        <x:f>IF(AND(E1239&gt;0,AND($B$78="Refinance",ISNUMBER($B$80),$B$80&gt;=0,$B$80&lt;=1,ROUND($B$81*12,0)&gt;=1,$B$81&lt;=100,SUM($B$82)&gt;=0,SUM($B$82)&lt;=1,SUM($B$83)&gt;=0)),E1239*SUM($B$82)+SUM($B$83),0)</x:f>
        <x:v>0</x:v>
      </x:c>
      <x:c r="H1239" s="440" t="n">
        <x:f>IF(ISNUMBER(D1239),IF(MAX(0,B1239*(1+C1239/12)-D1239-F1239)&lt;MAX(0.0000001,$E$17*0.00000000001),0,MAX(0,B1239*(1+C1239/12)-D1239-F1239)),IF(AND($B$171=1,I1238=1),B1239,""))</x:f>
        <x:v>0</x:v>
      </x:c>
      <x:c r="I1239" s="444" t="n">
        <x:f>IF(OR(I1238=1,AND(E1239&gt;0,$B$78&lt;&gt;"Cash payoff",NOT(AND($B$78="Refinance",ISNUMBER($B$80),$B$80&gt;=0,$B$80&lt;=1,ROUND($B$81*12,0)&gt;=1,$B$81&lt;=100,SUM($B$82)&gt;=0,SUM($B$82)&lt;=1,SUM($B$83)&gt;=0))),AND(ISNUMBER(B1239),B1239&gt;0,$B$171=1,NOT(ISNUMBER(D1239)))),1,0)</x:f>
        <x:v>0</x:v>
      </x:c>
      <x:c r="J1239" s="440" t="n">
        <x:f>IF(ISNUMBER(L1238),L1238,"")</x:f>
        <x:v>0</x:v>
      </x:c>
      <x:c r="K1239" s="440" t="n">
        <x:f>IF(AND(ISNUMBER(J1239),J1239=0),0,IF(AND($B$176=1,ISNUMBER(J1239)),MIN(J1239*(1+$B$87/12),IF($B$86=0,0,IF($B$87=0,$B$86/ROUND($B$88*12,0),$B$86*($B$87/12)/(1-(1+$B$87/12)^(-ROUND($B$88*12,0)))))),""))</x:f>
        <x:v>0</x:v>
      </x:c>
      <x:c r="L1239" s="440" t="n">
        <x:f>IF(ISNUMBER(K1239),IF(MAX(0,J1239*(1+SUM($B$87)/12)-K1239)&lt;MAX(0.0000001,$B$86*0.00000000001),0,MAX(0,J1239*(1+SUM($B$87)/12)-K1239)),"")</x:f>
        <x:v>0</x:v>
      </x:c>
      <x:c r="M1239" s="440" t="n">
        <x:f>IF(AND(ISNUMBER(D1239),ISNUMBER(K1239)),D1239+K1239,"")</x:f>
        <x:v>0</x:v>
      </x:c>
      <x:c r="N1239" s="440" t="n">
        <x:f>IF(AND(ISNUMBER(H1239),ISNUMBER(L1239)),H1239+L1239,"")</x:f>
        <x:v>0</x:v>
      </x:c>
    </x:row>
    <x:row r="1240" ht="22" customHeight="1">
      <x:c r="A1240" s="254" t="n">
        <x:f>840</x:f>
        <x:v>840</x:v>
      </x:c>
      <x:c r="B1240" s="440" t="n">
        <x:f>IF(ISNUMBER(H1239),H1239,"")</x:f>
        <x:v>0</x:v>
      </x:c>
      <x:c r="C1240" s="442" t="n">
        <x:f>IF(ISNUMBER(B1240),IF(AND(840&gt;$B$173,$B$78="Refinance",ISNUMBER($B$80),$B$80&gt;=0,$B$80&lt;=1,ROUND($B$81*12,0)&gt;=1,$B$81&lt;=100,SUM($B$82)&gt;=0,SUM($B$82)&lt;=1,SUM($B$83)&gt;=0),$B$80,IF(AND($B$175&gt;0,840&gt;$B$175,ISNUMBER($B$75)),$B$75,$B$61)),"")</x:f>
        <x:v>0.0625</x:v>
      </x:c>
      <x:c r="D1240" s="440" t="n">
        <x:f>IF(AND(ISNUMBER(B1240),B1240=0),0,IF(AND($B$171=1,I1239=0,ISNUMBER(C1240),ISNUMBER(IF(AND(840&lt;=$B$174,840&lt;=$B$173),B1240*C1240/12,IF(AND(840=$B$173+1,AND(840&gt;$B$173,$B$78="Refinance",ISNUMBER($B$80),$B$80&gt;=0,$B$80&lt;=1,ROUND($B$81*12,0)&gt;=1,$B$81&lt;=100,SUM($B$82)&gt;=0,SUM($B$82)&lt;=1,SUM($B$83)&gt;=0)),IF(B1240=0,0,IF(C1240=0,B1240/ROUND($B$81*12,0),B1240*(C1240/12)/(1-(1+C1240/12)^(-ROUND($B$81*12,0))))),IF(AND(NOT(AND(840&gt;$B$173,$B$78="Refinance",ISNUMBER($B$80),$B$80&gt;=0,$B$80&lt;=1,ROUND($B$81*12,0)&gt;=1,$B$81&lt;=100,SUM($B$82)&gt;=0,SUM($B$82)&lt;=1,SUM($B$83)&gt;=0)),OR(840=1,840=$B$174+1,AND($B$175&gt;0,840=$B$175+1))),IF(AND($B$170=1,$B$66&gt;0,OR($B$175=0,840&lt;=$B$175)),$B$66,IF($B$172-MAX(840-1,$B$174)&gt;0,IF(B1240=0,0,IF(C1240=0,B1240/($B$172-MAX(840-1,$B$174)),B1240*(C1240/12)/(1-(1+C1240/12)^(-($B$172-MAX(840-1,$B$174)))))),"")),D1239))))),IF(IF(AND(840&lt;=$B$174,840&lt;=$B$173),B1240*C1240/12,IF(AND(840=$B$173+1,AND(840&gt;$B$173,$B$78="Refinance",ISNUMBER($B$80),$B$80&gt;=0,$B$80&lt;=1,ROUND($B$81*12,0)&gt;=1,$B$81&lt;=100,SUM($B$82)&gt;=0,SUM($B$82)&lt;=1,SUM($B$83)&gt;=0)),IF(B1240=0,0,IF(C1240=0,B1240/ROUND($B$81*12,0),B1240*(C1240/12)/(1-(1+C1240/12)^(-ROUND($B$81*12,0))))),IF(AND(NOT(AND(840&gt;$B$173,$B$78="Refinance",ISNUMBER($B$80),$B$80&gt;=0,$B$80&lt;=1,ROUND($B$81*12,0)&gt;=1,$B$81&lt;=100,SUM($B$82)&gt;=0,SUM($B$82)&lt;=1,SUM($B$83)&gt;=0)),OR(840=1,840=$B$174+1,AND($B$175&gt;0,840=$B$175+1))),IF(AND($B$170=1,$B$66&gt;0,OR($B$175=0,840&lt;=$B$175)),$B$66,IF($B$172-MAX(840-1,$B$174)&gt;0,IF(B1240=0,0,IF(C1240=0,B1240/($B$172-MAX(840-1,$B$174)),B1240*(C1240/12)/(1-(1+C1240/12)^(-($B$172-MAX(840-1,$B$174)))))),"")),D1239)))+0.0000001&gt;=B1240*C1240/12,MIN(B1240*(1+C1240/12),IF(AND(840&lt;=$B$174,840&lt;=$B$173),B1240*C1240/12,IF(AND(840=$B$173+1,AND(840&gt;$B$173,$B$78="Refinance",ISNUMBER($B$80),$B$80&gt;=0,$B$80&lt;=1,ROUND($B$81*12,0)&gt;=1,$B$81&lt;=100,SUM($B$82)&gt;=0,SUM($B$82)&lt;=1,SUM($B$83)&gt;=0)),IF(B1240=0,0,IF(C1240=0,B1240/ROUND($B$81*12,0),B1240*(C1240/12)/(1-(1+C1240/12)^(-ROUND($B$81*12,0))))),IF(AND(NOT(AND(840&gt;$B$173,$B$78="Refinance",ISNUMBER($B$80),$B$80&gt;=0,$B$80&lt;=1,ROUND($B$81*12,0)&gt;=1,$B$81&lt;=100,SUM($B$82)&gt;=0,SUM($B$82)&lt;=1,SUM($B$83)&gt;=0)),OR(840=1,840=$B$174+1,AND($B$175&gt;0,840=$B$175+1))),IF(AND($B$170=1,$B$66&gt;0,OR($B$175=0,840&lt;=$B$175)),$B$66,IF($B$172-MAX(840-1,$B$174)&gt;0,IF(B1240=0,0,IF(C1240=0,B1240/($B$172-MAX(840-1,$B$174)),B1240*(C1240/12)/(1-(1+C1240/12)^(-($B$172-MAX(840-1,$B$174)))))),"")),D1239)))),""),""))</x:f>
        <x:v>0</x:v>
      </x:c>
      <x:c r="E1240" s="440" t="n">
        <x:f>IF(AND(840=$B$173,ISNUMBER(D1240)),IF(MAX(0,B1240*(1+C1240/12)-D1240)&lt;MAX(0.0000001,$E$17*0.00000000001),0,MAX(0,B1240*(1+C1240/12)-D1240)),0)</x:f>
        <x:v>0</x:v>
      </x:c>
      <x:c r="F1240" s="440" t="n">
        <x:f>IF($B$78="Cash payoff",E1240,0)</x:f>
        <x:v>0</x:v>
      </x:c>
      <x:c r="G1240" s="440" t="n">
        <x:f>IF(AND(E1240&gt;0,AND($B$78="Refinance",ISNUMBER($B$80),$B$80&gt;=0,$B$80&lt;=1,ROUND($B$81*12,0)&gt;=1,$B$81&lt;=100,SUM($B$82)&gt;=0,SUM($B$82)&lt;=1,SUM($B$83)&gt;=0)),E1240*SUM($B$82)+SUM($B$83),0)</x:f>
        <x:v>0</x:v>
      </x:c>
      <x:c r="H1240" s="440" t="n">
        <x:f>IF(ISNUMBER(D1240),IF(MAX(0,B1240*(1+C1240/12)-D1240-F1240)&lt;MAX(0.0000001,$E$17*0.00000000001),0,MAX(0,B1240*(1+C1240/12)-D1240-F1240)),IF(AND($B$171=1,I1239=1),B1240,""))</x:f>
        <x:v>0</x:v>
      </x:c>
      <x:c r="I1240" s="444" t="n">
        <x:f>IF(OR(I1239=1,AND(E1240&gt;0,$B$78&lt;&gt;"Cash payoff",NOT(AND($B$78="Refinance",ISNUMBER($B$80),$B$80&gt;=0,$B$80&lt;=1,ROUND($B$81*12,0)&gt;=1,$B$81&lt;=100,SUM($B$82)&gt;=0,SUM($B$82)&lt;=1,SUM($B$83)&gt;=0))),AND(ISNUMBER(B1240),B1240&gt;0,$B$171=1,NOT(ISNUMBER(D1240)))),1,0)</x:f>
        <x:v>0</x:v>
      </x:c>
      <x:c r="J1240" s="440" t="n">
        <x:f>IF(ISNUMBER(L1239),L1239,"")</x:f>
        <x:v>0</x:v>
      </x:c>
      <x:c r="K1240" s="440" t="n">
        <x:f>IF(AND(ISNUMBER(J1240),J1240=0),0,IF(AND($B$176=1,ISNUMBER(J1240)),MIN(J1240*(1+$B$87/12),IF($B$86=0,0,IF($B$87=0,$B$86/ROUND($B$88*12,0),$B$86*($B$87/12)/(1-(1+$B$87/12)^(-ROUND($B$88*12,0)))))),""))</x:f>
        <x:v>0</x:v>
      </x:c>
      <x:c r="L1240" s="440" t="n">
        <x:f>IF(ISNUMBER(K1240),IF(MAX(0,J1240*(1+SUM($B$87)/12)-K1240)&lt;MAX(0.0000001,$B$86*0.00000000001),0,MAX(0,J1240*(1+SUM($B$87)/12)-K1240)),"")</x:f>
        <x:v>0</x:v>
      </x:c>
      <x:c r="M1240" s="440" t="n">
        <x:f>IF(AND(ISNUMBER(D1240),ISNUMBER(K1240)),D1240+K1240,"")</x:f>
        <x:v>0</x:v>
      </x:c>
      <x:c r="N1240" s="440" t="n">
        <x:f>IF(AND(ISNUMBER(H1240),ISNUMBER(L1240)),H1240+L1240,"")</x:f>
        <x:v>0</x:v>
      </x:c>
    </x:row>
    <x:row r="1241" ht="22" customHeight="1">
      <x:c r="A1241" s="254" t="n">
        <x:f>841</x:f>
        <x:v>841</x:v>
      </x:c>
      <x:c r="B1241" s="440" t="n">
        <x:f>IF(ISNUMBER(H1240),H1240,"")</x:f>
        <x:v>0</x:v>
      </x:c>
      <x:c r="C1241" s="442" t="n">
        <x:f>IF(ISNUMBER(B1241),IF(AND(841&gt;$B$173,$B$78="Refinance",ISNUMBER($B$80),$B$80&gt;=0,$B$80&lt;=1,ROUND($B$81*12,0)&gt;=1,$B$81&lt;=100,SUM($B$82)&gt;=0,SUM($B$82)&lt;=1,SUM($B$83)&gt;=0),$B$80,IF(AND($B$175&gt;0,841&gt;$B$175,ISNUMBER($B$75)),$B$75,$B$61)),"")</x:f>
        <x:v>0.0625</x:v>
      </x:c>
      <x:c r="D1241" s="440" t="n">
        <x:f>IF(AND(ISNUMBER(B1241),B1241=0),0,IF(AND($B$171=1,I1240=0,ISNUMBER(C1241),ISNUMBER(IF(AND(841&lt;=$B$174,841&lt;=$B$173),B1241*C1241/12,IF(AND(841=$B$173+1,AND(841&gt;$B$173,$B$78="Refinance",ISNUMBER($B$80),$B$80&gt;=0,$B$80&lt;=1,ROUND($B$81*12,0)&gt;=1,$B$81&lt;=100,SUM($B$82)&gt;=0,SUM($B$82)&lt;=1,SUM($B$83)&gt;=0)),IF(B1241=0,0,IF(C1241=0,B1241/ROUND($B$81*12,0),B1241*(C1241/12)/(1-(1+C1241/12)^(-ROUND($B$81*12,0))))),IF(AND(NOT(AND(841&gt;$B$173,$B$78="Refinance",ISNUMBER($B$80),$B$80&gt;=0,$B$80&lt;=1,ROUND($B$81*12,0)&gt;=1,$B$81&lt;=100,SUM($B$82)&gt;=0,SUM($B$82)&lt;=1,SUM($B$83)&gt;=0)),OR(841=1,841=$B$174+1,AND($B$175&gt;0,841=$B$175+1))),IF(AND($B$170=1,$B$66&gt;0,OR($B$175=0,841&lt;=$B$175)),$B$66,IF($B$172-MAX(841-1,$B$174)&gt;0,IF(B1241=0,0,IF(C1241=0,B1241/($B$172-MAX(841-1,$B$174)),B1241*(C1241/12)/(1-(1+C1241/12)^(-($B$172-MAX(841-1,$B$174)))))),"")),D1240))))),IF(IF(AND(841&lt;=$B$174,841&lt;=$B$173),B1241*C1241/12,IF(AND(841=$B$173+1,AND(841&gt;$B$173,$B$78="Refinance",ISNUMBER($B$80),$B$80&gt;=0,$B$80&lt;=1,ROUND($B$81*12,0)&gt;=1,$B$81&lt;=100,SUM($B$82)&gt;=0,SUM($B$82)&lt;=1,SUM($B$83)&gt;=0)),IF(B1241=0,0,IF(C1241=0,B1241/ROUND($B$81*12,0),B1241*(C1241/12)/(1-(1+C1241/12)^(-ROUND($B$81*12,0))))),IF(AND(NOT(AND(841&gt;$B$173,$B$78="Refinance",ISNUMBER($B$80),$B$80&gt;=0,$B$80&lt;=1,ROUND($B$81*12,0)&gt;=1,$B$81&lt;=100,SUM($B$82)&gt;=0,SUM($B$82)&lt;=1,SUM($B$83)&gt;=0)),OR(841=1,841=$B$174+1,AND($B$175&gt;0,841=$B$175+1))),IF(AND($B$170=1,$B$66&gt;0,OR($B$175=0,841&lt;=$B$175)),$B$66,IF($B$172-MAX(841-1,$B$174)&gt;0,IF(B1241=0,0,IF(C1241=0,B1241/($B$172-MAX(841-1,$B$174)),B1241*(C1241/12)/(1-(1+C1241/12)^(-($B$172-MAX(841-1,$B$174)))))),"")),D1240)))+0.0000001&gt;=B1241*C1241/12,MIN(B1241*(1+C1241/12),IF(AND(841&lt;=$B$174,841&lt;=$B$173),B1241*C1241/12,IF(AND(841=$B$173+1,AND(841&gt;$B$173,$B$78="Refinance",ISNUMBER($B$80),$B$80&gt;=0,$B$80&lt;=1,ROUND($B$81*12,0)&gt;=1,$B$81&lt;=100,SUM($B$82)&gt;=0,SUM($B$82)&lt;=1,SUM($B$83)&gt;=0)),IF(B1241=0,0,IF(C1241=0,B1241/ROUND($B$81*12,0),B1241*(C1241/12)/(1-(1+C1241/12)^(-ROUND($B$81*12,0))))),IF(AND(NOT(AND(841&gt;$B$173,$B$78="Refinance",ISNUMBER($B$80),$B$80&gt;=0,$B$80&lt;=1,ROUND($B$81*12,0)&gt;=1,$B$81&lt;=100,SUM($B$82)&gt;=0,SUM($B$82)&lt;=1,SUM($B$83)&gt;=0)),OR(841=1,841=$B$174+1,AND($B$175&gt;0,841=$B$175+1))),IF(AND($B$170=1,$B$66&gt;0,OR($B$175=0,841&lt;=$B$175)),$B$66,IF($B$172-MAX(841-1,$B$174)&gt;0,IF(B1241=0,0,IF(C1241=0,B1241/($B$172-MAX(841-1,$B$174)),B1241*(C1241/12)/(1-(1+C1241/12)^(-($B$172-MAX(841-1,$B$174)))))),"")),D1240)))),""),""))</x:f>
        <x:v>0</x:v>
      </x:c>
      <x:c r="E1241" s="440" t="n">
        <x:f>IF(AND(841=$B$173,ISNUMBER(D1241)),IF(MAX(0,B1241*(1+C1241/12)-D1241)&lt;MAX(0.0000001,$E$17*0.00000000001),0,MAX(0,B1241*(1+C1241/12)-D1241)),0)</x:f>
        <x:v>0</x:v>
      </x:c>
      <x:c r="F1241" s="440" t="n">
        <x:f>IF($B$78="Cash payoff",E1241,0)</x:f>
        <x:v>0</x:v>
      </x:c>
      <x:c r="G1241" s="440" t="n">
        <x:f>IF(AND(E1241&gt;0,AND($B$78="Refinance",ISNUMBER($B$80),$B$80&gt;=0,$B$80&lt;=1,ROUND($B$81*12,0)&gt;=1,$B$81&lt;=100,SUM($B$82)&gt;=0,SUM($B$82)&lt;=1,SUM($B$83)&gt;=0)),E1241*SUM($B$82)+SUM($B$83),0)</x:f>
        <x:v>0</x:v>
      </x:c>
      <x:c r="H1241" s="440" t="n">
        <x:f>IF(ISNUMBER(D1241),IF(MAX(0,B1241*(1+C1241/12)-D1241-F1241)&lt;MAX(0.0000001,$E$17*0.00000000001),0,MAX(0,B1241*(1+C1241/12)-D1241-F1241)),IF(AND($B$171=1,I1240=1),B1241,""))</x:f>
        <x:v>0</x:v>
      </x:c>
      <x:c r="I1241" s="444" t="n">
        <x:f>IF(OR(I1240=1,AND(E1241&gt;0,$B$78&lt;&gt;"Cash payoff",NOT(AND($B$78="Refinance",ISNUMBER($B$80),$B$80&gt;=0,$B$80&lt;=1,ROUND($B$81*12,0)&gt;=1,$B$81&lt;=100,SUM($B$82)&gt;=0,SUM($B$82)&lt;=1,SUM($B$83)&gt;=0))),AND(ISNUMBER(B1241),B1241&gt;0,$B$171=1,NOT(ISNUMBER(D1241)))),1,0)</x:f>
        <x:v>0</x:v>
      </x:c>
      <x:c r="J1241" s="440" t="n">
        <x:f>IF(ISNUMBER(L1240),L1240,"")</x:f>
        <x:v>0</x:v>
      </x:c>
      <x:c r="K1241" s="440" t="n">
        <x:f>IF(AND(ISNUMBER(J1241),J1241=0),0,IF(AND($B$176=1,ISNUMBER(J1241)),MIN(J1241*(1+$B$87/12),IF($B$86=0,0,IF($B$87=0,$B$86/ROUND($B$88*12,0),$B$86*($B$87/12)/(1-(1+$B$87/12)^(-ROUND($B$88*12,0)))))),""))</x:f>
        <x:v>0</x:v>
      </x:c>
      <x:c r="L1241" s="440" t="n">
        <x:f>IF(ISNUMBER(K1241),IF(MAX(0,J1241*(1+SUM($B$87)/12)-K1241)&lt;MAX(0.0000001,$B$86*0.00000000001),0,MAX(0,J1241*(1+SUM($B$87)/12)-K1241)),"")</x:f>
        <x:v>0</x:v>
      </x:c>
      <x:c r="M1241" s="440" t="n">
        <x:f>IF(AND(ISNUMBER(D1241),ISNUMBER(K1241)),D1241+K1241,"")</x:f>
        <x:v>0</x:v>
      </x:c>
      <x:c r="N1241" s="440" t="n">
        <x:f>IF(AND(ISNUMBER(H1241),ISNUMBER(L1241)),H1241+L1241,"")</x:f>
        <x:v>0</x:v>
      </x:c>
    </x:row>
    <x:row r="1242" ht="22" customHeight="1">
      <x:c r="A1242" s="254" t="n">
        <x:f>842</x:f>
        <x:v>842</x:v>
      </x:c>
      <x:c r="B1242" s="440" t="n">
        <x:f>IF(ISNUMBER(H1241),H1241,"")</x:f>
        <x:v>0</x:v>
      </x:c>
      <x:c r="C1242" s="442" t="n">
        <x:f>IF(ISNUMBER(B1242),IF(AND(842&gt;$B$173,$B$78="Refinance",ISNUMBER($B$80),$B$80&gt;=0,$B$80&lt;=1,ROUND($B$81*12,0)&gt;=1,$B$81&lt;=100,SUM($B$82)&gt;=0,SUM($B$82)&lt;=1,SUM($B$83)&gt;=0),$B$80,IF(AND($B$175&gt;0,842&gt;$B$175,ISNUMBER($B$75)),$B$75,$B$61)),"")</x:f>
        <x:v>0.0625</x:v>
      </x:c>
      <x:c r="D1242" s="440" t="n">
        <x:f>IF(AND(ISNUMBER(B1242),B1242=0),0,IF(AND($B$171=1,I1241=0,ISNUMBER(C1242),ISNUMBER(IF(AND(842&lt;=$B$174,842&lt;=$B$173),B1242*C1242/12,IF(AND(842=$B$173+1,AND(842&gt;$B$173,$B$78="Refinance",ISNUMBER($B$80),$B$80&gt;=0,$B$80&lt;=1,ROUND($B$81*12,0)&gt;=1,$B$81&lt;=100,SUM($B$82)&gt;=0,SUM($B$82)&lt;=1,SUM($B$83)&gt;=0)),IF(B1242=0,0,IF(C1242=0,B1242/ROUND($B$81*12,0),B1242*(C1242/12)/(1-(1+C1242/12)^(-ROUND($B$81*12,0))))),IF(AND(NOT(AND(842&gt;$B$173,$B$78="Refinance",ISNUMBER($B$80),$B$80&gt;=0,$B$80&lt;=1,ROUND($B$81*12,0)&gt;=1,$B$81&lt;=100,SUM($B$82)&gt;=0,SUM($B$82)&lt;=1,SUM($B$83)&gt;=0)),OR(842=1,842=$B$174+1,AND($B$175&gt;0,842=$B$175+1))),IF(AND($B$170=1,$B$66&gt;0,OR($B$175=0,842&lt;=$B$175)),$B$66,IF($B$172-MAX(842-1,$B$174)&gt;0,IF(B1242=0,0,IF(C1242=0,B1242/($B$172-MAX(842-1,$B$174)),B1242*(C1242/12)/(1-(1+C1242/12)^(-($B$172-MAX(842-1,$B$174)))))),"")),D1241))))),IF(IF(AND(842&lt;=$B$174,842&lt;=$B$173),B1242*C1242/12,IF(AND(842=$B$173+1,AND(842&gt;$B$173,$B$78="Refinance",ISNUMBER($B$80),$B$80&gt;=0,$B$80&lt;=1,ROUND($B$81*12,0)&gt;=1,$B$81&lt;=100,SUM($B$82)&gt;=0,SUM($B$82)&lt;=1,SUM($B$83)&gt;=0)),IF(B1242=0,0,IF(C1242=0,B1242/ROUND($B$81*12,0),B1242*(C1242/12)/(1-(1+C1242/12)^(-ROUND($B$81*12,0))))),IF(AND(NOT(AND(842&gt;$B$173,$B$78="Refinance",ISNUMBER($B$80),$B$80&gt;=0,$B$80&lt;=1,ROUND($B$81*12,0)&gt;=1,$B$81&lt;=100,SUM($B$82)&gt;=0,SUM($B$82)&lt;=1,SUM($B$83)&gt;=0)),OR(842=1,842=$B$174+1,AND($B$175&gt;0,842=$B$175+1))),IF(AND($B$170=1,$B$66&gt;0,OR($B$175=0,842&lt;=$B$175)),$B$66,IF($B$172-MAX(842-1,$B$174)&gt;0,IF(B1242=0,0,IF(C1242=0,B1242/($B$172-MAX(842-1,$B$174)),B1242*(C1242/12)/(1-(1+C1242/12)^(-($B$172-MAX(842-1,$B$174)))))),"")),D1241)))+0.0000001&gt;=B1242*C1242/12,MIN(B1242*(1+C1242/12),IF(AND(842&lt;=$B$174,842&lt;=$B$173),B1242*C1242/12,IF(AND(842=$B$173+1,AND(842&gt;$B$173,$B$78="Refinance",ISNUMBER($B$80),$B$80&gt;=0,$B$80&lt;=1,ROUND($B$81*12,0)&gt;=1,$B$81&lt;=100,SUM($B$82)&gt;=0,SUM($B$82)&lt;=1,SUM($B$83)&gt;=0)),IF(B1242=0,0,IF(C1242=0,B1242/ROUND($B$81*12,0),B1242*(C1242/12)/(1-(1+C1242/12)^(-ROUND($B$81*12,0))))),IF(AND(NOT(AND(842&gt;$B$173,$B$78="Refinance",ISNUMBER($B$80),$B$80&gt;=0,$B$80&lt;=1,ROUND($B$81*12,0)&gt;=1,$B$81&lt;=100,SUM($B$82)&gt;=0,SUM($B$82)&lt;=1,SUM($B$83)&gt;=0)),OR(842=1,842=$B$174+1,AND($B$175&gt;0,842=$B$175+1))),IF(AND($B$170=1,$B$66&gt;0,OR($B$175=0,842&lt;=$B$175)),$B$66,IF($B$172-MAX(842-1,$B$174)&gt;0,IF(B1242=0,0,IF(C1242=0,B1242/($B$172-MAX(842-1,$B$174)),B1242*(C1242/12)/(1-(1+C1242/12)^(-($B$172-MAX(842-1,$B$174)))))),"")),D1241)))),""),""))</x:f>
        <x:v>0</x:v>
      </x:c>
      <x:c r="E1242" s="440" t="n">
        <x:f>IF(AND(842=$B$173,ISNUMBER(D1242)),IF(MAX(0,B1242*(1+C1242/12)-D1242)&lt;MAX(0.0000001,$E$17*0.00000000001),0,MAX(0,B1242*(1+C1242/12)-D1242)),0)</x:f>
        <x:v>0</x:v>
      </x:c>
      <x:c r="F1242" s="440" t="n">
        <x:f>IF($B$78="Cash payoff",E1242,0)</x:f>
        <x:v>0</x:v>
      </x:c>
      <x:c r="G1242" s="440" t="n">
        <x:f>IF(AND(E1242&gt;0,AND($B$78="Refinance",ISNUMBER($B$80),$B$80&gt;=0,$B$80&lt;=1,ROUND($B$81*12,0)&gt;=1,$B$81&lt;=100,SUM($B$82)&gt;=0,SUM($B$82)&lt;=1,SUM($B$83)&gt;=0)),E1242*SUM($B$82)+SUM($B$83),0)</x:f>
        <x:v>0</x:v>
      </x:c>
      <x:c r="H1242" s="440" t="n">
        <x:f>IF(ISNUMBER(D1242),IF(MAX(0,B1242*(1+C1242/12)-D1242-F1242)&lt;MAX(0.0000001,$E$17*0.00000000001),0,MAX(0,B1242*(1+C1242/12)-D1242-F1242)),IF(AND($B$171=1,I1241=1),B1242,""))</x:f>
        <x:v>0</x:v>
      </x:c>
      <x:c r="I1242" s="444" t="n">
        <x:f>IF(OR(I1241=1,AND(E1242&gt;0,$B$78&lt;&gt;"Cash payoff",NOT(AND($B$78="Refinance",ISNUMBER($B$80),$B$80&gt;=0,$B$80&lt;=1,ROUND($B$81*12,0)&gt;=1,$B$81&lt;=100,SUM($B$82)&gt;=0,SUM($B$82)&lt;=1,SUM($B$83)&gt;=0))),AND(ISNUMBER(B1242),B1242&gt;0,$B$171=1,NOT(ISNUMBER(D1242)))),1,0)</x:f>
        <x:v>0</x:v>
      </x:c>
      <x:c r="J1242" s="440" t="n">
        <x:f>IF(ISNUMBER(L1241),L1241,"")</x:f>
        <x:v>0</x:v>
      </x:c>
      <x:c r="K1242" s="440" t="n">
        <x:f>IF(AND(ISNUMBER(J1242),J1242=0),0,IF(AND($B$176=1,ISNUMBER(J1242)),MIN(J1242*(1+$B$87/12),IF($B$86=0,0,IF($B$87=0,$B$86/ROUND($B$88*12,0),$B$86*($B$87/12)/(1-(1+$B$87/12)^(-ROUND($B$88*12,0)))))),""))</x:f>
        <x:v>0</x:v>
      </x:c>
      <x:c r="L1242" s="440" t="n">
        <x:f>IF(ISNUMBER(K1242),IF(MAX(0,J1242*(1+SUM($B$87)/12)-K1242)&lt;MAX(0.0000001,$B$86*0.00000000001),0,MAX(0,J1242*(1+SUM($B$87)/12)-K1242)),"")</x:f>
        <x:v>0</x:v>
      </x:c>
      <x:c r="M1242" s="440" t="n">
        <x:f>IF(AND(ISNUMBER(D1242),ISNUMBER(K1242)),D1242+K1242,"")</x:f>
        <x:v>0</x:v>
      </x:c>
      <x:c r="N1242" s="440" t="n">
        <x:f>IF(AND(ISNUMBER(H1242),ISNUMBER(L1242)),H1242+L1242,"")</x:f>
        <x:v>0</x:v>
      </x:c>
    </x:row>
    <x:row r="1243" ht="22" customHeight="1">
      <x:c r="A1243" s="254" t="n">
        <x:f>843</x:f>
        <x:v>843</x:v>
      </x:c>
      <x:c r="B1243" s="440" t="n">
        <x:f>IF(ISNUMBER(H1242),H1242,"")</x:f>
        <x:v>0</x:v>
      </x:c>
      <x:c r="C1243" s="442" t="n">
        <x:f>IF(ISNUMBER(B1243),IF(AND(843&gt;$B$173,$B$78="Refinance",ISNUMBER($B$80),$B$80&gt;=0,$B$80&lt;=1,ROUND($B$81*12,0)&gt;=1,$B$81&lt;=100,SUM($B$82)&gt;=0,SUM($B$82)&lt;=1,SUM($B$83)&gt;=0),$B$80,IF(AND($B$175&gt;0,843&gt;$B$175,ISNUMBER($B$75)),$B$75,$B$61)),"")</x:f>
        <x:v>0.0625</x:v>
      </x:c>
      <x:c r="D1243" s="440" t="n">
        <x:f>IF(AND(ISNUMBER(B1243),B1243=0),0,IF(AND($B$171=1,I1242=0,ISNUMBER(C1243),ISNUMBER(IF(AND(843&lt;=$B$174,843&lt;=$B$173),B1243*C1243/12,IF(AND(843=$B$173+1,AND(843&gt;$B$173,$B$78="Refinance",ISNUMBER($B$80),$B$80&gt;=0,$B$80&lt;=1,ROUND($B$81*12,0)&gt;=1,$B$81&lt;=100,SUM($B$82)&gt;=0,SUM($B$82)&lt;=1,SUM($B$83)&gt;=0)),IF(B1243=0,0,IF(C1243=0,B1243/ROUND($B$81*12,0),B1243*(C1243/12)/(1-(1+C1243/12)^(-ROUND($B$81*12,0))))),IF(AND(NOT(AND(843&gt;$B$173,$B$78="Refinance",ISNUMBER($B$80),$B$80&gt;=0,$B$80&lt;=1,ROUND($B$81*12,0)&gt;=1,$B$81&lt;=100,SUM($B$82)&gt;=0,SUM($B$82)&lt;=1,SUM($B$83)&gt;=0)),OR(843=1,843=$B$174+1,AND($B$175&gt;0,843=$B$175+1))),IF(AND($B$170=1,$B$66&gt;0,OR($B$175=0,843&lt;=$B$175)),$B$66,IF($B$172-MAX(843-1,$B$174)&gt;0,IF(B1243=0,0,IF(C1243=0,B1243/($B$172-MAX(843-1,$B$174)),B1243*(C1243/12)/(1-(1+C1243/12)^(-($B$172-MAX(843-1,$B$174)))))),"")),D1242))))),IF(IF(AND(843&lt;=$B$174,843&lt;=$B$173),B1243*C1243/12,IF(AND(843=$B$173+1,AND(843&gt;$B$173,$B$78="Refinance",ISNUMBER($B$80),$B$80&gt;=0,$B$80&lt;=1,ROUND($B$81*12,0)&gt;=1,$B$81&lt;=100,SUM($B$82)&gt;=0,SUM($B$82)&lt;=1,SUM($B$83)&gt;=0)),IF(B1243=0,0,IF(C1243=0,B1243/ROUND($B$81*12,0),B1243*(C1243/12)/(1-(1+C1243/12)^(-ROUND($B$81*12,0))))),IF(AND(NOT(AND(843&gt;$B$173,$B$78="Refinance",ISNUMBER($B$80),$B$80&gt;=0,$B$80&lt;=1,ROUND($B$81*12,0)&gt;=1,$B$81&lt;=100,SUM($B$82)&gt;=0,SUM($B$82)&lt;=1,SUM($B$83)&gt;=0)),OR(843=1,843=$B$174+1,AND($B$175&gt;0,843=$B$175+1))),IF(AND($B$170=1,$B$66&gt;0,OR($B$175=0,843&lt;=$B$175)),$B$66,IF($B$172-MAX(843-1,$B$174)&gt;0,IF(B1243=0,0,IF(C1243=0,B1243/($B$172-MAX(843-1,$B$174)),B1243*(C1243/12)/(1-(1+C1243/12)^(-($B$172-MAX(843-1,$B$174)))))),"")),D1242)))+0.0000001&gt;=B1243*C1243/12,MIN(B1243*(1+C1243/12),IF(AND(843&lt;=$B$174,843&lt;=$B$173),B1243*C1243/12,IF(AND(843=$B$173+1,AND(843&gt;$B$173,$B$78="Refinance",ISNUMBER($B$80),$B$80&gt;=0,$B$80&lt;=1,ROUND($B$81*12,0)&gt;=1,$B$81&lt;=100,SUM($B$82)&gt;=0,SUM($B$82)&lt;=1,SUM($B$83)&gt;=0)),IF(B1243=0,0,IF(C1243=0,B1243/ROUND($B$81*12,0),B1243*(C1243/12)/(1-(1+C1243/12)^(-ROUND($B$81*12,0))))),IF(AND(NOT(AND(843&gt;$B$173,$B$78="Refinance",ISNUMBER($B$80),$B$80&gt;=0,$B$80&lt;=1,ROUND($B$81*12,0)&gt;=1,$B$81&lt;=100,SUM($B$82)&gt;=0,SUM($B$82)&lt;=1,SUM($B$83)&gt;=0)),OR(843=1,843=$B$174+1,AND($B$175&gt;0,843=$B$175+1))),IF(AND($B$170=1,$B$66&gt;0,OR($B$175=0,843&lt;=$B$175)),$B$66,IF($B$172-MAX(843-1,$B$174)&gt;0,IF(B1243=0,0,IF(C1243=0,B1243/($B$172-MAX(843-1,$B$174)),B1243*(C1243/12)/(1-(1+C1243/12)^(-($B$172-MAX(843-1,$B$174)))))),"")),D1242)))),""),""))</x:f>
        <x:v>0</x:v>
      </x:c>
      <x:c r="E1243" s="440" t="n">
        <x:f>IF(AND(843=$B$173,ISNUMBER(D1243)),IF(MAX(0,B1243*(1+C1243/12)-D1243)&lt;MAX(0.0000001,$E$17*0.00000000001),0,MAX(0,B1243*(1+C1243/12)-D1243)),0)</x:f>
        <x:v>0</x:v>
      </x:c>
      <x:c r="F1243" s="440" t="n">
        <x:f>IF($B$78="Cash payoff",E1243,0)</x:f>
        <x:v>0</x:v>
      </x:c>
      <x:c r="G1243" s="440" t="n">
        <x:f>IF(AND(E1243&gt;0,AND($B$78="Refinance",ISNUMBER($B$80),$B$80&gt;=0,$B$80&lt;=1,ROUND($B$81*12,0)&gt;=1,$B$81&lt;=100,SUM($B$82)&gt;=0,SUM($B$82)&lt;=1,SUM($B$83)&gt;=0)),E1243*SUM($B$82)+SUM($B$83),0)</x:f>
        <x:v>0</x:v>
      </x:c>
      <x:c r="H1243" s="440" t="n">
        <x:f>IF(ISNUMBER(D1243),IF(MAX(0,B1243*(1+C1243/12)-D1243-F1243)&lt;MAX(0.0000001,$E$17*0.00000000001),0,MAX(0,B1243*(1+C1243/12)-D1243-F1243)),IF(AND($B$171=1,I1242=1),B1243,""))</x:f>
        <x:v>0</x:v>
      </x:c>
      <x:c r="I1243" s="444" t="n">
        <x:f>IF(OR(I1242=1,AND(E1243&gt;0,$B$78&lt;&gt;"Cash payoff",NOT(AND($B$78="Refinance",ISNUMBER($B$80),$B$80&gt;=0,$B$80&lt;=1,ROUND($B$81*12,0)&gt;=1,$B$81&lt;=100,SUM($B$82)&gt;=0,SUM($B$82)&lt;=1,SUM($B$83)&gt;=0))),AND(ISNUMBER(B1243),B1243&gt;0,$B$171=1,NOT(ISNUMBER(D1243)))),1,0)</x:f>
        <x:v>0</x:v>
      </x:c>
      <x:c r="J1243" s="440" t="n">
        <x:f>IF(ISNUMBER(L1242),L1242,"")</x:f>
        <x:v>0</x:v>
      </x:c>
      <x:c r="K1243" s="440" t="n">
        <x:f>IF(AND(ISNUMBER(J1243),J1243=0),0,IF(AND($B$176=1,ISNUMBER(J1243)),MIN(J1243*(1+$B$87/12),IF($B$86=0,0,IF($B$87=0,$B$86/ROUND($B$88*12,0),$B$86*($B$87/12)/(1-(1+$B$87/12)^(-ROUND($B$88*12,0)))))),""))</x:f>
        <x:v>0</x:v>
      </x:c>
      <x:c r="L1243" s="440" t="n">
        <x:f>IF(ISNUMBER(K1243),IF(MAX(0,J1243*(1+SUM($B$87)/12)-K1243)&lt;MAX(0.0000001,$B$86*0.00000000001),0,MAX(0,J1243*(1+SUM($B$87)/12)-K1243)),"")</x:f>
        <x:v>0</x:v>
      </x:c>
      <x:c r="M1243" s="440" t="n">
        <x:f>IF(AND(ISNUMBER(D1243),ISNUMBER(K1243)),D1243+K1243,"")</x:f>
        <x:v>0</x:v>
      </x:c>
      <x:c r="N1243" s="440" t="n">
        <x:f>IF(AND(ISNUMBER(H1243),ISNUMBER(L1243)),H1243+L1243,"")</x:f>
        <x:v>0</x:v>
      </x:c>
    </x:row>
    <x:row r="1244" ht="22" customHeight="1">
      <x:c r="A1244" s="254" t="n">
        <x:f>844</x:f>
        <x:v>844</x:v>
      </x:c>
      <x:c r="B1244" s="440" t="n">
        <x:f>IF(ISNUMBER(H1243),H1243,"")</x:f>
        <x:v>0</x:v>
      </x:c>
      <x:c r="C1244" s="442" t="n">
        <x:f>IF(ISNUMBER(B1244),IF(AND(844&gt;$B$173,$B$78="Refinance",ISNUMBER($B$80),$B$80&gt;=0,$B$80&lt;=1,ROUND($B$81*12,0)&gt;=1,$B$81&lt;=100,SUM($B$82)&gt;=0,SUM($B$82)&lt;=1,SUM($B$83)&gt;=0),$B$80,IF(AND($B$175&gt;0,844&gt;$B$175,ISNUMBER($B$75)),$B$75,$B$61)),"")</x:f>
        <x:v>0.0625</x:v>
      </x:c>
      <x:c r="D1244" s="440" t="n">
        <x:f>IF(AND(ISNUMBER(B1244),B1244=0),0,IF(AND($B$171=1,I1243=0,ISNUMBER(C1244),ISNUMBER(IF(AND(844&lt;=$B$174,844&lt;=$B$173),B1244*C1244/12,IF(AND(844=$B$173+1,AND(844&gt;$B$173,$B$78="Refinance",ISNUMBER($B$80),$B$80&gt;=0,$B$80&lt;=1,ROUND($B$81*12,0)&gt;=1,$B$81&lt;=100,SUM($B$82)&gt;=0,SUM($B$82)&lt;=1,SUM($B$83)&gt;=0)),IF(B1244=0,0,IF(C1244=0,B1244/ROUND($B$81*12,0),B1244*(C1244/12)/(1-(1+C1244/12)^(-ROUND($B$81*12,0))))),IF(AND(NOT(AND(844&gt;$B$173,$B$78="Refinance",ISNUMBER($B$80),$B$80&gt;=0,$B$80&lt;=1,ROUND($B$81*12,0)&gt;=1,$B$81&lt;=100,SUM($B$82)&gt;=0,SUM($B$82)&lt;=1,SUM($B$83)&gt;=0)),OR(844=1,844=$B$174+1,AND($B$175&gt;0,844=$B$175+1))),IF(AND($B$170=1,$B$66&gt;0,OR($B$175=0,844&lt;=$B$175)),$B$66,IF($B$172-MAX(844-1,$B$174)&gt;0,IF(B1244=0,0,IF(C1244=0,B1244/($B$172-MAX(844-1,$B$174)),B1244*(C1244/12)/(1-(1+C1244/12)^(-($B$172-MAX(844-1,$B$174)))))),"")),D1243))))),IF(IF(AND(844&lt;=$B$174,844&lt;=$B$173),B1244*C1244/12,IF(AND(844=$B$173+1,AND(844&gt;$B$173,$B$78="Refinance",ISNUMBER($B$80),$B$80&gt;=0,$B$80&lt;=1,ROUND($B$81*12,0)&gt;=1,$B$81&lt;=100,SUM($B$82)&gt;=0,SUM($B$82)&lt;=1,SUM($B$83)&gt;=0)),IF(B1244=0,0,IF(C1244=0,B1244/ROUND($B$81*12,0),B1244*(C1244/12)/(1-(1+C1244/12)^(-ROUND($B$81*12,0))))),IF(AND(NOT(AND(844&gt;$B$173,$B$78="Refinance",ISNUMBER($B$80),$B$80&gt;=0,$B$80&lt;=1,ROUND($B$81*12,0)&gt;=1,$B$81&lt;=100,SUM($B$82)&gt;=0,SUM($B$82)&lt;=1,SUM($B$83)&gt;=0)),OR(844=1,844=$B$174+1,AND($B$175&gt;0,844=$B$175+1))),IF(AND($B$170=1,$B$66&gt;0,OR($B$175=0,844&lt;=$B$175)),$B$66,IF($B$172-MAX(844-1,$B$174)&gt;0,IF(B1244=0,0,IF(C1244=0,B1244/($B$172-MAX(844-1,$B$174)),B1244*(C1244/12)/(1-(1+C1244/12)^(-($B$172-MAX(844-1,$B$174)))))),"")),D1243)))+0.0000001&gt;=B1244*C1244/12,MIN(B1244*(1+C1244/12),IF(AND(844&lt;=$B$174,844&lt;=$B$173),B1244*C1244/12,IF(AND(844=$B$173+1,AND(844&gt;$B$173,$B$78="Refinance",ISNUMBER($B$80),$B$80&gt;=0,$B$80&lt;=1,ROUND($B$81*12,0)&gt;=1,$B$81&lt;=100,SUM($B$82)&gt;=0,SUM($B$82)&lt;=1,SUM($B$83)&gt;=0)),IF(B1244=0,0,IF(C1244=0,B1244/ROUND($B$81*12,0),B1244*(C1244/12)/(1-(1+C1244/12)^(-ROUND($B$81*12,0))))),IF(AND(NOT(AND(844&gt;$B$173,$B$78="Refinance",ISNUMBER($B$80),$B$80&gt;=0,$B$80&lt;=1,ROUND($B$81*12,0)&gt;=1,$B$81&lt;=100,SUM($B$82)&gt;=0,SUM($B$82)&lt;=1,SUM($B$83)&gt;=0)),OR(844=1,844=$B$174+1,AND($B$175&gt;0,844=$B$175+1))),IF(AND($B$170=1,$B$66&gt;0,OR($B$175=0,844&lt;=$B$175)),$B$66,IF($B$172-MAX(844-1,$B$174)&gt;0,IF(B1244=0,0,IF(C1244=0,B1244/($B$172-MAX(844-1,$B$174)),B1244*(C1244/12)/(1-(1+C1244/12)^(-($B$172-MAX(844-1,$B$174)))))),"")),D1243)))),""),""))</x:f>
        <x:v>0</x:v>
      </x:c>
      <x:c r="E1244" s="440" t="n">
        <x:f>IF(AND(844=$B$173,ISNUMBER(D1244)),IF(MAX(0,B1244*(1+C1244/12)-D1244)&lt;MAX(0.0000001,$E$17*0.00000000001),0,MAX(0,B1244*(1+C1244/12)-D1244)),0)</x:f>
        <x:v>0</x:v>
      </x:c>
      <x:c r="F1244" s="440" t="n">
        <x:f>IF($B$78="Cash payoff",E1244,0)</x:f>
        <x:v>0</x:v>
      </x:c>
      <x:c r="G1244" s="440" t="n">
        <x:f>IF(AND(E1244&gt;0,AND($B$78="Refinance",ISNUMBER($B$80),$B$80&gt;=0,$B$80&lt;=1,ROUND($B$81*12,0)&gt;=1,$B$81&lt;=100,SUM($B$82)&gt;=0,SUM($B$82)&lt;=1,SUM($B$83)&gt;=0)),E1244*SUM($B$82)+SUM($B$83),0)</x:f>
        <x:v>0</x:v>
      </x:c>
      <x:c r="H1244" s="440" t="n">
        <x:f>IF(ISNUMBER(D1244),IF(MAX(0,B1244*(1+C1244/12)-D1244-F1244)&lt;MAX(0.0000001,$E$17*0.00000000001),0,MAX(0,B1244*(1+C1244/12)-D1244-F1244)),IF(AND($B$171=1,I1243=1),B1244,""))</x:f>
        <x:v>0</x:v>
      </x:c>
      <x:c r="I1244" s="444" t="n">
        <x:f>IF(OR(I1243=1,AND(E1244&gt;0,$B$78&lt;&gt;"Cash payoff",NOT(AND($B$78="Refinance",ISNUMBER($B$80),$B$80&gt;=0,$B$80&lt;=1,ROUND($B$81*12,0)&gt;=1,$B$81&lt;=100,SUM($B$82)&gt;=0,SUM($B$82)&lt;=1,SUM($B$83)&gt;=0))),AND(ISNUMBER(B1244),B1244&gt;0,$B$171=1,NOT(ISNUMBER(D1244)))),1,0)</x:f>
        <x:v>0</x:v>
      </x:c>
      <x:c r="J1244" s="440" t="n">
        <x:f>IF(ISNUMBER(L1243),L1243,"")</x:f>
        <x:v>0</x:v>
      </x:c>
      <x:c r="K1244" s="440" t="n">
        <x:f>IF(AND(ISNUMBER(J1244),J1244=0),0,IF(AND($B$176=1,ISNUMBER(J1244)),MIN(J1244*(1+$B$87/12),IF($B$86=0,0,IF($B$87=0,$B$86/ROUND($B$88*12,0),$B$86*($B$87/12)/(1-(1+$B$87/12)^(-ROUND($B$88*12,0)))))),""))</x:f>
        <x:v>0</x:v>
      </x:c>
      <x:c r="L1244" s="440" t="n">
        <x:f>IF(ISNUMBER(K1244),IF(MAX(0,J1244*(1+SUM($B$87)/12)-K1244)&lt;MAX(0.0000001,$B$86*0.00000000001),0,MAX(0,J1244*(1+SUM($B$87)/12)-K1244)),"")</x:f>
        <x:v>0</x:v>
      </x:c>
      <x:c r="M1244" s="440" t="n">
        <x:f>IF(AND(ISNUMBER(D1244),ISNUMBER(K1244)),D1244+K1244,"")</x:f>
        <x:v>0</x:v>
      </x:c>
      <x:c r="N1244" s="440" t="n">
        <x:f>IF(AND(ISNUMBER(H1244),ISNUMBER(L1244)),H1244+L1244,"")</x:f>
        <x:v>0</x:v>
      </x:c>
    </x:row>
    <x:row r="1245" ht="22" customHeight="1">
      <x:c r="A1245" s="254" t="n">
        <x:f>845</x:f>
        <x:v>845</x:v>
      </x:c>
      <x:c r="B1245" s="440" t="n">
        <x:f>IF(ISNUMBER(H1244),H1244,"")</x:f>
        <x:v>0</x:v>
      </x:c>
      <x:c r="C1245" s="442" t="n">
        <x:f>IF(ISNUMBER(B1245),IF(AND(845&gt;$B$173,$B$78="Refinance",ISNUMBER($B$80),$B$80&gt;=0,$B$80&lt;=1,ROUND($B$81*12,0)&gt;=1,$B$81&lt;=100,SUM($B$82)&gt;=0,SUM($B$82)&lt;=1,SUM($B$83)&gt;=0),$B$80,IF(AND($B$175&gt;0,845&gt;$B$175,ISNUMBER($B$75)),$B$75,$B$61)),"")</x:f>
        <x:v>0.0625</x:v>
      </x:c>
      <x:c r="D1245" s="440" t="n">
        <x:f>IF(AND(ISNUMBER(B1245),B1245=0),0,IF(AND($B$171=1,I1244=0,ISNUMBER(C1245),ISNUMBER(IF(AND(845&lt;=$B$174,845&lt;=$B$173),B1245*C1245/12,IF(AND(845=$B$173+1,AND(845&gt;$B$173,$B$78="Refinance",ISNUMBER($B$80),$B$80&gt;=0,$B$80&lt;=1,ROUND($B$81*12,0)&gt;=1,$B$81&lt;=100,SUM($B$82)&gt;=0,SUM($B$82)&lt;=1,SUM($B$83)&gt;=0)),IF(B1245=0,0,IF(C1245=0,B1245/ROUND($B$81*12,0),B1245*(C1245/12)/(1-(1+C1245/12)^(-ROUND($B$81*12,0))))),IF(AND(NOT(AND(845&gt;$B$173,$B$78="Refinance",ISNUMBER($B$80),$B$80&gt;=0,$B$80&lt;=1,ROUND($B$81*12,0)&gt;=1,$B$81&lt;=100,SUM($B$82)&gt;=0,SUM($B$82)&lt;=1,SUM($B$83)&gt;=0)),OR(845=1,845=$B$174+1,AND($B$175&gt;0,845=$B$175+1))),IF(AND($B$170=1,$B$66&gt;0,OR($B$175=0,845&lt;=$B$175)),$B$66,IF($B$172-MAX(845-1,$B$174)&gt;0,IF(B1245=0,0,IF(C1245=0,B1245/($B$172-MAX(845-1,$B$174)),B1245*(C1245/12)/(1-(1+C1245/12)^(-($B$172-MAX(845-1,$B$174)))))),"")),D1244))))),IF(IF(AND(845&lt;=$B$174,845&lt;=$B$173),B1245*C1245/12,IF(AND(845=$B$173+1,AND(845&gt;$B$173,$B$78="Refinance",ISNUMBER($B$80),$B$80&gt;=0,$B$80&lt;=1,ROUND($B$81*12,0)&gt;=1,$B$81&lt;=100,SUM($B$82)&gt;=0,SUM($B$82)&lt;=1,SUM($B$83)&gt;=0)),IF(B1245=0,0,IF(C1245=0,B1245/ROUND($B$81*12,0),B1245*(C1245/12)/(1-(1+C1245/12)^(-ROUND($B$81*12,0))))),IF(AND(NOT(AND(845&gt;$B$173,$B$78="Refinance",ISNUMBER($B$80),$B$80&gt;=0,$B$80&lt;=1,ROUND($B$81*12,0)&gt;=1,$B$81&lt;=100,SUM($B$82)&gt;=0,SUM($B$82)&lt;=1,SUM($B$83)&gt;=0)),OR(845=1,845=$B$174+1,AND($B$175&gt;0,845=$B$175+1))),IF(AND($B$170=1,$B$66&gt;0,OR($B$175=0,845&lt;=$B$175)),$B$66,IF($B$172-MAX(845-1,$B$174)&gt;0,IF(B1245=0,0,IF(C1245=0,B1245/($B$172-MAX(845-1,$B$174)),B1245*(C1245/12)/(1-(1+C1245/12)^(-($B$172-MAX(845-1,$B$174)))))),"")),D1244)))+0.0000001&gt;=B1245*C1245/12,MIN(B1245*(1+C1245/12),IF(AND(845&lt;=$B$174,845&lt;=$B$173),B1245*C1245/12,IF(AND(845=$B$173+1,AND(845&gt;$B$173,$B$78="Refinance",ISNUMBER($B$80),$B$80&gt;=0,$B$80&lt;=1,ROUND($B$81*12,0)&gt;=1,$B$81&lt;=100,SUM($B$82)&gt;=0,SUM($B$82)&lt;=1,SUM($B$83)&gt;=0)),IF(B1245=0,0,IF(C1245=0,B1245/ROUND($B$81*12,0),B1245*(C1245/12)/(1-(1+C1245/12)^(-ROUND($B$81*12,0))))),IF(AND(NOT(AND(845&gt;$B$173,$B$78="Refinance",ISNUMBER($B$80),$B$80&gt;=0,$B$80&lt;=1,ROUND($B$81*12,0)&gt;=1,$B$81&lt;=100,SUM($B$82)&gt;=0,SUM($B$82)&lt;=1,SUM($B$83)&gt;=0)),OR(845=1,845=$B$174+1,AND($B$175&gt;0,845=$B$175+1))),IF(AND($B$170=1,$B$66&gt;0,OR($B$175=0,845&lt;=$B$175)),$B$66,IF($B$172-MAX(845-1,$B$174)&gt;0,IF(B1245=0,0,IF(C1245=0,B1245/($B$172-MAX(845-1,$B$174)),B1245*(C1245/12)/(1-(1+C1245/12)^(-($B$172-MAX(845-1,$B$174)))))),"")),D1244)))),""),""))</x:f>
        <x:v>0</x:v>
      </x:c>
      <x:c r="E1245" s="440" t="n">
        <x:f>IF(AND(845=$B$173,ISNUMBER(D1245)),IF(MAX(0,B1245*(1+C1245/12)-D1245)&lt;MAX(0.0000001,$E$17*0.00000000001),0,MAX(0,B1245*(1+C1245/12)-D1245)),0)</x:f>
        <x:v>0</x:v>
      </x:c>
      <x:c r="F1245" s="440" t="n">
        <x:f>IF($B$78="Cash payoff",E1245,0)</x:f>
        <x:v>0</x:v>
      </x:c>
      <x:c r="G1245" s="440" t="n">
        <x:f>IF(AND(E1245&gt;0,AND($B$78="Refinance",ISNUMBER($B$80),$B$80&gt;=0,$B$80&lt;=1,ROUND($B$81*12,0)&gt;=1,$B$81&lt;=100,SUM($B$82)&gt;=0,SUM($B$82)&lt;=1,SUM($B$83)&gt;=0)),E1245*SUM($B$82)+SUM($B$83),0)</x:f>
        <x:v>0</x:v>
      </x:c>
      <x:c r="H1245" s="440" t="n">
        <x:f>IF(ISNUMBER(D1245),IF(MAX(0,B1245*(1+C1245/12)-D1245-F1245)&lt;MAX(0.0000001,$E$17*0.00000000001),0,MAX(0,B1245*(1+C1245/12)-D1245-F1245)),IF(AND($B$171=1,I1244=1),B1245,""))</x:f>
        <x:v>0</x:v>
      </x:c>
      <x:c r="I1245" s="444" t="n">
        <x:f>IF(OR(I1244=1,AND(E1245&gt;0,$B$78&lt;&gt;"Cash payoff",NOT(AND($B$78="Refinance",ISNUMBER($B$80),$B$80&gt;=0,$B$80&lt;=1,ROUND($B$81*12,0)&gt;=1,$B$81&lt;=100,SUM($B$82)&gt;=0,SUM($B$82)&lt;=1,SUM($B$83)&gt;=0))),AND(ISNUMBER(B1245),B1245&gt;0,$B$171=1,NOT(ISNUMBER(D1245)))),1,0)</x:f>
        <x:v>0</x:v>
      </x:c>
      <x:c r="J1245" s="440" t="n">
        <x:f>IF(ISNUMBER(L1244),L1244,"")</x:f>
        <x:v>0</x:v>
      </x:c>
      <x:c r="K1245" s="440" t="n">
        <x:f>IF(AND(ISNUMBER(J1245),J1245=0),0,IF(AND($B$176=1,ISNUMBER(J1245)),MIN(J1245*(1+$B$87/12),IF($B$86=0,0,IF($B$87=0,$B$86/ROUND($B$88*12,0),$B$86*($B$87/12)/(1-(1+$B$87/12)^(-ROUND($B$88*12,0)))))),""))</x:f>
        <x:v>0</x:v>
      </x:c>
      <x:c r="L1245" s="440" t="n">
        <x:f>IF(ISNUMBER(K1245),IF(MAX(0,J1245*(1+SUM($B$87)/12)-K1245)&lt;MAX(0.0000001,$B$86*0.00000000001),0,MAX(0,J1245*(1+SUM($B$87)/12)-K1245)),"")</x:f>
        <x:v>0</x:v>
      </x:c>
      <x:c r="M1245" s="440" t="n">
        <x:f>IF(AND(ISNUMBER(D1245),ISNUMBER(K1245)),D1245+K1245,"")</x:f>
        <x:v>0</x:v>
      </x:c>
      <x:c r="N1245" s="440" t="n">
        <x:f>IF(AND(ISNUMBER(H1245),ISNUMBER(L1245)),H1245+L1245,"")</x:f>
        <x:v>0</x:v>
      </x:c>
    </x:row>
    <x:row r="1246" ht="22" customHeight="1">
      <x:c r="A1246" s="254" t="n">
        <x:f>846</x:f>
        <x:v>846</x:v>
      </x:c>
      <x:c r="B1246" s="440" t="n">
        <x:f>IF(ISNUMBER(H1245),H1245,"")</x:f>
        <x:v>0</x:v>
      </x:c>
      <x:c r="C1246" s="442" t="n">
        <x:f>IF(ISNUMBER(B1246),IF(AND(846&gt;$B$173,$B$78="Refinance",ISNUMBER($B$80),$B$80&gt;=0,$B$80&lt;=1,ROUND($B$81*12,0)&gt;=1,$B$81&lt;=100,SUM($B$82)&gt;=0,SUM($B$82)&lt;=1,SUM($B$83)&gt;=0),$B$80,IF(AND($B$175&gt;0,846&gt;$B$175,ISNUMBER($B$75)),$B$75,$B$61)),"")</x:f>
        <x:v>0.0625</x:v>
      </x:c>
      <x:c r="D1246" s="440" t="n">
        <x:f>IF(AND(ISNUMBER(B1246),B1246=0),0,IF(AND($B$171=1,I1245=0,ISNUMBER(C1246),ISNUMBER(IF(AND(846&lt;=$B$174,846&lt;=$B$173),B1246*C1246/12,IF(AND(846=$B$173+1,AND(846&gt;$B$173,$B$78="Refinance",ISNUMBER($B$80),$B$80&gt;=0,$B$80&lt;=1,ROUND($B$81*12,0)&gt;=1,$B$81&lt;=100,SUM($B$82)&gt;=0,SUM($B$82)&lt;=1,SUM($B$83)&gt;=0)),IF(B1246=0,0,IF(C1246=0,B1246/ROUND($B$81*12,0),B1246*(C1246/12)/(1-(1+C1246/12)^(-ROUND($B$81*12,0))))),IF(AND(NOT(AND(846&gt;$B$173,$B$78="Refinance",ISNUMBER($B$80),$B$80&gt;=0,$B$80&lt;=1,ROUND($B$81*12,0)&gt;=1,$B$81&lt;=100,SUM($B$82)&gt;=0,SUM($B$82)&lt;=1,SUM($B$83)&gt;=0)),OR(846=1,846=$B$174+1,AND($B$175&gt;0,846=$B$175+1))),IF(AND($B$170=1,$B$66&gt;0,OR($B$175=0,846&lt;=$B$175)),$B$66,IF($B$172-MAX(846-1,$B$174)&gt;0,IF(B1246=0,0,IF(C1246=0,B1246/($B$172-MAX(846-1,$B$174)),B1246*(C1246/12)/(1-(1+C1246/12)^(-($B$172-MAX(846-1,$B$174)))))),"")),D1245))))),IF(IF(AND(846&lt;=$B$174,846&lt;=$B$173),B1246*C1246/12,IF(AND(846=$B$173+1,AND(846&gt;$B$173,$B$78="Refinance",ISNUMBER($B$80),$B$80&gt;=0,$B$80&lt;=1,ROUND($B$81*12,0)&gt;=1,$B$81&lt;=100,SUM($B$82)&gt;=0,SUM($B$82)&lt;=1,SUM($B$83)&gt;=0)),IF(B1246=0,0,IF(C1246=0,B1246/ROUND($B$81*12,0),B1246*(C1246/12)/(1-(1+C1246/12)^(-ROUND($B$81*12,0))))),IF(AND(NOT(AND(846&gt;$B$173,$B$78="Refinance",ISNUMBER($B$80),$B$80&gt;=0,$B$80&lt;=1,ROUND($B$81*12,0)&gt;=1,$B$81&lt;=100,SUM($B$82)&gt;=0,SUM($B$82)&lt;=1,SUM($B$83)&gt;=0)),OR(846=1,846=$B$174+1,AND($B$175&gt;0,846=$B$175+1))),IF(AND($B$170=1,$B$66&gt;0,OR($B$175=0,846&lt;=$B$175)),$B$66,IF($B$172-MAX(846-1,$B$174)&gt;0,IF(B1246=0,0,IF(C1246=0,B1246/($B$172-MAX(846-1,$B$174)),B1246*(C1246/12)/(1-(1+C1246/12)^(-($B$172-MAX(846-1,$B$174)))))),"")),D1245)))+0.0000001&gt;=B1246*C1246/12,MIN(B1246*(1+C1246/12),IF(AND(846&lt;=$B$174,846&lt;=$B$173),B1246*C1246/12,IF(AND(846=$B$173+1,AND(846&gt;$B$173,$B$78="Refinance",ISNUMBER($B$80),$B$80&gt;=0,$B$80&lt;=1,ROUND($B$81*12,0)&gt;=1,$B$81&lt;=100,SUM($B$82)&gt;=0,SUM($B$82)&lt;=1,SUM($B$83)&gt;=0)),IF(B1246=0,0,IF(C1246=0,B1246/ROUND($B$81*12,0),B1246*(C1246/12)/(1-(1+C1246/12)^(-ROUND($B$81*12,0))))),IF(AND(NOT(AND(846&gt;$B$173,$B$78="Refinance",ISNUMBER($B$80),$B$80&gt;=0,$B$80&lt;=1,ROUND($B$81*12,0)&gt;=1,$B$81&lt;=100,SUM($B$82)&gt;=0,SUM($B$82)&lt;=1,SUM($B$83)&gt;=0)),OR(846=1,846=$B$174+1,AND($B$175&gt;0,846=$B$175+1))),IF(AND($B$170=1,$B$66&gt;0,OR($B$175=0,846&lt;=$B$175)),$B$66,IF($B$172-MAX(846-1,$B$174)&gt;0,IF(B1246=0,0,IF(C1246=0,B1246/($B$172-MAX(846-1,$B$174)),B1246*(C1246/12)/(1-(1+C1246/12)^(-($B$172-MAX(846-1,$B$174)))))),"")),D1245)))),""),""))</x:f>
        <x:v>0</x:v>
      </x:c>
      <x:c r="E1246" s="440" t="n">
        <x:f>IF(AND(846=$B$173,ISNUMBER(D1246)),IF(MAX(0,B1246*(1+C1246/12)-D1246)&lt;MAX(0.0000001,$E$17*0.00000000001),0,MAX(0,B1246*(1+C1246/12)-D1246)),0)</x:f>
        <x:v>0</x:v>
      </x:c>
      <x:c r="F1246" s="440" t="n">
        <x:f>IF($B$78="Cash payoff",E1246,0)</x:f>
        <x:v>0</x:v>
      </x:c>
      <x:c r="G1246" s="440" t="n">
        <x:f>IF(AND(E1246&gt;0,AND($B$78="Refinance",ISNUMBER($B$80),$B$80&gt;=0,$B$80&lt;=1,ROUND($B$81*12,0)&gt;=1,$B$81&lt;=100,SUM($B$82)&gt;=0,SUM($B$82)&lt;=1,SUM($B$83)&gt;=0)),E1246*SUM($B$82)+SUM($B$83),0)</x:f>
        <x:v>0</x:v>
      </x:c>
      <x:c r="H1246" s="440" t="n">
        <x:f>IF(ISNUMBER(D1246),IF(MAX(0,B1246*(1+C1246/12)-D1246-F1246)&lt;MAX(0.0000001,$E$17*0.00000000001),0,MAX(0,B1246*(1+C1246/12)-D1246-F1246)),IF(AND($B$171=1,I1245=1),B1246,""))</x:f>
        <x:v>0</x:v>
      </x:c>
      <x:c r="I1246" s="444" t="n">
        <x:f>IF(OR(I1245=1,AND(E1246&gt;0,$B$78&lt;&gt;"Cash payoff",NOT(AND($B$78="Refinance",ISNUMBER($B$80),$B$80&gt;=0,$B$80&lt;=1,ROUND($B$81*12,0)&gt;=1,$B$81&lt;=100,SUM($B$82)&gt;=0,SUM($B$82)&lt;=1,SUM($B$83)&gt;=0))),AND(ISNUMBER(B1246),B1246&gt;0,$B$171=1,NOT(ISNUMBER(D1246)))),1,0)</x:f>
        <x:v>0</x:v>
      </x:c>
      <x:c r="J1246" s="440" t="n">
        <x:f>IF(ISNUMBER(L1245),L1245,"")</x:f>
        <x:v>0</x:v>
      </x:c>
      <x:c r="K1246" s="440" t="n">
        <x:f>IF(AND(ISNUMBER(J1246),J1246=0),0,IF(AND($B$176=1,ISNUMBER(J1246)),MIN(J1246*(1+$B$87/12),IF($B$86=0,0,IF($B$87=0,$B$86/ROUND($B$88*12,0),$B$86*($B$87/12)/(1-(1+$B$87/12)^(-ROUND($B$88*12,0)))))),""))</x:f>
        <x:v>0</x:v>
      </x:c>
      <x:c r="L1246" s="440" t="n">
        <x:f>IF(ISNUMBER(K1246),IF(MAX(0,J1246*(1+SUM($B$87)/12)-K1246)&lt;MAX(0.0000001,$B$86*0.00000000001),0,MAX(0,J1246*(1+SUM($B$87)/12)-K1246)),"")</x:f>
        <x:v>0</x:v>
      </x:c>
      <x:c r="M1246" s="440" t="n">
        <x:f>IF(AND(ISNUMBER(D1246),ISNUMBER(K1246)),D1246+K1246,"")</x:f>
        <x:v>0</x:v>
      </x:c>
      <x:c r="N1246" s="440" t="n">
        <x:f>IF(AND(ISNUMBER(H1246),ISNUMBER(L1246)),H1246+L1246,"")</x:f>
        <x:v>0</x:v>
      </x:c>
    </x:row>
    <x:row r="1247" ht="22" customHeight="1">
      <x:c r="A1247" s="254" t="n">
        <x:f>847</x:f>
        <x:v>847</x:v>
      </x:c>
      <x:c r="B1247" s="440" t="n">
        <x:f>IF(ISNUMBER(H1246),H1246,"")</x:f>
        <x:v>0</x:v>
      </x:c>
      <x:c r="C1247" s="442" t="n">
        <x:f>IF(ISNUMBER(B1247),IF(AND(847&gt;$B$173,$B$78="Refinance",ISNUMBER($B$80),$B$80&gt;=0,$B$80&lt;=1,ROUND($B$81*12,0)&gt;=1,$B$81&lt;=100,SUM($B$82)&gt;=0,SUM($B$82)&lt;=1,SUM($B$83)&gt;=0),$B$80,IF(AND($B$175&gt;0,847&gt;$B$175,ISNUMBER($B$75)),$B$75,$B$61)),"")</x:f>
        <x:v>0.0625</x:v>
      </x:c>
      <x:c r="D1247" s="440" t="n">
        <x:f>IF(AND(ISNUMBER(B1247),B1247=0),0,IF(AND($B$171=1,I1246=0,ISNUMBER(C1247),ISNUMBER(IF(AND(847&lt;=$B$174,847&lt;=$B$173),B1247*C1247/12,IF(AND(847=$B$173+1,AND(847&gt;$B$173,$B$78="Refinance",ISNUMBER($B$80),$B$80&gt;=0,$B$80&lt;=1,ROUND($B$81*12,0)&gt;=1,$B$81&lt;=100,SUM($B$82)&gt;=0,SUM($B$82)&lt;=1,SUM($B$83)&gt;=0)),IF(B1247=0,0,IF(C1247=0,B1247/ROUND($B$81*12,0),B1247*(C1247/12)/(1-(1+C1247/12)^(-ROUND($B$81*12,0))))),IF(AND(NOT(AND(847&gt;$B$173,$B$78="Refinance",ISNUMBER($B$80),$B$80&gt;=0,$B$80&lt;=1,ROUND($B$81*12,0)&gt;=1,$B$81&lt;=100,SUM($B$82)&gt;=0,SUM($B$82)&lt;=1,SUM($B$83)&gt;=0)),OR(847=1,847=$B$174+1,AND($B$175&gt;0,847=$B$175+1))),IF(AND($B$170=1,$B$66&gt;0,OR($B$175=0,847&lt;=$B$175)),$B$66,IF($B$172-MAX(847-1,$B$174)&gt;0,IF(B1247=0,0,IF(C1247=0,B1247/($B$172-MAX(847-1,$B$174)),B1247*(C1247/12)/(1-(1+C1247/12)^(-($B$172-MAX(847-1,$B$174)))))),"")),D1246))))),IF(IF(AND(847&lt;=$B$174,847&lt;=$B$173),B1247*C1247/12,IF(AND(847=$B$173+1,AND(847&gt;$B$173,$B$78="Refinance",ISNUMBER($B$80),$B$80&gt;=0,$B$80&lt;=1,ROUND($B$81*12,0)&gt;=1,$B$81&lt;=100,SUM($B$82)&gt;=0,SUM($B$82)&lt;=1,SUM($B$83)&gt;=0)),IF(B1247=0,0,IF(C1247=0,B1247/ROUND($B$81*12,0),B1247*(C1247/12)/(1-(1+C1247/12)^(-ROUND($B$81*12,0))))),IF(AND(NOT(AND(847&gt;$B$173,$B$78="Refinance",ISNUMBER($B$80),$B$80&gt;=0,$B$80&lt;=1,ROUND($B$81*12,0)&gt;=1,$B$81&lt;=100,SUM($B$82)&gt;=0,SUM($B$82)&lt;=1,SUM($B$83)&gt;=0)),OR(847=1,847=$B$174+1,AND($B$175&gt;0,847=$B$175+1))),IF(AND($B$170=1,$B$66&gt;0,OR($B$175=0,847&lt;=$B$175)),$B$66,IF($B$172-MAX(847-1,$B$174)&gt;0,IF(B1247=0,0,IF(C1247=0,B1247/($B$172-MAX(847-1,$B$174)),B1247*(C1247/12)/(1-(1+C1247/12)^(-($B$172-MAX(847-1,$B$174)))))),"")),D1246)))+0.0000001&gt;=B1247*C1247/12,MIN(B1247*(1+C1247/12),IF(AND(847&lt;=$B$174,847&lt;=$B$173),B1247*C1247/12,IF(AND(847=$B$173+1,AND(847&gt;$B$173,$B$78="Refinance",ISNUMBER($B$80),$B$80&gt;=0,$B$80&lt;=1,ROUND($B$81*12,0)&gt;=1,$B$81&lt;=100,SUM($B$82)&gt;=0,SUM($B$82)&lt;=1,SUM($B$83)&gt;=0)),IF(B1247=0,0,IF(C1247=0,B1247/ROUND($B$81*12,0),B1247*(C1247/12)/(1-(1+C1247/12)^(-ROUND($B$81*12,0))))),IF(AND(NOT(AND(847&gt;$B$173,$B$78="Refinance",ISNUMBER($B$80),$B$80&gt;=0,$B$80&lt;=1,ROUND($B$81*12,0)&gt;=1,$B$81&lt;=100,SUM($B$82)&gt;=0,SUM($B$82)&lt;=1,SUM($B$83)&gt;=0)),OR(847=1,847=$B$174+1,AND($B$175&gt;0,847=$B$175+1))),IF(AND($B$170=1,$B$66&gt;0,OR($B$175=0,847&lt;=$B$175)),$B$66,IF($B$172-MAX(847-1,$B$174)&gt;0,IF(B1247=0,0,IF(C1247=0,B1247/($B$172-MAX(847-1,$B$174)),B1247*(C1247/12)/(1-(1+C1247/12)^(-($B$172-MAX(847-1,$B$174)))))),"")),D1246)))),""),""))</x:f>
        <x:v>0</x:v>
      </x:c>
      <x:c r="E1247" s="440" t="n">
        <x:f>IF(AND(847=$B$173,ISNUMBER(D1247)),IF(MAX(0,B1247*(1+C1247/12)-D1247)&lt;MAX(0.0000001,$E$17*0.00000000001),0,MAX(0,B1247*(1+C1247/12)-D1247)),0)</x:f>
        <x:v>0</x:v>
      </x:c>
      <x:c r="F1247" s="440" t="n">
        <x:f>IF($B$78="Cash payoff",E1247,0)</x:f>
        <x:v>0</x:v>
      </x:c>
      <x:c r="G1247" s="440" t="n">
        <x:f>IF(AND(E1247&gt;0,AND($B$78="Refinance",ISNUMBER($B$80),$B$80&gt;=0,$B$80&lt;=1,ROUND($B$81*12,0)&gt;=1,$B$81&lt;=100,SUM($B$82)&gt;=0,SUM($B$82)&lt;=1,SUM($B$83)&gt;=0)),E1247*SUM($B$82)+SUM($B$83),0)</x:f>
        <x:v>0</x:v>
      </x:c>
      <x:c r="H1247" s="440" t="n">
        <x:f>IF(ISNUMBER(D1247),IF(MAX(0,B1247*(1+C1247/12)-D1247-F1247)&lt;MAX(0.0000001,$E$17*0.00000000001),0,MAX(0,B1247*(1+C1247/12)-D1247-F1247)),IF(AND($B$171=1,I1246=1),B1247,""))</x:f>
        <x:v>0</x:v>
      </x:c>
      <x:c r="I1247" s="444" t="n">
        <x:f>IF(OR(I1246=1,AND(E1247&gt;0,$B$78&lt;&gt;"Cash payoff",NOT(AND($B$78="Refinance",ISNUMBER($B$80),$B$80&gt;=0,$B$80&lt;=1,ROUND($B$81*12,0)&gt;=1,$B$81&lt;=100,SUM($B$82)&gt;=0,SUM($B$82)&lt;=1,SUM($B$83)&gt;=0))),AND(ISNUMBER(B1247),B1247&gt;0,$B$171=1,NOT(ISNUMBER(D1247)))),1,0)</x:f>
        <x:v>0</x:v>
      </x:c>
      <x:c r="J1247" s="440" t="n">
        <x:f>IF(ISNUMBER(L1246),L1246,"")</x:f>
        <x:v>0</x:v>
      </x:c>
      <x:c r="K1247" s="440" t="n">
        <x:f>IF(AND(ISNUMBER(J1247),J1247=0),0,IF(AND($B$176=1,ISNUMBER(J1247)),MIN(J1247*(1+$B$87/12),IF($B$86=0,0,IF($B$87=0,$B$86/ROUND($B$88*12,0),$B$86*($B$87/12)/(1-(1+$B$87/12)^(-ROUND($B$88*12,0)))))),""))</x:f>
        <x:v>0</x:v>
      </x:c>
      <x:c r="L1247" s="440" t="n">
        <x:f>IF(ISNUMBER(K1247),IF(MAX(0,J1247*(1+SUM($B$87)/12)-K1247)&lt;MAX(0.0000001,$B$86*0.00000000001),0,MAX(0,J1247*(1+SUM($B$87)/12)-K1247)),"")</x:f>
        <x:v>0</x:v>
      </x:c>
      <x:c r="M1247" s="440" t="n">
        <x:f>IF(AND(ISNUMBER(D1247),ISNUMBER(K1247)),D1247+K1247,"")</x:f>
        <x:v>0</x:v>
      </x:c>
      <x:c r="N1247" s="440" t="n">
        <x:f>IF(AND(ISNUMBER(H1247),ISNUMBER(L1247)),H1247+L1247,"")</x:f>
        <x:v>0</x:v>
      </x:c>
    </x:row>
    <x:row r="1248" ht="22" customHeight="1">
      <x:c r="A1248" s="254" t="n">
        <x:f>848</x:f>
        <x:v>848</x:v>
      </x:c>
      <x:c r="B1248" s="440" t="n">
        <x:f>IF(ISNUMBER(H1247),H1247,"")</x:f>
        <x:v>0</x:v>
      </x:c>
      <x:c r="C1248" s="442" t="n">
        <x:f>IF(ISNUMBER(B1248),IF(AND(848&gt;$B$173,$B$78="Refinance",ISNUMBER($B$80),$B$80&gt;=0,$B$80&lt;=1,ROUND($B$81*12,0)&gt;=1,$B$81&lt;=100,SUM($B$82)&gt;=0,SUM($B$82)&lt;=1,SUM($B$83)&gt;=0),$B$80,IF(AND($B$175&gt;0,848&gt;$B$175,ISNUMBER($B$75)),$B$75,$B$61)),"")</x:f>
        <x:v>0.0625</x:v>
      </x:c>
      <x:c r="D1248" s="440" t="n">
        <x:f>IF(AND(ISNUMBER(B1248),B1248=0),0,IF(AND($B$171=1,I1247=0,ISNUMBER(C1248),ISNUMBER(IF(AND(848&lt;=$B$174,848&lt;=$B$173),B1248*C1248/12,IF(AND(848=$B$173+1,AND(848&gt;$B$173,$B$78="Refinance",ISNUMBER($B$80),$B$80&gt;=0,$B$80&lt;=1,ROUND($B$81*12,0)&gt;=1,$B$81&lt;=100,SUM($B$82)&gt;=0,SUM($B$82)&lt;=1,SUM($B$83)&gt;=0)),IF(B1248=0,0,IF(C1248=0,B1248/ROUND($B$81*12,0),B1248*(C1248/12)/(1-(1+C1248/12)^(-ROUND($B$81*12,0))))),IF(AND(NOT(AND(848&gt;$B$173,$B$78="Refinance",ISNUMBER($B$80),$B$80&gt;=0,$B$80&lt;=1,ROUND($B$81*12,0)&gt;=1,$B$81&lt;=100,SUM($B$82)&gt;=0,SUM($B$82)&lt;=1,SUM($B$83)&gt;=0)),OR(848=1,848=$B$174+1,AND($B$175&gt;0,848=$B$175+1))),IF(AND($B$170=1,$B$66&gt;0,OR($B$175=0,848&lt;=$B$175)),$B$66,IF($B$172-MAX(848-1,$B$174)&gt;0,IF(B1248=0,0,IF(C1248=0,B1248/($B$172-MAX(848-1,$B$174)),B1248*(C1248/12)/(1-(1+C1248/12)^(-($B$172-MAX(848-1,$B$174)))))),"")),D1247))))),IF(IF(AND(848&lt;=$B$174,848&lt;=$B$173),B1248*C1248/12,IF(AND(848=$B$173+1,AND(848&gt;$B$173,$B$78="Refinance",ISNUMBER($B$80),$B$80&gt;=0,$B$80&lt;=1,ROUND($B$81*12,0)&gt;=1,$B$81&lt;=100,SUM($B$82)&gt;=0,SUM($B$82)&lt;=1,SUM($B$83)&gt;=0)),IF(B1248=0,0,IF(C1248=0,B1248/ROUND($B$81*12,0),B1248*(C1248/12)/(1-(1+C1248/12)^(-ROUND($B$81*12,0))))),IF(AND(NOT(AND(848&gt;$B$173,$B$78="Refinance",ISNUMBER($B$80),$B$80&gt;=0,$B$80&lt;=1,ROUND($B$81*12,0)&gt;=1,$B$81&lt;=100,SUM($B$82)&gt;=0,SUM($B$82)&lt;=1,SUM($B$83)&gt;=0)),OR(848=1,848=$B$174+1,AND($B$175&gt;0,848=$B$175+1))),IF(AND($B$170=1,$B$66&gt;0,OR($B$175=0,848&lt;=$B$175)),$B$66,IF($B$172-MAX(848-1,$B$174)&gt;0,IF(B1248=0,0,IF(C1248=0,B1248/($B$172-MAX(848-1,$B$174)),B1248*(C1248/12)/(1-(1+C1248/12)^(-($B$172-MAX(848-1,$B$174)))))),"")),D1247)))+0.0000001&gt;=B1248*C1248/12,MIN(B1248*(1+C1248/12),IF(AND(848&lt;=$B$174,848&lt;=$B$173),B1248*C1248/12,IF(AND(848=$B$173+1,AND(848&gt;$B$173,$B$78="Refinance",ISNUMBER($B$80),$B$80&gt;=0,$B$80&lt;=1,ROUND($B$81*12,0)&gt;=1,$B$81&lt;=100,SUM($B$82)&gt;=0,SUM($B$82)&lt;=1,SUM($B$83)&gt;=0)),IF(B1248=0,0,IF(C1248=0,B1248/ROUND($B$81*12,0),B1248*(C1248/12)/(1-(1+C1248/12)^(-ROUND($B$81*12,0))))),IF(AND(NOT(AND(848&gt;$B$173,$B$78="Refinance",ISNUMBER($B$80),$B$80&gt;=0,$B$80&lt;=1,ROUND($B$81*12,0)&gt;=1,$B$81&lt;=100,SUM($B$82)&gt;=0,SUM($B$82)&lt;=1,SUM($B$83)&gt;=0)),OR(848=1,848=$B$174+1,AND($B$175&gt;0,848=$B$175+1))),IF(AND($B$170=1,$B$66&gt;0,OR($B$175=0,848&lt;=$B$175)),$B$66,IF($B$172-MAX(848-1,$B$174)&gt;0,IF(B1248=0,0,IF(C1248=0,B1248/($B$172-MAX(848-1,$B$174)),B1248*(C1248/12)/(1-(1+C1248/12)^(-($B$172-MAX(848-1,$B$174)))))),"")),D1247)))),""),""))</x:f>
        <x:v>0</x:v>
      </x:c>
      <x:c r="E1248" s="440" t="n">
        <x:f>IF(AND(848=$B$173,ISNUMBER(D1248)),IF(MAX(0,B1248*(1+C1248/12)-D1248)&lt;MAX(0.0000001,$E$17*0.00000000001),0,MAX(0,B1248*(1+C1248/12)-D1248)),0)</x:f>
        <x:v>0</x:v>
      </x:c>
      <x:c r="F1248" s="440" t="n">
        <x:f>IF($B$78="Cash payoff",E1248,0)</x:f>
        <x:v>0</x:v>
      </x:c>
      <x:c r="G1248" s="440" t="n">
        <x:f>IF(AND(E1248&gt;0,AND($B$78="Refinance",ISNUMBER($B$80),$B$80&gt;=0,$B$80&lt;=1,ROUND($B$81*12,0)&gt;=1,$B$81&lt;=100,SUM($B$82)&gt;=0,SUM($B$82)&lt;=1,SUM($B$83)&gt;=0)),E1248*SUM($B$82)+SUM($B$83),0)</x:f>
        <x:v>0</x:v>
      </x:c>
      <x:c r="H1248" s="440" t="n">
        <x:f>IF(ISNUMBER(D1248),IF(MAX(0,B1248*(1+C1248/12)-D1248-F1248)&lt;MAX(0.0000001,$E$17*0.00000000001),0,MAX(0,B1248*(1+C1248/12)-D1248-F1248)),IF(AND($B$171=1,I1247=1),B1248,""))</x:f>
        <x:v>0</x:v>
      </x:c>
      <x:c r="I1248" s="444" t="n">
        <x:f>IF(OR(I1247=1,AND(E1248&gt;0,$B$78&lt;&gt;"Cash payoff",NOT(AND($B$78="Refinance",ISNUMBER($B$80),$B$80&gt;=0,$B$80&lt;=1,ROUND($B$81*12,0)&gt;=1,$B$81&lt;=100,SUM($B$82)&gt;=0,SUM($B$82)&lt;=1,SUM($B$83)&gt;=0))),AND(ISNUMBER(B1248),B1248&gt;0,$B$171=1,NOT(ISNUMBER(D1248)))),1,0)</x:f>
        <x:v>0</x:v>
      </x:c>
      <x:c r="J1248" s="440" t="n">
        <x:f>IF(ISNUMBER(L1247),L1247,"")</x:f>
        <x:v>0</x:v>
      </x:c>
      <x:c r="K1248" s="440" t="n">
        <x:f>IF(AND(ISNUMBER(J1248),J1248=0),0,IF(AND($B$176=1,ISNUMBER(J1248)),MIN(J1248*(1+$B$87/12),IF($B$86=0,0,IF($B$87=0,$B$86/ROUND($B$88*12,0),$B$86*($B$87/12)/(1-(1+$B$87/12)^(-ROUND($B$88*12,0)))))),""))</x:f>
        <x:v>0</x:v>
      </x:c>
      <x:c r="L1248" s="440" t="n">
        <x:f>IF(ISNUMBER(K1248),IF(MAX(0,J1248*(1+SUM($B$87)/12)-K1248)&lt;MAX(0.0000001,$B$86*0.00000000001),0,MAX(0,J1248*(1+SUM($B$87)/12)-K1248)),"")</x:f>
        <x:v>0</x:v>
      </x:c>
      <x:c r="M1248" s="440" t="n">
        <x:f>IF(AND(ISNUMBER(D1248),ISNUMBER(K1248)),D1248+K1248,"")</x:f>
        <x:v>0</x:v>
      </x:c>
      <x:c r="N1248" s="440" t="n">
        <x:f>IF(AND(ISNUMBER(H1248),ISNUMBER(L1248)),H1248+L1248,"")</x:f>
        <x:v>0</x:v>
      </x:c>
    </x:row>
    <x:row r="1249" ht="22" customHeight="1">
      <x:c r="A1249" s="254" t="n">
        <x:f>849</x:f>
        <x:v>849</x:v>
      </x:c>
      <x:c r="B1249" s="440" t="n">
        <x:f>IF(ISNUMBER(H1248),H1248,"")</x:f>
        <x:v>0</x:v>
      </x:c>
      <x:c r="C1249" s="442" t="n">
        <x:f>IF(ISNUMBER(B1249),IF(AND(849&gt;$B$173,$B$78="Refinance",ISNUMBER($B$80),$B$80&gt;=0,$B$80&lt;=1,ROUND($B$81*12,0)&gt;=1,$B$81&lt;=100,SUM($B$82)&gt;=0,SUM($B$82)&lt;=1,SUM($B$83)&gt;=0),$B$80,IF(AND($B$175&gt;0,849&gt;$B$175,ISNUMBER($B$75)),$B$75,$B$61)),"")</x:f>
        <x:v>0.0625</x:v>
      </x:c>
      <x:c r="D1249" s="440" t="n">
        <x:f>IF(AND(ISNUMBER(B1249),B1249=0),0,IF(AND($B$171=1,I1248=0,ISNUMBER(C1249),ISNUMBER(IF(AND(849&lt;=$B$174,849&lt;=$B$173),B1249*C1249/12,IF(AND(849=$B$173+1,AND(849&gt;$B$173,$B$78="Refinance",ISNUMBER($B$80),$B$80&gt;=0,$B$80&lt;=1,ROUND($B$81*12,0)&gt;=1,$B$81&lt;=100,SUM($B$82)&gt;=0,SUM($B$82)&lt;=1,SUM($B$83)&gt;=0)),IF(B1249=0,0,IF(C1249=0,B1249/ROUND($B$81*12,0),B1249*(C1249/12)/(1-(1+C1249/12)^(-ROUND($B$81*12,0))))),IF(AND(NOT(AND(849&gt;$B$173,$B$78="Refinance",ISNUMBER($B$80),$B$80&gt;=0,$B$80&lt;=1,ROUND($B$81*12,0)&gt;=1,$B$81&lt;=100,SUM($B$82)&gt;=0,SUM($B$82)&lt;=1,SUM($B$83)&gt;=0)),OR(849=1,849=$B$174+1,AND($B$175&gt;0,849=$B$175+1))),IF(AND($B$170=1,$B$66&gt;0,OR($B$175=0,849&lt;=$B$175)),$B$66,IF($B$172-MAX(849-1,$B$174)&gt;0,IF(B1249=0,0,IF(C1249=0,B1249/($B$172-MAX(849-1,$B$174)),B1249*(C1249/12)/(1-(1+C1249/12)^(-($B$172-MAX(849-1,$B$174)))))),"")),D1248))))),IF(IF(AND(849&lt;=$B$174,849&lt;=$B$173),B1249*C1249/12,IF(AND(849=$B$173+1,AND(849&gt;$B$173,$B$78="Refinance",ISNUMBER($B$80),$B$80&gt;=0,$B$80&lt;=1,ROUND($B$81*12,0)&gt;=1,$B$81&lt;=100,SUM($B$82)&gt;=0,SUM($B$82)&lt;=1,SUM($B$83)&gt;=0)),IF(B1249=0,0,IF(C1249=0,B1249/ROUND($B$81*12,0),B1249*(C1249/12)/(1-(1+C1249/12)^(-ROUND($B$81*12,0))))),IF(AND(NOT(AND(849&gt;$B$173,$B$78="Refinance",ISNUMBER($B$80),$B$80&gt;=0,$B$80&lt;=1,ROUND($B$81*12,0)&gt;=1,$B$81&lt;=100,SUM($B$82)&gt;=0,SUM($B$82)&lt;=1,SUM($B$83)&gt;=0)),OR(849=1,849=$B$174+1,AND($B$175&gt;0,849=$B$175+1))),IF(AND($B$170=1,$B$66&gt;0,OR($B$175=0,849&lt;=$B$175)),$B$66,IF($B$172-MAX(849-1,$B$174)&gt;0,IF(B1249=0,0,IF(C1249=0,B1249/($B$172-MAX(849-1,$B$174)),B1249*(C1249/12)/(1-(1+C1249/12)^(-($B$172-MAX(849-1,$B$174)))))),"")),D1248)))+0.0000001&gt;=B1249*C1249/12,MIN(B1249*(1+C1249/12),IF(AND(849&lt;=$B$174,849&lt;=$B$173),B1249*C1249/12,IF(AND(849=$B$173+1,AND(849&gt;$B$173,$B$78="Refinance",ISNUMBER($B$80),$B$80&gt;=0,$B$80&lt;=1,ROUND($B$81*12,0)&gt;=1,$B$81&lt;=100,SUM($B$82)&gt;=0,SUM($B$82)&lt;=1,SUM($B$83)&gt;=0)),IF(B1249=0,0,IF(C1249=0,B1249/ROUND($B$81*12,0),B1249*(C1249/12)/(1-(1+C1249/12)^(-ROUND($B$81*12,0))))),IF(AND(NOT(AND(849&gt;$B$173,$B$78="Refinance",ISNUMBER($B$80),$B$80&gt;=0,$B$80&lt;=1,ROUND($B$81*12,0)&gt;=1,$B$81&lt;=100,SUM($B$82)&gt;=0,SUM($B$82)&lt;=1,SUM($B$83)&gt;=0)),OR(849=1,849=$B$174+1,AND($B$175&gt;0,849=$B$175+1))),IF(AND($B$170=1,$B$66&gt;0,OR($B$175=0,849&lt;=$B$175)),$B$66,IF($B$172-MAX(849-1,$B$174)&gt;0,IF(B1249=0,0,IF(C1249=0,B1249/($B$172-MAX(849-1,$B$174)),B1249*(C1249/12)/(1-(1+C1249/12)^(-($B$172-MAX(849-1,$B$174)))))),"")),D1248)))),""),""))</x:f>
        <x:v>0</x:v>
      </x:c>
      <x:c r="E1249" s="440" t="n">
        <x:f>IF(AND(849=$B$173,ISNUMBER(D1249)),IF(MAX(0,B1249*(1+C1249/12)-D1249)&lt;MAX(0.0000001,$E$17*0.00000000001),0,MAX(0,B1249*(1+C1249/12)-D1249)),0)</x:f>
        <x:v>0</x:v>
      </x:c>
      <x:c r="F1249" s="440" t="n">
        <x:f>IF($B$78="Cash payoff",E1249,0)</x:f>
        <x:v>0</x:v>
      </x:c>
      <x:c r="G1249" s="440" t="n">
        <x:f>IF(AND(E1249&gt;0,AND($B$78="Refinance",ISNUMBER($B$80),$B$80&gt;=0,$B$80&lt;=1,ROUND($B$81*12,0)&gt;=1,$B$81&lt;=100,SUM($B$82)&gt;=0,SUM($B$82)&lt;=1,SUM($B$83)&gt;=0)),E1249*SUM($B$82)+SUM($B$83),0)</x:f>
        <x:v>0</x:v>
      </x:c>
      <x:c r="H1249" s="440" t="n">
        <x:f>IF(ISNUMBER(D1249),IF(MAX(0,B1249*(1+C1249/12)-D1249-F1249)&lt;MAX(0.0000001,$E$17*0.00000000001),0,MAX(0,B1249*(1+C1249/12)-D1249-F1249)),IF(AND($B$171=1,I1248=1),B1249,""))</x:f>
        <x:v>0</x:v>
      </x:c>
      <x:c r="I1249" s="444" t="n">
        <x:f>IF(OR(I1248=1,AND(E1249&gt;0,$B$78&lt;&gt;"Cash payoff",NOT(AND($B$78="Refinance",ISNUMBER($B$80),$B$80&gt;=0,$B$80&lt;=1,ROUND($B$81*12,0)&gt;=1,$B$81&lt;=100,SUM($B$82)&gt;=0,SUM($B$82)&lt;=1,SUM($B$83)&gt;=0))),AND(ISNUMBER(B1249),B1249&gt;0,$B$171=1,NOT(ISNUMBER(D1249)))),1,0)</x:f>
        <x:v>0</x:v>
      </x:c>
      <x:c r="J1249" s="440" t="n">
        <x:f>IF(ISNUMBER(L1248),L1248,"")</x:f>
        <x:v>0</x:v>
      </x:c>
      <x:c r="K1249" s="440" t="n">
        <x:f>IF(AND(ISNUMBER(J1249),J1249=0),0,IF(AND($B$176=1,ISNUMBER(J1249)),MIN(J1249*(1+$B$87/12),IF($B$86=0,0,IF($B$87=0,$B$86/ROUND($B$88*12,0),$B$86*($B$87/12)/(1-(1+$B$87/12)^(-ROUND($B$88*12,0)))))),""))</x:f>
        <x:v>0</x:v>
      </x:c>
      <x:c r="L1249" s="440" t="n">
        <x:f>IF(ISNUMBER(K1249),IF(MAX(0,J1249*(1+SUM($B$87)/12)-K1249)&lt;MAX(0.0000001,$B$86*0.00000000001),0,MAX(0,J1249*(1+SUM($B$87)/12)-K1249)),"")</x:f>
        <x:v>0</x:v>
      </x:c>
      <x:c r="M1249" s="440" t="n">
        <x:f>IF(AND(ISNUMBER(D1249),ISNUMBER(K1249)),D1249+K1249,"")</x:f>
        <x:v>0</x:v>
      </x:c>
      <x:c r="N1249" s="440" t="n">
        <x:f>IF(AND(ISNUMBER(H1249),ISNUMBER(L1249)),H1249+L1249,"")</x:f>
        <x:v>0</x:v>
      </x:c>
    </x:row>
    <x:row r="1250" ht="22" customHeight="1">
      <x:c r="A1250" s="254" t="n">
        <x:f>850</x:f>
        <x:v>850</x:v>
      </x:c>
      <x:c r="B1250" s="440" t="n">
        <x:f>IF(ISNUMBER(H1249),H1249,"")</x:f>
        <x:v>0</x:v>
      </x:c>
      <x:c r="C1250" s="442" t="n">
        <x:f>IF(ISNUMBER(B1250),IF(AND(850&gt;$B$173,$B$78="Refinance",ISNUMBER($B$80),$B$80&gt;=0,$B$80&lt;=1,ROUND($B$81*12,0)&gt;=1,$B$81&lt;=100,SUM($B$82)&gt;=0,SUM($B$82)&lt;=1,SUM($B$83)&gt;=0),$B$80,IF(AND($B$175&gt;0,850&gt;$B$175,ISNUMBER($B$75)),$B$75,$B$61)),"")</x:f>
        <x:v>0.0625</x:v>
      </x:c>
      <x:c r="D1250" s="440" t="n">
        <x:f>IF(AND(ISNUMBER(B1250),B1250=0),0,IF(AND($B$171=1,I1249=0,ISNUMBER(C1250),ISNUMBER(IF(AND(850&lt;=$B$174,850&lt;=$B$173),B1250*C1250/12,IF(AND(850=$B$173+1,AND(850&gt;$B$173,$B$78="Refinance",ISNUMBER($B$80),$B$80&gt;=0,$B$80&lt;=1,ROUND($B$81*12,0)&gt;=1,$B$81&lt;=100,SUM($B$82)&gt;=0,SUM($B$82)&lt;=1,SUM($B$83)&gt;=0)),IF(B1250=0,0,IF(C1250=0,B1250/ROUND($B$81*12,0),B1250*(C1250/12)/(1-(1+C1250/12)^(-ROUND($B$81*12,0))))),IF(AND(NOT(AND(850&gt;$B$173,$B$78="Refinance",ISNUMBER($B$80),$B$80&gt;=0,$B$80&lt;=1,ROUND($B$81*12,0)&gt;=1,$B$81&lt;=100,SUM($B$82)&gt;=0,SUM($B$82)&lt;=1,SUM($B$83)&gt;=0)),OR(850=1,850=$B$174+1,AND($B$175&gt;0,850=$B$175+1))),IF(AND($B$170=1,$B$66&gt;0,OR($B$175=0,850&lt;=$B$175)),$B$66,IF($B$172-MAX(850-1,$B$174)&gt;0,IF(B1250=0,0,IF(C1250=0,B1250/($B$172-MAX(850-1,$B$174)),B1250*(C1250/12)/(1-(1+C1250/12)^(-($B$172-MAX(850-1,$B$174)))))),"")),D1249))))),IF(IF(AND(850&lt;=$B$174,850&lt;=$B$173),B1250*C1250/12,IF(AND(850=$B$173+1,AND(850&gt;$B$173,$B$78="Refinance",ISNUMBER($B$80),$B$80&gt;=0,$B$80&lt;=1,ROUND($B$81*12,0)&gt;=1,$B$81&lt;=100,SUM($B$82)&gt;=0,SUM($B$82)&lt;=1,SUM($B$83)&gt;=0)),IF(B1250=0,0,IF(C1250=0,B1250/ROUND($B$81*12,0),B1250*(C1250/12)/(1-(1+C1250/12)^(-ROUND($B$81*12,0))))),IF(AND(NOT(AND(850&gt;$B$173,$B$78="Refinance",ISNUMBER($B$80),$B$80&gt;=0,$B$80&lt;=1,ROUND($B$81*12,0)&gt;=1,$B$81&lt;=100,SUM($B$82)&gt;=0,SUM($B$82)&lt;=1,SUM($B$83)&gt;=0)),OR(850=1,850=$B$174+1,AND($B$175&gt;0,850=$B$175+1))),IF(AND($B$170=1,$B$66&gt;0,OR($B$175=0,850&lt;=$B$175)),$B$66,IF($B$172-MAX(850-1,$B$174)&gt;0,IF(B1250=0,0,IF(C1250=0,B1250/($B$172-MAX(850-1,$B$174)),B1250*(C1250/12)/(1-(1+C1250/12)^(-($B$172-MAX(850-1,$B$174)))))),"")),D1249)))+0.0000001&gt;=B1250*C1250/12,MIN(B1250*(1+C1250/12),IF(AND(850&lt;=$B$174,850&lt;=$B$173),B1250*C1250/12,IF(AND(850=$B$173+1,AND(850&gt;$B$173,$B$78="Refinance",ISNUMBER($B$80),$B$80&gt;=0,$B$80&lt;=1,ROUND($B$81*12,0)&gt;=1,$B$81&lt;=100,SUM($B$82)&gt;=0,SUM($B$82)&lt;=1,SUM($B$83)&gt;=0)),IF(B1250=0,0,IF(C1250=0,B1250/ROUND($B$81*12,0),B1250*(C1250/12)/(1-(1+C1250/12)^(-ROUND($B$81*12,0))))),IF(AND(NOT(AND(850&gt;$B$173,$B$78="Refinance",ISNUMBER($B$80),$B$80&gt;=0,$B$80&lt;=1,ROUND($B$81*12,0)&gt;=1,$B$81&lt;=100,SUM($B$82)&gt;=0,SUM($B$82)&lt;=1,SUM($B$83)&gt;=0)),OR(850=1,850=$B$174+1,AND($B$175&gt;0,850=$B$175+1))),IF(AND($B$170=1,$B$66&gt;0,OR($B$175=0,850&lt;=$B$175)),$B$66,IF($B$172-MAX(850-1,$B$174)&gt;0,IF(B1250=0,0,IF(C1250=0,B1250/($B$172-MAX(850-1,$B$174)),B1250*(C1250/12)/(1-(1+C1250/12)^(-($B$172-MAX(850-1,$B$174)))))),"")),D1249)))),""),""))</x:f>
        <x:v>0</x:v>
      </x:c>
      <x:c r="E1250" s="440" t="n">
        <x:f>IF(AND(850=$B$173,ISNUMBER(D1250)),IF(MAX(0,B1250*(1+C1250/12)-D1250)&lt;MAX(0.0000001,$E$17*0.00000000001),0,MAX(0,B1250*(1+C1250/12)-D1250)),0)</x:f>
        <x:v>0</x:v>
      </x:c>
      <x:c r="F1250" s="440" t="n">
        <x:f>IF($B$78="Cash payoff",E1250,0)</x:f>
        <x:v>0</x:v>
      </x:c>
      <x:c r="G1250" s="440" t="n">
        <x:f>IF(AND(E1250&gt;0,AND($B$78="Refinance",ISNUMBER($B$80),$B$80&gt;=0,$B$80&lt;=1,ROUND($B$81*12,0)&gt;=1,$B$81&lt;=100,SUM($B$82)&gt;=0,SUM($B$82)&lt;=1,SUM($B$83)&gt;=0)),E1250*SUM($B$82)+SUM($B$83),0)</x:f>
        <x:v>0</x:v>
      </x:c>
      <x:c r="H1250" s="440" t="n">
        <x:f>IF(ISNUMBER(D1250),IF(MAX(0,B1250*(1+C1250/12)-D1250-F1250)&lt;MAX(0.0000001,$E$17*0.00000000001),0,MAX(0,B1250*(1+C1250/12)-D1250-F1250)),IF(AND($B$171=1,I1249=1),B1250,""))</x:f>
        <x:v>0</x:v>
      </x:c>
      <x:c r="I1250" s="444" t="n">
        <x:f>IF(OR(I1249=1,AND(E1250&gt;0,$B$78&lt;&gt;"Cash payoff",NOT(AND($B$78="Refinance",ISNUMBER($B$80),$B$80&gt;=0,$B$80&lt;=1,ROUND($B$81*12,0)&gt;=1,$B$81&lt;=100,SUM($B$82)&gt;=0,SUM($B$82)&lt;=1,SUM($B$83)&gt;=0))),AND(ISNUMBER(B1250),B1250&gt;0,$B$171=1,NOT(ISNUMBER(D1250)))),1,0)</x:f>
        <x:v>0</x:v>
      </x:c>
      <x:c r="J1250" s="440" t="n">
        <x:f>IF(ISNUMBER(L1249),L1249,"")</x:f>
        <x:v>0</x:v>
      </x:c>
      <x:c r="K1250" s="440" t="n">
        <x:f>IF(AND(ISNUMBER(J1250),J1250=0),0,IF(AND($B$176=1,ISNUMBER(J1250)),MIN(J1250*(1+$B$87/12),IF($B$86=0,0,IF($B$87=0,$B$86/ROUND($B$88*12,0),$B$86*($B$87/12)/(1-(1+$B$87/12)^(-ROUND($B$88*12,0)))))),""))</x:f>
        <x:v>0</x:v>
      </x:c>
      <x:c r="L1250" s="440" t="n">
        <x:f>IF(ISNUMBER(K1250),IF(MAX(0,J1250*(1+SUM($B$87)/12)-K1250)&lt;MAX(0.0000001,$B$86*0.00000000001),0,MAX(0,J1250*(1+SUM($B$87)/12)-K1250)),"")</x:f>
        <x:v>0</x:v>
      </x:c>
      <x:c r="M1250" s="440" t="n">
        <x:f>IF(AND(ISNUMBER(D1250),ISNUMBER(K1250)),D1250+K1250,"")</x:f>
        <x:v>0</x:v>
      </x:c>
      <x:c r="N1250" s="440" t="n">
        <x:f>IF(AND(ISNUMBER(H1250),ISNUMBER(L1250)),H1250+L1250,"")</x:f>
        <x:v>0</x:v>
      </x:c>
    </x:row>
    <x:row r="1251" ht="22" customHeight="1">
      <x:c r="A1251" s="254" t="n">
        <x:f>851</x:f>
        <x:v>851</x:v>
      </x:c>
      <x:c r="B1251" s="440" t="n">
        <x:f>IF(ISNUMBER(H1250),H1250,"")</x:f>
        <x:v>0</x:v>
      </x:c>
      <x:c r="C1251" s="442" t="n">
        <x:f>IF(ISNUMBER(B1251),IF(AND(851&gt;$B$173,$B$78="Refinance",ISNUMBER($B$80),$B$80&gt;=0,$B$80&lt;=1,ROUND($B$81*12,0)&gt;=1,$B$81&lt;=100,SUM($B$82)&gt;=0,SUM($B$82)&lt;=1,SUM($B$83)&gt;=0),$B$80,IF(AND($B$175&gt;0,851&gt;$B$175,ISNUMBER($B$75)),$B$75,$B$61)),"")</x:f>
        <x:v>0.0625</x:v>
      </x:c>
      <x:c r="D1251" s="440" t="n">
        <x:f>IF(AND(ISNUMBER(B1251),B1251=0),0,IF(AND($B$171=1,I1250=0,ISNUMBER(C1251),ISNUMBER(IF(AND(851&lt;=$B$174,851&lt;=$B$173),B1251*C1251/12,IF(AND(851=$B$173+1,AND(851&gt;$B$173,$B$78="Refinance",ISNUMBER($B$80),$B$80&gt;=0,$B$80&lt;=1,ROUND($B$81*12,0)&gt;=1,$B$81&lt;=100,SUM($B$82)&gt;=0,SUM($B$82)&lt;=1,SUM($B$83)&gt;=0)),IF(B1251=0,0,IF(C1251=0,B1251/ROUND($B$81*12,0),B1251*(C1251/12)/(1-(1+C1251/12)^(-ROUND($B$81*12,0))))),IF(AND(NOT(AND(851&gt;$B$173,$B$78="Refinance",ISNUMBER($B$80),$B$80&gt;=0,$B$80&lt;=1,ROUND($B$81*12,0)&gt;=1,$B$81&lt;=100,SUM($B$82)&gt;=0,SUM($B$82)&lt;=1,SUM($B$83)&gt;=0)),OR(851=1,851=$B$174+1,AND($B$175&gt;0,851=$B$175+1))),IF(AND($B$170=1,$B$66&gt;0,OR($B$175=0,851&lt;=$B$175)),$B$66,IF($B$172-MAX(851-1,$B$174)&gt;0,IF(B1251=0,0,IF(C1251=0,B1251/($B$172-MAX(851-1,$B$174)),B1251*(C1251/12)/(1-(1+C1251/12)^(-($B$172-MAX(851-1,$B$174)))))),"")),D1250))))),IF(IF(AND(851&lt;=$B$174,851&lt;=$B$173),B1251*C1251/12,IF(AND(851=$B$173+1,AND(851&gt;$B$173,$B$78="Refinance",ISNUMBER($B$80),$B$80&gt;=0,$B$80&lt;=1,ROUND($B$81*12,0)&gt;=1,$B$81&lt;=100,SUM($B$82)&gt;=0,SUM($B$82)&lt;=1,SUM($B$83)&gt;=0)),IF(B1251=0,0,IF(C1251=0,B1251/ROUND($B$81*12,0),B1251*(C1251/12)/(1-(1+C1251/12)^(-ROUND($B$81*12,0))))),IF(AND(NOT(AND(851&gt;$B$173,$B$78="Refinance",ISNUMBER($B$80),$B$80&gt;=0,$B$80&lt;=1,ROUND($B$81*12,0)&gt;=1,$B$81&lt;=100,SUM($B$82)&gt;=0,SUM($B$82)&lt;=1,SUM($B$83)&gt;=0)),OR(851=1,851=$B$174+1,AND($B$175&gt;0,851=$B$175+1))),IF(AND($B$170=1,$B$66&gt;0,OR($B$175=0,851&lt;=$B$175)),$B$66,IF($B$172-MAX(851-1,$B$174)&gt;0,IF(B1251=0,0,IF(C1251=0,B1251/($B$172-MAX(851-1,$B$174)),B1251*(C1251/12)/(1-(1+C1251/12)^(-($B$172-MAX(851-1,$B$174)))))),"")),D1250)))+0.0000001&gt;=B1251*C1251/12,MIN(B1251*(1+C1251/12),IF(AND(851&lt;=$B$174,851&lt;=$B$173),B1251*C1251/12,IF(AND(851=$B$173+1,AND(851&gt;$B$173,$B$78="Refinance",ISNUMBER($B$80),$B$80&gt;=0,$B$80&lt;=1,ROUND($B$81*12,0)&gt;=1,$B$81&lt;=100,SUM($B$82)&gt;=0,SUM($B$82)&lt;=1,SUM($B$83)&gt;=0)),IF(B1251=0,0,IF(C1251=0,B1251/ROUND($B$81*12,0),B1251*(C1251/12)/(1-(1+C1251/12)^(-ROUND($B$81*12,0))))),IF(AND(NOT(AND(851&gt;$B$173,$B$78="Refinance",ISNUMBER($B$80),$B$80&gt;=0,$B$80&lt;=1,ROUND($B$81*12,0)&gt;=1,$B$81&lt;=100,SUM($B$82)&gt;=0,SUM($B$82)&lt;=1,SUM($B$83)&gt;=0)),OR(851=1,851=$B$174+1,AND($B$175&gt;0,851=$B$175+1))),IF(AND($B$170=1,$B$66&gt;0,OR($B$175=0,851&lt;=$B$175)),$B$66,IF($B$172-MAX(851-1,$B$174)&gt;0,IF(B1251=0,0,IF(C1251=0,B1251/($B$172-MAX(851-1,$B$174)),B1251*(C1251/12)/(1-(1+C1251/12)^(-($B$172-MAX(851-1,$B$174)))))),"")),D1250)))),""),""))</x:f>
        <x:v>0</x:v>
      </x:c>
      <x:c r="E1251" s="440" t="n">
        <x:f>IF(AND(851=$B$173,ISNUMBER(D1251)),IF(MAX(0,B1251*(1+C1251/12)-D1251)&lt;MAX(0.0000001,$E$17*0.00000000001),0,MAX(0,B1251*(1+C1251/12)-D1251)),0)</x:f>
        <x:v>0</x:v>
      </x:c>
      <x:c r="F1251" s="440" t="n">
        <x:f>IF($B$78="Cash payoff",E1251,0)</x:f>
        <x:v>0</x:v>
      </x:c>
      <x:c r="G1251" s="440" t="n">
        <x:f>IF(AND(E1251&gt;0,AND($B$78="Refinance",ISNUMBER($B$80),$B$80&gt;=0,$B$80&lt;=1,ROUND($B$81*12,0)&gt;=1,$B$81&lt;=100,SUM($B$82)&gt;=0,SUM($B$82)&lt;=1,SUM($B$83)&gt;=0)),E1251*SUM($B$82)+SUM($B$83),0)</x:f>
        <x:v>0</x:v>
      </x:c>
      <x:c r="H1251" s="440" t="n">
        <x:f>IF(ISNUMBER(D1251),IF(MAX(0,B1251*(1+C1251/12)-D1251-F1251)&lt;MAX(0.0000001,$E$17*0.00000000001),0,MAX(0,B1251*(1+C1251/12)-D1251-F1251)),IF(AND($B$171=1,I1250=1),B1251,""))</x:f>
        <x:v>0</x:v>
      </x:c>
      <x:c r="I1251" s="444" t="n">
        <x:f>IF(OR(I1250=1,AND(E1251&gt;0,$B$78&lt;&gt;"Cash payoff",NOT(AND($B$78="Refinance",ISNUMBER($B$80),$B$80&gt;=0,$B$80&lt;=1,ROUND($B$81*12,0)&gt;=1,$B$81&lt;=100,SUM($B$82)&gt;=0,SUM($B$82)&lt;=1,SUM($B$83)&gt;=0))),AND(ISNUMBER(B1251),B1251&gt;0,$B$171=1,NOT(ISNUMBER(D1251)))),1,0)</x:f>
        <x:v>0</x:v>
      </x:c>
      <x:c r="J1251" s="440" t="n">
        <x:f>IF(ISNUMBER(L1250),L1250,"")</x:f>
        <x:v>0</x:v>
      </x:c>
      <x:c r="K1251" s="440" t="n">
        <x:f>IF(AND(ISNUMBER(J1251),J1251=0),0,IF(AND($B$176=1,ISNUMBER(J1251)),MIN(J1251*(1+$B$87/12),IF($B$86=0,0,IF($B$87=0,$B$86/ROUND($B$88*12,0),$B$86*($B$87/12)/(1-(1+$B$87/12)^(-ROUND($B$88*12,0)))))),""))</x:f>
        <x:v>0</x:v>
      </x:c>
      <x:c r="L1251" s="440" t="n">
        <x:f>IF(ISNUMBER(K1251),IF(MAX(0,J1251*(1+SUM($B$87)/12)-K1251)&lt;MAX(0.0000001,$B$86*0.00000000001),0,MAX(0,J1251*(1+SUM($B$87)/12)-K1251)),"")</x:f>
        <x:v>0</x:v>
      </x:c>
      <x:c r="M1251" s="440" t="n">
        <x:f>IF(AND(ISNUMBER(D1251),ISNUMBER(K1251)),D1251+K1251,"")</x:f>
        <x:v>0</x:v>
      </x:c>
      <x:c r="N1251" s="440" t="n">
        <x:f>IF(AND(ISNUMBER(H1251),ISNUMBER(L1251)),H1251+L1251,"")</x:f>
        <x:v>0</x:v>
      </x:c>
    </x:row>
    <x:row r="1252" ht="22" customHeight="1">
      <x:c r="A1252" s="254" t="n">
        <x:f>852</x:f>
        <x:v>852</x:v>
      </x:c>
      <x:c r="B1252" s="440" t="n">
        <x:f>IF(ISNUMBER(H1251),H1251,"")</x:f>
        <x:v>0</x:v>
      </x:c>
      <x:c r="C1252" s="442" t="n">
        <x:f>IF(ISNUMBER(B1252),IF(AND(852&gt;$B$173,$B$78="Refinance",ISNUMBER($B$80),$B$80&gt;=0,$B$80&lt;=1,ROUND($B$81*12,0)&gt;=1,$B$81&lt;=100,SUM($B$82)&gt;=0,SUM($B$82)&lt;=1,SUM($B$83)&gt;=0),$B$80,IF(AND($B$175&gt;0,852&gt;$B$175,ISNUMBER($B$75)),$B$75,$B$61)),"")</x:f>
        <x:v>0.0625</x:v>
      </x:c>
      <x:c r="D1252" s="440" t="n">
        <x:f>IF(AND(ISNUMBER(B1252),B1252=0),0,IF(AND($B$171=1,I1251=0,ISNUMBER(C1252),ISNUMBER(IF(AND(852&lt;=$B$174,852&lt;=$B$173),B1252*C1252/12,IF(AND(852=$B$173+1,AND(852&gt;$B$173,$B$78="Refinance",ISNUMBER($B$80),$B$80&gt;=0,$B$80&lt;=1,ROUND($B$81*12,0)&gt;=1,$B$81&lt;=100,SUM($B$82)&gt;=0,SUM($B$82)&lt;=1,SUM($B$83)&gt;=0)),IF(B1252=0,0,IF(C1252=0,B1252/ROUND($B$81*12,0),B1252*(C1252/12)/(1-(1+C1252/12)^(-ROUND($B$81*12,0))))),IF(AND(NOT(AND(852&gt;$B$173,$B$78="Refinance",ISNUMBER($B$80),$B$80&gt;=0,$B$80&lt;=1,ROUND($B$81*12,0)&gt;=1,$B$81&lt;=100,SUM($B$82)&gt;=0,SUM($B$82)&lt;=1,SUM($B$83)&gt;=0)),OR(852=1,852=$B$174+1,AND($B$175&gt;0,852=$B$175+1))),IF(AND($B$170=1,$B$66&gt;0,OR($B$175=0,852&lt;=$B$175)),$B$66,IF($B$172-MAX(852-1,$B$174)&gt;0,IF(B1252=0,0,IF(C1252=0,B1252/($B$172-MAX(852-1,$B$174)),B1252*(C1252/12)/(1-(1+C1252/12)^(-($B$172-MAX(852-1,$B$174)))))),"")),D1251))))),IF(IF(AND(852&lt;=$B$174,852&lt;=$B$173),B1252*C1252/12,IF(AND(852=$B$173+1,AND(852&gt;$B$173,$B$78="Refinance",ISNUMBER($B$80),$B$80&gt;=0,$B$80&lt;=1,ROUND($B$81*12,0)&gt;=1,$B$81&lt;=100,SUM($B$82)&gt;=0,SUM($B$82)&lt;=1,SUM($B$83)&gt;=0)),IF(B1252=0,0,IF(C1252=0,B1252/ROUND($B$81*12,0),B1252*(C1252/12)/(1-(1+C1252/12)^(-ROUND($B$81*12,0))))),IF(AND(NOT(AND(852&gt;$B$173,$B$78="Refinance",ISNUMBER($B$80),$B$80&gt;=0,$B$80&lt;=1,ROUND($B$81*12,0)&gt;=1,$B$81&lt;=100,SUM($B$82)&gt;=0,SUM($B$82)&lt;=1,SUM($B$83)&gt;=0)),OR(852=1,852=$B$174+1,AND($B$175&gt;0,852=$B$175+1))),IF(AND($B$170=1,$B$66&gt;0,OR($B$175=0,852&lt;=$B$175)),$B$66,IF($B$172-MAX(852-1,$B$174)&gt;0,IF(B1252=0,0,IF(C1252=0,B1252/($B$172-MAX(852-1,$B$174)),B1252*(C1252/12)/(1-(1+C1252/12)^(-($B$172-MAX(852-1,$B$174)))))),"")),D1251)))+0.0000001&gt;=B1252*C1252/12,MIN(B1252*(1+C1252/12),IF(AND(852&lt;=$B$174,852&lt;=$B$173),B1252*C1252/12,IF(AND(852=$B$173+1,AND(852&gt;$B$173,$B$78="Refinance",ISNUMBER($B$80),$B$80&gt;=0,$B$80&lt;=1,ROUND($B$81*12,0)&gt;=1,$B$81&lt;=100,SUM($B$82)&gt;=0,SUM($B$82)&lt;=1,SUM($B$83)&gt;=0)),IF(B1252=0,0,IF(C1252=0,B1252/ROUND($B$81*12,0),B1252*(C1252/12)/(1-(1+C1252/12)^(-ROUND($B$81*12,0))))),IF(AND(NOT(AND(852&gt;$B$173,$B$78="Refinance",ISNUMBER($B$80),$B$80&gt;=0,$B$80&lt;=1,ROUND($B$81*12,0)&gt;=1,$B$81&lt;=100,SUM($B$82)&gt;=0,SUM($B$82)&lt;=1,SUM($B$83)&gt;=0)),OR(852=1,852=$B$174+1,AND($B$175&gt;0,852=$B$175+1))),IF(AND($B$170=1,$B$66&gt;0,OR($B$175=0,852&lt;=$B$175)),$B$66,IF($B$172-MAX(852-1,$B$174)&gt;0,IF(B1252=0,0,IF(C1252=0,B1252/($B$172-MAX(852-1,$B$174)),B1252*(C1252/12)/(1-(1+C1252/12)^(-($B$172-MAX(852-1,$B$174)))))),"")),D1251)))),""),""))</x:f>
        <x:v>0</x:v>
      </x:c>
      <x:c r="E1252" s="440" t="n">
        <x:f>IF(AND(852=$B$173,ISNUMBER(D1252)),IF(MAX(0,B1252*(1+C1252/12)-D1252)&lt;MAX(0.0000001,$E$17*0.00000000001),0,MAX(0,B1252*(1+C1252/12)-D1252)),0)</x:f>
        <x:v>0</x:v>
      </x:c>
      <x:c r="F1252" s="440" t="n">
        <x:f>IF($B$78="Cash payoff",E1252,0)</x:f>
        <x:v>0</x:v>
      </x:c>
      <x:c r="G1252" s="440" t="n">
        <x:f>IF(AND(E1252&gt;0,AND($B$78="Refinance",ISNUMBER($B$80),$B$80&gt;=0,$B$80&lt;=1,ROUND($B$81*12,0)&gt;=1,$B$81&lt;=100,SUM($B$82)&gt;=0,SUM($B$82)&lt;=1,SUM($B$83)&gt;=0)),E1252*SUM($B$82)+SUM($B$83),0)</x:f>
        <x:v>0</x:v>
      </x:c>
      <x:c r="H1252" s="440" t="n">
        <x:f>IF(ISNUMBER(D1252),IF(MAX(0,B1252*(1+C1252/12)-D1252-F1252)&lt;MAX(0.0000001,$E$17*0.00000000001),0,MAX(0,B1252*(1+C1252/12)-D1252-F1252)),IF(AND($B$171=1,I1251=1),B1252,""))</x:f>
        <x:v>0</x:v>
      </x:c>
      <x:c r="I1252" s="444" t="n">
        <x:f>IF(OR(I1251=1,AND(E1252&gt;0,$B$78&lt;&gt;"Cash payoff",NOT(AND($B$78="Refinance",ISNUMBER($B$80),$B$80&gt;=0,$B$80&lt;=1,ROUND($B$81*12,0)&gt;=1,$B$81&lt;=100,SUM($B$82)&gt;=0,SUM($B$82)&lt;=1,SUM($B$83)&gt;=0))),AND(ISNUMBER(B1252),B1252&gt;0,$B$171=1,NOT(ISNUMBER(D1252)))),1,0)</x:f>
        <x:v>0</x:v>
      </x:c>
      <x:c r="J1252" s="440" t="n">
        <x:f>IF(ISNUMBER(L1251),L1251,"")</x:f>
        <x:v>0</x:v>
      </x:c>
      <x:c r="K1252" s="440" t="n">
        <x:f>IF(AND(ISNUMBER(J1252),J1252=0),0,IF(AND($B$176=1,ISNUMBER(J1252)),MIN(J1252*(1+$B$87/12),IF($B$86=0,0,IF($B$87=0,$B$86/ROUND($B$88*12,0),$B$86*($B$87/12)/(1-(1+$B$87/12)^(-ROUND($B$88*12,0)))))),""))</x:f>
        <x:v>0</x:v>
      </x:c>
      <x:c r="L1252" s="440" t="n">
        <x:f>IF(ISNUMBER(K1252),IF(MAX(0,J1252*(1+SUM($B$87)/12)-K1252)&lt;MAX(0.0000001,$B$86*0.00000000001),0,MAX(0,J1252*(1+SUM($B$87)/12)-K1252)),"")</x:f>
        <x:v>0</x:v>
      </x:c>
      <x:c r="M1252" s="440" t="n">
        <x:f>IF(AND(ISNUMBER(D1252),ISNUMBER(K1252)),D1252+K1252,"")</x:f>
        <x:v>0</x:v>
      </x:c>
      <x:c r="N1252" s="440" t="n">
        <x:f>IF(AND(ISNUMBER(H1252),ISNUMBER(L1252)),H1252+L1252,"")</x:f>
        <x:v>0</x:v>
      </x:c>
    </x:row>
    <x:row r="1253" ht="22" customHeight="1">
      <x:c r="A1253" s="254" t="n">
        <x:f>853</x:f>
        <x:v>853</x:v>
      </x:c>
      <x:c r="B1253" s="440" t="n">
        <x:f>IF(ISNUMBER(H1252),H1252,"")</x:f>
        <x:v>0</x:v>
      </x:c>
      <x:c r="C1253" s="442" t="n">
        <x:f>IF(ISNUMBER(B1253),IF(AND(853&gt;$B$173,$B$78="Refinance",ISNUMBER($B$80),$B$80&gt;=0,$B$80&lt;=1,ROUND($B$81*12,0)&gt;=1,$B$81&lt;=100,SUM($B$82)&gt;=0,SUM($B$82)&lt;=1,SUM($B$83)&gt;=0),$B$80,IF(AND($B$175&gt;0,853&gt;$B$175,ISNUMBER($B$75)),$B$75,$B$61)),"")</x:f>
        <x:v>0.0625</x:v>
      </x:c>
      <x:c r="D1253" s="440" t="n">
        <x:f>IF(AND(ISNUMBER(B1253),B1253=0),0,IF(AND($B$171=1,I1252=0,ISNUMBER(C1253),ISNUMBER(IF(AND(853&lt;=$B$174,853&lt;=$B$173),B1253*C1253/12,IF(AND(853=$B$173+1,AND(853&gt;$B$173,$B$78="Refinance",ISNUMBER($B$80),$B$80&gt;=0,$B$80&lt;=1,ROUND($B$81*12,0)&gt;=1,$B$81&lt;=100,SUM($B$82)&gt;=0,SUM($B$82)&lt;=1,SUM($B$83)&gt;=0)),IF(B1253=0,0,IF(C1253=0,B1253/ROUND($B$81*12,0),B1253*(C1253/12)/(1-(1+C1253/12)^(-ROUND($B$81*12,0))))),IF(AND(NOT(AND(853&gt;$B$173,$B$78="Refinance",ISNUMBER($B$80),$B$80&gt;=0,$B$80&lt;=1,ROUND($B$81*12,0)&gt;=1,$B$81&lt;=100,SUM($B$82)&gt;=0,SUM($B$82)&lt;=1,SUM($B$83)&gt;=0)),OR(853=1,853=$B$174+1,AND($B$175&gt;0,853=$B$175+1))),IF(AND($B$170=1,$B$66&gt;0,OR($B$175=0,853&lt;=$B$175)),$B$66,IF($B$172-MAX(853-1,$B$174)&gt;0,IF(B1253=0,0,IF(C1253=0,B1253/($B$172-MAX(853-1,$B$174)),B1253*(C1253/12)/(1-(1+C1253/12)^(-($B$172-MAX(853-1,$B$174)))))),"")),D1252))))),IF(IF(AND(853&lt;=$B$174,853&lt;=$B$173),B1253*C1253/12,IF(AND(853=$B$173+1,AND(853&gt;$B$173,$B$78="Refinance",ISNUMBER($B$80),$B$80&gt;=0,$B$80&lt;=1,ROUND($B$81*12,0)&gt;=1,$B$81&lt;=100,SUM($B$82)&gt;=0,SUM($B$82)&lt;=1,SUM($B$83)&gt;=0)),IF(B1253=0,0,IF(C1253=0,B1253/ROUND($B$81*12,0),B1253*(C1253/12)/(1-(1+C1253/12)^(-ROUND($B$81*12,0))))),IF(AND(NOT(AND(853&gt;$B$173,$B$78="Refinance",ISNUMBER($B$80),$B$80&gt;=0,$B$80&lt;=1,ROUND($B$81*12,0)&gt;=1,$B$81&lt;=100,SUM($B$82)&gt;=0,SUM($B$82)&lt;=1,SUM($B$83)&gt;=0)),OR(853=1,853=$B$174+1,AND($B$175&gt;0,853=$B$175+1))),IF(AND($B$170=1,$B$66&gt;0,OR($B$175=0,853&lt;=$B$175)),$B$66,IF($B$172-MAX(853-1,$B$174)&gt;0,IF(B1253=0,0,IF(C1253=0,B1253/($B$172-MAX(853-1,$B$174)),B1253*(C1253/12)/(1-(1+C1253/12)^(-($B$172-MAX(853-1,$B$174)))))),"")),D1252)))+0.0000001&gt;=B1253*C1253/12,MIN(B1253*(1+C1253/12),IF(AND(853&lt;=$B$174,853&lt;=$B$173),B1253*C1253/12,IF(AND(853=$B$173+1,AND(853&gt;$B$173,$B$78="Refinance",ISNUMBER($B$80),$B$80&gt;=0,$B$80&lt;=1,ROUND($B$81*12,0)&gt;=1,$B$81&lt;=100,SUM($B$82)&gt;=0,SUM($B$82)&lt;=1,SUM($B$83)&gt;=0)),IF(B1253=0,0,IF(C1253=0,B1253/ROUND($B$81*12,0),B1253*(C1253/12)/(1-(1+C1253/12)^(-ROUND($B$81*12,0))))),IF(AND(NOT(AND(853&gt;$B$173,$B$78="Refinance",ISNUMBER($B$80),$B$80&gt;=0,$B$80&lt;=1,ROUND($B$81*12,0)&gt;=1,$B$81&lt;=100,SUM($B$82)&gt;=0,SUM($B$82)&lt;=1,SUM($B$83)&gt;=0)),OR(853=1,853=$B$174+1,AND($B$175&gt;0,853=$B$175+1))),IF(AND($B$170=1,$B$66&gt;0,OR($B$175=0,853&lt;=$B$175)),$B$66,IF($B$172-MAX(853-1,$B$174)&gt;0,IF(B1253=0,0,IF(C1253=0,B1253/($B$172-MAX(853-1,$B$174)),B1253*(C1253/12)/(1-(1+C1253/12)^(-($B$172-MAX(853-1,$B$174)))))),"")),D1252)))),""),""))</x:f>
        <x:v>0</x:v>
      </x:c>
      <x:c r="E1253" s="440" t="n">
        <x:f>IF(AND(853=$B$173,ISNUMBER(D1253)),IF(MAX(0,B1253*(1+C1253/12)-D1253)&lt;MAX(0.0000001,$E$17*0.00000000001),0,MAX(0,B1253*(1+C1253/12)-D1253)),0)</x:f>
        <x:v>0</x:v>
      </x:c>
      <x:c r="F1253" s="440" t="n">
        <x:f>IF($B$78="Cash payoff",E1253,0)</x:f>
        <x:v>0</x:v>
      </x:c>
      <x:c r="G1253" s="440" t="n">
        <x:f>IF(AND(E1253&gt;0,AND($B$78="Refinance",ISNUMBER($B$80),$B$80&gt;=0,$B$80&lt;=1,ROUND($B$81*12,0)&gt;=1,$B$81&lt;=100,SUM($B$82)&gt;=0,SUM($B$82)&lt;=1,SUM($B$83)&gt;=0)),E1253*SUM($B$82)+SUM($B$83),0)</x:f>
        <x:v>0</x:v>
      </x:c>
      <x:c r="H1253" s="440" t="n">
        <x:f>IF(ISNUMBER(D1253),IF(MAX(0,B1253*(1+C1253/12)-D1253-F1253)&lt;MAX(0.0000001,$E$17*0.00000000001),0,MAX(0,B1253*(1+C1253/12)-D1253-F1253)),IF(AND($B$171=1,I1252=1),B1253,""))</x:f>
        <x:v>0</x:v>
      </x:c>
      <x:c r="I1253" s="444" t="n">
        <x:f>IF(OR(I1252=1,AND(E1253&gt;0,$B$78&lt;&gt;"Cash payoff",NOT(AND($B$78="Refinance",ISNUMBER($B$80),$B$80&gt;=0,$B$80&lt;=1,ROUND($B$81*12,0)&gt;=1,$B$81&lt;=100,SUM($B$82)&gt;=0,SUM($B$82)&lt;=1,SUM($B$83)&gt;=0))),AND(ISNUMBER(B1253),B1253&gt;0,$B$171=1,NOT(ISNUMBER(D1253)))),1,0)</x:f>
        <x:v>0</x:v>
      </x:c>
      <x:c r="J1253" s="440" t="n">
        <x:f>IF(ISNUMBER(L1252),L1252,"")</x:f>
        <x:v>0</x:v>
      </x:c>
      <x:c r="K1253" s="440" t="n">
        <x:f>IF(AND(ISNUMBER(J1253),J1253=0),0,IF(AND($B$176=1,ISNUMBER(J1253)),MIN(J1253*(1+$B$87/12),IF($B$86=0,0,IF($B$87=0,$B$86/ROUND($B$88*12,0),$B$86*($B$87/12)/(1-(1+$B$87/12)^(-ROUND($B$88*12,0)))))),""))</x:f>
        <x:v>0</x:v>
      </x:c>
      <x:c r="L1253" s="440" t="n">
        <x:f>IF(ISNUMBER(K1253),IF(MAX(0,J1253*(1+SUM($B$87)/12)-K1253)&lt;MAX(0.0000001,$B$86*0.00000000001),0,MAX(0,J1253*(1+SUM($B$87)/12)-K1253)),"")</x:f>
        <x:v>0</x:v>
      </x:c>
      <x:c r="M1253" s="440" t="n">
        <x:f>IF(AND(ISNUMBER(D1253),ISNUMBER(K1253)),D1253+K1253,"")</x:f>
        <x:v>0</x:v>
      </x:c>
      <x:c r="N1253" s="440" t="n">
        <x:f>IF(AND(ISNUMBER(H1253),ISNUMBER(L1253)),H1253+L1253,"")</x:f>
        <x:v>0</x:v>
      </x:c>
    </x:row>
    <x:row r="1254" ht="22" customHeight="1">
      <x:c r="A1254" s="254" t="n">
        <x:f>854</x:f>
        <x:v>854</x:v>
      </x:c>
      <x:c r="B1254" s="440" t="n">
        <x:f>IF(ISNUMBER(H1253),H1253,"")</x:f>
        <x:v>0</x:v>
      </x:c>
      <x:c r="C1254" s="442" t="n">
        <x:f>IF(ISNUMBER(B1254),IF(AND(854&gt;$B$173,$B$78="Refinance",ISNUMBER($B$80),$B$80&gt;=0,$B$80&lt;=1,ROUND($B$81*12,0)&gt;=1,$B$81&lt;=100,SUM($B$82)&gt;=0,SUM($B$82)&lt;=1,SUM($B$83)&gt;=0),$B$80,IF(AND($B$175&gt;0,854&gt;$B$175,ISNUMBER($B$75)),$B$75,$B$61)),"")</x:f>
        <x:v>0.0625</x:v>
      </x:c>
      <x:c r="D1254" s="440" t="n">
        <x:f>IF(AND(ISNUMBER(B1254),B1254=0),0,IF(AND($B$171=1,I1253=0,ISNUMBER(C1254),ISNUMBER(IF(AND(854&lt;=$B$174,854&lt;=$B$173),B1254*C1254/12,IF(AND(854=$B$173+1,AND(854&gt;$B$173,$B$78="Refinance",ISNUMBER($B$80),$B$80&gt;=0,$B$80&lt;=1,ROUND($B$81*12,0)&gt;=1,$B$81&lt;=100,SUM($B$82)&gt;=0,SUM($B$82)&lt;=1,SUM($B$83)&gt;=0)),IF(B1254=0,0,IF(C1254=0,B1254/ROUND($B$81*12,0),B1254*(C1254/12)/(1-(1+C1254/12)^(-ROUND($B$81*12,0))))),IF(AND(NOT(AND(854&gt;$B$173,$B$78="Refinance",ISNUMBER($B$80),$B$80&gt;=0,$B$80&lt;=1,ROUND($B$81*12,0)&gt;=1,$B$81&lt;=100,SUM($B$82)&gt;=0,SUM($B$82)&lt;=1,SUM($B$83)&gt;=0)),OR(854=1,854=$B$174+1,AND($B$175&gt;0,854=$B$175+1))),IF(AND($B$170=1,$B$66&gt;0,OR($B$175=0,854&lt;=$B$175)),$B$66,IF($B$172-MAX(854-1,$B$174)&gt;0,IF(B1254=0,0,IF(C1254=0,B1254/($B$172-MAX(854-1,$B$174)),B1254*(C1254/12)/(1-(1+C1254/12)^(-($B$172-MAX(854-1,$B$174)))))),"")),D1253))))),IF(IF(AND(854&lt;=$B$174,854&lt;=$B$173),B1254*C1254/12,IF(AND(854=$B$173+1,AND(854&gt;$B$173,$B$78="Refinance",ISNUMBER($B$80),$B$80&gt;=0,$B$80&lt;=1,ROUND($B$81*12,0)&gt;=1,$B$81&lt;=100,SUM($B$82)&gt;=0,SUM($B$82)&lt;=1,SUM($B$83)&gt;=0)),IF(B1254=0,0,IF(C1254=0,B1254/ROUND($B$81*12,0),B1254*(C1254/12)/(1-(1+C1254/12)^(-ROUND($B$81*12,0))))),IF(AND(NOT(AND(854&gt;$B$173,$B$78="Refinance",ISNUMBER($B$80),$B$80&gt;=0,$B$80&lt;=1,ROUND($B$81*12,0)&gt;=1,$B$81&lt;=100,SUM($B$82)&gt;=0,SUM($B$82)&lt;=1,SUM($B$83)&gt;=0)),OR(854=1,854=$B$174+1,AND($B$175&gt;0,854=$B$175+1))),IF(AND($B$170=1,$B$66&gt;0,OR($B$175=0,854&lt;=$B$175)),$B$66,IF($B$172-MAX(854-1,$B$174)&gt;0,IF(B1254=0,0,IF(C1254=0,B1254/($B$172-MAX(854-1,$B$174)),B1254*(C1254/12)/(1-(1+C1254/12)^(-($B$172-MAX(854-1,$B$174)))))),"")),D1253)))+0.0000001&gt;=B1254*C1254/12,MIN(B1254*(1+C1254/12),IF(AND(854&lt;=$B$174,854&lt;=$B$173),B1254*C1254/12,IF(AND(854=$B$173+1,AND(854&gt;$B$173,$B$78="Refinance",ISNUMBER($B$80),$B$80&gt;=0,$B$80&lt;=1,ROUND($B$81*12,0)&gt;=1,$B$81&lt;=100,SUM($B$82)&gt;=0,SUM($B$82)&lt;=1,SUM($B$83)&gt;=0)),IF(B1254=0,0,IF(C1254=0,B1254/ROUND($B$81*12,0),B1254*(C1254/12)/(1-(1+C1254/12)^(-ROUND($B$81*12,0))))),IF(AND(NOT(AND(854&gt;$B$173,$B$78="Refinance",ISNUMBER($B$80),$B$80&gt;=0,$B$80&lt;=1,ROUND($B$81*12,0)&gt;=1,$B$81&lt;=100,SUM($B$82)&gt;=0,SUM($B$82)&lt;=1,SUM($B$83)&gt;=0)),OR(854=1,854=$B$174+1,AND($B$175&gt;0,854=$B$175+1))),IF(AND($B$170=1,$B$66&gt;0,OR($B$175=0,854&lt;=$B$175)),$B$66,IF($B$172-MAX(854-1,$B$174)&gt;0,IF(B1254=0,0,IF(C1254=0,B1254/($B$172-MAX(854-1,$B$174)),B1254*(C1254/12)/(1-(1+C1254/12)^(-($B$172-MAX(854-1,$B$174)))))),"")),D1253)))),""),""))</x:f>
        <x:v>0</x:v>
      </x:c>
      <x:c r="E1254" s="440" t="n">
        <x:f>IF(AND(854=$B$173,ISNUMBER(D1254)),IF(MAX(0,B1254*(1+C1254/12)-D1254)&lt;MAX(0.0000001,$E$17*0.00000000001),0,MAX(0,B1254*(1+C1254/12)-D1254)),0)</x:f>
        <x:v>0</x:v>
      </x:c>
      <x:c r="F1254" s="440" t="n">
        <x:f>IF($B$78="Cash payoff",E1254,0)</x:f>
        <x:v>0</x:v>
      </x:c>
      <x:c r="G1254" s="440" t="n">
        <x:f>IF(AND(E1254&gt;0,AND($B$78="Refinance",ISNUMBER($B$80),$B$80&gt;=0,$B$80&lt;=1,ROUND($B$81*12,0)&gt;=1,$B$81&lt;=100,SUM($B$82)&gt;=0,SUM($B$82)&lt;=1,SUM($B$83)&gt;=0)),E1254*SUM($B$82)+SUM($B$83),0)</x:f>
        <x:v>0</x:v>
      </x:c>
      <x:c r="H1254" s="440" t="n">
        <x:f>IF(ISNUMBER(D1254),IF(MAX(0,B1254*(1+C1254/12)-D1254-F1254)&lt;MAX(0.0000001,$E$17*0.00000000001),0,MAX(0,B1254*(1+C1254/12)-D1254-F1254)),IF(AND($B$171=1,I1253=1),B1254,""))</x:f>
        <x:v>0</x:v>
      </x:c>
      <x:c r="I1254" s="444" t="n">
        <x:f>IF(OR(I1253=1,AND(E1254&gt;0,$B$78&lt;&gt;"Cash payoff",NOT(AND($B$78="Refinance",ISNUMBER($B$80),$B$80&gt;=0,$B$80&lt;=1,ROUND($B$81*12,0)&gt;=1,$B$81&lt;=100,SUM($B$82)&gt;=0,SUM($B$82)&lt;=1,SUM($B$83)&gt;=0))),AND(ISNUMBER(B1254),B1254&gt;0,$B$171=1,NOT(ISNUMBER(D1254)))),1,0)</x:f>
        <x:v>0</x:v>
      </x:c>
      <x:c r="J1254" s="440" t="n">
        <x:f>IF(ISNUMBER(L1253),L1253,"")</x:f>
        <x:v>0</x:v>
      </x:c>
      <x:c r="K1254" s="440" t="n">
        <x:f>IF(AND(ISNUMBER(J1254),J1254=0),0,IF(AND($B$176=1,ISNUMBER(J1254)),MIN(J1254*(1+$B$87/12),IF($B$86=0,0,IF($B$87=0,$B$86/ROUND($B$88*12,0),$B$86*($B$87/12)/(1-(1+$B$87/12)^(-ROUND($B$88*12,0)))))),""))</x:f>
        <x:v>0</x:v>
      </x:c>
      <x:c r="L1254" s="440" t="n">
        <x:f>IF(ISNUMBER(K1254),IF(MAX(0,J1254*(1+SUM($B$87)/12)-K1254)&lt;MAX(0.0000001,$B$86*0.00000000001),0,MAX(0,J1254*(1+SUM($B$87)/12)-K1254)),"")</x:f>
        <x:v>0</x:v>
      </x:c>
      <x:c r="M1254" s="440" t="n">
        <x:f>IF(AND(ISNUMBER(D1254),ISNUMBER(K1254)),D1254+K1254,"")</x:f>
        <x:v>0</x:v>
      </x:c>
      <x:c r="N1254" s="440" t="n">
        <x:f>IF(AND(ISNUMBER(H1254),ISNUMBER(L1254)),H1254+L1254,"")</x:f>
        <x:v>0</x:v>
      </x:c>
    </x:row>
    <x:row r="1255" ht="22" customHeight="1">
      <x:c r="A1255" s="254" t="n">
        <x:f>855</x:f>
        <x:v>855</x:v>
      </x:c>
      <x:c r="B1255" s="440" t="n">
        <x:f>IF(ISNUMBER(H1254),H1254,"")</x:f>
        <x:v>0</x:v>
      </x:c>
      <x:c r="C1255" s="442" t="n">
        <x:f>IF(ISNUMBER(B1255),IF(AND(855&gt;$B$173,$B$78="Refinance",ISNUMBER($B$80),$B$80&gt;=0,$B$80&lt;=1,ROUND($B$81*12,0)&gt;=1,$B$81&lt;=100,SUM($B$82)&gt;=0,SUM($B$82)&lt;=1,SUM($B$83)&gt;=0),$B$80,IF(AND($B$175&gt;0,855&gt;$B$175,ISNUMBER($B$75)),$B$75,$B$61)),"")</x:f>
        <x:v>0.0625</x:v>
      </x:c>
      <x:c r="D1255" s="440" t="n">
        <x:f>IF(AND(ISNUMBER(B1255),B1255=0),0,IF(AND($B$171=1,I1254=0,ISNUMBER(C1255),ISNUMBER(IF(AND(855&lt;=$B$174,855&lt;=$B$173),B1255*C1255/12,IF(AND(855=$B$173+1,AND(855&gt;$B$173,$B$78="Refinance",ISNUMBER($B$80),$B$80&gt;=0,$B$80&lt;=1,ROUND($B$81*12,0)&gt;=1,$B$81&lt;=100,SUM($B$82)&gt;=0,SUM($B$82)&lt;=1,SUM($B$83)&gt;=0)),IF(B1255=0,0,IF(C1255=0,B1255/ROUND($B$81*12,0),B1255*(C1255/12)/(1-(1+C1255/12)^(-ROUND($B$81*12,0))))),IF(AND(NOT(AND(855&gt;$B$173,$B$78="Refinance",ISNUMBER($B$80),$B$80&gt;=0,$B$80&lt;=1,ROUND($B$81*12,0)&gt;=1,$B$81&lt;=100,SUM($B$82)&gt;=0,SUM($B$82)&lt;=1,SUM($B$83)&gt;=0)),OR(855=1,855=$B$174+1,AND($B$175&gt;0,855=$B$175+1))),IF(AND($B$170=1,$B$66&gt;0,OR($B$175=0,855&lt;=$B$175)),$B$66,IF($B$172-MAX(855-1,$B$174)&gt;0,IF(B1255=0,0,IF(C1255=0,B1255/($B$172-MAX(855-1,$B$174)),B1255*(C1255/12)/(1-(1+C1255/12)^(-($B$172-MAX(855-1,$B$174)))))),"")),D1254))))),IF(IF(AND(855&lt;=$B$174,855&lt;=$B$173),B1255*C1255/12,IF(AND(855=$B$173+1,AND(855&gt;$B$173,$B$78="Refinance",ISNUMBER($B$80),$B$80&gt;=0,$B$80&lt;=1,ROUND($B$81*12,0)&gt;=1,$B$81&lt;=100,SUM($B$82)&gt;=0,SUM($B$82)&lt;=1,SUM($B$83)&gt;=0)),IF(B1255=0,0,IF(C1255=0,B1255/ROUND($B$81*12,0),B1255*(C1255/12)/(1-(1+C1255/12)^(-ROUND($B$81*12,0))))),IF(AND(NOT(AND(855&gt;$B$173,$B$78="Refinance",ISNUMBER($B$80),$B$80&gt;=0,$B$80&lt;=1,ROUND($B$81*12,0)&gt;=1,$B$81&lt;=100,SUM($B$82)&gt;=0,SUM($B$82)&lt;=1,SUM($B$83)&gt;=0)),OR(855=1,855=$B$174+1,AND($B$175&gt;0,855=$B$175+1))),IF(AND($B$170=1,$B$66&gt;0,OR($B$175=0,855&lt;=$B$175)),$B$66,IF($B$172-MAX(855-1,$B$174)&gt;0,IF(B1255=0,0,IF(C1255=0,B1255/($B$172-MAX(855-1,$B$174)),B1255*(C1255/12)/(1-(1+C1255/12)^(-($B$172-MAX(855-1,$B$174)))))),"")),D1254)))+0.0000001&gt;=B1255*C1255/12,MIN(B1255*(1+C1255/12),IF(AND(855&lt;=$B$174,855&lt;=$B$173),B1255*C1255/12,IF(AND(855=$B$173+1,AND(855&gt;$B$173,$B$78="Refinance",ISNUMBER($B$80),$B$80&gt;=0,$B$80&lt;=1,ROUND($B$81*12,0)&gt;=1,$B$81&lt;=100,SUM($B$82)&gt;=0,SUM($B$82)&lt;=1,SUM($B$83)&gt;=0)),IF(B1255=0,0,IF(C1255=0,B1255/ROUND($B$81*12,0),B1255*(C1255/12)/(1-(1+C1255/12)^(-ROUND($B$81*12,0))))),IF(AND(NOT(AND(855&gt;$B$173,$B$78="Refinance",ISNUMBER($B$80),$B$80&gt;=0,$B$80&lt;=1,ROUND($B$81*12,0)&gt;=1,$B$81&lt;=100,SUM($B$82)&gt;=0,SUM($B$82)&lt;=1,SUM($B$83)&gt;=0)),OR(855=1,855=$B$174+1,AND($B$175&gt;0,855=$B$175+1))),IF(AND($B$170=1,$B$66&gt;0,OR($B$175=0,855&lt;=$B$175)),$B$66,IF($B$172-MAX(855-1,$B$174)&gt;0,IF(B1255=0,0,IF(C1255=0,B1255/($B$172-MAX(855-1,$B$174)),B1255*(C1255/12)/(1-(1+C1255/12)^(-($B$172-MAX(855-1,$B$174)))))),"")),D1254)))),""),""))</x:f>
        <x:v>0</x:v>
      </x:c>
      <x:c r="E1255" s="440" t="n">
        <x:f>IF(AND(855=$B$173,ISNUMBER(D1255)),IF(MAX(0,B1255*(1+C1255/12)-D1255)&lt;MAX(0.0000001,$E$17*0.00000000001),0,MAX(0,B1255*(1+C1255/12)-D1255)),0)</x:f>
        <x:v>0</x:v>
      </x:c>
      <x:c r="F1255" s="440" t="n">
        <x:f>IF($B$78="Cash payoff",E1255,0)</x:f>
        <x:v>0</x:v>
      </x:c>
      <x:c r="G1255" s="440" t="n">
        <x:f>IF(AND(E1255&gt;0,AND($B$78="Refinance",ISNUMBER($B$80),$B$80&gt;=0,$B$80&lt;=1,ROUND($B$81*12,0)&gt;=1,$B$81&lt;=100,SUM($B$82)&gt;=0,SUM($B$82)&lt;=1,SUM($B$83)&gt;=0)),E1255*SUM($B$82)+SUM($B$83),0)</x:f>
        <x:v>0</x:v>
      </x:c>
      <x:c r="H1255" s="440" t="n">
        <x:f>IF(ISNUMBER(D1255),IF(MAX(0,B1255*(1+C1255/12)-D1255-F1255)&lt;MAX(0.0000001,$E$17*0.00000000001),0,MAX(0,B1255*(1+C1255/12)-D1255-F1255)),IF(AND($B$171=1,I1254=1),B1255,""))</x:f>
        <x:v>0</x:v>
      </x:c>
      <x:c r="I1255" s="444" t="n">
        <x:f>IF(OR(I1254=1,AND(E1255&gt;0,$B$78&lt;&gt;"Cash payoff",NOT(AND($B$78="Refinance",ISNUMBER($B$80),$B$80&gt;=0,$B$80&lt;=1,ROUND($B$81*12,0)&gt;=1,$B$81&lt;=100,SUM($B$82)&gt;=0,SUM($B$82)&lt;=1,SUM($B$83)&gt;=0))),AND(ISNUMBER(B1255),B1255&gt;0,$B$171=1,NOT(ISNUMBER(D1255)))),1,0)</x:f>
        <x:v>0</x:v>
      </x:c>
      <x:c r="J1255" s="440" t="n">
        <x:f>IF(ISNUMBER(L1254),L1254,"")</x:f>
        <x:v>0</x:v>
      </x:c>
      <x:c r="K1255" s="440" t="n">
        <x:f>IF(AND(ISNUMBER(J1255),J1255=0),0,IF(AND($B$176=1,ISNUMBER(J1255)),MIN(J1255*(1+$B$87/12),IF($B$86=0,0,IF($B$87=0,$B$86/ROUND($B$88*12,0),$B$86*($B$87/12)/(1-(1+$B$87/12)^(-ROUND($B$88*12,0)))))),""))</x:f>
        <x:v>0</x:v>
      </x:c>
      <x:c r="L1255" s="440" t="n">
        <x:f>IF(ISNUMBER(K1255),IF(MAX(0,J1255*(1+SUM($B$87)/12)-K1255)&lt;MAX(0.0000001,$B$86*0.00000000001),0,MAX(0,J1255*(1+SUM($B$87)/12)-K1255)),"")</x:f>
        <x:v>0</x:v>
      </x:c>
      <x:c r="M1255" s="440" t="n">
        <x:f>IF(AND(ISNUMBER(D1255),ISNUMBER(K1255)),D1255+K1255,"")</x:f>
        <x:v>0</x:v>
      </x:c>
      <x:c r="N1255" s="440" t="n">
        <x:f>IF(AND(ISNUMBER(H1255),ISNUMBER(L1255)),H1255+L1255,"")</x:f>
        <x:v>0</x:v>
      </x:c>
    </x:row>
    <x:row r="1256" ht="22" customHeight="1">
      <x:c r="A1256" s="254" t="n">
        <x:f>856</x:f>
        <x:v>856</x:v>
      </x:c>
      <x:c r="B1256" s="440" t="n">
        <x:f>IF(ISNUMBER(H1255),H1255,"")</x:f>
        <x:v>0</x:v>
      </x:c>
      <x:c r="C1256" s="442" t="n">
        <x:f>IF(ISNUMBER(B1256),IF(AND(856&gt;$B$173,$B$78="Refinance",ISNUMBER($B$80),$B$80&gt;=0,$B$80&lt;=1,ROUND($B$81*12,0)&gt;=1,$B$81&lt;=100,SUM($B$82)&gt;=0,SUM($B$82)&lt;=1,SUM($B$83)&gt;=0),$B$80,IF(AND($B$175&gt;0,856&gt;$B$175,ISNUMBER($B$75)),$B$75,$B$61)),"")</x:f>
        <x:v>0.0625</x:v>
      </x:c>
      <x:c r="D1256" s="440" t="n">
        <x:f>IF(AND(ISNUMBER(B1256),B1256=0),0,IF(AND($B$171=1,I1255=0,ISNUMBER(C1256),ISNUMBER(IF(AND(856&lt;=$B$174,856&lt;=$B$173),B1256*C1256/12,IF(AND(856=$B$173+1,AND(856&gt;$B$173,$B$78="Refinance",ISNUMBER($B$80),$B$80&gt;=0,$B$80&lt;=1,ROUND($B$81*12,0)&gt;=1,$B$81&lt;=100,SUM($B$82)&gt;=0,SUM($B$82)&lt;=1,SUM($B$83)&gt;=0)),IF(B1256=0,0,IF(C1256=0,B1256/ROUND($B$81*12,0),B1256*(C1256/12)/(1-(1+C1256/12)^(-ROUND($B$81*12,0))))),IF(AND(NOT(AND(856&gt;$B$173,$B$78="Refinance",ISNUMBER($B$80),$B$80&gt;=0,$B$80&lt;=1,ROUND($B$81*12,0)&gt;=1,$B$81&lt;=100,SUM($B$82)&gt;=0,SUM($B$82)&lt;=1,SUM($B$83)&gt;=0)),OR(856=1,856=$B$174+1,AND($B$175&gt;0,856=$B$175+1))),IF(AND($B$170=1,$B$66&gt;0,OR($B$175=0,856&lt;=$B$175)),$B$66,IF($B$172-MAX(856-1,$B$174)&gt;0,IF(B1256=0,0,IF(C1256=0,B1256/($B$172-MAX(856-1,$B$174)),B1256*(C1256/12)/(1-(1+C1256/12)^(-($B$172-MAX(856-1,$B$174)))))),"")),D1255))))),IF(IF(AND(856&lt;=$B$174,856&lt;=$B$173),B1256*C1256/12,IF(AND(856=$B$173+1,AND(856&gt;$B$173,$B$78="Refinance",ISNUMBER($B$80),$B$80&gt;=0,$B$80&lt;=1,ROUND($B$81*12,0)&gt;=1,$B$81&lt;=100,SUM($B$82)&gt;=0,SUM($B$82)&lt;=1,SUM($B$83)&gt;=0)),IF(B1256=0,0,IF(C1256=0,B1256/ROUND($B$81*12,0),B1256*(C1256/12)/(1-(1+C1256/12)^(-ROUND($B$81*12,0))))),IF(AND(NOT(AND(856&gt;$B$173,$B$78="Refinance",ISNUMBER($B$80),$B$80&gt;=0,$B$80&lt;=1,ROUND($B$81*12,0)&gt;=1,$B$81&lt;=100,SUM($B$82)&gt;=0,SUM($B$82)&lt;=1,SUM($B$83)&gt;=0)),OR(856=1,856=$B$174+1,AND($B$175&gt;0,856=$B$175+1))),IF(AND($B$170=1,$B$66&gt;0,OR($B$175=0,856&lt;=$B$175)),$B$66,IF($B$172-MAX(856-1,$B$174)&gt;0,IF(B1256=0,0,IF(C1256=0,B1256/($B$172-MAX(856-1,$B$174)),B1256*(C1256/12)/(1-(1+C1256/12)^(-($B$172-MAX(856-1,$B$174)))))),"")),D1255)))+0.0000001&gt;=B1256*C1256/12,MIN(B1256*(1+C1256/12),IF(AND(856&lt;=$B$174,856&lt;=$B$173),B1256*C1256/12,IF(AND(856=$B$173+1,AND(856&gt;$B$173,$B$78="Refinance",ISNUMBER($B$80),$B$80&gt;=0,$B$80&lt;=1,ROUND($B$81*12,0)&gt;=1,$B$81&lt;=100,SUM($B$82)&gt;=0,SUM($B$82)&lt;=1,SUM($B$83)&gt;=0)),IF(B1256=0,0,IF(C1256=0,B1256/ROUND($B$81*12,0),B1256*(C1256/12)/(1-(1+C1256/12)^(-ROUND($B$81*12,0))))),IF(AND(NOT(AND(856&gt;$B$173,$B$78="Refinance",ISNUMBER($B$80),$B$80&gt;=0,$B$80&lt;=1,ROUND($B$81*12,0)&gt;=1,$B$81&lt;=100,SUM($B$82)&gt;=0,SUM($B$82)&lt;=1,SUM($B$83)&gt;=0)),OR(856=1,856=$B$174+1,AND($B$175&gt;0,856=$B$175+1))),IF(AND($B$170=1,$B$66&gt;0,OR($B$175=0,856&lt;=$B$175)),$B$66,IF($B$172-MAX(856-1,$B$174)&gt;0,IF(B1256=0,0,IF(C1256=0,B1256/($B$172-MAX(856-1,$B$174)),B1256*(C1256/12)/(1-(1+C1256/12)^(-($B$172-MAX(856-1,$B$174)))))),"")),D1255)))),""),""))</x:f>
        <x:v>0</x:v>
      </x:c>
      <x:c r="E1256" s="440" t="n">
        <x:f>IF(AND(856=$B$173,ISNUMBER(D1256)),IF(MAX(0,B1256*(1+C1256/12)-D1256)&lt;MAX(0.0000001,$E$17*0.00000000001),0,MAX(0,B1256*(1+C1256/12)-D1256)),0)</x:f>
        <x:v>0</x:v>
      </x:c>
      <x:c r="F1256" s="440" t="n">
        <x:f>IF($B$78="Cash payoff",E1256,0)</x:f>
        <x:v>0</x:v>
      </x:c>
      <x:c r="G1256" s="440" t="n">
        <x:f>IF(AND(E1256&gt;0,AND($B$78="Refinance",ISNUMBER($B$80),$B$80&gt;=0,$B$80&lt;=1,ROUND($B$81*12,0)&gt;=1,$B$81&lt;=100,SUM($B$82)&gt;=0,SUM($B$82)&lt;=1,SUM($B$83)&gt;=0)),E1256*SUM($B$82)+SUM($B$83),0)</x:f>
        <x:v>0</x:v>
      </x:c>
      <x:c r="H1256" s="440" t="n">
        <x:f>IF(ISNUMBER(D1256),IF(MAX(0,B1256*(1+C1256/12)-D1256-F1256)&lt;MAX(0.0000001,$E$17*0.00000000001),0,MAX(0,B1256*(1+C1256/12)-D1256-F1256)),IF(AND($B$171=1,I1255=1),B1256,""))</x:f>
        <x:v>0</x:v>
      </x:c>
      <x:c r="I1256" s="444" t="n">
        <x:f>IF(OR(I1255=1,AND(E1256&gt;0,$B$78&lt;&gt;"Cash payoff",NOT(AND($B$78="Refinance",ISNUMBER($B$80),$B$80&gt;=0,$B$80&lt;=1,ROUND($B$81*12,0)&gt;=1,$B$81&lt;=100,SUM($B$82)&gt;=0,SUM($B$82)&lt;=1,SUM($B$83)&gt;=0))),AND(ISNUMBER(B1256),B1256&gt;0,$B$171=1,NOT(ISNUMBER(D1256)))),1,0)</x:f>
        <x:v>0</x:v>
      </x:c>
      <x:c r="J1256" s="440" t="n">
        <x:f>IF(ISNUMBER(L1255),L1255,"")</x:f>
        <x:v>0</x:v>
      </x:c>
      <x:c r="K1256" s="440" t="n">
        <x:f>IF(AND(ISNUMBER(J1256),J1256=0),0,IF(AND($B$176=1,ISNUMBER(J1256)),MIN(J1256*(1+$B$87/12),IF($B$86=0,0,IF($B$87=0,$B$86/ROUND($B$88*12,0),$B$86*($B$87/12)/(1-(1+$B$87/12)^(-ROUND($B$88*12,0)))))),""))</x:f>
        <x:v>0</x:v>
      </x:c>
      <x:c r="L1256" s="440" t="n">
        <x:f>IF(ISNUMBER(K1256),IF(MAX(0,J1256*(1+SUM($B$87)/12)-K1256)&lt;MAX(0.0000001,$B$86*0.00000000001),0,MAX(0,J1256*(1+SUM($B$87)/12)-K1256)),"")</x:f>
        <x:v>0</x:v>
      </x:c>
      <x:c r="M1256" s="440" t="n">
        <x:f>IF(AND(ISNUMBER(D1256),ISNUMBER(K1256)),D1256+K1256,"")</x:f>
        <x:v>0</x:v>
      </x:c>
      <x:c r="N1256" s="440" t="n">
        <x:f>IF(AND(ISNUMBER(H1256),ISNUMBER(L1256)),H1256+L1256,"")</x:f>
        <x:v>0</x:v>
      </x:c>
    </x:row>
    <x:row r="1257" ht="22" customHeight="1">
      <x:c r="A1257" s="254" t="n">
        <x:f>857</x:f>
        <x:v>857</x:v>
      </x:c>
      <x:c r="B1257" s="440" t="n">
        <x:f>IF(ISNUMBER(H1256),H1256,"")</x:f>
        <x:v>0</x:v>
      </x:c>
      <x:c r="C1257" s="442" t="n">
        <x:f>IF(ISNUMBER(B1257),IF(AND(857&gt;$B$173,$B$78="Refinance",ISNUMBER($B$80),$B$80&gt;=0,$B$80&lt;=1,ROUND($B$81*12,0)&gt;=1,$B$81&lt;=100,SUM($B$82)&gt;=0,SUM($B$82)&lt;=1,SUM($B$83)&gt;=0),$B$80,IF(AND($B$175&gt;0,857&gt;$B$175,ISNUMBER($B$75)),$B$75,$B$61)),"")</x:f>
        <x:v>0.0625</x:v>
      </x:c>
      <x:c r="D1257" s="440" t="n">
        <x:f>IF(AND(ISNUMBER(B1257),B1257=0),0,IF(AND($B$171=1,I1256=0,ISNUMBER(C1257),ISNUMBER(IF(AND(857&lt;=$B$174,857&lt;=$B$173),B1257*C1257/12,IF(AND(857=$B$173+1,AND(857&gt;$B$173,$B$78="Refinance",ISNUMBER($B$80),$B$80&gt;=0,$B$80&lt;=1,ROUND($B$81*12,0)&gt;=1,$B$81&lt;=100,SUM($B$82)&gt;=0,SUM($B$82)&lt;=1,SUM($B$83)&gt;=0)),IF(B1257=0,0,IF(C1257=0,B1257/ROUND($B$81*12,0),B1257*(C1257/12)/(1-(1+C1257/12)^(-ROUND($B$81*12,0))))),IF(AND(NOT(AND(857&gt;$B$173,$B$78="Refinance",ISNUMBER($B$80),$B$80&gt;=0,$B$80&lt;=1,ROUND($B$81*12,0)&gt;=1,$B$81&lt;=100,SUM($B$82)&gt;=0,SUM($B$82)&lt;=1,SUM($B$83)&gt;=0)),OR(857=1,857=$B$174+1,AND($B$175&gt;0,857=$B$175+1))),IF(AND($B$170=1,$B$66&gt;0,OR($B$175=0,857&lt;=$B$175)),$B$66,IF($B$172-MAX(857-1,$B$174)&gt;0,IF(B1257=0,0,IF(C1257=0,B1257/($B$172-MAX(857-1,$B$174)),B1257*(C1257/12)/(1-(1+C1257/12)^(-($B$172-MAX(857-1,$B$174)))))),"")),D1256))))),IF(IF(AND(857&lt;=$B$174,857&lt;=$B$173),B1257*C1257/12,IF(AND(857=$B$173+1,AND(857&gt;$B$173,$B$78="Refinance",ISNUMBER($B$80),$B$80&gt;=0,$B$80&lt;=1,ROUND($B$81*12,0)&gt;=1,$B$81&lt;=100,SUM($B$82)&gt;=0,SUM($B$82)&lt;=1,SUM($B$83)&gt;=0)),IF(B1257=0,0,IF(C1257=0,B1257/ROUND($B$81*12,0),B1257*(C1257/12)/(1-(1+C1257/12)^(-ROUND($B$81*12,0))))),IF(AND(NOT(AND(857&gt;$B$173,$B$78="Refinance",ISNUMBER($B$80),$B$80&gt;=0,$B$80&lt;=1,ROUND($B$81*12,0)&gt;=1,$B$81&lt;=100,SUM($B$82)&gt;=0,SUM($B$82)&lt;=1,SUM($B$83)&gt;=0)),OR(857=1,857=$B$174+1,AND($B$175&gt;0,857=$B$175+1))),IF(AND($B$170=1,$B$66&gt;0,OR($B$175=0,857&lt;=$B$175)),$B$66,IF($B$172-MAX(857-1,$B$174)&gt;0,IF(B1257=0,0,IF(C1257=0,B1257/($B$172-MAX(857-1,$B$174)),B1257*(C1257/12)/(1-(1+C1257/12)^(-($B$172-MAX(857-1,$B$174)))))),"")),D1256)))+0.0000001&gt;=B1257*C1257/12,MIN(B1257*(1+C1257/12),IF(AND(857&lt;=$B$174,857&lt;=$B$173),B1257*C1257/12,IF(AND(857=$B$173+1,AND(857&gt;$B$173,$B$78="Refinance",ISNUMBER($B$80),$B$80&gt;=0,$B$80&lt;=1,ROUND($B$81*12,0)&gt;=1,$B$81&lt;=100,SUM($B$82)&gt;=0,SUM($B$82)&lt;=1,SUM($B$83)&gt;=0)),IF(B1257=0,0,IF(C1257=0,B1257/ROUND($B$81*12,0),B1257*(C1257/12)/(1-(1+C1257/12)^(-ROUND($B$81*12,0))))),IF(AND(NOT(AND(857&gt;$B$173,$B$78="Refinance",ISNUMBER($B$80),$B$80&gt;=0,$B$80&lt;=1,ROUND($B$81*12,0)&gt;=1,$B$81&lt;=100,SUM($B$82)&gt;=0,SUM($B$82)&lt;=1,SUM($B$83)&gt;=0)),OR(857=1,857=$B$174+1,AND($B$175&gt;0,857=$B$175+1))),IF(AND($B$170=1,$B$66&gt;0,OR($B$175=0,857&lt;=$B$175)),$B$66,IF($B$172-MAX(857-1,$B$174)&gt;0,IF(B1257=0,0,IF(C1257=0,B1257/($B$172-MAX(857-1,$B$174)),B1257*(C1257/12)/(1-(1+C1257/12)^(-($B$172-MAX(857-1,$B$174)))))),"")),D1256)))),""),""))</x:f>
        <x:v>0</x:v>
      </x:c>
      <x:c r="E1257" s="440" t="n">
        <x:f>IF(AND(857=$B$173,ISNUMBER(D1257)),IF(MAX(0,B1257*(1+C1257/12)-D1257)&lt;MAX(0.0000001,$E$17*0.00000000001),0,MAX(0,B1257*(1+C1257/12)-D1257)),0)</x:f>
        <x:v>0</x:v>
      </x:c>
      <x:c r="F1257" s="440" t="n">
        <x:f>IF($B$78="Cash payoff",E1257,0)</x:f>
        <x:v>0</x:v>
      </x:c>
      <x:c r="G1257" s="440" t="n">
        <x:f>IF(AND(E1257&gt;0,AND($B$78="Refinance",ISNUMBER($B$80),$B$80&gt;=0,$B$80&lt;=1,ROUND($B$81*12,0)&gt;=1,$B$81&lt;=100,SUM($B$82)&gt;=0,SUM($B$82)&lt;=1,SUM($B$83)&gt;=0)),E1257*SUM($B$82)+SUM($B$83),0)</x:f>
        <x:v>0</x:v>
      </x:c>
      <x:c r="H1257" s="440" t="n">
        <x:f>IF(ISNUMBER(D1257),IF(MAX(0,B1257*(1+C1257/12)-D1257-F1257)&lt;MAX(0.0000001,$E$17*0.00000000001),0,MAX(0,B1257*(1+C1257/12)-D1257-F1257)),IF(AND($B$171=1,I1256=1),B1257,""))</x:f>
        <x:v>0</x:v>
      </x:c>
      <x:c r="I1257" s="444" t="n">
        <x:f>IF(OR(I1256=1,AND(E1257&gt;0,$B$78&lt;&gt;"Cash payoff",NOT(AND($B$78="Refinance",ISNUMBER($B$80),$B$80&gt;=0,$B$80&lt;=1,ROUND($B$81*12,0)&gt;=1,$B$81&lt;=100,SUM($B$82)&gt;=0,SUM($B$82)&lt;=1,SUM($B$83)&gt;=0))),AND(ISNUMBER(B1257),B1257&gt;0,$B$171=1,NOT(ISNUMBER(D1257)))),1,0)</x:f>
        <x:v>0</x:v>
      </x:c>
      <x:c r="J1257" s="440" t="n">
        <x:f>IF(ISNUMBER(L1256),L1256,"")</x:f>
        <x:v>0</x:v>
      </x:c>
      <x:c r="K1257" s="440" t="n">
        <x:f>IF(AND(ISNUMBER(J1257),J1257=0),0,IF(AND($B$176=1,ISNUMBER(J1257)),MIN(J1257*(1+$B$87/12),IF($B$86=0,0,IF($B$87=0,$B$86/ROUND($B$88*12,0),$B$86*($B$87/12)/(1-(1+$B$87/12)^(-ROUND($B$88*12,0)))))),""))</x:f>
        <x:v>0</x:v>
      </x:c>
      <x:c r="L1257" s="440" t="n">
        <x:f>IF(ISNUMBER(K1257),IF(MAX(0,J1257*(1+SUM($B$87)/12)-K1257)&lt;MAX(0.0000001,$B$86*0.00000000001),0,MAX(0,J1257*(1+SUM($B$87)/12)-K1257)),"")</x:f>
        <x:v>0</x:v>
      </x:c>
      <x:c r="M1257" s="440" t="n">
        <x:f>IF(AND(ISNUMBER(D1257),ISNUMBER(K1257)),D1257+K1257,"")</x:f>
        <x:v>0</x:v>
      </x:c>
      <x:c r="N1257" s="440" t="n">
        <x:f>IF(AND(ISNUMBER(H1257),ISNUMBER(L1257)),H1257+L1257,"")</x:f>
        <x:v>0</x:v>
      </x:c>
    </x:row>
    <x:row r="1258" ht="22" customHeight="1">
      <x:c r="A1258" s="254" t="n">
        <x:f>858</x:f>
        <x:v>858</x:v>
      </x:c>
      <x:c r="B1258" s="440" t="n">
        <x:f>IF(ISNUMBER(H1257),H1257,"")</x:f>
        <x:v>0</x:v>
      </x:c>
      <x:c r="C1258" s="442" t="n">
        <x:f>IF(ISNUMBER(B1258),IF(AND(858&gt;$B$173,$B$78="Refinance",ISNUMBER($B$80),$B$80&gt;=0,$B$80&lt;=1,ROUND($B$81*12,0)&gt;=1,$B$81&lt;=100,SUM($B$82)&gt;=0,SUM($B$82)&lt;=1,SUM($B$83)&gt;=0),$B$80,IF(AND($B$175&gt;0,858&gt;$B$175,ISNUMBER($B$75)),$B$75,$B$61)),"")</x:f>
        <x:v>0.0625</x:v>
      </x:c>
      <x:c r="D1258" s="440" t="n">
        <x:f>IF(AND(ISNUMBER(B1258),B1258=0),0,IF(AND($B$171=1,I1257=0,ISNUMBER(C1258),ISNUMBER(IF(AND(858&lt;=$B$174,858&lt;=$B$173),B1258*C1258/12,IF(AND(858=$B$173+1,AND(858&gt;$B$173,$B$78="Refinance",ISNUMBER($B$80),$B$80&gt;=0,$B$80&lt;=1,ROUND($B$81*12,0)&gt;=1,$B$81&lt;=100,SUM($B$82)&gt;=0,SUM($B$82)&lt;=1,SUM($B$83)&gt;=0)),IF(B1258=0,0,IF(C1258=0,B1258/ROUND($B$81*12,0),B1258*(C1258/12)/(1-(1+C1258/12)^(-ROUND($B$81*12,0))))),IF(AND(NOT(AND(858&gt;$B$173,$B$78="Refinance",ISNUMBER($B$80),$B$80&gt;=0,$B$80&lt;=1,ROUND($B$81*12,0)&gt;=1,$B$81&lt;=100,SUM($B$82)&gt;=0,SUM($B$82)&lt;=1,SUM($B$83)&gt;=0)),OR(858=1,858=$B$174+1,AND($B$175&gt;0,858=$B$175+1))),IF(AND($B$170=1,$B$66&gt;0,OR($B$175=0,858&lt;=$B$175)),$B$66,IF($B$172-MAX(858-1,$B$174)&gt;0,IF(B1258=0,0,IF(C1258=0,B1258/($B$172-MAX(858-1,$B$174)),B1258*(C1258/12)/(1-(1+C1258/12)^(-($B$172-MAX(858-1,$B$174)))))),"")),D1257))))),IF(IF(AND(858&lt;=$B$174,858&lt;=$B$173),B1258*C1258/12,IF(AND(858=$B$173+1,AND(858&gt;$B$173,$B$78="Refinance",ISNUMBER($B$80),$B$80&gt;=0,$B$80&lt;=1,ROUND($B$81*12,0)&gt;=1,$B$81&lt;=100,SUM($B$82)&gt;=0,SUM($B$82)&lt;=1,SUM($B$83)&gt;=0)),IF(B1258=0,0,IF(C1258=0,B1258/ROUND($B$81*12,0),B1258*(C1258/12)/(1-(1+C1258/12)^(-ROUND($B$81*12,0))))),IF(AND(NOT(AND(858&gt;$B$173,$B$78="Refinance",ISNUMBER($B$80),$B$80&gt;=0,$B$80&lt;=1,ROUND($B$81*12,0)&gt;=1,$B$81&lt;=100,SUM($B$82)&gt;=0,SUM($B$82)&lt;=1,SUM($B$83)&gt;=0)),OR(858=1,858=$B$174+1,AND($B$175&gt;0,858=$B$175+1))),IF(AND($B$170=1,$B$66&gt;0,OR($B$175=0,858&lt;=$B$175)),$B$66,IF($B$172-MAX(858-1,$B$174)&gt;0,IF(B1258=0,0,IF(C1258=0,B1258/($B$172-MAX(858-1,$B$174)),B1258*(C1258/12)/(1-(1+C1258/12)^(-($B$172-MAX(858-1,$B$174)))))),"")),D1257)))+0.0000001&gt;=B1258*C1258/12,MIN(B1258*(1+C1258/12),IF(AND(858&lt;=$B$174,858&lt;=$B$173),B1258*C1258/12,IF(AND(858=$B$173+1,AND(858&gt;$B$173,$B$78="Refinance",ISNUMBER($B$80),$B$80&gt;=0,$B$80&lt;=1,ROUND($B$81*12,0)&gt;=1,$B$81&lt;=100,SUM($B$82)&gt;=0,SUM($B$82)&lt;=1,SUM($B$83)&gt;=0)),IF(B1258=0,0,IF(C1258=0,B1258/ROUND($B$81*12,0),B1258*(C1258/12)/(1-(1+C1258/12)^(-ROUND($B$81*12,0))))),IF(AND(NOT(AND(858&gt;$B$173,$B$78="Refinance",ISNUMBER($B$80),$B$80&gt;=0,$B$80&lt;=1,ROUND($B$81*12,0)&gt;=1,$B$81&lt;=100,SUM($B$82)&gt;=0,SUM($B$82)&lt;=1,SUM($B$83)&gt;=0)),OR(858=1,858=$B$174+1,AND($B$175&gt;0,858=$B$175+1))),IF(AND($B$170=1,$B$66&gt;0,OR($B$175=0,858&lt;=$B$175)),$B$66,IF($B$172-MAX(858-1,$B$174)&gt;0,IF(B1258=0,0,IF(C1258=0,B1258/($B$172-MAX(858-1,$B$174)),B1258*(C1258/12)/(1-(1+C1258/12)^(-($B$172-MAX(858-1,$B$174)))))),"")),D1257)))),""),""))</x:f>
        <x:v>0</x:v>
      </x:c>
      <x:c r="E1258" s="440" t="n">
        <x:f>IF(AND(858=$B$173,ISNUMBER(D1258)),IF(MAX(0,B1258*(1+C1258/12)-D1258)&lt;MAX(0.0000001,$E$17*0.00000000001),0,MAX(0,B1258*(1+C1258/12)-D1258)),0)</x:f>
        <x:v>0</x:v>
      </x:c>
      <x:c r="F1258" s="440" t="n">
        <x:f>IF($B$78="Cash payoff",E1258,0)</x:f>
        <x:v>0</x:v>
      </x:c>
      <x:c r="G1258" s="440" t="n">
        <x:f>IF(AND(E1258&gt;0,AND($B$78="Refinance",ISNUMBER($B$80),$B$80&gt;=0,$B$80&lt;=1,ROUND($B$81*12,0)&gt;=1,$B$81&lt;=100,SUM($B$82)&gt;=0,SUM($B$82)&lt;=1,SUM($B$83)&gt;=0)),E1258*SUM($B$82)+SUM($B$83),0)</x:f>
        <x:v>0</x:v>
      </x:c>
      <x:c r="H1258" s="440" t="n">
        <x:f>IF(ISNUMBER(D1258),IF(MAX(0,B1258*(1+C1258/12)-D1258-F1258)&lt;MAX(0.0000001,$E$17*0.00000000001),0,MAX(0,B1258*(1+C1258/12)-D1258-F1258)),IF(AND($B$171=1,I1257=1),B1258,""))</x:f>
        <x:v>0</x:v>
      </x:c>
      <x:c r="I1258" s="444" t="n">
        <x:f>IF(OR(I1257=1,AND(E1258&gt;0,$B$78&lt;&gt;"Cash payoff",NOT(AND($B$78="Refinance",ISNUMBER($B$80),$B$80&gt;=0,$B$80&lt;=1,ROUND($B$81*12,0)&gt;=1,$B$81&lt;=100,SUM($B$82)&gt;=0,SUM($B$82)&lt;=1,SUM($B$83)&gt;=0))),AND(ISNUMBER(B1258),B1258&gt;0,$B$171=1,NOT(ISNUMBER(D1258)))),1,0)</x:f>
        <x:v>0</x:v>
      </x:c>
      <x:c r="J1258" s="440" t="n">
        <x:f>IF(ISNUMBER(L1257),L1257,"")</x:f>
        <x:v>0</x:v>
      </x:c>
      <x:c r="K1258" s="440" t="n">
        <x:f>IF(AND(ISNUMBER(J1258),J1258=0),0,IF(AND($B$176=1,ISNUMBER(J1258)),MIN(J1258*(1+$B$87/12),IF($B$86=0,0,IF($B$87=0,$B$86/ROUND($B$88*12,0),$B$86*($B$87/12)/(1-(1+$B$87/12)^(-ROUND($B$88*12,0)))))),""))</x:f>
        <x:v>0</x:v>
      </x:c>
      <x:c r="L1258" s="440" t="n">
        <x:f>IF(ISNUMBER(K1258),IF(MAX(0,J1258*(1+SUM($B$87)/12)-K1258)&lt;MAX(0.0000001,$B$86*0.00000000001),0,MAX(0,J1258*(1+SUM($B$87)/12)-K1258)),"")</x:f>
        <x:v>0</x:v>
      </x:c>
      <x:c r="M1258" s="440" t="n">
        <x:f>IF(AND(ISNUMBER(D1258),ISNUMBER(K1258)),D1258+K1258,"")</x:f>
        <x:v>0</x:v>
      </x:c>
      <x:c r="N1258" s="440" t="n">
        <x:f>IF(AND(ISNUMBER(H1258),ISNUMBER(L1258)),H1258+L1258,"")</x:f>
        <x:v>0</x:v>
      </x:c>
    </x:row>
    <x:row r="1259" ht="22" customHeight="1">
      <x:c r="A1259" s="254" t="n">
        <x:f>859</x:f>
        <x:v>859</x:v>
      </x:c>
      <x:c r="B1259" s="440" t="n">
        <x:f>IF(ISNUMBER(H1258),H1258,"")</x:f>
        <x:v>0</x:v>
      </x:c>
      <x:c r="C1259" s="442" t="n">
        <x:f>IF(ISNUMBER(B1259),IF(AND(859&gt;$B$173,$B$78="Refinance",ISNUMBER($B$80),$B$80&gt;=0,$B$80&lt;=1,ROUND($B$81*12,0)&gt;=1,$B$81&lt;=100,SUM($B$82)&gt;=0,SUM($B$82)&lt;=1,SUM($B$83)&gt;=0),$B$80,IF(AND($B$175&gt;0,859&gt;$B$175,ISNUMBER($B$75)),$B$75,$B$61)),"")</x:f>
        <x:v>0.0625</x:v>
      </x:c>
      <x:c r="D1259" s="440" t="n">
        <x:f>IF(AND(ISNUMBER(B1259),B1259=0),0,IF(AND($B$171=1,I1258=0,ISNUMBER(C1259),ISNUMBER(IF(AND(859&lt;=$B$174,859&lt;=$B$173),B1259*C1259/12,IF(AND(859=$B$173+1,AND(859&gt;$B$173,$B$78="Refinance",ISNUMBER($B$80),$B$80&gt;=0,$B$80&lt;=1,ROUND($B$81*12,0)&gt;=1,$B$81&lt;=100,SUM($B$82)&gt;=0,SUM($B$82)&lt;=1,SUM($B$83)&gt;=0)),IF(B1259=0,0,IF(C1259=0,B1259/ROUND($B$81*12,0),B1259*(C1259/12)/(1-(1+C1259/12)^(-ROUND($B$81*12,0))))),IF(AND(NOT(AND(859&gt;$B$173,$B$78="Refinance",ISNUMBER($B$80),$B$80&gt;=0,$B$80&lt;=1,ROUND($B$81*12,0)&gt;=1,$B$81&lt;=100,SUM($B$82)&gt;=0,SUM($B$82)&lt;=1,SUM($B$83)&gt;=0)),OR(859=1,859=$B$174+1,AND($B$175&gt;0,859=$B$175+1))),IF(AND($B$170=1,$B$66&gt;0,OR($B$175=0,859&lt;=$B$175)),$B$66,IF($B$172-MAX(859-1,$B$174)&gt;0,IF(B1259=0,0,IF(C1259=0,B1259/($B$172-MAX(859-1,$B$174)),B1259*(C1259/12)/(1-(1+C1259/12)^(-($B$172-MAX(859-1,$B$174)))))),"")),D1258))))),IF(IF(AND(859&lt;=$B$174,859&lt;=$B$173),B1259*C1259/12,IF(AND(859=$B$173+1,AND(859&gt;$B$173,$B$78="Refinance",ISNUMBER($B$80),$B$80&gt;=0,$B$80&lt;=1,ROUND($B$81*12,0)&gt;=1,$B$81&lt;=100,SUM($B$82)&gt;=0,SUM($B$82)&lt;=1,SUM($B$83)&gt;=0)),IF(B1259=0,0,IF(C1259=0,B1259/ROUND($B$81*12,0),B1259*(C1259/12)/(1-(1+C1259/12)^(-ROUND($B$81*12,0))))),IF(AND(NOT(AND(859&gt;$B$173,$B$78="Refinance",ISNUMBER($B$80),$B$80&gt;=0,$B$80&lt;=1,ROUND($B$81*12,0)&gt;=1,$B$81&lt;=100,SUM($B$82)&gt;=0,SUM($B$82)&lt;=1,SUM($B$83)&gt;=0)),OR(859=1,859=$B$174+1,AND($B$175&gt;0,859=$B$175+1))),IF(AND($B$170=1,$B$66&gt;0,OR($B$175=0,859&lt;=$B$175)),$B$66,IF($B$172-MAX(859-1,$B$174)&gt;0,IF(B1259=0,0,IF(C1259=0,B1259/($B$172-MAX(859-1,$B$174)),B1259*(C1259/12)/(1-(1+C1259/12)^(-($B$172-MAX(859-1,$B$174)))))),"")),D1258)))+0.0000001&gt;=B1259*C1259/12,MIN(B1259*(1+C1259/12),IF(AND(859&lt;=$B$174,859&lt;=$B$173),B1259*C1259/12,IF(AND(859=$B$173+1,AND(859&gt;$B$173,$B$78="Refinance",ISNUMBER($B$80),$B$80&gt;=0,$B$80&lt;=1,ROUND($B$81*12,0)&gt;=1,$B$81&lt;=100,SUM($B$82)&gt;=0,SUM($B$82)&lt;=1,SUM($B$83)&gt;=0)),IF(B1259=0,0,IF(C1259=0,B1259/ROUND($B$81*12,0),B1259*(C1259/12)/(1-(1+C1259/12)^(-ROUND($B$81*12,0))))),IF(AND(NOT(AND(859&gt;$B$173,$B$78="Refinance",ISNUMBER($B$80),$B$80&gt;=0,$B$80&lt;=1,ROUND($B$81*12,0)&gt;=1,$B$81&lt;=100,SUM($B$82)&gt;=0,SUM($B$82)&lt;=1,SUM($B$83)&gt;=0)),OR(859=1,859=$B$174+1,AND($B$175&gt;0,859=$B$175+1))),IF(AND($B$170=1,$B$66&gt;0,OR($B$175=0,859&lt;=$B$175)),$B$66,IF($B$172-MAX(859-1,$B$174)&gt;0,IF(B1259=0,0,IF(C1259=0,B1259/($B$172-MAX(859-1,$B$174)),B1259*(C1259/12)/(1-(1+C1259/12)^(-($B$172-MAX(859-1,$B$174)))))),"")),D1258)))),""),""))</x:f>
        <x:v>0</x:v>
      </x:c>
      <x:c r="E1259" s="440" t="n">
        <x:f>IF(AND(859=$B$173,ISNUMBER(D1259)),IF(MAX(0,B1259*(1+C1259/12)-D1259)&lt;MAX(0.0000001,$E$17*0.00000000001),0,MAX(0,B1259*(1+C1259/12)-D1259)),0)</x:f>
        <x:v>0</x:v>
      </x:c>
      <x:c r="F1259" s="440" t="n">
        <x:f>IF($B$78="Cash payoff",E1259,0)</x:f>
        <x:v>0</x:v>
      </x:c>
      <x:c r="G1259" s="440" t="n">
        <x:f>IF(AND(E1259&gt;0,AND($B$78="Refinance",ISNUMBER($B$80),$B$80&gt;=0,$B$80&lt;=1,ROUND($B$81*12,0)&gt;=1,$B$81&lt;=100,SUM($B$82)&gt;=0,SUM($B$82)&lt;=1,SUM($B$83)&gt;=0)),E1259*SUM($B$82)+SUM($B$83),0)</x:f>
        <x:v>0</x:v>
      </x:c>
      <x:c r="H1259" s="440" t="n">
        <x:f>IF(ISNUMBER(D1259),IF(MAX(0,B1259*(1+C1259/12)-D1259-F1259)&lt;MAX(0.0000001,$E$17*0.00000000001),0,MAX(0,B1259*(1+C1259/12)-D1259-F1259)),IF(AND($B$171=1,I1258=1),B1259,""))</x:f>
        <x:v>0</x:v>
      </x:c>
      <x:c r="I1259" s="444" t="n">
        <x:f>IF(OR(I1258=1,AND(E1259&gt;0,$B$78&lt;&gt;"Cash payoff",NOT(AND($B$78="Refinance",ISNUMBER($B$80),$B$80&gt;=0,$B$80&lt;=1,ROUND($B$81*12,0)&gt;=1,$B$81&lt;=100,SUM($B$82)&gt;=0,SUM($B$82)&lt;=1,SUM($B$83)&gt;=0))),AND(ISNUMBER(B1259),B1259&gt;0,$B$171=1,NOT(ISNUMBER(D1259)))),1,0)</x:f>
        <x:v>0</x:v>
      </x:c>
      <x:c r="J1259" s="440" t="n">
        <x:f>IF(ISNUMBER(L1258),L1258,"")</x:f>
        <x:v>0</x:v>
      </x:c>
      <x:c r="K1259" s="440" t="n">
        <x:f>IF(AND(ISNUMBER(J1259),J1259=0),0,IF(AND($B$176=1,ISNUMBER(J1259)),MIN(J1259*(1+$B$87/12),IF($B$86=0,0,IF($B$87=0,$B$86/ROUND($B$88*12,0),$B$86*($B$87/12)/(1-(1+$B$87/12)^(-ROUND($B$88*12,0)))))),""))</x:f>
        <x:v>0</x:v>
      </x:c>
      <x:c r="L1259" s="440" t="n">
        <x:f>IF(ISNUMBER(K1259),IF(MAX(0,J1259*(1+SUM($B$87)/12)-K1259)&lt;MAX(0.0000001,$B$86*0.00000000001),0,MAX(0,J1259*(1+SUM($B$87)/12)-K1259)),"")</x:f>
        <x:v>0</x:v>
      </x:c>
      <x:c r="M1259" s="440" t="n">
        <x:f>IF(AND(ISNUMBER(D1259),ISNUMBER(K1259)),D1259+K1259,"")</x:f>
        <x:v>0</x:v>
      </x:c>
      <x:c r="N1259" s="440" t="n">
        <x:f>IF(AND(ISNUMBER(H1259),ISNUMBER(L1259)),H1259+L1259,"")</x:f>
        <x:v>0</x:v>
      </x:c>
    </x:row>
    <x:row r="1260" ht="22" customHeight="1">
      <x:c r="A1260" s="254" t="n">
        <x:f>860</x:f>
        <x:v>860</x:v>
      </x:c>
      <x:c r="B1260" s="440" t="n">
        <x:f>IF(ISNUMBER(H1259),H1259,"")</x:f>
        <x:v>0</x:v>
      </x:c>
      <x:c r="C1260" s="442" t="n">
        <x:f>IF(ISNUMBER(B1260),IF(AND(860&gt;$B$173,$B$78="Refinance",ISNUMBER($B$80),$B$80&gt;=0,$B$80&lt;=1,ROUND($B$81*12,0)&gt;=1,$B$81&lt;=100,SUM($B$82)&gt;=0,SUM($B$82)&lt;=1,SUM($B$83)&gt;=0),$B$80,IF(AND($B$175&gt;0,860&gt;$B$175,ISNUMBER($B$75)),$B$75,$B$61)),"")</x:f>
        <x:v>0.0625</x:v>
      </x:c>
      <x:c r="D1260" s="440" t="n">
        <x:f>IF(AND(ISNUMBER(B1260),B1260=0),0,IF(AND($B$171=1,I1259=0,ISNUMBER(C1260),ISNUMBER(IF(AND(860&lt;=$B$174,860&lt;=$B$173),B1260*C1260/12,IF(AND(860=$B$173+1,AND(860&gt;$B$173,$B$78="Refinance",ISNUMBER($B$80),$B$80&gt;=0,$B$80&lt;=1,ROUND($B$81*12,0)&gt;=1,$B$81&lt;=100,SUM($B$82)&gt;=0,SUM($B$82)&lt;=1,SUM($B$83)&gt;=0)),IF(B1260=0,0,IF(C1260=0,B1260/ROUND($B$81*12,0),B1260*(C1260/12)/(1-(1+C1260/12)^(-ROUND($B$81*12,0))))),IF(AND(NOT(AND(860&gt;$B$173,$B$78="Refinance",ISNUMBER($B$80),$B$80&gt;=0,$B$80&lt;=1,ROUND($B$81*12,0)&gt;=1,$B$81&lt;=100,SUM($B$82)&gt;=0,SUM($B$82)&lt;=1,SUM($B$83)&gt;=0)),OR(860=1,860=$B$174+1,AND($B$175&gt;0,860=$B$175+1))),IF(AND($B$170=1,$B$66&gt;0,OR($B$175=0,860&lt;=$B$175)),$B$66,IF($B$172-MAX(860-1,$B$174)&gt;0,IF(B1260=0,0,IF(C1260=0,B1260/($B$172-MAX(860-1,$B$174)),B1260*(C1260/12)/(1-(1+C1260/12)^(-($B$172-MAX(860-1,$B$174)))))),"")),D1259))))),IF(IF(AND(860&lt;=$B$174,860&lt;=$B$173),B1260*C1260/12,IF(AND(860=$B$173+1,AND(860&gt;$B$173,$B$78="Refinance",ISNUMBER($B$80),$B$80&gt;=0,$B$80&lt;=1,ROUND($B$81*12,0)&gt;=1,$B$81&lt;=100,SUM($B$82)&gt;=0,SUM($B$82)&lt;=1,SUM($B$83)&gt;=0)),IF(B1260=0,0,IF(C1260=0,B1260/ROUND($B$81*12,0),B1260*(C1260/12)/(1-(1+C1260/12)^(-ROUND($B$81*12,0))))),IF(AND(NOT(AND(860&gt;$B$173,$B$78="Refinance",ISNUMBER($B$80),$B$80&gt;=0,$B$80&lt;=1,ROUND($B$81*12,0)&gt;=1,$B$81&lt;=100,SUM($B$82)&gt;=0,SUM($B$82)&lt;=1,SUM($B$83)&gt;=0)),OR(860=1,860=$B$174+1,AND($B$175&gt;0,860=$B$175+1))),IF(AND($B$170=1,$B$66&gt;0,OR($B$175=0,860&lt;=$B$175)),$B$66,IF($B$172-MAX(860-1,$B$174)&gt;0,IF(B1260=0,0,IF(C1260=0,B1260/($B$172-MAX(860-1,$B$174)),B1260*(C1260/12)/(1-(1+C1260/12)^(-($B$172-MAX(860-1,$B$174)))))),"")),D1259)))+0.0000001&gt;=B1260*C1260/12,MIN(B1260*(1+C1260/12),IF(AND(860&lt;=$B$174,860&lt;=$B$173),B1260*C1260/12,IF(AND(860=$B$173+1,AND(860&gt;$B$173,$B$78="Refinance",ISNUMBER($B$80),$B$80&gt;=0,$B$80&lt;=1,ROUND($B$81*12,0)&gt;=1,$B$81&lt;=100,SUM($B$82)&gt;=0,SUM($B$82)&lt;=1,SUM($B$83)&gt;=0)),IF(B1260=0,0,IF(C1260=0,B1260/ROUND($B$81*12,0),B1260*(C1260/12)/(1-(1+C1260/12)^(-ROUND($B$81*12,0))))),IF(AND(NOT(AND(860&gt;$B$173,$B$78="Refinance",ISNUMBER($B$80),$B$80&gt;=0,$B$80&lt;=1,ROUND($B$81*12,0)&gt;=1,$B$81&lt;=100,SUM($B$82)&gt;=0,SUM($B$82)&lt;=1,SUM($B$83)&gt;=0)),OR(860=1,860=$B$174+1,AND($B$175&gt;0,860=$B$175+1))),IF(AND($B$170=1,$B$66&gt;0,OR($B$175=0,860&lt;=$B$175)),$B$66,IF($B$172-MAX(860-1,$B$174)&gt;0,IF(B1260=0,0,IF(C1260=0,B1260/($B$172-MAX(860-1,$B$174)),B1260*(C1260/12)/(1-(1+C1260/12)^(-($B$172-MAX(860-1,$B$174)))))),"")),D1259)))),""),""))</x:f>
        <x:v>0</x:v>
      </x:c>
      <x:c r="E1260" s="440" t="n">
        <x:f>IF(AND(860=$B$173,ISNUMBER(D1260)),IF(MAX(0,B1260*(1+C1260/12)-D1260)&lt;MAX(0.0000001,$E$17*0.00000000001),0,MAX(0,B1260*(1+C1260/12)-D1260)),0)</x:f>
        <x:v>0</x:v>
      </x:c>
      <x:c r="F1260" s="440" t="n">
        <x:f>IF($B$78="Cash payoff",E1260,0)</x:f>
        <x:v>0</x:v>
      </x:c>
      <x:c r="G1260" s="440" t="n">
        <x:f>IF(AND(E1260&gt;0,AND($B$78="Refinance",ISNUMBER($B$80),$B$80&gt;=0,$B$80&lt;=1,ROUND($B$81*12,0)&gt;=1,$B$81&lt;=100,SUM($B$82)&gt;=0,SUM($B$82)&lt;=1,SUM($B$83)&gt;=0)),E1260*SUM($B$82)+SUM($B$83),0)</x:f>
        <x:v>0</x:v>
      </x:c>
      <x:c r="H1260" s="440" t="n">
        <x:f>IF(ISNUMBER(D1260),IF(MAX(0,B1260*(1+C1260/12)-D1260-F1260)&lt;MAX(0.0000001,$E$17*0.00000000001),0,MAX(0,B1260*(1+C1260/12)-D1260-F1260)),IF(AND($B$171=1,I1259=1),B1260,""))</x:f>
        <x:v>0</x:v>
      </x:c>
      <x:c r="I1260" s="444" t="n">
        <x:f>IF(OR(I1259=1,AND(E1260&gt;0,$B$78&lt;&gt;"Cash payoff",NOT(AND($B$78="Refinance",ISNUMBER($B$80),$B$80&gt;=0,$B$80&lt;=1,ROUND($B$81*12,0)&gt;=1,$B$81&lt;=100,SUM($B$82)&gt;=0,SUM($B$82)&lt;=1,SUM($B$83)&gt;=0))),AND(ISNUMBER(B1260),B1260&gt;0,$B$171=1,NOT(ISNUMBER(D1260)))),1,0)</x:f>
        <x:v>0</x:v>
      </x:c>
      <x:c r="J1260" s="440" t="n">
        <x:f>IF(ISNUMBER(L1259),L1259,"")</x:f>
        <x:v>0</x:v>
      </x:c>
      <x:c r="K1260" s="440" t="n">
        <x:f>IF(AND(ISNUMBER(J1260),J1260=0),0,IF(AND($B$176=1,ISNUMBER(J1260)),MIN(J1260*(1+$B$87/12),IF($B$86=0,0,IF($B$87=0,$B$86/ROUND($B$88*12,0),$B$86*($B$87/12)/(1-(1+$B$87/12)^(-ROUND($B$88*12,0)))))),""))</x:f>
        <x:v>0</x:v>
      </x:c>
      <x:c r="L1260" s="440" t="n">
        <x:f>IF(ISNUMBER(K1260),IF(MAX(0,J1260*(1+SUM($B$87)/12)-K1260)&lt;MAX(0.0000001,$B$86*0.00000000001),0,MAX(0,J1260*(1+SUM($B$87)/12)-K1260)),"")</x:f>
        <x:v>0</x:v>
      </x:c>
      <x:c r="M1260" s="440" t="n">
        <x:f>IF(AND(ISNUMBER(D1260),ISNUMBER(K1260)),D1260+K1260,"")</x:f>
        <x:v>0</x:v>
      </x:c>
      <x:c r="N1260" s="440" t="n">
        <x:f>IF(AND(ISNUMBER(H1260),ISNUMBER(L1260)),H1260+L1260,"")</x:f>
        <x:v>0</x:v>
      </x:c>
    </x:row>
    <x:row r="1261" ht="22" customHeight="1">
      <x:c r="A1261" s="254" t="n">
        <x:f>861</x:f>
        <x:v>861</x:v>
      </x:c>
      <x:c r="B1261" s="440" t="n">
        <x:f>IF(ISNUMBER(H1260),H1260,"")</x:f>
        <x:v>0</x:v>
      </x:c>
      <x:c r="C1261" s="442" t="n">
        <x:f>IF(ISNUMBER(B1261),IF(AND(861&gt;$B$173,$B$78="Refinance",ISNUMBER($B$80),$B$80&gt;=0,$B$80&lt;=1,ROUND($B$81*12,0)&gt;=1,$B$81&lt;=100,SUM($B$82)&gt;=0,SUM($B$82)&lt;=1,SUM($B$83)&gt;=0),$B$80,IF(AND($B$175&gt;0,861&gt;$B$175,ISNUMBER($B$75)),$B$75,$B$61)),"")</x:f>
        <x:v>0.0625</x:v>
      </x:c>
      <x:c r="D1261" s="440" t="n">
        <x:f>IF(AND(ISNUMBER(B1261),B1261=0),0,IF(AND($B$171=1,I1260=0,ISNUMBER(C1261),ISNUMBER(IF(AND(861&lt;=$B$174,861&lt;=$B$173),B1261*C1261/12,IF(AND(861=$B$173+1,AND(861&gt;$B$173,$B$78="Refinance",ISNUMBER($B$80),$B$80&gt;=0,$B$80&lt;=1,ROUND($B$81*12,0)&gt;=1,$B$81&lt;=100,SUM($B$82)&gt;=0,SUM($B$82)&lt;=1,SUM($B$83)&gt;=0)),IF(B1261=0,0,IF(C1261=0,B1261/ROUND($B$81*12,0),B1261*(C1261/12)/(1-(1+C1261/12)^(-ROUND($B$81*12,0))))),IF(AND(NOT(AND(861&gt;$B$173,$B$78="Refinance",ISNUMBER($B$80),$B$80&gt;=0,$B$80&lt;=1,ROUND($B$81*12,0)&gt;=1,$B$81&lt;=100,SUM($B$82)&gt;=0,SUM($B$82)&lt;=1,SUM($B$83)&gt;=0)),OR(861=1,861=$B$174+1,AND($B$175&gt;0,861=$B$175+1))),IF(AND($B$170=1,$B$66&gt;0,OR($B$175=0,861&lt;=$B$175)),$B$66,IF($B$172-MAX(861-1,$B$174)&gt;0,IF(B1261=0,0,IF(C1261=0,B1261/($B$172-MAX(861-1,$B$174)),B1261*(C1261/12)/(1-(1+C1261/12)^(-($B$172-MAX(861-1,$B$174)))))),"")),D1260))))),IF(IF(AND(861&lt;=$B$174,861&lt;=$B$173),B1261*C1261/12,IF(AND(861=$B$173+1,AND(861&gt;$B$173,$B$78="Refinance",ISNUMBER($B$80),$B$80&gt;=0,$B$80&lt;=1,ROUND($B$81*12,0)&gt;=1,$B$81&lt;=100,SUM($B$82)&gt;=0,SUM($B$82)&lt;=1,SUM($B$83)&gt;=0)),IF(B1261=0,0,IF(C1261=0,B1261/ROUND($B$81*12,0),B1261*(C1261/12)/(1-(1+C1261/12)^(-ROUND($B$81*12,0))))),IF(AND(NOT(AND(861&gt;$B$173,$B$78="Refinance",ISNUMBER($B$80),$B$80&gt;=0,$B$80&lt;=1,ROUND($B$81*12,0)&gt;=1,$B$81&lt;=100,SUM($B$82)&gt;=0,SUM($B$82)&lt;=1,SUM($B$83)&gt;=0)),OR(861=1,861=$B$174+1,AND($B$175&gt;0,861=$B$175+1))),IF(AND($B$170=1,$B$66&gt;0,OR($B$175=0,861&lt;=$B$175)),$B$66,IF($B$172-MAX(861-1,$B$174)&gt;0,IF(B1261=0,0,IF(C1261=0,B1261/($B$172-MAX(861-1,$B$174)),B1261*(C1261/12)/(1-(1+C1261/12)^(-($B$172-MAX(861-1,$B$174)))))),"")),D1260)))+0.0000001&gt;=B1261*C1261/12,MIN(B1261*(1+C1261/12),IF(AND(861&lt;=$B$174,861&lt;=$B$173),B1261*C1261/12,IF(AND(861=$B$173+1,AND(861&gt;$B$173,$B$78="Refinance",ISNUMBER($B$80),$B$80&gt;=0,$B$80&lt;=1,ROUND($B$81*12,0)&gt;=1,$B$81&lt;=100,SUM($B$82)&gt;=0,SUM($B$82)&lt;=1,SUM($B$83)&gt;=0)),IF(B1261=0,0,IF(C1261=0,B1261/ROUND($B$81*12,0),B1261*(C1261/12)/(1-(1+C1261/12)^(-ROUND($B$81*12,0))))),IF(AND(NOT(AND(861&gt;$B$173,$B$78="Refinance",ISNUMBER($B$80),$B$80&gt;=0,$B$80&lt;=1,ROUND($B$81*12,0)&gt;=1,$B$81&lt;=100,SUM($B$82)&gt;=0,SUM($B$82)&lt;=1,SUM($B$83)&gt;=0)),OR(861=1,861=$B$174+1,AND($B$175&gt;0,861=$B$175+1))),IF(AND($B$170=1,$B$66&gt;0,OR($B$175=0,861&lt;=$B$175)),$B$66,IF($B$172-MAX(861-1,$B$174)&gt;0,IF(B1261=0,0,IF(C1261=0,B1261/($B$172-MAX(861-1,$B$174)),B1261*(C1261/12)/(1-(1+C1261/12)^(-($B$172-MAX(861-1,$B$174)))))),"")),D1260)))),""),""))</x:f>
        <x:v>0</x:v>
      </x:c>
      <x:c r="E1261" s="440" t="n">
        <x:f>IF(AND(861=$B$173,ISNUMBER(D1261)),IF(MAX(0,B1261*(1+C1261/12)-D1261)&lt;MAX(0.0000001,$E$17*0.00000000001),0,MAX(0,B1261*(1+C1261/12)-D1261)),0)</x:f>
        <x:v>0</x:v>
      </x:c>
      <x:c r="F1261" s="440" t="n">
        <x:f>IF($B$78="Cash payoff",E1261,0)</x:f>
        <x:v>0</x:v>
      </x:c>
      <x:c r="G1261" s="440" t="n">
        <x:f>IF(AND(E1261&gt;0,AND($B$78="Refinance",ISNUMBER($B$80),$B$80&gt;=0,$B$80&lt;=1,ROUND($B$81*12,0)&gt;=1,$B$81&lt;=100,SUM($B$82)&gt;=0,SUM($B$82)&lt;=1,SUM($B$83)&gt;=0)),E1261*SUM($B$82)+SUM($B$83),0)</x:f>
        <x:v>0</x:v>
      </x:c>
      <x:c r="H1261" s="440" t="n">
        <x:f>IF(ISNUMBER(D1261),IF(MAX(0,B1261*(1+C1261/12)-D1261-F1261)&lt;MAX(0.0000001,$E$17*0.00000000001),0,MAX(0,B1261*(1+C1261/12)-D1261-F1261)),IF(AND($B$171=1,I1260=1),B1261,""))</x:f>
        <x:v>0</x:v>
      </x:c>
      <x:c r="I1261" s="444" t="n">
        <x:f>IF(OR(I1260=1,AND(E1261&gt;0,$B$78&lt;&gt;"Cash payoff",NOT(AND($B$78="Refinance",ISNUMBER($B$80),$B$80&gt;=0,$B$80&lt;=1,ROUND($B$81*12,0)&gt;=1,$B$81&lt;=100,SUM($B$82)&gt;=0,SUM($B$82)&lt;=1,SUM($B$83)&gt;=0))),AND(ISNUMBER(B1261),B1261&gt;0,$B$171=1,NOT(ISNUMBER(D1261)))),1,0)</x:f>
        <x:v>0</x:v>
      </x:c>
      <x:c r="J1261" s="440" t="n">
        <x:f>IF(ISNUMBER(L1260),L1260,"")</x:f>
        <x:v>0</x:v>
      </x:c>
      <x:c r="K1261" s="440" t="n">
        <x:f>IF(AND(ISNUMBER(J1261),J1261=0),0,IF(AND($B$176=1,ISNUMBER(J1261)),MIN(J1261*(1+$B$87/12),IF($B$86=0,0,IF($B$87=0,$B$86/ROUND($B$88*12,0),$B$86*($B$87/12)/(1-(1+$B$87/12)^(-ROUND($B$88*12,0)))))),""))</x:f>
        <x:v>0</x:v>
      </x:c>
      <x:c r="L1261" s="440" t="n">
        <x:f>IF(ISNUMBER(K1261),IF(MAX(0,J1261*(1+SUM($B$87)/12)-K1261)&lt;MAX(0.0000001,$B$86*0.00000000001),0,MAX(0,J1261*(1+SUM($B$87)/12)-K1261)),"")</x:f>
        <x:v>0</x:v>
      </x:c>
      <x:c r="M1261" s="440" t="n">
        <x:f>IF(AND(ISNUMBER(D1261),ISNUMBER(K1261)),D1261+K1261,"")</x:f>
        <x:v>0</x:v>
      </x:c>
      <x:c r="N1261" s="440" t="n">
        <x:f>IF(AND(ISNUMBER(H1261),ISNUMBER(L1261)),H1261+L1261,"")</x:f>
        <x:v>0</x:v>
      </x:c>
    </x:row>
    <x:row r="1262" ht="22" customHeight="1">
      <x:c r="A1262" s="254" t="n">
        <x:f>862</x:f>
        <x:v>862</x:v>
      </x:c>
      <x:c r="B1262" s="440" t="n">
        <x:f>IF(ISNUMBER(H1261),H1261,"")</x:f>
        <x:v>0</x:v>
      </x:c>
      <x:c r="C1262" s="442" t="n">
        <x:f>IF(ISNUMBER(B1262),IF(AND(862&gt;$B$173,$B$78="Refinance",ISNUMBER($B$80),$B$80&gt;=0,$B$80&lt;=1,ROUND($B$81*12,0)&gt;=1,$B$81&lt;=100,SUM($B$82)&gt;=0,SUM($B$82)&lt;=1,SUM($B$83)&gt;=0),$B$80,IF(AND($B$175&gt;0,862&gt;$B$175,ISNUMBER($B$75)),$B$75,$B$61)),"")</x:f>
        <x:v>0.0625</x:v>
      </x:c>
      <x:c r="D1262" s="440" t="n">
        <x:f>IF(AND(ISNUMBER(B1262),B1262=0),0,IF(AND($B$171=1,I1261=0,ISNUMBER(C1262),ISNUMBER(IF(AND(862&lt;=$B$174,862&lt;=$B$173),B1262*C1262/12,IF(AND(862=$B$173+1,AND(862&gt;$B$173,$B$78="Refinance",ISNUMBER($B$80),$B$80&gt;=0,$B$80&lt;=1,ROUND($B$81*12,0)&gt;=1,$B$81&lt;=100,SUM($B$82)&gt;=0,SUM($B$82)&lt;=1,SUM($B$83)&gt;=0)),IF(B1262=0,0,IF(C1262=0,B1262/ROUND($B$81*12,0),B1262*(C1262/12)/(1-(1+C1262/12)^(-ROUND($B$81*12,0))))),IF(AND(NOT(AND(862&gt;$B$173,$B$78="Refinance",ISNUMBER($B$80),$B$80&gt;=0,$B$80&lt;=1,ROUND($B$81*12,0)&gt;=1,$B$81&lt;=100,SUM($B$82)&gt;=0,SUM($B$82)&lt;=1,SUM($B$83)&gt;=0)),OR(862=1,862=$B$174+1,AND($B$175&gt;0,862=$B$175+1))),IF(AND($B$170=1,$B$66&gt;0,OR($B$175=0,862&lt;=$B$175)),$B$66,IF($B$172-MAX(862-1,$B$174)&gt;0,IF(B1262=0,0,IF(C1262=0,B1262/($B$172-MAX(862-1,$B$174)),B1262*(C1262/12)/(1-(1+C1262/12)^(-($B$172-MAX(862-1,$B$174)))))),"")),D1261))))),IF(IF(AND(862&lt;=$B$174,862&lt;=$B$173),B1262*C1262/12,IF(AND(862=$B$173+1,AND(862&gt;$B$173,$B$78="Refinance",ISNUMBER($B$80),$B$80&gt;=0,$B$80&lt;=1,ROUND($B$81*12,0)&gt;=1,$B$81&lt;=100,SUM($B$82)&gt;=0,SUM($B$82)&lt;=1,SUM($B$83)&gt;=0)),IF(B1262=0,0,IF(C1262=0,B1262/ROUND($B$81*12,0),B1262*(C1262/12)/(1-(1+C1262/12)^(-ROUND($B$81*12,0))))),IF(AND(NOT(AND(862&gt;$B$173,$B$78="Refinance",ISNUMBER($B$80),$B$80&gt;=0,$B$80&lt;=1,ROUND($B$81*12,0)&gt;=1,$B$81&lt;=100,SUM($B$82)&gt;=0,SUM($B$82)&lt;=1,SUM($B$83)&gt;=0)),OR(862=1,862=$B$174+1,AND($B$175&gt;0,862=$B$175+1))),IF(AND($B$170=1,$B$66&gt;0,OR($B$175=0,862&lt;=$B$175)),$B$66,IF($B$172-MAX(862-1,$B$174)&gt;0,IF(B1262=0,0,IF(C1262=0,B1262/($B$172-MAX(862-1,$B$174)),B1262*(C1262/12)/(1-(1+C1262/12)^(-($B$172-MAX(862-1,$B$174)))))),"")),D1261)))+0.0000001&gt;=B1262*C1262/12,MIN(B1262*(1+C1262/12),IF(AND(862&lt;=$B$174,862&lt;=$B$173),B1262*C1262/12,IF(AND(862=$B$173+1,AND(862&gt;$B$173,$B$78="Refinance",ISNUMBER($B$80),$B$80&gt;=0,$B$80&lt;=1,ROUND($B$81*12,0)&gt;=1,$B$81&lt;=100,SUM($B$82)&gt;=0,SUM($B$82)&lt;=1,SUM($B$83)&gt;=0)),IF(B1262=0,0,IF(C1262=0,B1262/ROUND($B$81*12,0),B1262*(C1262/12)/(1-(1+C1262/12)^(-ROUND($B$81*12,0))))),IF(AND(NOT(AND(862&gt;$B$173,$B$78="Refinance",ISNUMBER($B$80),$B$80&gt;=0,$B$80&lt;=1,ROUND($B$81*12,0)&gt;=1,$B$81&lt;=100,SUM($B$82)&gt;=0,SUM($B$82)&lt;=1,SUM($B$83)&gt;=0)),OR(862=1,862=$B$174+1,AND($B$175&gt;0,862=$B$175+1))),IF(AND($B$170=1,$B$66&gt;0,OR($B$175=0,862&lt;=$B$175)),$B$66,IF($B$172-MAX(862-1,$B$174)&gt;0,IF(B1262=0,0,IF(C1262=0,B1262/($B$172-MAX(862-1,$B$174)),B1262*(C1262/12)/(1-(1+C1262/12)^(-($B$172-MAX(862-1,$B$174)))))),"")),D1261)))),""),""))</x:f>
        <x:v>0</x:v>
      </x:c>
      <x:c r="E1262" s="440" t="n">
        <x:f>IF(AND(862=$B$173,ISNUMBER(D1262)),IF(MAX(0,B1262*(1+C1262/12)-D1262)&lt;MAX(0.0000001,$E$17*0.00000000001),0,MAX(0,B1262*(1+C1262/12)-D1262)),0)</x:f>
        <x:v>0</x:v>
      </x:c>
      <x:c r="F1262" s="440" t="n">
        <x:f>IF($B$78="Cash payoff",E1262,0)</x:f>
        <x:v>0</x:v>
      </x:c>
      <x:c r="G1262" s="440" t="n">
        <x:f>IF(AND(E1262&gt;0,AND($B$78="Refinance",ISNUMBER($B$80),$B$80&gt;=0,$B$80&lt;=1,ROUND($B$81*12,0)&gt;=1,$B$81&lt;=100,SUM($B$82)&gt;=0,SUM($B$82)&lt;=1,SUM($B$83)&gt;=0)),E1262*SUM($B$82)+SUM($B$83),0)</x:f>
        <x:v>0</x:v>
      </x:c>
      <x:c r="H1262" s="440" t="n">
        <x:f>IF(ISNUMBER(D1262),IF(MAX(0,B1262*(1+C1262/12)-D1262-F1262)&lt;MAX(0.0000001,$E$17*0.00000000001),0,MAX(0,B1262*(1+C1262/12)-D1262-F1262)),IF(AND($B$171=1,I1261=1),B1262,""))</x:f>
        <x:v>0</x:v>
      </x:c>
      <x:c r="I1262" s="444" t="n">
        <x:f>IF(OR(I1261=1,AND(E1262&gt;0,$B$78&lt;&gt;"Cash payoff",NOT(AND($B$78="Refinance",ISNUMBER($B$80),$B$80&gt;=0,$B$80&lt;=1,ROUND($B$81*12,0)&gt;=1,$B$81&lt;=100,SUM($B$82)&gt;=0,SUM($B$82)&lt;=1,SUM($B$83)&gt;=0))),AND(ISNUMBER(B1262),B1262&gt;0,$B$171=1,NOT(ISNUMBER(D1262)))),1,0)</x:f>
        <x:v>0</x:v>
      </x:c>
      <x:c r="J1262" s="440" t="n">
        <x:f>IF(ISNUMBER(L1261),L1261,"")</x:f>
        <x:v>0</x:v>
      </x:c>
      <x:c r="K1262" s="440" t="n">
        <x:f>IF(AND(ISNUMBER(J1262),J1262=0),0,IF(AND($B$176=1,ISNUMBER(J1262)),MIN(J1262*(1+$B$87/12),IF($B$86=0,0,IF($B$87=0,$B$86/ROUND($B$88*12,0),$B$86*($B$87/12)/(1-(1+$B$87/12)^(-ROUND($B$88*12,0)))))),""))</x:f>
        <x:v>0</x:v>
      </x:c>
      <x:c r="L1262" s="440" t="n">
        <x:f>IF(ISNUMBER(K1262),IF(MAX(0,J1262*(1+SUM($B$87)/12)-K1262)&lt;MAX(0.0000001,$B$86*0.00000000001),0,MAX(0,J1262*(1+SUM($B$87)/12)-K1262)),"")</x:f>
        <x:v>0</x:v>
      </x:c>
      <x:c r="M1262" s="440" t="n">
        <x:f>IF(AND(ISNUMBER(D1262),ISNUMBER(K1262)),D1262+K1262,"")</x:f>
        <x:v>0</x:v>
      </x:c>
      <x:c r="N1262" s="440" t="n">
        <x:f>IF(AND(ISNUMBER(H1262),ISNUMBER(L1262)),H1262+L1262,"")</x:f>
        <x:v>0</x:v>
      </x:c>
    </x:row>
    <x:row r="1263" ht="22" customHeight="1">
      <x:c r="A1263" s="254" t="n">
        <x:f>863</x:f>
        <x:v>863</x:v>
      </x:c>
      <x:c r="B1263" s="440" t="n">
        <x:f>IF(ISNUMBER(H1262),H1262,"")</x:f>
        <x:v>0</x:v>
      </x:c>
      <x:c r="C1263" s="442" t="n">
        <x:f>IF(ISNUMBER(B1263),IF(AND(863&gt;$B$173,$B$78="Refinance",ISNUMBER($B$80),$B$80&gt;=0,$B$80&lt;=1,ROUND($B$81*12,0)&gt;=1,$B$81&lt;=100,SUM($B$82)&gt;=0,SUM($B$82)&lt;=1,SUM($B$83)&gt;=0),$B$80,IF(AND($B$175&gt;0,863&gt;$B$175,ISNUMBER($B$75)),$B$75,$B$61)),"")</x:f>
        <x:v>0.0625</x:v>
      </x:c>
      <x:c r="D1263" s="440" t="n">
        <x:f>IF(AND(ISNUMBER(B1263),B1263=0),0,IF(AND($B$171=1,I1262=0,ISNUMBER(C1263),ISNUMBER(IF(AND(863&lt;=$B$174,863&lt;=$B$173),B1263*C1263/12,IF(AND(863=$B$173+1,AND(863&gt;$B$173,$B$78="Refinance",ISNUMBER($B$80),$B$80&gt;=0,$B$80&lt;=1,ROUND($B$81*12,0)&gt;=1,$B$81&lt;=100,SUM($B$82)&gt;=0,SUM($B$82)&lt;=1,SUM($B$83)&gt;=0)),IF(B1263=0,0,IF(C1263=0,B1263/ROUND($B$81*12,0),B1263*(C1263/12)/(1-(1+C1263/12)^(-ROUND($B$81*12,0))))),IF(AND(NOT(AND(863&gt;$B$173,$B$78="Refinance",ISNUMBER($B$80),$B$80&gt;=0,$B$80&lt;=1,ROUND($B$81*12,0)&gt;=1,$B$81&lt;=100,SUM($B$82)&gt;=0,SUM($B$82)&lt;=1,SUM($B$83)&gt;=0)),OR(863=1,863=$B$174+1,AND($B$175&gt;0,863=$B$175+1))),IF(AND($B$170=1,$B$66&gt;0,OR($B$175=0,863&lt;=$B$175)),$B$66,IF($B$172-MAX(863-1,$B$174)&gt;0,IF(B1263=0,0,IF(C1263=0,B1263/($B$172-MAX(863-1,$B$174)),B1263*(C1263/12)/(1-(1+C1263/12)^(-($B$172-MAX(863-1,$B$174)))))),"")),D1262))))),IF(IF(AND(863&lt;=$B$174,863&lt;=$B$173),B1263*C1263/12,IF(AND(863=$B$173+1,AND(863&gt;$B$173,$B$78="Refinance",ISNUMBER($B$80),$B$80&gt;=0,$B$80&lt;=1,ROUND($B$81*12,0)&gt;=1,$B$81&lt;=100,SUM($B$82)&gt;=0,SUM($B$82)&lt;=1,SUM($B$83)&gt;=0)),IF(B1263=0,0,IF(C1263=0,B1263/ROUND($B$81*12,0),B1263*(C1263/12)/(1-(1+C1263/12)^(-ROUND($B$81*12,0))))),IF(AND(NOT(AND(863&gt;$B$173,$B$78="Refinance",ISNUMBER($B$80),$B$80&gt;=0,$B$80&lt;=1,ROUND($B$81*12,0)&gt;=1,$B$81&lt;=100,SUM($B$82)&gt;=0,SUM($B$82)&lt;=1,SUM($B$83)&gt;=0)),OR(863=1,863=$B$174+1,AND($B$175&gt;0,863=$B$175+1))),IF(AND($B$170=1,$B$66&gt;0,OR($B$175=0,863&lt;=$B$175)),$B$66,IF($B$172-MAX(863-1,$B$174)&gt;0,IF(B1263=0,0,IF(C1263=0,B1263/($B$172-MAX(863-1,$B$174)),B1263*(C1263/12)/(1-(1+C1263/12)^(-($B$172-MAX(863-1,$B$174)))))),"")),D1262)))+0.0000001&gt;=B1263*C1263/12,MIN(B1263*(1+C1263/12),IF(AND(863&lt;=$B$174,863&lt;=$B$173),B1263*C1263/12,IF(AND(863=$B$173+1,AND(863&gt;$B$173,$B$78="Refinance",ISNUMBER($B$80),$B$80&gt;=0,$B$80&lt;=1,ROUND($B$81*12,0)&gt;=1,$B$81&lt;=100,SUM($B$82)&gt;=0,SUM($B$82)&lt;=1,SUM($B$83)&gt;=0)),IF(B1263=0,0,IF(C1263=0,B1263/ROUND($B$81*12,0),B1263*(C1263/12)/(1-(1+C1263/12)^(-ROUND($B$81*12,0))))),IF(AND(NOT(AND(863&gt;$B$173,$B$78="Refinance",ISNUMBER($B$80),$B$80&gt;=0,$B$80&lt;=1,ROUND($B$81*12,0)&gt;=1,$B$81&lt;=100,SUM($B$82)&gt;=0,SUM($B$82)&lt;=1,SUM($B$83)&gt;=0)),OR(863=1,863=$B$174+1,AND($B$175&gt;0,863=$B$175+1))),IF(AND($B$170=1,$B$66&gt;0,OR($B$175=0,863&lt;=$B$175)),$B$66,IF($B$172-MAX(863-1,$B$174)&gt;0,IF(B1263=0,0,IF(C1263=0,B1263/($B$172-MAX(863-1,$B$174)),B1263*(C1263/12)/(1-(1+C1263/12)^(-($B$172-MAX(863-1,$B$174)))))),"")),D1262)))),""),""))</x:f>
        <x:v>0</x:v>
      </x:c>
      <x:c r="E1263" s="440" t="n">
        <x:f>IF(AND(863=$B$173,ISNUMBER(D1263)),IF(MAX(0,B1263*(1+C1263/12)-D1263)&lt;MAX(0.0000001,$E$17*0.00000000001),0,MAX(0,B1263*(1+C1263/12)-D1263)),0)</x:f>
        <x:v>0</x:v>
      </x:c>
      <x:c r="F1263" s="440" t="n">
        <x:f>IF($B$78="Cash payoff",E1263,0)</x:f>
        <x:v>0</x:v>
      </x:c>
      <x:c r="G1263" s="440" t="n">
        <x:f>IF(AND(E1263&gt;0,AND($B$78="Refinance",ISNUMBER($B$80),$B$80&gt;=0,$B$80&lt;=1,ROUND($B$81*12,0)&gt;=1,$B$81&lt;=100,SUM($B$82)&gt;=0,SUM($B$82)&lt;=1,SUM($B$83)&gt;=0)),E1263*SUM($B$82)+SUM($B$83),0)</x:f>
        <x:v>0</x:v>
      </x:c>
      <x:c r="H1263" s="440" t="n">
        <x:f>IF(ISNUMBER(D1263),IF(MAX(0,B1263*(1+C1263/12)-D1263-F1263)&lt;MAX(0.0000001,$E$17*0.00000000001),0,MAX(0,B1263*(1+C1263/12)-D1263-F1263)),IF(AND($B$171=1,I1262=1),B1263,""))</x:f>
        <x:v>0</x:v>
      </x:c>
      <x:c r="I1263" s="444" t="n">
        <x:f>IF(OR(I1262=1,AND(E1263&gt;0,$B$78&lt;&gt;"Cash payoff",NOT(AND($B$78="Refinance",ISNUMBER($B$80),$B$80&gt;=0,$B$80&lt;=1,ROUND($B$81*12,0)&gt;=1,$B$81&lt;=100,SUM($B$82)&gt;=0,SUM($B$82)&lt;=1,SUM($B$83)&gt;=0))),AND(ISNUMBER(B1263),B1263&gt;0,$B$171=1,NOT(ISNUMBER(D1263)))),1,0)</x:f>
        <x:v>0</x:v>
      </x:c>
      <x:c r="J1263" s="440" t="n">
        <x:f>IF(ISNUMBER(L1262),L1262,"")</x:f>
        <x:v>0</x:v>
      </x:c>
      <x:c r="K1263" s="440" t="n">
        <x:f>IF(AND(ISNUMBER(J1263),J1263=0),0,IF(AND($B$176=1,ISNUMBER(J1263)),MIN(J1263*(1+$B$87/12),IF($B$86=0,0,IF($B$87=0,$B$86/ROUND($B$88*12,0),$B$86*($B$87/12)/(1-(1+$B$87/12)^(-ROUND($B$88*12,0)))))),""))</x:f>
        <x:v>0</x:v>
      </x:c>
      <x:c r="L1263" s="440" t="n">
        <x:f>IF(ISNUMBER(K1263),IF(MAX(0,J1263*(1+SUM($B$87)/12)-K1263)&lt;MAX(0.0000001,$B$86*0.00000000001),0,MAX(0,J1263*(1+SUM($B$87)/12)-K1263)),"")</x:f>
        <x:v>0</x:v>
      </x:c>
      <x:c r="M1263" s="440" t="n">
        <x:f>IF(AND(ISNUMBER(D1263),ISNUMBER(K1263)),D1263+K1263,"")</x:f>
        <x:v>0</x:v>
      </x:c>
      <x:c r="N1263" s="440" t="n">
        <x:f>IF(AND(ISNUMBER(H1263),ISNUMBER(L1263)),H1263+L1263,"")</x:f>
        <x:v>0</x:v>
      </x:c>
    </x:row>
    <x:row r="1264" ht="22" customHeight="1">
      <x:c r="A1264" s="254" t="n">
        <x:f>864</x:f>
        <x:v>864</x:v>
      </x:c>
      <x:c r="B1264" s="440" t="n">
        <x:f>IF(ISNUMBER(H1263),H1263,"")</x:f>
        <x:v>0</x:v>
      </x:c>
      <x:c r="C1264" s="442" t="n">
        <x:f>IF(ISNUMBER(B1264),IF(AND(864&gt;$B$173,$B$78="Refinance",ISNUMBER($B$80),$B$80&gt;=0,$B$80&lt;=1,ROUND($B$81*12,0)&gt;=1,$B$81&lt;=100,SUM($B$82)&gt;=0,SUM($B$82)&lt;=1,SUM($B$83)&gt;=0),$B$80,IF(AND($B$175&gt;0,864&gt;$B$175,ISNUMBER($B$75)),$B$75,$B$61)),"")</x:f>
        <x:v>0.0625</x:v>
      </x:c>
      <x:c r="D1264" s="440" t="n">
        <x:f>IF(AND(ISNUMBER(B1264),B1264=0),0,IF(AND($B$171=1,I1263=0,ISNUMBER(C1264),ISNUMBER(IF(AND(864&lt;=$B$174,864&lt;=$B$173),B1264*C1264/12,IF(AND(864=$B$173+1,AND(864&gt;$B$173,$B$78="Refinance",ISNUMBER($B$80),$B$80&gt;=0,$B$80&lt;=1,ROUND($B$81*12,0)&gt;=1,$B$81&lt;=100,SUM($B$82)&gt;=0,SUM($B$82)&lt;=1,SUM($B$83)&gt;=0)),IF(B1264=0,0,IF(C1264=0,B1264/ROUND($B$81*12,0),B1264*(C1264/12)/(1-(1+C1264/12)^(-ROUND($B$81*12,0))))),IF(AND(NOT(AND(864&gt;$B$173,$B$78="Refinance",ISNUMBER($B$80),$B$80&gt;=0,$B$80&lt;=1,ROUND($B$81*12,0)&gt;=1,$B$81&lt;=100,SUM($B$82)&gt;=0,SUM($B$82)&lt;=1,SUM($B$83)&gt;=0)),OR(864=1,864=$B$174+1,AND($B$175&gt;0,864=$B$175+1))),IF(AND($B$170=1,$B$66&gt;0,OR($B$175=0,864&lt;=$B$175)),$B$66,IF($B$172-MAX(864-1,$B$174)&gt;0,IF(B1264=0,0,IF(C1264=0,B1264/($B$172-MAX(864-1,$B$174)),B1264*(C1264/12)/(1-(1+C1264/12)^(-($B$172-MAX(864-1,$B$174)))))),"")),D1263))))),IF(IF(AND(864&lt;=$B$174,864&lt;=$B$173),B1264*C1264/12,IF(AND(864=$B$173+1,AND(864&gt;$B$173,$B$78="Refinance",ISNUMBER($B$80),$B$80&gt;=0,$B$80&lt;=1,ROUND($B$81*12,0)&gt;=1,$B$81&lt;=100,SUM($B$82)&gt;=0,SUM($B$82)&lt;=1,SUM($B$83)&gt;=0)),IF(B1264=0,0,IF(C1264=0,B1264/ROUND($B$81*12,0),B1264*(C1264/12)/(1-(1+C1264/12)^(-ROUND($B$81*12,0))))),IF(AND(NOT(AND(864&gt;$B$173,$B$78="Refinance",ISNUMBER($B$80),$B$80&gt;=0,$B$80&lt;=1,ROUND($B$81*12,0)&gt;=1,$B$81&lt;=100,SUM($B$82)&gt;=0,SUM($B$82)&lt;=1,SUM($B$83)&gt;=0)),OR(864=1,864=$B$174+1,AND($B$175&gt;0,864=$B$175+1))),IF(AND($B$170=1,$B$66&gt;0,OR($B$175=0,864&lt;=$B$175)),$B$66,IF($B$172-MAX(864-1,$B$174)&gt;0,IF(B1264=0,0,IF(C1264=0,B1264/($B$172-MAX(864-1,$B$174)),B1264*(C1264/12)/(1-(1+C1264/12)^(-($B$172-MAX(864-1,$B$174)))))),"")),D1263)))+0.0000001&gt;=B1264*C1264/12,MIN(B1264*(1+C1264/12),IF(AND(864&lt;=$B$174,864&lt;=$B$173),B1264*C1264/12,IF(AND(864=$B$173+1,AND(864&gt;$B$173,$B$78="Refinance",ISNUMBER($B$80),$B$80&gt;=0,$B$80&lt;=1,ROUND($B$81*12,0)&gt;=1,$B$81&lt;=100,SUM($B$82)&gt;=0,SUM($B$82)&lt;=1,SUM($B$83)&gt;=0)),IF(B1264=0,0,IF(C1264=0,B1264/ROUND($B$81*12,0),B1264*(C1264/12)/(1-(1+C1264/12)^(-ROUND($B$81*12,0))))),IF(AND(NOT(AND(864&gt;$B$173,$B$78="Refinance",ISNUMBER($B$80),$B$80&gt;=0,$B$80&lt;=1,ROUND($B$81*12,0)&gt;=1,$B$81&lt;=100,SUM($B$82)&gt;=0,SUM($B$82)&lt;=1,SUM($B$83)&gt;=0)),OR(864=1,864=$B$174+1,AND($B$175&gt;0,864=$B$175+1))),IF(AND($B$170=1,$B$66&gt;0,OR($B$175=0,864&lt;=$B$175)),$B$66,IF($B$172-MAX(864-1,$B$174)&gt;0,IF(B1264=0,0,IF(C1264=0,B1264/($B$172-MAX(864-1,$B$174)),B1264*(C1264/12)/(1-(1+C1264/12)^(-($B$172-MAX(864-1,$B$174)))))),"")),D1263)))),""),""))</x:f>
        <x:v>0</x:v>
      </x:c>
      <x:c r="E1264" s="440" t="n">
        <x:f>IF(AND(864=$B$173,ISNUMBER(D1264)),IF(MAX(0,B1264*(1+C1264/12)-D1264)&lt;MAX(0.0000001,$E$17*0.00000000001),0,MAX(0,B1264*(1+C1264/12)-D1264)),0)</x:f>
        <x:v>0</x:v>
      </x:c>
      <x:c r="F1264" s="440" t="n">
        <x:f>IF($B$78="Cash payoff",E1264,0)</x:f>
        <x:v>0</x:v>
      </x:c>
      <x:c r="G1264" s="440" t="n">
        <x:f>IF(AND(E1264&gt;0,AND($B$78="Refinance",ISNUMBER($B$80),$B$80&gt;=0,$B$80&lt;=1,ROUND($B$81*12,0)&gt;=1,$B$81&lt;=100,SUM($B$82)&gt;=0,SUM($B$82)&lt;=1,SUM($B$83)&gt;=0)),E1264*SUM($B$82)+SUM($B$83),0)</x:f>
        <x:v>0</x:v>
      </x:c>
      <x:c r="H1264" s="440" t="n">
        <x:f>IF(ISNUMBER(D1264),IF(MAX(0,B1264*(1+C1264/12)-D1264-F1264)&lt;MAX(0.0000001,$E$17*0.00000000001),0,MAX(0,B1264*(1+C1264/12)-D1264-F1264)),IF(AND($B$171=1,I1263=1),B1264,""))</x:f>
        <x:v>0</x:v>
      </x:c>
      <x:c r="I1264" s="444" t="n">
        <x:f>IF(OR(I1263=1,AND(E1264&gt;0,$B$78&lt;&gt;"Cash payoff",NOT(AND($B$78="Refinance",ISNUMBER($B$80),$B$80&gt;=0,$B$80&lt;=1,ROUND($B$81*12,0)&gt;=1,$B$81&lt;=100,SUM($B$82)&gt;=0,SUM($B$82)&lt;=1,SUM($B$83)&gt;=0))),AND(ISNUMBER(B1264),B1264&gt;0,$B$171=1,NOT(ISNUMBER(D1264)))),1,0)</x:f>
        <x:v>0</x:v>
      </x:c>
      <x:c r="J1264" s="440" t="n">
        <x:f>IF(ISNUMBER(L1263),L1263,"")</x:f>
        <x:v>0</x:v>
      </x:c>
      <x:c r="K1264" s="440" t="n">
        <x:f>IF(AND(ISNUMBER(J1264),J1264=0),0,IF(AND($B$176=1,ISNUMBER(J1264)),MIN(J1264*(1+$B$87/12),IF($B$86=0,0,IF($B$87=0,$B$86/ROUND($B$88*12,0),$B$86*($B$87/12)/(1-(1+$B$87/12)^(-ROUND($B$88*12,0)))))),""))</x:f>
        <x:v>0</x:v>
      </x:c>
      <x:c r="L1264" s="440" t="n">
        <x:f>IF(ISNUMBER(K1264),IF(MAX(0,J1264*(1+SUM($B$87)/12)-K1264)&lt;MAX(0.0000001,$B$86*0.00000000001),0,MAX(0,J1264*(1+SUM($B$87)/12)-K1264)),"")</x:f>
        <x:v>0</x:v>
      </x:c>
      <x:c r="M1264" s="440" t="n">
        <x:f>IF(AND(ISNUMBER(D1264),ISNUMBER(K1264)),D1264+K1264,"")</x:f>
        <x:v>0</x:v>
      </x:c>
      <x:c r="N1264" s="440" t="n">
        <x:f>IF(AND(ISNUMBER(H1264),ISNUMBER(L1264)),H1264+L1264,"")</x:f>
        <x:v>0</x:v>
      </x:c>
    </x:row>
    <x:row r="1265" ht="22" customHeight="1">
      <x:c r="A1265" s="254" t="n">
        <x:f>865</x:f>
        <x:v>865</x:v>
      </x:c>
      <x:c r="B1265" s="440" t="n">
        <x:f>IF(ISNUMBER(H1264),H1264,"")</x:f>
        <x:v>0</x:v>
      </x:c>
      <x:c r="C1265" s="442" t="n">
        <x:f>IF(ISNUMBER(B1265),IF(AND(865&gt;$B$173,$B$78="Refinance",ISNUMBER($B$80),$B$80&gt;=0,$B$80&lt;=1,ROUND($B$81*12,0)&gt;=1,$B$81&lt;=100,SUM($B$82)&gt;=0,SUM($B$82)&lt;=1,SUM($B$83)&gt;=0),$B$80,IF(AND($B$175&gt;0,865&gt;$B$175,ISNUMBER($B$75)),$B$75,$B$61)),"")</x:f>
        <x:v>0.0625</x:v>
      </x:c>
      <x:c r="D1265" s="440" t="n">
        <x:f>IF(AND(ISNUMBER(B1265),B1265=0),0,IF(AND($B$171=1,I1264=0,ISNUMBER(C1265),ISNUMBER(IF(AND(865&lt;=$B$174,865&lt;=$B$173),B1265*C1265/12,IF(AND(865=$B$173+1,AND(865&gt;$B$173,$B$78="Refinance",ISNUMBER($B$80),$B$80&gt;=0,$B$80&lt;=1,ROUND($B$81*12,0)&gt;=1,$B$81&lt;=100,SUM($B$82)&gt;=0,SUM($B$82)&lt;=1,SUM($B$83)&gt;=0)),IF(B1265=0,0,IF(C1265=0,B1265/ROUND($B$81*12,0),B1265*(C1265/12)/(1-(1+C1265/12)^(-ROUND($B$81*12,0))))),IF(AND(NOT(AND(865&gt;$B$173,$B$78="Refinance",ISNUMBER($B$80),$B$80&gt;=0,$B$80&lt;=1,ROUND($B$81*12,0)&gt;=1,$B$81&lt;=100,SUM($B$82)&gt;=0,SUM($B$82)&lt;=1,SUM($B$83)&gt;=0)),OR(865=1,865=$B$174+1,AND($B$175&gt;0,865=$B$175+1))),IF(AND($B$170=1,$B$66&gt;0,OR($B$175=0,865&lt;=$B$175)),$B$66,IF($B$172-MAX(865-1,$B$174)&gt;0,IF(B1265=0,0,IF(C1265=0,B1265/($B$172-MAX(865-1,$B$174)),B1265*(C1265/12)/(1-(1+C1265/12)^(-($B$172-MAX(865-1,$B$174)))))),"")),D1264))))),IF(IF(AND(865&lt;=$B$174,865&lt;=$B$173),B1265*C1265/12,IF(AND(865=$B$173+1,AND(865&gt;$B$173,$B$78="Refinance",ISNUMBER($B$80),$B$80&gt;=0,$B$80&lt;=1,ROUND($B$81*12,0)&gt;=1,$B$81&lt;=100,SUM($B$82)&gt;=0,SUM($B$82)&lt;=1,SUM($B$83)&gt;=0)),IF(B1265=0,0,IF(C1265=0,B1265/ROUND($B$81*12,0),B1265*(C1265/12)/(1-(1+C1265/12)^(-ROUND($B$81*12,0))))),IF(AND(NOT(AND(865&gt;$B$173,$B$78="Refinance",ISNUMBER($B$80),$B$80&gt;=0,$B$80&lt;=1,ROUND($B$81*12,0)&gt;=1,$B$81&lt;=100,SUM($B$82)&gt;=0,SUM($B$82)&lt;=1,SUM($B$83)&gt;=0)),OR(865=1,865=$B$174+1,AND($B$175&gt;0,865=$B$175+1))),IF(AND($B$170=1,$B$66&gt;0,OR($B$175=0,865&lt;=$B$175)),$B$66,IF($B$172-MAX(865-1,$B$174)&gt;0,IF(B1265=0,0,IF(C1265=0,B1265/($B$172-MAX(865-1,$B$174)),B1265*(C1265/12)/(1-(1+C1265/12)^(-($B$172-MAX(865-1,$B$174)))))),"")),D1264)))+0.0000001&gt;=B1265*C1265/12,MIN(B1265*(1+C1265/12),IF(AND(865&lt;=$B$174,865&lt;=$B$173),B1265*C1265/12,IF(AND(865=$B$173+1,AND(865&gt;$B$173,$B$78="Refinance",ISNUMBER($B$80),$B$80&gt;=0,$B$80&lt;=1,ROUND($B$81*12,0)&gt;=1,$B$81&lt;=100,SUM($B$82)&gt;=0,SUM($B$82)&lt;=1,SUM($B$83)&gt;=0)),IF(B1265=0,0,IF(C1265=0,B1265/ROUND($B$81*12,0),B1265*(C1265/12)/(1-(1+C1265/12)^(-ROUND($B$81*12,0))))),IF(AND(NOT(AND(865&gt;$B$173,$B$78="Refinance",ISNUMBER($B$80),$B$80&gt;=0,$B$80&lt;=1,ROUND($B$81*12,0)&gt;=1,$B$81&lt;=100,SUM($B$82)&gt;=0,SUM($B$82)&lt;=1,SUM($B$83)&gt;=0)),OR(865=1,865=$B$174+1,AND($B$175&gt;0,865=$B$175+1))),IF(AND($B$170=1,$B$66&gt;0,OR($B$175=0,865&lt;=$B$175)),$B$66,IF($B$172-MAX(865-1,$B$174)&gt;0,IF(B1265=0,0,IF(C1265=0,B1265/($B$172-MAX(865-1,$B$174)),B1265*(C1265/12)/(1-(1+C1265/12)^(-($B$172-MAX(865-1,$B$174)))))),"")),D1264)))),""),""))</x:f>
        <x:v>0</x:v>
      </x:c>
      <x:c r="E1265" s="440" t="n">
        <x:f>IF(AND(865=$B$173,ISNUMBER(D1265)),IF(MAX(0,B1265*(1+C1265/12)-D1265)&lt;MAX(0.0000001,$E$17*0.00000000001),0,MAX(0,B1265*(1+C1265/12)-D1265)),0)</x:f>
        <x:v>0</x:v>
      </x:c>
      <x:c r="F1265" s="440" t="n">
        <x:f>IF($B$78="Cash payoff",E1265,0)</x:f>
        <x:v>0</x:v>
      </x:c>
      <x:c r="G1265" s="440" t="n">
        <x:f>IF(AND(E1265&gt;0,AND($B$78="Refinance",ISNUMBER($B$80),$B$80&gt;=0,$B$80&lt;=1,ROUND($B$81*12,0)&gt;=1,$B$81&lt;=100,SUM($B$82)&gt;=0,SUM($B$82)&lt;=1,SUM($B$83)&gt;=0)),E1265*SUM($B$82)+SUM($B$83),0)</x:f>
        <x:v>0</x:v>
      </x:c>
      <x:c r="H1265" s="440" t="n">
        <x:f>IF(ISNUMBER(D1265),IF(MAX(0,B1265*(1+C1265/12)-D1265-F1265)&lt;MAX(0.0000001,$E$17*0.00000000001),0,MAX(0,B1265*(1+C1265/12)-D1265-F1265)),IF(AND($B$171=1,I1264=1),B1265,""))</x:f>
        <x:v>0</x:v>
      </x:c>
      <x:c r="I1265" s="444" t="n">
        <x:f>IF(OR(I1264=1,AND(E1265&gt;0,$B$78&lt;&gt;"Cash payoff",NOT(AND($B$78="Refinance",ISNUMBER($B$80),$B$80&gt;=0,$B$80&lt;=1,ROUND($B$81*12,0)&gt;=1,$B$81&lt;=100,SUM($B$82)&gt;=0,SUM($B$82)&lt;=1,SUM($B$83)&gt;=0))),AND(ISNUMBER(B1265),B1265&gt;0,$B$171=1,NOT(ISNUMBER(D1265)))),1,0)</x:f>
        <x:v>0</x:v>
      </x:c>
      <x:c r="J1265" s="440" t="n">
        <x:f>IF(ISNUMBER(L1264),L1264,"")</x:f>
        <x:v>0</x:v>
      </x:c>
      <x:c r="K1265" s="440" t="n">
        <x:f>IF(AND(ISNUMBER(J1265),J1265=0),0,IF(AND($B$176=1,ISNUMBER(J1265)),MIN(J1265*(1+$B$87/12),IF($B$86=0,0,IF($B$87=0,$B$86/ROUND($B$88*12,0),$B$86*($B$87/12)/(1-(1+$B$87/12)^(-ROUND($B$88*12,0)))))),""))</x:f>
        <x:v>0</x:v>
      </x:c>
      <x:c r="L1265" s="440" t="n">
        <x:f>IF(ISNUMBER(K1265),IF(MAX(0,J1265*(1+SUM($B$87)/12)-K1265)&lt;MAX(0.0000001,$B$86*0.00000000001),0,MAX(0,J1265*(1+SUM($B$87)/12)-K1265)),"")</x:f>
        <x:v>0</x:v>
      </x:c>
      <x:c r="M1265" s="440" t="n">
        <x:f>IF(AND(ISNUMBER(D1265),ISNUMBER(K1265)),D1265+K1265,"")</x:f>
        <x:v>0</x:v>
      </x:c>
      <x:c r="N1265" s="440" t="n">
        <x:f>IF(AND(ISNUMBER(H1265),ISNUMBER(L1265)),H1265+L1265,"")</x:f>
        <x:v>0</x:v>
      </x:c>
    </x:row>
    <x:row r="1266" ht="22" customHeight="1">
      <x:c r="A1266" s="254" t="n">
        <x:f>866</x:f>
        <x:v>866</x:v>
      </x:c>
      <x:c r="B1266" s="440" t="n">
        <x:f>IF(ISNUMBER(H1265),H1265,"")</x:f>
        <x:v>0</x:v>
      </x:c>
      <x:c r="C1266" s="442" t="n">
        <x:f>IF(ISNUMBER(B1266),IF(AND(866&gt;$B$173,$B$78="Refinance",ISNUMBER($B$80),$B$80&gt;=0,$B$80&lt;=1,ROUND($B$81*12,0)&gt;=1,$B$81&lt;=100,SUM($B$82)&gt;=0,SUM($B$82)&lt;=1,SUM($B$83)&gt;=0),$B$80,IF(AND($B$175&gt;0,866&gt;$B$175,ISNUMBER($B$75)),$B$75,$B$61)),"")</x:f>
        <x:v>0.0625</x:v>
      </x:c>
      <x:c r="D1266" s="440" t="n">
        <x:f>IF(AND(ISNUMBER(B1266),B1266=0),0,IF(AND($B$171=1,I1265=0,ISNUMBER(C1266),ISNUMBER(IF(AND(866&lt;=$B$174,866&lt;=$B$173),B1266*C1266/12,IF(AND(866=$B$173+1,AND(866&gt;$B$173,$B$78="Refinance",ISNUMBER($B$80),$B$80&gt;=0,$B$80&lt;=1,ROUND($B$81*12,0)&gt;=1,$B$81&lt;=100,SUM($B$82)&gt;=0,SUM($B$82)&lt;=1,SUM($B$83)&gt;=0)),IF(B1266=0,0,IF(C1266=0,B1266/ROUND($B$81*12,0),B1266*(C1266/12)/(1-(1+C1266/12)^(-ROUND($B$81*12,0))))),IF(AND(NOT(AND(866&gt;$B$173,$B$78="Refinance",ISNUMBER($B$80),$B$80&gt;=0,$B$80&lt;=1,ROUND($B$81*12,0)&gt;=1,$B$81&lt;=100,SUM($B$82)&gt;=0,SUM($B$82)&lt;=1,SUM($B$83)&gt;=0)),OR(866=1,866=$B$174+1,AND($B$175&gt;0,866=$B$175+1))),IF(AND($B$170=1,$B$66&gt;0,OR($B$175=0,866&lt;=$B$175)),$B$66,IF($B$172-MAX(866-1,$B$174)&gt;0,IF(B1266=0,0,IF(C1266=0,B1266/($B$172-MAX(866-1,$B$174)),B1266*(C1266/12)/(1-(1+C1266/12)^(-($B$172-MAX(866-1,$B$174)))))),"")),D1265))))),IF(IF(AND(866&lt;=$B$174,866&lt;=$B$173),B1266*C1266/12,IF(AND(866=$B$173+1,AND(866&gt;$B$173,$B$78="Refinance",ISNUMBER($B$80),$B$80&gt;=0,$B$80&lt;=1,ROUND($B$81*12,0)&gt;=1,$B$81&lt;=100,SUM($B$82)&gt;=0,SUM($B$82)&lt;=1,SUM($B$83)&gt;=0)),IF(B1266=0,0,IF(C1266=0,B1266/ROUND($B$81*12,0),B1266*(C1266/12)/(1-(1+C1266/12)^(-ROUND($B$81*12,0))))),IF(AND(NOT(AND(866&gt;$B$173,$B$78="Refinance",ISNUMBER($B$80),$B$80&gt;=0,$B$80&lt;=1,ROUND($B$81*12,0)&gt;=1,$B$81&lt;=100,SUM($B$82)&gt;=0,SUM($B$82)&lt;=1,SUM($B$83)&gt;=0)),OR(866=1,866=$B$174+1,AND($B$175&gt;0,866=$B$175+1))),IF(AND($B$170=1,$B$66&gt;0,OR($B$175=0,866&lt;=$B$175)),$B$66,IF($B$172-MAX(866-1,$B$174)&gt;0,IF(B1266=0,0,IF(C1266=0,B1266/($B$172-MAX(866-1,$B$174)),B1266*(C1266/12)/(1-(1+C1266/12)^(-($B$172-MAX(866-1,$B$174)))))),"")),D1265)))+0.0000001&gt;=B1266*C1266/12,MIN(B1266*(1+C1266/12),IF(AND(866&lt;=$B$174,866&lt;=$B$173),B1266*C1266/12,IF(AND(866=$B$173+1,AND(866&gt;$B$173,$B$78="Refinance",ISNUMBER($B$80),$B$80&gt;=0,$B$80&lt;=1,ROUND($B$81*12,0)&gt;=1,$B$81&lt;=100,SUM($B$82)&gt;=0,SUM($B$82)&lt;=1,SUM($B$83)&gt;=0)),IF(B1266=0,0,IF(C1266=0,B1266/ROUND($B$81*12,0),B1266*(C1266/12)/(1-(1+C1266/12)^(-ROUND($B$81*12,0))))),IF(AND(NOT(AND(866&gt;$B$173,$B$78="Refinance",ISNUMBER($B$80),$B$80&gt;=0,$B$80&lt;=1,ROUND($B$81*12,0)&gt;=1,$B$81&lt;=100,SUM($B$82)&gt;=0,SUM($B$82)&lt;=1,SUM($B$83)&gt;=0)),OR(866=1,866=$B$174+1,AND($B$175&gt;0,866=$B$175+1))),IF(AND($B$170=1,$B$66&gt;0,OR($B$175=0,866&lt;=$B$175)),$B$66,IF($B$172-MAX(866-1,$B$174)&gt;0,IF(B1266=0,0,IF(C1266=0,B1266/($B$172-MAX(866-1,$B$174)),B1266*(C1266/12)/(1-(1+C1266/12)^(-($B$172-MAX(866-1,$B$174)))))),"")),D1265)))),""),""))</x:f>
        <x:v>0</x:v>
      </x:c>
      <x:c r="E1266" s="440" t="n">
        <x:f>IF(AND(866=$B$173,ISNUMBER(D1266)),IF(MAX(0,B1266*(1+C1266/12)-D1266)&lt;MAX(0.0000001,$E$17*0.00000000001),0,MAX(0,B1266*(1+C1266/12)-D1266)),0)</x:f>
        <x:v>0</x:v>
      </x:c>
      <x:c r="F1266" s="440" t="n">
        <x:f>IF($B$78="Cash payoff",E1266,0)</x:f>
        <x:v>0</x:v>
      </x:c>
      <x:c r="G1266" s="440" t="n">
        <x:f>IF(AND(E1266&gt;0,AND($B$78="Refinance",ISNUMBER($B$80),$B$80&gt;=0,$B$80&lt;=1,ROUND($B$81*12,0)&gt;=1,$B$81&lt;=100,SUM($B$82)&gt;=0,SUM($B$82)&lt;=1,SUM($B$83)&gt;=0)),E1266*SUM($B$82)+SUM($B$83),0)</x:f>
        <x:v>0</x:v>
      </x:c>
      <x:c r="H1266" s="440" t="n">
        <x:f>IF(ISNUMBER(D1266),IF(MAX(0,B1266*(1+C1266/12)-D1266-F1266)&lt;MAX(0.0000001,$E$17*0.00000000001),0,MAX(0,B1266*(1+C1266/12)-D1266-F1266)),IF(AND($B$171=1,I1265=1),B1266,""))</x:f>
        <x:v>0</x:v>
      </x:c>
      <x:c r="I1266" s="444" t="n">
        <x:f>IF(OR(I1265=1,AND(E1266&gt;0,$B$78&lt;&gt;"Cash payoff",NOT(AND($B$78="Refinance",ISNUMBER($B$80),$B$80&gt;=0,$B$80&lt;=1,ROUND($B$81*12,0)&gt;=1,$B$81&lt;=100,SUM($B$82)&gt;=0,SUM($B$82)&lt;=1,SUM($B$83)&gt;=0))),AND(ISNUMBER(B1266),B1266&gt;0,$B$171=1,NOT(ISNUMBER(D1266)))),1,0)</x:f>
        <x:v>0</x:v>
      </x:c>
      <x:c r="J1266" s="440" t="n">
        <x:f>IF(ISNUMBER(L1265),L1265,"")</x:f>
        <x:v>0</x:v>
      </x:c>
      <x:c r="K1266" s="440" t="n">
        <x:f>IF(AND(ISNUMBER(J1266),J1266=0),0,IF(AND($B$176=1,ISNUMBER(J1266)),MIN(J1266*(1+$B$87/12),IF($B$86=0,0,IF($B$87=0,$B$86/ROUND($B$88*12,0),$B$86*($B$87/12)/(1-(1+$B$87/12)^(-ROUND($B$88*12,0)))))),""))</x:f>
        <x:v>0</x:v>
      </x:c>
      <x:c r="L1266" s="440" t="n">
        <x:f>IF(ISNUMBER(K1266),IF(MAX(0,J1266*(1+SUM($B$87)/12)-K1266)&lt;MAX(0.0000001,$B$86*0.00000000001),0,MAX(0,J1266*(1+SUM($B$87)/12)-K1266)),"")</x:f>
        <x:v>0</x:v>
      </x:c>
      <x:c r="M1266" s="440" t="n">
        <x:f>IF(AND(ISNUMBER(D1266),ISNUMBER(K1266)),D1266+K1266,"")</x:f>
        <x:v>0</x:v>
      </x:c>
      <x:c r="N1266" s="440" t="n">
        <x:f>IF(AND(ISNUMBER(H1266),ISNUMBER(L1266)),H1266+L1266,"")</x:f>
        <x:v>0</x:v>
      </x:c>
    </x:row>
    <x:row r="1267" ht="22" customHeight="1">
      <x:c r="A1267" s="254" t="n">
        <x:f>867</x:f>
        <x:v>867</x:v>
      </x:c>
      <x:c r="B1267" s="440" t="n">
        <x:f>IF(ISNUMBER(H1266),H1266,"")</x:f>
        <x:v>0</x:v>
      </x:c>
      <x:c r="C1267" s="442" t="n">
        <x:f>IF(ISNUMBER(B1267),IF(AND(867&gt;$B$173,$B$78="Refinance",ISNUMBER($B$80),$B$80&gt;=0,$B$80&lt;=1,ROUND($B$81*12,0)&gt;=1,$B$81&lt;=100,SUM($B$82)&gt;=0,SUM($B$82)&lt;=1,SUM($B$83)&gt;=0),$B$80,IF(AND($B$175&gt;0,867&gt;$B$175,ISNUMBER($B$75)),$B$75,$B$61)),"")</x:f>
        <x:v>0.0625</x:v>
      </x:c>
      <x:c r="D1267" s="440" t="n">
        <x:f>IF(AND(ISNUMBER(B1267),B1267=0),0,IF(AND($B$171=1,I1266=0,ISNUMBER(C1267),ISNUMBER(IF(AND(867&lt;=$B$174,867&lt;=$B$173),B1267*C1267/12,IF(AND(867=$B$173+1,AND(867&gt;$B$173,$B$78="Refinance",ISNUMBER($B$80),$B$80&gt;=0,$B$80&lt;=1,ROUND($B$81*12,0)&gt;=1,$B$81&lt;=100,SUM($B$82)&gt;=0,SUM($B$82)&lt;=1,SUM($B$83)&gt;=0)),IF(B1267=0,0,IF(C1267=0,B1267/ROUND($B$81*12,0),B1267*(C1267/12)/(1-(1+C1267/12)^(-ROUND($B$81*12,0))))),IF(AND(NOT(AND(867&gt;$B$173,$B$78="Refinance",ISNUMBER($B$80),$B$80&gt;=0,$B$80&lt;=1,ROUND($B$81*12,0)&gt;=1,$B$81&lt;=100,SUM($B$82)&gt;=0,SUM($B$82)&lt;=1,SUM($B$83)&gt;=0)),OR(867=1,867=$B$174+1,AND($B$175&gt;0,867=$B$175+1))),IF(AND($B$170=1,$B$66&gt;0,OR($B$175=0,867&lt;=$B$175)),$B$66,IF($B$172-MAX(867-1,$B$174)&gt;0,IF(B1267=0,0,IF(C1267=0,B1267/($B$172-MAX(867-1,$B$174)),B1267*(C1267/12)/(1-(1+C1267/12)^(-($B$172-MAX(867-1,$B$174)))))),"")),D1266))))),IF(IF(AND(867&lt;=$B$174,867&lt;=$B$173),B1267*C1267/12,IF(AND(867=$B$173+1,AND(867&gt;$B$173,$B$78="Refinance",ISNUMBER($B$80),$B$80&gt;=0,$B$80&lt;=1,ROUND($B$81*12,0)&gt;=1,$B$81&lt;=100,SUM($B$82)&gt;=0,SUM($B$82)&lt;=1,SUM($B$83)&gt;=0)),IF(B1267=0,0,IF(C1267=0,B1267/ROUND($B$81*12,0),B1267*(C1267/12)/(1-(1+C1267/12)^(-ROUND($B$81*12,0))))),IF(AND(NOT(AND(867&gt;$B$173,$B$78="Refinance",ISNUMBER($B$80),$B$80&gt;=0,$B$80&lt;=1,ROUND($B$81*12,0)&gt;=1,$B$81&lt;=100,SUM($B$82)&gt;=0,SUM($B$82)&lt;=1,SUM($B$83)&gt;=0)),OR(867=1,867=$B$174+1,AND($B$175&gt;0,867=$B$175+1))),IF(AND($B$170=1,$B$66&gt;0,OR($B$175=0,867&lt;=$B$175)),$B$66,IF($B$172-MAX(867-1,$B$174)&gt;0,IF(B1267=0,0,IF(C1267=0,B1267/($B$172-MAX(867-1,$B$174)),B1267*(C1267/12)/(1-(1+C1267/12)^(-($B$172-MAX(867-1,$B$174)))))),"")),D1266)))+0.0000001&gt;=B1267*C1267/12,MIN(B1267*(1+C1267/12),IF(AND(867&lt;=$B$174,867&lt;=$B$173),B1267*C1267/12,IF(AND(867=$B$173+1,AND(867&gt;$B$173,$B$78="Refinance",ISNUMBER($B$80),$B$80&gt;=0,$B$80&lt;=1,ROUND($B$81*12,0)&gt;=1,$B$81&lt;=100,SUM($B$82)&gt;=0,SUM($B$82)&lt;=1,SUM($B$83)&gt;=0)),IF(B1267=0,0,IF(C1267=0,B1267/ROUND($B$81*12,0),B1267*(C1267/12)/(1-(1+C1267/12)^(-ROUND($B$81*12,0))))),IF(AND(NOT(AND(867&gt;$B$173,$B$78="Refinance",ISNUMBER($B$80),$B$80&gt;=0,$B$80&lt;=1,ROUND($B$81*12,0)&gt;=1,$B$81&lt;=100,SUM($B$82)&gt;=0,SUM($B$82)&lt;=1,SUM($B$83)&gt;=0)),OR(867=1,867=$B$174+1,AND($B$175&gt;0,867=$B$175+1))),IF(AND($B$170=1,$B$66&gt;0,OR($B$175=0,867&lt;=$B$175)),$B$66,IF($B$172-MAX(867-1,$B$174)&gt;0,IF(B1267=0,0,IF(C1267=0,B1267/($B$172-MAX(867-1,$B$174)),B1267*(C1267/12)/(1-(1+C1267/12)^(-($B$172-MAX(867-1,$B$174)))))),"")),D1266)))),""),""))</x:f>
        <x:v>0</x:v>
      </x:c>
      <x:c r="E1267" s="440" t="n">
        <x:f>IF(AND(867=$B$173,ISNUMBER(D1267)),IF(MAX(0,B1267*(1+C1267/12)-D1267)&lt;MAX(0.0000001,$E$17*0.00000000001),0,MAX(0,B1267*(1+C1267/12)-D1267)),0)</x:f>
        <x:v>0</x:v>
      </x:c>
      <x:c r="F1267" s="440" t="n">
        <x:f>IF($B$78="Cash payoff",E1267,0)</x:f>
        <x:v>0</x:v>
      </x:c>
      <x:c r="G1267" s="440" t="n">
        <x:f>IF(AND(E1267&gt;0,AND($B$78="Refinance",ISNUMBER($B$80),$B$80&gt;=0,$B$80&lt;=1,ROUND($B$81*12,0)&gt;=1,$B$81&lt;=100,SUM($B$82)&gt;=0,SUM($B$82)&lt;=1,SUM($B$83)&gt;=0)),E1267*SUM($B$82)+SUM($B$83),0)</x:f>
        <x:v>0</x:v>
      </x:c>
      <x:c r="H1267" s="440" t="n">
        <x:f>IF(ISNUMBER(D1267),IF(MAX(0,B1267*(1+C1267/12)-D1267-F1267)&lt;MAX(0.0000001,$E$17*0.00000000001),0,MAX(0,B1267*(1+C1267/12)-D1267-F1267)),IF(AND($B$171=1,I1266=1),B1267,""))</x:f>
        <x:v>0</x:v>
      </x:c>
      <x:c r="I1267" s="444" t="n">
        <x:f>IF(OR(I1266=1,AND(E1267&gt;0,$B$78&lt;&gt;"Cash payoff",NOT(AND($B$78="Refinance",ISNUMBER($B$80),$B$80&gt;=0,$B$80&lt;=1,ROUND($B$81*12,0)&gt;=1,$B$81&lt;=100,SUM($B$82)&gt;=0,SUM($B$82)&lt;=1,SUM($B$83)&gt;=0))),AND(ISNUMBER(B1267),B1267&gt;0,$B$171=1,NOT(ISNUMBER(D1267)))),1,0)</x:f>
        <x:v>0</x:v>
      </x:c>
      <x:c r="J1267" s="440" t="n">
        <x:f>IF(ISNUMBER(L1266),L1266,"")</x:f>
        <x:v>0</x:v>
      </x:c>
      <x:c r="K1267" s="440" t="n">
        <x:f>IF(AND(ISNUMBER(J1267),J1267=0),0,IF(AND($B$176=1,ISNUMBER(J1267)),MIN(J1267*(1+$B$87/12),IF($B$86=0,0,IF($B$87=0,$B$86/ROUND($B$88*12,0),$B$86*($B$87/12)/(1-(1+$B$87/12)^(-ROUND($B$88*12,0)))))),""))</x:f>
        <x:v>0</x:v>
      </x:c>
      <x:c r="L1267" s="440" t="n">
        <x:f>IF(ISNUMBER(K1267),IF(MAX(0,J1267*(1+SUM($B$87)/12)-K1267)&lt;MAX(0.0000001,$B$86*0.00000000001),0,MAX(0,J1267*(1+SUM($B$87)/12)-K1267)),"")</x:f>
        <x:v>0</x:v>
      </x:c>
      <x:c r="M1267" s="440" t="n">
        <x:f>IF(AND(ISNUMBER(D1267),ISNUMBER(K1267)),D1267+K1267,"")</x:f>
        <x:v>0</x:v>
      </x:c>
      <x:c r="N1267" s="440" t="n">
        <x:f>IF(AND(ISNUMBER(H1267),ISNUMBER(L1267)),H1267+L1267,"")</x:f>
        <x:v>0</x:v>
      </x:c>
    </x:row>
    <x:row r="1268" ht="22" customHeight="1">
      <x:c r="A1268" s="254" t="n">
        <x:f>868</x:f>
        <x:v>868</x:v>
      </x:c>
      <x:c r="B1268" s="440" t="n">
        <x:f>IF(ISNUMBER(H1267),H1267,"")</x:f>
        <x:v>0</x:v>
      </x:c>
      <x:c r="C1268" s="442" t="n">
        <x:f>IF(ISNUMBER(B1268),IF(AND(868&gt;$B$173,$B$78="Refinance",ISNUMBER($B$80),$B$80&gt;=0,$B$80&lt;=1,ROUND($B$81*12,0)&gt;=1,$B$81&lt;=100,SUM($B$82)&gt;=0,SUM($B$82)&lt;=1,SUM($B$83)&gt;=0),$B$80,IF(AND($B$175&gt;0,868&gt;$B$175,ISNUMBER($B$75)),$B$75,$B$61)),"")</x:f>
        <x:v>0.0625</x:v>
      </x:c>
      <x:c r="D1268" s="440" t="n">
        <x:f>IF(AND(ISNUMBER(B1268),B1268=0),0,IF(AND($B$171=1,I1267=0,ISNUMBER(C1268),ISNUMBER(IF(AND(868&lt;=$B$174,868&lt;=$B$173),B1268*C1268/12,IF(AND(868=$B$173+1,AND(868&gt;$B$173,$B$78="Refinance",ISNUMBER($B$80),$B$80&gt;=0,$B$80&lt;=1,ROUND($B$81*12,0)&gt;=1,$B$81&lt;=100,SUM($B$82)&gt;=0,SUM($B$82)&lt;=1,SUM($B$83)&gt;=0)),IF(B1268=0,0,IF(C1268=0,B1268/ROUND($B$81*12,0),B1268*(C1268/12)/(1-(1+C1268/12)^(-ROUND($B$81*12,0))))),IF(AND(NOT(AND(868&gt;$B$173,$B$78="Refinance",ISNUMBER($B$80),$B$80&gt;=0,$B$80&lt;=1,ROUND($B$81*12,0)&gt;=1,$B$81&lt;=100,SUM($B$82)&gt;=0,SUM($B$82)&lt;=1,SUM($B$83)&gt;=0)),OR(868=1,868=$B$174+1,AND($B$175&gt;0,868=$B$175+1))),IF(AND($B$170=1,$B$66&gt;0,OR($B$175=0,868&lt;=$B$175)),$B$66,IF($B$172-MAX(868-1,$B$174)&gt;0,IF(B1268=0,0,IF(C1268=0,B1268/($B$172-MAX(868-1,$B$174)),B1268*(C1268/12)/(1-(1+C1268/12)^(-($B$172-MAX(868-1,$B$174)))))),"")),D1267))))),IF(IF(AND(868&lt;=$B$174,868&lt;=$B$173),B1268*C1268/12,IF(AND(868=$B$173+1,AND(868&gt;$B$173,$B$78="Refinance",ISNUMBER($B$80),$B$80&gt;=0,$B$80&lt;=1,ROUND($B$81*12,0)&gt;=1,$B$81&lt;=100,SUM($B$82)&gt;=0,SUM($B$82)&lt;=1,SUM($B$83)&gt;=0)),IF(B1268=0,0,IF(C1268=0,B1268/ROUND($B$81*12,0),B1268*(C1268/12)/(1-(1+C1268/12)^(-ROUND($B$81*12,0))))),IF(AND(NOT(AND(868&gt;$B$173,$B$78="Refinance",ISNUMBER($B$80),$B$80&gt;=0,$B$80&lt;=1,ROUND($B$81*12,0)&gt;=1,$B$81&lt;=100,SUM($B$82)&gt;=0,SUM($B$82)&lt;=1,SUM($B$83)&gt;=0)),OR(868=1,868=$B$174+1,AND($B$175&gt;0,868=$B$175+1))),IF(AND($B$170=1,$B$66&gt;0,OR($B$175=0,868&lt;=$B$175)),$B$66,IF($B$172-MAX(868-1,$B$174)&gt;0,IF(B1268=0,0,IF(C1268=0,B1268/($B$172-MAX(868-1,$B$174)),B1268*(C1268/12)/(1-(1+C1268/12)^(-($B$172-MAX(868-1,$B$174)))))),"")),D1267)))+0.0000001&gt;=B1268*C1268/12,MIN(B1268*(1+C1268/12),IF(AND(868&lt;=$B$174,868&lt;=$B$173),B1268*C1268/12,IF(AND(868=$B$173+1,AND(868&gt;$B$173,$B$78="Refinance",ISNUMBER($B$80),$B$80&gt;=0,$B$80&lt;=1,ROUND($B$81*12,0)&gt;=1,$B$81&lt;=100,SUM($B$82)&gt;=0,SUM($B$82)&lt;=1,SUM($B$83)&gt;=0)),IF(B1268=0,0,IF(C1268=0,B1268/ROUND($B$81*12,0),B1268*(C1268/12)/(1-(1+C1268/12)^(-ROUND($B$81*12,0))))),IF(AND(NOT(AND(868&gt;$B$173,$B$78="Refinance",ISNUMBER($B$80),$B$80&gt;=0,$B$80&lt;=1,ROUND($B$81*12,0)&gt;=1,$B$81&lt;=100,SUM($B$82)&gt;=0,SUM($B$82)&lt;=1,SUM($B$83)&gt;=0)),OR(868=1,868=$B$174+1,AND($B$175&gt;0,868=$B$175+1))),IF(AND($B$170=1,$B$66&gt;0,OR($B$175=0,868&lt;=$B$175)),$B$66,IF($B$172-MAX(868-1,$B$174)&gt;0,IF(B1268=0,0,IF(C1268=0,B1268/($B$172-MAX(868-1,$B$174)),B1268*(C1268/12)/(1-(1+C1268/12)^(-($B$172-MAX(868-1,$B$174)))))),"")),D1267)))),""),""))</x:f>
        <x:v>0</x:v>
      </x:c>
      <x:c r="E1268" s="440" t="n">
        <x:f>IF(AND(868=$B$173,ISNUMBER(D1268)),IF(MAX(0,B1268*(1+C1268/12)-D1268)&lt;MAX(0.0000001,$E$17*0.00000000001),0,MAX(0,B1268*(1+C1268/12)-D1268)),0)</x:f>
        <x:v>0</x:v>
      </x:c>
      <x:c r="F1268" s="440" t="n">
        <x:f>IF($B$78="Cash payoff",E1268,0)</x:f>
        <x:v>0</x:v>
      </x:c>
      <x:c r="G1268" s="440" t="n">
        <x:f>IF(AND(E1268&gt;0,AND($B$78="Refinance",ISNUMBER($B$80),$B$80&gt;=0,$B$80&lt;=1,ROUND($B$81*12,0)&gt;=1,$B$81&lt;=100,SUM($B$82)&gt;=0,SUM($B$82)&lt;=1,SUM($B$83)&gt;=0)),E1268*SUM($B$82)+SUM($B$83),0)</x:f>
        <x:v>0</x:v>
      </x:c>
      <x:c r="H1268" s="440" t="n">
        <x:f>IF(ISNUMBER(D1268),IF(MAX(0,B1268*(1+C1268/12)-D1268-F1268)&lt;MAX(0.0000001,$E$17*0.00000000001),0,MAX(0,B1268*(1+C1268/12)-D1268-F1268)),IF(AND($B$171=1,I1267=1),B1268,""))</x:f>
        <x:v>0</x:v>
      </x:c>
      <x:c r="I1268" s="444" t="n">
        <x:f>IF(OR(I1267=1,AND(E1268&gt;0,$B$78&lt;&gt;"Cash payoff",NOT(AND($B$78="Refinance",ISNUMBER($B$80),$B$80&gt;=0,$B$80&lt;=1,ROUND($B$81*12,0)&gt;=1,$B$81&lt;=100,SUM($B$82)&gt;=0,SUM($B$82)&lt;=1,SUM($B$83)&gt;=0))),AND(ISNUMBER(B1268),B1268&gt;0,$B$171=1,NOT(ISNUMBER(D1268)))),1,0)</x:f>
        <x:v>0</x:v>
      </x:c>
      <x:c r="J1268" s="440" t="n">
        <x:f>IF(ISNUMBER(L1267),L1267,"")</x:f>
        <x:v>0</x:v>
      </x:c>
      <x:c r="K1268" s="440" t="n">
        <x:f>IF(AND(ISNUMBER(J1268),J1268=0),0,IF(AND($B$176=1,ISNUMBER(J1268)),MIN(J1268*(1+$B$87/12),IF($B$86=0,0,IF($B$87=0,$B$86/ROUND($B$88*12,0),$B$86*($B$87/12)/(1-(1+$B$87/12)^(-ROUND($B$88*12,0)))))),""))</x:f>
        <x:v>0</x:v>
      </x:c>
      <x:c r="L1268" s="440" t="n">
        <x:f>IF(ISNUMBER(K1268),IF(MAX(0,J1268*(1+SUM($B$87)/12)-K1268)&lt;MAX(0.0000001,$B$86*0.00000000001),0,MAX(0,J1268*(1+SUM($B$87)/12)-K1268)),"")</x:f>
        <x:v>0</x:v>
      </x:c>
      <x:c r="M1268" s="440" t="n">
        <x:f>IF(AND(ISNUMBER(D1268),ISNUMBER(K1268)),D1268+K1268,"")</x:f>
        <x:v>0</x:v>
      </x:c>
      <x:c r="N1268" s="440" t="n">
        <x:f>IF(AND(ISNUMBER(H1268),ISNUMBER(L1268)),H1268+L1268,"")</x:f>
        <x:v>0</x:v>
      </x:c>
    </x:row>
    <x:row r="1269" ht="22" customHeight="1">
      <x:c r="A1269" s="254" t="n">
        <x:f>869</x:f>
        <x:v>869</x:v>
      </x:c>
      <x:c r="B1269" s="440" t="n">
        <x:f>IF(ISNUMBER(H1268),H1268,"")</x:f>
        <x:v>0</x:v>
      </x:c>
      <x:c r="C1269" s="442" t="n">
        <x:f>IF(ISNUMBER(B1269),IF(AND(869&gt;$B$173,$B$78="Refinance",ISNUMBER($B$80),$B$80&gt;=0,$B$80&lt;=1,ROUND($B$81*12,0)&gt;=1,$B$81&lt;=100,SUM($B$82)&gt;=0,SUM($B$82)&lt;=1,SUM($B$83)&gt;=0),$B$80,IF(AND($B$175&gt;0,869&gt;$B$175,ISNUMBER($B$75)),$B$75,$B$61)),"")</x:f>
        <x:v>0.0625</x:v>
      </x:c>
      <x:c r="D1269" s="440" t="n">
        <x:f>IF(AND(ISNUMBER(B1269),B1269=0),0,IF(AND($B$171=1,I1268=0,ISNUMBER(C1269),ISNUMBER(IF(AND(869&lt;=$B$174,869&lt;=$B$173),B1269*C1269/12,IF(AND(869=$B$173+1,AND(869&gt;$B$173,$B$78="Refinance",ISNUMBER($B$80),$B$80&gt;=0,$B$80&lt;=1,ROUND($B$81*12,0)&gt;=1,$B$81&lt;=100,SUM($B$82)&gt;=0,SUM($B$82)&lt;=1,SUM($B$83)&gt;=0)),IF(B1269=0,0,IF(C1269=0,B1269/ROUND($B$81*12,0),B1269*(C1269/12)/(1-(1+C1269/12)^(-ROUND($B$81*12,0))))),IF(AND(NOT(AND(869&gt;$B$173,$B$78="Refinance",ISNUMBER($B$80),$B$80&gt;=0,$B$80&lt;=1,ROUND($B$81*12,0)&gt;=1,$B$81&lt;=100,SUM($B$82)&gt;=0,SUM($B$82)&lt;=1,SUM($B$83)&gt;=0)),OR(869=1,869=$B$174+1,AND($B$175&gt;0,869=$B$175+1))),IF(AND($B$170=1,$B$66&gt;0,OR($B$175=0,869&lt;=$B$175)),$B$66,IF($B$172-MAX(869-1,$B$174)&gt;0,IF(B1269=0,0,IF(C1269=0,B1269/($B$172-MAX(869-1,$B$174)),B1269*(C1269/12)/(1-(1+C1269/12)^(-($B$172-MAX(869-1,$B$174)))))),"")),D1268))))),IF(IF(AND(869&lt;=$B$174,869&lt;=$B$173),B1269*C1269/12,IF(AND(869=$B$173+1,AND(869&gt;$B$173,$B$78="Refinance",ISNUMBER($B$80),$B$80&gt;=0,$B$80&lt;=1,ROUND($B$81*12,0)&gt;=1,$B$81&lt;=100,SUM($B$82)&gt;=0,SUM($B$82)&lt;=1,SUM($B$83)&gt;=0)),IF(B1269=0,0,IF(C1269=0,B1269/ROUND($B$81*12,0),B1269*(C1269/12)/(1-(1+C1269/12)^(-ROUND($B$81*12,0))))),IF(AND(NOT(AND(869&gt;$B$173,$B$78="Refinance",ISNUMBER($B$80),$B$80&gt;=0,$B$80&lt;=1,ROUND($B$81*12,0)&gt;=1,$B$81&lt;=100,SUM($B$82)&gt;=0,SUM($B$82)&lt;=1,SUM($B$83)&gt;=0)),OR(869=1,869=$B$174+1,AND($B$175&gt;0,869=$B$175+1))),IF(AND($B$170=1,$B$66&gt;0,OR($B$175=0,869&lt;=$B$175)),$B$66,IF($B$172-MAX(869-1,$B$174)&gt;0,IF(B1269=0,0,IF(C1269=0,B1269/($B$172-MAX(869-1,$B$174)),B1269*(C1269/12)/(1-(1+C1269/12)^(-($B$172-MAX(869-1,$B$174)))))),"")),D1268)))+0.0000001&gt;=B1269*C1269/12,MIN(B1269*(1+C1269/12),IF(AND(869&lt;=$B$174,869&lt;=$B$173),B1269*C1269/12,IF(AND(869=$B$173+1,AND(869&gt;$B$173,$B$78="Refinance",ISNUMBER($B$80),$B$80&gt;=0,$B$80&lt;=1,ROUND($B$81*12,0)&gt;=1,$B$81&lt;=100,SUM($B$82)&gt;=0,SUM($B$82)&lt;=1,SUM($B$83)&gt;=0)),IF(B1269=0,0,IF(C1269=0,B1269/ROUND($B$81*12,0),B1269*(C1269/12)/(1-(1+C1269/12)^(-ROUND($B$81*12,0))))),IF(AND(NOT(AND(869&gt;$B$173,$B$78="Refinance",ISNUMBER($B$80),$B$80&gt;=0,$B$80&lt;=1,ROUND($B$81*12,0)&gt;=1,$B$81&lt;=100,SUM($B$82)&gt;=0,SUM($B$82)&lt;=1,SUM($B$83)&gt;=0)),OR(869=1,869=$B$174+1,AND($B$175&gt;0,869=$B$175+1))),IF(AND($B$170=1,$B$66&gt;0,OR($B$175=0,869&lt;=$B$175)),$B$66,IF($B$172-MAX(869-1,$B$174)&gt;0,IF(B1269=0,0,IF(C1269=0,B1269/($B$172-MAX(869-1,$B$174)),B1269*(C1269/12)/(1-(1+C1269/12)^(-($B$172-MAX(869-1,$B$174)))))),"")),D1268)))),""),""))</x:f>
        <x:v>0</x:v>
      </x:c>
      <x:c r="E1269" s="440" t="n">
        <x:f>IF(AND(869=$B$173,ISNUMBER(D1269)),IF(MAX(0,B1269*(1+C1269/12)-D1269)&lt;MAX(0.0000001,$E$17*0.00000000001),0,MAX(0,B1269*(1+C1269/12)-D1269)),0)</x:f>
        <x:v>0</x:v>
      </x:c>
      <x:c r="F1269" s="440" t="n">
        <x:f>IF($B$78="Cash payoff",E1269,0)</x:f>
        <x:v>0</x:v>
      </x:c>
      <x:c r="G1269" s="440" t="n">
        <x:f>IF(AND(E1269&gt;0,AND($B$78="Refinance",ISNUMBER($B$80),$B$80&gt;=0,$B$80&lt;=1,ROUND($B$81*12,0)&gt;=1,$B$81&lt;=100,SUM($B$82)&gt;=0,SUM($B$82)&lt;=1,SUM($B$83)&gt;=0)),E1269*SUM($B$82)+SUM($B$83),0)</x:f>
        <x:v>0</x:v>
      </x:c>
      <x:c r="H1269" s="440" t="n">
        <x:f>IF(ISNUMBER(D1269),IF(MAX(0,B1269*(1+C1269/12)-D1269-F1269)&lt;MAX(0.0000001,$E$17*0.00000000001),0,MAX(0,B1269*(1+C1269/12)-D1269-F1269)),IF(AND($B$171=1,I1268=1),B1269,""))</x:f>
        <x:v>0</x:v>
      </x:c>
      <x:c r="I1269" s="444" t="n">
        <x:f>IF(OR(I1268=1,AND(E1269&gt;0,$B$78&lt;&gt;"Cash payoff",NOT(AND($B$78="Refinance",ISNUMBER($B$80),$B$80&gt;=0,$B$80&lt;=1,ROUND($B$81*12,0)&gt;=1,$B$81&lt;=100,SUM($B$82)&gt;=0,SUM($B$82)&lt;=1,SUM($B$83)&gt;=0))),AND(ISNUMBER(B1269),B1269&gt;0,$B$171=1,NOT(ISNUMBER(D1269)))),1,0)</x:f>
        <x:v>0</x:v>
      </x:c>
      <x:c r="J1269" s="440" t="n">
        <x:f>IF(ISNUMBER(L1268),L1268,"")</x:f>
        <x:v>0</x:v>
      </x:c>
      <x:c r="K1269" s="440" t="n">
        <x:f>IF(AND(ISNUMBER(J1269),J1269=0),0,IF(AND($B$176=1,ISNUMBER(J1269)),MIN(J1269*(1+$B$87/12),IF($B$86=0,0,IF($B$87=0,$B$86/ROUND($B$88*12,0),$B$86*($B$87/12)/(1-(1+$B$87/12)^(-ROUND($B$88*12,0)))))),""))</x:f>
        <x:v>0</x:v>
      </x:c>
      <x:c r="L1269" s="440" t="n">
        <x:f>IF(ISNUMBER(K1269),IF(MAX(0,J1269*(1+SUM($B$87)/12)-K1269)&lt;MAX(0.0000001,$B$86*0.00000000001),0,MAX(0,J1269*(1+SUM($B$87)/12)-K1269)),"")</x:f>
        <x:v>0</x:v>
      </x:c>
      <x:c r="M1269" s="440" t="n">
        <x:f>IF(AND(ISNUMBER(D1269),ISNUMBER(K1269)),D1269+K1269,"")</x:f>
        <x:v>0</x:v>
      </x:c>
      <x:c r="N1269" s="440" t="n">
        <x:f>IF(AND(ISNUMBER(H1269),ISNUMBER(L1269)),H1269+L1269,"")</x:f>
        <x:v>0</x:v>
      </x:c>
    </x:row>
    <x:row r="1270" ht="22" customHeight="1">
      <x:c r="A1270" s="254" t="n">
        <x:f>870</x:f>
        <x:v>870</x:v>
      </x:c>
      <x:c r="B1270" s="440" t="n">
        <x:f>IF(ISNUMBER(H1269),H1269,"")</x:f>
        <x:v>0</x:v>
      </x:c>
      <x:c r="C1270" s="442" t="n">
        <x:f>IF(ISNUMBER(B1270),IF(AND(870&gt;$B$173,$B$78="Refinance",ISNUMBER($B$80),$B$80&gt;=0,$B$80&lt;=1,ROUND($B$81*12,0)&gt;=1,$B$81&lt;=100,SUM($B$82)&gt;=0,SUM($B$82)&lt;=1,SUM($B$83)&gt;=0),$B$80,IF(AND($B$175&gt;0,870&gt;$B$175,ISNUMBER($B$75)),$B$75,$B$61)),"")</x:f>
        <x:v>0.0625</x:v>
      </x:c>
      <x:c r="D1270" s="440" t="n">
        <x:f>IF(AND(ISNUMBER(B1270),B1270=0),0,IF(AND($B$171=1,I1269=0,ISNUMBER(C1270),ISNUMBER(IF(AND(870&lt;=$B$174,870&lt;=$B$173),B1270*C1270/12,IF(AND(870=$B$173+1,AND(870&gt;$B$173,$B$78="Refinance",ISNUMBER($B$80),$B$80&gt;=0,$B$80&lt;=1,ROUND($B$81*12,0)&gt;=1,$B$81&lt;=100,SUM($B$82)&gt;=0,SUM($B$82)&lt;=1,SUM($B$83)&gt;=0)),IF(B1270=0,0,IF(C1270=0,B1270/ROUND($B$81*12,0),B1270*(C1270/12)/(1-(1+C1270/12)^(-ROUND($B$81*12,0))))),IF(AND(NOT(AND(870&gt;$B$173,$B$78="Refinance",ISNUMBER($B$80),$B$80&gt;=0,$B$80&lt;=1,ROUND($B$81*12,0)&gt;=1,$B$81&lt;=100,SUM($B$82)&gt;=0,SUM($B$82)&lt;=1,SUM($B$83)&gt;=0)),OR(870=1,870=$B$174+1,AND($B$175&gt;0,870=$B$175+1))),IF(AND($B$170=1,$B$66&gt;0,OR($B$175=0,870&lt;=$B$175)),$B$66,IF($B$172-MAX(870-1,$B$174)&gt;0,IF(B1270=0,0,IF(C1270=0,B1270/($B$172-MAX(870-1,$B$174)),B1270*(C1270/12)/(1-(1+C1270/12)^(-($B$172-MAX(870-1,$B$174)))))),"")),D1269))))),IF(IF(AND(870&lt;=$B$174,870&lt;=$B$173),B1270*C1270/12,IF(AND(870=$B$173+1,AND(870&gt;$B$173,$B$78="Refinance",ISNUMBER($B$80),$B$80&gt;=0,$B$80&lt;=1,ROUND($B$81*12,0)&gt;=1,$B$81&lt;=100,SUM($B$82)&gt;=0,SUM($B$82)&lt;=1,SUM($B$83)&gt;=0)),IF(B1270=0,0,IF(C1270=0,B1270/ROUND($B$81*12,0),B1270*(C1270/12)/(1-(1+C1270/12)^(-ROUND($B$81*12,0))))),IF(AND(NOT(AND(870&gt;$B$173,$B$78="Refinance",ISNUMBER($B$80),$B$80&gt;=0,$B$80&lt;=1,ROUND($B$81*12,0)&gt;=1,$B$81&lt;=100,SUM($B$82)&gt;=0,SUM($B$82)&lt;=1,SUM($B$83)&gt;=0)),OR(870=1,870=$B$174+1,AND($B$175&gt;0,870=$B$175+1))),IF(AND($B$170=1,$B$66&gt;0,OR($B$175=0,870&lt;=$B$175)),$B$66,IF($B$172-MAX(870-1,$B$174)&gt;0,IF(B1270=0,0,IF(C1270=0,B1270/($B$172-MAX(870-1,$B$174)),B1270*(C1270/12)/(1-(1+C1270/12)^(-($B$172-MAX(870-1,$B$174)))))),"")),D1269)))+0.0000001&gt;=B1270*C1270/12,MIN(B1270*(1+C1270/12),IF(AND(870&lt;=$B$174,870&lt;=$B$173),B1270*C1270/12,IF(AND(870=$B$173+1,AND(870&gt;$B$173,$B$78="Refinance",ISNUMBER($B$80),$B$80&gt;=0,$B$80&lt;=1,ROUND($B$81*12,0)&gt;=1,$B$81&lt;=100,SUM($B$82)&gt;=0,SUM($B$82)&lt;=1,SUM($B$83)&gt;=0)),IF(B1270=0,0,IF(C1270=0,B1270/ROUND($B$81*12,0),B1270*(C1270/12)/(1-(1+C1270/12)^(-ROUND($B$81*12,0))))),IF(AND(NOT(AND(870&gt;$B$173,$B$78="Refinance",ISNUMBER($B$80),$B$80&gt;=0,$B$80&lt;=1,ROUND($B$81*12,0)&gt;=1,$B$81&lt;=100,SUM($B$82)&gt;=0,SUM($B$82)&lt;=1,SUM($B$83)&gt;=0)),OR(870=1,870=$B$174+1,AND($B$175&gt;0,870=$B$175+1))),IF(AND($B$170=1,$B$66&gt;0,OR($B$175=0,870&lt;=$B$175)),$B$66,IF($B$172-MAX(870-1,$B$174)&gt;0,IF(B1270=0,0,IF(C1270=0,B1270/($B$172-MAX(870-1,$B$174)),B1270*(C1270/12)/(1-(1+C1270/12)^(-($B$172-MAX(870-1,$B$174)))))),"")),D1269)))),""),""))</x:f>
        <x:v>0</x:v>
      </x:c>
      <x:c r="E1270" s="440" t="n">
        <x:f>IF(AND(870=$B$173,ISNUMBER(D1270)),IF(MAX(0,B1270*(1+C1270/12)-D1270)&lt;MAX(0.0000001,$E$17*0.00000000001),0,MAX(0,B1270*(1+C1270/12)-D1270)),0)</x:f>
        <x:v>0</x:v>
      </x:c>
      <x:c r="F1270" s="440" t="n">
        <x:f>IF($B$78="Cash payoff",E1270,0)</x:f>
        <x:v>0</x:v>
      </x:c>
      <x:c r="G1270" s="440" t="n">
        <x:f>IF(AND(E1270&gt;0,AND($B$78="Refinance",ISNUMBER($B$80),$B$80&gt;=0,$B$80&lt;=1,ROUND($B$81*12,0)&gt;=1,$B$81&lt;=100,SUM($B$82)&gt;=0,SUM($B$82)&lt;=1,SUM($B$83)&gt;=0)),E1270*SUM($B$82)+SUM($B$83),0)</x:f>
        <x:v>0</x:v>
      </x:c>
      <x:c r="H1270" s="440" t="n">
        <x:f>IF(ISNUMBER(D1270),IF(MAX(0,B1270*(1+C1270/12)-D1270-F1270)&lt;MAX(0.0000001,$E$17*0.00000000001),0,MAX(0,B1270*(1+C1270/12)-D1270-F1270)),IF(AND($B$171=1,I1269=1),B1270,""))</x:f>
        <x:v>0</x:v>
      </x:c>
      <x:c r="I1270" s="444" t="n">
        <x:f>IF(OR(I1269=1,AND(E1270&gt;0,$B$78&lt;&gt;"Cash payoff",NOT(AND($B$78="Refinance",ISNUMBER($B$80),$B$80&gt;=0,$B$80&lt;=1,ROUND($B$81*12,0)&gt;=1,$B$81&lt;=100,SUM($B$82)&gt;=0,SUM($B$82)&lt;=1,SUM($B$83)&gt;=0))),AND(ISNUMBER(B1270),B1270&gt;0,$B$171=1,NOT(ISNUMBER(D1270)))),1,0)</x:f>
        <x:v>0</x:v>
      </x:c>
      <x:c r="J1270" s="440" t="n">
        <x:f>IF(ISNUMBER(L1269),L1269,"")</x:f>
        <x:v>0</x:v>
      </x:c>
      <x:c r="K1270" s="440" t="n">
        <x:f>IF(AND(ISNUMBER(J1270),J1270=0),0,IF(AND($B$176=1,ISNUMBER(J1270)),MIN(J1270*(1+$B$87/12),IF($B$86=0,0,IF($B$87=0,$B$86/ROUND($B$88*12,0),$B$86*($B$87/12)/(1-(1+$B$87/12)^(-ROUND($B$88*12,0)))))),""))</x:f>
        <x:v>0</x:v>
      </x:c>
      <x:c r="L1270" s="440" t="n">
        <x:f>IF(ISNUMBER(K1270),IF(MAX(0,J1270*(1+SUM($B$87)/12)-K1270)&lt;MAX(0.0000001,$B$86*0.00000000001),0,MAX(0,J1270*(1+SUM($B$87)/12)-K1270)),"")</x:f>
        <x:v>0</x:v>
      </x:c>
      <x:c r="M1270" s="440" t="n">
        <x:f>IF(AND(ISNUMBER(D1270),ISNUMBER(K1270)),D1270+K1270,"")</x:f>
        <x:v>0</x:v>
      </x:c>
      <x:c r="N1270" s="440" t="n">
        <x:f>IF(AND(ISNUMBER(H1270),ISNUMBER(L1270)),H1270+L1270,"")</x:f>
        <x:v>0</x:v>
      </x:c>
    </x:row>
    <x:row r="1271" ht="22" customHeight="1">
      <x:c r="A1271" s="254" t="n">
        <x:f>871</x:f>
        <x:v>871</x:v>
      </x:c>
      <x:c r="B1271" s="440" t="n">
        <x:f>IF(ISNUMBER(H1270),H1270,"")</x:f>
        <x:v>0</x:v>
      </x:c>
      <x:c r="C1271" s="442" t="n">
        <x:f>IF(ISNUMBER(B1271),IF(AND(871&gt;$B$173,$B$78="Refinance",ISNUMBER($B$80),$B$80&gt;=0,$B$80&lt;=1,ROUND($B$81*12,0)&gt;=1,$B$81&lt;=100,SUM($B$82)&gt;=0,SUM($B$82)&lt;=1,SUM($B$83)&gt;=0),$B$80,IF(AND($B$175&gt;0,871&gt;$B$175,ISNUMBER($B$75)),$B$75,$B$61)),"")</x:f>
        <x:v>0.0625</x:v>
      </x:c>
      <x:c r="D1271" s="440" t="n">
        <x:f>IF(AND(ISNUMBER(B1271),B1271=0),0,IF(AND($B$171=1,I1270=0,ISNUMBER(C1271),ISNUMBER(IF(AND(871&lt;=$B$174,871&lt;=$B$173),B1271*C1271/12,IF(AND(871=$B$173+1,AND(871&gt;$B$173,$B$78="Refinance",ISNUMBER($B$80),$B$80&gt;=0,$B$80&lt;=1,ROUND($B$81*12,0)&gt;=1,$B$81&lt;=100,SUM($B$82)&gt;=0,SUM($B$82)&lt;=1,SUM($B$83)&gt;=0)),IF(B1271=0,0,IF(C1271=0,B1271/ROUND($B$81*12,0),B1271*(C1271/12)/(1-(1+C1271/12)^(-ROUND($B$81*12,0))))),IF(AND(NOT(AND(871&gt;$B$173,$B$78="Refinance",ISNUMBER($B$80),$B$80&gt;=0,$B$80&lt;=1,ROUND($B$81*12,0)&gt;=1,$B$81&lt;=100,SUM($B$82)&gt;=0,SUM($B$82)&lt;=1,SUM($B$83)&gt;=0)),OR(871=1,871=$B$174+1,AND($B$175&gt;0,871=$B$175+1))),IF(AND($B$170=1,$B$66&gt;0,OR($B$175=0,871&lt;=$B$175)),$B$66,IF($B$172-MAX(871-1,$B$174)&gt;0,IF(B1271=0,0,IF(C1271=0,B1271/($B$172-MAX(871-1,$B$174)),B1271*(C1271/12)/(1-(1+C1271/12)^(-($B$172-MAX(871-1,$B$174)))))),"")),D1270))))),IF(IF(AND(871&lt;=$B$174,871&lt;=$B$173),B1271*C1271/12,IF(AND(871=$B$173+1,AND(871&gt;$B$173,$B$78="Refinance",ISNUMBER($B$80),$B$80&gt;=0,$B$80&lt;=1,ROUND($B$81*12,0)&gt;=1,$B$81&lt;=100,SUM($B$82)&gt;=0,SUM($B$82)&lt;=1,SUM($B$83)&gt;=0)),IF(B1271=0,0,IF(C1271=0,B1271/ROUND($B$81*12,0),B1271*(C1271/12)/(1-(1+C1271/12)^(-ROUND($B$81*12,0))))),IF(AND(NOT(AND(871&gt;$B$173,$B$78="Refinance",ISNUMBER($B$80),$B$80&gt;=0,$B$80&lt;=1,ROUND($B$81*12,0)&gt;=1,$B$81&lt;=100,SUM($B$82)&gt;=0,SUM($B$82)&lt;=1,SUM($B$83)&gt;=0)),OR(871=1,871=$B$174+1,AND($B$175&gt;0,871=$B$175+1))),IF(AND($B$170=1,$B$66&gt;0,OR($B$175=0,871&lt;=$B$175)),$B$66,IF($B$172-MAX(871-1,$B$174)&gt;0,IF(B1271=0,0,IF(C1271=0,B1271/($B$172-MAX(871-1,$B$174)),B1271*(C1271/12)/(1-(1+C1271/12)^(-($B$172-MAX(871-1,$B$174)))))),"")),D1270)))+0.0000001&gt;=B1271*C1271/12,MIN(B1271*(1+C1271/12),IF(AND(871&lt;=$B$174,871&lt;=$B$173),B1271*C1271/12,IF(AND(871=$B$173+1,AND(871&gt;$B$173,$B$78="Refinance",ISNUMBER($B$80),$B$80&gt;=0,$B$80&lt;=1,ROUND($B$81*12,0)&gt;=1,$B$81&lt;=100,SUM($B$82)&gt;=0,SUM($B$82)&lt;=1,SUM($B$83)&gt;=0)),IF(B1271=0,0,IF(C1271=0,B1271/ROUND($B$81*12,0),B1271*(C1271/12)/(1-(1+C1271/12)^(-ROUND($B$81*12,0))))),IF(AND(NOT(AND(871&gt;$B$173,$B$78="Refinance",ISNUMBER($B$80),$B$80&gt;=0,$B$80&lt;=1,ROUND($B$81*12,0)&gt;=1,$B$81&lt;=100,SUM($B$82)&gt;=0,SUM($B$82)&lt;=1,SUM($B$83)&gt;=0)),OR(871=1,871=$B$174+1,AND($B$175&gt;0,871=$B$175+1))),IF(AND($B$170=1,$B$66&gt;0,OR($B$175=0,871&lt;=$B$175)),$B$66,IF($B$172-MAX(871-1,$B$174)&gt;0,IF(B1271=0,0,IF(C1271=0,B1271/($B$172-MAX(871-1,$B$174)),B1271*(C1271/12)/(1-(1+C1271/12)^(-($B$172-MAX(871-1,$B$174)))))),"")),D1270)))),""),""))</x:f>
        <x:v>0</x:v>
      </x:c>
      <x:c r="E1271" s="440" t="n">
        <x:f>IF(AND(871=$B$173,ISNUMBER(D1271)),IF(MAX(0,B1271*(1+C1271/12)-D1271)&lt;MAX(0.0000001,$E$17*0.00000000001),0,MAX(0,B1271*(1+C1271/12)-D1271)),0)</x:f>
        <x:v>0</x:v>
      </x:c>
      <x:c r="F1271" s="440" t="n">
        <x:f>IF($B$78="Cash payoff",E1271,0)</x:f>
        <x:v>0</x:v>
      </x:c>
      <x:c r="G1271" s="440" t="n">
        <x:f>IF(AND(E1271&gt;0,AND($B$78="Refinance",ISNUMBER($B$80),$B$80&gt;=0,$B$80&lt;=1,ROUND($B$81*12,0)&gt;=1,$B$81&lt;=100,SUM($B$82)&gt;=0,SUM($B$82)&lt;=1,SUM($B$83)&gt;=0)),E1271*SUM($B$82)+SUM($B$83),0)</x:f>
        <x:v>0</x:v>
      </x:c>
      <x:c r="H1271" s="440" t="n">
        <x:f>IF(ISNUMBER(D1271),IF(MAX(0,B1271*(1+C1271/12)-D1271-F1271)&lt;MAX(0.0000001,$E$17*0.00000000001),0,MAX(0,B1271*(1+C1271/12)-D1271-F1271)),IF(AND($B$171=1,I1270=1),B1271,""))</x:f>
        <x:v>0</x:v>
      </x:c>
      <x:c r="I1271" s="444" t="n">
        <x:f>IF(OR(I1270=1,AND(E1271&gt;0,$B$78&lt;&gt;"Cash payoff",NOT(AND($B$78="Refinance",ISNUMBER($B$80),$B$80&gt;=0,$B$80&lt;=1,ROUND($B$81*12,0)&gt;=1,$B$81&lt;=100,SUM($B$82)&gt;=0,SUM($B$82)&lt;=1,SUM($B$83)&gt;=0))),AND(ISNUMBER(B1271),B1271&gt;0,$B$171=1,NOT(ISNUMBER(D1271)))),1,0)</x:f>
        <x:v>0</x:v>
      </x:c>
      <x:c r="J1271" s="440" t="n">
        <x:f>IF(ISNUMBER(L1270),L1270,"")</x:f>
        <x:v>0</x:v>
      </x:c>
      <x:c r="K1271" s="440" t="n">
        <x:f>IF(AND(ISNUMBER(J1271),J1271=0),0,IF(AND($B$176=1,ISNUMBER(J1271)),MIN(J1271*(1+$B$87/12),IF($B$86=0,0,IF($B$87=0,$B$86/ROUND($B$88*12,0),$B$86*($B$87/12)/(1-(1+$B$87/12)^(-ROUND($B$88*12,0)))))),""))</x:f>
        <x:v>0</x:v>
      </x:c>
      <x:c r="L1271" s="440" t="n">
        <x:f>IF(ISNUMBER(K1271),IF(MAX(0,J1271*(1+SUM($B$87)/12)-K1271)&lt;MAX(0.0000001,$B$86*0.00000000001),0,MAX(0,J1271*(1+SUM($B$87)/12)-K1271)),"")</x:f>
        <x:v>0</x:v>
      </x:c>
      <x:c r="M1271" s="440" t="n">
        <x:f>IF(AND(ISNUMBER(D1271),ISNUMBER(K1271)),D1271+K1271,"")</x:f>
        <x:v>0</x:v>
      </x:c>
      <x:c r="N1271" s="440" t="n">
        <x:f>IF(AND(ISNUMBER(H1271),ISNUMBER(L1271)),H1271+L1271,"")</x:f>
        <x:v>0</x:v>
      </x:c>
    </x:row>
    <x:row r="1272" ht="22" customHeight="1">
      <x:c r="A1272" s="254" t="n">
        <x:f>872</x:f>
        <x:v>872</x:v>
      </x:c>
      <x:c r="B1272" s="440" t="n">
        <x:f>IF(ISNUMBER(H1271),H1271,"")</x:f>
        <x:v>0</x:v>
      </x:c>
      <x:c r="C1272" s="442" t="n">
        <x:f>IF(ISNUMBER(B1272),IF(AND(872&gt;$B$173,$B$78="Refinance",ISNUMBER($B$80),$B$80&gt;=0,$B$80&lt;=1,ROUND($B$81*12,0)&gt;=1,$B$81&lt;=100,SUM($B$82)&gt;=0,SUM($B$82)&lt;=1,SUM($B$83)&gt;=0),$B$80,IF(AND($B$175&gt;0,872&gt;$B$175,ISNUMBER($B$75)),$B$75,$B$61)),"")</x:f>
        <x:v>0.0625</x:v>
      </x:c>
      <x:c r="D1272" s="440" t="n">
        <x:f>IF(AND(ISNUMBER(B1272),B1272=0),0,IF(AND($B$171=1,I1271=0,ISNUMBER(C1272),ISNUMBER(IF(AND(872&lt;=$B$174,872&lt;=$B$173),B1272*C1272/12,IF(AND(872=$B$173+1,AND(872&gt;$B$173,$B$78="Refinance",ISNUMBER($B$80),$B$80&gt;=0,$B$80&lt;=1,ROUND($B$81*12,0)&gt;=1,$B$81&lt;=100,SUM($B$82)&gt;=0,SUM($B$82)&lt;=1,SUM($B$83)&gt;=0)),IF(B1272=0,0,IF(C1272=0,B1272/ROUND($B$81*12,0),B1272*(C1272/12)/(1-(1+C1272/12)^(-ROUND($B$81*12,0))))),IF(AND(NOT(AND(872&gt;$B$173,$B$78="Refinance",ISNUMBER($B$80),$B$80&gt;=0,$B$80&lt;=1,ROUND($B$81*12,0)&gt;=1,$B$81&lt;=100,SUM($B$82)&gt;=0,SUM($B$82)&lt;=1,SUM($B$83)&gt;=0)),OR(872=1,872=$B$174+1,AND($B$175&gt;0,872=$B$175+1))),IF(AND($B$170=1,$B$66&gt;0,OR($B$175=0,872&lt;=$B$175)),$B$66,IF($B$172-MAX(872-1,$B$174)&gt;0,IF(B1272=0,0,IF(C1272=0,B1272/($B$172-MAX(872-1,$B$174)),B1272*(C1272/12)/(1-(1+C1272/12)^(-($B$172-MAX(872-1,$B$174)))))),"")),D1271))))),IF(IF(AND(872&lt;=$B$174,872&lt;=$B$173),B1272*C1272/12,IF(AND(872=$B$173+1,AND(872&gt;$B$173,$B$78="Refinance",ISNUMBER($B$80),$B$80&gt;=0,$B$80&lt;=1,ROUND($B$81*12,0)&gt;=1,$B$81&lt;=100,SUM($B$82)&gt;=0,SUM($B$82)&lt;=1,SUM($B$83)&gt;=0)),IF(B1272=0,0,IF(C1272=0,B1272/ROUND($B$81*12,0),B1272*(C1272/12)/(1-(1+C1272/12)^(-ROUND($B$81*12,0))))),IF(AND(NOT(AND(872&gt;$B$173,$B$78="Refinance",ISNUMBER($B$80),$B$80&gt;=0,$B$80&lt;=1,ROUND($B$81*12,0)&gt;=1,$B$81&lt;=100,SUM($B$82)&gt;=0,SUM($B$82)&lt;=1,SUM($B$83)&gt;=0)),OR(872=1,872=$B$174+1,AND($B$175&gt;0,872=$B$175+1))),IF(AND($B$170=1,$B$66&gt;0,OR($B$175=0,872&lt;=$B$175)),$B$66,IF($B$172-MAX(872-1,$B$174)&gt;0,IF(B1272=0,0,IF(C1272=0,B1272/($B$172-MAX(872-1,$B$174)),B1272*(C1272/12)/(1-(1+C1272/12)^(-($B$172-MAX(872-1,$B$174)))))),"")),D1271)))+0.0000001&gt;=B1272*C1272/12,MIN(B1272*(1+C1272/12),IF(AND(872&lt;=$B$174,872&lt;=$B$173),B1272*C1272/12,IF(AND(872=$B$173+1,AND(872&gt;$B$173,$B$78="Refinance",ISNUMBER($B$80),$B$80&gt;=0,$B$80&lt;=1,ROUND($B$81*12,0)&gt;=1,$B$81&lt;=100,SUM($B$82)&gt;=0,SUM($B$82)&lt;=1,SUM($B$83)&gt;=0)),IF(B1272=0,0,IF(C1272=0,B1272/ROUND($B$81*12,0),B1272*(C1272/12)/(1-(1+C1272/12)^(-ROUND($B$81*12,0))))),IF(AND(NOT(AND(872&gt;$B$173,$B$78="Refinance",ISNUMBER($B$80),$B$80&gt;=0,$B$80&lt;=1,ROUND($B$81*12,0)&gt;=1,$B$81&lt;=100,SUM($B$82)&gt;=0,SUM($B$82)&lt;=1,SUM($B$83)&gt;=0)),OR(872=1,872=$B$174+1,AND($B$175&gt;0,872=$B$175+1))),IF(AND($B$170=1,$B$66&gt;0,OR($B$175=0,872&lt;=$B$175)),$B$66,IF($B$172-MAX(872-1,$B$174)&gt;0,IF(B1272=0,0,IF(C1272=0,B1272/($B$172-MAX(872-1,$B$174)),B1272*(C1272/12)/(1-(1+C1272/12)^(-($B$172-MAX(872-1,$B$174)))))),"")),D1271)))),""),""))</x:f>
        <x:v>0</x:v>
      </x:c>
      <x:c r="E1272" s="440" t="n">
        <x:f>IF(AND(872=$B$173,ISNUMBER(D1272)),IF(MAX(0,B1272*(1+C1272/12)-D1272)&lt;MAX(0.0000001,$E$17*0.00000000001),0,MAX(0,B1272*(1+C1272/12)-D1272)),0)</x:f>
        <x:v>0</x:v>
      </x:c>
      <x:c r="F1272" s="440" t="n">
        <x:f>IF($B$78="Cash payoff",E1272,0)</x:f>
        <x:v>0</x:v>
      </x:c>
      <x:c r="G1272" s="440" t="n">
        <x:f>IF(AND(E1272&gt;0,AND($B$78="Refinance",ISNUMBER($B$80),$B$80&gt;=0,$B$80&lt;=1,ROUND($B$81*12,0)&gt;=1,$B$81&lt;=100,SUM($B$82)&gt;=0,SUM($B$82)&lt;=1,SUM($B$83)&gt;=0)),E1272*SUM($B$82)+SUM($B$83),0)</x:f>
        <x:v>0</x:v>
      </x:c>
      <x:c r="H1272" s="440" t="n">
        <x:f>IF(ISNUMBER(D1272),IF(MAX(0,B1272*(1+C1272/12)-D1272-F1272)&lt;MAX(0.0000001,$E$17*0.00000000001),0,MAX(0,B1272*(1+C1272/12)-D1272-F1272)),IF(AND($B$171=1,I1271=1),B1272,""))</x:f>
        <x:v>0</x:v>
      </x:c>
      <x:c r="I1272" s="444" t="n">
        <x:f>IF(OR(I1271=1,AND(E1272&gt;0,$B$78&lt;&gt;"Cash payoff",NOT(AND($B$78="Refinance",ISNUMBER($B$80),$B$80&gt;=0,$B$80&lt;=1,ROUND($B$81*12,0)&gt;=1,$B$81&lt;=100,SUM($B$82)&gt;=0,SUM($B$82)&lt;=1,SUM($B$83)&gt;=0))),AND(ISNUMBER(B1272),B1272&gt;0,$B$171=1,NOT(ISNUMBER(D1272)))),1,0)</x:f>
        <x:v>0</x:v>
      </x:c>
      <x:c r="J1272" s="440" t="n">
        <x:f>IF(ISNUMBER(L1271),L1271,"")</x:f>
        <x:v>0</x:v>
      </x:c>
      <x:c r="K1272" s="440" t="n">
        <x:f>IF(AND(ISNUMBER(J1272),J1272=0),0,IF(AND($B$176=1,ISNUMBER(J1272)),MIN(J1272*(1+$B$87/12),IF($B$86=0,0,IF($B$87=0,$B$86/ROUND($B$88*12,0),$B$86*($B$87/12)/(1-(1+$B$87/12)^(-ROUND($B$88*12,0)))))),""))</x:f>
        <x:v>0</x:v>
      </x:c>
      <x:c r="L1272" s="440" t="n">
        <x:f>IF(ISNUMBER(K1272),IF(MAX(0,J1272*(1+SUM($B$87)/12)-K1272)&lt;MAX(0.0000001,$B$86*0.00000000001),0,MAX(0,J1272*(1+SUM($B$87)/12)-K1272)),"")</x:f>
        <x:v>0</x:v>
      </x:c>
      <x:c r="M1272" s="440" t="n">
        <x:f>IF(AND(ISNUMBER(D1272),ISNUMBER(K1272)),D1272+K1272,"")</x:f>
        <x:v>0</x:v>
      </x:c>
      <x:c r="N1272" s="440" t="n">
        <x:f>IF(AND(ISNUMBER(H1272),ISNUMBER(L1272)),H1272+L1272,"")</x:f>
        <x:v>0</x:v>
      </x:c>
    </x:row>
    <x:row r="1273" ht="22" customHeight="1">
      <x:c r="A1273" s="254" t="n">
        <x:f>873</x:f>
        <x:v>873</x:v>
      </x:c>
      <x:c r="B1273" s="440" t="n">
        <x:f>IF(ISNUMBER(H1272),H1272,"")</x:f>
        <x:v>0</x:v>
      </x:c>
      <x:c r="C1273" s="442" t="n">
        <x:f>IF(ISNUMBER(B1273),IF(AND(873&gt;$B$173,$B$78="Refinance",ISNUMBER($B$80),$B$80&gt;=0,$B$80&lt;=1,ROUND($B$81*12,0)&gt;=1,$B$81&lt;=100,SUM($B$82)&gt;=0,SUM($B$82)&lt;=1,SUM($B$83)&gt;=0),$B$80,IF(AND($B$175&gt;0,873&gt;$B$175,ISNUMBER($B$75)),$B$75,$B$61)),"")</x:f>
        <x:v>0.0625</x:v>
      </x:c>
      <x:c r="D1273" s="440" t="n">
        <x:f>IF(AND(ISNUMBER(B1273),B1273=0),0,IF(AND($B$171=1,I1272=0,ISNUMBER(C1273),ISNUMBER(IF(AND(873&lt;=$B$174,873&lt;=$B$173),B1273*C1273/12,IF(AND(873=$B$173+1,AND(873&gt;$B$173,$B$78="Refinance",ISNUMBER($B$80),$B$80&gt;=0,$B$80&lt;=1,ROUND($B$81*12,0)&gt;=1,$B$81&lt;=100,SUM($B$82)&gt;=0,SUM($B$82)&lt;=1,SUM($B$83)&gt;=0)),IF(B1273=0,0,IF(C1273=0,B1273/ROUND($B$81*12,0),B1273*(C1273/12)/(1-(1+C1273/12)^(-ROUND($B$81*12,0))))),IF(AND(NOT(AND(873&gt;$B$173,$B$78="Refinance",ISNUMBER($B$80),$B$80&gt;=0,$B$80&lt;=1,ROUND($B$81*12,0)&gt;=1,$B$81&lt;=100,SUM($B$82)&gt;=0,SUM($B$82)&lt;=1,SUM($B$83)&gt;=0)),OR(873=1,873=$B$174+1,AND($B$175&gt;0,873=$B$175+1))),IF(AND($B$170=1,$B$66&gt;0,OR($B$175=0,873&lt;=$B$175)),$B$66,IF($B$172-MAX(873-1,$B$174)&gt;0,IF(B1273=0,0,IF(C1273=0,B1273/($B$172-MAX(873-1,$B$174)),B1273*(C1273/12)/(1-(1+C1273/12)^(-($B$172-MAX(873-1,$B$174)))))),"")),D1272))))),IF(IF(AND(873&lt;=$B$174,873&lt;=$B$173),B1273*C1273/12,IF(AND(873=$B$173+1,AND(873&gt;$B$173,$B$78="Refinance",ISNUMBER($B$80),$B$80&gt;=0,$B$80&lt;=1,ROUND($B$81*12,0)&gt;=1,$B$81&lt;=100,SUM($B$82)&gt;=0,SUM($B$82)&lt;=1,SUM($B$83)&gt;=0)),IF(B1273=0,0,IF(C1273=0,B1273/ROUND($B$81*12,0),B1273*(C1273/12)/(1-(1+C1273/12)^(-ROUND($B$81*12,0))))),IF(AND(NOT(AND(873&gt;$B$173,$B$78="Refinance",ISNUMBER($B$80),$B$80&gt;=0,$B$80&lt;=1,ROUND($B$81*12,0)&gt;=1,$B$81&lt;=100,SUM($B$82)&gt;=0,SUM($B$82)&lt;=1,SUM($B$83)&gt;=0)),OR(873=1,873=$B$174+1,AND($B$175&gt;0,873=$B$175+1))),IF(AND($B$170=1,$B$66&gt;0,OR($B$175=0,873&lt;=$B$175)),$B$66,IF($B$172-MAX(873-1,$B$174)&gt;0,IF(B1273=0,0,IF(C1273=0,B1273/($B$172-MAX(873-1,$B$174)),B1273*(C1273/12)/(1-(1+C1273/12)^(-($B$172-MAX(873-1,$B$174)))))),"")),D1272)))+0.0000001&gt;=B1273*C1273/12,MIN(B1273*(1+C1273/12),IF(AND(873&lt;=$B$174,873&lt;=$B$173),B1273*C1273/12,IF(AND(873=$B$173+1,AND(873&gt;$B$173,$B$78="Refinance",ISNUMBER($B$80),$B$80&gt;=0,$B$80&lt;=1,ROUND($B$81*12,0)&gt;=1,$B$81&lt;=100,SUM($B$82)&gt;=0,SUM($B$82)&lt;=1,SUM($B$83)&gt;=0)),IF(B1273=0,0,IF(C1273=0,B1273/ROUND($B$81*12,0),B1273*(C1273/12)/(1-(1+C1273/12)^(-ROUND($B$81*12,0))))),IF(AND(NOT(AND(873&gt;$B$173,$B$78="Refinance",ISNUMBER($B$80),$B$80&gt;=0,$B$80&lt;=1,ROUND($B$81*12,0)&gt;=1,$B$81&lt;=100,SUM($B$82)&gt;=0,SUM($B$82)&lt;=1,SUM($B$83)&gt;=0)),OR(873=1,873=$B$174+1,AND($B$175&gt;0,873=$B$175+1))),IF(AND($B$170=1,$B$66&gt;0,OR($B$175=0,873&lt;=$B$175)),$B$66,IF($B$172-MAX(873-1,$B$174)&gt;0,IF(B1273=0,0,IF(C1273=0,B1273/($B$172-MAX(873-1,$B$174)),B1273*(C1273/12)/(1-(1+C1273/12)^(-($B$172-MAX(873-1,$B$174)))))),"")),D1272)))),""),""))</x:f>
        <x:v>0</x:v>
      </x:c>
      <x:c r="E1273" s="440" t="n">
        <x:f>IF(AND(873=$B$173,ISNUMBER(D1273)),IF(MAX(0,B1273*(1+C1273/12)-D1273)&lt;MAX(0.0000001,$E$17*0.00000000001),0,MAX(0,B1273*(1+C1273/12)-D1273)),0)</x:f>
        <x:v>0</x:v>
      </x:c>
      <x:c r="F1273" s="440" t="n">
        <x:f>IF($B$78="Cash payoff",E1273,0)</x:f>
        <x:v>0</x:v>
      </x:c>
      <x:c r="G1273" s="440" t="n">
        <x:f>IF(AND(E1273&gt;0,AND($B$78="Refinance",ISNUMBER($B$80),$B$80&gt;=0,$B$80&lt;=1,ROUND($B$81*12,0)&gt;=1,$B$81&lt;=100,SUM($B$82)&gt;=0,SUM($B$82)&lt;=1,SUM($B$83)&gt;=0)),E1273*SUM($B$82)+SUM($B$83),0)</x:f>
        <x:v>0</x:v>
      </x:c>
      <x:c r="H1273" s="440" t="n">
        <x:f>IF(ISNUMBER(D1273),IF(MAX(0,B1273*(1+C1273/12)-D1273-F1273)&lt;MAX(0.0000001,$E$17*0.00000000001),0,MAX(0,B1273*(1+C1273/12)-D1273-F1273)),IF(AND($B$171=1,I1272=1),B1273,""))</x:f>
        <x:v>0</x:v>
      </x:c>
      <x:c r="I1273" s="444" t="n">
        <x:f>IF(OR(I1272=1,AND(E1273&gt;0,$B$78&lt;&gt;"Cash payoff",NOT(AND($B$78="Refinance",ISNUMBER($B$80),$B$80&gt;=0,$B$80&lt;=1,ROUND($B$81*12,0)&gt;=1,$B$81&lt;=100,SUM($B$82)&gt;=0,SUM($B$82)&lt;=1,SUM($B$83)&gt;=0))),AND(ISNUMBER(B1273),B1273&gt;0,$B$171=1,NOT(ISNUMBER(D1273)))),1,0)</x:f>
        <x:v>0</x:v>
      </x:c>
      <x:c r="J1273" s="440" t="n">
        <x:f>IF(ISNUMBER(L1272),L1272,"")</x:f>
        <x:v>0</x:v>
      </x:c>
      <x:c r="K1273" s="440" t="n">
        <x:f>IF(AND(ISNUMBER(J1273),J1273=0),0,IF(AND($B$176=1,ISNUMBER(J1273)),MIN(J1273*(1+$B$87/12),IF($B$86=0,0,IF($B$87=0,$B$86/ROUND($B$88*12,0),$B$86*($B$87/12)/(1-(1+$B$87/12)^(-ROUND($B$88*12,0)))))),""))</x:f>
        <x:v>0</x:v>
      </x:c>
      <x:c r="L1273" s="440" t="n">
        <x:f>IF(ISNUMBER(K1273),IF(MAX(0,J1273*(1+SUM($B$87)/12)-K1273)&lt;MAX(0.0000001,$B$86*0.00000000001),0,MAX(0,J1273*(1+SUM($B$87)/12)-K1273)),"")</x:f>
        <x:v>0</x:v>
      </x:c>
      <x:c r="M1273" s="440" t="n">
        <x:f>IF(AND(ISNUMBER(D1273),ISNUMBER(K1273)),D1273+K1273,"")</x:f>
        <x:v>0</x:v>
      </x:c>
      <x:c r="N1273" s="440" t="n">
        <x:f>IF(AND(ISNUMBER(H1273),ISNUMBER(L1273)),H1273+L1273,"")</x:f>
        <x:v>0</x:v>
      </x:c>
    </x:row>
    <x:row r="1274" ht="22" customHeight="1">
      <x:c r="A1274" s="254" t="n">
        <x:f>874</x:f>
        <x:v>874</x:v>
      </x:c>
      <x:c r="B1274" s="440" t="n">
        <x:f>IF(ISNUMBER(H1273),H1273,"")</x:f>
        <x:v>0</x:v>
      </x:c>
      <x:c r="C1274" s="442" t="n">
        <x:f>IF(ISNUMBER(B1274),IF(AND(874&gt;$B$173,$B$78="Refinance",ISNUMBER($B$80),$B$80&gt;=0,$B$80&lt;=1,ROUND($B$81*12,0)&gt;=1,$B$81&lt;=100,SUM($B$82)&gt;=0,SUM($B$82)&lt;=1,SUM($B$83)&gt;=0),$B$80,IF(AND($B$175&gt;0,874&gt;$B$175,ISNUMBER($B$75)),$B$75,$B$61)),"")</x:f>
        <x:v>0.0625</x:v>
      </x:c>
      <x:c r="D1274" s="440" t="n">
        <x:f>IF(AND(ISNUMBER(B1274),B1274=0),0,IF(AND($B$171=1,I1273=0,ISNUMBER(C1274),ISNUMBER(IF(AND(874&lt;=$B$174,874&lt;=$B$173),B1274*C1274/12,IF(AND(874=$B$173+1,AND(874&gt;$B$173,$B$78="Refinance",ISNUMBER($B$80),$B$80&gt;=0,$B$80&lt;=1,ROUND($B$81*12,0)&gt;=1,$B$81&lt;=100,SUM($B$82)&gt;=0,SUM($B$82)&lt;=1,SUM($B$83)&gt;=0)),IF(B1274=0,0,IF(C1274=0,B1274/ROUND($B$81*12,0),B1274*(C1274/12)/(1-(1+C1274/12)^(-ROUND($B$81*12,0))))),IF(AND(NOT(AND(874&gt;$B$173,$B$78="Refinance",ISNUMBER($B$80),$B$80&gt;=0,$B$80&lt;=1,ROUND($B$81*12,0)&gt;=1,$B$81&lt;=100,SUM($B$82)&gt;=0,SUM($B$82)&lt;=1,SUM($B$83)&gt;=0)),OR(874=1,874=$B$174+1,AND($B$175&gt;0,874=$B$175+1))),IF(AND($B$170=1,$B$66&gt;0,OR($B$175=0,874&lt;=$B$175)),$B$66,IF($B$172-MAX(874-1,$B$174)&gt;0,IF(B1274=0,0,IF(C1274=0,B1274/($B$172-MAX(874-1,$B$174)),B1274*(C1274/12)/(1-(1+C1274/12)^(-($B$172-MAX(874-1,$B$174)))))),"")),D1273))))),IF(IF(AND(874&lt;=$B$174,874&lt;=$B$173),B1274*C1274/12,IF(AND(874=$B$173+1,AND(874&gt;$B$173,$B$78="Refinance",ISNUMBER($B$80),$B$80&gt;=0,$B$80&lt;=1,ROUND($B$81*12,0)&gt;=1,$B$81&lt;=100,SUM($B$82)&gt;=0,SUM($B$82)&lt;=1,SUM($B$83)&gt;=0)),IF(B1274=0,0,IF(C1274=0,B1274/ROUND($B$81*12,0),B1274*(C1274/12)/(1-(1+C1274/12)^(-ROUND($B$81*12,0))))),IF(AND(NOT(AND(874&gt;$B$173,$B$78="Refinance",ISNUMBER($B$80),$B$80&gt;=0,$B$80&lt;=1,ROUND($B$81*12,0)&gt;=1,$B$81&lt;=100,SUM($B$82)&gt;=0,SUM($B$82)&lt;=1,SUM($B$83)&gt;=0)),OR(874=1,874=$B$174+1,AND($B$175&gt;0,874=$B$175+1))),IF(AND($B$170=1,$B$66&gt;0,OR($B$175=0,874&lt;=$B$175)),$B$66,IF($B$172-MAX(874-1,$B$174)&gt;0,IF(B1274=0,0,IF(C1274=0,B1274/($B$172-MAX(874-1,$B$174)),B1274*(C1274/12)/(1-(1+C1274/12)^(-($B$172-MAX(874-1,$B$174)))))),"")),D1273)))+0.0000001&gt;=B1274*C1274/12,MIN(B1274*(1+C1274/12),IF(AND(874&lt;=$B$174,874&lt;=$B$173),B1274*C1274/12,IF(AND(874=$B$173+1,AND(874&gt;$B$173,$B$78="Refinance",ISNUMBER($B$80),$B$80&gt;=0,$B$80&lt;=1,ROUND($B$81*12,0)&gt;=1,$B$81&lt;=100,SUM($B$82)&gt;=0,SUM($B$82)&lt;=1,SUM($B$83)&gt;=0)),IF(B1274=0,0,IF(C1274=0,B1274/ROUND($B$81*12,0),B1274*(C1274/12)/(1-(1+C1274/12)^(-ROUND($B$81*12,0))))),IF(AND(NOT(AND(874&gt;$B$173,$B$78="Refinance",ISNUMBER($B$80),$B$80&gt;=0,$B$80&lt;=1,ROUND($B$81*12,0)&gt;=1,$B$81&lt;=100,SUM($B$82)&gt;=0,SUM($B$82)&lt;=1,SUM($B$83)&gt;=0)),OR(874=1,874=$B$174+1,AND($B$175&gt;0,874=$B$175+1))),IF(AND($B$170=1,$B$66&gt;0,OR($B$175=0,874&lt;=$B$175)),$B$66,IF($B$172-MAX(874-1,$B$174)&gt;0,IF(B1274=0,0,IF(C1274=0,B1274/($B$172-MAX(874-1,$B$174)),B1274*(C1274/12)/(1-(1+C1274/12)^(-($B$172-MAX(874-1,$B$174)))))),"")),D1273)))),""),""))</x:f>
        <x:v>0</x:v>
      </x:c>
      <x:c r="E1274" s="440" t="n">
        <x:f>IF(AND(874=$B$173,ISNUMBER(D1274)),IF(MAX(0,B1274*(1+C1274/12)-D1274)&lt;MAX(0.0000001,$E$17*0.00000000001),0,MAX(0,B1274*(1+C1274/12)-D1274)),0)</x:f>
        <x:v>0</x:v>
      </x:c>
      <x:c r="F1274" s="440" t="n">
        <x:f>IF($B$78="Cash payoff",E1274,0)</x:f>
        <x:v>0</x:v>
      </x:c>
      <x:c r="G1274" s="440" t="n">
        <x:f>IF(AND(E1274&gt;0,AND($B$78="Refinance",ISNUMBER($B$80),$B$80&gt;=0,$B$80&lt;=1,ROUND($B$81*12,0)&gt;=1,$B$81&lt;=100,SUM($B$82)&gt;=0,SUM($B$82)&lt;=1,SUM($B$83)&gt;=0)),E1274*SUM($B$82)+SUM($B$83),0)</x:f>
        <x:v>0</x:v>
      </x:c>
      <x:c r="H1274" s="440" t="n">
        <x:f>IF(ISNUMBER(D1274),IF(MAX(0,B1274*(1+C1274/12)-D1274-F1274)&lt;MAX(0.0000001,$E$17*0.00000000001),0,MAX(0,B1274*(1+C1274/12)-D1274-F1274)),IF(AND($B$171=1,I1273=1),B1274,""))</x:f>
        <x:v>0</x:v>
      </x:c>
      <x:c r="I1274" s="444" t="n">
        <x:f>IF(OR(I1273=1,AND(E1274&gt;0,$B$78&lt;&gt;"Cash payoff",NOT(AND($B$78="Refinance",ISNUMBER($B$80),$B$80&gt;=0,$B$80&lt;=1,ROUND($B$81*12,0)&gt;=1,$B$81&lt;=100,SUM($B$82)&gt;=0,SUM($B$82)&lt;=1,SUM($B$83)&gt;=0))),AND(ISNUMBER(B1274),B1274&gt;0,$B$171=1,NOT(ISNUMBER(D1274)))),1,0)</x:f>
        <x:v>0</x:v>
      </x:c>
      <x:c r="J1274" s="440" t="n">
        <x:f>IF(ISNUMBER(L1273),L1273,"")</x:f>
        <x:v>0</x:v>
      </x:c>
      <x:c r="K1274" s="440" t="n">
        <x:f>IF(AND(ISNUMBER(J1274),J1274=0),0,IF(AND($B$176=1,ISNUMBER(J1274)),MIN(J1274*(1+$B$87/12),IF($B$86=0,0,IF($B$87=0,$B$86/ROUND($B$88*12,0),$B$86*($B$87/12)/(1-(1+$B$87/12)^(-ROUND($B$88*12,0)))))),""))</x:f>
        <x:v>0</x:v>
      </x:c>
      <x:c r="L1274" s="440" t="n">
        <x:f>IF(ISNUMBER(K1274),IF(MAX(0,J1274*(1+SUM($B$87)/12)-K1274)&lt;MAX(0.0000001,$B$86*0.00000000001),0,MAX(0,J1274*(1+SUM($B$87)/12)-K1274)),"")</x:f>
        <x:v>0</x:v>
      </x:c>
      <x:c r="M1274" s="440" t="n">
        <x:f>IF(AND(ISNUMBER(D1274),ISNUMBER(K1274)),D1274+K1274,"")</x:f>
        <x:v>0</x:v>
      </x:c>
      <x:c r="N1274" s="440" t="n">
        <x:f>IF(AND(ISNUMBER(H1274),ISNUMBER(L1274)),H1274+L1274,"")</x:f>
        <x:v>0</x:v>
      </x:c>
    </x:row>
    <x:row r="1275" ht="22" customHeight="1">
      <x:c r="A1275" s="254" t="n">
        <x:f>875</x:f>
        <x:v>875</x:v>
      </x:c>
      <x:c r="B1275" s="440" t="n">
        <x:f>IF(ISNUMBER(H1274),H1274,"")</x:f>
        <x:v>0</x:v>
      </x:c>
      <x:c r="C1275" s="442" t="n">
        <x:f>IF(ISNUMBER(B1275),IF(AND(875&gt;$B$173,$B$78="Refinance",ISNUMBER($B$80),$B$80&gt;=0,$B$80&lt;=1,ROUND($B$81*12,0)&gt;=1,$B$81&lt;=100,SUM($B$82)&gt;=0,SUM($B$82)&lt;=1,SUM($B$83)&gt;=0),$B$80,IF(AND($B$175&gt;0,875&gt;$B$175,ISNUMBER($B$75)),$B$75,$B$61)),"")</x:f>
        <x:v>0.0625</x:v>
      </x:c>
      <x:c r="D1275" s="440" t="n">
        <x:f>IF(AND(ISNUMBER(B1275),B1275=0),0,IF(AND($B$171=1,I1274=0,ISNUMBER(C1275),ISNUMBER(IF(AND(875&lt;=$B$174,875&lt;=$B$173),B1275*C1275/12,IF(AND(875=$B$173+1,AND(875&gt;$B$173,$B$78="Refinance",ISNUMBER($B$80),$B$80&gt;=0,$B$80&lt;=1,ROUND($B$81*12,0)&gt;=1,$B$81&lt;=100,SUM($B$82)&gt;=0,SUM($B$82)&lt;=1,SUM($B$83)&gt;=0)),IF(B1275=0,0,IF(C1275=0,B1275/ROUND($B$81*12,0),B1275*(C1275/12)/(1-(1+C1275/12)^(-ROUND($B$81*12,0))))),IF(AND(NOT(AND(875&gt;$B$173,$B$78="Refinance",ISNUMBER($B$80),$B$80&gt;=0,$B$80&lt;=1,ROUND($B$81*12,0)&gt;=1,$B$81&lt;=100,SUM($B$82)&gt;=0,SUM($B$82)&lt;=1,SUM($B$83)&gt;=0)),OR(875=1,875=$B$174+1,AND($B$175&gt;0,875=$B$175+1))),IF(AND($B$170=1,$B$66&gt;0,OR($B$175=0,875&lt;=$B$175)),$B$66,IF($B$172-MAX(875-1,$B$174)&gt;0,IF(B1275=0,0,IF(C1275=0,B1275/($B$172-MAX(875-1,$B$174)),B1275*(C1275/12)/(1-(1+C1275/12)^(-($B$172-MAX(875-1,$B$174)))))),"")),D1274))))),IF(IF(AND(875&lt;=$B$174,875&lt;=$B$173),B1275*C1275/12,IF(AND(875=$B$173+1,AND(875&gt;$B$173,$B$78="Refinance",ISNUMBER($B$80),$B$80&gt;=0,$B$80&lt;=1,ROUND($B$81*12,0)&gt;=1,$B$81&lt;=100,SUM($B$82)&gt;=0,SUM($B$82)&lt;=1,SUM($B$83)&gt;=0)),IF(B1275=0,0,IF(C1275=0,B1275/ROUND($B$81*12,0),B1275*(C1275/12)/(1-(1+C1275/12)^(-ROUND($B$81*12,0))))),IF(AND(NOT(AND(875&gt;$B$173,$B$78="Refinance",ISNUMBER($B$80),$B$80&gt;=0,$B$80&lt;=1,ROUND($B$81*12,0)&gt;=1,$B$81&lt;=100,SUM($B$82)&gt;=0,SUM($B$82)&lt;=1,SUM($B$83)&gt;=0)),OR(875=1,875=$B$174+1,AND($B$175&gt;0,875=$B$175+1))),IF(AND($B$170=1,$B$66&gt;0,OR($B$175=0,875&lt;=$B$175)),$B$66,IF($B$172-MAX(875-1,$B$174)&gt;0,IF(B1275=0,0,IF(C1275=0,B1275/($B$172-MAX(875-1,$B$174)),B1275*(C1275/12)/(1-(1+C1275/12)^(-($B$172-MAX(875-1,$B$174)))))),"")),D1274)))+0.0000001&gt;=B1275*C1275/12,MIN(B1275*(1+C1275/12),IF(AND(875&lt;=$B$174,875&lt;=$B$173),B1275*C1275/12,IF(AND(875=$B$173+1,AND(875&gt;$B$173,$B$78="Refinance",ISNUMBER($B$80),$B$80&gt;=0,$B$80&lt;=1,ROUND($B$81*12,0)&gt;=1,$B$81&lt;=100,SUM($B$82)&gt;=0,SUM($B$82)&lt;=1,SUM($B$83)&gt;=0)),IF(B1275=0,0,IF(C1275=0,B1275/ROUND($B$81*12,0),B1275*(C1275/12)/(1-(1+C1275/12)^(-ROUND($B$81*12,0))))),IF(AND(NOT(AND(875&gt;$B$173,$B$78="Refinance",ISNUMBER($B$80),$B$80&gt;=0,$B$80&lt;=1,ROUND($B$81*12,0)&gt;=1,$B$81&lt;=100,SUM($B$82)&gt;=0,SUM($B$82)&lt;=1,SUM($B$83)&gt;=0)),OR(875=1,875=$B$174+1,AND($B$175&gt;0,875=$B$175+1))),IF(AND($B$170=1,$B$66&gt;0,OR($B$175=0,875&lt;=$B$175)),$B$66,IF($B$172-MAX(875-1,$B$174)&gt;0,IF(B1275=0,0,IF(C1275=0,B1275/($B$172-MAX(875-1,$B$174)),B1275*(C1275/12)/(1-(1+C1275/12)^(-($B$172-MAX(875-1,$B$174)))))),"")),D1274)))),""),""))</x:f>
        <x:v>0</x:v>
      </x:c>
      <x:c r="E1275" s="440" t="n">
        <x:f>IF(AND(875=$B$173,ISNUMBER(D1275)),IF(MAX(0,B1275*(1+C1275/12)-D1275)&lt;MAX(0.0000001,$E$17*0.00000000001),0,MAX(0,B1275*(1+C1275/12)-D1275)),0)</x:f>
        <x:v>0</x:v>
      </x:c>
      <x:c r="F1275" s="440" t="n">
        <x:f>IF($B$78="Cash payoff",E1275,0)</x:f>
        <x:v>0</x:v>
      </x:c>
      <x:c r="G1275" s="440" t="n">
        <x:f>IF(AND(E1275&gt;0,AND($B$78="Refinance",ISNUMBER($B$80),$B$80&gt;=0,$B$80&lt;=1,ROUND($B$81*12,0)&gt;=1,$B$81&lt;=100,SUM($B$82)&gt;=0,SUM($B$82)&lt;=1,SUM($B$83)&gt;=0)),E1275*SUM($B$82)+SUM($B$83),0)</x:f>
        <x:v>0</x:v>
      </x:c>
      <x:c r="H1275" s="440" t="n">
        <x:f>IF(ISNUMBER(D1275),IF(MAX(0,B1275*(1+C1275/12)-D1275-F1275)&lt;MAX(0.0000001,$E$17*0.00000000001),0,MAX(0,B1275*(1+C1275/12)-D1275-F1275)),IF(AND($B$171=1,I1274=1),B1275,""))</x:f>
        <x:v>0</x:v>
      </x:c>
      <x:c r="I1275" s="444" t="n">
        <x:f>IF(OR(I1274=1,AND(E1275&gt;0,$B$78&lt;&gt;"Cash payoff",NOT(AND($B$78="Refinance",ISNUMBER($B$80),$B$80&gt;=0,$B$80&lt;=1,ROUND($B$81*12,0)&gt;=1,$B$81&lt;=100,SUM($B$82)&gt;=0,SUM($B$82)&lt;=1,SUM($B$83)&gt;=0))),AND(ISNUMBER(B1275),B1275&gt;0,$B$171=1,NOT(ISNUMBER(D1275)))),1,0)</x:f>
        <x:v>0</x:v>
      </x:c>
      <x:c r="J1275" s="440" t="n">
        <x:f>IF(ISNUMBER(L1274),L1274,"")</x:f>
        <x:v>0</x:v>
      </x:c>
      <x:c r="K1275" s="440" t="n">
        <x:f>IF(AND(ISNUMBER(J1275),J1275=0),0,IF(AND($B$176=1,ISNUMBER(J1275)),MIN(J1275*(1+$B$87/12),IF($B$86=0,0,IF($B$87=0,$B$86/ROUND($B$88*12,0),$B$86*($B$87/12)/(1-(1+$B$87/12)^(-ROUND($B$88*12,0)))))),""))</x:f>
        <x:v>0</x:v>
      </x:c>
      <x:c r="L1275" s="440" t="n">
        <x:f>IF(ISNUMBER(K1275),IF(MAX(0,J1275*(1+SUM($B$87)/12)-K1275)&lt;MAX(0.0000001,$B$86*0.00000000001),0,MAX(0,J1275*(1+SUM($B$87)/12)-K1275)),"")</x:f>
        <x:v>0</x:v>
      </x:c>
      <x:c r="M1275" s="440" t="n">
        <x:f>IF(AND(ISNUMBER(D1275),ISNUMBER(K1275)),D1275+K1275,"")</x:f>
        <x:v>0</x:v>
      </x:c>
      <x:c r="N1275" s="440" t="n">
        <x:f>IF(AND(ISNUMBER(H1275),ISNUMBER(L1275)),H1275+L1275,"")</x:f>
        <x:v>0</x:v>
      </x:c>
    </x:row>
    <x:row r="1276" ht="22" customHeight="1">
      <x:c r="A1276" s="254" t="n">
        <x:f>876</x:f>
        <x:v>876</x:v>
      </x:c>
      <x:c r="B1276" s="440" t="n">
        <x:f>IF(ISNUMBER(H1275),H1275,"")</x:f>
        <x:v>0</x:v>
      </x:c>
      <x:c r="C1276" s="442" t="n">
        <x:f>IF(ISNUMBER(B1276),IF(AND(876&gt;$B$173,$B$78="Refinance",ISNUMBER($B$80),$B$80&gt;=0,$B$80&lt;=1,ROUND($B$81*12,0)&gt;=1,$B$81&lt;=100,SUM($B$82)&gt;=0,SUM($B$82)&lt;=1,SUM($B$83)&gt;=0),$B$80,IF(AND($B$175&gt;0,876&gt;$B$175,ISNUMBER($B$75)),$B$75,$B$61)),"")</x:f>
        <x:v>0.0625</x:v>
      </x:c>
      <x:c r="D1276" s="440" t="n">
        <x:f>IF(AND(ISNUMBER(B1276),B1276=0),0,IF(AND($B$171=1,I1275=0,ISNUMBER(C1276),ISNUMBER(IF(AND(876&lt;=$B$174,876&lt;=$B$173),B1276*C1276/12,IF(AND(876=$B$173+1,AND(876&gt;$B$173,$B$78="Refinance",ISNUMBER($B$80),$B$80&gt;=0,$B$80&lt;=1,ROUND($B$81*12,0)&gt;=1,$B$81&lt;=100,SUM($B$82)&gt;=0,SUM($B$82)&lt;=1,SUM($B$83)&gt;=0)),IF(B1276=0,0,IF(C1276=0,B1276/ROUND($B$81*12,0),B1276*(C1276/12)/(1-(1+C1276/12)^(-ROUND($B$81*12,0))))),IF(AND(NOT(AND(876&gt;$B$173,$B$78="Refinance",ISNUMBER($B$80),$B$80&gt;=0,$B$80&lt;=1,ROUND($B$81*12,0)&gt;=1,$B$81&lt;=100,SUM($B$82)&gt;=0,SUM($B$82)&lt;=1,SUM($B$83)&gt;=0)),OR(876=1,876=$B$174+1,AND($B$175&gt;0,876=$B$175+1))),IF(AND($B$170=1,$B$66&gt;0,OR($B$175=0,876&lt;=$B$175)),$B$66,IF($B$172-MAX(876-1,$B$174)&gt;0,IF(B1276=0,0,IF(C1276=0,B1276/($B$172-MAX(876-1,$B$174)),B1276*(C1276/12)/(1-(1+C1276/12)^(-($B$172-MAX(876-1,$B$174)))))),"")),D1275))))),IF(IF(AND(876&lt;=$B$174,876&lt;=$B$173),B1276*C1276/12,IF(AND(876=$B$173+1,AND(876&gt;$B$173,$B$78="Refinance",ISNUMBER($B$80),$B$80&gt;=0,$B$80&lt;=1,ROUND($B$81*12,0)&gt;=1,$B$81&lt;=100,SUM($B$82)&gt;=0,SUM($B$82)&lt;=1,SUM($B$83)&gt;=0)),IF(B1276=0,0,IF(C1276=0,B1276/ROUND($B$81*12,0),B1276*(C1276/12)/(1-(1+C1276/12)^(-ROUND($B$81*12,0))))),IF(AND(NOT(AND(876&gt;$B$173,$B$78="Refinance",ISNUMBER($B$80),$B$80&gt;=0,$B$80&lt;=1,ROUND($B$81*12,0)&gt;=1,$B$81&lt;=100,SUM($B$82)&gt;=0,SUM($B$82)&lt;=1,SUM($B$83)&gt;=0)),OR(876=1,876=$B$174+1,AND($B$175&gt;0,876=$B$175+1))),IF(AND($B$170=1,$B$66&gt;0,OR($B$175=0,876&lt;=$B$175)),$B$66,IF($B$172-MAX(876-1,$B$174)&gt;0,IF(B1276=0,0,IF(C1276=0,B1276/($B$172-MAX(876-1,$B$174)),B1276*(C1276/12)/(1-(1+C1276/12)^(-($B$172-MAX(876-1,$B$174)))))),"")),D1275)))+0.0000001&gt;=B1276*C1276/12,MIN(B1276*(1+C1276/12),IF(AND(876&lt;=$B$174,876&lt;=$B$173),B1276*C1276/12,IF(AND(876=$B$173+1,AND(876&gt;$B$173,$B$78="Refinance",ISNUMBER($B$80),$B$80&gt;=0,$B$80&lt;=1,ROUND($B$81*12,0)&gt;=1,$B$81&lt;=100,SUM($B$82)&gt;=0,SUM($B$82)&lt;=1,SUM($B$83)&gt;=0)),IF(B1276=0,0,IF(C1276=0,B1276/ROUND($B$81*12,0),B1276*(C1276/12)/(1-(1+C1276/12)^(-ROUND($B$81*12,0))))),IF(AND(NOT(AND(876&gt;$B$173,$B$78="Refinance",ISNUMBER($B$80),$B$80&gt;=0,$B$80&lt;=1,ROUND($B$81*12,0)&gt;=1,$B$81&lt;=100,SUM($B$82)&gt;=0,SUM($B$82)&lt;=1,SUM($B$83)&gt;=0)),OR(876=1,876=$B$174+1,AND($B$175&gt;0,876=$B$175+1))),IF(AND($B$170=1,$B$66&gt;0,OR($B$175=0,876&lt;=$B$175)),$B$66,IF($B$172-MAX(876-1,$B$174)&gt;0,IF(B1276=0,0,IF(C1276=0,B1276/($B$172-MAX(876-1,$B$174)),B1276*(C1276/12)/(1-(1+C1276/12)^(-($B$172-MAX(876-1,$B$174)))))),"")),D1275)))),""),""))</x:f>
        <x:v>0</x:v>
      </x:c>
      <x:c r="E1276" s="440" t="n">
        <x:f>IF(AND(876=$B$173,ISNUMBER(D1276)),IF(MAX(0,B1276*(1+C1276/12)-D1276)&lt;MAX(0.0000001,$E$17*0.00000000001),0,MAX(0,B1276*(1+C1276/12)-D1276)),0)</x:f>
        <x:v>0</x:v>
      </x:c>
      <x:c r="F1276" s="440" t="n">
        <x:f>IF($B$78="Cash payoff",E1276,0)</x:f>
        <x:v>0</x:v>
      </x:c>
      <x:c r="G1276" s="440" t="n">
        <x:f>IF(AND(E1276&gt;0,AND($B$78="Refinance",ISNUMBER($B$80),$B$80&gt;=0,$B$80&lt;=1,ROUND($B$81*12,0)&gt;=1,$B$81&lt;=100,SUM($B$82)&gt;=0,SUM($B$82)&lt;=1,SUM($B$83)&gt;=0)),E1276*SUM($B$82)+SUM($B$83),0)</x:f>
        <x:v>0</x:v>
      </x:c>
      <x:c r="H1276" s="440" t="n">
        <x:f>IF(ISNUMBER(D1276),IF(MAX(0,B1276*(1+C1276/12)-D1276-F1276)&lt;MAX(0.0000001,$E$17*0.00000000001),0,MAX(0,B1276*(1+C1276/12)-D1276-F1276)),IF(AND($B$171=1,I1275=1),B1276,""))</x:f>
        <x:v>0</x:v>
      </x:c>
      <x:c r="I1276" s="444" t="n">
        <x:f>IF(OR(I1275=1,AND(E1276&gt;0,$B$78&lt;&gt;"Cash payoff",NOT(AND($B$78="Refinance",ISNUMBER($B$80),$B$80&gt;=0,$B$80&lt;=1,ROUND($B$81*12,0)&gt;=1,$B$81&lt;=100,SUM($B$82)&gt;=0,SUM($B$82)&lt;=1,SUM($B$83)&gt;=0))),AND(ISNUMBER(B1276),B1276&gt;0,$B$171=1,NOT(ISNUMBER(D1276)))),1,0)</x:f>
        <x:v>0</x:v>
      </x:c>
      <x:c r="J1276" s="440" t="n">
        <x:f>IF(ISNUMBER(L1275),L1275,"")</x:f>
        <x:v>0</x:v>
      </x:c>
      <x:c r="K1276" s="440" t="n">
        <x:f>IF(AND(ISNUMBER(J1276),J1276=0),0,IF(AND($B$176=1,ISNUMBER(J1276)),MIN(J1276*(1+$B$87/12),IF($B$86=0,0,IF($B$87=0,$B$86/ROUND($B$88*12,0),$B$86*($B$87/12)/(1-(1+$B$87/12)^(-ROUND($B$88*12,0)))))),""))</x:f>
        <x:v>0</x:v>
      </x:c>
      <x:c r="L1276" s="440" t="n">
        <x:f>IF(ISNUMBER(K1276),IF(MAX(0,J1276*(1+SUM($B$87)/12)-K1276)&lt;MAX(0.0000001,$B$86*0.00000000001),0,MAX(0,J1276*(1+SUM($B$87)/12)-K1276)),"")</x:f>
        <x:v>0</x:v>
      </x:c>
      <x:c r="M1276" s="440" t="n">
        <x:f>IF(AND(ISNUMBER(D1276),ISNUMBER(K1276)),D1276+K1276,"")</x:f>
        <x:v>0</x:v>
      </x:c>
      <x:c r="N1276" s="440" t="n">
        <x:f>IF(AND(ISNUMBER(H1276),ISNUMBER(L1276)),H1276+L1276,"")</x:f>
        <x:v>0</x:v>
      </x:c>
    </x:row>
    <x:row r="1277" ht="22" customHeight="1">
      <x:c r="A1277" s="254" t="n">
        <x:f>877</x:f>
        <x:v>877</x:v>
      </x:c>
      <x:c r="B1277" s="440" t="n">
        <x:f>IF(ISNUMBER(H1276),H1276,"")</x:f>
        <x:v>0</x:v>
      </x:c>
      <x:c r="C1277" s="442" t="n">
        <x:f>IF(ISNUMBER(B1277),IF(AND(877&gt;$B$173,$B$78="Refinance",ISNUMBER($B$80),$B$80&gt;=0,$B$80&lt;=1,ROUND($B$81*12,0)&gt;=1,$B$81&lt;=100,SUM($B$82)&gt;=0,SUM($B$82)&lt;=1,SUM($B$83)&gt;=0),$B$80,IF(AND($B$175&gt;0,877&gt;$B$175,ISNUMBER($B$75)),$B$75,$B$61)),"")</x:f>
        <x:v>0.0625</x:v>
      </x:c>
      <x:c r="D1277" s="440" t="n">
        <x:f>IF(AND(ISNUMBER(B1277),B1277=0),0,IF(AND($B$171=1,I1276=0,ISNUMBER(C1277),ISNUMBER(IF(AND(877&lt;=$B$174,877&lt;=$B$173),B1277*C1277/12,IF(AND(877=$B$173+1,AND(877&gt;$B$173,$B$78="Refinance",ISNUMBER($B$80),$B$80&gt;=0,$B$80&lt;=1,ROUND($B$81*12,0)&gt;=1,$B$81&lt;=100,SUM($B$82)&gt;=0,SUM($B$82)&lt;=1,SUM($B$83)&gt;=0)),IF(B1277=0,0,IF(C1277=0,B1277/ROUND($B$81*12,0),B1277*(C1277/12)/(1-(1+C1277/12)^(-ROUND($B$81*12,0))))),IF(AND(NOT(AND(877&gt;$B$173,$B$78="Refinance",ISNUMBER($B$80),$B$80&gt;=0,$B$80&lt;=1,ROUND($B$81*12,0)&gt;=1,$B$81&lt;=100,SUM($B$82)&gt;=0,SUM($B$82)&lt;=1,SUM($B$83)&gt;=0)),OR(877=1,877=$B$174+1,AND($B$175&gt;0,877=$B$175+1))),IF(AND($B$170=1,$B$66&gt;0,OR($B$175=0,877&lt;=$B$175)),$B$66,IF($B$172-MAX(877-1,$B$174)&gt;0,IF(B1277=0,0,IF(C1277=0,B1277/($B$172-MAX(877-1,$B$174)),B1277*(C1277/12)/(1-(1+C1277/12)^(-($B$172-MAX(877-1,$B$174)))))),"")),D1276))))),IF(IF(AND(877&lt;=$B$174,877&lt;=$B$173),B1277*C1277/12,IF(AND(877=$B$173+1,AND(877&gt;$B$173,$B$78="Refinance",ISNUMBER($B$80),$B$80&gt;=0,$B$80&lt;=1,ROUND($B$81*12,0)&gt;=1,$B$81&lt;=100,SUM($B$82)&gt;=0,SUM($B$82)&lt;=1,SUM($B$83)&gt;=0)),IF(B1277=0,0,IF(C1277=0,B1277/ROUND($B$81*12,0),B1277*(C1277/12)/(1-(1+C1277/12)^(-ROUND($B$81*12,0))))),IF(AND(NOT(AND(877&gt;$B$173,$B$78="Refinance",ISNUMBER($B$80),$B$80&gt;=0,$B$80&lt;=1,ROUND($B$81*12,0)&gt;=1,$B$81&lt;=100,SUM($B$82)&gt;=0,SUM($B$82)&lt;=1,SUM($B$83)&gt;=0)),OR(877=1,877=$B$174+1,AND($B$175&gt;0,877=$B$175+1))),IF(AND($B$170=1,$B$66&gt;0,OR($B$175=0,877&lt;=$B$175)),$B$66,IF($B$172-MAX(877-1,$B$174)&gt;0,IF(B1277=0,0,IF(C1277=0,B1277/($B$172-MAX(877-1,$B$174)),B1277*(C1277/12)/(1-(1+C1277/12)^(-($B$172-MAX(877-1,$B$174)))))),"")),D1276)))+0.0000001&gt;=B1277*C1277/12,MIN(B1277*(1+C1277/12),IF(AND(877&lt;=$B$174,877&lt;=$B$173),B1277*C1277/12,IF(AND(877=$B$173+1,AND(877&gt;$B$173,$B$78="Refinance",ISNUMBER($B$80),$B$80&gt;=0,$B$80&lt;=1,ROUND($B$81*12,0)&gt;=1,$B$81&lt;=100,SUM($B$82)&gt;=0,SUM($B$82)&lt;=1,SUM($B$83)&gt;=0)),IF(B1277=0,0,IF(C1277=0,B1277/ROUND($B$81*12,0),B1277*(C1277/12)/(1-(1+C1277/12)^(-ROUND($B$81*12,0))))),IF(AND(NOT(AND(877&gt;$B$173,$B$78="Refinance",ISNUMBER($B$80),$B$80&gt;=0,$B$80&lt;=1,ROUND($B$81*12,0)&gt;=1,$B$81&lt;=100,SUM($B$82)&gt;=0,SUM($B$82)&lt;=1,SUM($B$83)&gt;=0)),OR(877=1,877=$B$174+1,AND($B$175&gt;0,877=$B$175+1))),IF(AND($B$170=1,$B$66&gt;0,OR($B$175=0,877&lt;=$B$175)),$B$66,IF($B$172-MAX(877-1,$B$174)&gt;0,IF(B1277=0,0,IF(C1277=0,B1277/($B$172-MAX(877-1,$B$174)),B1277*(C1277/12)/(1-(1+C1277/12)^(-($B$172-MAX(877-1,$B$174)))))),"")),D1276)))),""),""))</x:f>
        <x:v>0</x:v>
      </x:c>
      <x:c r="E1277" s="440" t="n">
        <x:f>IF(AND(877=$B$173,ISNUMBER(D1277)),IF(MAX(0,B1277*(1+C1277/12)-D1277)&lt;MAX(0.0000001,$E$17*0.00000000001),0,MAX(0,B1277*(1+C1277/12)-D1277)),0)</x:f>
        <x:v>0</x:v>
      </x:c>
      <x:c r="F1277" s="440" t="n">
        <x:f>IF($B$78="Cash payoff",E1277,0)</x:f>
        <x:v>0</x:v>
      </x:c>
      <x:c r="G1277" s="440" t="n">
        <x:f>IF(AND(E1277&gt;0,AND($B$78="Refinance",ISNUMBER($B$80),$B$80&gt;=0,$B$80&lt;=1,ROUND($B$81*12,0)&gt;=1,$B$81&lt;=100,SUM($B$82)&gt;=0,SUM($B$82)&lt;=1,SUM($B$83)&gt;=0)),E1277*SUM($B$82)+SUM($B$83),0)</x:f>
        <x:v>0</x:v>
      </x:c>
      <x:c r="H1277" s="440" t="n">
        <x:f>IF(ISNUMBER(D1277),IF(MAX(0,B1277*(1+C1277/12)-D1277-F1277)&lt;MAX(0.0000001,$E$17*0.00000000001),0,MAX(0,B1277*(1+C1277/12)-D1277-F1277)),IF(AND($B$171=1,I1276=1),B1277,""))</x:f>
        <x:v>0</x:v>
      </x:c>
      <x:c r="I1277" s="444" t="n">
        <x:f>IF(OR(I1276=1,AND(E1277&gt;0,$B$78&lt;&gt;"Cash payoff",NOT(AND($B$78="Refinance",ISNUMBER($B$80),$B$80&gt;=0,$B$80&lt;=1,ROUND($B$81*12,0)&gt;=1,$B$81&lt;=100,SUM($B$82)&gt;=0,SUM($B$82)&lt;=1,SUM($B$83)&gt;=0))),AND(ISNUMBER(B1277),B1277&gt;0,$B$171=1,NOT(ISNUMBER(D1277)))),1,0)</x:f>
        <x:v>0</x:v>
      </x:c>
      <x:c r="J1277" s="440" t="n">
        <x:f>IF(ISNUMBER(L1276),L1276,"")</x:f>
        <x:v>0</x:v>
      </x:c>
      <x:c r="K1277" s="440" t="n">
        <x:f>IF(AND(ISNUMBER(J1277),J1277=0),0,IF(AND($B$176=1,ISNUMBER(J1277)),MIN(J1277*(1+$B$87/12),IF($B$86=0,0,IF($B$87=0,$B$86/ROUND($B$88*12,0),$B$86*($B$87/12)/(1-(1+$B$87/12)^(-ROUND($B$88*12,0)))))),""))</x:f>
        <x:v>0</x:v>
      </x:c>
      <x:c r="L1277" s="440" t="n">
        <x:f>IF(ISNUMBER(K1277),IF(MAX(0,J1277*(1+SUM($B$87)/12)-K1277)&lt;MAX(0.0000001,$B$86*0.00000000001),0,MAX(0,J1277*(1+SUM($B$87)/12)-K1277)),"")</x:f>
        <x:v>0</x:v>
      </x:c>
      <x:c r="M1277" s="440" t="n">
        <x:f>IF(AND(ISNUMBER(D1277),ISNUMBER(K1277)),D1277+K1277,"")</x:f>
        <x:v>0</x:v>
      </x:c>
      <x:c r="N1277" s="440" t="n">
        <x:f>IF(AND(ISNUMBER(H1277),ISNUMBER(L1277)),H1277+L1277,"")</x:f>
        <x:v>0</x:v>
      </x:c>
    </x:row>
    <x:row r="1278" ht="22" customHeight="1">
      <x:c r="A1278" s="254" t="n">
        <x:f>878</x:f>
        <x:v>878</x:v>
      </x:c>
      <x:c r="B1278" s="440" t="n">
        <x:f>IF(ISNUMBER(H1277),H1277,"")</x:f>
        <x:v>0</x:v>
      </x:c>
      <x:c r="C1278" s="442" t="n">
        <x:f>IF(ISNUMBER(B1278),IF(AND(878&gt;$B$173,$B$78="Refinance",ISNUMBER($B$80),$B$80&gt;=0,$B$80&lt;=1,ROUND($B$81*12,0)&gt;=1,$B$81&lt;=100,SUM($B$82)&gt;=0,SUM($B$82)&lt;=1,SUM($B$83)&gt;=0),$B$80,IF(AND($B$175&gt;0,878&gt;$B$175,ISNUMBER($B$75)),$B$75,$B$61)),"")</x:f>
        <x:v>0.0625</x:v>
      </x:c>
      <x:c r="D1278" s="440" t="n">
        <x:f>IF(AND(ISNUMBER(B1278),B1278=0),0,IF(AND($B$171=1,I1277=0,ISNUMBER(C1278),ISNUMBER(IF(AND(878&lt;=$B$174,878&lt;=$B$173),B1278*C1278/12,IF(AND(878=$B$173+1,AND(878&gt;$B$173,$B$78="Refinance",ISNUMBER($B$80),$B$80&gt;=0,$B$80&lt;=1,ROUND($B$81*12,0)&gt;=1,$B$81&lt;=100,SUM($B$82)&gt;=0,SUM($B$82)&lt;=1,SUM($B$83)&gt;=0)),IF(B1278=0,0,IF(C1278=0,B1278/ROUND($B$81*12,0),B1278*(C1278/12)/(1-(1+C1278/12)^(-ROUND($B$81*12,0))))),IF(AND(NOT(AND(878&gt;$B$173,$B$78="Refinance",ISNUMBER($B$80),$B$80&gt;=0,$B$80&lt;=1,ROUND($B$81*12,0)&gt;=1,$B$81&lt;=100,SUM($B$82)&gt;=0,SUM($B$82)&lt;=1,SUM($B$83)&gt;=0)),OR(878=1,878=$B$174+1,AND($B$175&gt;0,878=$B$175+1))),IF(AND($B$170=1,$B$66&gt;0,OR($B$175=0,878&lt;=$B$175)),$B$66,IF($B$172-MAX(878-1,$B$174)&gt;0,IF(B1278=0,0,IF(C1278=0,B1278/($B$172-MAX(878-1,$B$174)),B1278*(C1278/12)/(1-(1+C1278/12)^(-($B$172-MAX(878-1,$B$174)))))),"")),D1277))))),IF(IF(AND(878&lt;=$B$174,878&lt;=$B$173),B1278*C1278/12,IF(AND(878=$B$173+1,AND(878&gt;$B$173,$B$78="Refinance",ISNUMBER($B$80),$B$80&gt;=0,$B$80&lt;=1,ROUND($B$81*12,0)&gt;=1,$B$81&lt;=100,SUM($B$82)&gt;=0,SUM($B$82)&lt;=1,SUM($B$83)&gt;=0)),IF(B1278=0,0,IF(C1278=0,B1278/ROUND($B$81*12,0),B1278*(C1278/12)/(1-(1+C1278/12)^(-ROUND($B$81*12,0))))),IF(AND(NOT(AND(878&gt;$B$173,$B$78="Refinance",ISNUMBER($B$80),$B$80&gt;=0,$B$80&lt;=1,ROUND($B$81*12,0)&gt;=1,$B$81&lt;=100,SUM($B$82)&gt;=0,SUM($B$82)&lt;=1,SUM($B$83)&gt;=0)),OR(878=1,878=$B$174+1,AND($B$175&gt;0,878=$B$175+1))),IF(AND($B$170=1,$B$66&gt;0,OR($B$175=0,878&lt;=$B$175)),$B$66,IF($B$172-MAX(878-1,$B$174)&gt;0,IF(B1278=0,0,IF(C1278=0,B1278/($B$172-MAX(878-1,$B$174)),B1278*(C1278/12)/(1-(1+C1278/12)^(-($B$172-MAX(878-1,$B$174)))))),"")),D1277)))+0.0000001&gt;=B1278*C1278/12,MIN(B1278*(1+C1278/12),IF(AND(878&lt;=$B$174,878&lt;=$B$173),B1278*C1278/12,IF(AND(878=$B$173+1,AND(878&gt;$B$173,$B$78="Refinance",ISNUMBER($B$80),$B$80&gt;=0,$B$80&lt;=1,ROUND($B$81*12,0)&gt;=1,$B$81&lt;=100,SUM($B$82)&gt;=0,SUM($B$82)&lt;=1,SUM($B$83)&gt;=0)),IF(B1278=0,0,IF(C1278=0,B1278/ROUND($B$81*12,0),B1278*(C1278/12)/(1-(1+C1278/12)^(-ROUND($B$81*12,0))))),IF(AND(NOT(AND(878&gt;$B$173,$B$78="Refinance",ISNUMBER($B$80),$B$80&gt;=0,$B$80&lt;=1,ROUND($B$81*12,0)&gt;=1,$B$81&lt;=100,SUM($B$82)&gt;=0,SUM($B$82)&lt;=1,SUM($B$83)&gt;=0)),OR(878=1,878=$B$174+1,AND($B$175&gt;0,878=$B$175+1))),IF(AND($B$170=1,$B$66&gt;0,OR($B$175=0,878&lt;=$B$175)),$B$66,IF($B$172-MAX(878-1,$B$174)&gt;0,IF(B1278=0,0,IF(C1278=0,B1278/($B$172-MAX(878-1,$B$174)),B1278*(C1278/12)/(1-(1+C1278/12)^(-($B$172-MAX(878-1,$B$174)))))),"")),D1277)))),""),""))</x:f>
        <x:v>0</x:v>
      </x:c>
      <x:c r="E1278" s="440" t="n">
        <x:f>IF(AND(878=$B$173,ISNUMBER(D1278)),IF(MAX(0,B1278*(1+C1278/12)-D1278)&lt;MAX(0.0000001,$E$17*0.00000000001),0,MAX(0,B1278*(1+C1278/12)-D1278)),0)</x:f>
        <x:v>0</x:v>
      </x:c>
      <x:c r="F1278" s="440" t="n">
        <x:f>IF($B$78="Cash payoff",E1278,0)</x:f>
        <x:v>0</x:v>
      </x:c>
      <x:c r="G1278" s="440" t="n">
        <x:f>IF(AND(E1278&gt;0,AND($B$78="Refinance",ISNUMBER($B$80),$B$80&gt;=0,$B$80&lt;=1,ROUND($B$81*12,0)&gt;=1,$B$81&lt;=100,SUM($B$82)&gt;=0,SUM($B$82)&lt;=1,SUM($B$83)&gt;=0)),E1278*SUM($B$82)+SUM($B$83),0)</x:f>
        <x:v>0</x:v>
      </x:c>
      <x:c r="H1278" s="440" t="n">
        <x:f>IF(ISNUMBER(D1278),IF(MAX(0,B1278*(1+C1278/12)-D1278-F1278)&lt;MAX(0.0000001,$E$17*0.00000000001),0,MAX(0,B1278*(1+C1278/12)-D1278-F1278)),IF(AND($B$171=1,I1277=1),B1278,""))</x:f>
        <x:v>0</x:v>
      </x:c>
      <x:c r="I1278" s="444" t="n">
        <x:f>IF(OR(I1277=1,AND(E1278&gt;0,$B$78&lt;&gt;"Cash payoff",NOT(AND($B$78="Refinance",ISNUMBER($B$80),$B$80&gt;=0,$B$80&lt;=1,ROUND($B$81*12,0)&gt;=1,$B$81&lt;=100,SUM($B$82)&gt;=0,SUM($B$82)&lt;=1,SUM($B$83)&gt;=0))),AND(ISNUMBER(B1278),B1278&gt;0,$B$171=1,NOT(ISNUMBER(D1278)))),1,0)</x:f>
        <x:v>0</x:v>
      </x:c>
      <x:c r="J1278" s="440" t="n">
        <x:f>IF(ISNUMBER(L1277),L1277,"")</x:f>
        <x:v>0</x:v>
      </x:c>
      <x:c r="K1278" s="440" t="n">
        <x:f>IF(AND(ISNUMBER(J1278),J1278=0),0,IF(AND($B$176=1,ISNUMBER(J1278)),MIN(J1278*(1+$B$87/12),IF($B$86=0,0,IF($B$87=0,$B$86/ROUND($B$88*12,0),$B$86*($B$87/12)/(1-(1+$B$87/12)^(-ROUND($B$88*12,0)))))),""))</x:f>
        <x:v>0</x:v>
      </x:c>
      <x:c r="L1278" s="440" t="n">
        <x:f>IF(ISNUMBER(K1278),IF(MAX(0,J1278*(1+SUM($B$87)/12)-K1278)&lt;MAX(0.0000001,$B$86*0.00000000001),0,MAX(0,J1278*(1+SUM($B$87)/12)-K1278)),"")</x:f>
        <x:v>0</x:v>
      </x:c>
      <x:c r="M1278" s="440" t="n">
        <x:f>IF(AND(ISNUMBER(D1278),ISNUMBER(K1278)),D1278+K1278,"")</x:f>
        <x:v>0</x:v>
      </x:c>
      <x:c r="N1278" s="440" t="n">
        <x:f>IF(AND(ISNUMBER(H1278),ISNUMBER(L1278)),H1278+L1278,"")</x:f>
        <x:v>0</x:v>
      </x:c>
    </x:row>
    <x:row r="1279" ht="22" customHeight="1">
      <x:c r="A1279" s="254" t="n">
        <x:f>879</x:f>
        <x:v>879</x:v>
      </x:c>
      <x:c r="B1279" s="440" t="n">
        <x:f>IF(ISNUMBER(H1278),H1278,"")</x:f>
        <x:v>0</x:v>
      </x:c>
      <x:c r="C1279" s="442" t="n">
        <x:f>IF(ISNUMBER(B1279),IF(AND(879&gt;$B$173,$B$78="Refinance",ISNUMBER($B$80),$B$80&gt;=0,$B$80&lt;=1,ROUND($B$81*12,0)&gt;=1,$B$81&lt;=100,SUM($B$82)&gt;=0,SUM($B$82)&lt;=1,SUM($B$83)&gt;=0),$B$80,IF(AND($B$175&gt;0,879&gt;$B$175,ISNUMBER($B$75)),$B$75,$B$61)),"")</x:f>
        <x:v>0.0625</x:v>
      </x:c>
      <x:c r="D1279" s="440" t="n">
        <x:f>IF(AND(ISNUMBER(B1279),B1279=0),0,IF(AND($B$171=1,I1278=0,ISNUMBER(C1279),ISNUMBER(IF(AND(879&lt;=$B$174,879&lt;=$B$173),B1279*C1279/12,IF(AND(879=$B$173+1,AND(879&gt;$B$173,$B$78="Refinance",ISNUMBER($B$80),$B$80&gt;=0,$B$80&lt;=1,ROUND($B$81*12,0)&gt;=1,$B$81&lt;=100,SUM($B$82)&gt;=0,SUM($B$82)&lt;=1,SUM($B$83)&gt;=0)),IF(B1279=0,0,IF(C1279=0,B1279/ROUND($B$81*12,0),B1279*(C1279/12)/(1-(1+C1279/12)^(-ROUND($B$81*12,0))))),IF(AND(NOT(AND(879&gt;$B$173,$B$78="Refinance",ISNUMBER($B$80),$B$80&gt;=0,$B$80&lt;=1,ROUND($B$81*12,0)&gt;=1,$B$81&lt;=100,SUM($B$82)&gt;=0,SUM($B$82)&lt;=1,SUM($B$83)&gt;=0)),OR(879=1,879=$B$174+1,AND($B$175&gt;0,879=$B$175+1))),IF(AND($B$170=1,$B$66&gt;0,OR($B$175=0,879&lt;=$B$175)),$B$66,IF($B$172-MAX(879-1,$B$174)&gt;0,IF(B1279=0,0,IF(C1279=0,B1279/($B$172-MAX(879-1,$B$174)),B1279*(C1279/12)/(1-(1+C1279/12)^(-($B$172-MAX(879-1,$B$174)))))),"")),D1278))))),IF(IF(AND(879&lt;=$B$174,879&lt;=$B$173),B1279*C1279/12,IF(AND(879=$B$173+1,AND(879&gt;$B$173,$B$78="Refinance",ISNUMBER($B$80),$B$80&gt;=0,$B$80&lt;=1,ROUND($B$81*12,0)&gt;=1,$B$81&lt;=100,SUM($B$82)&gt;=0,SUM($B$82)&lt;=1,SUM($B$83)&gt;=0)),IF(B1279=0,0,IF(C1279=0,B1279/ROUND($B$81*12,0),B1279*(C1279/12)/(1-(1+C1279/12)^(-ROUND($B$81*12,0))))),IF(AND(NOT(AND(879&gt;$B$173,$B$78="Refinance",ISNUMBER($B$80),$B$80&gt;=0,$B$80&lt;=1,ROUND($B$81*12,0)&gt;=1,$B$81&lt;=100,SUM($B$82)&gt;=0,SUM($B$82)&lt;=1,SUM($B$83)&gt;=0)),OR(879=1,879=$B$174+1,AND($B$175&gt;0,879=$B$175+1))),IF(AND($B$170=1,$B$66&gt;0,OR($B$175=0,879&lt;=$B$175)),$B$66,IF($B$172-MAX(879-1,$B$174)&gt;0,IF(B1279=0,0,IF(C1279=0,B1279/($B$172-MAX(879-1,$B$174)),B1279*(C1279/12)/(1-(1+C1279/12)^(-($B$172-MAX(879-1,$B$174)))))),"")),D1278)))+0.0000001&gt;=B1279*C1279/12,MIN(B1279*(1+C1279/12),IF(AND(879&lt;=$B$174,879&lt;=$B$173),B1279*C1279/12,IF(AND(879=$B$173+1,AND(879&gt;$B$173,$B$78="Refinance",ISNUMBER($B$80),$B$80&gt;=0,$B$80&lt;=1,ROUND($B$81*12,0)&gt;=1,$B$81&lt;=100,SUM($B$82)&gt;=0,SUM($B$82)&lt;=1,SUM($B$83)&gt;=0)),IF(B1279=0,0,IF(C1279=0,B1279/ROUND($B$81*12,0),B1279*(C1279/12)/(1-(1+C1279/12)^(-ROUND($B$81*12,0))))),IF(AND(NOT(AND(879&gt;$B$173,$B$78="Refinance",ISNUMBER($B$80),$B$80&gt;=0,$B$80&lt;=1,ROUND($B$81*12,0)&gt;=1,$B$81&lt;=100,SUM($B$82)&gt;=0,SUM($B$82)&lt;=1,SUM($B$83)&gt;=0)),OR(879=1,879=$B$174+1,AND($B$175&gt;0,879=$B$175+1))),IF(AND($B$170=1,$B$66&gt;0,OR($B$175=0,879&lt;=$B$175)),$B$66,IF($B$172-MAX(879-1,$B$174)&gt;0,IF(B1279=0,0,IF(C1279=0,B1279/($B$172-MAX(879-1,$B$174)),B1279*(C1279/12)/(1-(1+C1279/12)^(-($B$172-MAX(879-1,$B$174)))))),"")),D1278)))),""),""))</x:f>
        <x:v>0</x:v>
      </x:c>
      <x:c r="E1279" s="440" t="n">
        <x:f>IF(AND(879=$B$173,ISNUMBER(D1279)),IF(MAX(0,B1279*(1+C1279/12)-D1279)&lt;MAX(0.0000001,$E$17*0.00000000001),0,MAX(0,B1279*(1+C1279/12)-D1279)),0)</x:f>
        <x:v>0</x:v>
      </x:c>
      <x:c r="F1279" s="440" t="n">
        <x:f>IF($B$78="Cash payoff",E1279,0)</x:f>
        <x:v>0</x:v>
      </x:c>
      <x:c r="G1279" s="440" t="n">
        <x:f>IF(AND(E1279&gt;0,AND($B$78="Refinance",ISNUMBER($B$80),$B$80&gt;=0,$B$80&lt;=1,ROUND($B$81*12,0)&gt;=1,$B$81&lt;=100,SUM($B$82)&gt;=0,SUM($B$82)&lt;=1,SUM($B$83)&gt;=0)),E1279*SUM($B$82)+SUM($B$83),0)</x:f>
        <x:v>0</x:v>
      </x:c>
      <x:c r="H1279" s="440" t="n">
        <x:f>IF(ISNUMBER(D1279),IF(MAX(0,B1279*(1+C1279/12)-D1279-F1279)&lt;MAX(0.0000001,$E$17*0.00000000001),0,MAX(0,B1279*(1+C1279/12)-D1279-F1279)),IF(AND($B$171=1,I1278=1),B1279,""))</x:f>
        <x:v>0</x:v>
      </x:c>
      <x:c r="I1279" s="444" t="n">
        <x:f>IF(OR(I1278=1,AND(E1279&gt;0,$B$78&lt;&gt;"Cash payoff",NOT(AND($B$78="Refinance",ISNUMBER($B$80),$B$80&gt;=0,$B$80&lt;=1,ROUND($B$81*12,0)&gt;=1,$B$81&lt;=100,SUM($B$82)&gt;=0,SUM($B$82)&lt;=1,SUM($B$83)&gt;=0))),AND(ISNUMBER(B1279),B1279&gt;0,$B$171=1,NOT(ISNUMBER(D1279)))),1,0)</x:f>
        <x:v>0</x:v>
      </x:c>
      <x:c r="J1279" s="440" t="n">
        <x:f>IF(ISNUMBER(L1278),L1278,"")</x:f>
        <x:v>0</x:v>
      </x:c>
      <x:c r="K1279" s="440" t="n">
        <x:f>IF(AND(ISNUMBER(J1279),J1279=0),0,IF(AND($B$176=1,ISNUMBER(J1279)),MIN(J1279*(1+$B$87/12),IF($B$86=0,0,IF($B$87=0,$B$86/ROUND($B$88*12,0),$B$86*($B$87/12)/(1-(1+$B$87/12)^(-ROUND($B$88*12,0)))))),""))</x:f>
        <x:v>0</x:v>
      </x:c>
      <x:c r="L1279" s="440" t="n">
        <x:f>IF(ISNUMBER(K1279),IF(MAX(0,J1279*(1+SUM($B$87)/12)-K1279)&lt;MAX(0.0000001,$B$86*0.00000000001),0,MAX(0,J1279*(1+SUM($B$87)/12)-K1279)),"")</x:f>
        <x:v>0</x:v>
      </x:c>
      <x:c r="M1279" s="440" t="n">
        <x:f>IF(AND(ISNUMBER(D1279),ISNUMBER(K1279)),D1279+K1279,"")</x:f>
        <x:v>0</x:v>
      </x:c>
      <x:c r="N1279" s="440" t="n">
        <x:f>IF(AND(ISNUMBER(H1279),ISNUMBER(L1279)),H1279+L1279,"")</x:f>
        <x:v>0</x:v>
      </x:c>
    </x:row>
    <x:row r="1280" ht="22" customHeight="1">
      <x:c r="A1280" s="254" t="n">
        <x:f>880</x:f>
        <x:v>880</x:v>
      </x:c>
      <x:c r="B1280" s="440" t="n">
        <x:f>IF(ISNUMBER(H1279),H1279,"")</x:f>
        <x:v>0</x:v>
      </x:c>
      <x:c r="C1280" s="442" t="n">
        <x:f>IF(ISNUMBER(B1280),IF(AND(880&gt;$B$173,$B$78="Refinance",ISNUMBER($B$80),$B$80&gt;=0,$B$80&lt;=1,ROUND($B$81*12,0)&gt;=1,$B$81&lt;=100,SUM($B$82)&gt;=0,SUM($B$82)&lt;=1,SUM($B$83)&gt;=0),$B$80,IF(AND($B$175&gt;0,880&gt;$B$175,ISNUMBER($B$75)),$B$75,$B$61)),"")</x:f>
        <x:v>0.0625</x:v>
      </x:c>
      <x:c r="D1280" s="440" t="n">
        <x:f>IF(AND(ISNUMBER(B1280),B1280=0),0,IF(AND($B$171=1,I1279=0,ISNUMBER(C1280),ISNUMBER(IF(AND(880&lt;=$B$174,880&lt;=$B$173),B1280*C1280/12,IF(AND(880=$B$173+1,AND(880&gt;$B$173,$B$78="Refinance",ISNUMBER($B$80),$B$80&gt;=0,$B$80&lt;=1,ROUND($B$81*12,0)&gt;=1,$B$81&lt;=100,SUM($B$82)&gt;=0,SUM($B$82)&lt;=1,SUM($B$83)&gt;=0)),IF(B1280=0,0,IF(C1280=0,B1280/ROUND($B$81*12,0),B1280*(C1280/12)/(1-(1+C1280/12)^(-ROUND($B$81*12,0))))),IF(AND(NOT(AND(880&gt;$B$173,$B$78="Refinance",ISNUMBER($B$80),$B$80&gt;=0,$B$80&lt;=1,ROUND($B$81*12,0)&gt;=1,$B$81&lt;=100,SUM($B$82)&gt;=0,SUM($B$82)&lt;=1,SUM($B$83)&gt;=0)),OR(880=1,880=$B$174+1,AND($B$175&gt;0,880=$B$175+1))),IF(AND($B$170=1,$B$66&gt;0,OR($B$175=0,880&lt;=$B$175)),$B$66,IF($B$172-MAX(880-1,$B$174)&gt;0,IF(B1280=0,0,IF(C1280=0,B1280/($B$172-MAX(880-1,$B$174)),B1280*(C1280/12)/(1-(1+C1280/12)^(-($B$172-MAX(880-1,$B$174)))))),"")),D1279))))),IF(IF(AND(880&lt;=$B$174,880&lt;=$B$173),B1280*C1280/12,IF(AND(880=$B$173+1,AND(880&gt;$B$173,$B$78="Refinance",ISNUMBER($B$80),$B$80&gt;=0,$B$80&lt;=1,ROUND($B$81*12,0)&gt;=1,$B$81&lt;=100,SUM($B$82)&gt;=0,SUM($B$82)&lt;=1,SUM($B$83)&gt;=0)),IF(B1280=0,0,IF(C1280=0,B1280/ROUND($B$81*12,0),B1280*(C1280/12)/(1-(1+C1280/12)^(-ROUND($B$81*12,0))))),IF(AND(NOT(AND(880&gt;$B$173,$B$78="Refinance",ISNUMBER($B$80),$B$80&gt;=0,$B$80&lt;=1,ROUND($B$81*12,0)&gt;=1,$B$81&lt;=100,SUM($B$82)&gt;=0,SUM($B$82)&lt;=1,SUM($B$83)&gt;=0)),OR(880=1,880=$B$174+1,AND($B$175&gt;0,880=$B$175+1))),IF(AND($B$170=1,$B$66&gt;0,OR($B$175=0,880&lt;=$B$175)),$B$66,IF($B$172-MAX(880-1,$B$174)&gt;0,IF(B1280=0,0,IF(C1280=0,B1280/($B$172-MAX(880-1,$B$174)),B1280*(C1280/12)/(1-(1+C1280/12)^(-($B$172-MAX(880-1,$B$174)))))),"")),D1279)))+0.0000001&gt;=B1280*C1280/12,MIN(B1280*(1+C1280/12),IF(AND(880&lt;=$B$174,880&lt;=$B$173),B1280*C1280/12,IF(AND(880=$B$173+1,AND(880&gt;$B$173,$B$78="Refinance",ISNUMBER($B$80),$B$80&gt;=0,$B$80&lt;=1,ROUND($B$81*12,0)&gt;=1,$B$81&lt;=100,SUM($B$82)&gt;=0,SUM($B$82)&lt;=1,SUM($B$83)&gt;=0)),IF(B1280=0,0,IF(C1280=0,B1280/ROUND($B$81*12,0),B1280*(C1280/12)/(1-(1+C1280/12)^(-ROUND($B$81*12,0))))),IF(AND(NOT(AND(880&gt;$B$173,$B$78="Refinance",ISNUMBER($B$80),$B$80&gt;=0,$B$80&lt;=1,ROUND($B$81*12,0)&gt;=1,$B$81&lt;=100,SUM($B$82)&gt;=0,SUM($B$82)&lt;=1,SUM($B$83)&gt;=0)),OR(880=1,880=$B$174+1,AND($B$175&gt;0,880=$B$175+1))),IF(AND($B$170=1,$B$66&gt;0,OR($B$175=0,880&lt;=$B$175)),$B$66,IF($B$172-MAX(880-1,$B$174)&gt;0,IF(B1280=0,0,IF(C1280=0,B1280/($B$172-MAX(880-1,$B$174)),B1280*(C1280/12)/(1-(1+C1280/12)^(-($B$172-MAX(880-1,$B$174)))))),"")),D1279)))),""),""))</x:f>
        <x:v>0</x:v>
      </x:c>
      <x:c r="E1280" s="440" t="n">
        <x:f>IF(AND(880=$B$173,ISNUMBER(D1280)),IF(MAX(0,B1280*(1+C1280/12)-D1280)&lt;MAX(0.0000001,$E$17*0.00000000001),0,MAX(0,B1280*(1+C1280/12)-D1280)),0)</x:f>
        <x:v>0</x:v>
      </x:c>
      <x:c r="F1280" s="440" t="n">
        <x:f>IF($B$78="Cash payoff",E1280,0)</x:f>
        <x:v>0</x:v>
      </x:c>
      <x:c r="G1280" s="440" t="n">
        <x:f>IF(AND(E1280&gt;0,AND($B$78="Refinance",ISNUMBER($B$80),$B$80&gt;=0,$B$80&lt;=1,ROUND($B$81*12,0)&gt;=1,$B$81&lt;=100,SUM($B$82)&gt;=0,SUM($B$82)&lt;=1,SUM($B$83)&gt;=0)),E1280*SUM($B$82)+SUM($B$83),0)</x:f>
        <x:v>0</x:v>
      </x:c>
      <x:c r="H1280" s="440" t="n">
        <x:f>IF(ISNUMBER(D1280),IF(MAX(0,B1280*(1+C1280/12)-D1280-F1280)&lt;MAX(0.0000001,$E$17*0.00000000001),0,MAX(0,B1280*(1+C1280/12)-D1280-F1280)),IF(AND($B$171=1,I1279=1),B1280,""))</x:f>
        <x:v>0</x:v>
      </x:c>
      <x:c r="I1280" s="444" t="n">
        <x:f>IF(OR(I1279=1,AND(E1280&gt;0,$B$78&lt;&gt;"Cash payoff",NOT(AND($B$78="Refinance",ISNUMBER($B$80),$B$80&gt;=0,$B$80&lt;=1,ROUND($B$81*12,0)&gt;=1,$B$81&lt;=100,SUM($B$82)&gt;=0,SUM($B$82)&lt;=1,SUM($B$83)&gt;=0))),AND(ISNUMBER(B1280),B1280&gt;0,$B$171=1,NOT(ISNUMBER(D1280)))),1,0)</x:f>
        <x:v>0</x:v>
      </x:c>
      <x:c r="J1280" s="440" t="n">
        <x:f>IF(ISNUMBER(L1279),L1279,"")</x:f>
        <x:v>0</x:v>
      </x:c>
      <x:c r="K1280" s="440" t="n">
        <x:f>IF(AND(ISNUMBER(J1280),J1280=0),0,IF(AND($B$176=1,ISNUMBER(J1280)),MIN(J1280*(1+$B$87/12),IF($B$86=0,0,IF($B$87=0,$B$86/ROUND($B$88*12,0),$B$86*($B$87/12)/(1-(1+$B$87/12)^(-ROUND($B$88*12,0)))))),""))</x:f>
        <x:v>0</x:v>
      </x:c>
      <x:c r="L1280" s="440" t="n">
        <x:f>IF(ISNUMBER(K1280),IF(MAX(0,J1280*(1+SUM($B$87)/12)-K1280)&lt;MAX(0.0000001,$B$86*0.00000000001),0,MAX(0,J1280*(1+SUM($B$87)/12)-K1280)),"")</x:f>
        <x:v>0</x:v>
      </x:c>
      <x:c r="M1280" s="440" t="n">
        <x:f>IF(AND(ISNUMBER(D1280),ISNUMBER(K1280)),D1280+K1280,"")</x:f>
        <x:v>0</x:v>
      </x:c>
      <x:c r="N1280" s="440" t="n">
        <x:f>IF(AND(ISNUMBER(H1280),ISNUMBER(L1280)),H1280+L1280,"")</x:f>
        <x:v>0</x:v>
      </x:c>
    </x:row>
    <x:row r="1281" ht="22" customHeight="1">
      <x:c r="A1281" s="254" t="n">
        <x:f>881</x:f>
        <x:v>881</x:v>
      </x:c>
      <x:c r="B1281" s="440" t="n">
        <x:f>IF(ISNUMBER(H1280),H1280,"")</x:f>
        <x:v>0</x:v>
      </x:c>
      <x:c r="C1281" s="442" t="n">
        <x:f>IF(ISNUMBER(B1281),IF(AND(881&gt;$B$173,$B$78="Refinance",ISNUMBER($B$80),$B$80&gt;=0,$B$80&lt;=1,ROUND($B$81*12,0)&gt;=1,$B$81&lt;=100,SUM($B$82)&gt;=0,SUM($B$82)&lt;=1,SUM($B$83)&gt;=0),$B$80,IF(AND($B$175&gt;0,881&gt;$B$175,ISNUMBER($B$75)),$B$75,$B$61)),"")</x:f>
        <x:v>0.0625</x:v>
      </x:c>
      <x:c r="D1281" s="440" t="n">
        <x:f>IF(AND(ISNUMBER(B1281),B1281=0),0,IF(AND($B$171=1,I1280=0,ISNUMBER(C1281),ISNUMBER(IF(AND(881&lt;=$B$174,881&lt;=$B$173),B1281*C1281/12,IF(AND(881=$B$173+1,AND(881&gt;$B$173,$B$78="Refinance",ISNUMBER($B$80),$B$80&gt;=0,$B$80&lt;=1,ROUND($B$81*12,0)&gt;=1,$B$81&lt;=100,SUM($B$82)&gt;=0,SUM($B$82)&lt;=1,SUM($B$83)&gt;=0)),IF(B1281=0,0,IF(C1281=0,B1281/ROUND($B$81*12,0),B1281*(C1281/12)/(1-(1+C1281/12)^(-ROUND($B$81*12,0))))),IF(AND(NOT(AND(881&gt;$B$173,$B$78="Refinance",ISNUMBER($B$80),$B$80&gt;=0,$B$80&lt;=1,ROUND($B$81*12,0)&gt;=1,$B$81&lt;=100,SUM($B$82)&gt;=0,SUM($B$82)&lt;=1,SUM($B$83)&gt;=0)),OR(881=1,881=$B$174+1,AND($B$175&gt;0,881=$B$175+1))),IF(AND($B$170=1,$B$66&gt;0,OR($B$175=0,881&lt;=$B$175)),$B$66,IF($B$172-MAX(881-1,$B$174)&gt;0,IF(B1281=0,0,IF(C1281=0,B1281/($B$172-MAX(881-1,$B$174)),B1281*(C1281/12)/(1-(1+C1281/12)^(-($B$172-MAX(881-1,$B$174)))))),"")),D1280))))),IF(IF(AND(881&lt;=$B$174,881&lt;=$B$173),B1281*C1281/12,IF(AND(881=$B$173+1,AND(881&gt;$B$173,$B$78="Refinance",ISNUMBER($B$80),$B$80&gt;=0,$B$80&lt;=1,ROUND($B$81*12,0)&gt;=1,$B$81&lt;=100,SUM($B$82)&gt;=0,SUM($B$82)&lt;=1,SUM($B$83)&gt;=0)),IF(B1281=0,0,IF(C1281=0,B1281/ROUND($B$81*12,0),B1281*(C1281/12)/(1-(1+C1281/12)^(-ROUND($B$81*12,0))))),IF(AND(NOT(AND(881&gt;$B$173,$B$78="Refinance",ISNUMBER($B$80),$B$80&gt;=0,$B$80&lt;=1,ROUND($B$81*12,0)&gt;=1,$B$81&lt;=100,SUM($B$82)&gt;=0,SUM($B$82)&lt;=1,SUM($B$83)&gt;=0)),OR(881=1,881=$B$174+1,AND($B$175&gt;0,881=$B$175+1))),IF(AND($B$170=1,$B$66&gt;0,OR($B$175=0,881&lt;=$B$175)),$B$66,IF($B$172-MAX(881-1,$B$174)&gt;0,IF(B1281=0,0,IF(C1281=0,B1281/($B$172-MAX(881-1,$B$174)),B1281*(C1281/12)/(1-(1+C1281/12)^(-($B$172-MAX(881-1,$B$174)))))),"")),D1280)))+0.0000001&gt;=B1281*C1281/12,MIN(B1281*(1+C1281/12),IF(AND(881&lt;=$B$174,881&lt;=$B$173),B1281*C1281/12,IF(AND(881=$B$173+1,AND(881&gt;$B$173,$B$78="Refinance",ISNUMBER($B$80),$B$80&gt;=0,$B$80&lt;=1,ROUND($B$81*12,0)&gt;=1,$B$81&lt;=100,SUM($B$82)&gt;=0,SUM($B$82)&lt;=1,SUM($B$83)&gt;=0)),IF(B1281=0,0,IF(C1281=0,B1281/ROUND($B$81*12,0),B1281*(C1281/12)/(1-(1+C1281/12)^(-ROUND($B$81*12,0))))),IF(AND(NOT(AND(881&gt;$B$173,$B$78="Refinance",ISNUMBER($B$80),$B$80&gt;=0,$B$80&lt;=1,ROUND($B$81*12,0)&gt;=1,$B$81&lt;=100,SUM($B$82)&gt;=0,SUM($B$82)&lt;=1,SUM($B$83)&gt;=0)),OR(881=1,881=$B$174+1,AND($B$175&gt;0,881=$B$175+1))),IF(AND($B$170=1,$B$66&gt;0,OR($B$175=0,881&lt;=$B$175)),$B$66,IF($B$172-MAX(881-1,$B$174)&gt;0,IF(B1281=0,0,IF(C1281=0,B1281/($B$172-MAX(881-1,$B$174)),B1281*(C1281/12)/(1-(1+C1281/12)^(-($B$172-MAX(881-1,$B$174)))))),"")),D1280)))),""),""))</x:f>
        <x:v>0</x:v>
      </x:c>
      <x:c r="E1281" s="440" t="n">
        <x:f>IF(AND(881=$B$173,ISNUMBER(D1281)),IF(MAX(0,B1281*(1+C1281/12)-D1281)&lt;MAX(0.0000001,$E$17*0.00000000001),0,MAX(0,B1281*(1+C1281/12)-D1281)),0)</x:f>
        <x:v>0</x:v>
      </x:c>
      <x:c r="F1281" s="440" t="n">
        <x:f>IF($B$78="Cash payoff",E1281,0)</x:f>
        <x:v>0</x:v>
      </x:c>
      <x:c r="G1281" s="440" t="n">
        <x:f>IF(AND(E1281&gt;0,AND($B$78="Refinance",ISNUMBER($B$80),$B$80&gt;=0,$B$80&lt;=1,ROUND($B$81*12,0)&gt;=1,$B$81&lt;=100,SUM($B$82)&gt;=0,SUM($B$82)&lt;=1,SUM($B$83)&gt;=0)),E1281*SUM($B$82)+SUM($B$83),0)</x:f>
        <x:v>0</x:v>
      </x:c>
      <x:c r="H1281" s="440" t="n">
        <x:f>IF(ISNUMBER(D1281),IF(MAX(0,B1281*(1+C1281/12)-D1281-F1281)&lt;MAX(0.0000001,$E$17*0.00000000001),0,MAX(0,B1281*(1+C1281/12)-D1281-F1281)),IF(AND($B$171=1,I1280=1),B1281,""))</x:f>
        <x:v>0</x:v>
      </x:c>
      <x:c r="I1281" s="444" t="n">
        <x:f>IF(OR(I1280=1,AND(E1281&gt;0,$B$78&lt;&gt;"Cash payoff",NOT(AND($B$78="Refinance",ISNUMBER($B$80),$B$80&gt;=0,$B$80&lt;=1,ROUND($B$81*12,0)&gt;=1,$B$81&lt;=100,SUM($B$82)&gt;=0,SUM($B$82)&lt;=1,SUM($B$83)&gt;=0))),AND(ISNUMBER(B1281),B1281&gt;0,$B$171=1,NOT(ISNUMBER(D1281)))),1,0)</x:f>
        <x:v>0</x:v>
      </x:c>
      <x:c r="J1281" s="440" t="n">
        <x:f>IF(ISNUMBER(L1280),L1280,"")</x:f>
        <x:v>0</x:v>
      </x:c>
      <x:c r="K1281" s="440" t="n">
        <x:f>IF(AND(ISNUMBER(J1281),J1281=0),0,IF(AND($B$176=1,ISNUMBER(J1281)),MIN(J1281*(1+$B$87/12),IF($B$86=0,0,IF($B$87=0,$B$86/ROUND($B$88*12,0),$B$86*($B$87/12)/(1-(1+$B$87/12)^(-ROUND($B$88*12,0)))))),""))</x:f>
        <x:v>0</x:v>
      </x:c>
      <x:c r="L1281" s="440" t="n">
        <x:f>IF(ISNUMBER(K1281),IF(MAX(0,J1281*(1+SUM($B$87)/12)-K1281)&lt;MAX(0.0000001,$B$86*0.00000000001),0,MAX(0,J1281*(1+SUM($B$87)/12)-K1281)),"")</x:f>
        <x:v>0</x:v>
      </x:c>
      <x:c r="M1281" s="440" t="n">
        <x:f>IF(AND(ISNUMBER(D1281),ISNUMBER(K1281)),D1281+K1281,"")</x:f>
        <x:v>0</x:v>
      </x:c>
      <x:c r="N1281" s="440" t="n">
        <x:f>IF(AND(ISNUMBER(H1281),ISNUMBER(L1281)),H1281+L1281,"")</x:f>
        <x:v>0</x:v>
      </x:c>
    </x:row>
    <x:row r="1282" ht="22" customHeight="1">
      <x:c r="A1282" s="254" t="n">
        <x:f>882</x:f>
        <x:v>882</x:v>
      </x:c>
      <x:c r="B1282" s="440" t="n">
        <x:f>IF(ISNUMBER(H1281),H1281,"")</x:f>
        <x:v>0</x:v>
      </x:c>
      <x:c r="C1282" s="442" t="n">
        <x:f>IF(ISNUMBER(B1282),IF(AND(882&gt;$B$173,$B$78="Refinance",ISNUMBER($B$80),$B$80&gt;=0,$B$80&lt;=1,ROUND($B$81*12,0)&gt;=1,$B$81&lt;=100,SUM($B$82)&gt;=0,SUM($B$82)&lt;=1,SUM($B$83)&gt;=0),$B$80,IF(AND($B$175&gt;0,882&gt;$B$175,ISNUMBER($B$75)),$B$75,$B$61)),"")</x:f>
        <x:v>0.0625</x:v>
      </x:c>
      <x:c r="D1282" s="440" t="n">
        <x:f>IF(AND(ISNUMBER(B1282),B1282=0),0,IF(AND($B$171=1,I1281=0,ISNUMBER(C1282),ISNUMBER(IF(AND(882&lt;=$B$174,882&lt;=$B$173),B1282*C1282/12,IF(AND(882=$B$173+1,AND(882&gt;$B$173,$B$78="Refinance",ISNUMBER($B$80),$B$80&gt;=0,$B$80&lt;=1,ROUND($B$81*12,0)&gt;=1,$B$81&lt;=100,SUM($B$82)&gt;=0,SUM($B$82)&lt;=1,SUM($B$83)&gt;=0)),IF(B1282=0,0,IF(C1282=0,B1282/ROUND($B$81*12,0),B1282*(C1282/12)/(1-(1+C1282/12)^(-ROUND($B$81*12,0))))),IF(AND(NOT(AND(882&gt;$B$173,$B$78="Refinance",ISNUMBER($B$80),$B$80&gt;=0,$B$80&lt;=1,ROUND($B$81*12,0)&gt;=1,$B$81&lt;=100,SUM($B$82)&gt;=0,SUM($B$82)&lt;=1,SUM($B$83)&gt;=0)),OR(882=1,882=$B$174+1,AND($B$175&gt;0,882=$B$175+1))),IF(AND($B$170=1,$B$66&gt;0,OR($B$175=0,882&lt;=$B$175)),$B$66,IF($B$172-MAX(882-1,$B$174)&gt;0,IF(B1282=0,0,IF(C1282=0,B1282/($B$172-MAX(882-1,$B$174)),B1282*(C1282/12)/(1-(1+C1282/12)^(-($B$172-MAX(882-1,$B$174)))))),"")),D1281))))),IF(IF(AND(882&lt;=$B$174,882&lt;=$B$173),B1282*C1282/12,IF(AND(882=$B$173+1,AND(882&gt;$B$173,$B$78="Refinance",ISNUMBER($B$80),$B$80&gt;=0,$B$80&lt;=1,ROUND($B$81*12,0)&gt;=1,$B$81&lt;=100,SUM($B$82)&gt;=0,SUM($B$82)&lt;=1,SUM($B$83)&gt;=0)),IF(B1282=0,0,IF(C1282=0,B1282/ROUND($B$81*12,0),B1282*(C1282/12)/(1-(1+C1282/12)^(-ROUND($B$81*12,0))))),IF(AND(NOT(AND(882&gt;$B$173,$B$78="Refinance",ISNUMBER($B$80),$B$80&gt;=0,$B$80&lt;=1,ROUND($B$81*12,0)&gt;=1,$B$81&lt;=100,SUM($B$82)&gt;=0,SUM($B$82)&lt;=1,SUM($B$83)&gt;=0)),OR(882=1,882=$B$174+1,AND($B$175&gt;0,882=$B$175+1))),IF(AND($B$170=1,$B$66&gt;0,OR($B$175=0,882&lt;=$B$175)),$B$66,IF($B$172-MAX(882-1,$B$174)&gt;0,IF(B1282=0,0,IF(C1282=0,B1282/($B$172-MAX(882-1,$B$174)),B1282*(C1282/12)/(1-(1+C1282/12)^(-($B$172-MAX(882-1,$B$174)))))),"")),D1281)))+0.0000001&gt;=B1282*C1282/12,MIN(B1282*(1+C1282/12),IF(AND(882&lt;=$B$174,882&lt;=$B$173),B1282*C1282/12,IF(AND(882=$B$173+1,AND(882&gt;$B$173,$B$78="Refinance",ISNUMBER($B$80),$B$80&gt;=0,$B$80&lt;=1,ROUND($B$81*12,0)&gt;=1,$B$81&lt;=100,SUM($B$82)&gt;=0,SUM($B$82)&lt;=1,SUM($B$83)&gt;=0)),IF(B1282=0,0,IF(C1282=0,B1282/ROUND($B$81*12,0),B1282*(C1282/12)/(1-(1+C1282/12)^(-ROUND($B$81*12,0))))),IF(AND(NOT(AND(882&gt;$B$173,$B$78="Refinance",ISNUMBER($B$80),$B$80&gt;=0,$B$80&lt;=1,ROUND($B$81*12,0)&gt;=1,$B$81&lt;=100,SUM($B$82)&gt;=0,SUM($B$82)&lt;=1,SUM($B$83)&gt;=0)),OR(882=1,882=$B$174+1,AND($B$175&gt;0,882=$B$175+1))),IF(AND($B$170=1,$B$66&gt;0,OR($B$175=0,882&lt;=$B$175)),$B$66,IF($B$172-MAX(882-1,$B$174)&gt;0,IF(B1282=0,0,IF(C1282=0,B1282/($B$172-MAX(882-1,$B$174)),B1282*(C1282/12)/(1-(1+C1282/12)^(-($B$172-MAX(882-1,$B$174)))))),"")),D1281)))),""),""))</x:f>
        <x:v>0</x:v>
      </x:c>
      <x:c r="E1282" s="440" t="n">
        <x:f>IF(AND(882=$B$173,ISNUMBER(D1282)),IF(MAX(0,B1282*(1+C1282/12)-D1282)&lt;MAX(0.0000001,$E$17*0.00000000001),0,MAX(0,B1282*(1+C1282/12)-D1282)),0)</x:f>
        <x:v>0</x:v>
      </x:c>
      <x:c r="F1282" s="440" t="n">
        <x:f>IF($B$78="Cash payoff",E1282,0)</x:f>
        <x:v>0</x:v>
      </x:c>
      <x:c r="G1282" s="440" t="n">
        <x:f>IF(AND(E1282&gt;0,AND($B$78="Refinance",ISNUMBER($B$80),$B$80&gt;=0,$B$80&lt;=1,ROUND($B$81*12,0)&gt;=1,$B$81&lt;=100,SUM($B$82)&gt;=0,SUM($B$82)&lt;=1,SUM($B$83)&gt;=0)),E1282*SUM($B$82)+SUM($B$83),0)</x:f>
        <x:v>0</x:v>
      </x:c>
      <x:c r="H1282" s="440" t="n">
        <x:f>IF(ISNUMBER(D1282),IF(MAX(0,B1282*(1+C1282/12)-D1282-F1282)&lt;MAX(0.0000001,$E$17*0.00000000001),0,MAX(0,B1282*(1+C1282/12)-D1282-F1282)),IF(AND($B$171=1,I1281=1),B1282,""))</x:f>
        <x:v>0</x:v>
      </x:c>
      <x:c r="I1282" s="444" t="n">
        <x:f>IF(OR(I1281=1,AND(E1282&gt;0,$B$78&lt;&gt;"Cash payoff",NOT(AND($B$78="Refinance",ISNUMBER($B$80),$B$80&gt;=0,$B$80&lt;=1,ROUND($B$81*12,0)&gt;=1,$B$81&lt;=100,SUM($B$82)&gt;=0,SUM($B$82)&lt;=1,SUM($B$83)&gt;=0))),AND(ISNUMBER(B1282),B1282&gt;0,$B$171=1,NOT(ISNUMBER(D1282)))),1,0)</x:f>
        <x:v>0</x:v>
      </x:c>
      <x:c r="J1282" s="440" t="n">
        <x:f>IF(ISNUMBER(L1281),L1281,"")</x:f>
        <x:v>0</x:v>
      </x:c>
      <x:c r="K1282" s="440" t="n">
        <x:f>IF(AND(ISNUMBER(J1282),J1282=0),0,IF(AND($B$176=1,ISNUMBER(J1282)),MIN(J1282*(1+$B$87/12),IF($B$86=0,0,IF($B$87=0,$B$86/ROUND($B$88*12,0),$B$86*($B$87/12)/(1-(1+$B$87/12)^(-ROUND($B$88*12,0)))))),""))</x:f>
        <x:v>0</x:v>
      </x:c>
      <x:c r="L1282" s="440" t="n">
        <x:f>IF(ISNUMBER(K1282),IF(MAX(0,J1282*(1+SUM($B$87)/12)-K1282)&lt;MAX(0.0000001,$B$86*0.00000000001),0,MAX(0,J1282*(1+SUM($B$87)/12)-K1282)),"")</x:f>
        <x:v>0</x:v>
      </x:c>
      <x:c r="M1282" s="440" t="n">
        <x:f>IF(AND(ISNUMBER(D1282),ISNUMBER(K1282)),D1282+K1282,"")</x:f>
        <x:v>0</x:v>
      </x:c>
      <x:c r="N1282" s="440" t="n">
        <x:f>IF(AND(ISNUMBER(H1282),ISNUMBER(L1282)),H1282+L1282,"")</x:f>
        <x:v>0</x:v>
      </x:c>
    </x:row>
    <x:row r="1283" ht="22" customHeight="1">
      <x:c r="A1283" s="254" t="n">
        <x:f>883</x:f>
        <x:v>883</x:v>
      </x:c>
      <x:c r="B1283" s="440" t="n">
        <x:f>IF(ISNUMBER(H1282),H1282,"")</x:f>
        <x:v>0</x:v>
      </x:c>
      <x:c r="C1283" s="442" t="n">
        <x:f>IF(ISNUMBER(B1283),IF(AND(883&gt;$B$173,$B$78="Refinance",ISNUMBER($B$80),$B$80&gt;=0,$B$80&lt;=1,ROUND($B$81*12,0)&gt;=1,$B$81&lt;=100,SUM($B$82)&gt;=0,SUM($B$82)&lt;=1,SUM($B$83)&gt;=0),$B$80,IF(AND($B$175&gt;0,883&gt;$B$175,ISNUMBER($B$75)),$B$75,$B$61)),"")</x:f>
        <x:v>0.0625</x:v>
      </x:c>
      <x:c r="D1283" s="440" t="n">
        <x:f>IF(AND(ISNUMBER(B1283),B1283=0),0,IF(AND($B$171=1,I1282=0,ISNUMBER(C1283),ISNUMBER(IF(AND(883&lt;=$B$174,883&lt;=$B$173),B1283*C1283/12,IF(AND(883=$B$173+1,AND(883&gt;$B$173,$B$78="Refinance",ISNUMBER($B$80),$B$80&gt;=0,$B$80&lt;=1,ROUND($B$81*12,0)&gt;=1,$B$81&lt;=100,SUM($B$82)&gt;=0,SUM($B$82)&lt;=1,SUM($B$83)&gt;=0)),IF(B1283=0,0,IF(C1283=0,B1283/ROUND($B$81*12,0),B1283*(C1283/12)/(1-(1+C1283/12)^(-ROUND($B$81*12,0))))),IF(AND(NOT(AND(883&gt;$B$173,$B$78="Refinance",ISNUMBER($B$80),$B$80&gt;=0,$B$80&lt;=1,ROUND($B$81*12,0)&gt;=1,$B$81&lt;=100,SUM($B$82)&gt;=0,SUM($B$82)&lt;=1,SUM($B$83)&gt;=0)),OR(883=1,883=$B$174+1,AND($B$175&gt;0,883=$B$175+1))),IF(AND($B$170=1,$B$66&gt;0,OR($B$175=0,883&lt;=$B$175)),$B$66,IF($B$172-MAX(883-1,$B$174)&gt;0,IF(B1283=0,0,IF(C1283=0,B1283/($B$172-MAX(883-1,$B$174)),B1283*(C1283/12)/(1-(1+C1283/12)^(-($B$172-MAX(883-1,$B$174)))))),"")),D1282))))),IF(IF(AND(883&lt;=$B$174,883&lt;=$B$173),B1283*C1283/12,IF(AND(883=$B$173+1,AND(883&gt;$B$173,$B$78="Refinance",ISNUMBER($B$80),$B$80&gt;=0,$B$80&lt;=1,ROUND($B$81*12,0)&gt;=1,$B$81&lt;=100,SUM($B$82)&gt;=0,SUM($B$82)&lt;=1,SUM($B$83)&gt;=0)),IF(B1283=0,0,IF(C1283=0,B1283/ROUND($B$81*12,0),B1283*(C1283/12)/(1-(1+C1283/12)^(-ROUND($B$81*12,0))))),IF(AND(NOT(AND(883&gt;$B$173,$B$78="Refinance",ISNUMBER($B$80),$B$80&gt;=0,$B$80&lt;=1,ROUND($B$81*12,0)&gt;=1,$B$81&lt;=100,SUM($B$82)&gt;=0,SUM($B$82)&lt;=1,SUM($B$83)&gt;=0)),OR(883=1,883=$B$174+1,AND($B$175&gt;0,883=$B$175+1))),IF(AND($B$170=1,$B$66&gt;0,OR($B$175=0,883&lt;=$B$175)),$B$66,IF($B$172-MAX(883-1,$B$174)&gt;0,IF(B1283=0,0,IF(C1283=0,B1283/($B$172-MAX(883-1,$B$174)),B1283*(C1283/12)/(1-(1+C1283/12)^(-($B$172-MAX(883-1,$B$174)))))),"")),D1282)))+0.0000001&gt;=B1283*C1283/12,MIN(B1283*(1+C1283/12),IF(AND(883&lt;=$B$174,883&lt;=$B$173),B1283*C1283/12,IF(AND(883=$B$173+1,AND(883&gt;$B$173,$B$78="Refinance",ISNUMBER($B$80),$B$80&gt;=0,$B$80&lt;=1,ROUND($B$81*12,0)&gt;=1,$B$81&lt;=100,SUM($B$82)&gt;=0,SUM($B$82)&lt;=1,SUM($B$83)&gt;=0)),IF(B1283=0,0,IF(C1283=0,B1283/ROUND($B$81*12,0),B1283*(C1283/12)/(1-(1+C1283/12)^(-ROUND($B$81*12,0))))),IF(AND(NOT(AND(883&gt;$B$173,$B$78="Refinance",ISNUMBER($B$80),$B$80&gt;=0,$B$80&lt;=1,ROUND($B$81*12,0)&gt;=1,$B$81&lt;=100,SUM($B$82)&gt;=0,SUM($B$82)&lt;=1,SUM($B$83)&gt;=0)),OR(883=1,883=$B$174+1,AND($B$175&gt;0,883=$B$175+1))),IF(AND($B$170=1,$B$66&gt;0,OR($B$175=0,883&lt;=$B$175)),$B$66,IF($B$172-MAX(883-1,$B$174)&gt;0,IF(B1283=0,0,IF(C1283=0,B1283/($B$172-MAX(883-1,$B$174)),B1283*(C1283/12)/(1-(1+C1283/12)^(-($B$172-MAX(883-1,$B$174)))))),"")),D1282)))),""),""))</x:f>
        <x:v>0</x:v>
      </x:c>
      <x:c r="E1283" s="440" t="n">
        <x:f>IF(AND(883=$B$173,ISNUMBER(D1283)),IF(MAX(0,B1283*(1+C1283/12)-D1283)&lt;MAX(0.0000001,$E$17*0.00000000001),0,MAX(0,B1283*(1+C1283/12)-D1283)),0)</x:f>
        <x:v>0</x:v>
      </x:c>
      <x:c r="F1283" s="440" t="n">
        <x:f>IF($B$78="Cash payoff",E1283,0)</x:f>
        <x:v>0</x:v>
      </x:c>
      <x:c r="G1283" s="440" t="n">
        <x:f>IF(AND(E1283&gt;0,AND($B$78="Refinance",ISNUMBER($B$80),$B$80&gt;=0,$B$80&lt;=1,ROUND($B$81*12,0)&gt;=1,$B$81&lt;=100,SUM($B$82)&gt;=0,SUM($B$82)&lt;=1,SUM($B$83)&gt;=0)),E1283*SUM($B$82)+SUM($B$83),0)</x:f>
        <x:v>0</x:v>
      </x:c>
      <x:c r="H1283" s="440" t="n">
        <x:f>IF(ISNUMBER(D1283),IF(MAX(0,B1283*(1+C1283/12)-D1283-F1283)&lt;MAX(0.0000001,$E$17*0.00000000001),0,MAX(0,B1283*(1+C1283/12)-D1283-F1283)),IF(AND($B$171=1,I1282=1),B1283,""))</x:f>
        <x:v>0</x:v>
      </x:c>
      <x:c r="I1283" s="444" t="n">
        <x:f>IF(OR(I1282=1,AND(E1283&gt;0,$B$78&lt;&gt;"Cash payoff",NOT(AND($B$78="Refinance",ISNUMBER($B$80),$B$80&gt;=0,$B$80&lt;=1,ROUND($B$81*12,0)&gt;=1,$B$81&lt;=100,SUM($B$82)&gt;=0,SUM($B$82)&lt;=1,SUM($B$83)&gt;=0))),AND(ISNUMBER(B1283),B1283&gt;0,$B$171=1,NOT(ISNUMBER(D1283)))),1,0)</x:f>
        <x:v>0</x:v>
      </x:c>
      <x:c r="J1283" s="440" t="n">
        <x:f>IF(ISNUMBER(L1282),L1282,"")</x:f>
        <x:v>0</x:v>
      </x:c>
      <x:c r="K1283" s="440" t="n">
        <x:f>IF(AND(ISNUMBER(J1283),J1283=0),0,IF(AND($B$176=1,ISNUMBER(J1283)),MIN(J1283*(1+$B$87/12),IF($B$86=0,0,IF($B$87=0,$B$86/ROUND($B$88*12,0),$B$86*($B$87/12)/(1-(1+$B$87/12)^(-ROUND($B$88*12,0)))))),""))</x:f>
        <x:v>0</x:v>
      </x:c>
      <x:c r="L1283" s="440" t="n">
        <x:f>IF(ISNUMBER(K1283),IF(MAX(0,J1283*(1+SUM($B$87)/12)-K1283)&lt;MAX(0.0000001,$B$86*0.00000000001),0,MAX(0,J1283*(1+SUM($B$87)/12)-K1283)),"")</x:f>
        <x:v>0</x:v>
      </x:c>
      <x:c r="M1283" s="440" t="n">
        <x:f>IF(AND(ISNUMBER(D1283),ISNUMBER(K1283)),D1283+K1283,"")</x:f>
        <x:v>0</x:v>
      </x:c>
      <x:c r="N1283" s="440" t="n">
        <x:f>IF(AND(ISNUMBER(H1283),ISNUMBER(L1283)),H1283+L1283,"")</x:f>
        <x:v>0</x:v>
      </x:c>
    </x:row>
    <x:row r="1284" ht="22" customHeight="1">
      <x:c r="A1284" s="254" t="n">
        <x:f>884</x:f>
        <x:v>884</x:v>
      </x:c>
      <x:c r="B1284" s="440" t="n">
        <x:f>IF(ISNUMBER(H1283),H1283,"")</x:f>
        <x:v>0</x:v>
      </x:c>
      <x:c r="C1284" s="442" t="n">
        <x:f>IF(ISNUMBER(B1284),IF(AND(884&gt;$B$173,$B$78="Refinance",ISNUMBER($B$80),$B$80&gt;=0,$B$80&lt;=1,ROUND($B$81*12,0)&gt;=1,$B$81&lt;=100,SUM($B$82)&gt;=0,SUM($B$82)&lt;=1,SUM($B$83)&gt;=0),$B$80,IF(AND($B$175&gt;0,884&gt;$B$175,ISNUMBER($B$75)),$B$75,$B$61)),"")</x:f>
        <x:v>0.0625</x:v>
      </x:c>
      <x:c r="D1284" s="440" t="n">
        <x:f>IF(AND(ISNUMBER(B1284),B1284=0),0,IF(AND($B$171=1,I1283=0,ISNUMBER(C1284),ISNUMBER(IF(AND(884&lt;=$B$174,884&lt;=$B$173),B1284*C1284/12,IF(AND(884=$B$173+1,AND(884&gt;$B$173,$B$78="Refinance",ISNUMBER($B$80),$B$80&gt;=0,$B$80&lt;=1,ROUND($B$81*12,0)&gt;=1,$B$81&lt;=100,SUM($B$82)&gt;=0,SUM($B$82)&lt;=1,SUM($B$83)&gt;=0)),IF(B1284=0,0,IF(C1284=0,B1284/ROUND($B$81*12,0),B1284*(C1284/12)/(1-(1+C1284/12)^(-ROUND($B$81*12,0))))),IF(AND(NOT(AND(884&gt;$B$173,$B$78="Refinance",ISNUMBER($B$80),$B$80&gt;=0,$B$80&lt;=1,ROUND($B$81*12,0)&gt;=1,$B$81&lt;=100,SUM($B$82)&gt;=0,SUM($B$82)&lt;=1,SUM($B$83)&gt;=0)),OR(884=1,884=$B$174+1,AND($B$175&gt;0,884=$B$175+1))),IF(AND($B$170=1,$B$66&gt;0,OR($B$175=0,884&lt;=$B$175)),$B$66,IF($B$172-MAX(884-1,$B$174)&gt;0,IF(B1284=0,0,IF(C1284=0,B1284/($B$172-MAX(884-1,$B$174)),B1284*(C1284/12)/(1-(1+C1284/12)^(-($B$172-MAX(884-1,$B$174)))))),"")),D1283))))),IF(IF(AND(884&lt;=$B$174,884&lt;=$B$173),B1284*C1284/12,IF(AND(884=$B$173+1,AND(884&gt;$B$173,$B$78="Refinance",ISNUMBER($B$80),$B$80&gt;=0,$B$80&lt;=1,ROUND($B$81*12,0)&gt;=1,$B$81&lt;=100,SUM($B$82)&gt;=0,SUM($B$82)&lt;=1,SUM($B$83)&gt;=0)),IF(B1284=0,0,IF(C1284=0,B1284/ROUND($B$81*12,0),B1284*(C1284/12)/(1-(1+C1284/12)^(-ROUND($B$81*12,0))))),IF(AND(NOT(AND(884&gt;$B$173,$B$78="Refinance",ISNUMBER($B$80),$B$80&gt;=0,$B$80&lt;=1,ROUND($B$81*12,0)&gt;=1,$B$81&lt;=100,SUM($B$82)&gt;=0,SUM($B$82)&lt;=1,SUM($B$83)&gt;=0)),OR(884=1,884=$B$174+1,AND($B$175&gt;0,884=$B$175+1))),IF(AND($B$170=1,$B$66&gt;0,OR($B$175=0,884&lt;=$B$175)),$B$66,IF($B$172-MAX(884-1,$B$174)&gt;0,IF(B1284=0,0,IF(C1284=0,B1284/($B$172-MAX(884-1,$B$174)),B1284*(C1284/12)/(1-(1+C1284/12)^(-($B$172-MAX(884-1,$B$174)))))),"")),D1283)))+0.0000001&gt;=B1284*C1284/12,MIN(B1284*(1+C1284/12),IF(AND(884&lt;=$B$174,884&lt;=$B$173),B1284*C1284/12,IF(AND(884=$B$173+1,AND(884&gt;$B$173,$B$78="Refinance",ISNUMBER($B$80),$B$80&gt;=0,$B$80&lt;=1,ROUND($B$81*12,0)&gt;=1,$B$81&lt;=100,SUM($B$82)&gt;=0,SUM($B$82)&lt;=1,SUM($B$83)&gt;=0)),IF(B1284=0,0,IF(C1284=0,B1284/ROUND($B$81*12,0),B1284*(C1284/12)/(1-(1+C1284/12)^(-ROUND($B$81*12,0))))),IF(AND(NOT(AND(884&gt;$B$173,$B$78="Refinance",ISNUMBER($B$80),$B$80&gt;=0,$B$80&lt;=1,ROUND($B$81*12,0)&gt;=1,$B$81&lt;=100,SUM($B$82)&gt;=0,SUM($B$82)&lt;=1,SUM($B$83)&gt;=0)),OR(884=1,884=$B$174+1,AND($B$175&gt;0,884=$B$175+1))),IF(AND($B$170=1,$B$66&gt;0,OR($B$175=0,884&lt;=$B$175)),$B$66,IF($B$172-MAX(884-1,$B$174)&gt;0,IF(B1284=0,0,IF(C1284=0,B1284/($B$172-MAX(884-1,$B$174)),B1284*(C1284/12)/(1-(1+C1284/12)^(-($B$172-MAX(884-1,$B$174)))))),"")),D1283)))),""),""))</x:f>
        <x:v>0</x:v>
      </x:c>
      <x:c r="E1284" s="440" t="n">
        <x:f>IF(AND(884=$B$173,ISNUMBER(D1284)),IF(MAX(0,B1284*(1+C1284/12)-D1284)&lt;MAX(0.0000001,$E$17*0.00000000001),0,MAX(0,B1284*(1+C1284/12)-D1284)),0)</x:f>
        <x:v>0</x:v>
      </x:c>
      <x:c r="F1284" s="440" t="n">
        <x:f>IF($B$78="Cash payoff",E1284,0)</x:f>
        <x:v>0</x:v>
      </x:c>
      <x:c r="G1284" s="440" t="n">
        <x:f>IF(AND(E1284&gt;0,AND($B$78="Refinance",ISNUMBER($B$80),$B$80&gt;=0,$B$80&lt;=1,ROUND($B$81*12,0)&gt;=1,$B$81&lt;=100,SUM($B$82)&gt;=0,SUM($B$82)&lt;=1,SUM($B$83)&gt;=0)),E1284*SUM($B$82)+SUM($B$83),0)</x:f>
        <x:v>0</x:v>
      </x:c>
      <x:c r="H1284" s="440" t="n">
        <x:f>IF(ISNUMBER(D1284),IF(MAX(0,B1284*(1+C1284/12)-D1284-F1284)&lt;MAX(0.0000001,$E$17*0.00000000001),0,MAX(0,B1284*(1+C1284/12)-D1284-F1284)),IF(AND($B$171=1,I1283=1),B1284,""))</x:f>
        <x:v>0</x:v>
      </x:c>
      <x:c r="I1284" s="444" t="n">
        <x:f>IF(OR(I1283=1,AND(E1284&gt;0,$B$78&lt;&gt;"Cash payoff",NOT(AND($B$78="Refinance",ISNUMBER($B$80),$B$80&gt;=0,$B$80&lt;=1,ROUND($B$81*12,0)&gt;=1,$B$81&lt;=100,SUM($B$82)&gt;=0,SUM($B$82)&lt;=1,SUM($B$83)&gt;=0))),AND(ISNUMBER(B1284),B1284&gt;0,$B$171=1,NOT(ISNUMBER(D1284)))),1,0)</x:f>
        <x:v>0</x:v>
      </x:c>
      <x:c r="J1284" s="440" t="n">
        <x:f>IF(ISNUMBER(L1283),L1283,"")</x:f>
        <x:v>0</x:v>
      </x:c>
      <x:c r="K1284" s="440" t="n">
        <x:f>IF(AND(ISNUMBER(J1284),J1284=0),0,IF(AND($B$176=1,ISNUMBER(J1284)),MIN(J1284*(1+$B$87/12),IF($B$86=0,0,IF($B$87=0,$B$86/ROUND($B$88*12,0),$B$86*($B$87/12)/(1-(1+$B$87/12)^(-ROUND($B$88*12,0)))))),""))</x:f>
        <x:v>0</x:v>
      </x:c>
      <x:c r="L1284" s="440" t="n">
        <x:f>IF(ISNUMBER(K1284),IF(MAX(0,J1284*(1+SUM($B$87)/12)-K1284)&lt;MAX(0.0000001,$B$86*0.00000000001),0,MAX(0,J1284*(1+SUM($B$87)/12)-K1284)),"")</x:f>
        <x:v>0</x:v>
      </x:c>
      <x:c r="M1284" s="440" t="n">
        <x:f>IF(AND(ISNUMBER(D1284),ISNUMBER(K1284)),D1284+K1284,"")</x:f>
        <x:v>0</x:v>
      </x:c>
      <x:c r="N1284" s="440" t="n">
        <x:f>IF(AND(ISNUMBER(H1284),ISNUMBER(L1284)),H1284+L1284,"")</x:f>
        <x:v>0</x:v>
      </x:c>
    </x:row>
    <x:row r="1285" ht="22" customHeight="1">
      <x:c r="A1285" s="254" t="n">
        <x:f>885</x:f>
        <x:v>885</x:v>
      </x:c>
      <x:c r="B1285" s="440" t="n">
        <x:f>IF(ISNUMBER(H1284),H1284,"")</x:f>
        <x:v>0</x:v>
      </x:c>
      <x:c r="C1285" s="442" t="n">
        <x:f>IF(ISNUMBER(B1285),IF(AND(885&gt;$B$173,$B$78="Refinance",ISNUMBER($B$80),$B$80&gt;=0,$B$80&lt;=1,ROUND($B$81*12,0)&gt;=1,$B$81&lt;=100,SUM($B$82)&gt;=0,SUM($B$82)&lt;=1,SUM($B$83)&gt;=0),$B$80,IF(AND($B$175&gt;0,885&gt;$B$175,ISNUMBER($B$75)),$B$75,$B$61)),"")</x:f>
        <x:v>0.0625</x:v>
      </x:c>
      <x:c r="D1285" s="440" t="n">
        <x:f>IF(AND(ISNUMBER(B1285),B1285=0),0,IF(AND($B$171=1,I1284=0,ISNUMBER(C1285),ISNUMBER(IF(AND(885&lt;=$B$174,885&lt;=$B$173),B1285*C1285/12,IF(AND(885=$B$173+1,AND(885&gt;$B$173,$B$78="Refinance",ISNUMBER($B$80),$B$80&gt;=0,$B$80&lt;=1,ROUND($B$81*12,0)&gt;=1,$B$81&lt;=100,SUM($B$82)&gt;=0,SUM($B$82)&lt;=1,SUM($B$83)&gt;=0)),IF(B1285=0,0,IF(C1285=0,B1285/ROUND($B$81*12,0),B1285*(C1285/12)/(1-(1+C1285/12)^(-ROUND($B$81*12,0))))),IF(AND(NOT(AND(885&gt;$B$173,$B$78="Refinance",ISNUMBER($B$80),$B$80&gt;=0,$B$80&lt;=1,ROUND($B$81*12,0)&gt;=1,$B$81&lt;=100,SUM($B$82)&gt;=0,SUM($B$82)&lt;=1,SUM($B$83)&gt;=0)),OR(885=1,885=$B$174+1,AND($B$175&gt;0,885=$B$175+1))),IF(AND($B$170=1,$B$66&gt;0,OR($B$175=0,885&lt;=$B$175)),$B$66,IF($B$172-MAX(885-1,$B$174)&gt;0,IF(B1285=0,0,IF(C1285=0,B1285/($B$172-MAX(885-1,$B$174)),B1285*(C1285/12)/(1-(1+C1285/12)^(-($B$172-MAX(885-1,$B$174)))))),"")),D1284))))),IF(IF(AND(885&lt;=$B$174,885&lt;=$B$173),B1285*C1285/12,IF(AND(885=$B$173+1,AND(885&gt;$B$173,$B$78="Refinance",ISNUMBER($B$80),$B$80&gt;=0,$B$80&lt;=1,ROUND($B$81*12,0)&gt;=1,$B$81&lt;=100,SUM($B$82)&gt;=0,SUM($B$82)&lt;=1,SUM($B$83)&gt;=0)),IF(B1285=0,0,IF(C1285=0,B1285/ROUND($B$81*12,0),B1285*(C1285/12)/(1-(1+C1285/12)^(-ROUND($B$81*12,0))))),IF(AND(NOT(AND(885&gt;$B$173,$B$78="Refinance",ISNUMBER($B$80),$B$80&gt;=0,$B$80&lt;=1,ROUND($B$81*12,0)&gt;=1,$B$81&lt;=100,SUM($B$82)&gt;=0,SUM($B$82)&lt;=1,SUM($B$83)&gt;=0)),OR(885=1,885=$B$174+1,AND($B$175&gt;0,885=$B$175+1))),IF(AND($B$170=1,$B$66&gt;0,OR($B$175=0,885&lt;=$B$175)),$B$66,IF($B$172-MAX(885-1,$B$174)&gt;0,IF(B1285=0,0,IF(C1285=0,B1285/($B$172-MAX(885-1,$B$174)),B1285*(C1285/12)/(1-(1+C1285/12)^(-($B$172-MAX(885-1,$B$174)))))),"")),D1284)))+0.0000001&gt;=B1285*C1285/12,MIN(B1285*(1+C1285/12),IF(AND(885&lt;=$B$174,885&lt;=$B$173),B1285*C1285/12,IF(AND(885=$B$173+1,AND(885&gt;$B$173,$B$78="Refinance",ISNUMBER($B$80),$B$80&gt;=0,$B$80&lt;=1,ROUND($B$81*12,0)&gt;=1,$B$81&lt;=100,SUM($B$82)&gt;=0,SUM($B$82)&lt;=1,SUM($B$83)&gt;=0)),IF(B1285=0,0,IF(C1285=0,B1285/ROUND($B$81*12,0),B1285*(C1285/12)/(1-(1+C1285/12)^(-ROUND($B$81*12,0))))),IF(AND(NOT(AND(885&gt;$B$173,$B$78="Refinance",ISNUMBER($B$80),$B$80&gt;=0,$B$80&lt;=1,ROUND($B$81*12,0)&gt;=1,$B$81&lt;=100,SUM($B$82)&gt;=0,SUM($B$82)&lt;=1,SUM($B$83)&gt;=0)),OR(885=1,885=$B$174+1,AND($B$175&gt;0,885=$B$175+1))),IF(AND($B$170=1,$B$66&gt;0,OR($B$175=0,885&lt;=$B$175)),$B$66,IF($B$172-MAX(885-1,$B$174)&gt;0,IF(B1285=0,0,IF(C1285=0,B1285/($B$172-MAX(885-1,$B$174)),B1285*(C1285/12)/(1-(1+C1285/12)^(-($B$172-MAX(885-1,$B$174)))))),"")),D1284)))),""),""))</x:f>
        <x:v>0</x:v>
      </x:c>
      <x:c r="E1285" s="440" t="n">
        <x:f>IF(AND(885=$B$173,ISNUMBER(D1285)),IF(MAX(0,B1285*(1+C1285/12)-D1285)&lt;MAX(0.0000001,$E$17*0.00000000001),0,MAX(0,B1285*(1+C1285/12)-D1285)),0)</x:f>
        <x:v>0</x:v>
      </x:c>
      <x:c r="F1285" s="440" t="n">
        <x:f>IF($B$78="Cash payoff",E1285,0)</x:f>
        <x:v>0</x:v>
      </x:c>
      <x:c r="G1285" s="440" t="n">
        <x:f>IF(AND(E1285&gt;0,AND($B$78="Refinance",ISNUMBER($B$80),$B$80&gt;=0,$B$80&lt;=1,ROUND($B$81*12,0)&gt;=1,$B$81&lt;=100,SUM($B$82)&gt;=0,SUM($B$82)&lt;=1,SUM($B$83)&gt;=0)),E1285*SUM($B$82)+SUM($B$83),0)</x:f>
        <x:v>0</x:v>
      </x:c>
      <x:c r="H1285" s="440" t="n">
        <x:f>IF(ISNUMBER(D1285),IF(MAX(0,B1285*(1+C1285/12)-D1285-F1285)&lt;MAX(0.0000001,$E$17*0.00000000001),0,MAX(0,B1285*(1+C1285/12)-D1285-F1285)),IF(AND($B$171=1,I1284=1),B1285,""))</x:f>
        <x:v>0</x:v>
      </x:c>
      <x:c r="I1285" s="444" t="n">
        <x:f>IF(OR(I1284=1,AND(E1285&gt;0,$B$78&lt;&gt;"Cash payoff",NOT(AND($B$78="Refinance",ISNUMBER($B$80),$B$80&gt;=0,$B$80&lt;=1,ROUND($B$81*12,0)&gt;=1,$B$81&lt;=100,SUM($B$82)&gt;=0,SUM($B$82)&lt;=1,SUM($B$83)&gt;=0))),AND(ISNUMBER(B1285),B1285&gt;0,$B$171=1,NOT(ISNUMBER(D1285)))),1,0)</x:f>
        <x:v>0</x:v>
      </x:c>
      <x:c r="J1285" s="440" t="n">
        <x:f>IF(ISNUMBER(L1284),L1284,"")</x:f>
        <x:v>0</x:v>
      </x:c>
      <x:c r="K1285" s="440" t="n">
        <x:f>IF(AND(ISNUMBER(J1285),J1285=0),0,IF(AND($B$176=1,ISNUMBER(J1285)),MIN(J1285*(1+$B$87/12),IF($B$86=0,0,IF($B$87=0,$B$86/ROUND($B$88*12,0),$B$86*($B$87/12)/(1-(1+$B$87/12)^(-ROUND($B$88*12,0)))))),""))</x:f>
        <x:v>0</x:v>
      </x:c>
      <x:c r="L1285" s="440" t="n">
        <x:f>IF(ISNUMBER(K1285),IF(MAX(0,J1285*(1+SUM($B$87)/12)-K1285)&lt;MAX(0.0000001,$B$86*0.00000000001),0,MAX(0,J1285*(1+SUM($B$87)/12)-K1285)),"")</x:f>
        <x:v>0</x:v>
      </x:c>
      <x:c r="M1285" s="440" t="n">
        <x:f>IF(AND(ISNUMBER(D1285),ISNUMBER(K1285)),D1285+K1285,"")</x:f>
        <x:v>0</x:v>
      </x:c>
      <x:c r="N1285" s="440" t="n">
        <x:f>IF(AND(ISNUMBER(H1285),ISNUMBER(L1285)),H1285+L1285,"")</x:f>
        <x:v>0</x:v>
      </x:c>
    </x:row>
    <x:row r="1286" ht="22" customHeight="1">
      <x:c r="A1286" s="254" t="n">
        <x:f>886</x:f>
        <x:v>886</x:v>
      </x:c>
      <x:c r="B1286" s="440" t="n">
        <x:f>IF(ISNUMBER(H1285),H1285,"")</x:f>
        <x:v>0</x:v>
      </x:c>
      <x:c r="C1286" s="442" t="n">
        <x:f>IF(ISNUMBER(B1286),IF(AND(886&gt;$B$173,$B$78="Refinance",ISNUMBER($B$80),$B$80&gt;=0,$B$80&lt;=1,ROUND($B$81*12,0)&gt;=1,$B$81&lt;=100,SUM($B$82)&gt;=0,SUM($B$82)&lt;=1,SUM($B$83)&gt;=0),$B$80,IF(AND($B$175&gt;0,886&gt;$B$175,ISNUMBER($B$75)),$B$75,$B$61)),"")</x:f>
        <x:v>0.0625</x:v>
      </x:c>
      <x:c r="D1286" s="440" t="n">
        <x:f>IF(AND(ISNUMBER(B1286),B1286=0),0,IF(AND($B$171=1,I1285=0,ISNUMBER(C1286),ISNUMBER(IF(AND(886&lt;=$B$174,886&lt;=$B$173),B1286*C1286/12,IF(AND(886=$B$173+1,AND(886&gt;$B$173,$B$78="Refinance",ISNUMBER($B$80),$B$80&gt;=0,$B$80&lt;=1,ROUND($B$81*12,0)&gt;=1,$B$81&lt;=100,SUM($B$82)&gt;=0,SUM($B$82)&lt;=1,SUM($B$83)&gt;=0)),IF(B1286=0,0,IF(C1286=0,B1286/ROUND($B$81*12,0),B1286*(C1286/12)/(1-(1+C1286/12)^(-ROUND($B$81*12,0))))),IF(AND(NOT(AND(886&gt;$B$173,$B$78="Refinance",ISNUMBER($B$80),$B$80&gt;=0,$B$80&lt;=1,ROUND($B$81*12,0)&gt;=1,$B$81&lt;=100,SUM($B$82)&gt;=0,SUM($B$82)&lt;=1,SUM($B$83)&gt;=0)),OR(886=1,886=$B$174+1,AND($B$175&gt;0,886=$B$175+1))),IF(AND($B$170=1,$B$66&gt;0,OR($B$175=0,886&lt;=$B$175)),$B$66,IF($B$172-MAX(886-1,$B$174)&gt;0,IF(B1286=0,0,IF(C1286=0,B1286/($B$172-MAX(886-1,$B$174)),B1286*(C1286/12)/(1-(1+C1286/12)^(-($B$172-MAX(886-1,$B$174)))))),"")),D1285))))),IF(IF(AND(886&lt;=$B$174,886&lt;=$B$173),B1286*C1286/12,IF(AND(886=$B$173+1,AND(886&gt;$B$173,$B$78="Refinance",ISNUMBER($B$80),$B$80&gt;=0,$B$80&lt;=1,ROUND($B$81*12,0)&gt;=1,$B$81&lt;=100,SUM($B$82)&gt;=0,SUM($B$82)&lt;=1,SUM($B$83)&gt;=0)),IF(B1286=0,0,IF(C1286=0,B1286/ROUND($B$81*12,0),B1286*(C1286/12)/(1-(1+C1286/12)^(-ROUND($B$81*12,0))))),IF(AND(NOT(AND(886&gt;$B$173,$B$78="Refinance",ISNUMBER($B$80),$B$80&gt;=0,$B$80&lt;=1,ROUND($B$81*12,0)&gt;=1,$B$81&lt;=100,SUM($B$82)&gt;=0,SUM($B$82)&lt;=1,SUM($B$83)&gt;=0)),OR(886=1,886=$B$174+1,AND($B$175&gt;0,886=$B$175+1))),IF(AND($B$170=1,$B$66&gt;0,OR($B$175=0,886&lt;=$B$175)),$B$66,IF($B$172-MAX(886-1,$B$174)&gt;0,IF(B1286=0,0,IF(C1286=0,B1286/($B$172-MAX(886-1,$B$174)),B1286*(C1286/12)/(1-(1+C1286/12)^(-($B$172-MAX(886-1,$B$174)))))),"")),D1285)))+0.0000001&gt;=B1286*C1286/12,MIN(B1286*(1+C1286/12),IF(AND(886&lt;=$B$174,886&lt;=$B$173),B1286*C1286/12,IF(AND(886=$B$173+1,AND(886&gt;$B$173,$B$78="Refinance",ISNUMBER($B$80),$B$80&gt;=0,$B$80&lt;=1,ROUND($B$81*12,0)&gt;=1,$B$81&lt;=100,SUM($B$82)&gt;=0,SUM($B$82)&lt;=1,SUM($B$83)&gt;=0)),IF(B1286=0,0,IF(C1286=0,B1286/ROUND($B$81*12,0),B1286*(C1286/12)/(1-(1+C1286/12)^(-ROUND($B$81*12,0))))),IF(AND(NOT(AND(886&gt;$B$173,$B$78="Refinance",ISNUMBER($B$80),$B$80&gt;=0,$B$80&lt;=1,ROUND($B$81*12,0)&gt;=1,$B$81&lt;=100,SUM($B$82)&gt;=0,SUM($B$82)&lt;=1,SUM($B$83)&gt;=0)),OR(886=1,886=$B$174+1,AND($B$175&gt;0,886=$B$175+1))),IF(AND($B$170=1,$B$66&gt;0,OR($B$175=0,886&lt;=$B$175)),$B$66,IF($B$172-MAX(886-1,$B$174)&gt;0,IF(B1286=0,0,IF(C1286=0,B1286/($B$172-MAX(886-1,$B$174)),B1286*(C1286/12)/(1-(1+C1286/12)^(-($B$172-MAX(886-1,$B$174)))))),"")),D1285)))),""),""))</x:f>
        <x:v>0</x:v>
      </x:c>
      <x:c r="E1286" s="440" t="n">
        <x:f>IF(AND(886=$B$173,ISNUMBER(D1286)),IF(MAX(0,B1286*(1+C1286/12)-D1286)&lt;MAX(0.0000001,$E$17*0.00000000001),0,MAX(0,B1286*(1+C1286/12)-D1286)),0)</x:f>
        <x:v>0</x:v>
      </x:c>
      <x:c r="F1286" s="440" t="n">
        <x:f>IF($B$78="Cash payoff",E1286,0)</x:f>
        <x:v>0</x:v>
      </x:c>
      <x:c r="G1286" s="440" t="n">
        <x:f>IF(AND(E1286&gt;0,AND($B$78="Refinance",ISNUMBER($B$80),$B$80&gt;=0,$B$80&lt;=1,ROUND($B$81*12,0)&gt;=1,$B$81&lt;=100,SUM($B$82)&gt;=0,SUM($B$82)&lt;=1,SUM($B$83)&gt;=0)),E1286*SUM($B$82)+SUM($B$83),0)</x:f>
        <x:v>0</x:v>
      </x:c>
      <x:c r="H1286" s="440" t="n">
        <x:f>IF(ISNUMBER(D1286),IF(MAX(0,B1286*(1+C1286/12)-D1286-F1286)&lt;MAX(0.0000001,$E$17*0.00000000001),0,MAX(0,B1286*(1+C1286/12)-D1286-F1286)),IF(AND($B$171=1,I1285=1),B1286,""))</x:f>
        <x:v>0</x:v>
      </x:c>
      <x:c r="I1286" s="444" t="n">
        <x:f>IF(OR(I1285=1,AND(E1286&gt;0,$B$78&lt;&gt;"Cash payoff",NOT(AND($B$78="Refinance",ISNUMBER($B$80),$B$80&gt;=0,$B$80&lt;=1,ROUND($B$81*12,0)&gt;=1,$B$81&lt;=100,SUM($B$82)&gt;=0,SUM($B$82)&lt;=1,SUM($B$83)&gt;=0))),AND(ISNUMBER(B1286),B1286&gt;0,$B$171=1,NOT(ISNUMBER(D1286)))),1,0)</x:f>
        <x:v>0</x:v>
      </x:c>
      <x:c r="J1286" s="440" t="n">
        <x:f>IF(ISNUMBER(L1285),L1285,"")</x:f>
        <x:v>0</x:v>
      </x:c>
      <x:c r="K1286" s="440" t="n">
        <x:f>IF(AND(ISNUMBER(J1286),J1286=0),0,IF(AND($B$176=1,ISNUMBER(J1286)),MIN(J1286*(1+$B$87/12),IF($B$86=0,0,IF($B$87=0,$B$86/ROUND($B$88*12,0),$B$86*($B$87/12)/(1-(1+$B$87/12)^(-ROUND($B$88*12,0)))))),""))</x:f>
        <x:v>0</x:v>
      </x:c>
      <x:c r="L1286" s="440" t="n">
        <x:f>IF(ISNUMBER(K1286),IF(MAX(0,J1286*(1+SUM($B$87)/12)-K1286)&lt;MAX(0.0000001,$B$86*0.00000000001),0,MAX(0,J1286*(1+SUM($B$87)/12)-K1286)),"")</x:f>
        <x:v>0</x:v>
      </x:c>
      <x:c r="M1286" s="440" t="n">
        <x:f>IF(AND(ISNUMBER(D1286),ISNUMBER(K1286)),D1286+K1286,"")</x:f>
        <x:v>0</x:v>
      </x:c>
      <x:c r="N1286" s="440" t="n">
        <x:f>IF(AND(ISNUMBER(H1286),ISNUMBER(L1286)),H1286+L1286,"")</x:f>
        <x:v>0</x:v>
      </x:c>
    </x:row>
    <x:row r="1287" ht="22" customHeight="1">
      <x:c r="A1287" s="254" t="n">
        <x:f>887</x:f>
        <x:v>887</x:v>
      </x:c>
      <x:c r="B1287" s="440" t="n">
        <x:f>IF(ISNUMBER(H1286),H1286,"")</x:f>
        <x:v>0</x:v>
      </x:c>
      <x:c r="C1287" s="442" t="n">
        <x:f>IF(ISNUMBER(B1287),IF(AND(887&gt;$B$173,$B$78="Refinance",ISNUMBER($B$80),$B$80&gt;=0,$B$80&lt;=1,ROUND($B$81*12,0)&gt;=1,$B$81&lt;=100,SUM($B$82)&gt;=0,SUM($B$82)&lt;=1,SUM($B$83)&gt;=0),$B$80,IF(AND($B$175&gt;0,887&gt;$B$175,ISNUMBER($B$75)),$B$75,$B$61)),"")</x:f>
        <x:v>0.0625</x:v>
      </x:c>
      <x:c r="D1287" s="440" t="n">
        <x:f>IF(AND(ISNUMBER(B1287),B1287=0),0,IF(AND($B$171=1,I1286=0,ISNUMBER(C1287),ISNUMBER(IF(AND(887&lt;=$B$174,887&lt;=$B$173),B1287*C1287/12,IF(AND(887=$B$173+1,AND(887&gt;$B$173,$B$78="Refinance",ISNUMBER($B$80),$B$80&gt;=0,$B$80&lt;=1,ROUND($B$81*12,0)&gt;=1,$B$81&lt;=100,SUM($B$82)&gt;=0,SUM($B$82)&lt;=1,SUM($B$83)&gt;=0)),IF(B1287=0,0,IF(C1287=0,B1287/ROUND($B$81*12,0),B1287*(C1287/12)/(1-(1+C1287/12)^(-ROUND($B$81*12,0))))),IF(AND(NOT(AND(887&gt;$B$173,$B$78="Refinance",ISNUMBER($B$80),$B$80&gt;=0,$B$80&lt;=1,ROUND($B$81*12,0)&gt;=1,$B$81&lt;=100,SUM($B$82)&gt;=0,SUM($B$82)&lt;=1,SUM($B$83)&gt;=0)),OR(887=1,887=$B$174+1,AND($B$175&gt;0,887=$B$175+1))),IF(AND($B$170=1,$B$66&gt;0,OR($B$175=0,887&lt;=$B$175)),$B$66,IF($B$172-MAX(887-1,$B$174)&gt;0,IF(B1287=0,0,IF(C1287=0,B1287/($B$172-MAX(887-1,$B$174)),B1287*(C1287/12)/(1-(1+C1287/12)^(-($B$172-MAX(887-1,$B$174)))))),"")),D1286))))),IF(IF(AND(887&lt;=$B$174,887&lt;=$B$173),B1287*C1287/12,IF(AND(887=$B$173+1,AND(887&gt;$B$173,$B$78="Refinance",ISNUMBER($B$80),$B$80&gt;=0,$B$80&lt;=1,ROUND($B$81*12,0)&gt;=1,$B$81&lt;=100,SUM($B$82)&gt;=0,SUM($B$82)&lt;=1,SUM($B$83)&gt;=0)),IF(B1287=0,0,IF(C1287=0,B1287/ROUND($B$81*12,0),B1287*(C1287/12)/(1-(1+C1287/12)^(-ROUND($B$81*12,0))))),IF(AND(NOT(AND(887&gt;$B$173,$B$78="Refinance",ISNUMBER($B$80),$B$80&gt;=0,$B$80&lt;=1,ROUND($B$81*12,0)&gt;=1,$B$81&lt;=100,SUM($B$82)&gt;=0,SUM($B$82)&lt;=1,SUM($B$83)&gt;=0)),OR(887=1,887=$B$174+1,AND($B$175&gt;0,887=$B$175+1))),IF(AND($B$170=1,$B$66&gt;0,OR($B$175=0,887&lt;=$B$175)),$B$66,IF($B$172-MAX(887-1,$B$174)&gt;0,IF(B1287=0,0,IF(C1287=0,B1287/($B$172-MAX(887-1,$B$174)),B1287*(C1287/12)/(1-(1+C1287/12)^(-($B$172-MAX(887-1,$B$174)))))),"")),D1286)))+0.0000001&gt;=B1287*C1287/12,MIN(B1287*(1+C1287/12),IF(AND(887&lt;=$B$174,887&lt;=$B$173),B1287*C1287/12,IF(AND(887=$B$173+1,AND(887&gt;$B$173,$B$78="Refinance",ISNUMBER($B$80),$B$80&gt;=0,$B$80&lt;=1,ROUND($B$81*12,0)&gt;=1,$B$81&lt;=100,SUM($B$82)&gt;=0,SUM($B$82)&lt;=1,SUM($B$83)&gt;=0)),IF(B1287=0,0,IF(C1287=0,B1287/ROUND($B$81*12,0),B1287*(C1287/12)/(1-(1+C1287/12)^(-ROUND($B$81*12,0))))),IF(AND(NOT(AND(887&gt;$B$173,$B$78="Refinance",ISNUMBER($B$80),$B$80&gt;=0,$B$80&lt;=1,ROUND($B$81*12,0)&gt;=1,$B$81&lt;=100,SUM($B$82)&gt;=0,SUM($B$82)&lt;=1,SUM($B$83)&gt;=0)),OR(887=1,887=$B$174+1,AND($B$175&gt;0,887=$B$175+1))),IF(AND($B$170=1,$B$66&gt;0,OR($B$175=0,887&lt;=$B$175)),$B$66,IF($B$172-MAX(887-1,$B$174)&gt;0,IF(B1287=0,0,IF(C1287=0,B1287/($B$172-MAX(887-1,$B$174)),B1287*(C1287/12)/(1-(1+C1287/12)^(-($B$172-MAX(887-1,$B$174)))))),"")),D1286)))),""),""))</x:f>
        <x:v>0</x:v>
      </x:c>
      <x:c r="E1287" s="440" t="n">
        <x:f>IF(AND(887=$B$173,ISNUMBER(D1287)),IF(MAX(0,B1287*(1+C1287/12)-D1287)&lt;MAX(0.0000001,$E$17*0.00000000001),0,MAX(0,B1287*(1+C1287/12)-D1287)),0)</x:f>
        <x:v>0</x:v>
      </x:c>
      <x:c r="F1287" s="440" t="n">
        <x:f>IF($B$78="Cash payoff",E1287,0)</x:f>
        <x:v>0</x:v>
      </x:c>
      <x:c r="G1287" s="440" t="n">
        <x:f>IF(AND(E1287&gt;0,AND($B$78="Refinance",ISNUMBER($B$80),$B$80&gt;=0,$B$80&lt;=1,ROUND($B$81*12,0)&gt;=1,$B$81&lt;=100,SUM($B$82)&gt;=0,SUM($B$82)&lt;=1,SUM($B$83)&gt;=0)),E1287*SUM($B$82)+SUM($B$83),0)</x:f>
        <x:v>0</x:v>
      </x:c>
      <x:c r="H1287" s="440" t="n">
        <x:f>IF(ISNUMBER(D1287),IF(MAX(0,B1287*(1+C1287/12)-D1287-F1287)&lt;MAX(0.0000001,$E$17*0.00000000001),0,MAX(0,B1287*(1+C1287/12)-D1287-F1287)),IF(AND($B$171=1,I1286=1),B1287,""))</x:f>
        <x:v>0</x:v>
      </x:c>
      <x:c r="I1287" s="444" t="n">
        <x:f>IF(OR(I1286=1,AND(E1287&gt;0,$B$78&lt;&gt;"Cash payoff",NOT(AND($B$78="Refinance",ISNUMBER($B$80),$B$80&gt;=0,$B$80&lt;=1,ROUND($B$81*12,0)&gt;=1,$B$81&lt;=100,SUM($B$82)&gt;=0,SUM($B$82)&lt;=1,SUM($B$83)&gt;=0))),AND(ISNUMBER(B1287),B1287&gt;0,$B$171=1,NOT(ISNUMBER(D1287)))),1,0)</x:f>
        <x:v>0</x:v>
      </x:c>
      <x:c r="J1287" s="440" t="n">
        <x:f>IF(ISNUMBER(L1286),L1286,"")</x:f>
        <x:v>0</x:v>
      </x:c>
      <x:c r="K1287" s="440" t="n">
        <x:f>IF(AND(ISNUMBER(J1287),J1287=0),0,IF(AND($B$176=1,ISNUMBER(J1287)),MIN(J1287*(1+$B$87/12),IF($B$86=0,0,IF($B$87=0,$B$86/ROUND($B$88*12,0),$B$86*($B$87/12)/(1-(1+$B$87/12)^(-ROUND($B$88*12,0)))))),""))</x:f>
        <x:v>0</x:v>
      </x:c>
      <x:c r="L1287" s="440" t="n">
        <x:f>IF(ISNUMBER(K1287),IF(MAX(0,J1287*(1+SUM($B$87)/12)-K1287)&lt;MAX(0.0000001,$B$86*0.00000000001),0,MAX(0,J1287*(1+SUM($B$87)/12)-K1287)),"")</x:f>
        <x:v>0</x:v>
      </x:c>
      <x:c r="M1287" s="440" t="n">
        <x:f>IF(AND(ISNUMBER(D1287),ISNUMBER(K1287)),D1287+K1287,"")</x:f>
        <x:v>0</x:v>
      </x:c>
      <x:c r="N1287" s="440" t="n">
        <x:f>IF(AND(ISNUMBER(H1287),ISNUMBER(L1287)),H1287+L1287,"")</x:f>
        <x:v>0</x:v>
      </x:c>
    </x:row>
    <x:row r="1288" ht="22" customHeight="1">
      <x:c r="A1288" s="254" t="n">
        <x:f>888</x:f>
        <x:v>888</x:v>
      </x:c>
      <x:c r="B1288" s="440" t="n">
        <x:f>IF(ISNUMBER(H1287),H1287,"")</x:f>
        <x:v>0</x:v>
      </x:c>
      <x:c r="C1288" s="442" t="n">
        <x:f>IF(ISNUMBER(B1288),IF(AND(888&gt;$B$173,$B$78="Refinance",ISNUMBER($B$80),$B$80&gt;=0,$B$80&lt;=1,ROUND($B$81*12,0)&gt;=1,$B$81&lt;=100,SUM($B$82)&gt;=0,SUM($B$82)&lt;=1,SUM($B$83)&gt;=0),$B$80,IF(AND($B$175&gt;0,888&gt;$B$175,ISNUMBER($B$75)),$B$75,$B$61)),"")</x:f>
        <x:v>0.0625</x:v>
      </x:c>
      <x:c r="D1288" s="440" t="n">
        <x:f>IF(AND(ISNUMBER(B1288),B1288=0),0,IF(AND($B$171=1,I1287=0,ISNUMBER(C1288),ISNUMBER(IF(AND(888&lt;=$B$174,888&lt;=$B$173),B1288*C1288/12,IF(AND(888=$B$173+1,AND(888&gt;$B$173,$B$78="Refinance",ISNUMBER($B$80),$B$80&gt;=0,$B$80&lt;=1,ROUND($B$81*12,0)&gt;=1,$B$81&lt;=100,SUM($B$82)&gt;=0,SUM($B$82)&lt;=1,SUM($B$83)&gt;=0)),IF(B1288=0,0,IF(C1288=0,B1288/ROUND($B$81*12,0),B1288*(C1288/12)/(1-(1+C1288/12)^(-ROUND($B$81*12,0))))),IF(AND(NOT(AND(888&gt;$B$173,$B$78="Refinance",ISNUMBER($B$80),$B$80&gt;=0,$B$80&lt;=1,ROUND($B$81*12,0)&gt;=1,$B$81&lt;=100,SUM($B$82)&gt;=0,SUM($B$82)&lt;=1,SUM($B$83)&gt;=0)),OR(888=1,888=$B$174+1,AND($B$175&gt;0,888=$B$175+1))),IF(AND($B$170=1,$B$66&gt;0,OR($B$175=0,888&lt;=$B$175)),$B$66,IF($B$172-MAX(888-1,$B$174)&gt;0,IF(B1288=0,0,IF(C1288=0,B1288/($B$172-MAX(888-1,$B$174)),B1288*(C1288/12)/(1-(1+C1288/12)^(-($B$172-MAX(888-1,$B$174)))))),"")),D1287))))),IF(IF(AND(888&lt;=$B$174,888&lt;=$B$173),B1288*C1288/12,IF(AND(888=$B$173+1,AND(888&gt;$B$173,$B$78="Refinance",ISNUMBER($B$80),$B$80&gt;=0,$B$80&lt;=1,ROUND($B$81*12,0)&gt;=1,$B$81&lt;=100,SUM($B$82)&gt;=0,SUM($B$82)&lt;=1,SUM($B$83)&gt;=0)),IF(B1288=0,0,IF(C1288=0,B1288/ROUND($B$81*12,0),B1288*(C1288/12)/(1-(1+C1288/12)^(-ROUND($B$81*12,0))))),IF(AND(NOT(AND(888&gt;$B$173,$B$78="Refinance",ISNUMBER($B$80),$B$80&gt;=0,$B$80&lt;=1,ROUND($B$81*12,0)&gt;=1,$B$81&lt;=100,SUM($B$82)&gt;=0,SUM($B$82)&lt;=1,SUM($B$83)&gt;=0)),OR(888=1,888=$B$174+1,AND($B$175&gt;0,888=$B$175+1))),IF(AND($B$170=1,$B$66&gt;0,OR($B$175=0,888&lt;=$B$175)),$B$66,IF($B$172-MAX(888-1,$B$174)&gt;0,IF(B1288=0,0,IF(C1288=0,B1288/($B$172-MAX(888-1,$B$174)),B1288*(C1288/12)/(1-(1+C1288/12)^(-($B$172-MAX(888-1,$B$174)))))),"")),D1287)))+0.0000001&gt;=B1288*C1288/12,MIN(B1288*(1+C1288/12),IF(AND(888&lt;=$B$174,888&lt;=$B$173),B1288*C1288/12,IF(AND(888=$B$173+1,AND(888&gt;$B$173,$B$78="Refinance",ISNUMBER($B$80),$B$80&gt;=0,$B$80&lt;=1,ROUND($B$81*12,0)&gt;=1,$B$81&lt;=100,SUM($B$82)&gt;=0,SUM($B$82)&lt;=1,SUM($B$83)&gt;=0)),IF(B1288=0,0,IF(C1288=0,B1288/ROUND($B$81*12,0),B1288*(C1288/12)/(1-(1+C1288/12)^(-ROUND($B$81*12,0))))),IF(AND(NOT(AND(888&gt;$B$173,$B$78="Refinance",ISNUMBER($B$80),$B$80&gt;=0,$B$80&lt;=1,ROUND($B$81*12,0)&gt;=1,$B$81&lt;=100,SUM($B$82)&gt;=0,SUM($B$82)&lt;=1,SUM($B$83)&gt;=0)),OR(888=1,888=$B$174+1,AND($B$175&gt;0,888=$B$175+1))),IF(AND($B$170=1,$B$66&gt;0,OR($B$175=0,888&lt;=$B$175)),$B$66,IF($B$172-MAX(888-1,$B$174)&gt;0,IF(B1288=0,0,IF(C1288=0,B1288/($B$172-MAX(888-1,$B$174)),B1288*(C1288/12)/(1-(1+C1288/12)^(-($B$172-MAX(888-1,$B$174)))))),"")),D1287)))),""),""))</x:f>
        <x:v>0</x:v>
      </x:c>
      <x:c r="E1288" s="440" t="n">
        <x:f>IF(AND(888=$B$173,ISNUMBER(D1288)),IF(MAX(0,B1288*(1+C1288/12)-D1288)&lt;MAX(0.0000001,$E$17*0.00000000001),0,MAX(0,B1288*(1+C1288/12)-D1288)),0)</x:f>
        <x:v>0</x:v>
      </x:c>
      <x:c r="F1288" s="440" t="n">
        <x:f>IF($B$78="Cash payoff",E1288,0)</x:f>
        <x:v>0</x:v>
      </x:c>
      <x:c r="G1288" s="440" t="n">
        <x:f>IF(AND(E1288&gt;0,AND($B$78="Refinance",ISNUMBER($B$80),$B$80&gt;=0,$B$80&lt;=1,ROUND($B$81*12,0)&gt;=1,$B$81&lt;=100,SUM($B$82)&gt;=0,SUM($B$82)&lt;=1,SUM($B$83)&gt;=0)),E1288*SUM($B$82)+SUM($B$83),0)</x:f>
        <x:v>0</x:v>
      </x:c>
      <x:c r="H1288" s="440" t="n">
        <x:f>IF(ISNUMBER(D1288),IF(MAX(0,B1288*(1+C1288/12)-D1288-F1288)&lt;MAX(0.0000001,$E$17*0.00000000001),0,MAX(0,B1288*(1+C1288/12)-D1288-F1288)),IF(AND($B$171=1,I1287=1),B1288,""))</x:f>
        <x:v>0</x:v>
      </x:c>
      <x:c r="I1288" s="444" t="n">
        <x:f>IF(OR(I1287=1,AND(E1288&gt;0,$B$78&lt;&gt;"Cash payoff",NOT(AND($B$78="Refinance",ISNUMBER($B$80),$B$80&gt;=0,$B$80&lt;=1,ROUND($B$81*12,0)&gt;=1,$B$81&lt;=100,SUM($B$82)&gt;=0,SUM($B$82)&lt;=1,SUM($B$83)&gt;=0))),AND(ISNUMBER(B1288),B1288&gt;0,$B$171=1,NOT(ISNUMBER(D1288)))),1,0)</x:f>
        <x:v>0</x:v>
      </x:c>
      <x:c r="J1288" s="440" t="n">
        <x:f>IF(ISNUMBER(L1287),L1287,"")</x:f>
        <x:v>0</x:v>
      </x:c>
      <x:c r="K1288" s="440" t="n">
        <x:f>IF(AND(ISNUMBER(J1288),J1288=0),0,IF(AND($B$176=1,ISNUMBER(J1288)),MIN(J1288*(1+$B$87/12),IF($B$86=0,0,IF($B$87=0,$B$86/ROUND($B$88*12,0),$B$86*($B$87/12)/(1-(1+$B$87/12)^(-ROUND($B$88*12,0)))))),""))</x:f>
        <x:v>0</x:v>
      </x:c>
      <x:c r="L1288" s="440" t="n">
        <x:f>IF(ISNUMBER(K1288),IF(MAX(0,J1288*(1+SUM($B$87)/12)-K1288)&lt;MAX(0.0000001,$B$86*0.00000000001),0,MAX(0,J1288*(1+SUM($B$87)/12)-K1288)),"")</x:f>
        <x:v>0</x:v>
      </x:c>
      <x:c r="M1288" s="440" t="n">
        <x:f>IF(AND(ISNUMBER(D1288),ISNUMBER(K1288)),D1288+K1288,"")</x:f>
        <x:v>0</x:v>
      </x:c>
      <x:c r="N1288" s="440" t="n">
        <x:f>IF(AND(ISNUMBER(H1288),ISNUMBER(L1288)),H1288+L1288,"")</x:f>
        <x:v>0</x:v>
      </x:c>
    </x:row>
    <x:row r="1289" ht="22" customHeight="1">
      <x:c r="A1289" s="254" t="n">
        <x:f>889</x:f>
        <x:v>889</x:v>
      </x:c>
      <x:c r="B1289" s="440" t="n">
        <x:f>IF(ISNUMBER(H1288),H1288,"")</x:f>
        <x:v>0</x:v>
      </x:c>
      <x:c r="C1289" s="442" t="n">
        <x:f>IF(ISNUMBER(B1289),IF(AND(889&gt;$B$173,$B$78="Refinance",ISNUMBER($B$80),$B$80&gt;=0,$B$80&lt;=1,ROUND($B$81*12,0)&gt;=1,$B$81&lt;=100,SUM($B$82)&gt;=0,SUM($B$82)&lt;=1,SUM($B$83)&gt;=0),$B$80,IF(AND($B$175&gt;0,889&gt;$B$175,ISNUMBER($B$75)),$B$75,$B$61)),"")</x:f>
        <x:v>0.0625</x:v>
      </x:c>
      <x:c r="D1289" s="440" t="n">
        <x:f>IF(AND(ISNUMBER(B1289),B1289=0),0,IF(AND($B$171=1,I1288=0,ISNUMBER(C1289),ISNUMBER(IF(AND(889&lt;=$B$174,889&lt;=$B$173),B1289*C1289/12,IF(AND(889=$B$173+1,AND(889&gt;$B$173,$B$78="Refinance",ISNUMBER($B$80),$B$80&gt;=0,$B$80&lt;=1,ROUND($B$81*12,0)&gt;=1,$B$81&lt;=100,SUM($B$82)&gt;=0,SUM($B$82)&lt;=1,SUM($B$83)&gt;=0)),IF(B1289=0,0,IF(C1289=0,B1289/ROUND($B$81*12,0),B1289*(C1289/12)/(1-(1+C1289/12)^(-ROUND($B$81*12,0))))),IF(AND(NOT(AND(889&gt;$B$173,$B$78="Refinance",ISNUMBER($B$80),$B$80&gt;=0,$B$80&lt;=1,ROUND($B$81*12,0)&gt;=1,$B$81&lt;=100,SUM($B$82)&gt;=0,SUM($B$82)&lt;=1,SUM($B$83)&gt;=0)),OR(889=1,889=$B$174+1,AND($B$175&gt;0,889=$B$175+1))),IF(AND($B$170=1,$B$66&gt;0,OR($B$175=0,889&lt;=$B$175)),$B$66,IF($B$172-MAX(889-1,$B$174)&gt;0,IF(B1289=0,0,IF(C1289=0,B1289/($B$172-MAX(889-1,$B$174)),B1289*(C1289/12)/(1-(1+C1289/12)^(-($B$172-MAX(889-1,$B$174)))))),"")),D1288))))),IF(IF(AND(889&lt;=$B$174,889&lt;=$B$173),B1289*C1289/12,IF(AND(889=$B$173+1,AND(889&gt;$B$173,$B$78="Refinance",ISNUMBER($B$80),$B$80&gt;=0,$B$80&lt;=1,ROUND($B$81*12,0)&gt;=1,$B$81&lt;=100,SUM($B$82)&gt;=0,SUM($B$82)&lt;=1,SUM($B$83)&gt;=0)),IF(B1289=0,0,IF(C1289=0,B1289/ROUND($B$81*12,0),B1289*(C1289/12)/(1-(1+C1289/12)^(-ROUND($B$81*12,0))))),IF(AND(NOT(AND(889&gt;$B$173,$B$78="Refinance",ISNUMBER($B$80),$B$80&gt;=0,$B$80&lt;=1,ROUND($B$81*12,0)&gt;=1,$B$81&lt;=100,SUM($B$82)&gt;=0,SUM($B$82)&lt;=1,SUM($B$83)&gt;=0)),OR(889=1,889=$B$174+1,AND($B$175&gt;0,889=$B$175+1))),IF(AND($B$170=1,$B$66&gt;0,OR($B$175=0,889&lt;=$B$175)),$B$66,IF($B$172-MAX(889-1,$B$174)&gt;0,IF(B1289=0,0,IF(C1289=0,B1289/($B$172-MAX(889-1,$B$174)),B1289*(C1289/12)/(1-(1+C1289/12)^(-($B$172-MAX(889-1,$B$174)))))),"")),D1288)))+0.0000001&gt;=B1289*C1289/12,MIN(B1289*(1+C1289/12),IF(AND(889&lt;=$B$174,889&lt;=$B$173),B1289*C1289/12,IF(AND(889=$B$173+1,AND(889&gt;$B$173,$B$78="Refinance",ISNUMBER($B$80),$B$80&gt;=0,$B$80&lt;=1,ROUND($B$81*12,0)&gt;=1,$B$81&lt;=100,SUM($B$82)&gt;=0,SUM($B$82)&lt;=1,SUM($B$83)&gt;=0)),IF(B1289=0,0,IF(C1289=0,B1289/ROUND($B$81*12,0),B1289*(C1289/12)/(1-(1+C1289/12)^(-ROUND($B$81*12,0))))),IF(AND(NOT(AND(889&gt;$B$173,$B$78="Refinance",ISNUMBER($B$80),$B$80&gt;=0,$B$80&lt;=1,ROUND($B$81*12,0)&gt;=1,$B$81&lt;=100,SUM($B$82)&gt;=0,SUM($B$82)&lt;=1,SUM($B$83)&gt;=0)),OR(889=1,889=$B$174+1,AND($B$175&gt;0,889=$B$175+1))),IF(AND($B$170=1,$B$66&gt;0,OR($B$175=0,889&lt;=$B$175)),$B$66,IF($B$172-MAX(889-1,$B$174)&gt;0,IF(B1289=0,0,IF(C1289=0,B1289/($B$172-MAX(889-1,$B$174)),B1289*(C1289/12)/(1-(1+C1289/12)^(-($B$172-MAX(889-1,$B$174)))))),"")),D1288)))),""),""))</x:f>
        <x:v>0</x:v>
      </x:c>
      <x:c r="E1289" s="440" t="n">
        <x:f>IF(AND(889=$B$173,ISNUMBER(D1289)),IF(MAX(0,B1289*(1+C1289/12)-D1289)&lt;MAX(0.0000001,$E$17*0.00000000001),0,MAX(0,B1289*(1+C1289/12)-D1289)),0)</x:f>
        <x:v>0</x:v>
      </x:c>
      <x:c r="F1289" s="440" t="n">
        <x:f>IF($B$78="Cash payoff",E1289,0)</x:f>
        <x:v>0</x:v>
      </x:c>
      <x:c r="G1289" s="440" t="n">
        <x:f>IF(AND(E1289&gt;0,AND($B$78="Refinance",ISNUMBER($B$80),$B$80&gt;=0,$B$80&lt;=1,ROUND($B$81*12,0)&gt;=1,$B$81&lt;=100,SUM($B$82)&gt;=0,SUM($B$82)&lt;=1,SUM($B$83)&gt;=0)),E1289*SUM($B$82)+SUM($B$83),0)</x:f>
        <x:v>0</x:v>
      </x:c>
      <x:c r="H1289" s="440" t="n">
        <x:f>IF(ISNUMBER(D1289),IF(MAX(0,B1289*(1+C1289/12)-D1289-F1289)&lt;MAX(0.0000001,$E$17*0.00000000001),0,MAX(0,B1289*(1+C1289/12)-D1289-F1289)),IF(AND($B$171=1,I1288=1),B1289,""))</x:f>
        <x:v>0</x:v>
      </x:c>
      <x:c r="I1289" s="444" t="n">
        <x:f>IF(OR(I1288=1,AND(E1289&gt;0,$B$78&lt;&gt;"Cash payoff",NOT(AND($B$78="Refinance",ISNUMBER($B$80),$B$80&gt;=0,$B$80&lt;=1,ROUND($B$81*12,0)&gt;=1,$B$81&lt;=100,SUM($B$82)&gt;=0,SUM($B$82)&lt;=1,SUM($B$83)&gt;=0))),AND(ISNUMBER(B1289),B1289&gt;0,$B$171=1,NOT(ISNUMBER(D1289)))),1,0)</x:f>
        <x:v>0</x:v>
      </x:c>
      <x:c r="J1289" s="440" t="n">
        <x:f>IF(ISNUMBER(L1288),L1288,"")</x:f>
        <x:v>0</x:v>
      </x:c>
      <x:c r="K1289" s="440" t="n">
        <x:f>IF(AND(ISNUMBER(J1289),J1289=0),0,IF(AND($B$176=1,ISNUMBER(J1289)),MIN(J1289*(1+$B$87/12),IF($B$86=0,0,IF($B$87=0,$B$86/ROUND($B$88*12,0),$B$86*($B$87/12)/(1-(1+$B$87/12)^(-ROUND($B$88*12,0)))))),""))</x:f>
        <x:v>0</x:v>
      </x:c>
      <x:c r="L1289" s="440" t="n">
        <x:f>IF(ISNUMBER(K1289),IF(MAX(0,J1289*(1+SUM($B$87)/12)-K1289)&lt;MAX(0.0000001,$B$86*0.00000000001),0,MAX(0,J1289*(1+SUM($B$87)/12)-K1289)),"")</x:f>
        <x:v>0</x:v>
      </x:c>
      <x:c r="M1289" s="440" t="n">
        <x:f>IF(AND(ISNUMBER(D1289),ISNUMBER(K1289)),D1289+K1289,"")</x:f>
        <x:v>0</x:v>
      </x:c>
      <x:c r="N1289" s="440" t="n">
        <x:f>IF(AND(ISNUMBER(H1289),ISNUMBER(L1289)),H1289+L1289,"")</x:f>
        <x:v>0</x:v>
      </x:c>
    </x:row>
    <x:row r="1290" ht="22" customHeight="1">
      <x:c r="A1290" s="254" t="n">
        <x:f>890</x:f>
        <x:v>890</x:v>
      </x:c>
      <x:c r="B1290" s="440" t="n">
        <x:f>IF(ISNUMBER(H1289),H1289,"")</x:f>
        <x:v>0</x:v>
      </x:c>
      <x:c r="C1290" s="442" t="n">
        <x:f>IF(ISNUMBER(B1290),IF(AND(890&gt;$B$173,$B$78="Refinance",ISNUMBER($B$80),$B$80&gt;=0,$B$80&lt;=1,ROUND($B$81*12,0)&gt;=1,$B$81&lt;=100,SUM($B$82)&gt;=0,SUM($B$82)&lt;=1,SUM($B$83)&gt;=0),$B$80,IF(AND($B$175&gt;0,890&gt;$B$175,ISNUMBER($B$75)),$B$75,$B$61)),"")</x:f>
        <x:v>0.0625</x:v>
      </x:c>
      <x:c r="D1290" s="440" t="n">
        <x:f>IF(AND(ISNUMBER(B1290),B1290=0),0,IF(AND($B$171=1,I1289=0,ISNUMBER(C1290),ISNUMBER(IF(AND(890&lt;=$B$174,890&lt;=$B$173),B1290*C1290/12,IF(AND(890=$B$173+1,AND(890&gt;$B$173,$B$78="Refinance",ISNUMBER($B$80),$B$80&gt;=0,$B$80&lt;=1,ROUND($B$81*12,0)&gt;=1,$B$81&lt;=100,SUM($B$82)&gt;=0,SUM($B$82)&lt;=1,SUM($B$83)&gt;=0)),IF(B1290=0,0,IF(C1290=0,B1290/ROUND($B$81*12,0),B1290*(C1290/12)/(1-(1+C1290/12)^(-ROUND($B$81*12,0))))),IF(AND(NOT(AND(890&gt;$B$173,$B$78="Refinance",ISNUMBER($B$80),$B$80&gt;=0,$B$80&lt;=1,ROUND($B$81*12,0)&gt;=1,$B$81&lt;=100,SUM($B$82)&gt;=0,SUM($B$82)&lt;=1,SUM($B$83)&gt;=0)),OR(890=1,890=$B$174+1,AND($B$175&gt;0,890=$B$175+1))),IF(AND($B$170=1,$B$66&gt;0,OR($B$175=0,890&lt;=$B$175)),$B$66,IF($B$172-MAX(890-1,$B$174)&gt;0,IF(B1290=0,0,IF(C1290=0,B1290/($B$172-MAX(890-1,$B$174)),B1290*(C1290/12)/(1-(1+C1290/12)^(-($B$172-MAX(890-1,$B$174)))))),"")),D1289))))),IF(IF(AND(890&lt;=$B$174,890&lt;=$B$173),B1290*C1290/12,IF(AND(890=$B$173+1,AND(890&gt;$B$173,$B$78="Refinance",ISNUMBER($B$80),$B$80&gt;=0,$B$80&lt;=1,ROUND($B$81*12,0)&gt;=1,$B$81&lt;=100,SUM($B$82)&gt;=0,SUM($B$82)&lt;=1,SUM($B$83)&gt;=0)),IF(B1290=0,0,IF(C1290=0,B1290/ROUND($B$81*12,0),B1290*(C1290/12)/(1-(1+C1290/12)^(-ROUND($B$81*12,0))))),IF(AND(NOT(AND(890&gt;$B$173,$B$78="Refinance",ISNUMBER($B$80),$B$80&gt;=0,$B$80&lt;=1,ROUND($B$81*12,0)&gt;=1,$B$81&lt;=100,SUM($B$82)&gt;=0,SUM($B$82)&lt;=1,SUM($B$83)&gt;=0)),OR(890=1,890=$B$174+1,AND($B$175&gt;0,890=$B$175+1))),IF(AND($B$170=1,$B$66&gt;0,OR($B$175=0,890&lt;=$B$175)),$B$66,IF($B$172-MAX(890-1,$B$174)&gt;0,IF(B1290=0,0,IF(C1290=0,B1290/($B$172-MAX(890-1,$B$174)),B1290*(C1290/12)/(1-(1+C1290/12)^(-($B$172-MAX(890-1,$B$174)))))),"")),D1289)))+0.0000001&gt;=B1290*C1290/12,MIN(B1290*(1+C1290/12),IF(AND(890&lt;=$B$174,890&lt;=$B$173),B1290*C1290/12,IF(AND(890=$B$173+1,AND(890&gt;$B$173,$B$78="Refinance",ISNUMBER($B$80),$B$80&gt;=0,$B$80&lt;=1,ROUND($B$81*12,0)&gt;=1,$B$81&lt;=100,SUM($B$82)&gt;=0,SUM($B$82)&lt;=1,SUM($B$83)&gt;=0)),IF(B1290=0,0,IF(C1290=0,B1290/ROUND($B$81*12,0),B1290*(C1290/12)/(1-(1+C1290/12)^(-ROUND($B$81*12,0))))),IF(AND(NOT(AND(890&gt;$B$173,$B$78="Refinance",ISNUMBER($B$80),$B$80&gt;=0,$B$80&lt;=1,ROUND($B$81*12,0)&gt;=1,$B$81&lt;=100,SUM($B$82)&gt;=0,SUM($B$82)&lt;=1,SUM($B$83)&gt;=0)),OR(890=1,890=$B$174+1,AND($B$175&gt;0,890=$B$175+1))),IF(AND($B$170=1,$B$66&gt;0,OR($B$175=0,890&lt;=$B$175)),$B$66,IF($B$172-MAX(890-1,$B$174)&gt;0,IF(B1290=0,0,IF(C1290=0,B1290/($B$172-MAX(890-1,$B$174)),B1290*(C1290/12)/(1-(1+C1290/12)^(-($B$172-MAX(890-1,$B$174)))))),"")),D1289)))),""),""))</x:f>
        <x:v>0</x:v>
      </x:c>
      <x:c r="E1290" s="440" t="n">
        <x:f>IF(AND(890=$B$173,ISNUMBER(D1290)),IF(MAX(0,B1290*(1+C1290/12)-D1290)&lt;MAX(0.0000001,$E$17*0.00000000001),0,MAX(0,B1290*(1+C1290/12)-D1290)),0)</x:f>
        <x:v>0</x:v>
      </x:c>
      <x:c r="F1290" s="440" t="n">
        <x:f>IF($B$78="Cash payoff",E1290,0)</x:f>
        <x:v>0</x:v>
      </x:c>
      <x:c r="G1290" s="440" t="n">
        <x:f>IF(AND(E1290&gt;0,AND($B$78="Refinance",ISNUMBER($B$80),$B$80&gt;=0,$B$80&lt;=1,ROUND($B$81*12,0)&gt;=1,$B$81&lt;=100,SUM($B$82)&gt;=0,SUM($B$82)&lt;=1,SUM($B$83)&gt;=0)),E1290*SUM($B$82)+SUM($B$83),0)</x:f>
        <x:v>0</x:v>
      </x:c>
      <x:c r="H1290" s="440" t="n">
        <x:f>IF(ISNUMBER(D1290),IF(MAX(0,B1290*(1+C1290/12)-D1290-F1290)&lt;MAX(0.0000001,$E$17*0.00000000001),0,MAX(0,B1290*(1+C1290/12)-D1290-F1290)),IF(AND($B$171=1,I1289=1),B1290,""))</x:f>
        <x:v>0</x:v>
      </x:c>
      <x:c r="I1290" s="444" t="n">
        <x:f>IF(OR(I1289=1,AND(E1290&gt;0,$B$78&lt;&gt;"Cash payoff",NOT(AND($B$78="Refinance",ISNUMBER($B$80),$B$80&gt;=0,$B$80&lt;=1,ROUND($B$81*12,0)&gt;=1,$B$81&lt;=100,SUM($B$82)&gt;=0,SUM($B$82)&lt;=1,SUM($B$83)&gt;=0))),AND(ISNUMBER(B1290),B1290&gt;0,$B$171=1,NOT(ISNUMBER(D1290)))),1,0)</x:f>
        <x:v>0</x:v>
      </x:c>
      <x:c r="J1290" s="440" t="n">
        <x:f>IF(ISNUMBER(L1289),L1289,"")</x:f>
        <x:v>0</x:v>
      </x:c>
      <x:c r="K1290" s="440" t="n">
        <x:f>IF(AND(ISNUMBER(J1290),J1290=0),0,IF(AND($B$176=1,ISNUMBER(J1290)),MIN(J1290*(1+$B$87/12),IF($B$86=0,0,IF($B$87=0,$B$86/ROUND($B$88*12,0),$B$86*($B$87/12)/(1-(1+$B$87/12)^(-ROUND($B$88*12,0)))))),""))</x:f>
        <x:v>0</x:v>
      </x:c>
      <x:c r="L1290" s="440" t="n">
        <x:f>IF(ISNUMBER(K1290),IF(MAX(0,J1290*(1+SUM($B$87)/12)-K1290)&lt;MAX(0.0000001,$B$86*0.00000000001),0,MAX(0,J1290*(1+SUM($B$87)/12)-K1290)),"")</x:f>
        <x:v>0</x:v>
      </x:c>
      <x:c r="M1290" s="440" t="n">
        <x:f>IF(AND(ISNUMBER(D1290),ISNUMBER(K1290)),D1290+K1290,"")</x:f>
        <x:v>0</x:v>
      </x:c>
      <x:c r="N1290" s="440" t="n">
        <x:f>IF(AND(ISNUMBER(H1290),ISNUMBER(L1290)),H1290+L1290,"")</x:f>
        <x:v>0</x:v>
      </x:c>
    </x:row>
    <x:row r="1291" ht="22" customHeight="1">
      <x:c r="A1291" s="254" t="n">
        <x:f>891</x:f>
        <x:v>891</x:v>
      </x:c>
      <x:c r="B1291" s="440" t="n">
        <x:f>IF(ISNUMBER(H1290),H1290,"")</x:f>
        <x:v>0</x:v>
      </x:c>
      <x:c r="C1291" s="442" t="n">
        <x:f>IF(ISNUMBER(B1291),IF(AND(891&gt;$B$173,$B$78="Refinance",ISNUMBER($B$80),$B$80&gt;=0,$B$80&lt;=1,ROUND($B$81*12,0)&gt;=1,$B$81&lt;=100,SUM($B$82)&gt;=0,SUM($B$82)&lt;=1,SUM($B$83)&gt;=0),$B$80,IF(AND($B$175&gt;0,891&gt;$B$175,ISNUMBER($B$75)),$B$75,$B$61)),"")</x:f>
        <x:v>0.0625</x:v>
      </x:c>
      <x:c r="D1291" s="440" t="n">
        <x:f>IF(AND(ISNUMBER(B1291),B1291=0),0,IF(AND($B$171=1,I1290=0,ISNUMBER(C1291),ISNUMBER(IF(AND(891&lt;=$B$174,891&lt;=$B$173),B1291*C1291/12,IF(AND(891=$B$173+1,AND(891&gt;$B$173,$B$78="Refinance",ISNUMBER($B$80),$B$80&gt;=0,$B$80&lt;=1,ROUND($B$81*12,0)&gt;=1,$B$81&lt;=100,SUM($B$82)&gt;=0,SUM($B$82)&lt;=1,SUM($B$83)&gt;=0)),IF(B1291=0,0,IF(C1291=0,B1291/ROUND($B$81*12,0),B1291*(C1291/12)/(1-(1+C1291/12)^(-ROUND($B$81*12,0))))),IF(AND(NOT(AND(891&gt;$B$173,$B$78="Refinance",ISNUMBER($B$80),$B$80&gt;=0,$B$80&lt;=1,ROUND($B$81*12,0)&gt;=1,$B$81&lt;=100,SUM($B$82)&gt;=0,SUM($B$82)&lt;=1,SUM($B$83)&gt;=0)),OR(891=1,891=$B$174+1,AND($B$175&gt;0,891=$B$175+1))),IF(AND($B$170=1,$B$66&gt;0,OR($B$175=0,891&lt;=$B$175)),$B$66,IF($B$172-MAX(891-1,$B$174)&gt;0,IF(B1291=0,0,IF(C1291=0,B1291/($B$172-MAX(891-1,$B$174)),B1291*(C1291/12)/(1-(1+C1291/12)^(-($B$172-MAX(891-1,$B$174)))))),"")),D1290))))),IF(IF(AND(891&lt;=$B$174,891&lt;=$B$173),B1291*C1291/12,IF(AND(891=$B$173+1,AND(891&gt;$B$173,$B$78="Refinance",ISNUMBER($B$80),$B$80&gt;=0,$B$80&lt;=1,ROUND($B$81*12,0)&gt;=1,$B$81&lt;=100,SUM($B$82)&gt;=0,SUM($B$82)&lt;=1,SUM($B$83)&gt;=0)),IF(B1291=0,0,IF(C1291=0,B1291/ROUND($B$81*12,0),B1291*(C1291/12)/(1-(1+C1291/12)^(-ROUND($B$81*12,0))))),IF(AND(NOT(AND(891&gt;$B$173,$B$78="Refinance",ISNUMBER($B$80),$B$80&gt;=0,$B$80&lt;=1,ROUND($B$81*12,0)&gt;=1,$B$81&lt;=100,SUM($B$82)&gt;=0,SUM($B$82)&lt;=1,SUM($B$83)&gt;=0)),OR(891=1,891=$B$174+1,AND($B$175&gt;0,891=$B$175+1))),IF(AND($B$170=1,$B$66&gt;0,OR($B$175=0,891&lt;=$B$175)),$B$66,IF($B$172-MAX(891-1,$B$174)&gt;0,IF(B1291=0,0,IF(C1291=0,B1291/($B$172-MAX(891-1,$B$174)),B1291*(C1291/12)/(1-(1+C1291/12)^(-($B$172-MAX(891-1,$B$174)))))),"")),D1290)))+0.0000001&gt;=B1291*C1291/12,MIN(B1291*(1+C1291/12),IF(AND(891&lt;=$B$174,891&lt;=$B$173),B1291*C1291/12,IF(AND(891=$B$173+1,AND(891&gt;$B$173,$B$78="Refinance",ISNUMBER($B$80),$B$80&gt;=0,$B$80&lt;=1,ROUND($B$81*12,0)&gt;=1,$B$81&lt;=100,SUM($B$82)&gt;=0,SUM($B$82)&lt;=1,SUM($B$83)&gt;=0)),IF(B1291=0,0,IF(C1291=0,B1291/ROUND($B$81*12,0),B1291*(C1291/12)/(1-(1+C1291/12)^(-ROUND($B$81*12,0))))),IF(AND(NOT(AND(891&gt;$B$173,$B$78="Refinance",ISNUMBER($B$80),$B$80&gt;=0,$B$80&lt;=1,ROUND($B$81*12,0)&gt;=1,$B$81&lt;=100,SUM($B$82)&gt;=0,SUM($B$82)&lt;=1,SUM($B$83)&gt;=0)),OR(891=1,891=$B$174+1,AND($B$175&gt;0,891=$B$175+1))),IF(AND($B$170=1,$B$66&gt;0,OR($B$175=0,891&lt;=$B$175)),$B$66,IF($B$172-MAX(891-1,$B$174)&gt;0,IF(B1291=0,0,IF(C1291=0,B1291/($B$172-MAX(891-1,$B$174)),B1291*(C1291/12)/(1-(1+C1291/12)^(-($B$172-MAX(891-1,$B$174)))))),"")),D1290)))),""),""))</x:f>
        <x:v>0</x:v>
      </x:c>
      <x:c r="E1291" s="440" t="n">
        <x:f>IF(AND(891=$B$173,ISNUMBER(D1291)),IF(MAX(0,B1291*(1+C1291/12)-D1291)&lt;MAX(0.0000001,$E$17*0.00000000001),0,MAX(0,B1291*(1+C1291/12)-D1291)),0)</x:f>
        <x:v>0</x:v>
      </x:c>
      <x:c r="F1291" s="440" t="n">
        <x:f>IF($B$78="Cash payoff",E1291,0)</x:f>
        <x:v>0</x:v>
      </x:c>
      <x:c r="G1291" s="440" t="n">
        <x:f>IF(AND(E1291&gt;0,AND($B$78="Refinance",ISNUMBER($B$80),$B$80&gt;=0,$B$80&lt;=1,ROUND($B$81*12,0)&gt;=1,$B$81&lt;=100,SUM($B$82)&gt;=0,SUM($B$82)&lt;=1,SUM($B$83)&gt;=0)),E1291*SUM($B$82)+SUM($B$83),0)</x:f>
        <x:v>0</x:v>
      </x:c>
      <x:c r="H1291" s="440" t="n">
        <x:f>IF(ISNUMBER(D1291),IF(MAX(0,B1291*(1+C1291/12)-D1291-F1291)&lt;MAX(0.0000001,$E$17*0.00000000001),0,MAX(0,B1291*(1+C1291/12)-D1291-F1291)),IF(AND($B$171=1,I1290=1),B1291,""))</x:f>
        <x:v>0</x:v>
      </x:c>
      <x:c r="I1291" s="444" t="n">
        <x:f>IF(OR(I1290=1,AND(E1291&gt;0,$B$78&lt;&gt;"Cash payoff",NOT(AND($B$78="Refinance",ISNUMBER($B$80),$B$80&gt;=0,$B$80&lt;=1,ROUND($B$81*12,0)&gt;=1,$B$81&lt;=100,SUM($B$82)&gt;=0,SUM($B$82)&lt;=1,SUM($B$83)&gt;=0))),AND(ISNUMBER(B1291),B1291&gt;0,$B$171=1,NOT(ISNUMBER(D1291)))),1,0)</x:f>
        <x:v>0</x:v>
      </x:c>
      <x:c r="J1291" s="440" t="n">
        <x:f>IF(ISNUMBER(L1290),L1290,"")</x:f>
        <x:v>0</x:v>
      </x:c>
      <x:c r="K1291" s="440" t="n">
        <x:f>IF(AND(ISNUMBER(J1291),J1291=0),0,IF(AND($B$176=1,ISNUMBER(J1291)),MIN(J1291*(1+$B$87/12),IF($B$86=0,0,IF($B$87=0,$B$86/ROUND($B$88*12,0),$B$86*($B$87/12)/(1-(1+$B$87/12)^(-ROUND($B$88*12,0)))))),""))</x:f>
        <x:v>0</x:v>
      </x:c>
      <x:c r="L1291" s="440" t="n">
        <x:f>IF(ISNUMBER(K1291),IF(MAX(0,J1291*(1+SUM($B$87)/12)-K1291)&lt;MAX(0.0000001,$B$86*0.00000000001),0,MAX(0,J1291*(1+SUM($B$87)/12)-K1291)),"")</x:f>
        <x:v>0</x:v>
      </x:c>
      <x:c r="M1291" s="440" t="n">
        <x:f>IF(AND(ISNUMBER(D1291),ISNUMBER(K1291)),D1291+K1291,"")</x:f>
        <x:v>0</x:v>
      </x:c>
      <x:c r="N1291" s="440" t="n">
        <x:f>IF(AND(ISNUMBER(H1291),ISNUMBER(L1291)),H1291+L1291,"")</x:f>
        <x:v>0</x:v>
      </x:c>
    </x:row>
    <x:row r="1292" ht="22" customHeight="1">
      <x:c r="A1292" s="254" t="n">
        <x:f>892</x:f>
        <x:v>892</x:v>
      </x:c>
      <x:c r="B1292" s="440" t="n">
        <x:f>IF(ISNUMBER(H1291),H1291,"")</x:f>
        <x:v>0</x:v>
      </x:c>
      <x:c r="C1292" s="442" t="n">
        <x:f>IF(ISNUMBER(B1292),IF(AND(892&gt;$B$173,$B$78="Refinance",ISNUMBER($B$80),$B$80&gt;=0,$B$80&lt;=1,ROUND($B$81*12,0)&gt;=1,$B$81&lt;=100,SUM($B$82)&gt;=0,SUM($B$82)&lt;=1,SUM($B$83)&gt;=0),$B$80,IF(AND($B$175&gt;0,892&gt;$B$175,ISNUMBER($B$75)),$B$75,$B$61)),"")</x:f>
        <x:v>0.0625</x:v>
      </x:c>
      <x:c r="D1292" s="440" t="n">
        <x:f>IF(AND(ISNUMBER(B1292),B1292=0),0,IF(AND($B$171=1,I1291=0,ISNUMBER(C1292),ISNUMBER(IF(AND(892&lt;=$B$174,892&lt;=$B$173),B1292*C1292/12,IF(AND(892=$B$173+1,AND(892&gt;$B$173,$B$78="Refinance",ISNUMBER($B$80),$B$80&gt;=0,$B$80&lt;=1,ROUND($B$81*12,0)&gt;=1,$B$81&lt;=100,SUM($B$82)&gt;=0,SUM($B$82)&lt;=1,SUM($B$83)&gt;=0)),IF(B1292=0,0,IF(C1292=0,B1292/ROUND($B$81*12,0),B1292*(C1292/12)/(1-(1+C1292/12)^(-ROUND($B$81*12,0))))),IF(AND(NOT(AND(892&gt;$B$173,$B$78="Refinance",ISNUMBER($B$80),$B$80&gt;=0,$B$80&lt;=1,ROUND($B$81*12,0)&gt;=1,$B$81&lt;=100,SUM($B$82)&gt;=0,SUM($B$82)&lt;=1,SUM($B$83)&gt;=0)),OR(892=1,892=$B$174+1,AND($B$175&gt;0,892=$B$175+1))),IF(AND($B$170=1,$B$66&gt;0,OR($B$175=0,892&lt;=$B$175)),$B$66,IF($B$172-MAX(892-1,$B$174)&gt;0,IF(B1292=0,0,IF(C1292=0,B1292/($B$172-MAX(892-1,$B$174)),B1292*(C1292/12)/(1-(1+C1292/12)^(-($B$172-MAX(892-1,$B$174)))))),"")),D1291))))),IF(IF(AND(892&lt;=$B$174,892&lt;=$B$173),B1292*C1292/12,IF(AND(892=$B$173+1,AND(892&gt;$B$173,$B$78="Refinance",ISNUMBER($B$80),$B$80&gt;=0,$B$80&lt;=1,ROUND($B$81*12,0)&gt;=1,$B$81&lt;=100,SUM($B$82)&gt;=0,SUM($B$82)&lt;=1,SUM($B$83)&gt;=0)),IF(B1292=0,0,IF(C1292=0,B1292/ROUND($B$81*12,0),B1292*(C1292/12)/(1-(1+C1292/12)^(-ROUND($B$81*12,0))))),IF(AND(NOT(AND(892&gt;$B$173,$B$78="Refinance",ISNUMBER($B$80),$B$80&gt;=0,$B$80&lt;=1,ROUND($B$81*12,0)&gt;=1,$B$81&lt;=100,SUM($B$82)&gt;=0,SUM($B$82)&lt;=1,SUM($B$83)&gt;=0)),OR(892=1,892=$B$174+1,AND($B$175&gt;0,892=$B$175+1))),IF(AND($B$170=1,$B$66&gt;0,OR($B$175=0,892&lt;=$B$175)),$B$66,IF($B$172-MAX(892-1,$B$174)&gt;0,IF(B1292=0,0,IF(C1292=0,B1292/($B$172-MAX(892-1,$B$174)),B1292*(C1292/12)/(1-(1+C1292/12)^(-($B$172-MAX(892-1,$B$174)))))),"")),D1291)))+0.0000001&gt;=B1292*C1292/12,MIN(B1292*(1+C1292/12),IF(AND(892&lt;=$B$174,892&lt;=$B$173),B1292*C1292/12,IF(AND(892=$B$173+1,AND(892&gt;$B$173,$B$78="Refinance",ISNUMBER($B$80),$B$80&gt;=0,$B$80&lt;=1,ROUND($B$81*12,0)&gt;=1,$B$81&lt;=100,SUM($B$82)&gt;=0,SUM($B$82)&lt;=1,SUM($B$83)&gt;=0)),IF(B1292=0,0,IF(C1292=0,B1292/ROUND($B$81*12,0),B1292*(C1292/12)/(1-(1+C1292/12)^(-ROUND($B$81*12,0))))),IF(AND(NOT(AND(892&gt;$B$173,$B$78="Refinance",ISNUMBER($B$80),$B$80&gt;=0,$B$80&lt;=1,ROUND($B$81*12,0)&gt;=1,$B$81&lt;=100,SUM($B$82)&gt;=0,SUM($B$82)&lt;=1,SUM($B$83)&gt;=0)),OR(892=1,892=$B$174+1,AND($B$175&gt;0,892=$B$175+1))),IF(AND($B$170=1,$B$66&gt;0,OR($B$175=0,892&lt;=$B$175)),$B$66,IF($B$172-MAX(892-1,$B$174)&gt;0,IF(B1292=0,0,IF(C1292=0,B1292/($B$172-MAX(892-1,$B$174)),B1292*(C1292/12)/(1-(1+C1292/12)^(-($B$172-MAX(892-1,$B$174)))))),"")),D1291)))),""),""))</x:f>
        <x:v>0</x:v>
      </x:c>
      <x:c r="E1292" s="440" t="n">
        <x:f>IF(AND(892=$B$173,ISNUMBER(D1292)),IF(MAX(0,B1292*(1+C1292/12)-D1292)&lt;MAX(0.0000001,$E$17*0.00000000001),0,MAX(0,B1292*(1+C1292/12)-D1292)),0)</x:f>
        <x:v>0</x:v>
      </x:c>
      <x:c r="F1292" s="440" t="n">
        <x:f>IF($B$78="Cash payoff",E1292,0)</x:f>
        <x:v>0</x:v>
      </x:c>
      <x:c r="G1292" s="440" t="n">
        <x:f>IF(AND(E1292&gt;0,AND($B$78="Refinance",ISNUMBER($B$80),$B$80&gt;=0,$B$80&lt;=1,ROUND($B$81*12,0)&gt;=1,$B$81&lt;=100,SUM($B$82)&gt;=0,SUM($B$82)&lt;=1,SUM($B$83)&gt;=0)),E1292*SUM($B$82)+SUM($B$83),0)</x:f>
        <x:v>0</x:v>
      </x:c>
      <x:c r="H1292" s="440" t="n">
        <x:f>IF(ISNUMBER(D1292),IF(MAX(0,B1292*(1+C1292/12)-D1292-F1292)&lt;MAX(0.0000001,$E$17*0.00000000001),0,MAX(0,B1292*(1+C1292/12)-D1292-F1292)),IF(AND($B$171=1,I1291=1),B1292,""))</x:f>
        <x:v>0</x:v>
      </x:c>
      <x:c r="I1292" s="444" t="n">
        <x:f>IF(OR(I1291=1,AND(E1292&gt;0,$B$78&lt;&gt;"Cash payoff",NOT(AND($B$78="Refinance",ISNUMBER($B$80),$B$80&gt;=0,$B$80&lt;=1,ROUND($B$81*12,0)&gt;=1,$B$81&lt;=100,SUM($B$82)&gt;=0,SUM($B$82)&lt;=1,SUM($B$83)&gt;=0))),AND(ISNUMBER(B1292),B1292&gt;0,$B$171=1,NOT(ISNUMBER(D1292)))),1,0)</x:f>
        <x:v>0</x:v>
      </x:c>
      <x:c r="J1292" s="440" t="n">
        <x:f>IF(ISNUMBER(L1291),L1291,"")</x:f>
        <x:v>0</x:v>
      </x:c>
      <x:c r="K1292" s="440" t="n">
        <x:f>IF(AND(ISNUMBER(J1292),J1292=0),0,IF(AND($B$176=1,ISNUMBER(J1292)),MIN(J1292*(1+$B$87/12),IF($B$86=0,0,IF($B$87=0,$B$86/ROUND($B$88*12,0),$B$86*($B$87/12)/(1-(1+$B$87/12)^(-ROUND($B$88*12,0)))))),""))</x:f>
        <x:v>0</x:v>
      </x:c>
      <x:c r="L1292" s="440" t="n">
        <x:f>IF(ISNUMBER(K1292),IF(MAX(0,J1292*(1+SUM($B$87)/12)-K1292)&lt;MAX(0.0000001,$B$86*0.00000000001),0,MAX(0,J1292*(1+SUM($B$87)/12)-K1292)),"")</x:f>
        <x:v>0</x:v>
      </x:c>
      <x:c r="M1292" s="440" t="n">
        <x:f>IF(AND(ISNUMBER(D1292),ISNUMBER(K1292)),D1292+K1292,"")</x:f>
        <x:v>0</x:v>
      </x:c>
      <x:c r="N1292" s="440" t="n">
        <x:f>IF(AND(ISNUMBER(H1292),ISNUMBER(L1292)),H1292+L1292,"")</x:f>
        <x:v>0</x:v>
      </x:c>
    </x:row>
    <x:row r="1293" ht="22" customHeight="1">
      <x:c r="A1293" s="254" t="n">
        <x:f>893</x:f>
        <x:v>893</x:v>
      </x:c>
      <x:c r="B1293" s="440" t="n">
        <x:f>IF(ISNUMBER(H1292),H1292,"")</x:f>
        <x:v>0</x:v>
      </x:c>
      <x:c r="C1293" s="442" t="n">
        <x:f>IF(ISNUMBER(B1293),IF(AND(893&gt;$B$173,$B$78="Refinance",ISNUMBER($B$80),$B$80&gt;=0,$B$80&lt;=1,ROUND($B$81*12,0)&gt;=1,$B$81&lt;=100,SUM($B$82)&gt;=0,SUM($B$82)&lt;=1,SUM($B$83)&gt;=0),$B$80,IF(AND($B$175&gt;0,893&gt;$B$175,ISNUMBER($B$75)),$B$75,$B$61)),"")</x:f>
        <x:v>0.0625</x:v>
      </x:c>
      <x:c r="D1293" s="440" t="n">
        <x:f>IF(AND(ISNUMBER(B1293),B1293=0),0,IF(AND($B$171=1,I1292=0,ISNUMBER(C1293),ISNUMBER(IF(AND(893&lt;=$B$174,893&lt;=$B$173),B1293*C1293/12,IF(AND(893=$B$173+1,AND(893&gt;$B$173,$B$78="Refinance",ISNUMBER($B$80),$B$80&gt;=0,$B$80&lt;=1,ROUND($B$81*12,0)&gt;=1,$B$81&lt;=100,SUM($B$82)&gt;=0,SUM($B$82)&lt;=1,SUM($B$83)&gt;=0)),IF(B1293=0,0,IF(C1293=0,B1293/ROUND($B$81*12,0),B1293*(C1293/12)/(1-(1+C1293/12)^(-ROUND($B$81*12,0))))),IF(AND(NOT(AND(893&gt;$B$173,$B$78="Refinance",ISNUMBER($B$80),$B$80&gt;=0,$B$80&lt;=1,ROUND($B$81*12,0)&gt;=1,$B$81&lt;=100,SUM($B$82)&gt;=0,SUM($B$82)&lt;=1,SUM($B$83)&gt;=0)),OR(893=1,893=$B$174+1,AND($B$175&gt;0,893=$B$175+1))),IF(AND($B$170=1,$B$66&gt;0,OR($B$175=0,893&lt;=$B$175)),$B$66,IF($B$172-MAX(893-1,$B$174)&gt;0,IF(B1293=0,0,IF(C1293=0,B1293/($B$172-MAX(893-1,$B$174)),B1293*(C1293/12)/(1-(1+C1293/12)^(-($B$172-MAX(893-1,$B$174)))))),"")),D1292))))),IF(IF(AND(893&lt;=$B$174,893&lt;=$B$173),B1293*C1293/12,IF(AND(893=$B$173+1,AND(893&gt;$B$173,$B$78="Refinance",ISNUMBER($B$80),$B$80&gt;=0,$B$80&lt;=1,ROUND($B$81*12,0)&gt;=1,$B$81&lt;=100,SUM($B$82)&gt;=0,SUM($B$82)&lt;=1,SUM($B$83)&gt;=0)),IF(B1293=0,0,IF(C1293=0,B1293/ROUND($B$81*12,0),B1293*(C1293/12)/(1-(1+C1293/12)^(-ROUND($B$81*12,0))))),IF(AND(NOT(AND(893&gt;$B$173,$B$78="Refinance",ISNUMBER($B$80),$B$80&gt;=0,$B$80&lt;=1,ROUND($B$81*12,0)&gt;=1,$B$81&lt;=100,SUM($B$82)&gt;=0,SUM($B$82)&lt;=1,SUM($B$83)&gt;=0)),OR(893=1,893=$B$174+1,AND($B$175&gt;0,893=$B$175+1))),IF(AND($B$170=1,$B$66&gt;0,OR($B$175=0,893&lt;=$B$175)),$B$66,IF($B$172-MAX(893-1,$B$174)&gt;0,IF(B1293=0,0,IF(C1293=0,B1293/($B$172-MAX(893-1,$B$174)),B1293*(C1293/12)/(1-(1+C1293/12)^(-($B$172-MAX(893-1,$B$174)))))),"")),D1292)))+0.0000001&gt;=B1293*C1293/12,MIN(B1293*(1+C1293/12),IF(AND(893&lt;=$B$174,893&lt;=$B$173),B1293*C1293/12,IF(AND(893=$B$173+1,AND(893&gt;$B$173,$B$78="Refinance",ISNUMBER($B$80),$B$80&gt;=0,$B$80&lt;=1,ROUND($B$81*12,0)&gt;=1,$B$81&lt;=100,SUM($B$82)&gt;=0,SUM($B$82)&lt;=1,SUM($B$83)&gt;=0)),IF(B1293=0,0,IF(C1293=0,B1293/ROUND($B$81*12,0),B1293*(C1293/12)/(1-(1+C1293/12)^(-ROUND($B$81*12,0))))),IF(AND(NOT(AND(893&gt;$B$173,$B$78="Refinance",ISNUMBER($B$80),$B$80&gt;=0,$B$80&lt;=1,ROUND($B$81*12,0)&gt;=1,$B$81&lt;=100,SUM($B$82)&gt;=0,SUM($B$82)&lt;=1,SUM($B$83)&gt;=0)),OR(893=1,893=$B$174+1,AND($B$175&gt;0,893=$B$175+1))),IF(AND($B$170=1,$B$66&gt;0,OR($B$175=0,893&lt;=$B$175)),$B$66,IF($B$172-MAX(893-1,$B$174)&gt;0,IF(B1293=0,0,IF(C1293=0,B1293/($B$172-MAX(893-1,$B$174)),B1293*(C1293/12)/(1-(1+C1293/12)^(-($B$172-MAX(893-1,$B$174)))))),"")),D1292)))),""),""))</x:f>
        <x:v>0</x:v>
      </x:c>
      <x:c r="E1293" s="440" t="n">
        <x:f>IF(AND(893=$B$173,ISNUMBER(D1293)),IF(MAX(0,B1293*(1+C1293/12)-D1293)&lt;MAX(0.0000001,$E$17*0.00000000001),0,MAX(0,B1293*(1+C1293/12)-D1293)),0)</x:f>
        <x:v>0</x:v>
      </x:c>
      <x:c r="F1293" s="440" t="n">
        <x:f>IF($B$78="Cash payoff",E1293,0)</x:f>
        <x:v>0</x:v>
      </x:c>
      <x:c r="G1293" s="440" t="n">
        <x:f>IF(AND(E1293&gt;0,AND($B$78="Refinance",ISNUMBER($B$80),$B$80&gt;=0,$B$80&lt;=1,ROUND($B$81*12,0)&gt;=1,$B$81&lt;=100,SUM($B$82)&gt;=0,SUM($B$82)&lt;=1,SUM($B$83)&gt;=0)),E1293*SUM($B$82)+SUM($B$83),0)</x:f>
        <x:v>0</x:v>
      </x:c>
      <x:c r="H1293" s="440" t="n">
        <x:f>IF(ISNUMBER(D1293),IF(MAX(0,B1293*(1+C1293/12)-D1293-F1293)&lt;MAX(0.0000001,$E$17*0.00000000001),0,MAX(0,B1293*(1+C1293/12)-D1293-F1293)),IF(AND($B$171=1,I1292=1),B1293,""))</x:f>
        <x:v>0</x:v>
      </x:c>
      <x:c r="I1293" s="444" t="n">
        <x:f>IF(OR(I1292=1,AND(E1293&gt;0,$B$78&lt;&gt;"Cash payoff",NOT(AND($B$78="Refinance",ISNUMBER($B$80),$B$80&gt;=0,$B$80&lt;=1,ROUND($B$81*12,0)&gt;=1,$B$81&lt;=100,SUM($B$82)&gt;=0,SUM($B$82)&lt;=1,SUM($B$83)&gt;=0))),AND(ISNUMBER(B1293),B1293&gt;0,$B$171=1,NOT(ISNUMBER(D1293)))),1,0)</x:f>
        <x:v>0</x:v>
      </x:c>
      <x:c r="J1293" s="440" t="n">
        <x:f>IF(ISNUMBER(L1292),L1292,"")</x:f>
        <x:v>0</x:v>
      </x:c>
      <x:c r="K1293" s="440" t="n">
        <x:f>IF(AND(ISNUMBER(J1293),J1293=0),0,IF(AND($B$176=1,ISNUMBER(J1293)),MIN(J1293*(1+$B$87/12),IF($B$86=0,0,IF($B$87=0,$B$86/ROUND($B$88*12,0),$B$86*($B$87/12)/(1-(1+$B$87/12)^(-ROUND($B$88*12,0)))))),""))</x:f>
        <x:v>0</x:v>
      </x:c>
      <x:c r="L1293" s="440" t="n">
        <x:f>IF(ISNUMBER(K1293),IF(MAX(0,J1293*(1+SUM($B$87)/12)-K1293)&lt;MAX(0.0000001,$B$86*0.00000000001),0,MAX(0,J1293*(1+SUM($B$87)/12)-K1293)),"")</x:f>
        <x:v>0</x:v>
      </x:c>
      <x:c r="M1293" s="440" t="n">
        <x:f>IF(AND(ISNUMBER(D1293),ISNUMBER(K1293)),D1293+K1293,"")</x:f>
        <x:v>0</x:v>
      </x:c>
      <x:c r="N1293" s="440" t="n">
        <x:f>IF(AND(ISNUMBER(H1293),ISNUMBER(L1293)),H1293+L1293,"")</x:f>
        <x:v>0</x:v>
      </x:c>
    </x:row>
    <x:row r="1294" ht="22" customHeight="1">
      <x:c r="A1294" s="254" t="n">
        <x:f>894</x:f>
        <x:v>894</x:v>
      </x:c>
      <x:c r="B1294" s="440" t="n">
        <x:f>IF(ISNUMBER(H1293),H1293,"")</x:f>
        <x:v>0</x:v>
      </x:c>
      <x:c r="C1294" s="442" t="n">
        <x:f>IF(ISNUMBER(B1294),IF(AND(894&gt;$B$173,$B$78="Refinance",ISNUMBER($B$80),$B$80&gt;=0,$B$80&lt;=1,ROUND($B$81*12,0)&gt;=1,$B$81&lt;=100,SUM($B$82)&gt;=0,SUM($B$82)&lt;=1,SUM($B$83)&gt;=0),$B$80,IF(AND($B$175&gt;0,894&gt;$B$175,ISNUMBER($B$75)),$B$75,$B$61)),"")</x:f>
        <x:v>0.0625</x:v>
      </x:c>
      <x:c r="D1294" s="440" t="n">
        <x:f>IF(AND(ISNUMBER(B1294),B1294=0),0,IF(AND($B$171=1,I1293=0,ISNUMBER(C1294),ISNUMBER(IF(AND(894&lt;=$B$174,894&lt;=$B$173),B1294*C1294/12,IF(AND(894=$B$173+1,AND(894&gt;$B$173,$B$78="Refinance",ISNUMBER($B$80),$B$80&gt;=0,$B$80&lt;=1,ROUND($B$81*12,0)&gt;=1,$B$81&lt;=100,SUM($B$82)&gt;=0,SUM($B$82)&lt;=1,SUM($B$83)&gt;=0)),IF(B1294=0,0,IF(C1294=0,B1294/ROUND($B$81*12,0),B1294*(C1294/12)/(1-(1+C1294/12)^(-ROUND($B$81*12,0))))),IF(AND(NOT(AND(894&gt;$B$173,$B$78="Refinance",ISNUMBER($B$80),$B$80&gt;=0,$B$80&lt;=1,ROUND($B$81*12,0)&gt;=1,$B$81&lt;=100,SUM($B$82)&gt;=0,SUM($B$82)&lt;=1,SUM($B$83)&gt;=0)),OR(894=1,894=$B$174+1,AND($B$175&gt;0,894=$B$175+1))),IF(AND($B$170=1,$B$66&gt;0,OR($B$175=0,894&lt;=$B$175)),$B$66,IF($B$172-MAX(894-1,$B$174)&gt;0,IF(B1294=0,0,IF(C1294=0,B1294/($B$172-MAX(894-1,$B$174)),B1294*(C1294/12)/(1-(1+C1294/12)^(-($B$172-MAX(894-1,$B$174)))))),"")),D1293))))),IF(IF(AND(894&lt;=$B$174,894&lt;=$B$173),B1294*C1294/12,IF(AND(894=$B$173+1,AND(894&gt;$B$173,$B$78="Refinance",ISNUMBER($B$80),$B$80&gt;=0,$B$80&lt;=1,ROUND($B$81*12,0)&gt;=1,$B$81&lt;=100,SUM($B$82)&gt;=0,SUM($B$82)&lt;=1,SUM($B$83)&gt;=0)),IF(B1294=0,0,IF(C1294=0,B1294/ROUND($B$81*12,0),B1294*(C1294/12)/(1-(1+C1294/12)^(-ROUND($B$81*12,0))))),IF(AND(NOT(AND(894&gt;$B$173,$B$78="Refinance",ISNUMBER($B$80),$B$80&gt;=0,$B$80&lt;=1,ROUND($B$81*12,0)&gt;=1,$B$81&lt;=100,SUM($B$82)&gt;=0,SUM($B$82)&lt;=1,SUM($B$83)&gt;=0)),OR(894=1,894=$B$174+1,AND($B$175&gt;0,894=$B$175+1))),IF(AND($B$170=1,$B$66&gt;0,OR($B$175=0,894&lt;=$B$175)),$B$66,IF($B$172-MAX(894-1,$B$174)&gt;0,IF(B1294=0,0,IF(C1294=0,B1294/($B$172-MAX(894-1,$B$174)),B1294*(C1294/12)/(1-(1+C1294/12)^(-($B$172-MAX(894-1,$B$174)))))),"")),D1293)))+0.0000001&gt;=B1294*C1294/12,MIN(B1294*(1+C1294/12),IF(AND(894&lt;=$B$174,894&lt;=$B$173),B1294*C1294/12,IF(AND(894=$B$173+1,AND(894&gt;$B$173,$B$78="Refinance",ISNUMBER($B$80),$B$80&gt;=0,$B$80&lt;=1,ROUND($B$81*12,0)&gt;=1,$B$81&lt;=100,SUM($B$82)&gt;=0,SUM($B$82)&lt;=1,SUM($B$83)&gt;=0)),IF(B1294=0,0,IF(C1294=0,B1294/ROUND($B$81*12,0),B1294*(C1294/12)/(1-(1+C1294/12)^(-ROUND($B$81*12,0))))),IF(AND(NOT(AND(894&gt;$B$173,$B$78="Refinance",ISNUMBER($B$80),$B$80&gt;=0,$B$80&lt;=1,ROUND($B$81*12,0)&gt;=1,$B$81&lt;=100,SUM($B$82)&gt;=0,SUM($B$82)&lt;=1,SUM($B$83)&gt;=0)),OR(894=1,894=$B$174+1,AND($B$175&gt;0,894=$B$175+1))),IF(AND($B$170=1,$B$66&gt;0,OR($B$175=0,894&lt;=$B$175)),$B$66,IF($B$172-MAX(894-1,$B$174)&gt;0,IF(B1294=0,0,IF(C1294=0,B1294/($B$172-MAX(894-1,$B$174)),B1294*(C1294/12)/(1-(1+C1294/12)^(-($B$172-MAX(894-1,$B$174)))))),"")),D1293)))),""),""))</x:f>
        <x:v>0</x:v>
      </x:c>
      <x:c r="E1294" s="440" t="n">
        <x:f>IF(AND(894=$B$173,ISNUMBER(D1294)),IF(MAX(0,B1294*(1+C1294/12)-D1294)&lt;MAX(0.0000001,$E$17*0.00000000001),0,MAX(0,B1294*(1+C1294/12)-D1294)),0)</x:f>
        <x:v>0</x:v>
      </x:c>
      <x:c r="F1294" s="440" t="n">
        <x:f>IF($B$78="Cash payoff",E1294,0)</x:f>
        <x:v>0</x:v>
      </x:c>
      <x:c r="G1294" s="440" t="n">
        <x:f>IF(AND(E1294&gt;0,AND($B$78="Refinance",ISNUMBER($B$80),$B$80&gt;=0,$B$80&lt;=1,ROUND($B$81*12,0)&gt;=1,$B$81&lt;=100,SUM($B$82)&gt;=0,SUM($B$82)&lt;=1,SUM($B$83)&gt;=0)),E1294*SUM($B$82)+SUM($B$83),0)</x:f>
        <x:v>0</x:v>
      </x:c>
      <x:c r="H1294" s="440" t="n">
        <x:f>IF(ISNUMBER(D1294),IF(MAX(0,B1294*(1+C1294/12)-D1294-F1294)&lt;MAX(0.0000001,$E$17*0.00000000001),0,MAX(0,B1294*(1+C1294/12)-D1294-F1294)),IF(AND($B$171=1,I1293=1),B1294,""))</x:f>
        <x:v>0</x:v>
      </x:c>
      <x:c r="I1294" s="444" t="n">
        <x:f>IF(OR(I1293=1,AND(E1294&gt;0,$B$78&lt;&gt;"Cash payoff",NOT(AND($B$78="Refinance",ISNUMBER($B$80),$B$80&gt;=0,$B$80&lt;=1,ROUND($B$81*12,0)&gt;=1,$B$81&lt;=100,SUM($B$82)&gt;=0,SUM($B$82)&lt;=1,SUM($B$83)&gt;=0))),AND(ISNUMBER(B1294),B1294&gt;0,$B$171=1,NOT(ISNUMBER(D1294)))),1,0)</x:f>
        <x:v>0</x:v>
      </x:c>
      <x:c r="J1294" s="440" t="n">
        <x:f>IF(ISNUMBER(L1293),L1293,"")</x:f>
        <x:v>0</x:v>
      </x:c>
      <x:c r="K1294" s="440" t="n">
        <x:f>IF(AND(ISNUMBER(J1294),J1294=0),0,IF(AND($B$176=1,ISNUMBER(J1294)),MIN(J1294*(1+$B$87/12),IF($B$86=0,0,IF($B$87=0,$B$86/ROUND($B$88*12,0),$B$86*($B$87/12)/(1-(1+$B$87/12)^(-ROUND($B$88*12,0)))))),""))</x:f>
        <x:v>0</x:v>
      </x:c>
      <x:c r="L1294" s="440" t="n">
        <x:f>IF(ISNUMBER(K1294),IF(MAX(0,J1294*(1+SUM($B$87)/12)-K1294)&lt;MAX(0.0000001,$B$86*0.00000000001),0,MAX(0,J1294*(1+SUM($B$87)/12)-K1294)),"")</x:f>
        <x:v>0</x:v>
      </x:c>
      <x:c r="M1294" s="440" t="n">
        <x:f>IF(AND(ISNUMBER(D1294),ISNUMBER(K1294)),D1294+K1294,"")</x:f>
        <x:v>0</x:v>
      </x:c>
      <x:c r="N1294" s="440" t="n">
        <x:f>IF(AND(ISNUMBER(H1294),ISNUMBER(L1294)),H1294+L1294,"")</x:f>
        <x:v>0</x:v>
      </x:c>
    </x:row>
    <x:row r="1295" ht="22" customHeight="1">
      <x:c r="A1295" s="254" t="n">
        <x:f>895</x:f>
        <x:v>895</x:v>
      </x:c>
      <x:c r="B1295" s="440" t="n">
        <x:f>IF(ISNUMBER(H1294),H1294,"")</x:f>
        <x:v>0</x:v>
      </x:c>
      <x:c r="C1295" s="442" t="n">
        <x:f>IF(ISNUMBER(B1295),IF(AND(895&gt;$B$173,$B$78="Refinance",ISNUMBER($B$80),$B$80&gt;=0,$B$80&lt;=1,ROUND($B$81*12,0)&gt;=1,$B$81&lt;=100,SUM($B$82)&gt;=0,SUM($B$82)&lt;=1,SUM($B$83)&gt;=0),$B$80,IF(AND($B$175&gt;0,895&gt;$B$175,ISNUMBER($B$75)),$B$75,$B$61)),"")</x:f>
        <x:v>0.0625</x:v>
      </x:c>
      <x:c r="D1295" s="440" t="n">
        <x:f>IF(AND(ISNUMBER(B1295),B1295=0),0,IF(AND($B$171=1,I1294=0,ISNUMBER(C1295),ISNUMBER(IF(AND(895&lt;=$B$174,895&lt;=$B$173),B1295*C1295/12,IF(AND(895=$B$173+1,AND(895&gt;$B$173,$B$78="Refinance",ISNUMBER($B$80),$B$80&gt;=0,$B$80&lt;=1,ROUND($B$81*12,0)&gt;=1,$B$81&lt;=100,SUM($B$82)&gt;=0,SUM($B$82)&lt;=1,SUM($B$83)&gt;=0)),IF(B1295=0,0,IF(C1295=0,B1295/ROUND($B$81*12,0),B1295*(C1295/12)/(1-(1+C1295/12)^(-ROUND($B$81*12,0))))),IF(AND(NOT(AND(895&gt;$B$173,$B$78="Refinance",ISNUMBER($B$80),$B$80&gt;=0,$B$80&lt;=1,ROUND($B$81*12,0)&gt;=1,$B$81&lt;=100,SUM($B$82)&gt;=0,SUM($B$82)&lt;=1,SUM($B$83)&gt;=0)),OR(895=1,895=$B$174+1,AND($B$175&gt;0,895=$B$175+1))),IF(AND($B$170=1,$B$66&gt;0,OR($B$175=0,895&lt;=$B$175)),$B$66,IF($B$172-MAX(895-1,$B$174)&gt;0,IF(B1295=0,0,IF(C1295=0,B1295/($B$172-MAX(895-1,$B$174)),B1295*(C1295/12)/(1-(1+C1295/12)^(-($B$172-MAX(895-1,$B$174)))))),"")),D1294))))),IF(IF(AND(895&lt;=$B$174,895&lt;=$B$173),B1295*C1295/12,IF(AND(895=$B$173+1,AND(895&gt;$B$173,$B$78="Refinance",ISNUMBER($B$80),$B$80&gt;=0,$B$80&lt;=1,ROUND($B$81*12,0)&gt;=1,$B$81&lt;=100,SUM($B$82)&gt;=0,SUM($B$82)&lt;=1,SUM($B$83)&gt;=0)),IF(B1295=0,0,IF(C1295=0,B1295/ROUND($B$81*12,0),B1295*(C1295/12)/(1-(1+C1295/12)^(-ROUND($B$81*12,0))))),IF(AND(NOT(AND(895&gt;$B$173,$B$78="Refinance",ISNUMBER($B$80),$B$80&gt;=0,$B$80&lt;=1,ROUND($B$81*12,0)&gt;=1,$B$81&lt;=100,SUM($B$82)&gt;=0,SUM($B$82)&lt;=1,SUM($B$83)&gt;=0)),OR(895=1,895=$B$174+1,AND($B$175&gt;0,895=$B$175+1))),IF(AND($B$170=1,$B$66&gt;0,OR($B$175=0,895&lt;=$B$175)),$B$66,IF($B$172-MAX(895-1,$B$174)&gt;0,IF(B1295=0,0,IF(C1295=0,B1295/($B$172-MAX(895-1,$B$174)),B1295*(C1295/12)/(1-(1+C1295/12)^(-($B$172-MAX(895-1,$B$174)))))),"")),D1294)))+0.0000001&gt;=B1295*C1295/12,MIN(B1295*(1+C1295/12),IF(AND(895&lt;=$B$174,895&lt;=$B$173),B1295*C1295/12,IF(AND(895=$B$173+1,AND(895&gt;$B$173,$B$78="Refinance",ISNUMBER($B$80),$B$80&gt;=0,$B$80&lt;=1,ROUND($B$81*12,0)&gt;=1,$B$81&lt;=100,SUM($B$82)&gt;=0,SUM($B$82)&lt;=1,SUM($B$83)&gt;=0)),IF(B1295=0,0,IF(C1295=0,B1295/ROUND($B$81*12,0),B1295*(C1295/12)/(1-(1+C1295/12)^(-ROUND($B$81*12,0))))),IF(AND(NOT(AND(895&gt;$B$173,$B$78="Refinance",ISNUMBER($B$80),$B$80&gt;=0,$B$80&lt;=1,ROUND($B$81*12,0)&gt;=1,$B$81&lt;=100,SUM($B$82)&gt;=0,SUM($B$82)&lt;=1,SUM($B$83)&gt;=0)),OR(895=1,895=$B$174+1,AND($B$175&gt;0,895=$B$175+1))),IF(AND($B$170=1,$B$66&gt;0,OR($B$175=0,895&lt;=$B$175)),$B$66,IF($B$172-MAX(895-1,$B$174)&gt;0,IF(B1295=0,0,IF(C1295=0,B1295/($B$172-MAX(895-1,$B$174)),B1295*(C1295/12)/(1-(1+C1295/12)^(-($B$172-MAX(895-1,$B$174)))))),"")),D1294)))),""),""))</x:f>
        <x:v>0</x:v>
      </x:c>
      <x:c r="E1295" s="440" t="n">
        <x:f>IF(AND(895=$B$173,ISNUMBER(D1295)),IF(MAX(0,B1295*(1+C1295/12)-D1295)&lt;MAX(0.0000001,$E$17*0.00000000001),0,MAX(0,B1295*(1+C1295/12)-D1295)),0)</x:f>
        <x:v>0</x:v>
      </x:c>
      <x:c r="F1295" s="440" t="n">
        <x:f>IF($B$78="Cash payoff",E1295,0)</x:f>
        <x:v>0</x:v>
      </x:c>
      <x:c r="G1295" s="440" t="n">
        <x:f>IF(AND(E1295&gt;0,AND($B$78="Refinance",ISNUMBER($B$80),$B$80&gt;=0,$B$80&lt;=1,ROUND($B$81*12,0)&gt;=1,$B$81&lt;=100,SUM($B$82)&gt;=0,SUM($B$82)&lt;=1,SUM($B$83)&gt;=0)),E1295*SUM($B$82)+SUM($B$83),0)</x:f>
        <x:v>0</x:v>
      </x:c>
      <x:c r="H1295" s="440" t="n">
        <x:f>IF(ISNUMBER(D1295),IF(MAX(0,B1295*(1+C1295/12)-D1295-F1295)&lt;MAX(0.0000001,$E$17*0.00000000001),0,MAX(0,B1295*(1+C1295/12)-D1295-F1295)),IF(AND($B$171=1,I1294=1),B1295,""))</x:f>
        <x:v>0</x:v>
      </x:c>
      <x:c r="I1295" s="444" t="n">
        <x:f>IF(OR(I1294=1,AND(E1295&gt;0,$B$78&lt;&gt;"Cash payoff",NOT(AND($B$78="Refinance",ISNUMBER($B$80),$B$80&gt;=0,$B$80&lt;=1,ROUND($B$81*12,0)&gt;=1,$B$81&lt;=100,SUM($B$82)&gt;=0,SUM($B$82)&lt;=1,SUM($B$83)&gt;=0))),AND(ISNUMBER(B1295),B1295&gt;0,$B$171=1,NOT(ISNUMBER(D1295)))),1,0)</x:f>
        <x:v>0</x:v>
      </x:c>
      <x:c r="J1295" s="440" t="n">
        <x:f>IF(ISNUMBER(L1294),L1294,"")</x:f>
        <x:v>0</x:v>
      </x:c>
      <x:c r="K1295" s="440" t="n">
        <x:f>IF(AND(ISNUMBER(J1295),J1295=0),0,IF(AND($B$176=1,ISNUMBER(J1295)),MIN(J1295*(1+$B$87/12),IF($B$86=0,0,IF($B$87=0,$B$86/ROUND($B$88*12,0),$B$86*($B$87/12)/(1-(1+$B$87/12)^(-ROUND($B$88*12,0)))))),""))</x:f>
        <x:v>0</x:v>
      </x:c>
      <x:c r="L1295" s="440" t="n">
        <x:f>IF(ISNUMBER(K1295),IF(MAX(0,J1295*(1+SUM($B$87)/12)-K1295)&lt;MAX(0.0000001,$B$86*0.00000000001),0,MAX(0,J1295*(1+SUM($B$87)/12)-K1295)),"")</x:f>
        <x:v>0</x:v>
      </x:c>
      <x:c r="M1295" s="440" t="n">
        <x:f>IF(AND(ISNUMBER(D1295),ISNUMBER(K1295)),D1295+K1295,"")</x:f>
        <x:v>0</x:v>
      </x:c>
      <x:c r="N1295" s="440" t="n">
        <x:f>IF(AND(ISNUMBER(H1295),ISNUMBER(L1295)),H1295+L1295,"")</x:f>
        <x:v>0</x:v>
      </x:c>
    </x:row>
    <x:row r="1296" ht="22" customHeight="1">
      <x:c r="A1296" s="254" t="n">
        <x:f>896</x:f>
        <x:v>896</x:v>
      </x:c>
      <x:c r="B1296" s="440" t="n">
        <x:f>IF(ISNUMBER(H1295),H1295,"")</x:f>
        <x:v>0</x:v>
      </x:c>
      <x:c r="C1296" s="442" t="n">
        <x:f>IF(ISNUMBER(B1296),IF(AND(896&gt;$B$173,$B$78="Refinance",ISNUMBER($B$80),$B$80&gt;=0,$B$80&lt;=1,ROUND($B$81*12,0)&gt;=1,$B$81&lt;=100,SUM($B$82)&gt;=0,SUM($B$82)&lt;=1,SUM($B$83)&gt;=0),$B$80,IF(AND($B$175&gt;0,896&gt;$B$175,ISNUMBER($B$75)),$B$75,$B$61)),"")</x:f>
        <x:v>0.0625</x:v>
      </x:c>
      <x:c r="D1296" s="440" t="n">
        <x:f>IF(AND(ISNUMBER(B1296),B1296=0),0,IF(AND($B$171=1,I1295=0,ISNUMBER(C1296),ISNUMBER(IF(AND(896&lt;=$B$174,896&lt;=$B$173),B1296*C1296/12,IF(AND(896=$B$173+1,AND(896&gt;$B$173,$B$78="Refinance",ISNUMBER($B$80),$B$80&gt;=0,$B$80&lt;=1,ROUND($B$81*12,0)&gt;=1,$B$81&lt;=100,SUM($B$82)&gt;=0,SUM($B$82)&lt;=1,SUM($B$83)&gt;=0)),IF(B1296=0,0,IF(C1296=0,B1296/ROUND($B$81*12,0),B1296*(C1296/12)/(1-(1+C1296/12)^(-ROUND($B$81*12,0))))),IF(AND(NOT(AND(896&gt;$B$173,$B$78="Refinance",ISNUMBER($B$80),$B$80&gt;=0,$B$80&lt;=1,ROUND($B$81*12,0)&gt;=1,$B$81&lt;=100,SUM($B$82)&gt;=0,SUM($B$82)&lt;=1,SUM($B$83)&gt;=0)),OR(896=1,896=$B$174+1,AND($B$175&gt;0,896=$B$175+1))),IF(AND($B$170=1,$B$66&gt;0,OR($B$175=0,896&lt;=$B$175)),$B$66,IF($B$172-MAX(896-1,$B$174)&gt;0,IF(B1296=0,0,IF(C1296=0,B1296/($B$172-MAX(896-1,$B$174)),B1296*(C1296/12)/(1-(1+C1296/12)^(-($B$172-MAX(896-1,$B$174)))))),"")),D1295))))),IF(IF(AND(896&lt;=$B$174,896&lt;=$B$173),B1296*C1296/12,IF(AND(896=$B$173+1,AND(896&gt;$B$173,$B$78="Refinance",ISNUMBER($B$80),$B$80&gt;=0,$B$80&lt;=1,ROUND($B$81*12,0)&gt;=1,$B$81&lt;=100,SUM($B$82)&gt;=0,SUM($B$82)&lt;=1,SUM($B$83)&gt;=0)),IF(B1296=0,0,IF(C1296=0,B1296/ROUND($B$81*12,0),B1296*(C1296/12)/(1-(1+C1296/12)^(-ROUND($B$81*12,0))))),IF(AND(NOT(AND(896&gt;$B$173,$B$78="Refinance",ISNUMBER($B$80),$B$80&gt;=0,$B$80&lt;=1,ROUND($B$81*12,0)&gt;=1,$B$81&lt;=100,SUM($B$82)&gt;=0,SUM($B$82)&lt;=1,SUM($B$83)&gt;=0)),OR(896=1,896=$B$174+1,AND($B$175&gt;0,896=$B$175+1))),IF(AND($B$170=1,$B$66&gt;0,OR($B$175=0,896&lt;=$B$175)),$B$66,IF($B$172-MAX(896-1,$B$174)&gt;0,IF(B1296=0,0,IF(C1296=0,B1296/($B$172-MAX(896-1,$B$174)),B1296*(C1296/12)/(1-(1+C1296/12)^(-($B$172-MAX(896-1,$B$174)))))),"")),D1295)))+0.0000001&gt;=B1296*C1296/12,MIN(B1296*(1+C1296/12),IF(AND(896&lt;=$B$174,896&lt;=$B$173),B1296*C1296/12,IF(AND(896=$B$173+1,AND(896&gt;$B$173,$B$78="Refinance",ISNUMBER($B$80),$B$80&gt;=0,$B$80&lt;=1,ROUND($B$81*12,0)&gt;=1,$B$81&lt;=100,SUM($B$82)&gt;=0,SUM($B$82)&lt;=1,SUM($B$83)&gt;=0)),IF(B1296=0,0,IF(C1296=0,B1296/ROUND($B$81*12,0),B1296*(C1296/12)/(1-(1+C1296/12)^(-ROUND($B$81*12,0))))),IF(AND(NOT(AND(896&gt;$B$173,$B$78="Refinance",ISNUMBER($B$80),$B$80&gt;=0,$B$80&lt;=1,ROUND($B$81*12,0)&gt;=1,$B$81&lt;=100,SUM($B$82)&gt;=0,SUM($B$82)&lt;=1,SUM($B$83)&gt;=0)),OR(896=1,896=$B$174+1,AND($B$175&gt;0,896=$B$175+1))),IF(AND($B$170=1,$B$66&gt;0,OR($B$175=0,896&lt;=$B$175)),$B$66,IF($B$172-MAX(896-1,$B$174)&gt;0,IF(B1296=0,0,IF(C1296=0,B1296/($B$172-MAX(896-1,$B$174)),B1296*(C1296/12)/(1-(1+C1296/12)^(-($B$172-MAX(896-1,$B$174)))))),"")),D1295)))),""),""))</x:f>
        <x:v>0</x:v>
      </x:c>
      <x:c r="E1296" s="440" t="n">
        <x:f>IF(AND(896=$B$173,ISNUMBER(D1296)),IF(MAX(0,B1296*(1+C1296/12)-D1296)&lt;MAX(0.0000001,$E$17*0.00000000001),0,MAX(0,B1296*(1+C1296/12)-D1296)),0)</x:f>
        <x:v>0</x:v>
      </x:c>
      <x:c r="F1296" s="440" t="n">
        <x:f>IF($B$78="Cash payoff",E1296,0)</x:f>
        <x:v>0</x:v>
      </x:c>
      <x:c r="G1296" s="440" t="n">
        <x:f>IF(AND(E1296&gt;0,AND($B$78="Refinance",ISNUMBER($B$80),$B$80&gt;=0,$B$80&lt;=1,ROUND($B$81*12,0)&gt;=1,$B$81&lt;=100,SUM($B$82)&gt;=0,SUM($B$82)&lt;=1,SUM($B$83)&gt;=0)),E1296*SUM($B$82)+SUM($B$83),0)</x:f>
        <x:v>0</x:v>
      </x:c>
      <x:c r="H1296" s="440" t="n">
        <x:f>IF(ISNUMBER(D1296),IF(MAX(0,B1296*(1+C1296/12)-D1296-F1296)&lt;MAX(0.0000001,$E$17*0.00000000001),0,MAX(0,B1296*(1+C1296/12)-D1296-F1296)),IF(AND($B$171=1,I1295=1),B1296,""))</x:f>
        <x:v>0</x:v>
      </x:c>
      <x:c r="I1296" s="444" t="n">
        <x:f>IF(OR(I1295=1,AND(E1296&gt;0,$B$78&lt;&gt;"Cash payoff",NOT(AND($B$78="Refinance",ISNUMBER($B$80),$B$80&gt;=0,$B$80&lt;=1,ROUND($B$81*12,0)&gt;=1,$B$81&lt;=100,SUM($B$82)&gt;=0,SUM($B$82)&lt;=1,SUM($B$83)&gt;=0))),AND(ISNUMBER(B1296),B1296&gt;0,$B$171=1,NOT(ISNUMBER(D1296)))),1,0)</x:f>
        <x:v>0</x:v>
      </x:c>
      <x:c r="J1296" s="440" t="n">
        <x:f>IF(ISNUMBER(L1295),L1295,"")</x:f>
        <x:v>0</x:v>
      </x:c>
      <x:c r="K1296" s="440" t="n">
        <x:f>IF(AND(ISNUMBER(J1296),J1296=0),0,IF(AND($B$176=1,ISNUMBER(J1296)),MIN(J1296*(1+$B$87/12),IF($B$86=0,0,IF($B$87=0,$B$86/ROUND($B$88*12,0),$B$86*($B$87/12)/(1-(1+$B$87/12)^(-ROUND($B$88*12,0)))))),""))</x:f>
        <x:v>0</x:v>
      </x:c>
      <x:c r="L1296" s="440" t="n">
        <x:f>IF(ISNUMBER(K1296),IF(MAX(0,J1296*(1+SUM($B$87)/12)-K1296)&lt;MAX(0.0000001,$B$86*0.00000000001),0,MAX(0,J1296*(1+SUM($B$87)/12)-K1296)),"")</x:f>
        <x:v>0</x:v>
      </x:c>
      <x:c r="M1296" s="440" t="n">
        <x:f>IF(AND(ISNUMBER(D1296),ISNUMBER(K1296)),D1296+K1296,"")</x:f>
        <x:v>0</x:v>
      </x:c>
      <x:c r="N1296" s="440" t="n">
        <x:f>IF(AND(ISNUMBER(H1296),ISNUMBER(L1296)),H1296+L1296,"")</x:f>
        <x:v>0</x:v>
      </x:c>
    </x:row>
    <x:row r="1297" ht="22" customHeight="1">
      <x:c r="A1297" s="254" t="n">
        <x:f>897</x:f>
        <x:v>897</x:v>
      </x:c>
      <x:c r="B1297" s="440" t="n">
        <x:f>IF(ISNUMBER(H1296),H1296,"")</x:f>
        <x:v>0</x:v>
      </x:c>
      <x:c r="C1297" s="442" t="n">
        <x:f>IF(ISNUMBER(B1297),IF(AND(897&gt;$B$173,$B$78="Refinance",ISNUMBER($B$80),$B$80&gt;=0,$B$80&lt;=1,ROUND($B$81*12,0)&gt;=1,$B$81&lt;=100,SUM($B$82)&gt;=0,SUM($B$82)&lt;=1,SUM($B$83)&gt;=0),$B$80,IF(AND($B$175&gt;0,897&gt;$B$175,ISNUMBER($B$75)),$B$75,$B$61)),"")</x:f>
        <x:v>0.0625</x:v>
      </x:c>
      <x:c r="D1297" s="440" t="n">
        <x:f>IF(AND(ISNUMBER(B1297),B1297=0),0,IF(AND($B$171=1,I1296=0,ISNUMBER(C1297),ISNUMBER(IF(AND(897&lt;=$B$174,897&lt;=$B$173),B1297*C1297/12,IF(AND(897=$B$173+1,AND(897&gt;$B$173,$B$78="Refinance",ISNUMBER($B$80),$B$80&gt;=0,$B$80&lt;=1,ROUND($B$81*12,0)&gt;=1,$B$81&lt;=100,SUM($B$82)&gt;=0,SUM($B$82)&lt;=1,SUM($B$83)&gt;=0)),IF(B1297=0,0,IF(C1297=0,B1297/ROUND($B$81*12,0),B1297*(C1297/12)/(1-(1+C1297/12)^(-ROUND($B$81*12,0))))),IF(AND(NOT(AND(897&gt;$B$173,$B$78="Refinance",ISNUMBER($B$80),$B$80&gt;=0,$B$80&lt;=1,ROUND($B$81*12,0)&gt;=1,$B$81&lt;=100,SUM($B$82)&gt;=0,SUM($B$82)&lt;=1,SUM($B$83)&gt;=0)),OR(897=1,897=$B$174+1,AND($B$175&gt;0,897=$B$175+1))),IF(AND($B$170=1,$B$66&gt;0,OR($B$175=0,897&lt;=$B$175)),$B$66,IF($B$172-MAX(897-1,$B$174)&gt;0,IF(B1297=0,0,IF(C1297=0,B1297/($B$172-MAX(897-1,$B$174)),B1297*(C1297/12)/(1-(1+C1297/12)^(-($B$172-MAX(897-1,$B$174)))))),"")),D1296))))),IF(IF(AND(897&lt;=$B$174,897&lt;=$B$173),B1297*C1297/12,IF(AND(897=$B$173+1,AND(897&gt;$B$173,$B$78="Refinance",ISNUMBER($B$80),$B$80&gt;=0,$B$80&lt;=1,ROUND($B$81*12,0)&gt;=1,$B$81&lt;=100,SUM($B$82)&gt;=0,SUM($B$82)&lt;=1,SUM($B$83)&gt;=0)),IF(B1297=0,0,IF(C1297=0,B1297/ROUND($B$81*12,0),B1297*(C1297/12)/(1-(1+C1297/12)^(-ROUND($B$81*12,0))))),IF(AND(NOT(AND(897&gt;$B$173,$B$78="Refinance",ISNUMBER($B$80),$B$80&gt;=0,$B$80&lt;=1,ROUND($B$81*12,0)&gt;=1,$B$81&lt;=100,SUM($B$82)&gt;=0,SUM($B$82)&lt;=1,SUM($B$83)&gt;=0)),OR(897=1,897=$B$174+1,AND($B$175&gt;0,897=$B$175+1))),IF(AND($B$170=1,$B$66&gt;0,OR($B$175=0,897&lt;=$B$175)),$B$66,IF($B$172-MAX(897-1,$B$174)&gt;0,IF(B1297=0,0,IF(C1297=0,B1297/($B$172-MAX(897-1,$B$174)),B1297*(C1297/12)/(1-(1+C1297/12)^(-($B$172-MAX(897-1,$B$174)))))),"")),D1296)))+0.0000001&gt;=B1297*C1297/12,MIN(B1297*(1+C1297/12),IF(AND(897&lt;=$B$174,897&lt;=$B$173),B1297*C1297/12,IF(AND(897=$B$173+1,AND(897&gt;$B$173,$B$78="Refinance",ISNUMBER($B$80),$B$80&gt;=0,$B$80&lt;=1,ROUND($B$81*12,0)&gt;=1,$B$81&lt;=100,SUM($B$82)&gt;=0,SUM($B$82)&lt;=1,SUM($B$83)&gt;=0)),IF(B1297=0,0,IF(C1297=0,B1297/ROUND($B$81*12,0),B1297*(C1297/12)/(1-(1+C1297/12)^(-ROUND($B$81*12,0))))),IF(AND(NOT(AND(897&gt;$B$173,$B$78="Refinance",ISNUMBER($B$80),$B$80&gt;=0,$B$80&lt;=1,ROUND($B$81*12,0)&gt;=1,$B$81&lt;=100,SUM($B$82)&gt;=0,SUM($B$82)&lt;=1,SUM($B$83)&gt;=0)),OR(897=1,897=$B$174+1,AND($B$175&gt;0,897=$B$175+1))),IF(AND($B$170=1,$B$66&gt;0,OR($B$175=0,897&lt;=$B$175)),$B$66,IF($B$172-MAX(897-1,$B$174)&gt;0,IF(B1297=0,0,IF(C1297=0,B1297/($B$172-MAX(897-1,$B$174)),B1297*(C1297/12)/(1-(1+C1297/12)^(-($B$172-MAX(897-1,$B$174)))))),"")),D1296)))),""),""))</x:f>
        <x:v>0</x:v>
      </x:c>
      <x:c r="E1297" s="440" t="n">
        <x:f>IF(AND(897=$B$173,ISNUMBER(D1297)),IF(MAX(0,B1297*(1+C1297/12)-D1297)&lt;MAX(0.0000001,$E$17*0.00000000001),0,MAX(0,B1297*(1+C1297/12)-D1297)),0)</x:f>
        <x:v>0</x:v>
      </x:c>
      <x:c r="F1297" s="440" t="n">
        <x:f>IF($B$78="Cash payoff",E1297,0)</x:f>
        <x:v>0</x:v>
      </x:c>
      <x:c r="G1297" s="440" t="n">
        <x:f>IF(AND(E1297&gt;0,AND($B$78="Refinance",ISNUMBER($B$80),$B$80&gt;=0,$B$80&lt;=1,ROUND($B$81*12,0)&gt;=1,$B$81&lt;=100,SUM($B$82)&gt;=0,SUM($B$82)&lt;=1,SUM($B$83)&gt;=0)),E1297*SUM($B$82)+SUM($B$83),0)</x:f>
        <x:v>0</x:v>
      </x:c>
      <x:c r="H1297" s="440" t="n">
        <x:f>IF(ISNUMBER(D1297),IF(MAX(0,B1297*(1+C1297/12)-D1297-F1297)&lt;MAX(0.0000001,$E$17*0.00000000001),0,MAX(0,B1297*(1+C1297/12)-D1297-F1297)),IF(AND($B$171=1,I1296=1),B1297,""))</x:f>
        <x:v>0</x:v>
      </x:c>
      <x:c r="I1297" s="444" t="n">
        <x:f>IF(OR(I1296=1,AND(E1297&gt;0,$B$78&lt;&gt;"Cash payoff",NOT(AND($B$78="Refinance",ISNUMBER($B$80),$B$80&gt;=0,$B$80&lt;=1,ROUND($B$81*12,0)&gt;=1,$B$81&lt;=100,SUM($B$82)&gt;=0,SUM($B$82)&lt;=1,SUM($B$83)&gt;=0))),AND(ISNUMBER(B1297),B1297&gt;0,$B$171=1,NOT(ISNUMBER(D1297)))),1,0)</x:f>
        <x:v>0</x:v>
      </x:c>
      <x:c r="J1297" s="440" t="n">
        <x:f>IF(ISNUMBER(L1296),L1296,"")</x:f>
        <x:v>0</x:v>
      </x:c>
      <x:c r="K1297" s="440" t="n">
        <x:f>IF(AND(ISNUMBER(J1297),J1297=0),0,IF(AND($B$176=1,ISNUMBER(J1297)),MIN(J1297*(1+$B$87/12),IF($B$86=0,0,IF($B$87=0,$B$86/ROUND($B$88*12,0),$B$86*($B$87/12)/(1-(1+$B$87/12)^(-ROUND($B$88*12,0)))))),""))</x:f>
        <x:v>0</x:v>
      </x:c>
      <x:c r="L1297" s="440" t="n">
        <x:f>IF(ISNUMBER(K1297),IF(MAX(0,J1297*(1+SUM($B$87)/12)-K1297)&lt;MAX(0.0000001,$B$86*0.00000000001),0,MAX(0,J1297*(1+SUM($B$87)/12)-K1297)),"")</x:f>
        <x:v>0</x:v>
      </x:c>
      <x:c r="M1297" s="440" t="n">
        <x:f>IF(AND(ISNUMBER(D1297),ISNUMBER(K1297)),D1297+K1297,"")</x:f>
        <x:v>0</x:v>
      </x:c>
      <x:c r="N1297" s="440" t="n">
        <x:f>IF(AND(ISNUMBER(H1297),ISNUMBER(L1297)),H1297+L1297,"")</x:f>
        <x:v>0</x:v>
      </x:c>
    </x:row>
    <x:row r="1298" ht="22" customHeight="1">
      <x:c r="A1298" s="254" t="n">
        <x:f>898</x:f>
        <x:v>898</x:v>
      </x:c>
      <x:c r="B1298" s="440" t="n">
        <x:f>IF(ISNUMBER(H1297),H1297,"")</x:f>
        <x:v>0</x:v>
      </x:c>
      <x:c r="C1298" s="442" t="n">
        <x:f>IF(ISNUMBER(B1298),IF(AND(898&gt;$B$173,$B$78="Refinance",ISNUMBER($B$80),$B$80&gt;=0,$B$80&lt;=1,ROUND($B$81*12,0)&gt;=1,$B$81&lt;=100,SUM($B$82)&gt;=0,SUM($B$82)&lt;=1,SUM($B$83)&gt;=0),$B$80,IF(AND($B$175&gt;0,898&gt;$B$175,ISNUMBER($B$75)),$B$75,$B$61)),"")</x:f>
        <x:v>0.0625</x:v>
      </x:c>
      <x:c r="D1298" s="440" t="n">
        <x:f>IF(AND(ISNUMBER(B1298),B1298=0),0,IF(AND($B$171=1,I1297=0,ISNUMBER(C1298),ISNUMBER(IF(AND(898&lt;=$B$174,898&lt;=$B$173),B1298*C1298/12,IF(AND(898=$B$173+1,AND(898&gt;$B$173,$B$78="Refinance",ISNUMBER($B$80),$B$80&gt;=0,$B$80&lt;=1,ROUND($B$81*12,0)&gt;=1,$B$81&lt;=100,SUM($B$82)&gt;=0,SUM($B$82)&lt;=1,SUM($B$83)&gt;=0)),IF(B1298=0,0,IF(C1298=0,B1298/ROUND($B$81*12,0),B1298*(C1298/12)/(1-(1+C1298/12)^(-ROUND($B$81*12,0))))),IF(AND(NOT(AND(898&gt;$B$173,$B$78="Refinance",ISNUMBER($B$80),$B$80&gt;=0,$B$80&lt;=1,ROUND($B$81*12,0)&gt;=1,$B$81&lt;=100,SUM($B$82)&gt;=0,SUM($B$82)&lt;=1,SUM($B$83)&gt;=0)),OR(898=1,898=$B$174+1,AND($B$175&gt;0,898=$B$175+1))),IF(AND($B$170=1,$B$66&gt;0,OR($B$175=0,898&lt;=$B$175)),$B$66,IF($B$172-MAX(898-1,$B$174)&gt;0,IF(B1298=0,0,IF(C1298=0,B1298/($B$172-MAX(898-1,$B$174)),B1298*(C1298/12)/(1-(1+C1298/12)^(-($B$172-MAX(898-1,$B$174)))))),"")),D1297))))),IF(IF(AND(898&lt;=$B$174,898&lt;=$B$173),B1298*C1298/12,IF(AND(898=$B$173+1,AND(898&gt;$B$173,$B$78="Refinance",ISNUMBER($B$80),$B$80&gt;=0,$B$80&lt;=1,ROUND($B$81*12,0)&gt;=1,$B$81&lt;=100,SUM($B$82)&gt;=0,SUM($B$82)&lt;=1,SUM($B$83)&gt;=0)),IF(B1298=0,0,IF(C1298=0,B1298/ROUND($B$81*12,0),B1298*(C1298/12)/(1-(1+C1298/12)^(-ROUND($B$81*12,0))))),IF(AND(NOT(AND(898&gt;$B$173,$B$78="Refinance",ISNUMBER($B$80),$B$80&gt;=0,$B$80&lt;=1,ROUND($B$81*12,0)&gt;=1,$B$81&lt;=100,SUM($B$82)&gt;=0,SUM($B$82)&lt;=1,SUM($B$83)&gt;=0)),OR(898=1,898=$B$174+1,AND($B$175&gt;0,898=$B$175+1))),IF(AND($B$170=1,$B$66&gt;0,OR($B$175=0,898&lt;=$B$175)),$B$66,IF($B$172-MAX(898-1,$B$174)&gt;0,IF(B1298=0,0,IF(C1298=0,B1298/($B$172-MAX(898-1,$B$174)),B1298*(C1298/12)/(1-(1+C1298/12)^(-($B$172-MAX(898-1,$B$174)))))),"")),D1297)))+0.0000001&gt;=B1298*C1298/12,MIN(B1298*(1+C1298/12),IF(AND(898&lt;=$B$174,898&lt;=$B$173),B1298*C1298/12,IF(AND(898=$B$173+1,AND(898&gt;$B$173,$B$78="Refinance",ISNUMBER($B$80),$B$80&gt;=0,$B$80&lt;=1,ROUND($B$81*12,0)&gt;=1,$B$81&lt;=100,SUM($B$82)&gt;=0,SUM($B$82)&lt;=1,SUM($B$83)&gt;=0)),IF(B1298=0,0,IF(C1298=0,B1298/ROUND($B$81*12,0),B1298*(C1298/12)/(1-(1+C1298/12)^(-ROUND($B$81*12,0))))),IF(AND(NOT(AND(898&gt;$B$173,$B$78="Refinance",ISNUMBER($B$80),$B$80&gt;=0,$B$80&lt;=1,ROUND($B$81*12,0)&gt;=1,$B$81&lt;=100,SUM($B$82)&gt;=0,SUM($B$82)&lt;=1,SUM($B$83)&gt;=0)),OR(898=1,898=$B$174+1,AND($B$175&gt;0,898=$B$175+1))),IF(AND($B$170=1,$B$66&gt;0,OR($B$175=0,898&lt;=$B$175)),$B$66,IF($B$172-MAX(898-1,$B$174)&gt;0,IF(B1298=0,0,IF(C1298=0,B1298/($B$172-MAX(898-1,$B$174)),B1298*(C1298/12)/(1-(1+C1298/12)^(-($B$172-MAX(898-1,$B$174)))))),"")),D1297)))),""),""))</x:f>
        <x:v>0</x:v>
      </x:c>
      <x:c r="E1298" s="440" t="n">
        <x:f>IF(AND(898=$B$173,ISNUMBER(D1298)),IF(MAX(0,B1298*(1+C1298/12)-D1298)&lt;MAX(0.0000001,$E$17*0.00000000001),0,MAX(0,B1298*(1+C1298/12)-D1298)),0)</x:f>
        <x:v>0</x:v>
      </x:c>
      <x:c r="F1298" s="440" t="n">
        <x:f>IF($B$78="Cash payoff",E1298,0)</x:f>
        <x:v>0</x:v>
      </x:c>
      <x:c r="G1298" s="440" t="n">
        <x:f>IF(AND(E1298&gt;0,AND($B$78="Refinance",ISNUMBER($B$80),$B$80&gt;=0,$B$80&lt;=1,ROUND($B$81*12,0)&gt;=1,$B$81&lt;=100,SUM($B$82)&gt;=0,SUM($B$82)&lt;=1,SUM($B$83)&gt;=0)),E1298*SUM($B$82)+SUM($B$83),0)</x:f>
        <x:v>0</x:v>
      </x:c>
      <x:c r="H1298" s="440" t="n">
        <x:f>IF(ISNUMBER(D1298),IF(MAX(0,B1298*(1+C1298/12)-D1298-F1298)&lt;MAX(0.0000001,$E$17*0.00000000001),0,MAX(0,B1298*(1+C1298/12)-D1298-F1298)),IF(AND($B$171=1,I1297=1),B1298,""))</x:f>
        <x:v>0</x:v>
      </x:c>
      <x:c r="I1298" s="444" t="n">
        <x:f>IF(OR(I1297=1,AND(E1298&gt;0,$B$78&lt;&gt;"Cash payoff",NOT(AND($B$78="Refinance",ISNUMBER($B$80),$B$80&gt;=0,$B$80&lt;=1,ROUND($B$81*12,0)&gt;=1,$B$81&lt;=100,SUM($B$82)&gt;=0,SUM($B$82)&lt;=1,SUM($B$83)&gt;=0))),AND(ISNUMBER(B1298),B1298&gt;0,$B$171=1,NOT(ISNUMBER(D1298)))),1,0)</x:f>
        <x:v>0</x:v>
      </x:c>
      <x:c r="J1298" s="440" t="n">
        <x:f>IF(ISNUMBER(L1297),L1297,"")</x:f>
        <x:v>0</x:v>
      </x:c>
      <x:c r="K1298" s="440" t="n">
        <x:f>IF(AND(ISNUMBER(J1298),J1298=0),0,IF(AND($B$176=1,ISNUMBER(J1298)),MIN(J1298*(1+$B$87/12),IF($B$86=0,0,IF($B$87=0,$B$86/ROUND($B$88*12,0),$B$86*($B$87/12)/(1-(1+$B$87/12)^(-ROUND($B$88*12,0)))))),""))</x:f>
        <x:v>0</x:v>
      </x:c>
      <x:c r="L1298" s="440" t="n">
        <x:f>IF(ISNUMBER(K1298),IF(MAX(0,J1298*(1+SUM($B$87)/12)-K1298)&lt;MAX(0.0000001,$B$86*0.00000000001),0,MAX(0,J1298*(1+SUM($B$87)/12)-K1298)),"")</x:f>
        <x:v>0</x:v>
      </x:c>
      <x:c r="M1298" s="440" t="n">
        <x:f>IF(AND(ISNUMBER(D1298),ISNUMBER(K1298)),D1298+K1298,"")</x:f>
        <x:v>0</x:v>
      </x:c>
      <x:c r="N1298" s="440" t="n">
        <x:f>IF(AND(ISNUMBER(H1298),ISNUMBER(L1298)),H1298+L1298,"")</x:f>
        <x:v>0</x:v>
      </x:c>
    </x:row>
    <x:row r="1299" ht="22" customHeight="1">
      <x:c r="A1299" s="254" t="n">
        <x:f>899</x:f>
        <x:v>899</x:v>
      </x:c>
      <x:c r="B1299" s="440" t="n">
        <x:f>IF(ISNUMBER(H1298),H1298,"")</x:f>
        <x:v>0</x:v>
      </x:c>
      <x:c r="C1299" s="442" t="n">
        <x:f>IF(ISNUMBER(B1299),IF(AND(899&gt;$B$173,$B$78="Refinance",ISNUMBER($B$80),$B$80&gt;=0,$B$80&lt;=1,ROUND($B$81*12,0)&gt;=1,$B$81&lt;=100,SUM($B$82)&gt;=0,SUM($B$82)&lt;=1,SUM($B$83)&gt;=0),$B$80,IF(AND($B$175&gt;0,899&gt;$B$175,ISNUMBER($B$75)),$B$75,$B$61)),"")</x:f>
        <x:v>0.0625</x:v>
      </x:c>
      <x:c r="D1299" s="440" t="n">
        <x:f>IF(AND(ISNUMBER(B1299),B1299=0),0,IF(AND($B$171=1,I1298=0,ISNUMBER(C1299),ISNUMBER(IF(AND(899&lt;=$B$174,899&lt;=$B$173),B1299*C1299/12,IF(AND(899=$B$173+1,AND(899&gt;$B$173,$B$78="Refinance",ISNUMBER($B$80),$B$80&gt;=0,$B$80&lt;=1,ROUND($B$81*12,0)&gt;=1,$B$81&lt;=100,SUM($B$82)&gt;=0,SUM($B$82)&lt;=1,SUM($B$83)&gt;=0)),IF(B1299=0,0,IF(C1299=0,B1299/ROUND($B$81*12,0),B1299*(C1299/12)/(1-(1+C1299/12)^(-ROUND($B$81*12,0))))),IF(AND(NOT(AND(899&gt;$B$173,$B$78="Refinance",ISNUMBER($B$80),$B$80&gt;=0,$B$80&lt;=1,ROUND($B$81*12,0)&gt;=1,$B$81&lt;=100,SUM($B$82)&gt;=0,SUM($B$82)&lt;=1,SUM($B$83)&gt;=0)),OR(899=1,899=$B$174+1,AND($B$175&gt;0,899=$B$175+1))),IF(AND($B$170=1,$B$66&gt;0,OR($B$175=0,899&lt;=$B$175)),$B$66,IF($B$172-MAX(899-1,$B$174)&gt;0,IF(B1299=0,0,IF(C1299=0,B1299/($B$172-MAX(899-1,$B$174)),B1299*(C1299/12)/(1-(1+C1299/12)^(-($B$172-MAX(899-1,$B$174)))))),"")),D1298))))),IF(IF(AND(899&lt;=$B$174,899&lt;=$B$173),B1299*C1299/12,IF(AND(899=$B$173+1,AND(899&gt;$B$173,$B$78="Refinance",ISNUMBER($B$80),$B$80&gt;=0,$B$80&lt;=1,ROUND($B$81*12,0)&gt;=1,$B$81&lt;=100,SUM($B$82)&gt;=0,SUM($B$82)&lt;=1,SUM($B$83)&gt;=0)),IF(B1299=0,0,IF(C1299=0,B1299/ROUND($B$81*12,0),B1299*(C1299/12)/(1-(1+C1299/12)^(-ROUND($B$81*12,0))))),IF(AND(NOT(AND(899&gt;$B$173,$B$78="Refinance",ISNUMBER($B$80),$B$80&gt;=0,$B$80&lt;=1,ROUND($B$81*12,0)&gt;=1,$B$81&lt;=100,SUM($B$82)&gt;=0,SUM($B$82)&lt;=1,SUM($B$83)&gt;=0)),OR(899=1,899=$B$174+1,AND($B$175&gt;0,899=$B$175+1))),IF(AND($B$170=1,$B$66&gt;0,OR($B$175=0,899&lt;=$B$175)),$B$66,IF($B$172-MAX(899-1,$B$174)&gt;0,IF(B1299=0,0,IF(C1299=0,B1299/($B$172-MAX(899-1,$B$174)),B1299*(C1299/12)/(1-(1+C1299/12)^(-($B$172-MAX(899-1,$B$174)))))),"")),D1298)))+0.0000001&gt;=B1299*C1299/12,MIN(B1299*(1+C1299/12),IF(AND(899&lt;=$B$174,899&lt;=$B$173),B1299*C1299/12,IF(AND(899=$B$173+1,AND(899&gt;$B$173,$B$78="Refinance",ISNUMBER($B$80),$B$80&gt;=0,$B$80&lt;=1,ROUND($B$81*12,0)&gt;=1,$B$81&lt;=100,SUM($B$82)&gt;=0,SUM($B$82)&lt;=1,SUM($B$83)&gt;=0)),IF(B1299=0,0,IF(C1299=0,B1299/ROUND($B$81*12,0),B1299*(C1299/12)/(1-(1+C1299/12)^(-ROUND($B$81*12,0))))),IF(AND(NOT(AND(899&gt;$B$173,$B$78="Refinance",ISNUMBER($B$80),$B$80&gt;=0,$B$80&lt;=1,ROUND($B$81*12,0)&gt;=1,$B$81&lt;=100,SUM($B$82)&gt;=0,SUM($B$82)&lt;=1,SUM($B$83)&gt;=0)),OR(899=1,899=$B$174+1,AND($B$175&gt;0,899=$B$175+1))),IF(AND($B$170=1,$B$66&gt;0,OR($B$175=0,899&lt;=$B$175)),$B$66,IF($B$172-MAX(899-1,$B$174)&gt;0,IF(B1299=0,0,IF(C1299=0,B1299/($B$172-MAX(899-1,$B$174)),B1299*(C1299/12)/(1-(1+C1299/12)^(-($B$172-MAX(899-1,$B$174)))))),"")),D1298)))),""),""))</x:f>
        <x:v>0</x:v>
      </x:c>
      <x:c r="E1299" s="440" t="n">
        <x:f>IF(AND(899=$B$173,ISNUMBER(D1299)),IF(MAX(0,B1299*(1+C1299/12)-D1299)&lt;MAX(0.0000001,$E$17*0.00000000001),0,MAX(0,B1299*(1+C1299/12)-D1299)),0)</x:f>
        <x:v>0</x:v>
      </x:c>
      <x:c r="F1299" s="440" t="n">
        <x:f>IF($B$78="Cash payoff",E1299,0)</x:f>
        <x:v>0</x:v>
      </x:c>
      <x:c r="G1299" s="440" t="n">
        <x:f>IF(AND(E1299&gt;0,AND($B$78="Refinance",ISNUMBER($B$80),$B$80&gt;=0,$B$80&lt;=1,ROUND($B$81*12,0)&gt;=1,$B$81&lt;=100,SUM($B$82)&gt;=0,SUM($B$82)&lt;=1,SUM($B$83)&gt;=0)),E1299*SUM($B$82)+SUM($B$83),0)</x:f>
        <x:v>0</x:v>
      </x:c>
      <x:c r="H1299" s="440" t="n">
        <x:f>IF(ISNUMBER(D1299),IF(MAX(0,B1299*(1+C1299/12)-D1299-F1299)&lt;MAX(0.0000001,$E$17*0.00000000001),0,MAX(0,B1299*(1+C1299/12)-D1299-F1299)),IF(AND($B$171=1,I1298=1),B1299,""))</x:f>
        <x:v>0</x:v>
      </x:c>
      <x:c r="I1299" s="444" t="n">
        <x:f>IF(OR(I1298=1,AND(E1299&gt;0,$B$78&lt;&gt;"Cash payoff",NOT(AND($B$78="Refinance",ISNUMBER($B$80),$B$80&gt;=0,$B$80&lt;=1,ROUND($B$81*12,0)&gt;=1,$B$81&lt;=100,SUM($B$82)&gt;=0,SUM($B$82)&lt;=1,SUM($B$83)&gt;=0))),AND(ISNUMBER(B1299),B1299&gt;0,$B$171=1,NOT(ISNUMBER(D1299)))),1,0)</x:f>
        <x:v>0</x:v>
      </x:c>
      <x:c r="J1299" s="440" t="n">
        <x:f>IF(ISNUMBER(L1298),L1298,"")</x:f>
        <x:v>0</x:v>
      </x:c>
      <x:c r="K1299" s="440" t="n">
        <x:f>IF(AND(ISNUMBER(J1299),J1299=0),0,IF(AND($B$176=1,ISNUMBER(J1299)),MIN(J1299*(1+$B$87/12),IF($B$86=0,0,IF($B$87=0,$B$86/ROUND($B$88*12,0),$B$86*($B$87/12)/(1-(1+$B$87/12)^(-ROUND($B$88*12,0)))))),""))</x:f>
        <x:v>0</x:v>
      </x:c>
      <x:c r="L1299" s="440" t="n">
        <x:f>IF(ISNUMBER(K1299),IF(MAX(0,J1299*(1+SUM($B$87)/12)-K1299)&lt;MAX(0.0000001,$B$86*0.00000000001),0,MAX(0,J1299*(1+SUM($B$87)/12)-K1299)),"")</x:f>
        <x:v>0</x:v>
      </x:c>
      <x:c r="M1299" s="440" t="n">
        <x:f>IF(AND(ISNUMBER(D1299),ISNUMBER(K1299)),D1299+K1299,"")</x:f>
        <x:v>0</x:v>
      </x:c>
      <x:c r="N1299" s="440" t="n">
        <x:f>IF(AND(ISNUMBER(H1299),ISNUMBER(L1299)),H1299+L1299,"")</x:f>
        <x:v>0</x:v>
      </x:c>
    </x:row>
    <x:row r="1300" ht="22" customHeight="1">
      <x:c r="A1300" s="254" t="n">
        <x:f>900</x:f>
        <x:v>900</x:v>
      </x:c>
      <x:c r="B1300" s="440" t="n">
        <x:f>IF(ISNUMBER(H1299),H1299,"")</x:f>
        <x:v>0</x:v>
      </x:c>
      <x:c r="C1300" s="442" t="n">
        <x:f>IF(ISNUMBER(B1300),IF(AND(900&gt;$B$173,$B$78="Refinance",ISNUMBER($B$80),$B$80&gt;=0,$B$80&lt;=1,ROUND($B$81*12,0)&gt;=1,$B$81&lt;=100,SUM($B$82)&gt;=0,SUM($B$82)&lt;=1,SUM($B$83)&gt;=0),$B$80,IF(AND($B$175&gt;0,900&gt;$B$175,ISNUMBER($B$75)),$B$75,$B$61)),"")</x:f>
        <x:v>0.0625</x:v>
      </x:c>
      <x:c r="D1300" s="440" t="n">
        <x:f>IF(AND(ISNUMBER(B1300),B1300=0),0,IF(AND($B$171=1,I1299=0,ISNUMBER(C1300),ISNUMBER(IF(AND(900&lt;=$B$174,900&lt;=$B$173),B1300*C1300/12,IF(AND(900=$B$173+1,AND(900&gt;$B$173,$B$78="Refinance",ISNUMBER($B$80),$B$80&gt;=0,$B$80&lt;=1,ROUND($B$81*12,0)&gt;=1,$B$81&lt;=100,SUM($B$82)&gt;=0,SUM($B$82)&lt;=1,SUM($B$83)&gt;=0)),IF(B1300=0,0,IF(C1300=0,B1300/ROUND($B$81*12,0),B1300*(C1300/12)/(1-(1+C1300/12)^(-ROUND($B$81*12,0))))),IF(AND(NOT(AND(900&gt;$B$173,$B$78="Refinance",ISNUMBER($B$80),$B$80&gt;=0,$B$80&lt;=1,ROUND($B$81*12,0)&gt;=1,$B$81&lt;=100,SUM($B$82)&gt;=0,SUM($B$82)&lt;=1,SUM($B$83)&gt;=0)),OR(900=1,900=$B$174+1,AND($B$175&gt;0,900=$B$175+1))),IF(AND($B$170=1,$B$66&gt;0,OR($B$175=0,900&lt;=$B$175)),$B$66,IF($B$172-MAX(900-1,$B$174)&gt;0,IF(B1300=0,0,IF(C1300=0,B1300/($B$172-MAX(900-1,$B$174)),B1300*(C1300/12)/(1-(1+C1300/12)^(-($B$172-MAX(900-1,$B$174)))))),"")),D1299))))),IF(IF(AND(900&lt;=$B$174,900&lt;=$B$173),B1300*C1300/12,IF(AND(900=$B$173+1,AND(900&gt;$B$173,$B$78="Refinance",ISNUMBER($B$80),$B$80&gt;=0,$B$80&lt;=1,ROUND($B$81*12,0)&gt;=1,$B$81&lt;=100,SUM($B$82)&gt;=0,SUM($B$82)&lt;=1,SUM($B$83)&gt;=0)),IF(B1300=0,0,IF(C1300=0,B1300/ROUND($B$81*12,0),B1300*(C1300/12)/(1-(1+C1300/12)^(-ROUND($B$81*12,0))))),IF(AND(NOT(AND(900&gt;$B$173,$B$78="Refinance",ISNUMBER($B$80),$B$80&gt;=0,$B$80&lt;=1,ROUND($B$81*12,0)&gt;=1,$B$81&lt;=100,SUM($B$82)&gt;=0,SUM($B$82)&lt;=1,SUM($B$83)&gt;=0)),OR(900=1,900=$B$174+1,AND($B$175&gt;0,900=$B$175+1))),IF(AND($B$170=1,$B$66&gt;0,OR($B$175=0,900&lt;=$B$175)),$B$66,IF($B$172-MAX(900-1,$B$174)&gt;0,IF(B1300=0,0,IF(C1300=0,B1300/($B$172-MAX(900-1,$B$174)),B1300*(C1300/12)/(1-(1+C1300/12)^(-($B$172-MAX(900-1,$B$174)))))),"")),D1299)))+0.0000001&gt;=B1300*C1300/12,MIN(B1300*(1+C1300/12),IF(AND(900&lt;=$B$174,900&lt;=$B$173),B1300*C1300/12,IF(AND(900=$B$173+1,AND(900&gt;$B$173,$B$78="Refinance",ISNUMBER($B$80),$B$80&gt;=0,$B$80&lt;=1,ROUND($B$81*12,0)&gt;=1,$B$81&lt;=100,SUM($B$82)&gt;=0,SUM($B$82)&lt;=1,SUM($B$83)&gt;=0)),IF(B1300=0,0,IF(C1300=0,B1300/ROUND($B$81*12,0),B1300*(C1300/12)/(1-(1+C1300/12)^(-ROUND($B$81*12,0))))),IF(AND(NOT(AND(900&gt;$B$173,$B$78="Refinance",ISNUMBER($B$80),$B$80&gt;=0,$B$80&lt;=1,ROUND($B$81*12,0)&gt;=1,$B$81&lt;=100,SUM($B$82)&gt;=0,SUM($B$82)&lt;=1,SUM($B$83)&gt;=0)),OR(900=1,900=$B$174+1,AND($B$175&gt;0,900=$B$175+1))),IF(AND($B$170=1,$B$66&gt;0,OR($B$175=0,900&lt;=$B$175)),$B$66,IF($B$172-MAX(900-1,$B$174)&gt;0,IF(B1300=0,0,IF(C1300=0,B1300/($B$172-MAX(900-1,$B$174)),B1300*(C1300/12)/(1-(1+C1300/12)^(-($B$172-MAX(900-1,$B$174)))))),"")),D1299)))),""),""))</x:f>
        <x:v>0</x:v>
      </x:c>
      <x:c r="E1300" s="440" t="n">
        <x:f>IF(AND(900=$B$173,ISNUMBER(D1300)),IF(MAX(0,B1300*(1+C1300/12)-D1300)&lt;MAX(0.0000001,$E$17*0.00000000001),0,MAX(0,B1300*(1+C1300/12)-D1300)),0)</x:f>
        <x:v>0</x:v>
      </x:c>
      <x:c r="F1300" s="440" t="n">
        <x:f>IF($B$78="Cash payoff",E1300,0)</x:f>
        <x:v>0</x:v>
      </x:c>
      <x:c r="G1300" s="440" t="n">
        <x:f>IF(AND(E1300&gt;0,AND($B$78="Refinance",ISNUMBER($B$80),$B$80&gt;=0,$B$80&lt;=1,ROUND($B$81*12,0)&gt;=1,$B$81&lt;=100,SUM($B$82)&gt;=0,SUM($B$82)&lt;=1,SUM($B$83)&gt;=0)),E1300*SUM($B$82)+SUM($B$83),0)</x:f>
        <x:v>0</x:v>
      </x:c>
      <x:c r="H1300" s="440" t="n">
        <x:f>IF(ISNUMBER(D1300),IF(MAX(0,B1300*(1+C1300/12)-D1300-F1300)&lt;MAX(0.0000001,$E$17*0.00000000001),0,MAX(0,B1300*(1+C1300/12)-D1300-F1300)),IF(AND($B$171=1,I1299=1),B1300,""))</x:f>
        <x:v>0</x:v>
      </x:c>
      <x:c r="I1300" s="444" t="n">
        <x:f>IF(OR(I1299=1,AND(E1300&gt;0,$B$78&lt;&gt;"Cash payoff",NOT(AND($B$78="Refinance",ISNUMBER($B$80),$B$80&gt;=0,$B$80&lt;=1,ROUND($B$81*12,0)&gt;=1,$B$81&lt;=100,SUM($B$82)&gt;=0,SUM($B$82)&lt;=1,SUM($B$83)&gt;=0))),AND(ISNUMBER(B1300),B1300&gt;0,$B$171=1,NOT(ISNUMBER(D1300)))),1,0)</x:f>
        <x:v>0</x:v>
      </x:c>
      <x:c r="J1300" s="440" t="n">
        <x:f>IF(ISNUMBER(L1299),L1299,"")</x:f>
        <x:v>0</x:v>
      </x:c>
      <x:c r="K1300" s="440" t="n">
        <x:f>IF(AND(ISNUMBER(J1300),J1300=0),0,IF(AND($B$176=1,ISNUMBER(J1300)),MIN(J1300*(1+$B$87/12),IF($B$86=0,0,IF($B$87=0,$B$86/ROUND($B$88*12,0),$B$86*($B$87/12)/(1-(1+$B$87/12)^(-ROUND($B$88*12,0)))))),""))</x:f>
        <x:v>0</x:v>
      </x:c>
      <x:c r="L1300" s="440" t="n">
        <x:f>IF(ISNUMBER(K1300),IF(MAX(0,J1300*(1+SUM($B$87)/12)-K1300)&lt;MAX(0.0000001,$B$86*0.00000000001),0,MAX(0,J1300*(1+SUM($B$87)/12)-K1300)),"")</x:f>
        <x:v>0</x:v>
      </x:c>
      <x:c r="M1300" s="440" t="n">
        <x:f>IF(AND(ISNUMBER(D1300),ISNUMBER(K1300)),D1300+K1300,"")</x:f>
        <x:v>0</x:v>
      </x:c>
      <x:c r="N1300" s="440" t="n">
        <x:f>IF(AND(ISNUMBER(H1300),ISNUMBER(L1300)),H1300+L1300,"")</x:f>
        <x:v>0</x:v>
      </x:c>
    </x:row>
    <x:row r="1301" ht="22" customHeight="1">
      <x:c r="A1301" s="254" t="n">
        <x:f>901</x:f>
        <x:v>901</x:v>
      </x:c>
      <x:c r="B1301" s="440" t="n">
        <x:f>IF(ISNUMBER(H1300),H1300,"")</x:f>
        <x:v>0</x:v>
      </x:c>
      <x:c r="C1301" s="442" t="n">
        <x:f>IF(ISNUMBER(B1301),IF(AND(901&gt;$B$173,$B$78="Refinance",ISNUMBER($B$80),$B$80&gt;=0,$B$80&lt;=1,ROUND($B$81*12,0)&gt;=1,$B$81&lt;=100,SUM($B$82)&gt;=0,SUM($B$82)&lt;=1,SUM($B$83)&gt;=0),$B$80,IF(AND($B$175&gt;0,901&gt;$B$175,ISNUMBER($B$75)),$B$75,$B$61)),"")</x:f>
        <x:v>0.0625</x:v>
      </x:c>
      <x:c r="D1301" s="440" t="n">
        <x:f>IF(AND(ISNUMBER(B1301),B1301=0),0,IF(AND($B$171=1,I1300=0,ISNUMBER(C1301),ISNUMBER(IF(AND(901&lt;=$B$174,901&lt;=$B$173),B1301*C1301/12,IF(AND(901=$B$173+1,AND(901&gt;$B$173,$B$78="Refinance",ISNUMBER($B$80),$B$80&gt;=0,$B$80&lt;=1,ROUND($B$81*12,0)&gt;=1,$B$81&lt;=100,SUM($B$82)&gt;=0,SUM($B$82)&lt;=1,SUM($B$83)&gt;=0)),IF(B1301=0,0,IF(C1301=0,B1301/ROUND($B$81*12,0),B1301*(C1301/12)/(1-(1+C1301/12)^(-ROUND($B$81*12,0))))),IF(AND(NOT(AND(901&gt;$B$173,$B$78="Refinance",ISNUMBER($B$80),$B$80&gt;=0,$B$80&lt;=1,ROUND($B$81*12,0)&gt;=1,$B$81&lt;=100,SUM($B$82)&gt;=0,SUM($B$82)&lt;=1,SUM($B$83)&gt;=0)),OR(901=1,901=$B$174+1,AND($B$175&gt;0,901=$B$175+1))),IF(AND($B$170=1,$B$66&gt;0,OR($B$175=0,901&lt;=$B$175)),$B$66,IF($B$172-MAX(901-1,$B$174)&gt;0,IF(B1301=0,0,IF(C1301=0,B1301/($B$172-MAX(901-1,$B$174)),B1301*(C1301/12)/(1-(1+C1301/12)^(-($B$172-MAX(901-1,$B$174)))))),"")),D1300))))),IF(IF(AND(901&lt;=$B$174,901&lt;=$B$173),B1301*C1301/12,IF(AND(901=$B$173+1,AND(901&gt;$B$173,$B$78="Refinance",ISNUMBER($B$80),$B$80&gt;=0,$B$80&lt;=1,ROUND($B$81*12,0)&gt;=1,$B$81&lt;=100,SUM($B$82)&gt;=0,SUM($B$82)&lt;=1,SUM($B$83)&gt;=0)),IF(B1301=0,0,IF(C1301=0,B1301/ROUND($B$81*12,0),B1301*(C1301/12)/(1-(1+C1301/12)^(-ROUND($B$81*12,0))))),IF(AND(NOT(AND(901&gt;$B$173,$B$78="Refinance",ISNUMBER($B$80),$B$80&gt;=0,$B$80&lt;=1,ROUND($B$81*12,0)&gt;=1,$B$81&lt;=100,SUM($B$82)&gt;=0,SUM($B$82)&lt;=1,SUM($B$83)&gt;=0)),OR(901=1,901=$B$174+1,AND($B$175&gt;0,901=$B$175+1))),IF(AND($B$170=1,$B$66&gt;0,OR($B$175=0,901&lt;=$B$175)),$B$66,IF($B$172-MAX(901-1,$B$174)&gt;0,IF(B1301=0,0,IF(C1301=0,B1301/($B$172-MAX(901-1,$B$174)),B1301*(C1301/12)/(1-(1+C1301/12)^(-($B$172-MAX(901-1,$B$174)))))),"")),D1300)))+0.0000001&gt;=B1301*C1301/12,MIN(B1301*(1+C1301/12),IF(AND(901&lt;=$B$174,901&lt;=$B$173),B1301*C1301/12,IF(AND(901=$B$173+1,AND(901&gt;$B$173,$B$78="Refinance",ISNUMBER($B$80),$B$80&gt;=0,$B$80&lt;=1,ROUND($B$81*12,0)&gt;=1,$B$81&lt;=100,SUM($B$82)&gt;=0,SUM($B$82)&lt;=1,SUM($B$83)&gt;=0)),IF(B1301=0,0,IF(C1301=0,B1301/ROUND($B$81*12,0),B1301*(C1301/12)/(1-(1+C1301/12)^(-ROUND($B$81*12,0))))),IF(AND(NOT(AND(901&gt;$B$173,$B$78="Refinance",ISNUMBER($B$80),$B$80&gt;=0,$B$80&lt;=1,ROUND($B$81*12,0)&gt;=1,$B$81&lt;=100,SUM($B$82)&gt;=0,SUM($B$82)&lt;=1,SUM($B$83)&gt;=0)),OR(901=1,901=$B$174+1,AND($B$175&gt;0,901=$B$175+1))),IF(AND($B$170=1,$B$66&gt;0,OR($B$175=0,901&lt;=$B$175)),$B$66,IF($B$172-MAX(901-1,$B$174)&gt;0,IF(B1301=0,0,IF(C1301=0,B1301/($B$172-MAX(901-1,$B$174)),B1301*(C1301/12)/(1-(1+C1301/12)^(-($B$172-MAX(901-1,$B$174)))))),"")),D1300)))),""),""))</x:f>
        <x:v>0</x:v>
      </x:c>
      <x:c r="E1301" s="440" t="n">
        <x:f>IF(AND(901=$B$173,ISNUMBER(D1301)),IF(MAX(0,B1301*(1+C1301/12)-D1301)&lt;MAX(0.0000001,$E$17*0.00000000001),0,MAX(0,B1301*(1+C1301/12)-D1301)),0)</x:f>
        <x:v>0</x:v>
      </x:c>
      <x:c r="F1301" s="440" t="n">
        <x:f>IF($B$78="Cash payoff",E1301,0)</x:f>
        <x:v>0</x:v>
      </x:c>
      <x:c r="G1301" s="440" t="n">
        <x:f>IF(AND(E1301&gt;0,AND($B$78="Refinance",ISNUMBER($B$80),$B$80&gt;=0,$B$80&lt;=1,ROUND($B$81*12,0)&gt;=1,$B$81&lt;=100,SUM($B$82)&gt;=0,SUM($B$82)&lt;=1,SUM($B$83)&gt;=0)),E1301*SUM($B$82)+SUM($B$83),0)</x:f>
        <x:v>0</x:v>
      </x:c>
      <x:c r="H1301" s="440" t="n">
        <x:f>IF(ISNUMBER(D1301),IF(MAX(0,B1301*(1+C1301/12)-D1301-F1301)&lt;MAX(0.0000001,$E$17*0.00000000001),0,MAX(0,B1301*(1+C1301/12)-D1301-F1301)),IF(AND($B$171=1,I1300=1),B1301,""))</x:f>
        <x:v>0</x:v>
      </x:c>
      <x:c r="I1301" s="444" t="n">
        <x:f>IF(OR(I1300=1,AND(E1301&gt;0,$B$78&lt;&gt;"Cash payoff",NOT(AND($B$78="Refinance",ISNUMBER($B$80),$B$80&gt;=0,$B$80&lt;=1,ROUND($B$81*12,0)&gt;=1,$B$81&lt;=100,SUM($B$82)&gt;=0,SUM($B$82)&lt;=1,SUM($B$83)&gt;=0))),AND(ISNUMBER(B1301),B1301&gt;0,$B$171=1,NOT(ISNUMBER(D1301)))),1,0)</x:f>
        <x:v>0</x:v>
      </x:c>
      <x:c r="J1301" s="440" t="n">
        <x:f>IF(ISNUMBER(L1300),L1300,"")</x:f>
        <x:v>0</x:v>
      </x:c>
      <x:c r="K1301" s="440" t="n">
        <x:f>IF(AND(ISNUMBER(J1301),J1301=0),0,IF(AND($B$176=1,ISNUMBER(J1301)),MIN(J1301*(1+$B$87/12),IF($B$86=0,0,IF($B$87=0,$B$86/ROUND($B$88*12,0),$B$86*($B$87/12)/(1-(1+$B$87/12)^(-ROUND($B$88*12,0)))))),""))</x:f>
        <x:v>0</x:v>
      </x:c>
      <x:c r="L1301" s="440" t="n">
        <x:f>IF(ISNUMBER(K1301),IF(MAX(0,J1301*(1+SUM($B$87)/12)-K1301)&lt;MAX(0.0000001,$B$86*0.00000000001),0,MAX(0,J1301*(1+SUM($B$87)/12)-K1301)),"")</x:f>
        <x:v>0</x:v>
      </x:c>
      <x:c r="M1301" s="440" t="n">
        <x:f>IF(AND(ISNUMBER(D1301),ISNUMBER(K1301)),D1301+K1301,"")</x:f>
        <x:v>0</x:v>
      </x:c>
      <x:c r="N1301" s="440" t="n">
        <x:f>IF(AND(ISNUMBER(H1301),ISNUMBER(L1301)),H1301+L1301,"")</x:f>
        <x:v>0</x:v>
      </x:c>
    </x:row>
    <x:row r="1302" ht="22" customHeight="1">
      <x:c r="A1302" s="254" t="n">
        <x:f>902</x:f>
        <x:v>902</x:v>
      </x:c>
      <x:c r="B1302" s="440" t="n">
        <x:f>IF(ISNUMBER(H1301),H1301,"")</x:f>
        <x:v>0</x:v>
      </x:c>
      <x:c r="C1302" s="442" t="n">
        <x:f>IF(ISNUMBER(B1302),IF(AND(902&gt;$B$173,$B$78="Refinance",ISNUMBER($B$80),$B$80&gt;=0,$B$80&lt;=1,ROUND($B$81*12,0)&gt;=1,$B$81&lt;=100,SUM($B$82)&gt;=0,SUM($B$82)&lt;=1,SUM($B$83)&gt;=0),$B$80,IF(AND($B$175&gt;0,902&gt;$B$175,ISNUMBER($B$75)),$B$75,$B$61)),"")</x:f>
        <x:v>0.0625</x:v>
      </x:c>
      <x:c r="D1302" s="440" t="n">
        <x:f>IF(AND(ISNUMBER(B1302),B1302=0),0,IF(AND($B$171=1,I1301=0,ISNUMBER(C1302),ISNUMBER(IF(AND(902&lt;=$B$174,902&lt;=$B$173),B1302*C1302/12,IF(AND(902=$B$173+1,AND(902&gt;$B$173,$B$78="Refinance",ISNUMBER($B$80),$B$80&gt;=0,$B$80&lt;=1,ROUND($B$81*12,0)&gt;=1,$B$81&lt;=100,SUM($B$82)&gt;=0,SUM($B$82)&lt;=1,SUM($B$83)&gt;=0)),IF(B1302=0,0,IF(C1302=0,B1302/ROUND($B$81*12,0),B1302*(C1302/12)/(1-(1+C1302/12)^(-ROUND($B$81*12,0))))),IF(AND(NOT(AND(902&gt;$B$173,$B$78="Refinance",ISNUMBER($B$80),$B$80&gt;=0,$B$80&lt;=1,ROUND($B$81*12,0)&gt;=1,$B$81&lt;=100,SUM($B$82)&gt;=0,SUM($B$82)&lt;=1,SUM($B$83)&gt;=0)),OR(902=1,902=$B$174+1,AND($B$175&gt;0,902=$B$175+1))),IF(AND($B$170=1,$B$66&gt;0,OR($B$175=0,902&lt;=$B$175)),$B$66,IF($B$172-MAX(902-1,$B$174)&gt;0,IF(B1302=0,0,IF(C1302=0,B1302/($B$172-MAX(902-1,$B$174)),B1302*(C1302/12)/(1-(1+C1302/12)^(-($B$172-MAX(902-1,$B$174)))))),"")),D1301))))),IF(IF(AND(902&lt;=$B$174,902&lt;=$B$173),B1302*C1302/12,IF(AND(902=$B$173+1,AND(902&gt;$B$173,$B$78="Refinance",ISNUMBER($B$80),$B$80&gt;=0,$B$80&lt;=1,ROUND($B$81*12,0)&gt;=1,$B$81&lt;=100,SUM($B$82)&gt;=0,SUM($B$82)&lt;=1,SUM($B$83)&gt;=0)),IF(B1302=0,0,IF(C1302=0,B1302/ROUND($B$81*12,0),B1302*(C1302/12)/(1-(1+C1302/12)^(-ROUND($B$81*12,0))))),IF(AND(NOT(AND(902&gt;$B$173,$B$78="Refinance",ISNUMBER($B$80),$B$80&gt;=0,$B$80&lt;=1,ROUND($B$81*12,0)&gt;=1,$B$81&lt;=100,SUM($B$82)&gt;=0,SUM($B$82)&lt;=1,SUM($B$83)&gt;=0)),OR(902=1,902=$B$174+1,AND($B$175&gt;0,902=$B$175+1))),IF(AND($B$170=1,$B$66&gt;0,OR($B$175=0,902&lt;=$B$175)),$B$66,IF($B$172-MAX(902-1,$B$174)&gt;0,IF(B1302=0,0,IF(C1302=0,B1302/($B$172-MAX(902-1,$B$174)),B1302*(C1302/12)/(1-(1+C1302/12)^(-($B$172-MAX(902-1,$B$174)))))),"")),D1301)))+0.0000001&gt;=B1302*C1302/12,MIN(B1302*(1+C1302/12),IF(AND(902&lt;=$B$174,902&lt;=$B$173),B1302*C1302/12,IF(AND(902=$B$173+1,AND(902&gt;$B$173,$B$78="Refinance",ISNUMBER($B$80),$B$80&gt;=0,$B$80&lt;=1,ROUND($B$81*12,0)&gt;=1,$B$81&lt;=100,SUM($B$82)&gt;=0,SUM($B$82)&lt;=1,SUM($B$83)&gt;=0)),IF(B1302=0,0,IF(C1302=0,B1302/ROUND($B$81*12,0),B1302*(C1302/12)/(1-(1+C1302/12)^(-ROUND($B$81*12,0))))),IF(AND(NOT(AND(902&gt;$B$173,$B$78="Refinance",ISNUMBER($B$80),$B$80&gt;=0,$B$80&lt;=1,ROUND($B$81*12,0)&gt;=1,$B$81&lt;=100,SUM($B$82)&gt;=0,SUM($B$82)&lt;=1,SUM($B$83)&gt;=0)),OR(902=1,902=$B$174+1,AND($B$175&gt;0,902=$B$175+1))),IF(AND($B$170=1,$B$66&gt;0,OR($B$175=0,902&lt;=$B$175)),$B$66,IF($B$172-MAX(902-1,$B$174)&gt;0,IF(B1302=0,0,IF(C1302=0,B1302/($B$172-MAX(902-1,$B$174)),B1302*(C1302/12)/(1-(1+C1302/12)^(-($B$172-MAX(902-1,$B$174)))))),"")),D1301)))),""),""))</x:f>
        <x:v>0</x:v>
      </x:c>
      <x:c r="E1302" s="440" t="n">
        <x:f>IF(AND(902=$B$173,ISNUMBER(D1302)),IF(MAX(0,B1302*(1+C1302/12)-D1302)&lt;MAX(0.0000001,$E$17*0.00000000001),0,MAX(0,B1302*(1+C1302/12)-D1302)),0)</x:f>
        <x:v>0</x:v>
      </x:c>
      <x:c r="F1302" s="440" t="n">
        <x:f>IF($B$78="Cash payoff",E1302,0)</x:f>
        <x:v>0</x:v>
      </x:c>
      <x:c r="G1302" s="440" t="n">
        <x:f>IF(AND(E1302&gt;0,AND($B$78="Refinance",ISNUMBER($B$80),$B$80&gt;=0,$B$80&lt;=1,ROUND($B$81*12,0)&gt;=1,$B$81&lt;=100,SUM($B$82)&gt;=0,SUM($B$82)&lt;=1,SUM($B$83)&gt;=0)),E1302*SUM($B$82)+SUM($B$83),0)</x:f>
        <x:v>0</x:v>
      </x:c>
      <x:c r="H1302" s="440" t="n">
        <x:f>IF(ISNUMBER(D1302),IF(MAX(0,B1302*(1+C1302/12)-D1302-F1302)&lt;MAX(0.0000001,$E$17*0.00000000001),0,MAX(0,B1302*(1+C1302/12)-D1302-F1302)),IF(AND($B$171=1,I1301=1),B1302,""))</x:f>
        <x:v>0</x:v>
      </x:c>
      <x:c r="I1302" s="444" t="n">
        <x:f>IF(OR(I1301=1,AND(E1302&gt;0,$B$78&lt;&gt;"Cash payoff",NOT(AND($B$78="Refinance",ISNUMBER($B$80),$B$80&gt;=0,$B$80&lt;=1,ROUND($B$81*12,0)&gt;=1,$B$81&lt;=100,SUM($B$82)&gt;=0,SUM($B$82)&lt;=1,SUM($B$83)&gt;=0))),AND(ISNUMBER(B1302),B1302&gt;0,$B$171=1,NOT(ISNUMBER(D1302)))),1,0)</x:f>
        <x:v>0</x:v>
      </x:c>
      <x:c r="J1302" s="440" t="n">
        <x:f>IF(ISNUMBER(L1301),L1301,"")</x:f>
        <x:v>0</x:v>
      </x:c>
      <x:c r="K1302" s="440" t="n">
        <x:f>IF(AND(ISNUMBER(J1302),J1302=0),0,IF(AND($B$176=1,ISNUMBER(J1302)),MIN(J1302*(1+$B$87/12),IF($B$86=0,0,IF($B$87=0,$B$86/ROUND($B$88*12,0),$B$86*($B$87/12)/(1-(1+$B$87/12)^(-ROUND($B$88*12,0)))))),""))</x:f>
        <x:v>0</x:v>
      </x:c>
      <x:c r="L1302" s="440" t="n">
        <x:f>IF(ISNUMBER(K1302),IF(MAX(0,J1302*(1+SUM($B$87)/12)-K1302)&lt;MAX(0.0000001,$B$86*0.00000000001),0,MAX(0,J1302*(1+SUM($B$87)/12)-K1302)),"")</x:f>
        <x:v>0</x:v>
      </x:c>
      <x:c r="M1302" s="440" t="n">
        <x:f>IF(AND(ISNUMBER(D1302),ISNUMBER(K1302)),D1302+K1302,"")</x:f>
        <x:v>0</x:v>
      </x:c>
      <x:c r="N1302" s="440" t="n">
        <x:f>IF(AND(ISNUMBER(H1302),ISNUMBER(L1302)),H1302+L1302,"")</x:f>
        <x:v>0</x:v>
      </x:c>
    </x:row>
    <x:row r="1303" ht="22" customHeight="1">
      <x:c r="A1303" s="254" t="n">
        <x:f>903</x:f>
        <x:v>903</x:v>
      </x:c>
      <x:c r="B1303" s="440" t="n">
        <x:f>IF(ISNUMBER(H1302),H1302,"")</x:f>
        <x:v>0</x:v>
      </x:c>
      <x:c r="C1303" s="442" t="n">
        <x:f>IF(ISNUMBER(B1303),IF(AND(903&gt;$B$173,$B$78="Refinance",ISNUMBER($B$80),$B$80&gt;=0,$B$80&lt;=1,ROUND($B$81*12,0)&gt;=1,$B$81&lt;=100,SUM($B$82)&gt;=0,SUM($B$82)&lt;=1,SUM($B$83)&gt;=0),$B$80,IF(AND($B$175&gt;0,903&gt;$B$175,ISNUMBER($B$75)),$B$75,$B$61)),"")</x:f>
        <x:v>0.0625</x:v>
      </x:c>
      <x:c r="D1303" s="440" t="n">
        <x:f>IF(AND(ISNUMBER(B1303),B1303=0),0,IF(AND($B$171=1,I1302=0,ISNUMBER(C1303),ISNUMBER(IF(AND(903&lt;=$B$174,903&lt;=$B$173),B1303*C1303/12,IF(AND(903=$B$173+1,AND(903&gt;$B$173,$B$78="Refinance",ISNUMBER($B$80),$B$80&gt;=0,$B$80&lt;=1,ROUND($B$81*12,0)&gt;=1,$B$81&lt;=100,SUM($B$82)&gt;=0,SUM($B$82)&lt;=1,SUM($B$83)&gt;=0)),IF(B1303=0,0,IF(C1303=0,B1303/ROUND($B$81*12,0),B1303*(C1303/12)/(1-(1+C1303/12)^(-ROUND($B$81*12,0))))),IF(AND(NOT(AND(903&gt;$B$173,$B$78="Refinance",ISNUMBER($B$80),$B$80&gt;=0,$B$80&lt;=1,ROUND($B$81*12,0)&gt;=1,$B$81&lt;=100,SUM($B$82)&gt;=0,SUM($B$82)&lt;=1,SUM($B$83)&gt;=0)),OR(903=1,903=$B$174+1,AND($B$175&gt;0,903=$B$175+1))),IF(AND($B$170=1,$B$66&gt;0,OR($B$175=0,903&lt;=$B$175)),$B$66,IF($B$172-MAX(903-1,$B$174)&gt;0,IF(B1303=0,0,IF(C1303=0,B1303/($B$172-MAX(903-1,$B$174)),B1303*(C1303/12)/(1-(1+C1303/12)^(-($B$172-MAX(903-1,$B$174)))))),"")),D1302))))),IF(IF(AND(903&lt;=$B$174,903&lt;=$B$173),B1303*C1303/12,IF(AND(903=$B$173+1,AND(903&gt;$B$173,$B$78="Refinance",ISNUMBER($B$80),$B$80&gt;=0,$B$80&lt;=1,ROUND($B$81*12,0)&gt;=1,$B$81&lt;=100,SUM($B$82)&gt;=0,SUM($B$82)&lt;=1,SUM($B$83)&gt;=0)),IF(B1303=0,0,IF(C1303=0,B1303/ROUND($B$81*12,0),B1303*(C1303/12)/(1-(1+C1303/12)^(-ROUND($B$81*12,0))))),IF(AND(NOT(AND(903&gt;$B$173,$B$78="Refinance",ISNUMBER($B$80),$B$80&gt;=0,$B$80&lt;=1,ROUND($B$81*12,0)&gt;=1,$B$81&lt;=100,SUM($B$82)&gt;=0,SUM($B$82)&lt;=1,SUM($B$83)&gt;=0)),OR(903=1,903=$B$174+1,AND($B$175&gt;0,903=$B$175+1))),IF(AND($B$170=1,$B$66&gt;0,OR($B$175=0,903&lt;=$B$175)),$B$66,IF($B$172-MAX(903-1,$B$174)&gt;0,IF(B1303=0,0,IF(C1303=0,B1303/($B$172-MAX(903-1,$B$174)),B1303*(C1303/12)/(1-(1+C1303/12)^(-($B$172-MAX(903-1,$B$174)))))),"")),D1302)))+0.0000001&gt;=B1303*C1303/12,MIN(B1303*(1+C1303/12),IF(AND(903&lt;=$B$174,903&lt;=$B$173),B1303*C1303/12,IF(AND(903=$B$173+1,AND(903&gt;$B$173,$B$78="Refinance",ISNUMBER($B$80),$B$80&gt;=0,$B$80&lt;=1,ROUND($B$81*12,0)&gt;=1,$B$81&lt;=100,SUM($B$82)&gt;=0,SUM($B$82)&lt;=1,SUM($B$83)&gt;=0)),IF(B1303=0,0,IF(C1303=0,B1303/ROUND($B$81*12,0),B1303*(C1303/12)/(1-(1+C1303/12)^(-ROUND($B$81*12,0))))),IF(AND(NOT(AND(903&gt;$B$173,$B$78="Refinance",ISNUMBER($B$80),$B$80&gt;=0,$B$80&lt;=1,ROUND($B$81*12,0)&gt;=1,$B$81&lt;=100,SUM($B$82)&gt;=0,SUM($B$82)&lt;=1,SUM($B$83)&gt;=0)),OR(903=1,903=$B$174+1,AND($B$175&gt;0,903=$B$175+1))),IF(AND($B$170=1,$B$66&gt;0,OR($B$175=0,903&lt;=$B$175)),$B$66,IF($B$172-MAX(903-1,$B$174)&gt;0,IF(B1303=0,0,IF(C1303=0,B1303/($B$172-MAX(903-1,$B$174)),B1303*(C1303/12)/(1-(1+C1303/12)^(-($B$172-MAX(903-1,$B$174)))))),"")),D1302)))),""),""))</x:f>
        <x:v>0</x:v>
      </x:c>
      <x:c r="E1303" s="440" t="n">
        <x:f>IF(AND(903=$B$173,ISNUMBER(D1303)),IF(MAX(0,B1303*(1+C1303/12)-D1303)&lt;MAX(0.0000001,$E$17*0.00000000001),0,MAX(0,B1303*(1+C1303/12)-D1303)),0)</x:f>
        <x:v>0</x:v>
      </x:c>
      <x:c r="F1303" s="440" t="n">
        <x:f>IF($B$78="Cash payoff",E1303,0)</x:f>
        <x:v>0</x:v>
      </x:c>
      <x:c r="G1303" s="440" t="n">
        <x:f>IF(AND(E1303&gt;0,AND($B$78="Refinance",ISNUMBER($B$80),$B$80&gt;=0,$B$80&lt;=1,ROUND($B$81*12,0)&gt;=1,$B$81&lt;=100,SUM($B$82)&gt;=0,SUM($B$82)&lt;=1,SUM($B$83)&gt;=0)),E1303*SUM($B$82)+SUM($B$83),0)</x:f>
        <x:v>0</x:v>
      </x:c>
      <x:c r="H1303" s="440" t="n">
        <x:f>IF(ISNUMBER(D1303),IF(MAX(0,B1303*(1+C1303/12)-D1303-F1303)&lt;MAX(0.0000001,$E$17*0.00000000001),0,MAX(0,B1303*(1+C1303/12)-D1303-F1303)),IF(AND($B$171=1,I1302=1),B1303,""))</x:f>
        <x:v>0</x:v>
      </x:c>
      <x:c r="I1303" s="444" t="n">
        <x:f>IF(OR(I1302=1,AND(E1303&gt;0,$B$78&lt;&gt;"Cash payoff",NOT(AND($B$78="Refinance",ISNUMBER($B$80),$B$80&gt;=0,$B$80&lt;=1,ROUND($B$81*12,0)&gt;=1,$B$81&lt;=100,SUM($B$82)&gt;=0,SUM($B$82)&lt;=1,SUM($B$83)&gt;=0))),AND(ISNUMBER(B1303),B1303&gt;0,$B$171=1,NOT(ISNUMBER(D1303)))),1,0)</x:f>
        <x:v>0</x:v>
      </x:c>
      <x:c r="J1303" s="440" t="n">
        <x:f>IF(ISNUMBER(L1302),L1302,"")</x:f>
        <x:v>0</x:v>
      </x:c>
      <x:c r="K1303" s="440" t="n">
        <x:f>IF(AND(ISNUMBER(J1303),J1303=0),0,IF(AND($B$176=1,ISNUMBER(J1303)),MIN(J1303*(1+$B$87/12),IF($B$86=0,0,IF($B$87=0,$B$86/ROUND($B$88*12,0),$B$86*($B$87/12)/(1-(1+$B$87/12)^(-ROUND($B$88*12,0)))))),""))</x:f>
        <x:v>0</x:v>
      </x:c>
      <x:c r="L1303" s="440" t="n">
        <x:f>IF(ISNUMBER(K1303),IF(MAX(0,J1303*(1+SUM($B$87)/12)-K1303)&lt;MAX(0.0000001,$B$86*0.00000000001),0,MAX(0,J1303*(1+SUM($B$87)/12)-K1303)),"")</x:f>
        <x:v>0</x:v>
      </x:c>
      <x:c r="M1303" s="440" t="n">
        <x:f>IF(AND(ISNUMBER(D1303),ISNUMBER(K1303)),D1303+K1303,"")</x:f>
        <x:v>0</x:v>
      </x:c>
      <x:c r="N1303" s="440" t="n">
        <x:f>IF(AND(ISNUMBER(H1303),ISNUMBER(L1303)),H1303+L1303,"")</x:f>
        <x:v>0</x:v>
      </x:c>
    </x:row>
    <x:row r="1304" ht="22" customHeight="1">
      <x:c r="A1304" s="254" t="n">
        <x:f>904</x:f>
        <x:v>904</x:v>
      </x:c>
      <x:c r="B1304" s="440" t="n">
        <x:f>IF(ISNUMBER(H1303),H1303,"")</x:f>
        <x:v>0</x:v>
      </x:c>
      <x:c r="C1304" s="442" t="n">
        <x:f>IF(ISNUMBER(B1304),IF(AND(904&gt;$B$173,$B$78="Refinance",ISNUMBER($B$80),$B$80&gt;=0,$B$80&lt;=1,ROUND($B$81*12,0)&gt;=1,$B$81&lt;=100,SUM($B$82)&gt;=0,SUM($B$82)&lt;=1,SUM($B$83)&gt;=0),$B$80,IF(AND($B$175&gt;0,904&gt;$B$175,ISNUMBER($B$75)),$B$75,$B$61)),"")</x:f>
        <x:v>0.0625</x:v>
      </x:c>
      <x:c r="D1304" s="440" t="n">
        <x:f>IF(AND(ISNUMBER(B1304),B1304=0),0,IF(AND($B$171=1,I1303=0,ISNUMBER(C1304),ISNUMBER(IF(AND(904&lt;=$B$174,904&lt;=$B$173),B1304*C1304/12,IF(AND(904=$B$173+1,AND(904&gt;$B$173,$B$78="Refinance",ISNUMBER($B$80),$B$80&gt;=0,$B$80&lt;=1,ROUND($B$81*12,0)&gt;=1,$B$81&lt;=100,SUM($B$82)&gt;=0,SUM($B$82)&lt;=1,SUM($B$83)&gt;=0)),IF(B1304=0,0,IF(C1304=0,B1304/ROUND($B$81*12,0),B1304*(C1304/12)/(1-(1+C1304/12)^(-ROUND($B$81*12,0))))),IF(AND(NOT(AND(904&gt;$B$173,$B$78="Refinance",ISNUMBER($B$80),$B$80&gt;=0,$B$80&lt;=1,ROUND($B$81*12,0)&gt;=1,$B$81&lt;=100,SUM($B$82)&gt;=0,SUM($B$82)&lt;=1,SUM($B$83)&gt;=0)),OR(904=1,904=$B$174+1,AND($B$175&gt;0,904=$B$175+1))),IF(AND($B$170=1,$B$66&gt;0,OR($B$175=0,904&lt;=$B$175)),$B$66,IF($B$172-MAX(904-1,$B$174)&gt;0,IF(B1304=0,0,IF(C1304=0,B1304/($B$172-MAX(904-1,$B$174)),B1304*(C1304/12)/(1-(1+C1304/12)^(-($B$172-MAX(904-1,$B$174)))))),"")),D1303))))),IF(IF(AND(904&lt;=$B$174,904&lt;=$B$173),B1304*C1304/12,IF(AND(904=$B$173+1,AND(904&gt;$B$173,$B$78="Refinance",ISNUMBER($B$80),$B$80&gt;=0,$B$80&lt;=1,ROUND($B$81*12,0)&gt;=1,$B$81&lt;=100,SUM($B$82)&gt;=0,SUM($B$82)&lt;=1,SUM($B$83)&gt;=0)),IF(B1304=0,0,IF(C1304=0,B1304/ROUND($B$81*12,0),B1304*(C1304/12)/(1-(1+C1304/12)^(-ROUND($B$81*12,0))))),IF(AND(NOT(AND(904&gt;$B$173,$B$78="Refinance",ISNUMBER($B$80),$B$80&gt;=0,$B$80&lt;=1,ROUND($B$81*12,0)&gt;=1,$B$81&lt;=100,SUM($B$82)&gt;=0,SUM($B$82)&lt;=1,SUM($B$83)&gt;=0)),OR(904=1,904=$B$174+1,AND($B$175&gt;0,904=$B$175+1))),IF(AND($B$170=1,$B$66&gt;0,OR($B$175=0,904&lt;=$B$175)),$B$66,IF($B$172-MAX(904-1,$B$174)&gt;0,IF(B1304=0,0,IF(C1304=0,B1304/($B$172-MAX(904-1,$B$174)),B1304*(C1304/12)/(1-(1+C1304/12)^(-($B$172-MAX(904-1,$B$174)))))),"")),D1303)))+0.0000001&gt;=B1304*C1304/12,MIN(B1304*(1+C1304/12),IF(AND(904&lt;=$B$174,904&lt;=$B$173),B1304*C1304/12,IF(AND(904=$B$173+1,AND(904&gt;$B$173,$B$78="Refinance",ISNUMBER($B$80),$B$80&gt;=0,$B$80&lt;=1,ROUND($B$81*12,0)&gt;=1,$B$81&lt;=100,SUM($B$82)&gt;=0,SUM($B$82)&lt;=1,SUM($B$83)&gt;=0)),IF(B1304=0,0,IF(C1304=0,B1304/ROUND($B$81*12,0),B1304*(C1304/12)/(1-(1+C1304/12)^(-ROUND($B$81*12,0))))),IF(AND(NOT(AND(904&gt;$B$173,$B$78="Refinance",ISNUMBER($B$80),$B$80&gt;=0,$B$80&lt;=1,ROUND($B$81*12,0)&gt;=1,$B$81&lt;=100,SUM($B$82)&gt;=0,SUM($B$82)&lt;=1,SUM($B$83)&gt;=0)),OR(904=1,904=$B$174+1,AND($B$175&gt;0,904=$B$175+1))),IF(AND($B$170=1,$B$66&gt;0,OR($B$175=0,904&lt;=$B$175)),$B$66,IF($B$172-MAX(904-1,$B$174)&gt;0,IF(B1304=0,0,IF(C1304=0,B1304/($B$172-MAX(904-1,$B$174)),B1304*(C1304/12)/(1-(1+C1304/12)^(-($B$172-MAX(904-1,$B$174)))))),"")),D1303)))),""),""))</x:f>
        <x:v>0</x:v>
      </x:c>
      <x:c r="E1304" s="440" t="n">
        <x:f>IF(AND(904=$B$173,ISNUMBER(D1304)),IF(MAX(0,B1304*(1+C1304/12)-D1304)&lt;MAX(0.0000001,$E$17*0.00000000001),0,MAX(0,B1304*(1+C1304/12)-D1304)),0)</x:f>
        <x:v>0</x:v>
      </x:c>
      <x:c r="F1304" s="440" t="n">
        <x:f>IF($B$78="Cash payoff",E1304,0)</x:f>
        <x:v>0</x:v>
      </x:c>
      <x:c r="G1304" s="440" t="n">
        <x:f>IF(AND(E1304&gt;0,AND($B$78="Refinance",ISNUMBER($B$80),$B$80&gt;=0,$B$80&lt;=1,ROUND($B$81*12,0)&gt;=1,$B$81&lt;=100,SUM($B$82)&gt;=0,SUM($B$82)&lt;=1,SUM($B$83)&gt;=0)),E1304*SUM($B$82)+SUM($B$83),0)</x:f>
        <x:v>0</x:v>
      </x:c>
      <x:c r="H1304" s="440" t="n">
        <x:f>IF(ISNUMBER(D1304),IF(MAX(0,B1304*(1+C1304/12)-D1304-F1304)&lt;MAX(0.0000001,$E$17*0.00000000001),0,MAX(0,B1304*(1+C1304/12)-D1304-F1304)),IF(AND($B$171=1,I1303=1),B1304,""))</x:f>
        <x:v>0</x:v>
      </x:c>
      <x:c r="I1304" s="444" t="n">
        <x:f>IF(OR(I1303=1,AND(E1304&gt;0,$B$78&lt;&gt;"Cash payoff",NOT(AND($B$78="Refinance",ISNUMBER($B$80),$B$80&gt;=0,$B$80&lt;=1,ROUND($B$81*12,0)&gt;=1,$B$81&lt;=100,SUM($B$82)&gt;=0,SUM($B$82)&lt;=1,SUM($B$83)&gt;=0))),AND(ISNUMBER(B1304),B1304&gt;0,$B$171=1,NOT(ISNUMBER(D1304)))),1,0)</x:f>
        <x:v>0</x:v>
      </x:c>
      <x:c r="J1304" s="440" t="n">
        <x:f>IF(ISNUMBER(L1303),L1303,"")</x:f>
        <x:v>0</x:v>
      </x:c>
      <x:c r="K1304" s="440" t="n">
        <x:f>IF(AND(ISNUMBER(J1304),J1304=0),0,IF(AND($B$176=1,ISNUMBER(J1304)),MIN(J1304*(1+$B$87/12),IF($B$86=0,0,IF($B$87=0,$B$86/ROUND($B$88*12,0),$B$86*($B$87/12)/(1-(1+$B$87/12)^(-ROUND($B$88*12,0)))))),""))</x:f>
        <x:v>0</x:v>
      </x:c>
      <x:c r="L1304" s="440" t="n">
        <x:f>IF(ISNUMBER(K1304),IF(MAX(0,J1304*(1+SUM($B$87)/12)-K1304)&lt;MAX(0.0000001,$B$86*0.00000000001),0,MAX(0,J1304*(1+SUM($B$87)/12)-K1304)),"")</x:f>
        <x:v>0</x:v>
      </x:c>
      <x:c r="M1304" s="440" t="n">
        <x:f>IF(AND(ISNUMBER(D1304),ISNUMBER(K1304)),D1304+K1304,"")</x:f>
        <x:v>0</x:v>
      </x:c>
      <x:c r="N1304" s="440" t="n">
        <x:f>IF(AND(ISNUMBER(H1304),ISNUMBER(L1304)),H1304+L1304,"")</x:f>
        <x:v>0</x:v>
      </x:c>
    </x:row>
    <x:row r="1305" ht="22" customHeight="1">
      <x:c r="A1305" s="254" t="n">
        <x:f>905</x:f>
        <x:v>905</x:v>
      </x:c>
      <x:c r="B1305" s="440" t="n">
        <x:f>IF(ISNUMBER(H1304),H1304,"")</x:f>
        <x:v>0</x:v>
      </x:c>
      <x:c r="C1305" s="442" t="n">
        <x:f>IF(ISNUMBER(B1305),IF(AND(905&gt;$B$173,$B$78="Refinance",ISNUMBER($B$80),$B$80&gt;=0,$B$80&lt;=1,ROUND($B$81*12,0)&gt;=1,$B$81&lt;=100,SUM($B$82)&gt;=0,SUM($B$82)&lt;=1,SUM($B$83)&gt;=0),$B$80,IF(AND($B$175&gt;0,905&gt;$B$175,ISNUMBER($B$75)),$B$75,$B$61)),"")</x:f>
        <x:v>0.0625</x:v>
      </x:c>
      <x:c r="D1305" s="440" t="n">
        <x:f>IF(AND(ISNUMBER(B1305),B1305=0),0,IF(AND($B$171=1,I1304=0,ISNUMBER(C1305),ISNUMBER(IF(AND(905&lt;=$B$174,905&lt;=$B$173),B1305*C1305/12,IF(AND(905=$B$173+1,AND(905&gt;$B$173,$B$78="Refinance",ISNUMBER($B$80),$B$80&gt;=0,$B$80&lt;=1,ROUND($B$81*12,0)&gt;=1,$B$81&lt;=100,SUM($B$82)&gt;=0,SUM($B$82)&lt;=1,SUM($B$83)&gt;=0)),IF(B1305=0,0,IF(C1305=0,B1305/ROUND($B$81*12,0),B1305*(C1305/12)/(1-(1+C1305/12)^(-ROUND($B$81*12,0))))),IF(AND(NOT(AND(905&gt;$B$173,$B$78="Refinance",ISNUMBER($B$80),$B$80&gt;=0,$B$80&lt;=1,ROUND($B$81*12,0)&gt;=1,$B$81&lt;=100,SUM($B$82)&gt;=0,SUM($B$82)&lt;=1,SUM($B$83)&gt;=0)),OR(905=1,905=$B$174+1,AND($B$175&gt;0,905=$B$175+1))),IF(AND($B$170=1,$B$66&gt;0,OR($B$175=0,905&lt;=$B$175)),$B$66,IF($B$172-MAX(905-1,$B$174)&gt;0,IF(B1305=0,0,IF(C1305=0,B1305/($B$172-MAX(905-1,$B$174)),B1305*(C1305/12)/(1-(1+C1305/12)^(-($B$172-MAX(905-1,$B$174)))))),"")),D1304))))),IF(IF(AND(905&lt;=$B$174,905&lt;=$B$173),B1305*C1305/12,IF(AND(905=$B$173+1,AND(905&gt;$B$173,$B$78="Refinance",ISNUMBER($B$80),$B$80&gt;=0,$B$80&lt;=1,ROUND($B$81*12,0)&gt;=1,$B$81&lt;=100,SUM($B$82)&gt;=0,SUM($B$82)&lt;=1,SUM($B$83)&gt;=0)),IF(B1305=0,0,IF(C1305=0,B1305/ROUND($B$81*12,0),B1305*(C1305/12)/(1-(1+C1305/12)^(-ROUND($B$81*12,0))))),IF(AND(NOT(AND(905&gt;$B$173,$B$78="Refinance",ISNUMBER($B$80),$B$80&gt;=0,$B$80&lt;=1,ROUND($B$81*12,0)&gt;=1,$B$81&lt;=100,SUM($B$82)&gt;=0,SUM($B$82)&lt;=1,SUM($B$83)&gt;=0)),OR(905=1,905=$B$174+1,AND($B$175&gt;0,905=$B$175+1))),IF(AND($B$170=1,$B$66&gt;0,OR($B$175=0,905&lt;=$B$175)),$B$66,IF($B$172-MAX(905-1,$B$174)&gt;0,IF(B1305=0,0,IF(C1305=0,B1305/($B$172-MAX(905-1,$B$174)),B1305*(C1305/12)/(1-(1+C1305/12)^(-($B$172-MAX(905-1,$B$174)))))),"")),D1304)))+0.0000001&gt;=B1305*C1305/12,MIN(B1305*(1+C1305/12),IF(AND(905&lt;=$B$174,905&lt;=$B$173),B1305*C1305/12,IF(AND(905=$B$173+1,AND(905&gt;$B$173,$B$78="Refinance",ISNUMBER($B$80),$B$80&gt;=0,$B$80&lt;=1,ROUND($B$81*12,0)&gt;=1,$B$81&lt;=100,SUM($B$82)&gt;=0,SUM($B$82)&lt;=1,SUM($B$83)&gt;=0)),IF(B1305=0,0,IF(C1305=0,B1305/ROUND($B$81*12,0),B1305*(C1305/12)/(1-(1+C1305/12)^(-ROUND($B$81*12,0))))),IF(AND(NOT(AND(905&gt;$B$173,$B$78="Refinance",ISNUMBER($B$80),$B$80&gt;=0,$B$80&lt;=1,ROUND($B$81*12,0)&gt;=1,$B$81&lt;=100,SUM($B$82)&gt;=0,SUM($B$82)&lt;=1,SUM($B$83)&gt;=0)),OR(905=1,905=$B$174+1,AND($B$175&gt;0,905=$B$175+1))),IF(AND($B$170=1,$B$66&gt;0,OR($B$175=0,905&lt;=$B$175)),$B$66,IF($B$172-MAX(905-1,$B$174)&gt;0,IF(B1305=0,0,IF(C1305=0,B1305/($B$172-MAX(905-1,$B$174)),B1305*(C1305/12)/(1-(1+C1305/12)^(-($B$172-MAX(905-1,$B$174)))))),"")),D1304)))),""),""))</x:f>
        <x:v>0</x:v>
      </x:c>
      <x:c r="E1305" s="440" t="n">
        <x:f>IF(AND(905=$B$173,ISNUMBER(D1305)),IF(MAX(0,B1305*(1+C1305/12)-D1305)&lt;MAX(0.0000001,$E$17*0.00000000001),0,MAX(0,B1305*(1+C1305/12)-D1305)),0)</x:f>
        <x:v>0</x:v>
      </x:c>
      <x:c r="F1305" s="440" t="n">
        <x:f>IF($B$78="Cash payoff",E1305,0)</x:f>
        <x:v>0</x:v>
      </x:c>
      <x:c r="G1305" s="440" t="n">
        <x:f>IF(AND(E1305&gt;0,AND($B$78="Refinance",ISNUMBER($B$80),$B$80&gt;=0,$B$80&lt;=1,ROUND($B$81*12,0)&gt;=1,$B$81&lt;=100,SUM($B$82)&gt;=0,SUM($B$82)&lt;=1,SUM($B$83)&gt;=0)),E1305*SUM($B$82)+SUM($B$83),0)</x:f>
        <x:v>0</x:v>
      </x:c>
      <x:c r="H1305" s="440" t="n">
        <x:f>IF(ISNUMBER(D1305),IF(MAX(0,B1305*(1+C1305/12)-D1305-F1305)&lt;MAX(0.0000001,$E$17*0.00000000001),0,MAX(0,B1305*(1+C1305/12)-D1305-F1305)),IF(AND($B$171=1,I1304=1),B1305,""))</x:f>
        <x:v>0</x:v>
      </x:c>
      <x:c r="I1305" s="444" t="n">
        <x:f>IF(OR(I1304=1,AND(E1305&gt;0,$B$78&lt;&gt;"Cash payoff",NOT(AND($B$78="Refinance",ISNUMBER($B$80),$B$80&gt;=0,$B$80&lt;=1,ROUND($B$81*12,0)&gt;=1,$B$81&lt;=100,SUM($B$82)&gt;=0,SUM($B$82)&lt;=1,SUM($B$83)&gt;=0))),AND(ISNUMBER(B1305),B1305&gt;0,$B$171=1,NOT(ISNUMBER(D1305)))),1,0)</x:f>
        <x:v>0</x:v>
      </x:c>
      <x:c r="J1305" s="440" t="n">
        <x:f>IF(ISNUMBER(L1304),L1304,"")</x:f>
        <x:v>0</x:v>
      </x:c>
      <x:c r="K1305" s="440" t="n">
        <x:f>IF(AND(ISNUMBER(J1305),J1305=0),0,IF(AND($B$176=1,ISNUMBER(J1305)),MIN(J1305*(1+$B$87/12),IF($B$86=0,0,IF($B$87=0,$B$86/ROUND($B$88*12,0),$B$86*($B$87/12)/(1-(1+$B$87/12)^(-ROUND($B$88*12,0)))))),""))</x:f>
        <x:v>0</x:v>
      </x:c>
      <x:c r="L1305" s="440" t="n">
        <x:f>IF(ISNUMBER(K1305),IF(MAX(0,J1305*(1+SUM($B$87)/12)-K1305)&lt;MAX(0.0000001,$B$86*0.00000000001),0,MAX(0,J1305*(1+SUM($B$87)/12)-K1305)),"")</x:f>
        <x:v>0</x:v>
      </x:c>
      <x:c r="M1305" s="440" t="n">
        <x:f>IF(AND(ISNUMBER(D1305),ISNUMBER(K1305)),D1305+K1305,"")</x:f>
        <x:v>0</x:v>
      </x:c>
      <x:c r="N1305" s="440" t="n">
        <x:f>IF(AND(ISNUMBER(H1305),ISNUMBER(L1305)),H1305+L1305,"")</x:f>
        <x:v>0</x:v>
      </x:c>
    </x:row>
    <x:row r="1306" ht="22" customHeight="1">
      <x:c r="A1306" s="254" t="n">
        <x:f>906</x:f>
        <x:v>906</x:v>
      </x:c>
      <x:c r="B1306" s="440" t="n">
        <x:f>IF(ISNUMBER(H1305),H1305,"")</x:f>
        <x:v>0</x:v>
      </x:c>
      <x:c r="C1306" s="442" t="n">
        <x:f>IF(ISNUMBER(B1306),IF(AND(906&gt;$B$173,$B$78="Refinance",ISNUMBER($B$80),$B$80&gt;=0,$B$80&lt;=1,ROUND($B$81*12,0)&gt;=1,$B$81&lt;=100,SUM($B$82)&gt;=0,SUM($B$82)&lt;=1,SUM($B$83)&gt;=0),$B$80,IF(AND($B$175&gt;0,906&gt;$B$175,ISNUMBER($B$75)),$B$75,$B$61)),"")</x:f>
        <x:v>0.0625</x:v>
      </x:c>
      <x:c r="D1306" s="440" t="n">
        <x:f>IF(AND(ISNUMBER(B1306),B1306=0),0,IF(AND($B$171=1,I1305=0,ISNUMBER(C1306),ISNUMBER(IF(AND(906&lt;=$B$174,906&lt;=$B$173),B1306*C1306/12,IF(AND(906=$B$173+1,AND(906&gt;$B$173,$B$78="Refinance",ISNUMBER($B$80),$B$80&gt;=0,$B$80&lt;=1,ROUND($B$81*12,0)&gt;=1,$B$81&lt;=100,SUM($B$82)&gt;=0,SUM($B$82)&lt;=1,SUM($B$83)&gt;=0)),IF(B1306=0,0,IF(C1306=0,B1306/ROUND($B$81*12,0),B1306*(C1306/12)/(1-(1+C1306/12)^(-ROUND($B$81*12,0))))),IF(AND(NOT(AND(906&gt;$B$173,$B$78="Refinance",ISNUMBER($B$80),$B$80&gt;=0,$B$80&lt;=1,ROUND($B$81*12,0)&gt;=1,$B$81&lt;=100,SUM($B$82)&gt;=0,SUM($B$82)&lt;=1,SUM($B$83)&gt;=0)),OR(906=1,906=$B$174+1,AND($B$175&gt;0,906=$B$175+1))),IF(AND($B$170=1,$B$66&gt;0,OR($B$175=0,906&lt;=$B$175)),$B$66,IF($B$172-MAX(906-1,$B$174)&gt;0,IF(B1306=0,0,IF(C1306=0,B1306/($B$172-MAX(906-1,$B$174)),B1306*(C1306/12)/(1-(1+C1306/12)^(-($B$172-MAX(906-1,$B$174)))))),"")),D1305))))),IF(IF(AND(906&lt;=$B$174,906&lt;=$B$173),B1306*C1306/12,IF(AND(906=$B$173+1,AND(906&gt;$B$173,$B$78="Refinance",ISNUMBER($B$80),$B$80&gt;=0,$B$80&lt;=1,ROUND($B$81*12,0)&gt;=1,$B$81&lt;=100,SUM($B$82)&gt;=0,SUM($B$82)&lt;=1,SUM($B$83)&gt;=0)),IF(B1306=0,0,IF(C1306=0,B1306/ROUND($B$81*12,0),B1306*(C1306/12)/(1-(1+C1306/12)^(-ROUND($B$81*12,0))))),IF(AND(NOT(AND(906&gt;$B$173,$B$78="Refinance",ISNUMBER($B$80),$B$80&gt;=0,$B$80&lt;=1,ROUND($B$81*12,0)&gt;=1,$B$81&lt;=100,SUM($B$82)&gt;=0,SUM($B$82)&lt;=1,SUM($B$83)&gt;=0)),OR(906=1,906=$B$174+1,AND($B$175&gt;0,906=$B$175+1))),IF(AND($B$170=1,$B$66&gt;0,OR($B$175=0,906&lt;=$B$175)),$B$66,IF($B$172-MAX(906-1,$B$174)&gt;0,IF(B1306=0,0,IF(C1306=0,B1306/($B$172-MAX(906-1,$B$174)),B1306*(C1306/12)/(1-(1+C1306/12)^(-($B$172-MAX(906-1,$B$174)))))),"")),D1305)))+0.0000001&gt;=B1306*C1306/12,MIN(B1306*(1+C1306/12),IF(AND(906&lt;=$B$174,906&lt;=$B$173),B1306*C1306/12,IF(AND(906=$B$173+1,AND(906&gt;$B$173,$B$78="Refinance",ISNUMBER($B$80),$B$80&gt;=0,$B$80&lt;=1,ROUND($B$81*12,0)&gt;=1,$B$81&lt;=100,SUM($B$82)&gt;=0,SUM($B$82)&lt;=1,SUM($B$83)&gt;=0)),IF(B1306=0,0,IF(C1306=0,B1306/ROUND($B$81*12,0),B1306*(C1306/12)/(1-(1+C1306/12)^(-ROUND($B$81*12,0))))),IF(AND(NOT(AND(906&gt;$B$173,$B$78="Refinance",ISNUMBER($B$80),$B$80&gt;=0,$B$80&lt;=1,ROUND($B$81*12,0)&gt;=1,$B$81&lt;=100,SUM($B$82)&gt;=0,SUM($B$82)&lt;=1,SUM($B$83)&gt;=0)),OR(906=1,906=$B$174+1,AND($B$175&gt;0,906=$B$175+1))),IF(AND($B$170=1,$B$66&gt;0,OR($B$175=0,906&lt;=$B$175)),$B$66,IF($B$172-MAX(906-1,$B$174)&gt;0,IF(B1306=0,0,IF(C1306=0,B1306/($B$172-MAX(906-1,$B$174)),B1306*(C1306/12)/(1-(1+C1306/12)^(-($B$172-MAX(906-1,$B$174)))))),"")),D1305)))),""),""))</x:f>
        <x:v>0</x:v>
      </x:c>
      <x:c r="E1306" s="440" t="n">
        <x:f>IF(AND(906=$B$173,ISNUMBER(D1306)),IF(MAX(0,B1306*(1+C1306/12)-D1306)&lt;MAX(0.0000001,$E$17*0.00000000001),0,MAX(0,B1306*(1+C1306/12)-D1306)),0)</x:f>
        <x:v>0</x:v>
      </x:c>
      <x:c r="F1306" s="440" t="n">
        <x:f>IF($B$78="Cash payoff",E1306,0)</x:f>
        <x:v>0</x:v>
      </x:c>
      <x:c r="G1306" s="440" t="n">
        <x:f>IF(AND(E1306&gt;0,AND($B$78="Refinance",ISNUMBER($B$80),$B$80&gt;=0,$B$80&lt;=1,ROUND($B$81*12,0)&gt;=1,$B$81&lt;=100,SUM($B$82)&gt;=0,SUM($B$82)&lt;=1,SUM($B$83)&gt;=0)),E1306*SUM($B$82)+SUM($B$83),0)</x:f>
        <x:v>0</x:v>
      </x:c>
      <x:c r="H1306" s="440" t="n">
        <x:f>IF(ISNUMBER(D1306),IF(MAX(0,B1306*(1+C1306/12)-D1306-F1306)&lt;MAX(0.0000001,$E$17*0.00000000001),0,MAX(0,B1306*(1+C1306/12)-D1306-F1306)),IF(AND($B$171=1,I1305=1),B1306,""))</x:f>
        <x:v>0</x:v>
      </x:c>
      <x:c r="I1306" s="444" t="n">
        <x:f>IF(OR(I1305=1,AND(E1306&gt;0,$B$78&lt;&gt;"Cash payoff",NOT(AND($B$78="Refinance",ISNUMBER($B$80),$B$80&gt;=0,$B$80&lt;=1,ROUND($B$81*12,0)&gt;=1,$B$81&lt;=100,SUM($B$82)&gt;=0,SUM($B$82)&lt;=1,SUM($B$83)&gt;=0))),AND(ISNUMBER(B1306),B1306&gt;0,$B$171=1,NOT(ISNUMBER(D1306)))),1,0)</x:f>
        <x:v>0</x:v>
      </x:c>
      <x:c r="J1306" s="440" t="n">
        <x:f>IF(ISNUMBER(L1305),L1305,"")</x:f>
        <x:v>0</x:v>
      </x:c>
      <x:c r="K1306" s="440" t="n">
        <x:f>IF(AND(ISNUMBER(J1306),J1306=0),0,IF(AND($B$176=1,ISNUMBER(J1306)),MIN(J1306*(1+$B$87/12),IF($B$86=0,0,IF($B$87=0,$B$86/ROUND($B$88*12,0),$B$86*($B$87/12)/(1-(1+$B$87/12)^(-ROUND($B$88*12,0)))))),""))</x:f>
        <x:v>0</x:v>
      </x:c>
      <x:c r="L1306" s="440" t="n">
        <x:f>IF(ISNUMBER(K1306),IF(MAX(0,J1306*(1+SUM($B$87)/12)-K1306)&lt;MAX(0.0000001,$B$86*0.00000000001),0,MAX(0,J1306*(1+SUM($B$87)/12)-K1306)),"")</x:f>
        <x:v>0</x:v>
      </x:c>
      <x:c r="M1306" s="440" t="n">
        <x:f>IF(AND(ISNUMBER(D1306),ISNUMBER(K1306)),D1306+K1306,"")</x:f>
        <x:v>0</x:v>
      </x:c>
      <x:c r="N1306" s="440" t="n">
        <x:f>IF(AND(ISNUMBER(H1306),ISNUMBER(L1306)),H1306+L1306,"")</x:f>
        <x:v>0</x:v>
      </x:c>
    </x:row>
    <x:row r="1307" ht="22" customHeight="1">
      <x:c r="A1307" s="254" t="n">
        <x:f>907</x:f>
        <x:v>907</x:v>
      </x:c>
      <x:c r="B1307" s="440" t="n">
        <x:f>IF(ISNUMBER(H1306),H1306,"")</x:f>
        <x:v>0</x:v>
      </x:c>
      <x:c r="C1307" s="442" t="n">
        <x:f>IF(ISNUMBER(B1307),IF(AND(907&gt;$B$173,$B$78="Refinance",ISNUMBER($B$80),$B$80&gt;=0,$B$80&lt;=1,ROUND($B$81*12,0)&gt;=1,$B$81&lt;=100,SUM($B$82)&gt;=0,SUM($B$82)&lt;=1,SUM($B$83)&gt;=0),$B$80,IF(AND($B$175&gt;0,907&gt;$B$175,ISNUMBER($B$75)),$B$75,$B$61)),"")</x:f>
        <x:v>0.0625</x:v>
      </x:c>
      <x:c r="D1307" s="440" t="n">
        <x:f>IF(AND(ISNUMBER(B1307),B1307=0),0,IF(AND($B$171=1,I1306=0,ISNUMBER(C1307),ISNUMBER(IF(AND(907&lt;=$B$174,907&lt;=$B$173),B1307*C1307/12,IF(AND(907=$B$173+1,AND(907&gt;$B$173,$B$78="Refinance",ISNUMBER($B$80),$B$80&gt;=0,$B$80&lt;=1,ROUND($B$81*12,0)&gt;=1,$B$81&lt;=100,SUM($B$82)&gt;=0,SUM($B$82)&lt;=1,SUM($B$83)&gt;=0)),IF(B1307=0,0,IF(C1307=0,B1307/ROUND($B$81*12,0),B1307*(C1307/12)/(1-(1+C1307/12)^(-ROUND($B$81*12,0))))),IF(AND(NOT(AND(907&gt;$B$173,$B$78="Refinance",ISNUMBER($B$80),$B$80&gt;=0,$B$80&lt;=1,ROUND($B$81*12,0)&gt;=1,$B$81&lt;=100,SUM($B$82)&gt;=0,SUM($B$82)&lt;=1,SUM($B$83)&gt;=0)),OR(907=1,907=$B$174+1,AND($B$175&gt;0,907=$B$175+1))),IF(AND($B$170=1,$B$66&gt;0,OR($B$175=0,907&lt;=$B$175)),$B$66,IF($B$172-MAX(907-1,$B$174)&gt;0,IF(B1307=0,0,IF(C1307=0,B1307/($B$172-MAX(907-1,$B$174)),B1307*(C1307/12)/(1-(1+C1307/12)^(-($B$172-MAX(907-1,$B$174)))))),"")),D1306))))),IF(IF(AND(907&lt;=$B$174,907&lt;=$B$173),B1307*C1307/12,IF(AND(907=$B$173+1,AND(907&gt;$B$173,$B$78="Refinance",ISNUMBER($B$80),$B$80&gt;=0,$B$80&lt;=1,ROUND($B$81*12,0)&gt;=1,$B$81&lt;=100,SUM($B$82)&gt;=0,SUM($B$82)&lt;=1,SUM($B$83)&gt;=0)),IF(B1307=0,0,IF(C1307=0,B1307/ROUND($B$81*12,0),B1307*(C1307/12)/(1-(1+C1307/12)^(-ROUND($B$81*12,0))))),IF(AND(NOT(AND(907&gt;$B$173,$B$78="Refinance",ISNUMBER($B$80),$B$80&gt;=0,$B$80&lt;=1,ROUND($B$81*12,0)&gt;=1,$B$81&lt;=100,SUM($B$82)&gt;=0,SUM($B$82)&lt;=1,SUM($B$83)&gt;=0)),OR(907=1,907=$B$174+1,AND($B$175&gt;0,907=$B$175+1))),IF(AND($B$170=1,$B$66&gt;0,OR($B$175=0,907&lt;=$B$175)),$B$66,IF($B$172-MAX(907-1,$B$174)&gt;0,IF(B1307=0,0,IF(C1307=0,B1307/($B$172-MAX(907-1,$B$174)),B1307*(C1307/12)/(1-(1+C1307/12)^(-($B$172-MAX(907-1,$B$174)))))),"")),D1306)))+0.0000001&gt;=B1307*C1307/12,MIN(B1307*(1+C1307/12),IF(AND(907&lt;=$B$174,907&lt;=$B$173),B1307*C1307/12,IF(AND(907=$B$173+1,AND(907&gt;$B$173,$B$78="Refinance",ISNUMBER($B$80),$B$80&gt;=0,$B$80&lt;=1,ROUND($B$81*12,0)&gt;=1,$B$81&lt;=100,SUM($B$82)&gt;=0,SUM($B$82)&lt;=1,SUM($B$83)&gt;=0)),IF(B1307=0,0,IF(C1307=0,B1307/ROUND($B$81*12,0),B1307*(C1307/12)/(1-(1+C1307/12)^(-ROUND($B$81*12,0))))),IF(AND(NOT(AND(907&gt;$B$173,$B$78="Refinance",ISNUMBER($B$80),$B$80&gt;=0,$B$80&lt;=1,ROUND($B$81*12,0)&gt;=1,$B$81&lt;=100,SUM($B$82)&gt;=0,SUM($B$82)&lt;=1,SUM($B$83)&gt;=0)),OR(907=1,907=$B$174+1,AND($B$175&gt;0,907=$B$175+1))),IF(AND($B$170=1,$B$66&gt;0,OR($B$175=0,907&lt;=$B$175)),$B$66,IF($B$172-MAX(907-1,$B$174)&gt;0,IF(B1307=0,0,IF(C1307=0,B1307/($B$172-MAX(907-1,$B$174)),B1307*(C1307/12)/(1-(1+C1307/12)^(-($B$172-MAX(907-1,$B$174)))))),"")),D1306)))),""),""))</x:f>
        <x:v>0</x:v>
      </x:c>
      <x:c r="E1307" s="440" t="n">
        <x:f>IF(AND(907=$B$173,ISNUMBER(D1307)),IF(MAX(0,B1307*(1+C1307/12)-D1307)&lt;MAX(0.0000001,$E$17*0.00000000001),0,MAX(0,B1307*(1+C1307/12)-D1307)),0)</x:f>
        <x:v>0</x:v>
      </x:c>
      <x:c r="F1307" s="440" t="n">
        <x:f>IF($B$78="Cash payoff",E1307,0)</x:f>
        <x:v>0</x:v>
      </x:c>
      <x:c r="G1307" s="440" t="n">
        <x:f>IF(AND(E1307&gt;0,AND($B$78="Refinance",ISNUMBER($B$80),$B$80&gt;=0,$B$80&lt;=1,ROUND($B$81*12,0)&gt;=1,$B$81&lt;=100,SUM($B$82)&gt;=0,SUM($B$82)&lt;=1,SUM($B$83)&gt;=0)),E1307*SUM($B$82)+SUM($B$83),0)</x:f>
        <x:v>0</x:v>
      </x:c>
      <x:c r="H1307" s="440" t="n">
        <x:f>IF(ISNUMBER(D1307),IF(MAX(0,B1307*(1+C1307/12)-D1307-F1307)&lt;MAX(0.0000001,$E$17*0.00000000001),0,MAX(0,B1307*(1+C1307/12)-D1307-F1307)),IF(AND($B$171=1,I1306=1),B1307,""))</x:f>
        <x:v>0</x:v>
      </x:c>
      <x:c r="I1307" s="444" t="n">
        <x:f>IF(OR(I1306=1,AND(E1307&gt;0,$B$78&lt;&gt;"Cash payoff",NOT(AND($B$78="Refinance",ISNUMBER($B$80),$B$80&gt;=0,$B$80&lt;=1,ROUND($B$81*12,0)&gt;=1,$B$81&lt;=100,SUM($B$82)&gt;=0,SUM($B$82)&lt;=1,SUM($B$83)&gt;=0))),AND(ISNUMBER(B1307),B1307&gt;0,$B$171=1,NOT(ISNUMBER(D1307)))),1,0)</x:f>
        <x:v>0</x:v>
      </x:c>
      <x:c r="J1307" s="440" t="n">
        <x:f>IF(ISNUMBER(L1306),L1306,"")</x:f>
        <x:v>0</x:v>
      </x:c>
      <x:c r="K1307" s="440" t="n">
        <x:f>IF(AND(ISNUMBER(J1307),J1307=0),0,IF(AND($B$176=1,ISNUMBER(J1307)),MIN(J1307*(1+$B$87/12),IF($B$86=0,0,IF($B$87=0,$B$86/ROUND($B$88*12,0),$B$86*($B$87/12)/(1-(1+$B$87/12)^(-ROUND($B$88*12,0)))))),""))</x:f>
        <x:v>0</x:v>
      </x:c>
      <x:c r="L1307" s="440" t="n">
        <x:f>IF(ISNUMBER(K1307),IF(MAX(0,J1307*(1+SUM($B$87)/12)-K1307)&lt;MAX(0.0000001,$B$86*0.00000000001),0,MAX(0,J1307*(1+SUM($B$87)/12)-K1307)),"")</x:f>
        <x:v>0</x:v>
      </x:c>
      <x:c r="M1307" s="440" t="n">
        <x:f>IF(AND(ISNUMBER(D1307),ISNUMBER(K1307)),D1307+K1307,"")</x:f>
        <x:v>0</x:v>
      </x:c>
      <x:c r="N1307" s="440" t="n">
        <x:f>IF(AND(ISNUMBER(H1307),ISNUMBER(L1307)),H1307+L1307,"")</x:f>
        <x:v>0</x:v>
      </x:c>
    </x:row>
    <x:row r="1308" ht="22" customHeight="1">
      <x:c r="A1308" s="254" t="n">
        <x:f>908</x:f>
        <x:v>908</x:v>
      </x:c>
      <x:c r="B1308" s="440" t="n">
        <x:f>IF(ISNUMBER(H1307),H1307,"")</x:f>
        <x:v>0</x:v>
      </x:c>
      <x:c r="C1308" s="442" t="n">
        <x:f>IF(ISNUMBER(B1308),IF(AND(908&gt;$B$173,$B$78="Refinance",ISNUMBER($B$80),$B$80&gt;=0,$B$80&lt;=1,ROUND($B$81*12,0)&gt;=1,$B$81&lt;=100,SUM($B$82)&gt;=0,SUM($B$82)&lt;=1,SUM($B$83)&gt;=0),$B$80,IF(AND($B$175&gt;0,908&gt;$B$175,ISNUMBER($B$75)),$B$75,$B$61)),"")</x:f>
        <x:v>0.0625</x:v>
      </x:c>
      <x:c r="D1308" s="440" t="n">
        <x:f>IF(AND(ISNUMBER(B1308),B1308=0),0,IF(AND($B$171=1,I1307=0,ISNUMBER(C1308),ISNUMBER(IF(AND(908&lt;=$B$174,908&lt;=$B$173),B1308*C1308/12,IF(AND(908=$B$173+1,AND(908&gt;$B$173,$B$78="Refinance",ISNUMBER($B$80),$B$80&gt;=0,$B$80&lt;=1,ROUND($B$81*12,0)&gt;=1,$B$81&lt;=100,SUM($B$82)&gt;=0,SUM($B$82)&lt;=1,SUM($B$83)&gt;=0)),IF(B1308=0,0,IF(C1308=0,B1308/ROUND($B$81*12,0),B1308*(C1308/12)/(1-(1+C1308/12)^(-ROUND($B$81*12,0))))),IF(AND(NOT(AND(908&gt;$B$173,$B$78="Refinance",ISNUMBER($B$80),$B$80&gt;=0,$B$80&lt;=1,ROUND($B$81*12,0)&gt;=1,$B$81&lt;=100,SUM($B$82)&gt;=0,SUM($B$82)&lt;=1,SUM($B$83)&gt;=0)),OR(908=1,908=$B$174+1,AND($B$175&gt;0,908=$B$175+1))),IF(AND($B$170=1,$B$66&gt;0,OR($B$175=0,908&lt;=$B$175)),$B$66,IF($B$172-MAX(908-1,$B$174)&gt;0,IF(B1308=0,0,IF(C1308=0,B1308/($B$172-MAX(908-1,$B$174)),B1308*(C1308/12)/(1-(1+C1308/12)^(-($B$172-MAX(908-1,$B$174)))))),"")),D1307))))),IF(IF(AND(908&lt;=$B$174,908&lt;=$B$173),B1308*C1308/12,IF(AND(908=$B$173+1,AND(908&gt;$B$173,$B$78="Refinance",ISNUMBER($B$80),$B$80&gt;=0,$B$80&lt;=1,ROUND($B$81*12,0)&gt;=1,$B$81&lt;=100,SUM($B$82)&gt;=0,SUM($B$82)&lt;=1,SUM($B$83)&gt;=0)),IF(B1308=0,0,IF(C1308=0,B1308/ROUND($B$81*12,0),B1308*(C1308/12)/(1-(1+C1308/12)^(-ROUND($B$81*12,0))))),IF(AND(NOT(AND(908&gt;$B$173,$B$78="Refinance",ISNUMBER($B$80),$B$80&gt;=0,$B$80&lt;=1,ROUND($B$81*12,0)&gt;=1,$B$81&lt;=100,SUM($B$82)&gt;=0,SUM($B$82)&lt;=1,SUM($B$83)&gt;=0)),OR(908=1,908=$B$174+1,AND($B$175&gt;0,908=$B$175+1))),IF(AND($B$170=1,$B$66&gt;0,OR($B$175=0,908&lt;=$B$175)),$B$66,IF($B$172-MAX(908-1,$B$174)&gt;0,IF(B1308=0,0,IF(C1308=0,B1308/($B$172-MAX(908-1,$B$174)),B1308*(C1308/12)/(1-(1+C1308/12)^(-($B$172-MAX(908-1,$B$174)))))),"")),D1307)))+0.0000001&gt;=B1308*C1308/12,MIN(B1308*(1+C1308/12),IF(AND(908&lt;=$B$174,908&lt;=$B$173),B1308*C1308/12,IF(AND(908=$B$173+1,AND(908&gt;$B$173,$B$78="Refinance",ISNUMBER($B$80),$B$80&gt;=0,$B$80&lt;=1,ROUND($B$81*12,0)&gt;=1,$B$81&lt;=100,SUM($B$82)&gt;=0,SUM($B$82)&lt;=1,SUM($B$83)&gt;=0)),IF(B1308=0,0,IF(C1308=0,B1308/ROUND($B$81*12,0),B1308*(C1308/12)/(1-(1+C1308/12)^(-ROUND($B$81*12,0))))),IF(AND(NOT(AND(908&gt;$B$173,$B$78="Refinance",ISNUMBER($B$80),$B$80&gt;=0,$B$80&lt;=1,ROUND($B$81*12,0)&gt;=1,$B$81&lt;=100,SUM($B$82)&gt;=0,SUM($B$82)&lt;=1,SUM($B$83)&gt;=0)),OR(908=1,908=$B$174+1,AND($B$175&gt;0,908=$B$175+1))),IF(AND($B$170=1,$B$66&gt;0,OR($B$175=0,908&lt;=$B$175)),$B$66,IF($B$172-MAX(908-1,$B$174)&gt;0,IF(B1308=0,0,IF(C1308=0,B1308/($B$172-MAX(908-1,$B$174)),B1308*(C1308/12)/(1-(1+C1308/12)^(-($B$172-MAX(908-1,$B$174)))))),"")),D1307)))),""),""))</x:f>
        <x:v>0</x:v>
      </x:c>
      <x:c r="E1308" s="440" t="n">
        <x:f>IF(AND(908=$B$173,ISNUMBER(D1308)),IF(MAX(0,B1308*(1+C1308/12)-D1308)&lt;MAX(0.0000001,$E$17*0.00000000001),0,MAX(0,B1308*(1+C1308/12)-D1308)),0)</x:f>
        <x:v>0</x:v>
      </x:c>
      <x:c r="F1308" s="440" t="n">
        <x:f>IF($B$78="Cash payoff",E1308,0)</x:f>
        <x:v>0</x:v>
      </x:c>
      <x:c r="G1308" s="440" t="n">
        <x:f>IF(AND(E1308&gt;0,AND($B$78="Refinance",ISNUMBER($B$80),$B$80&gt;=0,$B$80&lt;=1,ROUND($B$81*12,0)&gt;=1,$B$81&lt;=100,SUM($B$82)&gt;=0,SUM($B$82)&lt;=1,SUM($B$83)&gt;=0)),E1308*SUM($B$82)+SUM($B$83),0)</x:f>
        <x:v>0</x:v>
      </x:c>
      <x:c r="H1308" s="440" t="n">
        <x:f>IF(ISNUMBER(D1308),IF(MAX(0,B1308*(1+C1308/12)-D1308-F1308)&lt;MAX(0.0000001,$E$17*0.00000000001),0,MAX(0,B1308*(1+C1308/12)-D1308-F1308)),IF(AND($B$171=1,I1307=1),B1308,""))</x:f>
        <x:v>0</x:v>
      </x:c>
      <x:c r="I1308" s="444" t="n">
        <x:f>IF(OR(I1307=1,AND(E1308&gt;0,$B$78&lt;&gt;"Cash payoff",NOT(AND($B$78="Refinance",ISNUMBER($B$80),$B$80&gt;=0,$B$80&lt;=1,ROUND($B$81*12,0)&gt;=1,$B$81&lt;=100,SUM($B$82)&gt;=0,SUM($B$82)&lt;=1,SUM($B$83)&gt;=0))),AND(ISNUMBER(B1308),B1308&gt;0,$B$171=1,NOT(ISNUMBER(D1308)))),1,0)</x:f>
        <x:v>0</x:v>
      </x:c>
      <x:c r="J1308" s="440" t="n">
        <x:f>IF(ISNUMBER(L1307),L1307,"")</x:f>
        <x:v>0</x:v>
      </x:c>
      <x:c r="K1308" s="440" t="n">
        <x:f>IF(AND(ISNUMBER(J1308),J1308=0),0,IF(AND($B$176=1,ISNUMBER(J1308)),MIN(J1308*(1+$B$87/12),IF($B$86=0,0,IF($B$87=0,$B$86/ROUND($B$88*12,0),$B$86*($B$87/12)/(1-(1+$B$87/12)^(-ROUND($B$88*12,0)))))),""))</x:f>
        <x:v>0</x:v>
      </x:c>
      <x:c r="L1308" s="440" t="n">
        <x:f>IF(ISNUMBER(K1308),IF(MAX(0,J1308*(1+SUM($B$87)/12)-K1308)&lt;MAX(0.0000001,$B$86*0.00000000001),0,MAX(0,J1308*(1+SUM($B$87)/12)-K1308)),"")</x:f>
        <x:v>0</x:v>
      </x:c>
      <x:c r="M1308" s="440" t="n">
        <x:f>IF(AND(ISNUMBER(D1308),ISNUMBER(K1308)),D1308+K1308,"")</x:f>
        <x:v>0</x:v>
      </x:c>
      <x:c r="N1308" s="440" t="n">
        <x:f>IF(AND(ISNUMBER(H1308),ISNUMBER(L1308)),H1308+L1308,"")</x:f>
        <x:v>0</x:v>
      </x:c>
    </x:row>
    <x:row r="1309" ht="22" customHeight="1">
      <x:c r="A1309" s="254" t="n">
        <x:f>909</x:f>
        <x:v>909</x:v>
      </x:c>
      <x:c r="B1309" s="440" t="n">
        <x:f>IF(ISNUMBER(H1308),H1308,"")</x:f>
        <x:v>0</x:v>
      </x:c>
      <x:c r="C1309" s="442" t="n">
        <x:f>IF(ISNUMBER(B1309),IF(AND(909&gt;$B$173,$B$78="Refinance",ISNUMBER($B$80),$B$80&gt;=0,$B$80&lt;=1,ROUND($B$81*12,0)&gt;=1,$B$81&lt;=100,SUM($B$82)&gt;=0,SUM($B$82)&lt;=1,SUM($B$83)&gt;=0),$B$80,IF(AND($B$175&gt;0,909&gt;$B$175,ISNUMBER($B$75)),$B$75,$B$61)),"")</x:f>
        <x:v>0.0625</x:v>
      </x:c>
      <x:c r="D1309" s="440" t="n">
        <x:f>IF(AND(ISNUMBER(B1309),B1309=0),0,IF(AND($B$171=1,I1308=0,ISNUMBER(C1309),ISNUMBER(IF(AND(909&lt;=$B$174,909&lt;=$B$173),B1309*C1309/12,IF(AND(909=$B$173+1,AND(909&gt;$B$173,$B$78="Refinance",ISNUMBER($B$80),$B$80&gt;=0,$B$80&lt;=1,ROUND($B$81*12,0)&gt;=1,$B$81&lt;=100,SUM($B$82)&gt;=0,SUM($B$82)&lt;=1,SUM($B$83)&gt;=0)),IF(B1309=0,0,IF(C1309=0,B1309/ROUND($B$81*12,0),B1309*(C1309/12)/(1-(1+C1309/12)^(-ROUND($B$81*12,0))))),IF(AND(NOT(AND(909&gt;$B$173,$B$78="Refinance",ISNUMBER($B$80),$B$80&gt;=0,$B$80&lt;=1,ROUND($B$81*12,0)&gt;=1,$B$81&lt;=100,SUM($B$82)&gt;=0,SUM($B$82)&lt;=1,SUM($B$83)&gt;=0)),OR(909=1,909=$B$174+1,AND($B$175&gt;0,909=$B$175+1))),IF(AND($B$170=1,$B$66&gt;0,OR($B$175=0,909&lt;=$B$175)),$B$66,IF($B$172-MAX(909-1,$B$174)&gt;0,IF(B1309=0,0,IF(C1309=0,B1309/($B$172-MAX(909-1,$B$174)),B1309*(C1309/12)/(1-(1+C1309/12)^(-($B$172-MAX(909-1,$B$174)))))),"")),D1308))))),IF(IF(AND(909&lt;=$B$174,909&lt;=$B$173),B1309*C1309/12,IF(AND(909=$B$173+1,AND(909&gt;$B$173,$B$78="Refinance",ISNUMBER($B$80),$B$80&gt;=0,$B$80&lt;=1,ROUND($B$81*12,0)&gt;=1,$B$81&lt;=100,SUM($B$82)&gt;=0,SUM($B$82)&lt;=1,SUM($B$83)&gt;=0)),IF(B1309=0,0,IF(C1309=0,B1309/ROUND($B$81*12,0),B1309*(C1309/12)/(1-(1+C1309/12)^(-ROUND($B$81*12,0))))),IF(AND(NOT(AND(909&gt;$B$173,$B$78="Refinance",ISNUMBER($B$80),$B$80&gt;=0,$B$80&lt;=1,ROUND($B$81*12,0)&gt;=1,$B$81&lt;=100,SUM($B$82)&gt;=0,SUM($B$82)&lt;=1,SUM($B$83)&gt;=0)),OR(909=1,909=$B$174+1,AND($B$175&gt;0,909=$B$175+1))),IF(AND($B$170=1,$B$66&gt;0,OR($B$175=0,909&lt;=$B$175)),$B$66,IF($B$172-MAX(909-1,$B$174)&gt;0,IF(B1309=0,0,IF(C1309=0,B1309/($B$172-MAX(909-1,$B$174)),B1309*(C1309/12)/(1-(1+C1309/12)^(-($B$172-MAX(909-1,$B$174)))))),"")),D1308)))+0.0000001&gt;=B1309*C1309/12,MIN(B1309*(1+C1309/12),IF(AND(909&lt;=$B$174,909&lt;=$B$173),B1309*C1309/12,IF(AND(909=$B$173+1,AND(909&gt;$B$173,$B$78="Refinance",ISNUMBER($B$80),$B$80&gt;=0,$B$80&lt;=1,ROUND($B$81*12,0)&gt;=1,$B$81&lt;=100,SUM($B$82)&gt;=0,SUM($B$82)&lt;=1,SUM($B$83)&gt;=0)),IF(B1309=0,0,IF(C1309=0,B1309/ROUND($B$81*12,0),B1309*(C1309/12)/(1-(1+C1309/12)^(-ROUND($B$81*12,0))))),IF(AND(NOT(AND(909&gt;$B$173,$B$78="Refinance",ISNUMBER($B$80),$B$80&gt;=0,$B$80&lt;=1,ROUND($B$81*12,0)&gt;=1,$B$81&lt;=100,SUM($B$82)&gt;=0,SUM($B$82)&lt;=1,SUM($B$83)&gt;=0)),OR(909=1,909=$B$174+1,AND($B$175&gt;0,909=$B$175+1))),IF(AND($B$170=1,$B$66&gt;0,OR($B$175=0,909&lt;=$B$175)),$B$66,IF($B$172-MAX(909-1,$B$174)&gt;0,IF(B1309=0,0,IF(C1309=0,B1309/($B$172-MAX(909-1,$B$174)),B1309*(C1309/12)/(1-(1+C1309/12)^(-($B$172-MAX(909-1,$B$174)))))),"")),D1308)))),""),""))</x:f>
        <x:v>0</x:v>
      </x:c>
      <x:c r="E1309" s="440" t="n">
        <x:f>IF(AND(909=$B$173,ISNUMBER(D1309)),IF(MAX(0,B1309*(1+C1309/12)-D1309)&lt;MAX(0.0000001,$E$17*0.00000000001),0,MAX(0,B1309*(1+C1309/12)-D1309)),0)</x:f>
        <x:v>0</x:v>
      </x:c>
      <x:c r="F1309" s="440" t="n">
        <x:f>IF($B$78="Cash payoff",E1309,0)</x:f>
        <x:v>0</x:v>
      </x:c>
      <x:c r="G1309" s="440" t="n">
        <x:f>IF(AND(E1309&gt;0,AND($B$78="Refinance",ISNUMBER($B$80),$B$80&gt;=0,$B$80&lt;=1,ROUND($B$81*12,0)&gt;=1,$B$81&lt;=100,SUM($B$82)&gt;=0,SUM($B$82)&lt;=1,SUM($B$83)&gt;=0)),E1309*SUM($B$82)+SUM($B$83),0)</x:f>
        <x:v>0</x:v>
      </x:c>
      <x:c r="H1309" s="440" t="n">
        <x:f>IF(ISNUMBER(D1309),IF(MAX(0,B1309*(1+C1309/12)-D1309-F1309)&lt;MAX(0.0000001,$E$17*0.00000000001),0,MAX(0,B1309*(1+C1309/12)-D1309-F1309)),IF(AND($B$171=1,I1308=1),B1309,""))</x:f>
        <x:v>0</x:v>
      </x:c>
      <x:c r="I1309" s="444" t="n">
        <x:f>IF(OR(I1308=1,AND(E1309&gt;0,$B$78&lt;&gt;"Cash payoff",NOT(AND($B$78="Refinance",ISNUMBER($B$80),$B$80&gt;=0,$B$80&lt;=1,ROUND($B$81*12,0)&gt;=1,$B$81&lt;=100,SUM($B$82)&gt;=0,SUM($B$82)&lt;=1,SUM($B$83)&gt;=0))),AND(ISNUMBER(B1309),B1309&gt;0,$B$171=1,NOT(ISNUMBER(D1309)))),1,0)</x:f>
        <x:v>0</x:v>
      </x:c>
      <x:c r="J1309" s="440" t="n">
        <x:f>IF(ISNUMBER(L1308),L1308,"")</x:f>
        <x:v>0</x:v>
      </x:c>
      <x:c r="K1309" s="440" t="n">
        <x:f>IF(AND(ISNUMBER(J1309),J1309=0),0,IF(AND($B$176=1,ISNUMBER(J1309)),MIN(J1309*(1+$B$87/12),IF($B$86=0,0,IF($B$87=0,$B$86/ROUND($B$88*12,0),$B$86*($B$87/12)/(1-(1+$B$87/12)^(-ROUND($B$88*12,0)))))),""))</x:f>
        <x:v>0</x:v>
      </x:c>
      <x:c r="L1309" s="440" t="n">
        <x:f>IF(ISNUMBER(K1309),IF(MAX(0,J1309*(1+SUM($B$87)/12)-K1309)&lt;MAX(0.0000001,$B$86*0.00000000001),0,MAX(0,J1309*(1+SUM($B$87)/12)-K1309)),"")</x:f>
        <x:v>0</x:v>
      </x:c>
      <x:c r="M1309" s="440" t="n">
        <x:f>IF(AND(ISNUMBER(D1309),ISNUMBER(K1309)),D1309+K1309,"")</x:f>
        <x:v>0</x:v>
      </x:c>
      <x:c r="N1309" s="440" t="n">
        <x:f>IF(AND(ISNUMBER(H1309),ISNUMBER(L1309)),H1309+L1309,"")</x:f>
        <x:v>0</x:v>
      </x:c>
    </x:row>
    <x:row r="1310" ht="22" customHeight="1">
      <x:c r="A1310" s="254" t="n">
        <x:f>910</x:f>
        <x:v>910</x:v>
      </x:c>
      <x:c r="B1310" s="440" t="n">
        <x:f>IF(ISNUMBER(H1309),H1309,"")</x:f>
        <x:v>0</x:v>
      </x:c>
      <x:c r="C1310" s="442" t="n">
        <x:f>IF(ISNUMBER(B1310),IF(AND(910&gt;$B$173,$B$78="Refinance",ISNUMBER($B$80),$B$80&gt;=0,$B$80&lt;=1,ROUND($B$81*12,0)&gt;=1,$B$81&lt;=100,SUM($B$82)&gt;=0,SUM($B$82)&lt;=1,SUM($B$83)&gt;=0),$B$80,IF(AND($B$175&gt;0,910&gt;$B$175,ISNUMBER($B$75)),$B$75,$B$61)),"")</x:f>
        <x:v>0.0625</x:v>
      </x:c>
      <x:c r="D1310" s="440" t="n">
        <x:f>IF(AND(ISNUMBER(B1310),B1310=0),0,IF(AND($B$171=1,I1309=0,ISNUMBER(C1310),ISNUMBER(IF(AND(910&lt;=$B$174,910&lt;=$B$173),B1310*C1310/12,IF(AND(910=$B$173+1,AND(910&gt;$B$173,$B$78="Refinance",ISNUMBER($B$80),$B$80&gt;=0,$B$80&lt;=1,ROUND($B$81*12,0)&gt;=1,$B$81&lt;=100,SUM($B$82)&gt;=0,SUM($B$82)&lt;=1,SUM($B$83)&gt;=0)),IF(B1310=0,0,IF(C1310=0,B1310/ROUND($B$81*12,0),B1310*(C1310/12)/(1-(1+C1310/12)^(-ROUND($B$81*12,0))))),IF(AND(NOT(AND(910&gt;$B$173,$B$78="Refinance",ISNUMBER($B$80),$B$80&gt;=0,$B$80&lt;=1,ROUND($B$81*12,0)&gt;=1,$B$81&lt;=100,SUM($B$82)&gt;=0,SUM($B$82)&lt;=1,SUM($B$83)&gt;=0)),OR(910=1,910=$B$174+1,AND($B$175&gt;0,910=$B$175+1))),IF(AND($B$170=1,$B$66&gt;0,OR($B$175=0,910&lt;=$B$175)),$B$66,IF($B$172-MAX(910-1,$B$174)&gt;0,IF(B1310=0,0,IF(C1310=0,B1310/($B$172-MAX(910-1,$B$174)),B1310*(C1310/12)/(1-(1+C1310/12)^(-($B$172-MAX(910-1,$B$174)))))),"")),D1309))))),IF(IF(AND(910&lt;=$B$174,910&lt;=$B$173),B1310*C1310/12,IF(AND(910=$B$173+1,AND(910&gt;$B$173,$B$78="Refinance",ISNUMBER($B$80),$B$80&gt;=0,$B$80&lt;=1,ROUND($B$81*12,0)&gt;=1,$B$81&lt;=100,SUM($B$82)&gt;=0,SUM($B$82)&lt;=1,SUM($B$83)&gt;=0)),IF(B1310=0,0,IF(C1310=0,B1310/ROUND($B$81*12,0),B1310*(C1310/12)/(1-(1+C1310/12)^(-ROUND($B$81*12,0))))),IF(AND(NOT(AND(910&gt;$B$173,$B$78="Refinance",ISNUMBER($B$80),$B$80&gt;=0,$B$80&lt;=1,ROUND($B$81*12,0)&gt;=1,$B$81&lt;=100,SUM($B$82)&gt;=0,SUM($B$82)&lt;=1,SUM($B$83)&gt;=0)),OR(910=1,910=$B$174+1,AND($B$175&gt;0,910=$B$175+1))),IF(AND($B$170=1,$B$66&gt;0,OR($B$175=0,910&lt;=$B$175)),$B$66,IF($B$172-MAX(910-1,$B$174)&gt;0,IF(B1310=0,0,IF(C1310=0,B1310/($B$172-MAX(910-1,$B$174)),B1310*(C1310/12)/(1-(1+C1310/12)^(-($B$172-MAX(910-1,$B$174)))))),"")),D1309)))+0.0000001&gt;=B1310*C1310/12,MIN(B1310*(1+C1310/12),IF(AND(910&lt;=$B$174,910&lt;=$B$173),B1310*C1310/12,IF(AND(910=$B$173+1,AND(910&gt;$B$173,$B$78="Refinance",ISNUMBER($B$80),$B$80&gt;=0,$B$80&lt;=1,ROUND($B$81*12,0)&gt;=1,$B$81&lt;=100,SUM($B$82)&gt;=0,SUM($B$82)&lt;=1,SUM($B$83)&gt;=0)),IF(B1310=0,0,IF(C1310=0,B1310/ROUND($B$81*12,0),B1310*(C1310/12)/(1-(1+C1310/12)^(-ROUND($B$81*12,0))))),IF(AND(NOT(AND(910&gt;$B$173,$B$78="Refinance",ISNUMBER($B$80),$B$80&gt;=0,$B$80&lt;=1,ROUND($B$81*12,0)&gt;=1,$B$81&lt;=100,SUM($B$82)&gt;=0,SUM($B$82)&lt;=1,SUM($B$83)&gt;=0)),OR(910=1,910=$B$174+1,AND($B$175&gt;0,910=$B$175+1))),IF(AND($B$170=1,$B$66&gt;0,OR($B$175=0,910&lt;=$B$175)),$B$66,IF($B$172-MAX(910-1,$B$174)&gt;0,IF(B1310=0,0,IF(C1310=0,B1310/($B$172-MAX(910-1,$B$174)),B1310*(C1310/12)/(1-(1+C1310/12)^(-($B$172-MAX(910-1,$B$174)))))),"")),D1309)))),""),""))</x:f>
        <x:v>0</x:v>
      </x:c>
      <x:c r="E1310" s="440" t="n">
        <x:f>IF(AND(910=$B$173,ISNUMBER(D1310)),IF(MAX(0,B1310*(1+C1310/12)-D1310)&lt;MAX(0.0000001,$E$17*0.00000000001),0,MAX(0,B1310*(1+C1310/12)-D1310)),0)</x:f>
        <x:v>0</x:v>
      </x:c>
      <x:c r="F1310" s="440" t="n">
        <x:f>IF($B$78="Cash payoff",E1310,0)</x:f>
        <x:v>0</x:v>
      </x:c>
      <x:c r="G1310" s="440" t="n">
        <x:f>IF(AND(E1310&gt;0,AND($B$78="Refinance",ISNUMBER($B$80),$B$80&gt;=0,$B$80&lt;=1,ROUND($B$81*12,0)&gt;=1,$B$81&lt;=100,SUM($B$82)&gt;=0,SUM($B$82)&lt;=1,SUM($B$83)&gt;=0)),E1310*SUM($B$82)+SUM($B$83),0)</x:f>
        <x:v>0</x:v>
      </x:c>
      <x:c r="H1310" s="440" t="n">
        <x:f>IF(ISNUMBER(D1310),IF(MAX(0,B1310*(1+C1310/12)-D1310-F1310)&lt;MAX(0.0000001,$E$17*0.00000000001),0,MAX(0,B1310*(1+C1310/12)-D1310-F1310)),IF(AND($B$171=1,I1309=1),B1310,""))</x:f>
        <x:v>0</x:v>
      </x:c>
      <x:c r="I1310" s="444" t="n">
        <x:f>IF(OR(I1309=1,AND(E1310&gt;0,$B$78&lt;&gt;"Cash payoff",NOT(AND($B$78="Refinance",ISNUMBER($B$80),$B$80&gt;=0,$B$80&lt;=1,ROUND($B$81*12,0)&gt;=1,$B$81&lt;=100,SUM($B$82)&gt;=0,SUM($B$82)&lt;=1,SUM($B$83)&gt;=0))),AND(ISNUMBER(B1310),B1310&gt;0,$B$171=1,NOT(ISNUMBER(D1310)))),1,0)</x:f>
        <x:v>0</x:v>
      </x:c>
      <x:c r="J1310" s="440" t="n">
        <x:f>IF(ISNUMBER(L1309),L1309,"")</x:f>
        <x:v>0</x:v>
      </x:c>
      <x:c r="K1310" s="440" t="n">
        <x:f>IF(AND(ISNUMBER(J1310),J1310=0),0,IF(AND($B$176=1,ISNUMBER(J1310)),MIN(J1310*(1+$B$87/12),IF($B$86=0,0,IF($B$87=0,$B$86/ROUND($B$88*12,0),$B$86*($B$87/12)/(1-(1+$B$87/12)^(-ROUND($B$88*12,0)))))),""))</x:f>
        <x:v>0</x:v>
      </x:c>
      <x:c r="L1310" s="440" t="n">
        <x:f>IF(ISNUMBER(K1310),IF(MAX(0,J1310*(1+SUM($B$87)/12)-K1310)&lt;MAX(0.0000001,$B$86*0.00000000001),0,MAX(0,J1310*(1+SUM($B$87)/12)-K1310)),"")</x:f>
        <x:v>0</x:v>
      </x:c>
      <x:c r="M1310" s="440" t="n">
        <x:f>IF(AND(ISNUMBER(D1310),ISNUMBER(K1310)),D1310+K1310,"")</x:f>
        <x:v>0</x:v>
      </x:c>
      <x:c r="N1310" s="440" t="n">
        <x:f>IF(AND(ISNUMBER(H1310),ISNUMBER(L1310)),H1310+L1310,"")</x:f>
        <x:v>0</x:v>
      </x:c>
    </x:row>
    <x:row r="1311" ht="22" customHeight="1">
      <x:c r="A1311" s="254" t="n">
        <x:f>911</x:f>
        <x:v>911</x:v>
      </x:c>
      <x:c r="B1311" s="440" t="n">
        <x:f>IF(ISNUMBER(H1310),H1310,"")</x:f>
        <x:v>0</x:v>
      </x:c>
      <x:c r="C1311" s="442" t="n">
        <x:f>IF(ISNUMBER(B1311),IF(AND(911&gt;$B$173,$B$78="Refinance",ISNUMBER($B$80),$B$80&gt;=0,$B$80&lt;=1,ROUND($B$81*12,0)&gt;=1,$B$81&lt;=100,SUM($B$82)&gt;=0,SUM($B$82)&lt;=1,SUM($B$83)&gt;=0),$B$80,IF(AND($B$175&gt;0,911&gt;$B$175,ISNUMBER($B$75)),$B$75,$B$61)),"")</x:f>
        <x:v>0.0625</x:v>
      </x:c>
      <x:c r="D1311" s="440" t="n">
        <x:f>IF(AND(ISNUMBER(B1311),B1311=0),0,IF(AND($B$171=1,I1310=0,ISNUMBER(C1311),ISNUMBER(IF(AND(911&lt;=$B$174,911&lt;=$B$173),B1311*C1311/12,IF(AND(911=$B$173+1,AND(911&gt;$B$173,$B$78="Refinance",ISNUMBER($B$80),$B$80&gt;=0,$B$80&lt;=1,ROUND($B$81*12,0)&gt;=1,$B$81&lt;=100,SUM($B$82)&gt;=0,SUM($B$82)&lt;=1,SUM($B$83)&gt;=0)),IF(B1311=0,0,IF(C1311=0,B1311/ROUND($B$81*12,0),B1311*(C1311/12)/(1-(1+C1311/12)^(-ROUND($B$81*12,0))))),IF(AND(NOT(AND(911&gt;$B$173,$B$78="Refinance",ISNUMBER($B$80),$B$80&gt;=0,$B$80&lt;=1,ROUND($B$81*12,0)&gt;=1,$B$81&lt;=100,SUM($B$82)&gt;=0,SUM($B$82)&lt;=1,SUM($B$83)&gt;=0)),OR(911=1,911=$B$174+1,AND($B$175&gt;0,911=$B$175+1))),IF(AND($B$170=1,$B$66&gt;0,OR($B$175=0,911&lt;=$B$175)),$B$66,IF($B$172-MAX(911-1,$B$174)&gt;0,IF(B1311=0,0,IF(C1311=0,B1311/($B$172-MAX(911-1,$B$174)),B1311*(C1311/12)/(1-(1+C1311/12)^(-($B$172-MAX(911-1,$B$174)))))),"")),D1310))))),IF(IF(AND(911&lt;=$B$174,911&lt;=$B$173),B1311*C1311/12,IF(AND(911=$B$173+1,AND(911&gt;$B$173,$B$78="Refinance",ISNUMBER($B$80),$B$80&gt;=0,$B$80&lt;=1,ROUND($B$81*12,0)&gt;=1,$B$81&lt;=100,SUM($B$82)&gt;=0,SUM($B$82)&lt;=1,SUM($B$83)&gt;=0)),IF(B1311=0,0,IF(C1311=0,B1311/ROUND($B$81*12,0),B1311*(C1311/12)/(1-(1+C1311/12)^(-ROUND($B$81*12,0))))),IF(AND(NOT(AND(911&gt;$B$173,$B$78="Refinance",ISNUMBER($B$80),$B$80&gt;=0,$B$80&lt;=1,ROUND($B$81*12,0)&gt;=1,$B$81&lt;=100,SUM($B$82)&gt;=0,SUM($B$82)&lt;=1,SUM($B$83)&gt;=0)),OR(911=1,911=$B$174+1,AND($B$175&gt;0,911=$B$175+1))),IF(AND($B$170=1,$B$66&gt;0,OR($B$175=0,911&lt;=$B$175)),$B$66,IF($B$172-MAX(911-1,$B$174)&gt;0,IF(B1311=0,0,IF(C1311=0,B1311/($B$172-MAX(911-1,$B$174)),B1311*(C1311/12)/(1-(1+C1311/12)^(-($B$172-MAX(911-1,$B$174)))))),"")),D1310)))+0.0000001&gt;=B1311*C1311/12,MIN(B1311*(1+C1311/12),IF(AND(911&lt;=$B$174,911&lt;=$B$173),B1311*C1311/12,IF(AND(911=$B$173+1,AND(911&gt;$B$173,$B$78="Refinance",ISNUMBER($B$80),$B$80&gt;=0,$B$80&lt;=1,ROUND($B$81*12,0)&gt;=1,$B$81&lt;=100,SUM($B$82)&gt;=0,SUM($B$82)&lt;=1,SUM($B$83)&gt;=0)),IF(B1311=0,0,IF(C1311=0,B1311/ROUND($B$81*12,0),B1311*(C1311/12)/(1-(1+C1311/12)^(-ROUND($B$81*12,0))))),IF(AND(NOT(AND(911&gt;$B$173,$B$78="Refinance",ISNUMBER($B$80),$B$80&gt;=0,$B$80&lt;=1,ROUND($B$81*12,0)&gt;=1,$B$81&lt;=100,SUM($B$82)&gt;=0,SUM($B$82)&lt;=1,SUM($B$83)&gt;=0)),OR(911=1,911=$B$174+1,AND($B$175&gt;0,911=$B$175+1))),IF(AND($B$170=1,$B$66&gt;0,OR($B$175=0,911&lt;=$B$175)),$B$66,IF($B$172-MAX(911-1,$B$174)&gt;0,IF(B1311=0,0,IF(C1311=0,B1311/($B$172-MAX(911-1,$B$174)),B1311*(C1311/12)/(1-(1+C1311/12)^(-($B$172-MAX(911-1,$B$174)))))),"")),D1310)))),""),""))</x:f>
        <x:v>0</x:v>
      </x:c>
      <x:c r="E1311" s="440" t="n">
        <x:f>IF(AND(911=$B$173,ISNUMBER(D1311)),IF(MAX(0,B1311*(1+C1311/12)-D1311)&lt;MAX(0.0000001,$E$17*0.00000000001),0,MAX(0,B1311*(1+C1311/12)-D1311)),0)</x:f>
        <x:v>0</x:v>
      </x:c>
      <x:c r="F1311" s="440" t="n">
        <x:f>IF($B$78="Cash payoff",E1311,0)</x:f>
        <x:v>0</x:v>
      </x:c>
      <x:c r="G1311" s="440" t="n">
        <x:f>IF(AND(E1311&gt;0,AND($B$78="Refinance",ISNUMBER($B$80),$B$80&gt;=0,$B$80&lt;=1,ROUND($B$81*12,0)&gt;=1,$B$81&lt;=100,SUM($B$82)&gt;=0,SUM($B$82)&lt;=1,SUM($B$83)&gt;=0)),E1311*SUM($B$82)+SUM($B$83),0)</x:f>
        <x:v>0</x:v>
      </x:c>
      <x:c r="H1311" s="440" t="n">
        <x:f>IF(ISNUMBER(D1311),IF(MAX(0,B1311*(1+C1311/12)-D1311-F1311)&lt;MAX(0.0000001,$E$17*0.00000000001),0,MAX(0,B1311*(1+C1311/12)-D1311-F1311)),IF(AND($B$171=1,I1310=1),B1311,""))</x:f>
        <x:v>0</x:v>
      </x:c>
      <x:c r="I1311" s="444" t="n">
        <x:f>IF(OR(I1310=1,AND(E1311&gt;0,$B$78&lt;&gt;"Cash payoff",NOT(AND($B$78="Refinance",ISNUMBER($B$80),$B$80&gt;=0,$B$80&lt;=1,ROUND($B$81*12,0)&gt;=1,$B$81&lt;=100,SUM($B$82)&gt;=0,SUM($B$82)&lt;=1,SUM($B$83)&gt;=0))),AND(ISNUMBER(B1311),B1311&gt;0,$B$171=1,NOT(ISNUMBER(D1311)))),1,0)</x:f>
        <x:v>0</x:v>
      </x:c>
      <x:c r="J1311" s="440" t="n">
        <x:f>IF(ISNUMBER(L1310),L1310,"")</x:f>
        <x:v>0</x:v>
      </x:c>
      <x:c r="K1311" s="440" t="n">
        <x:f>IF(AND(ISNUMBER(J1311),J1311=0),0,IF(AND($B$176=1,ISNUMBER(J1311)),MIN(J1311*(1+$B$87/12),IF($B$86=0,0,IF($B$87=0,$B$86/ROUND($B$88*12,0),$B$86*($B$87/12)/(1-(1+$B$87/12)^(-ROUND($B$88*12,0)))))),""))</x:f>
        <x:v>0</x:v>
      </x:c>
      <x:c r="L1311" s="440" t="n">
        <x:f>IF(ISNUMBER(K1311),IF(MAX(0,J1311*(1+SUM($B$87)/12)-K1311)&lt;MAX(0.0000001,$B$86*0.00000000001),0,MAX(0,J1311*(1+SUM($B$87)/12)-K1311)),"")</x:f>
        <x:v>0</x:v>
      </x:c>
      <x:c r="M1311" s="440" t="n">
        <x:f>IF(AND(ISNUMBER(D1311),ISNUMBER(K1311)),D1311+K1311,"")</x:f>
        <x:v>0</x:v>
      </x:c>
      <x:c r="N1311" s="440" t="n">
        <x:f>IF(AND(ISNUMBER(H1311),ISNUMBER(L1311)),H1311+L1311,"")</x:f>
        <x:v>0</x:v>
      </x:c>
    </x:row>
    <x:row r="1312" ht="22" customHeight="1">
      <x:c r="A1312" s="254" t="n">
        <x:f>912</x:f>
        <x:v>912</x:v>
      </x:c>
      <x:c r="B1312" s="440" t="n">
        <x:f>IF(ISNUMBER(H1311),H1311,"")</x:f>
        <x:v>0</x:v>
      </x:c>
      <x:c r="C1312" s="442" t="n">
        <x:f>IF(ISNUMBER(B1312),IF(AND(912&gt;$B$173,$B$78="Refinance",ISNUMBER($B$80),$B$80&gt;=0,$B$80&lt;=1,ROUND($B$81*12,0)&gt;=1,$B$81&lt;=100,SUM($B$82)&gt;=0,SUM($B$82)&lt;=1,SUM($B$83)&gt;=0),$B$80,IF(AND($B$175&gt;0,912&gt;$B$175,ISNUMBER($B$75)),$B$75,$B$61)),"")</x:f>
        <x:v>0.0625</x:v>
      </x:c>
      <x:c r="D1312" s="440" t="n">
        <x:f>IF(AND(ISNUMBER(B1312),B1312=0),0,IF(AND($B$171=1,I1311=0,ISNUMBER(C1312),ISNUMBER(IF(AND(912&lt;=$B$174,912&lt;=$B$173),B1312*C1312/12,IF(AND(912=$B$173+1,AND(912&gt;$B$173,$B$78="Refinance",ISNUMBER($B$80),$B$80&gt;=0,$B$80&lt;=1,ROUND($B$81*12,0)&gt;=1,$B$81&lt;=100,SUM($B$82)&gt;=0,SUM($B$82)&lt;=1,SUM($B$83)&gt;=0)),IF(B1312=0,0,IF(C1312=0,B1312/ROUND($B$81*12,0),B1312*(C1312/12)/(1-(1+C1312/12)^(-ROUND($B$81*12,0))))),IF(AND(NOT(AND(912&gt;$B$173,$B$78="Refinance",ISNUMBER($B$80),$B$80&gt;=0,$B$80&lt;=1,ROUND($B$81*12,0)&gt;=1,$B$81&lt;=100,SUM($B$82)&gt;=0,SUM($B$82)&lt;=1,SUM($B$83)&gt;=0)),OR(912=1,912=$B$174+1,AND($B$175&gt;0,912=$B$175+1))),IF(AND($B$170=1,$B$66&gt;0,OR($B$175=0,912&lt;=$B$175)),$B$66,IF($B$172-MAX(912-1,$B$174)&gt;0,IF(B1312=0,0,IF(C1312=0,B1312/($B$172-MAX(912-1,$B$174)),B1312*(C1312/12)/(1-(1+C1312/12)^(-($B$172-MAX(912-1,$B$174)))))),"")),D1311))))),IF(IF(AND(912&lt;=$B$174,912&lt;=$B$173),B1312*C1312/12,IF(AND(912=$B$173+1,AND(912&gt;$B$173,$B$78="Refinance",ISNUMBER($B$80),$B$80&gt;=0,$B$80&lt;=1,ROUND($B$81*12,0)&gt;=1,$B$81&lt;=100,SUM($B$82)&gt;=0,SUM($B$82)&lt;=1,SUM($B$83)&gt;=0)),IF(B1312=0,0,IF(C1312=0,B1312/ROUND($B$81*12,0),B1312*(C1312/12)/(1-(1+C1312/12)^(-ROUND($B$81*12,0))))),IF(AND(NOT(AND(912&gt;$B$173,$B$78="Refinance",ISNUMBER($B$80),$B$80&gt;=0,$B$80&lt;=1,ROUND($B$81*12,0)&gt;=1,$B$81&lt;=100,SUM($B$82)&gt;=0,SUM($B$82)&lt;=1,SUM($B$83)&gt;=0)),OR(912=1,912=$B$174+1,AND($B$175&gt;0,912=$B$175+1))),IF(AND($B$170=1,$B$66&gt;0,OR($B$175=0,912&lt;=$B$175)),$B$66,IF($B$172-MAX(912-1,$B$174)&gt;0,IF(B1312=0,0,IF(C1312=0,B1312/($B$172-MAX(912-1,$B$174)),B1312*(C1312/12)/(1-(1+C1312/12)^(-($B$172-MAX(912-1,$B$174)))))),"")),D1311)))+0.0000001&gt;=B1312*C1312/12,MIN(B1312*(1+C1312/12),IF(AND(912&lt;=$B$174,912&lt;=$B$173),B1312*C1312/12,IF(AND(912=$B$173+1,AND(912&gt;$B$173,$B$78="Refinance",ISNUMBER($B$80),$B$80&gt;=0,$B$80&lt;=1,ROUND($B$81*12,0)&gt;=1,$B$81&lt;=100,SUM($B$82)&gt;=0,SUM($B$82)&lt;=1,SUM($B$83)&gt;=0)),IF(B1312=0,0,IF(C1312=0,B1312/ROUND($B$81*12,0),B1312*(C1312/12)/(1-(1+C1312/12)^(-ROUND($B$81*12,0))))),IF(AND(NOT(AND(912&gt;$B$173,$B$78="Refinance",ISNUMBER($B$80),$B$80&gt;=0,$B$80&lt;=1,ROUND($B$81*12,0)&gt;=1,$B$81&lt;=100,SUM($B$82)&gt;=0,SUM($B$82)&lt;=1,SUM($B$83)&gt;=0)),OR(912=1,912=$B$174+1,AND($B$175&gt;0,912=$B$175+1))),IF(AND($B$170=1,$B$66&gt;0,OR($B$175=0,912&lt;=$B$175)),$B$66,IF($B$172-MAX(912-1,$B$174)&gt;0,IF(B1312=0,0,IF(C1312=0,B1312/($B$172-MAX(912-1,$B$174)),B1312*(C1312/12)/(1-(1+C1312/12)^(-($B$172-MAX(912-1,$B$174)))))),"")),D1311)))),""),""))</x:f>
        <x:v>0</x:v>
      </x:c>
      <x:c r="E1312" s="440" t="n">
        <x:f>IF(AND(912=$B$173,ISNUMBER(D1312)),IF(MAX(0,B1312*(1+C1312/12)-D1312)&lt;MAX(0.0000001,$E$17*0.00000000001),0,MAX(0,B1312*(1+C1312/12)-D1312)),0)</x:f>
        <x:v>0</x:v>
      </x:c>
      <x:c r="F1312" s="440" t="n">
        <x:f>IF($B$78="Cash payoff",E1312,0)</x:f>
        <x:v>0</x:v>
      </x:c>
      <x:c r="G1312" s="440" t="n">
        <x:f>IF(AND(E1312&gt;0,AND($B$78="Refinance",ISNUMBER($B$80),$B$80&gt;=0,$B$80&lt;=1,ROUND($B$81*12,0)&gt;=1,$B$81&lt;=100,SUM($B$82)&gt;=0,SUM($B$82)&lt;=1,SUM($B$83)&gt;=0)),E1312*SUM($B$82)+SUM($B$83),0)</x:f>
        <x:v>0</x:v>
      </x:c>
      <x:c r="H1312" s="440" t="n">
        <x:f>IF(ISNUMBER(D1312),IF(MAX(0,B1312*(1+C1312/12)-D1312-F1312)&lt;MAX(0.0000001,$E$17*0.00000000001),0,MAX(0,B1312*(1+C1312/12)-D1312-F1312)),IF(AND($B$171=1,I1311=1),B1312,""))</x:f>
        <x:v>0</x:v>
      </x:c>
      <x:c r="I1312" s="444" t="n">
        <x:f>IF(OR(I1311=1,AND(E1312&gt;0,$B$78&lt;&gt;"Cash payoff",NOT(AND($B$78="Refinance",ISNUMBER($B$80),$B$80&gt;=0,$B$80&lt;=1,ROUND($B$81*12,0)&gt;=1,$B$81&lt;=100,SUM($B$82)&gt;=0,SUM($B$82)&lt;=1,SUM($B$83)&gt;=0))),AND(ISNUMBER(B1312),B1312&gt;0,$B$171=1,NOT(ISNUMBER(D1312)))),1,0)</x:f>
        <x:v>0</x:v>
      </x:c>
      <x:c r="J1312" s="440" t="n">
        <x:f>IF(ISNUMBER(L1311),L1311,"")</x:f>
        <x:v>0</x:v>
      </x:c>
      <x:c r="K1312" s="440" t="n">
        <x:f>IF(AND(ISNUMBER(J1312),J1312=0),0,IF(AND($B$176=1,ISNUMBER(J1312)),MIN(J1312*(1+$B$87/12),IF($B$86=0,0,IF($B$87=0,$B$86/ROUND($B$88*12,0),$B$86*($B$87/12)/(1-(1+$B$87/12)^(-ROUND($B$88*12,0)))))),""))</x:f>
        <x:v>0</x:v>
      </x:c>
      <x:c r="L1312" s="440" t="n">
        <x:f>IF(ISNUMBER(K1312),IF(MAX(0,J1312*(1+SUM($B$87)/12)-K1312)&lt;MAX(0.0000001,$B$86*0.00000000001),0,MAX(0,J1312*(1+SUM($B$87)/12)-K1312)),"")</x:f>
        <x:v>0</x:v>
      </x:c>
      <x:c r="M1312" s="440" t="n">
        <x:f>IF(AND(ISNUMBER(D1312),ISNUMBER(K1312)),D1312+K1312,"")</x:f>
        <x:v>0</x:v>
      </x:c>
      <x:c r="N1312" s="440" t="n">
        <x:f>IF(AND(ISNUMBER(H1312),ISNUMBER(L1312)),H1312+L1312,"")</x:f>
        <x:v>0</x:v>
      </x:c>
    </x:row>
    <x:row r="1313" ht="22" customHeight="1">
      <x:c r="A1313" s="254" t="n">
        <x:f>913</x:f>
        <x:v>913</x:v>
      </x:c>
      <x:c r="B1313" s="440" t="n">
        <x:f>IF(ISNUMBER(H1312),H1312,"")</x:f>
        <x:v>0</x:v>
      </x:c>
      <x:c r="C1313" s="442" t="n">
        <x:f>IF(ISNUMBER(B1313),IF(AND(913&gt;$B$173,$B$78="Refinance",ISNUMBER($B$80),$B$80&gt;=0,$B$80&lt;=1,ROUND($B$81*12,0)&gt;=1,$B$81&lt;=100,SUM($B$82)&gt;=0,SUM($B$82)&lt;=1,SUM($B$83)&gt;=0),$B$80,IF(AND($B$175&gt;0,913&gt;$B$175,ISNUMBER($B$75)),$B$75,$B$61)),"")</x:f>
        <x:v>0.0625</x:v>
      </x:c>
      <x:c r="D1313" s="440" t="n">
        <x:f>IF(AND(ISNUMBER(B1313),B1313=0),0,IF(AND($B$171=1,I1312=0,ISNUMBER(C1313),ISNUMBER(IF(AND(913&lt;=$B$174,913&lt;=$B$173),B1313*C1313/12,IF(AND(913=$B$173+1,AND(913&gt;$B$173,$B$78="Refinance",ISNUMBER($B$80),$B$80&gt;=0,$B$80&lt;=1,ROUND($B$81*12,0)&gt;=1,$B$81&lt;=100,SUM($B$82)&gt;=0,SUM($B$82)&lt;=1,SUM($B$83)&gt;=0)),IF(B1313=0,0,IF(C1313=0,B1313/ROUND($B$81*12,0),B1313*(C1313/12)/(1-(1+C1313/12)^(-ROUND($B$81*12,0))))),IF(AND(NOT(AND(913&gt;$B$173,$B$78="Refinance",ISNUMBER($B$80),$B$80&gt;=0,$B$80&lt;=1,ROUND($B$81*12,0)&gt;=1,$B$81&lt;=100,SUM($B$82)&gt;=0,SUM($B$82)&lt;=1,SUM($B$83)&gt;=0)),OR(913=1,913=$B$174+1,AND($B$175&gt;0,913=$B$175+1))),IF(AND($B$170=1,$B$66&gt;0,OR($B$175=0,913&lt;=$B$175)),$B$66,IF($B$172-MAX(913-1,$B$174)&gt;0,IF(B1313=0,0,IF(C1313=0,B1313/($B$172-MAX(913-1,$B$174)),B1313*(C1313/12)/(1-(1+C1313/12)^(-($B$172-MAX(913-1,$B$174)))))),"")),D1312))))),IF(IF(AND(913&lt;=$B$174,913&lt;=$B$173),B1313*C1313/12,IF(AND(913=$B$173+1,AND(913&gt;$B$173,$B$78="Refinance",ISNUMBER($B$80),$B$80&gt;=0,$B$80&lt;=1,ROUND($B$81*12,0)&gt;=1,$B$81&lt;=100,SUM($B$82)&gt;=0,SUM($B$82)&lt;=1,SUM($B$83)&gt;=0)),IF(B1313=0,0,IF(C1313=0,B1313/ROUND($B$81*12,0),B1313*(C1313/12)/(1-(1+C1313/12)^(-ROUND($B$81*12,0))))),IF(AND(NOT(AND(913&gt;$B$173,$B$78="Refinance",ISNUMBER($B$80),$B$80&gt;=0,$B$80&lt;=1,ROUND($B$81*12,0)&gt;=1,$B$81&lt;=100,SUM($B$82)&gt;=0,SUM($B$82)&lt;=1,SUM($B$83)&gt;=0)),OR(913=1,913=$B$174+1,AND($B$175&gt;0,913=$B$175+1))),IF(AND($B$170=1,$B$66&gt;0,OR($B$175=0,913&lt;=$B$175)),$B$66,IF($B$172-MAX(913-1,$B$174)&gt;0,IF(B1313=0,0,IF(C1313=0,B1313/($B$172-MAX(913-1,$B$174)),B1313*(C1313/12)/(1-(1+C1313/12)^(-($B$172-MAX(913-1,$B$174)))))),"")),D1312)))+0.0000001&gt;=B1313*C1313/12,MIN(B1313*(1+C1313/12),IF(AND(913&lt;=$B$174,913&lt;=$B$173),B1313*C1313/12,IF(AND(913=$B$173+1,AND(913&gt;$B$173,$B$78="Refinance",ISNUMBER($B$80),$B$80&gt;=0,$B$80&lt;=1,ROUND($B$81*12,0)&gt;=1,$B$81&lt;=100,SUM($B$82)&gt;=0,SUM($B$82)&lt;=1,SUM($B$83)&gt;=0)),IF(B1313=0,0,IF(C1313=0,B1313/ROUND($B$81*12,0),B1313*(C1313/12)/(1-(1+C1313/12)^(-ROUND($B$81*12,0))))),IF(AND(NOT(AND(913&gt;$B$173,$B$78="Refinance",ISNUMBER($B$80),$B$80&gt;=0,$B$80&lt;=1,ROUND($B$81*12,0)&gt;=1,$B$81&lt;=100,SUM($B$82)&gt;=0,SUM($B$82)&lt;=1,SUM($B$83)&gt;=0)),OR(913=1,913=$B$174+1,AND($B$175&gt;0,913=$B$175+1))),IF(AND($B$170=1,$B$66&gt;0,OR($B$175=0,913&lt;=$B$175)),$B$66,IF($B$172-MAX(913-1,$B$174)&gt;0,IF(B1313=0,0,IF(C1313=0,B1313/($B$172-MAX(913-1,$B$174)),B1313*(C1313/12)/(1-(1+C1313/12)^(-($B$172-MAX(913-1,$B$174)))))),"")),D1312)))),""),""))</x:f>
        <x:v>0</x:v>
      </x:c>
      <x:c r="E1313" s="440" t="n">
        <x:f>IF(AND(913=$B$173,ISNUMBER(D1313)),IF(MAX(0,B1313*(1+C1313/12)-D1313)&lt;MAX(0.0000001,$E$17*0.00000000001),0,MAX(0,B1313*(1+C1313/12)-D1313)),0)</x:f>
        <x:v>0</x:v>
      </x:c>
      <x:c r="F1313" s="440" t="n">
        <x:f>IF($B$78="Cash payoff",E1313,0)</x:f>
        <x:v>0</x:v>
      </x:c>
      <x:c r="G1313" s="440" t="n">
        <x:f>IF(AND(E1313&gt;0,AND($B$78="Refinance",ISNUMBER($B$80),$B$80&gt;=0,$B$80&lt;=1,ROUND($B$81*12,0)&gt;=1,$B$81&lt;=100,SUM($B$82)&gt;=0,SUM($B$82)&lt;=1,SUM($B$83)&gt;=0)),E1313*SUM($B$82)+SUM($B$83),0)</x:f>
        <x:v>0</x:v>
      </x:c>
      <x:c r="H1313" s="440" t="n">
        <x:f>IF(ISNUMBER(D1313),IF(MAX(0,B1313*(1+C1313/12)-D1313-F1313)&lt;MAX(0.0000001,$E$17*0.00000000001),0,MAX(0,B1313*(1+C1313/12)-D1313-F1313)),IF(AND($B$171=1,I1312=1),B1313,""))</x:f>
        <x:v>0</x:v>
      </x:c>
      <x:c r="I1313" s="444" t="n">
        <x:f>IF(OR(I1312=1,AND(E1313&gt;0,$B$78&lt;&gt;"Cash payoff",NOT(AND($B$78="Refinance",ISNUMBER($B$80),$B$80&gt;=0,$B$80&lt;=1,ROUND($B$81*12,0)&gt;=1,$B$81&lt;=100,SUM($B$82)&gt;=0,SUM($B$82)&lt;=1,SUM($B$83)&gt;=0))),AND(ISNUMBER(B1313),B1313&gt;0,$B$171=1,NOT(ISNUMBER(D1313)))),1,0)</x:f>
        <x:v>0</x:v>
      </x:c>
      <x:c r="J1313" s="440" t="n">
        <x:f>IF(ISNUMBER(L1312),L1312,"")</x:f>
        <x:v>0</x:v>
      </x:c>
      <x:c r="K1313" s="440" t="n">
        <x:f>IF(AND(ISNUMBER(J1313),J1313=0),0,IF(AND($B$176=1,ISNUMBER(J1313)),MIN(J1313*(1+$B$87/12),IF($B$86=0,0,IF($B$87=0,$B$86/ROUND($B$88*12,0),$B$86*($B$87/12)/(1-(1+$B$87/12)^(-ROUND($B$88*12,0)))))),""))</x:f>
        <x:v>0</x:v>
      </x:c>
      <x:c r="L1313" s="440" t="n">
        <x:f>IF(ISNUMBER(K1313),IF(MAX(0,J1313*(1+SUM($B$87)/12)-K1313)&lt;MAX(0.0000001,$B$86*0.00000000001),0,MAX(0,J1313*(1+SUM($B$87)/12)-K1313)),"")</x:f>
        <x:v>0</x:v>
      </x:c>
      <x:c r="M1313" s="440" t="n">
        <x:f>IF(AND(ISNUMBER(D1313),ISNUMBER(K1313)),D1313+K1313,"")</x:f>
        <x:v>0</x:v>
      </x:c>
      <x:c r="N1313" s="440" t="n">
        <x:f>IF(AND(ISNUMBER(H1313),ISNUMBER(L1313)),H1313+L1313,"")</x:f>
        <x:v>0</x:v>
      </x:c>
    </x:row>
    <x:row r="1314" ht="22" customHeight="1">
      <x:c r="A1314" s="254" t="n">
        <x:f>914</x:f>
        <x:v>914</x:v>
      </x:c>
      <x:c r="B1314" s="440" t="n">
        <x:f>IF(ISNUMBER(H1313),H1313,"")</x:f>
        <x:v>0</x:v>
      </x:c>
      <x:c r="C1314" s="442" t="n">
        <x:f>IF(ISNUMBER(B1314),IF(AND(914&gt;$B$173,$B$78="Refinance",ISNUMBER($B$80),$B$80&gt;=0,$B$80&lt;=1,ROUND($B$81*12,0)&gt;=1,$B$81&lt;=100,SUM($B$82)&gt;=0,SUM($B$82)&lt;=1,SUM($B$83)&gt;=0),$B$80,IF(AND($B$175&gt;0,914&gt;$B$175,ISNUMBER($B$75)),$B$75,$B$61)),"")</x:f>
        <x:v>0.0625</x:v>
      </x:c>
      <x:c r="D1314" s="440" t="n">
        <x:f>IF(AND(ISNUMBER(B1314),B1314=0),0,IF(AND($B$171=1,I1313=0,ISNUMBER(C1314),ISNUMBER(IF(AND(914&lt;=$B$174,914&lt;=$B$173),B1314*C1314/12,IF(AND(914=$B$173+1,AND(914&gt;$B$173,$B$78="Refinance",ISNUMBER($B$80),$B$80&gt;=0,$B$80&lt;=1,ROUND($B$81*12,0)&gt;=1,$B$81&lt;=100,SUM($B$82)&gt;=0,SUM($B$82)&lt;=1,SUM($B$83)&gt;=0)),IF(B1314=0,0,IF(C1314=0,B1314/ROUND($B$81*12,0),B1314*(C1314/12)/(1-(1+C1314/12)^(-ROUND($B$81*12,0))))),IF(AND(NOT(AND(914&gt;$B$173,$B$78="Refinance",ISNUMBER($B$80),$B$80&gt;=0,$B$80&lt;=1,ROUND($B$81*12,0)&gt;=1,$B$81&lt;=100,SUM($B$82)&gt;=0,SUM($B$82)&lt;=1,SUM($B$83)&gt;=0)),OR(914=1,914=$B$174+1,AND($B$175&gt;0,914=$B$175+1))),IF(AND($B$170=1,$B$66&gt;0,OR($B$175=0,914&lt;=$B$175)),$B$66,IF($B$172-MAX(914-1,$B$174)&gt;0,IF(B1314=0,0,IF(C1314=0,B1314/($B$172-MAX(914-1,$B$174)),B1314*(C1314/12)/(1-(1+C1314/12)^(-($B$172-MAX(914-1,$B$174)))))),"")),D1313))))),IF(IF(AND(914&lt;=$B$174,914&lt;=$B$173),B1314*C1314/12,IF(AND(914=$B$173+1,AND(914&gt;$B$173,$B$78="Refinance",ISNUMBER($B$80),$B$80&gt;=0,$B$80&lt;=1,ROUND($B$81*12,0)&gt;=1,$B$81&lt;=100,SUM($B$82)&gt;=0,SUM($B$82)&lt;=1,SUM($B$83)&gt;=0)),IF(B1314=0,0,IF(C1314=0,B1314/ROUND($B$81*12,0),B1314*(C1314/12)/(1-(1+C1314/12)^(-ROUND($B$81*12,0))))),IF(AND(NOT(AND(914&gt;$B$173,$B$78="Refinance",ISNUMBER($B$80),$B$80&gt;=0,$B$80&lt;=1,ROUND($B$81*12,0)&gt;=1,$B$81&lt;=100,SUM($B$82)&gt;=0,SUM($B$82)&lt;=1,SUM($B$83)&gt;=0)),OR(914=1,914=$B$174+1,AND($B$175&gt;0,914=$B$175+1))),IF(AND($B$170=1,$B$66&gt;0,OR($B$175=0,914&lt;=$B$175)),$B$66,IF($B$172-MAX(914-1,$B$174)&gt;0,IF(B1314=0,0,IF(C1314=0,B1314/($B$172-MAX(914-1,$B$174)),B1314*(C1314/12)/(1-(1+C1314/12)^(-($B$172-MAX(914-1,$B$174)))))),"")),D1313)))+0.0000001&gt;=B1314*C1314/12,MIN(B1314*(1+C1314/12),IF(AND(914&lt;=$B$174,914&lt;=$B$173),B1314*C1314/12,IF(AND(914=$B$173+1,AND(914&gt;$B$173,$B$78="Refinance",ISNUMBER($B$80),$B$80&gt;=0,$B$80&lt;=1,ROUND($B$81*12,0)&gt;=1,$B$81&lt;=100,SUM($B$82)&gt;=0,SUM($B$82)&lt;=1,SUM($B$83)&gt;=0)),IF(B1314=0,0,IF(C1314=0,B1314/ROUND($B$81*12,0),B1314*(C1314/12)/(1-(1+C1314/12)^(-ROUND($B$81*12,0))))),IF(AND(NOT(AND(914&gt;$B$173,$B$78="Refinance",ISNUMBER($B$80),$B$80&gt;=0,$B$80&lt;=1,ROUND($B$81*12,0)&gt;=1,$B$81&lt;=100,SUM($B$82)&gt;=0,SUM($B$82)&lt;=1,SUM($B$83)&gt;=0)),OR(914=1,914=$B$174+1,AND($B$175&gt;0,914=$B$175+1))),IF(AND($B$170=1,$B$66&gt;0,OR($B$175=0,914&lt;=$B$175)),$B$66,IF($B$172-MAX(914-1,$B$174)&gt;0,IF(B1314=0,0,IF(C1314=0,B1314/($B$172-MAX(914-1,$B$174)),B1314*(C1314/12)/(1-(1+C1314/12)^(-($B$172-MAX(914-1,$B$174)))))),"")),D1313)))),""),""))</x:f>
        <x:v>0</x:v>
      </x:c>
      <x:c r="E1314" s="440" t="n">
        <x:f>IF(AND(914=$B$173,ISNUMBER(D1314)),IF(MAX(0,B1314*(1+C1314/12)-D1314)&lt;MAX(0.0000001,$E$17*0.00000000001),0,MAX(0,B1314*(1+C1314/12)-D1314)),0)</x:f>
        <x:v>0</x:v>
      </x:c>
      <x:c r="F1314" s="440" t="n">
        <x:f>IF($B$78="Cash payoff",E1314,0)</x:f>
        <x:v>0</x:v>
      </x:c>
      <x:c r="G1314" s="440" t="n">
        <x:f>IF(AND(E1314&gt;0,AND($B$78="Refinance",ISNUMBER($B$80),$B$80&gt;=0,$B$80&lt;=1,ROUND($B$81*12,0)&gt;=1,$B$81&lt;=100,SUM($B$82)&gt;=0,SUM($B$82)&lt;=1,SUM($B$83)&gt;=0)),E1314*SUM($B$82)+SUM($B$83),0)</x:f>
        <x:v>0</x:v>
      </x:c>
      <x:c r="H1314" s="440" t="n">
        <x:f>IF(ISNUMBER(D1314),IF(MAX(0,B1314*(1+C1314/12)-D1314-F1314)&lt;MAX(0.0000001,$E$17*0.00000000001),0,MAX(0,B1314*(1+C1314/12)-D1314-F1314)),IF(AND($B$171=1,I1313=1),B1314,""))</x:f>
        <x:v>0</x:v>
      </x:c>
      <x:c r="I1314" s="444" t="n">
        <x:f>IF(OR(I1313=1,AND(E1314&gt;0,$B$78&lt;&gt;"Cash payoff",NOT(AND($B$78="Refinance",ISNUMBER($B$80),$B$80&gt;=0,$B$80&lt;=1,ROUND($B$81*12,0)&gt;=1,$B$81&lt;=100,SUM($B$82)&gt;=0,SUM($B$82)&lt;=1,SUM($B$83)&gt;=0))),AND(ISNUMBER(B1314),B1314&gt;0,$B$171=1,NOT(ISNUMBER(D1314)))),1,0)</x:f>
        <x:v>0</x:v>
      </x:c>
      <x:c r="J1314" s="440" t="n">
        <x:f>IF(ISNUMBER(L1313),L1313,"")</x:f>
        <x:v>0</x:v>
      </x:c>
      <x:c r="K1314" s="440" t="n">
        <x:f>IF(AND(ISNUMBER(J1314),J1314=0),0,IF(AND($B$176=1,ISNUMBER(J1314)),MIN(J1314*(1+$B$87/12),IF($B$86=0,0,IF($B$87=0,$B$86/ROUND($B$88*12,0),$B$86*($B$87/12)/(1-(1+$B$87/12)^(-ROUND($B$88*12,0)))))),""))</x:f>
        <x:v>0</x:v>
      </x:c>
      <x:c r="L1314" s="440" t="n">
        <x:f>IF(ISNUMBER(K1314),IF(MAX(0,J1314*(1+SUM($B$87)/12)-K1314)&lt;MAX(0.0000001,$B$86*0.00000000001),0,MAX(0,J1314*(1+SUM($B$87)/12)-K1314)),"")</x:f>
        <x:v>0</x:v>
      </x:c>
      <x:c r="M1314" s="440" t="n">
        <x:f>IF(AND(ISNUMBER(D1314),ISNUMBER(K1314)),D1314+K1314,"")</x:f>
        <x:v>0</x:v>
      </x:c>
      <x:c r="N1314" s="440" t="n">
        <x:f>IF(AND(ISNUMBER(H1314),ISNUMBER(L1314)),H1314+L1314,"")</x:f>
        <x:v>0</x:v>
      </x:c>
    </x:row>
    <x:row r="1315" ht="22" customHeight="1">
      <x:c r="A1315" s="254" t="n">
        <x:f>915</x:f>
        <x:v>915</x:v>
      </x:c>
      <x:c r="B1315" s="440" t="n">
        <x:f>IF(ISNUMBER(H1314),H1314,"")</x:f>
        <x:v>0</x:v>
      </x:c>
      <x:c r="C1315" s="442" t="n">
        <x:f>IF(ISNUMBER(B1315),IF(AND(915&gt;$B$173,$B$78="Refinance",ISNUMBER($B$80),$B$80&gt;=0,$B$80&lt;=1,ROUND($B$81*12,0)&gt;=1,$B$81&lt;=100,SUM($B$82)&gt;=0,SUM($B$82)&lt;=1,SUM($B$83)&gt;=0),$B$80,IF(AND($B$175&gt;0,915&gt;$B$175,ISNUMBER($B$75)),$B$75,$B$61)),"")</x:f>
        <x:v>0.0625</x:v>
      </x:c>
      <x:c r="D1315" s="440" t="n">
        <x:f>IF(AND(ISNUMBER(B1315),B1315=0),0,IF(AND($B$171=1,I1314=0,ISNUMBER(C1315),ISNUMBER(IF(AND(915&lt;=$B$174,915&lt;=$B$173),B1315*C1315/12,IF(AND(915=$B$173+1,AND(915&gt;$B$173,$B$78="Refinance",ISNUMBER($B$80),$B$80&gt;=0,$B$80&lt;=1,ROUND($B$81*12,0)&gt;=1,$B$81&lt;=100,SUM($B$82)&gt;=0,SUM($B$82)&lt;=1,SUM($B$83)&gt;=0)),IF(B1315=0,0,IF(C1315=0,B1315/ROUND($B$81*12,0),B1315*(C1315/12)/(1-(1+C1315/12)^(-ROUND($B$81*12,0))))),IF(AND(NOT(AND(915&gt;$B$173,$B$78="Refinance",ISNUMBER($B$80),$B$80&gt;=0,$B$80&lt;=1,ROUND($B$81*12,0)&gt;=1,$B$81&lt;=100,SUM($B$82)&gt;=0,SUM($B$82)&lt;=1,SUM($B$83)&gt;=0)),OR(915=1,915=$B$174+1,AND($B$175&gt;0,915=$B$175+1))),IF(AND($B$170=1,$B$66&gt;0,OR($B$175=0,915&lt;=$B$175)),$B$66,IF($B$172-MAX(915-1,$B$174)&gt;0,IF(B1315=0,0,IF(C1315=0,B1315/($B$172-MAX(915-1,$B$174)),B1315*(C1315/12)/(1-(1+C1315/12)^(-($B$172-MAX(915-1,$B$174)))))),"")),D1314))))),IF(IF(AND(915&lt;=$B$174,915&lt;=$B$173),B1315*C1315/12,IF(AND(915=$B$173+1,AND(915&gt;$B$173,$B$78="Refinance",ISNUMBER($B$80),$B$80&gt;=0,$B$80&lt;=1,ROUND($B$81*12,0)&gt;=1,$B$81&lt;=100,SUM($B$82)&gt;=0,SUM($B$82)&lt;=1,SUM($B$83)&gt;=0)),IF(B1315=0,0,IF(C1315=0,B1315/ROUND($B$81*12,0),B1315*(C1315/12)/(1-(1+C1315/12)^(-ROUND($B$81*12,0))))),IF(AND(NOT(AND(915&gt;$B$173,$B$78="Refinance",ISNUMBER($B$80),$B$80&gt;=0,$B$80&lt;=1,ROUND($B$81*12,0)&gt;=1,$B$81&lt;=100,SUM($B$82)&gt;=0,SUM($B$82)&lt;=1,SUM($B$83)&gt;=0)),OR(915=1,915=$B$174+1,AND($B$175&gt;0,915=$B$175+1))),IF(AND($B$170=1,$B$66&gt;0,OR($B$175=0,915&lt;=$B$175)),$B$66,IF($B$172-MAX(915-1,$B$174)&gt;0,IF(B1315=0,0,IF(C1315=0,B1315/($B$172-MAX(915-1,$B$174)),B1315*(C1315/12)/(1-(1+C1315/12)^(-($B$172-MAX(915-1,$B$174)))))),"")),D1314)))+0.0000001&gt;=B1315*C1315/12,MIN(B1315*(1+C1315/12),IF(AND(915&lt;=$B$174,915&lt;=$B$173),B1315*C1315/12,IF(AND(915=$B$173+1,AND(915&gt;$B$173,$B$78="Refinance",ISNUMBER($B$80),$B$80&gt;=0,$B$80&lt;=1,ROUND($B$81*12,0)&gt;=1,$B$81&lt;=100,SUM($B$82)&gt;=0,SUM($B$82)&lt;=1,SUM($B$83)&gt;=0)),IF(B1315=0,0,IF(C1315=0,B1315/ROUND($B$81*12,0),B1315*(C1315/12)/(1-(1+C1315/12)^(-ROUND($B$81*12,0))))),IF(AND(NOT(AND(915&gt;$B$173,$B$78="Refinance",ISNUMBER($B$80),$B$80&gt;=0,$B$80&lt;=1,ROUND($B$81*12,0)&gt;=1,$B$81&lt;=100,SUM($B$82)&gt;=0,SUM($B$82)&lt;=1,SUM($B$83)&gt;=0)),OR(915=1,915=$B$174+1,AND($B$175&gt;0,915=$B$175+1))),IF(AND($B$170=1,$B$66&gt;0,OR($B$175=0,915&lt;=$B$175)),$B$66,IF($B$172-MAX(915-1,$B$174)&gt;0,IF(B1315=0,0,IF(C1315=0,B1315/($B$172-MAX(915-1,$B$174)),B1315*(C1315/12)/(1-(1+C1315/12)^(-($B$172-MAX(915-1,$B$174)))))),"")),D1314)))),""),""))</x:f>
        <x:v>0</x:v>
      </x:c>
      <x:c r="E1315" s="440" t="n">
        <x:f>IF(AND(915=$B$173,ISNUMBER(D1315)),IF(MAX(0,B1315*(1+C1315/12)-D1315)&lt;MAX(0.0000001,$E$17*0.00000000001),0,MAX(0,B1315*(1+C1315/12)-D1315)),0)</x:f>
        <x:v>0</x:v>
      </x:c>
      <x:c r="F1315" s="440" t="n">
        <x:f>IF($B$78="Cash payoff",E1315,0)</x:f>
        <x:v>0</x:v>
      </x:c>
      <x:c r="G1315" s="440" t="n">
        <x:f>IF(AND(E1315&gt;0,AND($B$78="Refinance",ISNUMBER($B$80),$B$80&gt;=0,$B$80&lt;=1,ROUND($B$81*12,0)&gt;=1,$B$81&lt;=100,SUM($B$82)&gt;=0,SUM($B$82)&lt;=1,SUM($B$83)&gt;=0)),E1315*SUM($B$82)+SUM($B$83),0)</x:f>
        <x:v>0</x:v>
      </x:c>
      <x:c r="H1315" s="440" t="n">
        <x:f>IF(ISNUMBER(D1315),IF(MAX(0,B1315*(1+C1315/12)-D1315-F1315)&lt;MAX(0.0000001,$E$17*0.00000000001),0,MAX(0,B1315*(1+C1315/12)-D1315-F1315)),IF(AND($B$171=1,I1314=1),B1315,""))</x:f>
        <x:v>0</x:v>
      </x:c>
      <x:c r="I1315" s="444" t="n">
        <x:f>IF(OR(I1314=1,AND(E1315&gt;0,$B$78&lt;&gt;"Cash payoff",NOT(AND($B$78="Refinance",ISNUMBER($B$80),$B$80&gt;=0,$B$80&lt;=1,ROUND($B$81*12,0)&gt;=1,$B$81&lt;=100,SUM($B$82)&gt;=0,SUM($B$82)&lt;=1,SUM($B$83)&gt;=0))),AND(ISNUMBER(B1315),B1315&gt;0,$B$171=1,NOT(ISNUMBER(D1315)))),1,0)</x:f>
        <x:v>0</x:v>
      </x:c>
      <x:c r="J1315" s="440" t="n">
        <x:f>IF(ISNUMBER(L1314),L1314,"")</x:f>
        <x:v>0</x:v>
      </x:c>
      <x:c r="K1315" s="440" t="n">
        <x:f>IF(AND(ISNUMBER(J1315),J1315=0),0,IF(AND($B$176=1,ISNUMBER(J1315)),MIN(J1315*(1+$B$87/12),IF($B$86=0,0,IF($B$87=0,$B$86/ROUND($B$88*12,0),$B$86*($B$87/12)/(1-(1+$B$87/12)^(-ROUND($B$88*12,0)))))),""))</x:f>
        <x:v>0</x:v>
      </x:c>
      <x:c r="L1315" s="440" t="n">
        <x:f>IF(ISNUMBER(K1315),IF(MAX(0,J1315*(1+SUM($B$87)/12)-K1315)&lt;MAX(0.0000001,$B$86*0.00000000001),0,MAX(0,J1315*(1+SUM($B$87)/12)-K1315)),"")</x:f>
        <x:v>0</x:v>
      </x:c>
      <x:c r="M1315" s="440" t="n">
        <x:f>IF(AND(ISNUMBER(D1315),ISNUMBER(K1315)),D1315+K1315,"")</x:f>
        <x:v>0</x:v>
      </x:c>
      <x:c r="N1315" s="440" t="n">
        <x:f>IF(AND(ISNUMBER(H1315),ISNUMBER(L1315)),H1315+L1315,"")</x:f>
        <x:v>0</x:v>
      </x:c>
    </x:row>
    <x:row r="1316" ht="22" customHeight="1">
      <x:c r="A1316" s="254" t="n">
        <x:f>916</x:f>
        <x:v>916</x:v>
      </x:c>
      <x:c r="B1316" s="440" t="n">
        <x:f>IF(ISNUMBER(H1315),H1315,"")</x:f>
        <x:v>0</x:v>
      </x:c>
      <x:c r="C1316" s="442" t="n">
        <x:f>IF(ISNUMBER(B1316),IF(AND(916&gt;$B$173,$B$78="Refinance",ISNUMBER($B$80),$B$80&gt;=0,$B$80&lt;=1,ROUND($B$81*12,0)&gt;=1,$B$81&lt;=100,SUM($B$82)&gt;=0,SUM($B$82)&lt;=1,SUM($B$83)&gt;=0),$B$80,IF(AND($B$175&gt;0,916&gt;$B$175,ISNUMBER($B$75)),$B$75,$B$61)),"")</x:f>
        <x:v>0.0625</x:v>
      </x:c>
      <x:c r="D1316" s="440" t="n">
        <x:f>IF(AND(ISNUMBER(B1316),B1316=0),0,IF(AND($B$171=1,I1315=0,ISNUMBER(C1316),ISNUMBER(IF(AND(916&lt;=$B$174,916&lt;=$B$173),B1316*C1316/12,IF(AND(916=$B$173+1,AND(916&gt;$B$173,$B$78="Refinance",ISNUMBER($B$80),$B$80&gt;=0,$B$80&lt;=1,ROUND($B$81*12,0)&gt;=1,$B$81&lt;=100,SUM($B$82)&gt;=0,SUM($B$82)&lt;=1,SUM($B$83)&gt;=0)),IF(B1316=0,0,IF(C1316=0,B1316/ROUND($B$81*12,0),B1316*(C1316/12)/(1-(1+C1316/12)^(-ROUND($B$81*12,0))))),IF(AND(NOT(AND(916&gt;$B$173,$B$78="Refinance",ISNUMBER($B$80),$B$80&gt;=0,$B$80&lt;=1,ROUND($B$81*12,0)&gt;=1,$B$81&lt;=100,SUM($B$82)&gt;=0,SUM($B$82)&lt;=1,SUM($B$83)&gt;=0)),OR(916=1,916=$B$174+1,AND($B$175&gt;0,916=$B$175+1))),IF(AND($B$170=1,$B$66&gt;0,OR($B$175=0,916&lt;=$B$175)),$B$66,IF($B$172-MAX(916-1,$B$174)&gt;0,IF(B1316=0,0,IF(C1316=0,B1316/($B$172-MAX(916-1,$B$174)),B1316*(C1316/12)/(1-(1+C1316/12)^(-($B$172-MAX(916-1,$B$174)))))),"")),D1315))))),IF(IF(AND(916&lt;=$B$174,916&lt;=$B$173),B1316*C1316/12,IF(AND(916=$B$173+1,AND(916&gt;$B$173,$B$78="Refinance",ISNUMBER($B$80),$B$80&gt;=0,$B$80&lt;=1,ROUND($B$81*12,0)&gt;=1,$B$81&lt;=100,SUM($B$82)&gt;=0,SUM($B$82)&lt;=1,SUM($B$83)&gt;=0)),IF(B1316=0,0,IF(C1316=0,B1316/ROUND($B$81*12,0),B1316*(C1316/12)/(1-(1+C1316/12)^(-ROUND($B$81*12,0))))),IF(AND(NOT(AND(916&gt;$B$173,$B$78="Refinance",ISNUMBER($B$80),$B$80&gt;=0,$B$80&lt;=1,ROUND($B$81*12,0)&gt;=1,$B$81&lt;=100,SUM($B$82)&gt;=0,SUM($B$82)&lt;=1,SUM($B$83)&gt;=0)),OR(916=1,916=$B$174+1,AND($B$175&gt;0,916=$B$175+1))),IF(AND($B$170=1,$B$66&gt;0,OR($B$175=0,916&lt;=$B$175)),$B$66,IF($B$172-MAX(916-1,$B$174)&gt;0,IF(B1316=0,0,IF(C1316=0,B1316/($B$172-MAX(916-1,$B$174)),B1316*(C1316/12)/(1-(1+C1316/12)^(-($B$172-MAX(916-1,$B$174)))))),"")),D1315)))+0.0000001&gt;=B1316*C1316/12,MIN(B1316*(1+C1316/12),IF(AND(916&lt;=$B$174,916&lt;=$B$173),B1316*C1316/12,IF(AND(916=$B$173+1,AND(916&gt;$B$173,$B$78="Refinance",ISNUMBER($B$80),$B$80&gt;=0,$B$80&lt;=1,ROUND($B$81*12,0)&gt;=1,$B$81&lt;=100,SUM($B$82)&gt;=0,SUM($B$82)&lt;=1,SUM($B$83)&gt;=0)),IF(B1316=0,0,IF(C1316=0,B1316/ROUND($B$81*12,0),B1316*(C1316/12)/(1-(1+C1316/12)^(-ROUND($B$81*12,0))))),IF(AND(NOT(AND(916&gt;$B$173,$B$78="Refinance",ISNUMBER($B$80),$B$80&gt;=0,$B$80&lt;=1,ROUND($B$81*12,0)&gt;=1,$B$81&lt;=100,SUM($B$82)&gt;=0,SUM($B$82)&lt;=1,SUM($B$83)&gt;=0)),OR(916=1,916=$B$174+1,AND($B$175&gt;0,916=$B$175+1))),IF(AND($B$170=1,$B$66&gt;0,OR($B$175=0,916&lt;=$B$175)),$B$66,IF($B$172-MAX(916-1,$B$174)&gt;0,IF(B1316=0,0,IF(C1316=0,B1316/($B$172-MAX(916-1,$B$174)),B1316*(C1316/12)/(1-(1+C1316/12)^(-($B$172-MAX(916-1,$B$174)))))),"")),D1315)))),""),""))</x:f>
        <x:v>0</x:v>
      </x:c>
      <x:c r="E1316" s="440" t="n">
        <x:f>IF(AND(916=$B$173,ISNUMBER(D1316)),IF(MAX(0,B1316*(1+C1316/12)-D1316)&lt;MAX(0.0000001,$E$17*0.00000000001),0,MAX(0,B1316*(1+C1316/12)-D1316)),0)</x:f>
        <x:v>0</x:v>
      </x:c>
      <x:c r="F1316" s="440" t="n">
        <x:f>IF($B$78="Cash payoff",E1316,0)</x:f>
        <x:v>0</x:v>
      </x:c>
      <x:c r="G1316" s="440" t="n">
        <x:f>IF(AND(E1316&gt;0,AND($B$78="Refinance",ISNUMBER($B$80),$B$80&gt;=0,$B$80&lt;=1,ROUND($B$81*12,0)&gt;=1,$B$81&lt;=100,SUM($B$82)&gt;=0,SUM($B$82)&lt;=1,SUM($B$83)&gt;=0)),E1316*SUM($B$82)+SUM($B$83),0)</x:f>
        <x:v>0</x:v>
      </x:c>
      <x:c r="H1316" s="440" t="n">
        <x:f>IF(ISNUMBER(D1316),IF(MAX(0,B1316*(1+C1316/12)-D1316-F1316)&lt;MAX(0.0000001,$E$17*0.00000000001),0,MAX(0,B1316*(1+C1316/12)-D1316-F1316)),IF(AND($B$171=1,I1315=1),B1316,""))</x:f>
        <x:v>0</x:v>
      </x:c>
      <x:c r="I1316" s="444" t="n">
        <x:f>IF(OR(I1315=1,AND(E1316&gt;0,$B$78&lt;&gt;"Cash payoff",NOT(AND($B$78="Refinance",ISNUMBER($B$80),$B$80&gt;=0,$B$80&lt;=1,ROUND($B$81*12,0)&gt;=1,$B$81&lt;=100,SUM($B$82)&gt;=0,SUM($B$82)&lt;=1,SUM($B$83)&gt;=0))),AND(ISNUMBER(B1316),B1316&gt;0,$B$171=1,NOT(ISNUMBER(D1316)))),1,0)</x:f>
        <x:v>0</x:v>
      </x:c>
      <x:c r="J1316" s="440" t="n">
        <x:f>IF(ISNUMBER(L1315),L1315,"")</x:f>
        <x:v>0</x:v>
      </x:c>
      <x:c r="K1316" s="440" t="n">
        <x:f>IF(AND(ISNUMBER(J1316),J1316=0),0,IF(AND($B$176=1,ISNUMBER(J1316)),MIN(J1316*(1+$B$87/12),IF($B$86=0,0,IF($B$87=0,$B$86/ROUND($B$88*12,0),$B$86*($B$87/12)/(1-(1+$B$87/12)^(-ROUND($B$88*12,0)))))),""))</x:f>
        <x:v>0</x:v>
      </x:c>
      <x:c r="L1316" s="440" t="n">
        <x:f>IF(ISNUMBER(K1316),IF(MAX(0,J1316*(1+SUM($B$87)/12)-K1316)&lt;MAX(0.0000001,$B$86*0.00000000001),0,MAX(0,J1316*(1+SUM($B$87)/12)-K1316)),"")</x:f>
        <x:v>0</x:v>
      </x:c>
      <x:c r="M1316" s="440" t="n">
        <x:f>IF(AND(ISNUMBER(D1316),ISNUMBER(K1316)),D1316+K1316,"")</x:f>
        <x:v>0</x:v>
      </x:c>
      <x:c r="N1316" s="440" t="n">
        <x:f>IF(AND(ISNUMBER(H1316),ISNUMBER(L1316)),H1316+L1316,"")</x:f>
        <x:v>0</x:v>
      </x:c>
    </x:row>
    <x:row r="1317" ht="22" customHeight="1">
      <x:c r="A1317" s="254" t="n">
        <x:f>917</x:f>
        <x:v>917</x:v>
      </x:c>
      <x:c r="B1317" s="440" t="n">
        <x:f>IF(ISNUMBER(H1316),H1316,"")</x:f>
        <x:v>0</x:v>
      </x:c>
      <x:c r="C1317" s="442" t="n">
        <x:f>IF(ISNUMBER(B1317),IF(AND(917&gt;$B$173,$B$78="Refinance",ISNUMBER($B$80),$B$80&gt;=0,$B$80&lt;=1,ROUND($B$81*12,0)&gt;=1,$B$81&lt;=100,SUM($B$82)&gt;=0,SUM($B$82)&lt;=1,SUM($B$83)&gt;=0),$B$80,IF(AND($B$175&gt;0,917&gt;$B$175,ISNUMBER($B$75)),$B$75,$B$61)),"")</x:f>
        <x:v>0.0625</x:v>
      </x:c>
      <x:c r="D1317" s="440" t="n">
        <x:f>IF(AND(ISNUMBER(B1317),B1317=0),0,IF(AND($B$171=1,I1316=0,ISNUMBER(C1317),ISNUMBER(IF(AND(917&lt;=$B$174,917&lt;=$B$173),B1317*C1317/12,IF(AND(917=$B$173+1,AND(917&gt;$B$173,$B$78="Refinance",ISNUMBER($B$80),$B$80&gt;=0,$B$80&lt;=1,ROUND($B$81*12,0)&gt;=1,$B$81&lt;=100,SUM($B$82)&gt;=0,SUM($B$82)&lt;=1,SUM($B$83)&gt;=0)),IF(B1317=0,0,IF(C1317=0,B1317/ROUND($B$81*12,0),B1317*(C1317/12)/(1-(1+C1317/12)^(-ROUND($B$81*12,0))))),IF(AND(NOT(AND(917&gt;$B$173,$B$78="Refinance",ISNUMBER($B$80),$B$80&gt;=0,$B$80&lt;=1,ROUND($B$81*12,0)&gt;=1,$B$81&lt;=100,SUM($B$82)&gt;=0,SUM($B$82)&lt;=1,SUM($B$83)&gt;=0)),OR(917=1,917=$B$174+1,AND($B$175&gt;0,917=$B$175+1))),IF(AND($B$170=1,$B$66&gt;0,OR($B$175=0,917&lt;=$B$175)),$B$66,IF($B$172-MAX(917-1,$B$174)&gt;0,IF(B1317=0,0,IF(C1317=0,B1317/($B$172-MAX(917-1,$B$174)),B1317*(C1317/12)/(1-(1+C1317/12)^(-($B$172-MAX(917-1,$B$174)))))),"")),D1316))))),IF(IF(AND(917&lt;=$B$174,917&lt;=$B$173),B1317*C1317/12,IF(AND(917=$B$173+1,AND(917&gt;$B$173,$B$78="Refinance",ISNUMBER($B$80),$B$80&gt;=0,$B$80&lt;=1,ROUND($B$81*12,0)&gt;=1,$B$81&lt;=100,SUM($B$82)&gt;=0,SUM($B$82)&lt;=1,SUM($B$83)&gt;=0)),IF(B1317=0,0,IF(C1317=0,B1317/ROUND($B$81*12,0),B1317*(C1317/12)/(1-(1+C1317/12)^(-ROUND($B$81*12,0))))),IF(AND(NOT(AND(917&gt;$B$173,$B$78="Refinance",ISNUMBER($B$80),$B$80&gt;=0,$B$80&lt;=1,ROUND($B$81*12,0)&gt;=1,$B$81&lt;=100,SUM($B$82)&gt;=0,SUM($B$82)&lt;=1,SUM($B$83)&gt;=0)),OR(917=1,917=$B$174+1,AND($B$175&gt;0,917=$B$175+1))),IF(AND($B$170=1,$B$66&gt;0,OR($B$175=0,917&lt;=$B$175)),$B$66,IF($B$172-MAX(917-1,$B$174)&gt;0,IF(B1317=0,0,IF(C1317=0,B1317/($B$172-MAX(917-1,$B$174)),B1317*(C1317/12)/(1-(1+C1317/12)^(-($B$172-MAX(917-1,$B$174)))))),"")),D1316)))+0.0000001&gt;=B1317*C1317/12,MIN(B1317*(1+C1317/12),IF(AND(917&lt;=$B$174,917&lt;=$B$173),B1317*C1317/12,IF(AND(917=$B$173+1,AND(917&gt;$B$173,$B$78="Refinance",ISNUMBER($B$80),$B$80&gt;=0,$B$80&lt;=1,ROUND($B$81*12,0)&gt;=1,$B$81&lt;=100,SUM($B$82)&gt;=0,SUM($B$82)&lt;=1,SUM($B$83)&gt;=0)),IF(B1317=0,0,IF(C1317=0,B1317/ROUND($B$81*12,0),B1317*(C1317/12)/(1-(1+C1317/12)^(-ROUND($B$81*12,0))))),IF(AND(NOT(AND(917&gt;$B$173,$B$78="Refinance",ISNUMBER($B$80),$B$80&gt;=0,$B$80&lt;=1,ROUND($B$81*12,0)&gt;=1,$B$81&lt;=100,SUM($B$82)&gt;=0,SUM($B$82)&lt;=1,SUM($B$83)&gt;=0)),OR(917=1,917=$B$174+1,AND($B$175&gt;0,917=$B$175+1))),IF(AND($B$170=1,$B$66&gt;0,OR($B$175=0,917&lt;=$B$175)),$B$66,IF($B$172-MAX(917-1,$B$174)&gt;0,IF(B1317=0,0,IF(C1317=0,B1317/($B$172-MAX(917-1,$B$174)),B1317*(C1317/12)/(1-(1+C1317/12)^(-($B$172-MAX(917-1,$B$174)))))),"")),D1316)))),""),""))</x:f>
        <x:v>0</x:v>
      </x:c>
      <x:c r="E1317" s="440" t="n">
        <x:f>IF(AND(917=$B$173,ISNUMBER(D1317)),IF(MAX(0,B1317*(1+C1317/12)-D1317)&lt;MAX(0.0000001,$E$17*0.00000000001),0,MAX(0,B1317*(1+C1317/12)-D1317)),0)</x:f>
        <x:v>0</x:v>
      </x:c>
      <x:c r="F1317" s="440" t="n">
        <x:f>IF($B$78="Cash payoff",E1317,0)</x:f>
        <x:v>0</x:v>
      </x:c>
      <x:c r="G1317" s="440" t="n">
        <x:f>IF(AND(E1317&gt;0,AND($B$78="Refinance",ISNUMBER($B$80),$B$80&gt;=0,$B$80&lt;=1,ROUND($B$81*12,0)&gt;=1,$B$81&lt;=100,SUM($B$82)&gt;=0,SUM($B$82)&lt;=1,SUM($B$83)&gt;=0)),E1317*SUM($B$82)+SUM($B$83),0)</x:f>
        <x:v>0</x:v>
      </x:c>
      <x:c r="H1317" s="440" t="n">
        <x:f>IF(ISNUMBER(D1317),IF(MAX(0,B1317*(1+C1317/12)-D1317-F1317)&lt;MAX(0.0000001,$E$17*0.00000000001),0,MAX(0,B1317*(1+C1317/12)-D1317-F1317)),IF(AND($B$171=1,I1316=1),B1317,""))</x:f>
        <x:v>0</x:v>
      </x:c>
      <x:c r="I1317" s="444" t="n">
        <x:f>IF(OR(I1316=1,AND(E1317&gt;0,$B$78&lt;&gt;"Cash payoff",NOT(AND($B$78="Refinance",ISNUMBER($B$80),$B$80&gt;=0,$B$80&lt;=1,ROUND($B$81*12,0)&gt;=1,$B$81&lt;=100,SUM($B$82)&gt;=0,SUM($B$82)&lt;=1,SUM($B$83)&gt;=0))),AND(ISNUMBER(B1317),B1317&gt;0,$B$171=1,NOT(ISNUMBER(D1317)))),1,0)</x:f>
        <x:v>0</x:v>
      </x:c>
      <x:c r="J1317" s="440" t="n">
        <x:f>IF(ISNUMBER(L1316),L1316,"")</x:f>
        <x:v>0</x:v>
      </x:c>
      <x:c r="K1317" s="440" t="n">
        <x:f>IF(AND(ISNUMBER(J1317),J1317=0),0,IF(AND($B$176=1,ISNUMBER(J1317)),MIN(J1317*(1+$B$87/12),IF($B$86=0,0,IF($B$87=0,$B$86/ROUND($B$88*12,0),$B$86*($B$87/12)/(1-(1+$B$87/12)^(-ROUND($B$88*12,0)))))),""))</x:f>
        <x:v>0</x:v>
      </x:c>
      <x:c r="L1317" s="440" t="n">
        <x:f>IF(ISNUMBER(K1317),IF(MAX(0,J1317*(1+SUM($B$87)/12)-K1317)&lt;MAX(0.0000001,$B$86*0.00000000001),0,MAX(0,J1317*(1+SUM($B$87)/12)-K1317)),"")</x:f>
        <x:v>0</x:v>
      </x:c>
      <x:c r="M1317" s="440" t="n">
        <x:f>IF(AND(ISNUMBER(D1317),ISNUMBER(K1317)),D1317+K1317,"")</x:f>
        <x:v>0</x:v>
      </x:c>
      <x:c r="N1317" s="440" t="n">
        <x:f>IF(AND(ISNUMBER(H1317),ISNUMBER(L1317)),H1317+L1317,"")</x:f>
        <x:v>0</x:v>
      </x:c>
    </x:row>
    <x:row r="1318" ht="22" customHeight="1">
      <x:c r="A1318" s="254" t="n">
        <x:f>918</x:f>
        <x:v>918</x:v>
      </x:c>
      <x:c r="B1318" s="440" t="n">
        <x:f>IF(ISNUMBER(H1317),H1317,"")</x:f>
        <x:v>0</x:v>
      </x:c>
      <x:c r="C1318" s="442" t="n">
        <x:f>IF(ISNUMBER(B1318),IF(AND(918&gt;$B$173,$B$78="Refinance",ISNUMBER($B$80),$B$80&gt;=0,$B$80&lt;=1,ROUND($B$81*12,0)&gt;=1,$B$81&lt;=100,SUM($B$82)&gt;=0,SUM($B$82)&lt;=1,SUM($B$83)&gt;=0),$B$80,IF(AND($B$175&gt;0,918&gt;$B$175,ISNUMBER($B$75)),$B$75,$B$61)),"")</x:f>
        <x:v>0.0625</x:v>
      </x:c>
      <x:c r="D1318" s="440" t="n">
        <x:f>IF(AND(ISNUMBER(B1318),B1318=0),0,IF(AND($B$171=1,I1317=0,ISNUMBER(C1318),ISNUMBER(IF(AND(918&lt;=$B$174,918&lt;=$B$173),B1318*C1318/12,IF(AND(918=$B$173+1,AND(918&gt;$B$173,$B$78="Refinance",ISNUMBER($B$80),$B$80&gt;=0,$B$80&lt;=1,ROUND($B$81*12,0)&gt;=1,$B$81&lt;=100,SUM($B$82)&gt;=0,SUM($B$82)&lt;=1,SUM($B$83)&gt;=0)),IF(B1318=0,0,IF(C1318=0,B1318/ROUND($B$81*12,0),B1318*(C1318/12)/(1-(1+C1318/12)^(-ROUND($B$81*12,0))))),IF(AND(NOT(AND(918&gt;$B$173,$B$78="Refinance",ISNUMBER($B$80),$B$80&gt;=0,$B$80&lt;=1,ROUND($B$81*12,0)&gt;=1,$B$81&lt;=100,SUM($B$82)&gt;=0,SUM($B$82)&lt;=1,SUM($B$83)&gt;=0)),OR(918=1,918=$B$174+1,AND($B$175&gt;0,918=$B$175+1))),IF(AND($B$170=1,$B$66&gt;0,OR($B$175=0,918&lt;=$B$175)),$B$66,IF($B$172-MAX(918-1,$B$174)&gt;0,IF(B1318=0,0,IF(C1318=0,B1318/($B$172-MAX(918-1,$B$174)),B1318*(C1318/12)/(1-(1+C1318/12)^(-($B$172-MAX(918-1,$B$174)))))),"")),D1317))))),IF(IF(AND(918&lt;=$B$174,918&lt;=$B$173),B1318*C1318/12,IF(AND(918=$B$173+1,AND(918&gt;$B$173,$B$78="Refinance",ISNUMBER($B$80),$B$80&gt;=0,$B$80&lt;=1,ROUND($B$81*12,0)&gt;=1,$B$81&lt;=100,SUM($B$82)&gt;=0,SUM($B$82)&lt;=1,SUM($B$83)&gt;=0)),IF(B1318=0,0,IF(C1318=0,B1318/ROUND($B$81*12,0),B1318*(C1318/12)/(1-(1+C1318/12)^(-ROUND($B$81*12,0))))),IF(AND(NOT(AND(918&gt;$B$173,$B$78="Refinance",ISNUMBER($B$80),$B$80&gt;=0,$B$80&lt;=1,ROUND($B$81*12,0)&gt;=1,$B$81&lt;=100,SUM($B$82)&gt;=0,SUM($B$82)&lt;=1,SUM($B$83)&gt;=0)),OR(918=1,918=$B$174+1,AND($B$175&gt;0,918=$B$175+1))),IF(AND($B$170=1,$B$66&gt;0,OR($B$175=0,918&lt;=$B$175)),$B$66,IF($B$172-MAX(918-1,$B$174)&gt;0,IF(B1318=0,0,IF(C1318=0,B1318/($B$172-MAX(918-1,$B$174)),B1318*(C1318/12)/(1-(1+C1318/12)^(-($B$172-MAX(918-1,$B$174)))))),"")),D1317)))+0.0000001&gt;=B1318*C1318/12,MIN(B1318*(1+C1318/12),IF(AND(918&lt;=$B$174,918&lt;=$B$173),B1318*C1318/12,IF(AND(918=$B$173+1,AND(918&gt;$B$173,$B$78="Refinance",ISNUMBER($B$80),$B$80&gt;=0,$B$80&lt;=1,ROUND($B$81*12,0)&gt;=1,$B$81&lt;=100,SUM($B$82)&gt;=0,SUM($B$82)&lt;=1,SUM($B$83)&gt;=0)),IF(B1318=0,0,IF(C1318=0,B1318/ROUND($B$81*12,0),B1318*(C1318/12)/(1-(1+C1318/12)^(-ROUND($B$81*12,0))))),IF(AND(NOT(AND(918&gt;$B$173,$B$78="Refinance",ISNUMBER($B$80),$B$80&gt;=0,$B$80&lt;=1,ROUND($B$81*12,0)&gt;=1,$B$81&lt;=100,SUM($B$82)&gt;=0,SUM($B$82)&lt;=1,SUM($B$83)&gt;=0)),OR(918=1,918=$B$174+1,AND($B$175&gt;0,918=$B$175+1))),IF(AND($B$170=1,$B$66&gt;0,OR($B$175=0,918&lt;=$B$175)),$B$66,IF($B$172-MAX(918-1,$B$174)&gt;0,IF(B1318=0,0,IF(C1318=0,B1318/($B$172-MAX(918-1,$B$174)),B1318*(C1318/12)/(1-(1+C1318/12)^(-($B$172-MAX(918-1,$B$174)))))),"")),D1317)))),""),""))</x:f>
        <x:v>0</x:v>
      </x:c>
      <x:c r="E1318" s="440" t="n">
        <x:f>IF(AND(918=$B$173,ISNUMBER(D1318)),IF(MAX(0,B1318*(1+C1318/12)-D1318)&lt;MAX(0.0000001,$E$17*0.00000000001),0,MAX(0,B1318*(1+C1318/12)-D1318)),0)</x:f>
        <x:v>0</x:v>
      </x:c>
      <x:c r="F1318" s="440" t="n">
        <x:f>IF($B$78="Cash payoff",E1318,0)</x:f>
        <x:v>0</x:v>
      </x:c>
      <x:c r="G1318" s="440" t="n">
        <x:f>IF(AND(E1318&gt;0,AND($B$78="Refinance",ISNUMBER($B$80),$B$80&gt;=0,$B$80&lt;=1,ROUND($B$81*12,0)&gt;=1,$B$81&lt;=100,SUM($B$82)&gt;=0,SUM($B$82)&lt;=1,SUM($B$83)&gt;=0)),E1318*SUM($B$82)+SUM($B$83),0)</x:f>
        <x:v>0</x:v>
      </x:c>
      <x:c r="H1318" s="440" t="n">
        <x:f>IF(ISNUMBER(D1318),IF(MAX(0,B1318*(1+C1318/12)-D1318-F1318)&lt;MAX(0.0000001,$E$17*0.00000000001),0,MAX(0,B1318*(1+C1318/12)-D1318-F1318)),IF(AND($B$171=1,I1317=1),B1318,""))</x:f>
        <x:v>0</x:v>
      </x:c>
      <x:c r="I1318" s="444" t="n">
        <x:f>IF(OR(I1317=1,AND(E1318&gt;0,$B$78&lt;&gt;"Cash payoff",NOT(AND($B$78="Refinance",ISNUMBER($B$80),$B$80&gt;=0,$B$80&lt;=1,ROUND($B$81*12,0)&gt;=1,$B$81&lt;=100,SUM($B$82)&gt;=0,SUM($B$82)&lt;=1,SUM($B$83)&gt;=0))),AND(ISNUMBER(B1318),B1318&gt;0,$B$171=1,NOT(ISNUMBER(D1318)))),1,0)</x:f>
        <x:v>0</x:v>
      </x:c>
      <x:c r="J1318" s="440" t="n">
        <x:f>IF(ISNUMBER(L1317),L1317,"")</x:f>
        <x:v>0</x:v>
      </x:c>
      <x:c r="K1318" s="440" t="n">
        <x:f>IF(AND(ISNUMBER(J1318),J1318=0),0,IF(AND($B$176=1,ISNUMBER(J1318)),MIN(J1318*(1+$B$87/12),IF($B$86=0,0,IF($B$87=0,$B$86/ROUND($B$88*12,0),$B$86*($B$87/12)/(1-(1+$B$87/12)^(-ROUND($B$88*12,0)))))),""))</x:f>
        <x:v>0</x:v>
      </x:c>
      <x:c r="L1318" s="440" t="n">
        <x:f>IF(ISNUMBER(K1318),IF(MAX(0,J1318*(1+SUM($B$87)/12)-K1318)&lt;MAX(0.0000001,$B$86*0.00000000001),0,MAX(0,J1318*(1+SUM($B$87)/12)-K1318)),"")</x:f>
        <x:v>0</x:v>
      </x:c>
      <x:c r="M1318" s="440" t="n">
        <x:f>IF(AND(ISNUMBER(D1318),ISNUMBER(K1318)),D1318+K1318,"")</x:f>
        <x:v>0</x:v>
      </x:c>
      <x:c r="N1318" s="440" t="n">
        <x:f>IF(AND(ISNUMBER(H1318),ISNUMBER(L1318)),H1318+L1318,"")</x:f>
        <x:v>0</x:v>
      </x:c>
    </x:row>
    <x:row r="1319" ht="22" customHeight="1">
      <x:c r="A1319" s="254" t="n">
        <x:f>919</x:f>
        <x:v>919</x:v>
      </x:c>
      <x:c r="B1319" s="440" t="n">
        <x:f>IF(ISNUMBER(H1318),H1318,"")</x:f>
        <x:v>0</x:v>
      </x:c>
      <x:c r="C1319" s="442" t="n">
        <x:f>IF(ISNUMBER(B1319),IF(AND(919&gt;$B$173,$B$78="Refinance",ISNUMBER($B$80),$B$80&gt;=0,$B$80&lt;=1,ROUND($B$81*12,0)&gt;=1,$B$81&lt;=100,SUM($B$82)&gt;=0,SUM($B$82)&lt;=1,SUM($B$83)&gt;=0),$B$80,IF(AND($B$175&gt;0,919&gt;$B$175,ISNUMBER($B$75)),$B$75,$B$61)),"")</x:f>
        <x:v>0.0625</x:v>
      </x:c>
      <x:c r="D1319" s="440" t="n">
        <x:f>IF(AND(ISNUMBER(B1319),B1319=0),0,IF(AND($B$171=1,I1318=0,ISNUMBER(C1319),ISNUMBER(IF(AND(919&lt;=$B$174,919&lt;=$B$173),B1319*C1319/12,IF(AND(919=$B$173+1,AND(919&gt;$B$173,$B$78="Refinance",ISNUMBER($B$80),$B$80&gt;=0,$B$80&lt;=1,ROUND($B$81*12,0)&gt;=1,$B$81&lt;=100,SUM($B$82)&gt;=0,SUM($B$82)&lt;=1,SUM($B$83)&gt;=0)),IF(B1319=0,0,IF(C1319=0,B1319/ROUND($B$81*12,0),B1319*(C1319/12)/(1-(1+C1319/12)^(-ROUND($B$81*12,0))))),IF(AND(NOT(AND(919&gt;$B$173,$B$78="Refinance",ISNUMBER($B$80),$B$80&gt;=0,$B$80&lt;=1,ROUND($B$81*12,0)&gt;=1,$B$81&lt;=100,SUM($B$82)&gt;=0,SUM($B$82)&lt;=1,SUM($B$83)&gt;=0)),OR(919=1,919=$B$174+1,AND($B$175&gt;0,919=$B$175+1))),IF(AND($B$170=1,$B$66&gt;0,OR($B$175=0,919&lt;=$B$175)),$B$66,IF($B$172-MAX(919-1,$B$174)&gt;0,IF(B1319=0,0,IF(C1319=0,B1319/($B$172-MAX(919-1,$B$174)),B1319*(C1319/12)/(1-(1+C1319/12)^(-($B$172-MAX(919-1,$B$174)))))),"")),D1318))))),IF(IF(AND(919&lt;=$B$174,919&lt;=$B$173),B1319*C1319/12,IF(AND(919=$B$173+1,AND(919&gt;$B$173,$B$78="Refinance",ISNUMBER($B$80),$B$80&gt;=0,$B$80&lt;=1,ROUND($B$81*12,0)&gt;=1,$B$81&lt;=100,SUM($B$82)&gt;=0,SUM($B$82)&lt;=1,SUM($B$83)&gt;=0)),IF(B1319=0,0,IF(C1319=0,B1319/ROUND($B$81*12,0),B1319*(C1319/12)/(1-(1+C1319/12)^(-ROUND($B$81*12,0))))),IF(AND(NOT(AND(919&gt;$B$173,$B$78="Refinance",ISNUMBER($B$80),$B$80&gt;=0,$B$80&lt;=1,ROUND($B$81*12,0)&gt;=1,$B$81&lt;=100,SUM($B$82)&gt;=0,SUM($B$82)&lt;=1,SUM($B$83)&gt;=0)),OR(919=1,919=$B$174+1,AND($B$175&gt;0,919=$B$175+1))),IF(AND($B$170=1,$B$66&gt;0,OR($B$175=0,919&lt;=$B$175)),$B$66,IF($B$172-MAX(919-1,$B$174)&gt;0,IF(B1319=0,0,IF(C1319=0,B1319/($B$172-MAX(919-1,$B$174)),B1319*(C1319/12)/(1-(1+C1319/12)^(-($B$172-MAX(919-1,$B$174)))))),"")),D1318)))+0.0000001&gt;=B1319*C1319/12,MIN(B1319*(1+C1319/12),IF(AND(919&lt;=$B$174,919&lt;=$B$173),B1319*C1319/12,IF(AND(919=$B$173+1,AND(919&gt;$B$173,$B$78="Refinance",ISNUMBER($B$80),$B$80&gt;=0,$B$80&lt;=1,ROUND($B$81*12,0)&gt;=1,$B$81&lt;=100,SUM($B$82)&gt;=0,SUM($B$82)&lt;=1,SUM($B$83)&gt;=0)),IF(B1319=0,0,IF(C1319=0,B1319/ROUND($B$81*12,0),B1319*(C1319/12)/(1-(1+C1319/12)^(-ROUND($B$81*12,0))))),IF(AND(NOT(AND(919&gt;$B$173,$B$78="Refinance",ISNUMBER($B$80),$B$80&gt;=0,$B$80&lt;=1,ROUND($B$81*12,0)&gt;=1,$B$81&lt;=100,SUM($B$82)&gt;=0,SUM($B$82)&lt;=1,SUM($B$83)&gt;=0)),OR(919=1,919=$B$174+1,AND($B$175&gt;0,919=$B$175+1))),IF(AND($B$170=1,$B$66&gt;0,OR($B$175=0,919&lt;=$B$175)),$B$66,IF($B$172-MAX(919-1,$B$174)&gt;0,IF(B1319=0,0,IF(C1319=0,B1319/($B$172-MAX(919-1,$B$174)),B1319*(C1319/12)/(1-(1+C1319/12)^(-($B$172-MAX(919-1,$B$174)))))),"")),D1318)))),""),""))</x:f>
        <x:v>0</x:v>
      </x:c>
      <x:c r="E1319" s="440" t="n">
        <x:f>IF(AND(919=$B$173,ISNUMBER(D1319)),IF(MAX(0,B1319*(1+C1319/12)-D1319)&lt;MAX(0.0000001,$E$17*0.00000000001),0,MAX(0,B1319*(1+C1319/12)-D1319)),0)</x:f>
        <x:v>0</x:v>
      </x:c>
      <x:c r="F1319" s="440" t="n">
        <x:f>IF($B$78="Cash payoff",E1319,0)</x:f>
        <x:v>0</x:v>
      </x:c>
      <x:c r="G1319" s="440" t="n">
        <x:f>IF(AND(E1319&gt;0,AND($B$78="Refinance",ISNUMBER($B$80),$B$80&gt;=0,$B$80&lt;=1,ROUND($B$81*12,0)&gt;=1,$B$81&lt;=100,SUM($B$82)&gt;=0,SUM($B$82)&lt;=1,SUM($B$83)&gt;=0)),E1319*SUM($B$82)+SUM($B$83),0)</x:f>
        <x:v>0</x:v>
      </x:c>
      <x:c r="H1319" s="440" t="n">
        <x:f>IF(ISNUMBER(D1319),IF(MAX(0,B1319*(1+C1319/12)-D1319-F1319)&lt;MAX(0.0000001,$E$17*0.00000000001),0,MAX(0,B1319*(1+C1319/12)-D1319-F1319)),IF(AND($B$171=1,I1318=1),B1319,""))</x:f>
        <x:v>0</x:v>
      </x:c>
      <x:c r="I1319" s="444" t="n">
        <x:f>IF(OR(I1318=1,AND(E1319&gt;0,$B$78&lt;&gt;"Cash payoff",NOT(AND($B$78="Refinance",ISNUMBER($B$80),$B$80&gt;=0,$B$80&lt;=1,ROUND($B$81*12,0)&gt;=1,$B$81&lt;=100,SUM($B$82)&gt;=0,SUM($B$82)&lt;=1,SUM($B$83)&gt;=0))),AND(ISNUMBER(B1319),B1319&gt;0,$B$171=1,NOT(ISNUMBER(D1319)))),1,0)</x:f>
        <x:v>0</x:v>
      </x:c>
      <x:c r="J1319" s="440" t="n">
        <x:f>IF(ISNUMBER(L1318),L1318,"")</x:f>
        <x:v>0</x:v>
      </x:c>
      <x:c r="K1319" s="440" t="n">
        <x:f>IF(AND(ISNUMBER(J1319),J1319=0),0,IF(AND($B$176=1,ISNUMBER(J1319)),MIN(J1319*(1+$B$87/12),IF($B$86=0,0,IF($B$87=0,$B$86/ROUND($B$88*12,0),$B$86*($B$87/12)/(1-(1+$B$87/12)^(-ROUND($B$88*12,0)))))),""))</x:f>
        <x:v>0</x:v>
      </x:c>
      <x:c r="L1319" s="440" t="n">
        <x:f>IF(ISNUMBER(K1319),IF(MAX(0,J1319*(1+SUM($B$87)/12)-K1319)&lt;MAX(0.0000001,$B$86*0.00000000001),0,MAX(0,J1319*(1+SUM($B$87)/12)-K1319)),"")</x:f>
        <x:v>0</x:v>
      </x:c>
      <x:c r="M1319" s="440" t="n">
        <x:f>IF(AND(ISNUMBER(D1319),ISNUMBER(K1319)),D1319+K1319,"")</x:f>
        <x:v>0</x:v>
      </x:c>
      <x:c r="N1319" s="440" t="n">
        <x:f>IF(AND(ISNUMBER(H1319),ISNUMBER(L1319)),H1319+L1319,"")</x:f>
        <x:v>0</x:v>
      </x:c>
    </x:row>
    <x:row r="1320" ht="22" customHeight="1">
      <x:c r="A1320" s="254" t="n">
        <x:f>920</x:f>
        <x:v>920</x:v>
      </x:c>
      <x:c r="B1320" s="440" t="n">
        <x:f>IF(ISNUMBER(H1319),H1319,"")</x:f>
        <x:v>0</x:v>
      </x:c>
      <x:c r="C1320" s="442" t="n">
        <x:f>IF(ISNUMBER(B1320),IF(AND(920&gt;$B$173,$B$78="Refinance",ISNUMBER($B$80),$B$80&gt;=0,$B$80&lt;=1,ROUND($B$81*12,0)&gt;=1,$B$81&lt;=100,SUM($B$82)&gt;=0,SUM($B$82)&lt;=1,SUM($B$83)&gt;=0),$B$80,IF(AND($B$175&gt;0,920&gt;$B$175,ISNUMBER($B$75)),$B$75,$B$61)),"")</x:f>
        <x:v>0.0625</x:v>
      </x:c>
      <x:c r="D1320" s="440" t="n">
        <x:f>IF(AND(ISNUMBER(B1320),B1320=0),0,IF(AND($B$171=1,I1319=0,ISNUMBER(C1320),ISNUMBER(IF(AND(920&lt;=$B$174,920&lt;=$B$173),B1320*C1320/12,IF(AND(920=$B$173+1,AND(920&gt;$B$173,$B$78="Refinance",ISNUMBER($B$80),$B$80&gt;=0,$B$80&lt;=1,ROUND($B$81*12,0)&gt;=1,$B$81&lt;=100,SUM($B$82)&gt;=0,SUM($B$82)&lt;=1,SUM($B$83)&gt;=0)),IF(B1320=0,0,IF(C1320=0,B1320/ROUND($B$81*12,0),B1320*(C1320/12)/(1-(1+C1320/12)^(-ROUND($B$81*12,0))))),IF(AND(NOT(AND(920&gt;$B$173,$B$78="Refinance",ISNUMBER($B$80),$B$80&gt;=0,$B$80&lt;=1,ROUND($B$81*12,0)&gt;=1,$B$81&lt;=100,SUM($B$82)&gt;=0,SUM($B$82)&lt;=1,SUM($B$83)&gt;=0)),OR(920=1,920=$B$174+1,AND($B$175&gt;0,920=$B$175+1))),IF(AND($B$170=1,$B$66&gt;0,OR($B$175=0,920&lt;=$B$175)),$B$66,IF($B$172-MAX(920-1,$B$174)&gt;0,IF(B1320=0,0,IF(C1320=0,B1320/($B$172-MAX(920-1,$B$174)),B1320*(C1320/12)/(1-(1+C1320/12)^(-($B$172-MAX(920-1,$B$174)))))),"")),D1319))))),IF(IF(AND(920&lt;=$B$174,920&lt;=$B$173),B1320*C1320/12,IF(AND(920=$B$173+1,AND(920&gt;$B$173,$B$78="Refinance",ISNUMBER($B$80),$B$80&gt;=0,$B$80&lt;=1,ROUND($B$81*12,0)&gt;=1,$B$81&lt;=100,SUM($B$82)&gt;=0,SUM($B$82)&lt;=1,SUM($B$83)&gt;=0)),IF(B1320=0,0,IF(C1320=0,B1320/ROUND($B$81*12,0),B1320*(C1320/12)/(1-(1+C1320/12)^(-ROUND($B$81*12,0))))),IF(AND(NOT(AND(920&gt;$B$173,$B$78="Refinance",ISNUMBER($B$80),$B$80&gt;=0,$B$80&lt;=1,ROUND($B$81*12,0)&gt;=1,$B$81&lt;=100,SUM($B$82)&gt;=0,SUM($B$82)&lt;=1,SUM($B$83)&gt;=0)),OR(920=1,920=$B$174+1,AND($B$175&gt;0,920=$B$175+1))),IF(AND($B$170=1,$B$66&gt;0,OR($B$175=0,920&lt;=$B$175)),$B$66,IF($B$172-MAX(920-1,$B$174)&gt;0,IF(B1320=0,0,IF(C1320=0,B1320/($B$172-MAX(920-1,$B$174)),B1320*(C1320/12)/(1-(1+C1320/12)^(-($B$172-MAX(920-1,$B$174)))))),"")),D1319)))+0.0000001&gt;=B1320*C1320/12,MIN(B1320*(1+C1320/12),IF(AND(920&lt;=$B$174,920&lt;=$B$173),B1320*C1320/12,IF(AND(920=$B$173+1,AND(920&gt;$B$173,$B$78="Refinance",ISNUMBER($B$80),$B$80&gt;=0,$B$80&lt;=1,ROUND($B$81*12,0)&gt;=1,$B$81&lt;=100,SUM($B$82)&gt;=0,SUM($B$82)&lt;=1,SUM($B$83)&gt;=0)),IF(B1320=0,0,IF(C1320=0,B1320/ROUND($B$81*12,0),B1320*(C1320/12)/(1-(1+C1320/12)^(-ROUND($B$81*12,0))))),IF(AND(NOT(AND(920&gt;$B$173,$B$78="Refinance",ISNUMBER($B$80),$B$80&gt;=0,$B$80&lt;=1,ROUND($B$81*12,0)&gt;=1,$B$81&lt;=100,SUM($B$82)&gt;=0,SUM($B$82)&lt;=1,SUM($B$83)&gt;=0)),OR(920=1,920=$B$174+1,AND($B$175&gt;0,920=$B$175+1))),IF(AND($B$170=1,$B$66&gt;0,OR($B$175=0,920&lt;=$B$175)),$B$66,IF($B$172-MAX(920-1,$B$174)&gt;0,IF(B1320=0,0,IF(C1320=0,B1320/($B$172-MAX(920-1,$B$174)),B1320*(C1320/12)/(1-(1+C1320/12)^(-($B$172-MAX(920-1,$B$174)))))),"")),D1319)))),""),""))</x:f>
        <x:v>0</x:v>
      </x:c>
      <x:c r="E1320" s="440" t="n">
        <x:f>IF(AND(920=$B$173,ISNUMBER(D1320)),IF(MAX(0,B1320*(1+C1320/12)-D1320)&lt;MAX(0.0000001,$E$17*0.00000000001),0,MAX(0,B1320*(1+C1320/12)-D1320)),0)</x:f>
        <x:v>0</x:v>
      </x:c>
      <x:c r="F1320" s="440" t="n">
        <x:f>IF($B$78="Cash payoff",E1320,0)</x:f>
        <x:v>0</x:v>
      </x:c>
      <x:c r="G1320" s="440" t="n">
        <x:f>IF(AND(E1320&gt;0,AND($B$78="Refinance",ISNUMBER($B$80),$B$80&gt;=0,$B$80&lt;=1,ROUND($B$81*12,0)&gt;=1,$B$81&lt;=100,SUM($B$82)&gt;=0,SUM($B$82)&lt;=1,SUM($B$83)&gt;=0)),E1320*SUM($B$82)+SUM($B$83),0)</x:f>
        <x:v>0</x:v>
      </x:c>
      <x:c r="H1320" s="440" t="n">
        <x:f>IF(ISNUMBER(D1320),IF(MAX(0,B1320*(1+C1320/12)-D1320-F1320)&lt;MAX(0.0000001,$E$17*0.00000000001),0,MAX(0,B1320*(1+C1320/12)-D1320-F1320)),IF(AND($B$171=1,I1319=1),B1320,""))</x:f>
        <x:v>0</x:v>
      </x:c>
      <x:c r="I1320" s="444" t="n">
        <x:f>IF(OR(I1319=1,AND(E1320&gt;0,$B$78&lt;&gt;"Cash payoff",NOT(AND($B$78="Refinance",ISNUMBER($B$80),$B$80&gt;=0,$B$80&lt;=1,ROUND($B$81*12,0)&gt;=1,$B$81&lt;=100,SUM($B$82)&gt;=0,SUM($B$82)&lt;=1,SUM($B$83)&gt;=0))),AND(ISNUMBER(B1320),B1320&gt;0,$B$171=1,NOT(ISNUMBER(D1320)))),1,0)</x:f>
        <x:v>0</x:v>
      </x:c>
      <x:c r="J1320" s="440" t="n">
        <x:f>IF(ISNUMBER(L1319),L1319,"")</x:f>
        <x:v>0</x:v>
      </x:c>
      <x:c r="K1320" s="440" t="n">
        <x:f>IF(AND(ISNUMBER(J1320),J1320=0),0,IF(AND($B$176=1,ISNUMBER(J1320)),MIN(J1320*(1+$B$87/12),IF($B$86=0,0,IF($B$87=0,$B$86/ROUND($B$88*12,0),$B$86*($B$87/12)/(1-(1+$B$87/12)^(-ROUND($B$88*12,0)))))),""))</x:f>
        <x:v>0</x:v>
      </x:c>
      <x:c r="L1320" s="440" t="n">
        <x:f>IF(ISNUMBER(K1320),IF(MAX(0,J1320*(1+SUM($B$87)/12)-K1320)&lt;MAX(0.0000001,$B$86*0.00000000001),0,MAX(0,J1320*(1+SUM($B$87)/12)-K1320)),"")</x:f>
        <x:v>0</x:v>
      </x:c>
      <x:c r="M1320" s="440" t="n">
        <x:f>IF(AND(ISNUMBER(D1320),ISNUMBER(K1320)),D1320+K1320,"")</x:f>
        <x:v>0</x:v>
      </x:c>
      <x:c r="N1320" s="440" t="n">
        <x:f>IF(AND(ISNUMBER(H1320),ISNUMBER(L1320)),H1320+L1320,"")</x:f>
        <x:v>0</x:v>
      </x:c>
    </x:row>
    <x:row r="1321" ht="22" customHeight="1">
      <x:c r="A1321" s="254" t="n">
        <x:f>921</x:f>
        <x:v>921</x:v>
      </x:c>
      <x:c r="B1321" s="440" t="n">
        <x:f>IF(ISNUMBER(H1320),H1320,"")</x:f>
        <x:v>0</x:v>
      </x:c>
      <x:c r="C1321" s="442" t="n">
        <x:f>IF(ISNUMBER(B1321),IF(AND(921&gt;$B$173,$B$78="Refinance",ISNUMBER($B$80),$B$80&gt;=0,$B$80&lt;=1,ROUND($B$81*12,0)&gt;=1,$B$81&lt;=100,SUM($B$82)&gt;=0,SUM($B$82)&lt;=1,SUM($B$83)&gt;=0),$B$80,IF(AND($B$175&gt;0,921&gt;$B$175,ISNUMBER($B$75)),$B$75,$B$61)),"")</x:f>
        <x:v>0.0625</x:v>
      </x:c>
      <x:c r="D1321" s="440" t="n">
        <x:f>IF(AND(ISNUMBER(B1321),B1321=0),0,IF(AND($B$171=1,I1320=0,ISNUMBER(C1321),ISNUMBER(IF(AND(921&lt;=$B$174,921&lt;=$B$173),B1321*C1321/12,IF(AND(921=$B$173+1,AND(921&gt;$B$173,$B$78="Refinance",ISNUMBER($B$80),$B$80&gt;=0,$B$80&lt;=1,ROUND($B$81*12,0)&gt;=1,$B$81&lt;=100,SUM($B$82)&gt;=0,SUM($B$82)&lt;=1,SUM($B$83)&gt;=0)),IF(B1321=0,0,IF(C1321=0,B1321/ROUND($B$81*12,0),B1321*(C1321/12)/(1-(1+C1321/12)^(-ROUND($B$81*12,0))))),IF(AND(NOT(AND(921&gt;$B$173,$B$78="Refinance",ISNUMBER($B$80),$B$80&gt;=0,$B$80&lt;=1,ROUND($B$81*12,0)&gt;=1,$B$81&lt;=100,SUM($B$82)&gt;=0,SUM($B$82)&lt;=1,SUM($B$83)&gt;=0)),OR(921=1,921=$B$174+1,AND($B$175&gt;0,921=$B$175+1))),IF(AND($B$170=1,$B$66&gt;0,OR($B$175=0,921&lt;=$B$175)),$B$66,IF($B$172-MAX(921-1,$B$174)&gt;0,IF(B1321=0,0,IF(C1321=0,B1321/($B$172-MAX(921-1,$B$174)),B1321*(C1321/12)/(1-(1+C1321/12)^(-($B$172-MAX(921-1,$B$174)))))),"")),D1320))))),IF(IF(AND(921&lt;=$B$174,921&lt;=$B$173),B1321*C1321/12,IF(AND(921=$B$173+1,AND(921&gt;$B$173,$B$78="Refinance",ISNUMBER($B$80),$B$80&gt;=0,$B$80&lt;=1,ROUND($B$81*12,0)&gt;=1,$B$81&lt;=100,SUM($B$82)&gt;=0,SUM($B$82)&lt;=1,SUM($B$83)&gt;=0)),IF(B1321=0,0,IF(C1321=0,B1321/ROUND($B$81*12,0),B1321*(C1321/12)/(1-(1+C1321/12)^(-ROUND($B$81*12,0))))),IF(AND(NOT(AND(921&gt;$B$173,$B$78="Refinance",ISNUMBER($B$80),$B$80&gt;=0,$B$80&lt;=1,ROUND($B$81*12,0)&gt;=1,$B$81&lt;=100,SUM($B$82)&gt;=0,SUM($B$82)&lt;=1,SUM($B$83)&gt;=0)),OR(921=1,921=$B$174+1,AND($B$175&gt;0,921=$B$175+1))),IF(AND($B$170=1,$B$66&gt;0,OR($B$175=0,921&lt;=$B$175)),$B$66,IF($B$172-MAX(921-1,$B$174)&gt;0,IF(B1321=0,0,IF(C1321=0,B1321/($B$172-MAX(921-1,$B$174)),B1321*(C1321/12)/(1-(1+C1321/12)^(-($B$172-MAX(921-1,$B$174)))))),"")),D1320)))+0.0000001&gt;=B1321*C1321/12,MIN(B1321*(1+C1321/12),IF(AND(921&lt;=$B$174,921&lt;=$B$173),B1321*C1321/12,IF(AND(921=$B$173+1,AND(921&gt;$B$173,$B$78="Refinance",ISNUMBER($B$80),$B$80&gt;=0,$B$80&lt;=1,ROUND($B$81*12,0)&gt;=1,$B$81&lt;=100,SUM($B$82)&gt;=0,SUM($B$82)&lt;=1,SUM($B$83)&gt;=0)),IF(B1321=0,0,IF(C1321=0,B1321/ROUND($B$81*12,0),B1321*(C1321/12)/(1-(1+C1321/12)^(-ROUND($B$81*12,0))))),IF(AND(NOT(AND(921&gt;$B$173,$B$78="Refinance",ISNUMBER($B$80),$B$80&gt;=0,$B$80&lt;=1,ROUND($B$81*12,0)&gt;=1,$B$81&lt;=100,SUM($B$82)&gt;=0,SUM($B$82)&lt;=1,SUM($B$83)&gt;=0)),OR(921=1,921=$B$174+1,AND($B$175&gt;0,921=$B$175+1))),IF(AND($B$170=1,$B$66&gt;0,OR($B$175=0,921&lt;=$B$175)),$B$66,IF($B$172-MAX(921-1,$B$174)&gt;0,IF(B1321=0,0,IF(C1321=0,B1321/($B$172-MAX(921-1,$B$174)),B1321*(C1321/12)/(1-(1+C1321/12)^(-($B$172-MAX(921-1,$B$174)))))),"")),D1320)))),""),""))</x:f>
        <x:v>0</x:v>
      </x:c>
      <x:c r="E1321" s="440" t="n">
        <x:f>IF(AND(921=$B$173,ISNUMBER(D1321)),IF(MAX(0,B1321*(1+C1321/12)-D1321)&lt;MAX(0.0000001,$E$17*0.00000000001),0,MAX(0,B1321*(1+C1321/12)-D1321)),0)</x:f>
        <x:v>0</x:v>
      </x:c>
      <x:c r="F1321" s="440" t="n">
        <x:f>IF($B$78="Cash payoff",E1321,0)</x:f>
        <x:v>0</x:v>
      </x:c>
      <x:c r="G1321" s="440" t="n">
        <x:f>IF(AND(E1321&gt;0,AND($B$78="Refinance",ISNUMBER($B$80),$B$80&gt;=0,$B$80&lt;=1,ROUND($B$81*12,0)&gt;=1,$B$81&lt;=100,SUM($B$82)&gt;=0,SUM($B$82)&lt;=1,SUM($B$83)&gt;=0)),E1321*SUM($B$82)+SUM($B$83),0)</x:f>
        <x:v>0</x:v>
      </x:c>
      <x:c r="H1321" s="440" t="n">
        <x:f>IF(ISNUMBER(D1321),IF(MAX(0,B1321*(1+C1321/12)-D1321-F1321)&lt;MAX(0.0000001,$E$17*0.00000000001),0,MAX(0,B1321*(1+C1321/12)-D1321-F1321)),IF(AND($B$171=1,I1320=1),B1321,""))</x:f>
        <x:v>0</x:v>
      </x:c>
      <x:c r="I1321" s="444" t="n">
        <x:f>IF(OR(I1320=1,AND(E1321&gt;0,$B$78&lt;&gt;"Cash payoff",NOT(AND($B$78="Refinance",ISNUMBER($B$80),$B$80&gt;=0,$B$80&lt;=1,ROUND($B$81*12,0)&gt;=1,$B$81&lt;=100,SUM($B$82)&gt;=0,SUM($B$82)&lt;=1,SUM($B$83)&gt;=0))),AND(ISNUMBER(B1321),B1321&gt;0,$B$171=1,NOT(ISNUMBER(D1321)))),1,0)</x:f>
        <x:v>0</x:v>
      </x:c>
      <x:c r="J1321" s="440" t="n">
        <x:f>IF(ISNUMBER(L1320),L1320,"")</x:f>
        <x:v>0</x:v>
      </x:c>
      <x:c r="K1321" s="440" t="n">
        <x:f>IF(AND(ISNUMBER(J1321),J1321=0),0,IF(AND($B$176=1,ISNUMBER(J1321)),MIN(J1321*(1+$B$87/12),IF($B$86=0,0,IF($B$87=0,$B$86/ROUND($B$88*12,0),$B$86*($B$87/12)/(1-(1+$B$87/12)^(-ROUND($B$88*12,0)))))),""))</x:f>
        <x:v>0</x:v>
      </x:c>
      <x:c r="L1321" s="440" t="n">
        <x:f>IF(ISNUMBER(K1321),IF(MAX(0,J1321*(1+SUM($B$87)/12)-K1321)&lt;MAX(0.0000001,$B$86*0.00000000001),0,MAX(0,J1321*(1+SUM($B$87)/12)-K1321)),"")</x:f>
        <x:v>0</x:v>
      </x:c>
      <x:c r="M1321" s="440" t="n">
        <x:f>IF(AND(ISNUMBER(D1321),ISNUMBER(K1321)),D1321+K1321,"")</x:f>
        <x:v>0</x:v>
      </x:c>
      <x:c r="N1321" s="440" t="n">
        <x:f>IF(AND(ISNUMBER(H1321),ISNUMBER(L1321)),H1321+L1321,"")</x:f>
        <x:v>0</x:v>
      </x:c>
    </x:row>
    <x:row r="1322" ht="22" customHeight="1">
      <x:c r="A1322" s="254" t="n">
        <x:f>922</x:f>
        <x:v>922</x:v>
      </x:c>
      <x:c r="B1322" s="440" t="n">
        <x:f>IF(ISNUMBER(H1321),H1321,"")</x:f>
        <x:v>0</x:v>
      </x:c>
      <x:c r="C1322" s="442" t="n">
        <x:f>IF(ISNUMBER(B1322),IF(AND(922&gt;$B$173,$B$78="Refinance",ISNUMBER($B$80),$B$80&gt;=0,$B$80&lt;=1,ROUND($B$81*12,0)&gt;=1,$B$81&lt;=100,SUM($B$82)&gt;=0,SUM($B$82)&lt;=1,SUM($B$83)&gt;=0),$B$80,IF(AND($B$175&gt;0,922&gt;$B$175,ISNUMBER($B$75)),$B$75,$B$61)),"")</x:f>
        <x:v>0.0625</x:v>
      </x:c>
      <x:c r="D1322" s="440" t="n">
        <x:f>IF(AND(ISNUMBER(B1322),B1322=0),0,IF(AND($B$171=1,I1321=0,ISNUMBER(C1322),ISNUMBER(IF(AND(922&lt;=$B$174,922&lt;=$B$173),B1322*C1322/12,IF(AND(922=$B$173+1,AND(922&gt;$B$173,$B$78="Refinance",ISNUMBER($B$80),$B$80&gt;=0,$B$80&lt;=1,ROUND($B$81*12,0)&gt;=1,$B$81&lt;=100,SUM($B$82)&gt;=0,SUM($B$82)&lt;=1,SUM($B$83)&gt;=0)),IF(B1322=0,0,IF(C1322=0,B1322/ROUND($B$81*12,0),B1322*(C1322/12)/(1-(1+C1322/12)^(-ROUND($B$81*12,0))))),IF(AND(NOT(AND(922&gt;$B$173,$B$78="Refinance",ISNUMBER($B$80),$B$80&gt;=0,$B$80&lt;=1,ROUND($B$81*12,0)&gt;=1,$B$81&lt;=100,SUM($B$82)&gt;=0,SUM($B$82)&lt;=1,SUM($B$83)&gt;=0)),OR(922=1,922=$B$174+1,AND($B$175&gt;0,922=$B$175+1))),IF(AND($B$170=1,$B$66&gt;0,OR($B$175=0,922&lt;=$B$175)),$B$66,IF($B$172-MAX(922-1,$B$174)&gt;0,IF(B1322=0,0,IF(C1322=0,B1322/($B$172-MAX(922-1,$B$174)),B1322*(C1322/12)/(1-(1+C1322/12)^(-($B$172-MAX(922-1,$B$174)))))),"")),D1321))))),IF(IF(AND(922&lt;=$B$174,922&lt;=$B$173),B1322*C1322/12,IF(AND(922=$B$173+1,AND(922&gt;$B$173,$B$78="Refinance",ISNUMBER($B$80),$B$80&gt;=0,$B$80&lt;=1,ROUND($B$81*12,0)&gt;=1,$B$81&lt;=100,SUM($B$82)&gt;=0,SUM($B$82)&lt;=1,SUM($B$83)&gt;=0)),IF(B1322=0,0,IF(C1322=0,B1322/ROUND($B$81*12,0),B1322*(C1322/12)/(1-(1+C1322/12)^(-ROUND($B$81*12,0))))),IF(AND(NOT(AND(922&gt;$B$173,$B$78="Refinance",ISNUMBER($B$80),$B$80&gt;=0,$B$80&lt;=1,ROUND($B$81*12,0)&gt;=1,$B$81&lt;=100,SUM($B$82)&gt;=0,SUM($B$82)&lt;=1,SUM($B$83)&gt;=0)),OR(922=1,922=$B$174+1,AND($B$175&gt;0,922=$B$175+1))),IF(AND($B$170=1,$B$66&gt;0,OR($B$175=0,922&lt;=$B$175)),$B$66,IF($B$172-MAX(922-1,$B$174)&gt;0,IF(B1322=0,0,IF(C1322=0,B1322/($B$172-MAX(922-1,$B$174)),B1322*(C1322/12)/(1-(1+C1322/12)^(-($B$172-MAX(922-1,$B$174)))))),"")),D1321)))+0.0000001&gt;=B1322*C1322/12,MIN(B1322*(1+C1322/12),IF(AND(922&lt;=$B$174,922&lt;=$B$173),B1322*C1322/12,IF(AND(922=$B$173+1,AND(922&gt;$B$173,$B$78="Refinance",ISNUMBER($B$80),$B$80&gt;=0,$B$80&lt;=1,ROUND($B$81*12,0)&gt;=1,$B$81&lt;=100,SUM($B$82)&gt;=0,SUM($B$82)&lt;=1,SUM($B$83)&gt;=0)),IF(B1322=0,0,IF(C1322=0,B1322/ROUND($B$81*12,0),B1322*(C1322/12)/(1-(1+C1322/12)^(-ROUND($B$81*12,0))))),IF(AND(NOT(AND(922&gt;$B$173,$B$78="Refinance",ISNUMBER($B$80),$B$80&gt;=0,$B$80&lt;=1,ROUND($B$81*12,0)&gt;=1,$B$81&lt;=100,SUM($B$82)&gt;=0,SUM($B$82)&lt;=1,SUM($B$83)&gt;=0)),OR(922=1,922=$B$174+1,AND($B$175&gt;0,922=$B$175+1))),IF(AND($B$170=1,$B$66&gt;0,OR($B$175=0,922&lt;=$B$175)),$B$66,IF($B$172-MAX(922-1,$B$174)&gt;0,IF(B1322=0,0,IF(C1322=0,B1322/($B$172-MAX(922-1,$B$174)),B1322*(C1322/12)/(1-(1+C1322/12)^(-($B$172-MAX(922-1,$B$174)))))),"")),D1321)))),""),""))</x:f>
        <x:v>0</x:v>
      </x:c>
      <x:c r="E1322" s="440" t="n">
        <x:f>IF(AND(922=$B$173,ISNUMBER(D1322)),IF(MAX(0,B1322*(1+C1322/12)-D1322)&lt;MAX(0.0000001,$E$17*0.00000000001),0,MAX(0,B1322*(1+C1322/12)-D1322)),0)</x:f>
        <x:v>0</x:v>
      </x:c>
      <x:c r="F1322" s="440" t="n">
        <x:f>IF($B$78="Cash payoff",E1322,0)</x:f>
        <x:v>0</x:v>
      </x:c>
      <x:c r="G1322" s="440" t="n">
        <x:f>IF(AND(E1322&gt;0,AND($B$78="Refinance",ISNUMBER($B$80),$B$80&gt;=0,$B$80&lt;=1,ROUND($B$81*12,0)&gt;=1,$B$81&lt;=100,SUM($B$82)&gt;=0,SUM($B$82)&lt;=1,SUM($B$83)&gt;=0)),E1322*SUM($B$82)+SUM($B$83),0)</x:f>
        <x:v>0</x:v>
      </x:c>
      <x:c r="H1322" s="440" t="n">
        <x:f>IF(ISNUMBER(D1322),IF(MAX(0,B1322*(1+C1322/12)-D1322-F1322)&lt;MAX(0.0000001,$E$17*0.00000000001),0,MAX(0,B1322*(1+C1322/12)-D1322-F1322)),IF(AND($B$171=1,I1321=1),B1322,""))</x:f>
        <x:v>0</x:v>
      </x:c>
      <x:c r="I1322" s="444" t="n">
        <x:f>IF(OR(I1321=1,AND(E1322&gt;0,$B$78&lt;&gt;"Cash payoff",NOT(AND($B$78="Refinance",ISNUMBER($B$80),$B$80&gt;=0,$B$80&lt;=1,ROUND($B$81*12,0)&gt;=1,$B$81&lt;=100,SUM($B$82)&gt;=0,SUM($B$82)&lt;=1,SUM($B$83)&gt;=0))),AND(ISNUMBER(B1322),B1322&gt;0,$B$171=1,NOT(ISNUMBER(D1322)))),1,0)</x:f>
        <x:v>0</x:v>
      </x:c>
      <x:c r="J1322" s="440" t="n">
        <x:f>IF(ISNUMBER(L1321),L1321,"")</x:f>
        <x:v>0</x:v>
      </x:c>
      <x:c r="K1322" s="440" t="n">
        <x:f>IF(AND(ISNUMBER(J1322),J1322=0),0,IF(AND($B$176=1,ISNUMBER(J1322)),MIN(J1322*(1+$B$87/12),IF($B$86=0,0,IF($B$87=0,$B$86/ROUND($B$88*12,0),$B$86*($B$87/12)/(1-(1+$B$87/12)^(-ROUND($B$88*12,0)))))),""))</x:f>
        <x:v>0</x:v>
      </x:c>
      <x:c r="L1322" s="440" t="n">
        <x:f>IF(ISNUMBER(K1322),IF(MAX(0,J1322*(1+SUM($B$87)/12)-K1322)&lt;MAX(0.0000001,$B$86*0.00000000001),0,MAX(0,J1322*(1+SUM($B$87)/12)-K1322)),"")</x:f>
        <x:v>0</x:v>
      </x:c>
      <x:c r="M1322" s="440" t="n">
        <x:f>IF(AND(ISNUMBER(D1322),ISNUMBER(K1322)),D1322+K1322,"")</x:f>
        <x:v>0</x:v>
      </x:c>
      <x:c r="N1322" s="440" t="n">
        <x:f>IF(AND(ISNUMBER(H1322),ISNUMBER(L1322)),H1322+L1322,"")</x:f>
        <x:v>0</x:v>
      </x:c>
    </x:row>
    <x:row r="1323" ht="22" customHeight="1">
      <x:c r="A1323" s="254" t="n">
        <x:f>923</x:f>
        <x:v>923</x:v>
      </x:c>
      <x:c r="B1323" s="440" t="n">
        <x:f>IF(ISNUMBER(H1322),H1322,"")</x:f>
        <x:v>0</x:v>
      </x:c>
      <x:c r="C1323" s="442" t="n">
        <x:f>IF(ISNUMBER(B1323),IF(AND(923&gt;$B$173,$B$78="Refinance",ISNUMBER($B$80),$B$80&gt;=0,$B$80&lt;=1,ROUND($B$81*12,0)&gt;=1,$B$81&lt;=100,SUM($B$82)&gt;=0,SUM($B$82)&lt;=1,SUM($B$83)&gt;=0),$B$80,IF(AND($B$175&gt;0,923&gt;$B$175,ISNUMBER($B$75)),$B$75,$B$61)),"")</x:f>
        <x:v>0.0625</x:v>
      </x:c>
      <x:c r="D1323" s="440" t="n">
        <x:f>IF(AND(ISNUMBER(B1323),B1323=0),0,IF(AND($B$171=1,I1322=0,ISNUMBER(C1323),ISNUMBER(IF(AND(923&lt;=$B$174,923&lt;=$B$173),B1323*C1323/12,IF(AND(923=$B$173+1,AND(923&gt;$B$173,$B$78="Refinance",ISNUMBER($B$80),$B$80&gt;=0,$B$80&lt;=1,ROUND($B$81*12,0)&gt;=1,$B$81&lt;=100,SUM($B$82)&gt;=0,SUM($B$82)&lt;=1,SUM($B$83)&gt;=0)),IF(B1323=0,0,IF(C1323=0,B1323/ROUND($B$81*12,0),B1323*(C1323/12)/(1-(1+C1323/12)^(-ROUND($B$81*12,0))))),IF(AND(NOT(AND(923&gt;$B$173,$B$78="Refinance",ISNUMBER($B$80),$B$80&gt;=0,$B$80&lt;=1,ROUND($B$81*12,0)&gt;=1,$B$81&lt;=100,SUM($B$82)&gt;=0,SUM($B$82)&lt;=1,SUM($B$83)&gt;=0)),OR(923=1,923=$B$174+1,AND($B$175&gt;0,923=$B$175+1))),IF(AND($B$170=1,$B$66&gt;0,OR($B$175=0,923&lt;=$B$175)),$B$66,IF($B$172-MAX(923-1,$B$174)&gt;0,IF(B1323=0,0,IF(C1323=0,B1323/($B$172-MAX(923-1,$B$174)),B1323*(C1323/12)/(1-(1+C1323/12)^(-($B$172-MAX(923-1,$B$174)))))),"")),D1322))))),IF(IF(AND(923&lt;=$B$174,923&lt;=$B$173),B1323*C1323/12,IF(AND(923=$B$173+1,AND(923&gt;$B$173,$B$78="Refinance",ISNUMBER($B$80),$B$80&gt;=0,$B$80&lt;=1,ROUND($B$81*12,0)&gt;=1,$B$81&lt;=100,SUM($B$82)&gt;=0,SUM($B$82)&lt;=1,SUM($B$83)&gt;=0)),IF(B1323=0,0,IF(C1323=0,B1323/ROUND($B$81*12,0),B1323*(C1323/12)/(1-(1+C1323/12)^(-ROUND($B$81*12,0))))),IF(AND(NOT(AND(923&gt;$B$173,$B$78="Refinance",ISNUMBER($B$80),$B$80&gt;=0,$B$80&lt;=1,ROUND($B$81*12,0)&gt;=1,$B$81&lt;=100,SUM($B$82)&gt;=0,SUM($B$82)&lt;=1,SUM($B$83)&gt;=0)),OR(923=1,923=$B$174+1,AND($B$175&gt;0,923=$B$175+1))),IF(AND($B$170=1,$B$66&gt;0,OR($B$175=0,923&lt;=$B$175)),$B$66,IF($B$172-MAX(923-1,$B$174)&gt;0,IF(B1323=0,0,IF(C1323=0,B1323/($B$172-MAX(923-1,$B$174)),B1323*(C1323/12)/(1-(1+C1323/12)^(-($B$172-MAX(923-1,$B$174)))))),"")),D1322)))+0.0000001&gt;=B1323*C1323/12,MIN(B1323*(1+C1323/12),IF(AND(923&lt;=$B$174,923&lt;=$B$173),B1323*C1323/12,IF(AND(923=$B$173+1,AND(923&gt;$B$173,$B$78="Refinance",ISNUMBER($B$80),$B$80&gt;=0,$B$80&lt;=1,ROUND($B$81*12,0)&gt;=1,$B$81&lt;=100,SUM($B$82)&gt;=0,SUM($B$82)&lt;=1,SUM($B$83)&gt;=0)),IF(B1323=0,0,IF(C1323=0,B1323/ROUND($B$81*12,0),B1323*(C1323/12)/(1-(1+C1323/12)^(-ROUND($B$81*12,0))))),IF(AND(NOT(AND(923&gt;$B$173,$B$78="Refinance",ISNUMBER($B$80),$B$80&gt;=0,$B$80&lt;=1,ROUND($B$81*12,0)&gt;=1,$B$81&lt;=100,SUM($B$82)&gt;=0,SUM($B$82)&lt;=1,SUM($B$83)&gt;=0)),OR(923=1,923=$B$174+1,AND($B$175&gt;0,923=$B$175+1))),IF(AND($B$170=1,$B$66&gt;0,OR($B$175=0,923&lt;=$B$175)),$B$66,IF($B$172-MAX(923-1,$B$174)&gt;0,IF(B1323=0,0,IF(C1323=0,B1323/($B$172-MAX(923-1,$B$174)),B1323*(C1323/12)/(1-(1+C1323/12)^(-($B$172-MAX(923-1,$B$174)))))),"")),D1322)))),""),""))</x:f>
        <x:v>0</x:v>
      </x:c>
      <x:c r="E1323" s="440" t="n">
        <x:f>IF(AND(923=$B$173,ISNUMBER(D1323)),IF(MAX(0,B1323*(1+C1323/12)-D1323)&lt;MAX(0.0000001,$E$17*0.00000000001),0,MAX(0,B1323*(1+C1323/12)-D1323)),0)</x:f>
        <x:v>0</x:v>
      </x:c>
      <x:c r="F1323" s="440" t="n">
        <x:f>IF($B$78="Cash payoff",E1323,0)</x:f>
        <x:v>0</x:v>
      </x:c>
      <x:c r="G1323" s="440" t="n">
        <x:f>IF(AND(E1323&gt;0,AND($B$78="Refinance",ISNUMBER($B$80),$B$80&gt;=0,$B$80&lt;=1,ROUND($B$81*12,0)&gt;=1,$B$81&lt;=100,SUM($B$82)&gt;=0,SUM($B$82)&lt;=1,SUM($B$83)&gt;=0)),E1323*SUM($B$82)+SUM($B$83),0)</x:f>
        <x:v>0</x:v>
      </x:c>
      <x:c r="H1323" s="440" t="n">
        <x:f>IF(ISNUMBER(D1323),IF(MAX(0,B1323*(1+C1323/12)-D1323-F1323)&lt;MAX(0.0000001,$E$17*0.00000000001),0,MAX(0,B1323*(1+C1323/12)-D1323-F1323)),IF(AND($B$171=1,I1322=1),B1323,""))</x:f>
        <x:v>0</x:v>
      </x:c>
      <x:c r="I1323" s="444" t="n">
        <x:f>IF(OR(I1322=1,AND(E1323&gt;0,$B$78&lt;&gt;"Cash payoff",NOT(AND($B$78="Refinance",ISNUMBER($B$80),$B$80&gt;=0,$B$80&lt;=1,ROUND($B$81*12,0)&gt;=1,$B$81&lt;=100,SUM($B$82)&gt;=0,SUM($B$82)&lt;=1,SUM($B$83)&gt;=0))),AND(ISNUMBER(B1323),B1323&gt;0,$B$171=1,NOT(ISNUMBER(D1323)))),1,0)</x:f>
        <x:v>0</x:v>
      </x:c>
      <x:c r="J1323" s="440" t="n">
        <x:f>IF(ISNUMBER(L1322),L1322,"")</x:f>
        <x:v>0</x:v>
      </x:c>
      <x:c r="K1323" s="440" t="n">
        <x:f>IF(AND(ISNUMBER(J1323),J1323=0),0,IF(AND($B$176=1,ISNUMBER(J1323)),MIN(J1323*(1+$B$87/12),IF($B$86=0,0,IF($B$87=0,$B$86/ROUND($B$88*12,0),$B$86*($B$87/12)/(1-(1+$B$87/12)^(-ROUND($B$88*12,0)))))),""))</x:f>
        <x:v>0</x:v>
      </x:c>
      <x:c r="L1323" s="440" t="n">
        <x:f>IF(ISNUMBER(K1323),IF(MAX(0,J1323*(1+SUM($B$87)/12)-K1323)&lt;MAX(0.0000001,$B$86*0.00000000001),0,MAX(0,J1323*(1+SUM($B$87)/12)-K1323)),"")</x:f>
        <x:v>0</x:v>
      </x:c>
      <x:c r="M1323" s="440" t="n">
        <x:f>IF(AND(ISNUMBER(D1323),ISNUMBER(K1323)),D1323+K1323,"")</x:f>
        <x:v>0</x:v>
      </x:c>
      <x:c r="N1323" s="440" t="n">
        <x:f>IF(AND(ISNUMBER(H1323),ISNUMBER(L1323)),H1323+L1323,"")</x:f>
        <x:v>0</x:v>
      </x:c>
    </x:row>
    <x:row r="1324" ht="22" customHeight="1">
      <x:c r="A1324" s="254" t="n">
        <x:f>924</x:f>
        <x:v>924</x:v>
      </x:c>
      <x:c r="B1324" s="440" t="n">
        <x:f>IF(ISNUMBER(H1323),H1323,"")</x:f>
        <x:v>0</x:v>
      </x:c>
      <x:c r="C1324" s="442" t="n">
        <x:f>IF(ISNUMBER(B1324),IF(AND(924&gt;$B$173,$B$78="Refinance",ISNUMBER($B$80),$B$80&gt;=0,$B$80&lt;=1,ROUND($B$81*12,0)&gt;=1,$B$81&lt;=100,SUM($B$82)&gt;=0,SUM($B$82)&lt;=1,SUM($B$83)&gt;=0),$B$80,IF(AND($B$175&gt;0,924&gt;$B$175,ISNUMBER($B$75)),$B$75,$B$61)),"")</x:f>
        <x:v>0.0625</x:v>
      </x:c>
      <x:c r="D1324" s="440" t="n">
        <x:f>IF(AND(ISNUMBER(B1324),B1324=0),0,IF(AND($B$171=1,I1323=0,ISNUMBER(C1324),ISNUMBER(IF(AND(924&lt;=$B$174,924&lt;=$B$173),B1324*C1324/12,IF(AND(924=$B$173+1,AND(924&gt;$B$173,$B$78="Refinance",ISNUMBER($B$80),$B$80&gt;=0,$B$80&lt;=1,ROUND($B$81*12,0)&gt;=1,$B$81&lt;=100,SUM($B$82)&gt;=0,SUM($B$82)&lt;=1,SUM($B$83)&gt;=0)),IF(B1324=0,0,IF(C1324=0,B1324/ROUND($B$81*12,0),B1324*(C1324/12)/(1-(1+C1324/12)^(-ROUND($B$81*12,0))))),IF(AND(NOT(AND(924&gt;$B$173,$B$78="Refinance",ISNUMBER($B$80),$B$80&gt;=0,$B$80&lt;=1,ROUND($B$81*12,0)&gt;=1,$B$81&lt;=100,SUM($B$82)&gt;=0,SUM($B$82)&lt;=1,SUM($B$83)&gt;=0)),OR(924=1,924=$B$174+1,AND($B$175&gt;0,924=$B$175+1))),IF(AND($B$170=1,$B$66&gt;0,OR($B$175=0,924&lt;=$B$175)),$B$66,IF($B$172-MAX(924-1,$B$174)&gt;0,IF(B1324=0,0,IF(C1324=0,B1324/($B$172-MAX(924-1,$B$174)),B1324*(C1324/12)/(1-(1+C1324/12)^(-($B$172-MAX(924-1,$B$174)))))),"")),D1323))))),IF(IF(AND(924&lt;=$B$174,924&lt;=$B$173),B1324*C1324/12,IF(AND(924=$B$173+1,AND(924&gt;$B$173,$B$78="Refinance",ISNUMBER($B$80),$B$80&gt;=0,$B$80&lt;=1,ROUND($B$81*12,0)&gt;=1,$B$81&lt;=100,SUM($B$82)&gt;=0,SUM($B$82)&lt;=1,SUM($B$83)&gt;=0)),IF(B1324=0,0,IF(C1324=0,B1324/ROUND($B$81*12,0),B1324*(C1324/12)/(1-(1+C1324/12)^(-ROUND($B$81*12,0))))),IF(AND(NOT(AND(924&gt;$B$173,$B$78="Refinance",ISNUMBER($B$80),$B$80&gt;=0,$B$80&lt;=1,ROUND($B$81*12,0)&gt;=1,$B$81&lt;=100,SUM($B$82)&gt;=0,SUM($B$82)&lt;=1,SUM($B$83)&gt;=0)),OR(924=1,924=$B$174+1,AND($B$175&gt;0,924=$B$175+1))),IF(AND($B$170=1,$B$66&gt;0,OR($B$175=0,924&lt;=$B$175)),$B$66,IF($B$172-MAX(924-1,$B$174)&gt;0,IF(B1324=0,0,IF(C1324=0,B1324/($B$172-MAX(924-1,$B$174)),B1324*(C1324/12)/(1-(1+C1324/12)^(-($B$172-MAX(924-1,$B$174)))))),"")),D1323)))+0.0000001&gt;=B1324*C1324/12,MIN(B1324*(1+C1324/12),IF(AND(924&lt;=$B$174,924&lt;=$B$173),B1324*C1324/12,IF(AND(924=$B$173+1,AND(924&gt;$B$173,$B$78="Refinance",ISNUMBER($B$80),$B$80&gt;=0,$B$80&lt;=1,ROUND($B$81*12,0)&gt;=1,$B$81&lt;=100,SUM($B$82)&gt;=0,SUM($B$82)&lt;=1,SUM($B$83)&gt;=0)),IF(B1324=0,0,IF(C1324=0,B1324/ROUND($B$81*12,0),B1324*(C1324/12)/(1-(1+C1324/12)^(-ROUND($B$81*12,0))))),IF(AND(NOT(AND(924&gt;$B$173,$B$78="Refinance",ISNUMBER($B$80),$B$80&gt;=0,$B$80&lt;=1,ROUND($B$81*12,0)&gt;=1,$B$81&lt;=100,SUM($B$82)&gt;=0,SUM($B$82)&lt;=1,SUM($B$83)&gt;=0)),OR(924=1,924=$B$174+1,AND($B$175&gt;0,924=$B$175+1))),IF(AND($B$170=1,$B$66&gt;0,OR($B$175=0,924&lt;=$B$175)),$B$66,IF($B$172-MAX(924-1,$B$174)&gt;0,IF(B1324=0,0,IF(C1324=0,B1324/($B$172-MAX(924-1,$B$174)),B1324*(C1324/12)/(1-(1+C1324/12)^(-($B$172-MAX(924-1,$B$174)))))),"")),D1323)))),""),""))</x:f>
        <x:v>0</x:v>
      </x:c>
      <x:c r="E1324" s="440" t="n">
        <x:f>IF(AND(924=$B$173,ISNUMBER(D1324)),IF(MAX(0,B1324*(1+C1324/12)-D1324)&lt;MAX(0.0000001,$E$17*0.00000000001),0,MAX(0,B1324*(1+C1324/12)-D1324)),0)</x:f>
        <x:v>0</x:v>
      </x:c>
      <x:c r="F1324" s="440" t="n">
        <x:f>IF($B$78="Cash payoff",E1324,0)</x:f>
        <x:v>0</x:v>
      </x:c>
      <x:c r="G1324" s="440" t="n">
        <x:f>IF(AND(E1324&gt;0,AND($B$78="Refinance",ISNUMBER($B$80),$B$80&gt;=0,$B$80&lt;=1,ROUND($B$81*12,0)&gt;=1,$B$81&lt;=100,SUM($B$82)&gt;=0,SUM($B$82)&lt;=1,SUM($B$83)&gt;=0)),E1324*SUM($B$82)+SUM($B$83),0)</x:f>
        <x:v>0</x:v>
      </x:c>
      <x:c r="H1324" s="440" t="n">
        <x:f>IF(ISNUMBER(D1324),IF(MAX(0,B1324*(1+C1324/12)-D1324-F1324)&lt;MAX(0.0000001,$E$17*0.00000000001),0,MAX(0,B1324*(1+C1324/12)-D1324-F1324)),IF(AND($B$171=1,I1323=1),B1324,""))</x:f>
        <x:v>0</x:v>
      </x:c>
      <x:c r="I1324" s="444" t="n">
        <x:f>IF(OR(I1323=1,AND(E1324&gt;0,$B$78&lt;&gt;"Cash payoff",NOT(AND($B$78="Refinance",ISNUMBER($B$80),$B$80&gt;=0,$B$80&lt;=1,ROUND($B$81*12,0)&gt;=1,$B$81&lt;=100,SUM($B$82)&gt;=0,SUM($B$82)&lt;=1,SUM($B$83)&gt;=0))),AND(ISNUMBER(B1324),B1324&gt;0,$B$171=1,NOT(ISNUMBER(D1324)))),1,0)</x:f>
        <x:v>0</x:v>
      </x:c>
      <x:c r="J1324" s="440" t="n">
        <x:f>IF(ISNUMBER(L1323),L1323,"")</x:f>
        <x:v>0</x:v>
      </x:c>
      <x:c r="K1324" s="440" t="n">
        <x:f>IF(AND(ISNUMBER(J1324),J1324=0),0,IF(AND($B$176=1,ISNUMBER(J1324)),MIN(J1324*(1+$B$87/12),IF($B$86=0,0,IF($B$87=0,$B$86/ROUND($B$88*12,0),$B$86*($B$87/12)/(1-(1+$B$87/12)^(-ROUND($B$88*12,0)))))),""))</x:f>
        <x:v>0</x:v>
      </x:c>
      <x:c r="L1324" s="440" t="n">
        <x:f>IF(ISNUMBER(K1324),IF(MAX(0,J1324*(1+SUM($B$87)/12)-K1324)&lt;MAX(0.0000001,$B$86*0.00000000001),0,MAX(0,J1324*(1+SUM($B$87)/12)-K1324)),"")</x:f>
        <x:v>0</x:v>
      </x:c>
      <x:c r="M1324" s="440" t="n">
        <x:f>IF(AND(ISNUMBER(D1324),ISNUMBER(K1324)),D1324+K1324,"")</x:f>
        <x:v>0</x:v>
      </x:c>
      <x:c r="N1324" s="440" t="n">
        <x:f>IF(AND(ISNUMBER(H1324),ISNUMBER(L1324)),H1324+L1324,"")</x:f>
        <x:v>0</x:v>
      </x:c>
    </x:row>
    <x:row r="1325" ht="22" customHeight="1">
      <x:c r="A1325" s="254" t="n">
        <x:f>925</x:f>
        <x:v>925</x:v>
      </x:c>
      <x:c r="B1325" s="440" t="n">
        <x:f>IF(ISNUMBER(H1324),H1324,"")</x:f>
        <x:v>0</x:v>
      </x:c>
      <x:c r="C1325" s="442" t="n">
        <x:f>IF(ISNUMBER(B1325),IF(AND(925&gt;$B$173,$B$78="Refinance",ISNUMBER($B$80),$B$80&gt;=0,$B$80&lt;=1,ROUND($B$81*12,0)&gt;=1,$B$81&lt;=100,SUM($B$82)&gt;=0,SUM($B$82)&lt;=1,SUM($B$83)&gt;=0),$B$80,IF(AND($B$175&gt;0,925&gt;$B$175,ISNUMBER($B$75)),$B$75,$B$61)),"")</x:f>
        <x:v>0.0625</x:v>
      </x:c>
      <x:c r="D1325" s="440" t="n">
        <x:f>IF(AND(ISNUMBER(B1325),B1325=0),0,IF(AND($B$171=1,I1324=0,ISNUMBER(C1325),ISNUMBER(IF(AND(925&lt;=$B$174,925&lt;=$B$173),B1325*C1325/12,IF(AND(925=$B$173+1,AND(925&gt;$B$173,$B$78="Refinance",ISNUMBER($B$80),$B$80&gt;=0,$B$80&lt;=1,ROUND($B$81*12,0)&gt;=1,$B$81&lt;=100,SUM($B$82)&gt;=0,SUM($B$82)&lt;=1,SUM($B$83)&gt;=0)),IF(B1325=0,0,IF(C1325=0,B1325/ROUND($B$81*12,0),B1325*(C1325/12)/(1-(1+C1325/12)^(-ROUND($B$81*12,0))))),IF(AND(NOT(AND(925&gt;$B$173,$B$78="Refinance",ISNUMBER($B$80),$B$80&gt;=0,$B$80&lt;=1,ROUND($B$81*12,0)&gt;=1,$B$81&lt;=100,SUM($B$82)&gt;=0,SUM($B$82)&lt;=1,SUM($B$83)&gt;=0)),OR(925=1,925=$B$174+1,AND($B$175&gt;0,925=$B$175+1))),IF(AND($B$170=1,$B$66&gt;0,OR($B$175=0,925&lt;=$B$175)),$B$66,IF($B$172-MAX(925-1,$B$174)&gt;0,IF(B1325=0,0,IF(C1325=0,B1325/($B$172-MAX(925-1,$B$174)),B1325*(C1325/12)/(1-(1+C1325/12)^(-($B$172-MAX(925-1,$B$174)))))),"")),D1324))))),IF(IF(AND(925&lt;=$B$174,925&lt;=$B$173),B1325*C1325/12,IF(AND(925=$B$173+1,AND(925&gt;$B$173,$B$78="Refinance",ISNUMBER($B$80),$B$80&gt;=0,$B$80&lt;=1,ROUND($B$81*12,0)&gt;=1,$B$81&lt;=100,SUM($B$82)&gt;=0,SUM($B$82)&lt;=1,SUM($B$83)&gt;=0)),IF(B1325=0,0,IF(C1325=0,B1325/ROUND($B$81*12,0),B1325*(C1325/12)/(1-(1+C1325/12)^(-ROUND($B$81*12,0))))),IF(AND(NOT(AND(925&gt;$B$173,$B$78="Refinance",ISNUMBER($B$80),$B$80&gt;=0,$B$80&lt;=1,ROUND($B$81*12,0)&gt;=1,$B$81&lt;=100,SUM($B$82)&gt;=0,SUM($B$82)&lt;=1,SUM($B$83)&gt;=0)),OR(925=1,925=$B$174+1,AND($B$175&gt;0,925=$B$175+1))),IF(AND($B$170=1,$B$66&gt;0,OR($B$175=0,925&lt;=$B$175)),$B$66,IF($B$172-MAX(925-1,$B$174)&gt;0,IF(B1325=0,0,IF(C1325=0,B1325/($B$172-MAX(925-1,$B$174)),B1325*(C1325/12)/(1-(1+C1325/12)^(-($B$172-MAX(925-1,$B$174)))))),"")),D1324)))+0.0000001&gt;=B1325*C1325/12,MIN(B1325*(1+C1325/12),IF(AND(925&lt;=$B$174,925&lt;=$B$173),B1325*C1325/12,IF(AND(925=$B$173+1,AND(925&gt;$B$173,$B$78="Refinance",ISNUMBER($B$80),$B$80&gt;=0,$B$80&lt;=1,ROUND($B$81*12,0)&gt;=1,$B$81&lt;=100,SUM($B$82)&gt;=0,SUM($B$82)&lt;=1,SUM($B$83)&gt;=0)),IF(B1325=0,0,IF(C1325=0,B1325/ROUND($B$81*12,0),B1325*(C1325/12)/(1-(1+C1325/12)^(-ROUND($B$81*12,0))))),IF(AND(NOT(AND(925&gt;$B$173,$B$78="Refinance",ISNUMBER($B$80),$B$80&gt;=0,$B$80&lt;=1,ROUND($B$81*12,0)&gt;=1,$B$81&lt;=100,SUM($B$82)&gt;=0,SUM($B$82)&lt;=1,SUM($B$83)&gt;=0)),OR(925=1,925=$B$174+1,AND($B$175&gt;0,925=$B$175+1))),IF(AND($B$170=1,$B$66&gt;0,OR($B$175=0,925&lt;=$B$175)),$B$66,IF($B$172-MAX(925-1,$B$174)&gt;0,IF(B1325=0,0,IF(C1325=0,B1325/($B$172-MAX(925-1,$B$174)),B1325*(C1325/12)/(1-(1+C1325/12)^(-($B$172-MAX(925-1,$B$174)))))),"")),D1324)))),""),""))</x:f>
        <x:v>0</x:v>
      </x:c>
      <x:c r="E1325" s="440" t="n">
        <x:f>IF(AND(925=$B$173,ISNUMBER(D1325)),IF(MAX(0,B1325*(1+C1325/12)-D1325)&lt;MAX(0.0000001,$E$17*0.00000000001),0,MAX(0,B1325*(1+C1325/12)-D1325)),0)</x:f>
        <x:v>0</x:v>
      </x:c>
      <x:c r="F1325" s="440" t="n">
        <x:f>IF($B$78="Cash payoff",E1325,0)</x:f>
        <x:v>0</x:v>
      </x:c>
      <x:c r="G1325" s="440" t="n">
        <x:f>IF(AND(E1325&gt;0,AND($B$78="Refinance",ISNUMBER($B$80),$B$80&gt;=0,$B$80&lt;=1,ROUND($B$81*12,0)&gt;=1,$B$81&lt;=100,SUM($B$82)&gt;=0,SUM($B$82)&lt;=1,SUM($B$83)&gt;=0)),E1325*SUM($B$82)+SUM($B$83),0)</x:f>
        <x:v>0</x:v>
      </x:c>
      <x:c r="H1325" s="440" t="n">
        <x:f>IF(ISNUMBER(D1325),IF(MAX(0,B1325*(1+C1325/12)-D1325-F1325)&lt;MAX(0.0000001,$E$17*0.00000000001),0,MAX(0,B1325*(1+C1325/12)-D1325-F1325)),IF(AND($B$171=1,I1324=1),B1325,""))</x:f>
        <x:v>0</x:v>
      </x:c>
      <x:c r="I1325" s="444" t="n">
        <x:f>IF(OR(I1324=1,AND(E1325&gt;0,$B$78&lt;&gt;"Cash payoff",NOT(AND($B$78="Refinance",ISNUMBER($B$80),$B$80&gt;=0,$B$80&lt;=1,ROUND($B$81*12,0)&gt;=1,$B$81&lt;=100,SUM($B$82)&gt;=0,SUM($B$82)&lt;=1,SUM($B$83)&gt;=0))),AND(ISNUMBER(B1325),B1325&gt;0,$B$171=1,NOT(ISNUMBER(D1325)))),1,0)</x:f>
        <x:v>0</x:v>
      </x:c>
      <x:c r="J1325" s="440" t="n">
        <x:f>IF(ISNUMBER(L1324),L1324,"")</x:f>
        <x:v>0</x:v>
      </x:c>
      <x:c r="K1325" s="440" t="n">
        <x:f>IF(AND(ISNUMBER(J1325),J1325=0),0,IF(AND($B$176=1,ISNUMBER(J1325)),MIN(J1325*(1+$B$87/12),IF($B$86=0,0,IF($B$87=0,$B$86/ROUND($B$88*12,0),$B$86*($B$87/12)/(1-(1+$B$87/12)^(-ROUND($B$88*12,0)))))),""))</x:f>
        <x:v>0</x:v>
      </x:c>
      <x:c r="L1325" s="440" t="n">
        <x:f>IF(ISNUMBER(K1325),IF(MAX(0,J1325*(1+SUM($B$87)/12)-K1325)&lt;MAX(0.0000001,$B$86*0.00000000001),0,MAX(0,J1325*(1+SUM($B$87)/12)-K1325)),"")</x:f>
        <x:v>0</x:v>
      </x:c>
      <x:c r="M1325" s="440" t="n">
        <x:f>IF(AND(ISNUMBER(D1325),ISNUMBER(K1325)),D1325+K1325,"")</x:f>
        <x:v>0</x:v>
      </x:c>
      <x:c r="N1325" s="440" t="n">
        <x:f>IF(AND(ISNUMBER(H1325),ISNUMBER(L1325)),H1325+L1325,"")</x:f>
        <x:v>0</x:v>
      </x:c>
    </x:row>
    <x:row r="1326" ht="22" customHeight="1">
      <x:c r="A1326" s="254" t="n">
        <x:f>926</x:f>
        <x:v>926</x:v>
      </x:c>
      <x:c r="B1326" s="440" t="n">
        <x:f>IF(ISNUMBER(H1325),H1325,"")</x:f>
        <x:v>0</x:v>
      </x:c>
      <x:c r="C1326" s="442" t="n">
        <x:f>IF(ISNUMBER(B1326),IF(AND(926&gt;$B$173,$B$78="Refinance",ISNUMBER($B$80),$B$80&gt;=0,$B$80&lt;=1,ROUND($B$81*12,0)&gt;=1,$B$81&lt;=100,SUM($B$82)&gt;=0,SUM($B$82)&lt;=1,SUM($B$83)&gt;=0),$B$80,IF(AND($B$175&gt;0,926&gt;$B$175,ISNUMBER($B$75)),$B$75,$B$61)),"")</x:f>
        <x:v>0.0625</x:v>
      </x:c>
      <x:c r="D1326" s="440" t="n">
        <x:f>IF(AND(ISNUMBER(B1326),B1326=0),0,IF(AND($B$171=1,I1325=0,ISNUMBER(C1326),ISNUMBER(IF(AND(926&lt;=$B$174,926&lt;=$B$173),B1326*C1326/12,IF(AND(926=$B$173+1,AND(926&gt;$B$173,$B$78="Refinance",ISNUMBER($B$80),$B$80&gt;=0,$B$80&lt;=1,ROUND($B$81*12,0)&gt;=1,$B$81&lt;=100,SUM($B$82)&gt;=0,SUM($B$82)&lt;=1,SUM($B$83)&gt;=0)),IF(B1326=0,0,IF(C1326=0,B1326/ROUND($B$81*12,0),B1326*(C1326/12)/(1-(1+C1326/12)^(-ROUND($B$81*12,0))))),IF(AND(NOT(AND(926&gt;$B$173,$B$78="Refinance",ISNUMBER($B$80),$B$80&gt;=0,$B$80&lt;=1,ROUND($B$81*12,0)&gt;=1,$B$81&lt;=100,SUM($B$82)&gt;=0,SUM($B$82)&lt;=1,SUM($B$83)&gt;=0)),OR(926=1,926=$B$174+1,AND($B$175&gt;0,926=$B$175+1))),IF(AND($B$170=1,$B$66&gt;0,OR($B$175=0,926&lt;=$B$175)),$B$66,IF($B$172-MAX(926-1,$B$174)&gt;0,IF(B1326=0,0,IF(C1326=0,B1326/($B$172-MAX(926-1,$B$174)),B1326*(C1326/12)/(1-(1+C1326/12)^(-($B$172-MAX(926-1,$B$174)))))),"")),D1325))))),IF(IF(AND(926&lt;=$B$174,926&lt;=$B$173),B1326*C1326/12,IF(AND(926=$B$173+1,AND(926&gt;$B$173,$B$78="Refinance",ISNUMBER($B$80),$B$80&gt;=0,$B$80&lt;=1,ROUND($B$81*12,0)&gt;=1,$B$81&lt;=100,SUM($B$82)&gt;=0,SUM($B$82)&lt;=1,SUM($B$83)&gt;=0)),IF(B1326=0,0,IF(C1326=0,B1326/ROUND($B$81*12,0),B1326*(C1326/12)/(1-(1+C1326/12)^(-ROUND($B$81*12,0))))),IF(AND(NOT(AND(926&gt;$B$173,$B$78="Refinance",ISNUMBER($B$80),$B$80&gt;=0,$B$80&lt;=1,ROUND($B$81*12,0)&gt;=1,$B$81&lt;=100,SUM($B$82)&gt;=0,SUM($B$82)&lt;=1,SUM($B$83)&gt;=0)),OR(926=1,926=$B$174+1,AND($B$175&gt;0,926=$B$175+1))),IF(AND($B$170=1,$B$66&gt;0,OR($B$175=0,926&lt;=$B$175)),$B$66,IF($B$172-MAX(926-1,$B$174)&gt;0,IF(B1326=0,0,IF(C1326=0,B1326/($B$172-MAX(926-1,$B$174)),B1326*(C1326/12)/(1-(1+C1326/12)^(-($B$172-MAX(926-1,$B$174)))))),"")),D1325)))+0.0000001&gt;=B1326*C1326/12,MIN(B1326*(1+C1326/12),IF(AND(926&lt;=$B$174,926&lt;=$B$173),B1326*C1326/12,IF(AND(926=$B$173+1,AND(926&gt;$B$173,$B$78="Refinance",ISNUMBER($B$80),$B$80&gt;=0,$B$80&lt;=1,ROUND($B$81*12,0)&gt;=1,$B$81&lt;=100,SUM($B$82)&gt;=0,SUM($B$82)&lt;=1,SUM($B$83)&gt;=0)),IF(B1326=0,0,IF(C1326=0,B1326/ROUND($B$81*12,0),B1326*(C1326/12)/(1-(1+C1326/12)^(-ROUND($B$81*12,0))))),IF(AND(NOT(AND(926&gt;$B$173,$B$78="Refinance",ISNUMBER($B$80),$B$80&gt;=0,$B$80&lt;=1,ROUND($B$81*12,0)&gt;=1,$B$81&lt;=100,SUM($B$82)&gt;=0,SUM($B$82)&lt;=1,SUM($B$83)&gt;=0)),OR(926=1,926=$B$174+1,AND($B$175&gt;0,926=$B$175+1))),IF(AND($B$170=1,$B$66&gt;0,OR($B$175=0,926&lt;=$B$175)),$B$66,IF($B$172-MAX(926-1,$B$174)&gt;0,IF(B1326=0,0,IF(C1326=0,B1326/($B$172-MAX(926-1,$B$174)),B1326*(C1326/12)/(1-(1+C1326/12)^(-($B$172-MAX(926-1,$B$174)))))),"")),D1325)))),""),""))</x:f>
        <x:v>0</x:v>
      </x:c>
      <x:c r="E1326" s="440" t="n">
        <x:f>IF(AND(926=$B$173,ISNUMBER(D1326)),IF(MAX(0,B1326*(1+C1326/12)-D1326)&lt;MAX(0.0000001,$E$17*0.00000000001),0,MAX(0,B1326*(1+C1326/12)-D1326)),0)</x:f>
        <x:v>0</x:v>
      </x:c>
      <x:c r="F1326" s="440" t="n">
        <x:f>IF($B$78="Cash payoff",E1326,0)</x:f>
        <x:v>0</x:v>
      </x:c>
      <x:c r="G1326" s="440" t="n">
        <x:f>IF(AND(E1326&gt;0,AND($B$78="Refinance",ISNUMBER($B$80),$B$80&gt;=0,$B$80&lt;=1,ROUND($B$81*12,0)&gt;=1,$B$81&lt;=100,SUM($B$82)&gt;=0,SUM($B$82)&lt;=1,SUM($B$83)&gt;=0)),E1326*SUM($B$82)+SUM($B$83),0)</x:f>
        <x:v>0</x:v>
      </x:c>
      <x:c r="H1326" s="440" t="n">
        <x:f>IF(ISNUMBER(D1326),IF(MAX(0,B1326*(1+C1326/12)-D1326-F1326)&lt;MAX(0.0000001,$E$17*0.00000000001),0,MAX(0,B1326*(1+C1326/12)-D1326-F1326)),IF(AND($B$171=1,I1325=1),B1326,""))</x:f>
        <x:v>0</x:v>
      </x:c>
      <x:c r="I1326" s="444" t="n">
        <x:f>IF(OR(I1325=1,AND(E1326&gt;0,$B$78&lt;&gt;"Cash payoff",NOT(AND($B$78="Refinance",ISNUMBER($B$80),$B$80&gt;=0,$B$80&lt;=1,ROUND($B$81*12,0)&gt;=1,$B$81&lt;=100,SUM($B$82)&gt;=0,SUM($B$82)&lt;=1,SUM($B$83)&gt;=0))),AND(ISNUMBER(B1326),B1326&gt;0,$B$171=1,NOT(ISNUMBER(D1326)))),1,0)</x:f>
        <x:v>0</x:v>
      </x:c>
      <x:c r="J1326" s="440" t="n">
        <x:f>IF(ISNUMBER(L1325),L1325,"")</x:f>
        <x:v>0</x:v>
      </x:c>
      <x:c r="K1326" s="440" t="n">
        <x:f>IF(AND(ISNUMBER(J1326),J1326=0),0,IF(AND($B$176=1,ISNUMBER(J1326)),MIN(J1326*(1+$B$87/12),IF($B$86=0,0,IF($B$87=0,$B$86/ROUND($B$88*12,0),$B$86*($B$87/12)/(1-(1+$B$87/12)^(-ROUND($B$88*12,0)))))),""))</x:f>
        <x:v>0</x:v>
      </x:c>
      <x:c r="L1326" s="440" t="n">
        <x:f>IF(ISNUMBER(K1326),IF(MAX(0,J1326*(1+SUM($B$87)/12)-K1326)&lt;MAX(0.0000001,$B$86*0.00000000001),0,MAX(0,J1326*(1+SUM($B$87)/12)-K1326)),"")</x:f>
        <x:v>0</x:v>
      </x:c>
      <x:c r="M1326" s="440" t="n">
        <x:f>IF(AND(ISNUMBER(D1326),ISNUMBER(K1326)),D1326+K1326,"")</x:f>
        <x:v>0</x:v>
      </x:c>
      <x:c r="N1326" s="440" t="n">
        <x:f>IF(AND(ISNUMBER(H1326),ISNUMBER(L1326)),H1326+L1326,"")</x:f>
        <x:v>0</x:v>
      </x:c>
    </x:row>
    <x:row r="1327" ht="22" customHeight="1">
      <x:c r="A1327" s="254" t="n">
        <x:f>927</x:f>
        <x:v>927</x:v>
      </x:c>
      <x:c r="B1327" s="440" t="n">
        <x:f>IF(ISNUMBER(H1326),H1326,"")</x:f>
        <x:v>0</x:v>
      </x:c>
      <x:c r="C1327" s="442" t="n">
        <x:f>IF(ISNUMBER(B1327),IF(AND(927&gt;$B$173,$B$78="Refinance",ISNUMBER($B$80),$B$80&gt;=0,$B$80&lt;=1,ROUND($B$81*12,0)&gt;=1,$B$81&lt;=100,SUM($B$82)&gt;=0,SUM($B$82)&lt;=1,SUM($B$83)&gt;=0),$B$80,IF(AND($B$175&gt;0,927&gt;$B$175,ISNUMBER($B$75)),$B$75,$B$61)),"")</x:f>
        <x:v>0.0625</x:v>
      </x:c>
      <x:c r="D1327" s="440" t="n">
        <x:f>IF(AND(ISNUMBER(B1327),B1327=0),0,IF(AND($B$171=1,I1326=0,ISNUMBER(C1327),ISNUMBER(IF(AND(927&lt;=$B$174,927&lt;=$B$173),B1327*C1327/12,IF(AND(927=$B$173+1,AND(927&gt;$B$173,$B$78="Refinance",ISNUMBER($B$80),$B$80&gt;=0,$B$80&lt;=1,ROUND($B$81*12,0)&gt;=1,$B$81&lt;=100,SUM($B$82)&gt;=0,SUM($B$82)&lt;=1,SUM($B$83)&gt;=0)),IF(B1327=0,0,IF(C1327=0,B1327/ROUND($B$81*12,0),B1327*(C1327/12)/(1-(1+C1327/12)^(-ROUND($B$81*12,0))))),IF(AND(NOT(AND(927&gt;$B$173,$B$78="Refinance",ISNUMBER($B$80),$B$80&gt;=0,$B$80&lt;=1,ROUND($B$81*12,0)&gt;=1,$B$81&lt;=100,SUM($B$82)&gt;=0,SUM($B$82)&lt;=1,SUM($B$83)&gt;=0)),OR(927=1,927=$B$174+1,AND($B$175&gt;0,927=$B$175+1))),IF(AND($B$170=1,$B$66&gt;0,OR($B$175=0,927&lt;=$B$175)),$B$66,IF($B$172-MAX(927-1,$B$174)&gt;0,IF(B1327=0,0,IF(C1327=0,B1327/($B$172-MAX(927-1,$B$174)),B1327*(C1327/12)/(1-(1+C1327/12)^(-($B$172-MAX(927-1,$B$174)))))),"")),D1326))))),IF(IF(AND(927&lt;=$B$174,927&lt;=$B$173),B1327*C1327/12,IF(AND(927=$B$173+1,AND(927&gt;$B$173,$B$78="Refinance",ISNUMBER($B$80),$B$80&gt;=0,$B$80&lt;=1,ROUND($B$81*12,0)&gt;=1,$B$81&lt;=100,SUM($B$82)&gt;=0,SUM($B$82)&lt;=1,SUM($B$83)&gt;=0)),IF(B1327=0,0,IF(C1327=0,B1327/ROUND($B$81*12,0),B1327*(C1327/12)/(1-(1+C1327/12)^(-ROUND($B$81*12,0))))),IF(AND(NOT(AND(927&gt;$B$173,$B$78="Refinance",ISNUMBER($B$80),$B$80&gt;=0,$B$80&lt;=1,ROUND($B$81*12,0)&gt;=1,$B$81&lt;=100,SUM($B$82)&gt;=0,SUM($B$82)&lt;=1,SUM($B$83)&gt;=0)),OR(927=1,927=$B$174+1,AND($B$175&gt;0,927=$B$175+1))),IF(AND($B$170=1,$B$66&gt;0,OR($B$175=0,927&lt;=$B$175)),$B$66,IF($B$172-MAX(927-1,$B$174)&gt;0,IF(B1327=0,0,IF(C1327=0,B1327/($B$172-MAX(927-1,$B$174)),B1327*(C1327/12)/(1-(1+C1327/12)^(-($B$172-MAX(927-1,$B$174)))))),"")),D1326)))+0.0000001&gt;=B1327*C1327/12,MIN(B1327*(1+C1327/12),IF(AND(927&lt;=$B$174,927&lt;=$B$173),B1327*C1327/12,IF(AND(927=$B$173+1,AND(927&gt;$B$173,$B$78="Refinance",ISNUMBER($B$80),$B$80&gt;=0,$B$80&lt;=1,ROUND($B$81*12,0)&gt;=1,$B$81&lt;=100,SUM($B$82)&gt;=0,SUM($B$82)&lt;=1,SUM($B$83)&gt;=0)),IF(B1327=0,0,IF(C1327=0,B1327/ROUND($B$81*12,0),B1327*(C1327/12)/(1-(1+C1327/12)^(-ROUND($B$81*12,0))))),IF(AND(NOT(AND(927&gt;$B$173,$B$78="Refinance",ISNUMBER($B$80),$B$80&gt;=0,$B$80&lt;=1,ROUND($B$81*12,0)&gt;=1,$B$81&lt;=100,SUM($B$82)&gt;=0,SUM($B$82)&lt;=1,SUM($B$83)&gt;=0)),OR(927=1,927=$B$174+1,AND($B$175&gt;0,927=$B$175+1))),IF(AND($B$170=1,$B$66&gt;0,OR($B$175=0,927&lt;=$B$175)),$B$66,IF($B$172-MAX(927-1,$B$174)&gt;0,IF(B1327=0,0,IF(C1327=0,B1327/($B$172-MAX(927-1,$B$174)),B1327*(C1327/12)/(1-(1+C1327/12)^(-($B$172-MAX(927-1,$B$174)))))),"")),D1326)))),""),""))</x:f>
        <x:v>0</x:v>
      </x:c>
      <x:c r="E1327" s="440" t="n">
        <x:f>IF(AND(927=$B$173,ISNUMBER(D1327)),IF(MAX(0,B1327*(1+C1327/12)-D1327)&lt;MAX(0.0000001,$E$17*0.00000000001),0,MAX(0,B1327*(1+C1327/12)-D1327)),0)</x:f>
        <x:v>0</x:v>
      </x:c>
      <x:c r="F1327" s="440" t="n">
        <x:f>IF($B$78="Cash payoff",E1327,0)</x:f>
        <x:v>0</x:v>
      </x:c>
      <x:c r="G1327" s="440" t="n">
        <x:f>IF(AND(E1327&gt;0,AND($B$78="Refinance",ISNUMBER($B$80),$B$80&gt;=0,$B$80&lt;=1,ROUND($B$81*12,0)&gt;=1,$B$81&lt;=100,SUM($B$82)&gt;=0,SUM($B$82)&lt;=1,SUM($B$83)&gt;=0)),E1327*SUM($B$82)+SUM($B$83),0)</x:f>
        <x:v>0</x:v>
      </x:c>
      <x:c r="H1327" s="440" t="n">
        <x:f>IF(ISNUMBER(D1327),IF(MAX(0,B1327*(1+C1327/12)-D1327-F1327)&lt;MAX(0.0000001,$E$17*0.00000000001),0,MAX(0,B1327*(1+C1327/12)-D1327-F1327)),IF(AND($B$171=1,I1326=1),B1327,""))</x:f>
        <x:v>0</x:v>
      </x:c>
      <x:c r="I1327" s="444" t="n">
        <x:f>IF(OR(I1326=1,AND(E1327&gt;0,$B$78&lt;&gt;"Cash payoff",NOT(AND($B$78="Refinance",ISNUMBER($B$80),$B$80&gt;=0,$B$80&lt;=1,ROUND($B$81*12,0)&gt;=1,$B$81&lt;=100,SUM($B$82)&gt;=0,SUM($B$82)&lt;=1,SUM($B$83)&gt;=0))),AND(ISNUMBER(B1327),B1327&gt;0,$B$171=1,NOT(ISNUMBER(D1327)))),1,0)</x:f>
        <x:v>0</x:v>
      </x:c>
      <x:c r="J1327" s="440" t="n">
        <x:f>IF(ISNUMBER(L1326),L1326,"")</x:f>
        <x:v>0</x:v>
      </x:c>
      <x:c r="K1327" s="440" t="n">
        <x:f>IF(AND(ISNUMBER(J1327),J1327=0),0,IF(AND($B$176=1,ISNUMBER(J1327)),MIN(J1327*(1+$B$87/12),IF($B$86=0,0,IF($B$87=0,$B$86/ROUND($B$88*12,0),$B$86*($B$87/12)/(1-(1+$B$87/12)^(-ROUND($B$88*12,0)))))),""))</x:f>
        <x:v>0</x:v>
      </x:c>
      <x:c r="L1327" s="440" t="n">
        <x:f>IF(ISNUMBER(K1327),IF(MAX(0,J1327*(1+SUM($B$87)/12)-K1327)&lt;MAX(0.0000001,$B$86*0.00000000001),0,MAX(0,J1327*(1+SUM($B$87)/12)-K1327)),"")</x:f>
        <x:v>0</x:v>
      </x:c>
      <x:c r="M1327" s="440" t="n">
        <x:f>IF(AND(ISNUMBER(D1327),ISNUMBER(K1327)),D1327+K1327,"")</x:f>
        <x:v>0</x:v>
      </x:c>
      <x:c r="N1327" s="440" t="n">
        <x:f>IF(AND(ISNUMBER(H1327),ISNUMBER(L1327)),H1327+L1327,"")</x:f>
        <x:v>0</x:v>
      </x:c>
    </x:row>
    <x:row r="1328" ht="22" customHeight="1">
      <x:c r="A1328" s="254" t="n">
        <x:f>928</x:f>
        <x:v>928</x:v>
      </x:c>
      <x:c r="B1328" s="440" t="n">
        <x:f>IF(ISNUMBER(H1327),H1327,"")</x:f>
        <x:v>0</x:v>
      </x:c>
      <x:c r="C1328" s="442" t="n">
        <x:f>IF(ISNUMBER(B1328),IF(AND(928&gt;$B$173,$B$78="Refinance",ISNUMBER($B$80),$B$80&gt;=0,$B$80&lt;=1,ROUND($B$81*12,0)&gt;=1,$B$81&lt;=100,SUM($B$82)&gt;=0,SUM($B$82)&lt;=1,SUM($B$83)&gt;=0),$B$80,IF(AND($B$175&gt;0,928&gt;$B$175,ISNUMBER($B$75)),$B$75,$B$61)),"")</x:f>
        <x:v>0.0625</x:v>
      </x:c>
      <x:c r="D1328" s="440" t="n">
        <x:f>IF(AND(ISNUMBER(B1328),B1328=0),0,IF(AND($B$171=1,I1327=0,ISNUMBER(C1328),ISNUMBER(IF(AND(928&lt;=$B$174,928&lt;=$B$173),B1328*C1328/12,IF(AND(928=$B$173+1,AND(928&gt;$B$173,$B$78="Refinance",ISNUMBER($B$80),$B$80&gt;=0,$B$80&lt;=1,ROUND($B$81*12,0)&gt;=1,$B$81&lt;=100,SUM($B$82)&gt;=0,SUM($B$82)&lt;=1,SUM($B$83)&gt;=0)),IF(B1328=0,0,IF(C1328=0,B1328/ROUND($B$81*12,0),B1328*(C1328/12)/(1-(1+C1328/12)^(-ROUND($B$81*12,0))))),IF(AND(NOT(AND(928&gt;$B$173,$B$78="Refinance",ISNUMBER($B$80),$B$80&gt;=0,$B$80&lt;=1,ROUND($B$81*12,0)&gt;=1,$B$81&lt;=100,SUM($B$82)&gt;=0,SUM($B$82)&lt;=1,SUM($B$83)&gt;=0)),OR(928=1,928=$B$174+1,AND($B$175&gt;0,928=$B$175+1))),IF(AND($B$170=1,$B$66&gt;0,OR($B$175=0,928&lt;=$B$175)),$B$66,IF($B$172-MAX(928-1,$B$174)&gt;0,IF(B1328=0,0,IF(C1328=0,B1328/($B$172-MAX(928-1,$B$174)),B1328*(C1328/12)/(1-(1+C1328/12)^(-($B$172-MAX(928-1,$B$174)))))),"")),D1327))))),IF(IF(AND(928&lt;=$B$174,928&lt;=$B$173),B1328*C1328/12,IF(AND(928=$B$173+1,AND(928&gt;$B$173,$B$78="Refinance",ISNUMBER($B$80),$B$80&gt;=0,$B$80&lt;=1,ROUND($B$81*12,0)&gt;=1,$B$81&lt;=100,SUM($B$82)&gt;=0,SUM($B$82)&lt;=1,SUM($B$83)&gt;=0)),IF(B1328=0,0,IF(C1328=0,B1328/ROUND($B$81*12,0),B1328*(C1328/12)/(1-(1+C1328/12)^(-ROUND($B$81*12,0))))),IF(AND(NOT(AND(928&gt;$B$173,$B$78="Refinance",ISNUMBER($B$80),$B$80&gt;=0,$B$80&lt;=1,ROUND($B$81*12,0)&gt;=1,$B$81&lt;=100,SUM($B$82)&gt;=0,SUM($B$82)&lt;=1,SUM($B$83)&gt;=0)),OR(928=1,928=$B$174+1,AND($B$175&gt;0,928=$B$175+1))),IF(AND($B$170=1,$B$66&gt;0,OR($B$175=0,928&lt;=$B$175)),$B$66,IF($B$172-MAX(928-1,$B$174)&gt;0,IF(B1328=0,0,IF(C1328=0,B1328/($B$172-MAX(928-1,$B$174)),B1328*(C1328/12)/(1-(1+C1328/12)^(-($B$172-MAX(928-1,$B$174)))))),"")),D1327)))+0.0000001&gt;=B1328*C1328/12,MIN(B1328*(1+C1328/12),IF(AND(928&lt;=$B$174,928&lt;=$B$173),B1328*C1328/12,IF(AND(928=$B$173+1,AND(928&gt;$B$173,$B$78="Refinance",ISNUMBER($B$80),$B$80&gt;=0,$B$80&lt;=1,ROUND($B$81*12,0)&gt;=1,$B$81&lt;=100,SUM($B$82)&gt;=0,SUM($B$82)&lt;=1,SUM($B$83)&gt;=0)),IF(B1328=0,0,IF(C1328=0,B1328/ROUND($B$81*12,0),B1328*(C1328/12)/(1-(1+C1328/12)^(-ROUND($B$81*12,0))))),IF(AND(NOT(AND(928&gt;$B$173,$B$78="Refinance",ISNUMBER($B$80),$B$80&gt;=0,$B$80&lt;=1,ROUND($B$81*12,0)&gt;=1,$B$81&lt;=100,SUM($B$82)&gt;=0,SUM($B$82)&lt;=1,SUM($B$83)&gt;=0)),OR(928=1,928=$B$174+1,AND($B$175&gt;0,928=$B$175+1))),IF(AND($B$170=1,$B$66&gt;0,OR($B$175=0,928&lt;=$B$175)),$B$66,IF($B$172-MAX(928-1,$B$174)&gt;0,IF(B1328=0,0,IF(C1328=0,B1328/($B$172-MAX(928-1,$B$174)),B1328*(C1328/12)/(1-(1+C1328/12)^(-($B$172-MAX(928-1,$B$174)))))),"")),D1327)))),""),""))</x:f>
        <x:v>0</x:v>
      </x:c>
      <x:c r="E1328" s="440" t="n">
        <x:f>IF(AND(928=$B$173,ISNUMBER(D1328)),IF(MAX(0,B1328*(1+C1328/12)-D1328)&lt;MAX(0.0000001,$E$17*0.00000000001),0,MAX(0,B1328*(1+C1328/12)-D1328)),0)</x:f>
        <x:v>0</x:v>
      </x:c>
      <x:c r="F1328" s="440" t="n">
        <x:f>IF($B$78="Cash payoff",E1328,0)</x:f>
        <x:v>0</x:v>
      </x:c>
      <x:c r="G1328" s="440" t="n">
        <x:f>IF(AND(E1328&gt;0,AND($B$78="Refinance",ISNUMBER($B$80),$B$80&gt;=0,$B$80&lt;=1,ROUND($B$81*12,0)&gt;=1,$B$81&lt;=100,SUM($B$82)&gt;=0,SUM($B$82)&lt;=1,SUM($B$83)&gt;=0)),E1328*SUM($B$82)+SUM($B$83),0)</x:f>
        <x:v>0</x:v>
      </x:c>
      <x:c r="H1328" s="440" t="n">
        <x:f>IF(ISNUMBER(D1328),IF(MAX(0,B1328*(1+C1328/12)-D1328-F1328)&lt;MAX(0.0000001,$E$17*0.00000000001),0,MAX(0,B1328*(1+C1328/12)-D1328-F1328)),IF(AND($B$171=1,I1327=1),B1328,""))</x:f>
        <x:v>0</x:v>
      </x:c>
      <x:c r="I1328" s="444" t="n">
        <x:f>IF(OR(I1327=1,AND(E1328&gt;0,$B$78&lt;&gt;"Cash payoff",NOT(AND($B$78="Refinance",ISNUMBER($B$80),$B$80&gt;=0,$B$80&lt;=1,ROUND($B$81*12,0)&gt;=1,$B$81&lt;=100,SUM($B$82)&gt;=0,SUM($B$82)&lt;=1,SUM($B$83)&gt;=0))),AND(ISNUMBER(B1328),B1328&gt;0,$B$171=1,NOT(ISNUMBER(D1328)))),1,0)</x:f>
        <x:v>0</x:v>
      </x:c>
      <x:c r="J1328" s="440" t="n">
        <x:f>IF(ISNUMBER(L1327),L1327,"")</x:f>
        <x:v>0</x:v>
      </x:c>
      <x:c r="K1328" s="440" t="n">
        <x:f>IF(AND(ISNUMBER(J1328),J1328=0),0,IF(AND($B$176=1,ISNUMBER(J1328)),MIN(J1328*(1+$B$87/12),IF($B$86=0,0,IF($B$87=0,$B$86/ROUND($B$88*12,0),$B$86*($B$87/12)/(1-(1+$B$87/12)^(-ROUND($B$88*12,0)))))),""))</x:f>
        <x:v>0</x:v>
      </x:c>
      <x:c r="L1328" s="440" t="n">
        <x:f>IF(ISNUMBER(K1328),IF(MAX(0,J1328*(1+SUM($B$87)/12)-K1328)&lt;MAX(0.0000001,$B$86*0.00000000001),0,MAX(0,J1328*(1+SUM($B$87)/12)-K1328)),"")</x:f>
        <x:v>0</x:v>
      </x:c>
      <x:c r="M1328" s="440" t="n">
        <x:f>IF(AND(ISNUMBER(D1328),ISNUMBER(K1328)),D1328+K1328,"")</x:f>
        <x:v>0</x:v>
      </x:c>
      <x:c r="N1328" s="440" t="n">
        <x:f>IF(AND(ISNUMBER(H1328),ISNUMBER(L1328)),H1328+L1328,"")</x:f>
        <x:v>0</x:v>
      </x:c>
    </x:row>
    <x:row r="1329" ht="22" customHeight="1">
      <x:c r="A1329" s="254" t="n">
        <x:f>929</x:f>
        <x:v>929</x:v>
      </x:c>
      <x:c r="B1329" s="440" t="n">
        <x:f>IF(ISNUMBER(H1328),H1328,"")</x:f>
        <x:v>0</x:v>
      </x:c>
      <x:c r="C1329" s="442" t="n">
        <x:f>IF(ISNUMBER(B1329),IF(AND(929&gt;$B$173,$B$78="Refinance",ISNUMBER($B$80),$B$80&gt;=0,$B$80&lt;=1,ROUND($B$81*12,0)&gt;=1,$B$81&lt;=100,SUM($B$82)&gt;=0,SUM($B$82)&lt;=1,SUM($B$83)&gt;=0),$B$80,IF(AND($B$175&gt;0,929&gt;$B$175,ISNUMBER($B$75)),$B$75,$B$61)),"")</x:f>
        <x:v>0.0625</x:v>
      </x:c>
      <x:c r="D1329" s="440" t="n">
        <x:f>IF(AND(ISNUMBER(B1329),B1329=0),0,IF(AND($B$171=1,I1328=0,ISNUMBER(C1329),ISNUMBER(IF(AND(929&lt;=$B$174,929&lt;=$B$173),B1329*C1329/12,IF(AND(929=$B$173+1,AND(929&gt;$B$173,$B$78="Refinance",ISNUMBER($B$80),$B$80&gt;=0,$B$80&lt;=1,ROUND($B$81*12,0)&gt;=1,$B$81&lt;=100,SUM($B$82)&gt;=0,SUM($B$82)&lt;=1,SUM($B$83)&gt;=0)),IF(B1329=0,0,IF(C1329=0,B1329/ROUND($B$81*12,0),B1329*(C1329/12)/(1-(1+C1329/12)^(-ROUND($B$81*12,0))))),IF(AND(NOT(AND(929&gt;$B$173,$B$78="Refinance",ISNUMBER($B$80),$B$80&gt;=0,$B$80&lt;=1,ROUND($B$81*12,0)&gt;=1,$B$81&lt;=100,SUM($B$82)&gt;=0,SUM($B$82)&lt;=1,SUM($B$83)&gt;=0)),OR(929=1,929=$B$174+1,AND($B$175&gt;0,929=$B$175+1))),IF(AND($B$170=1,$B$66&gt;0,OR($B$175=0,929&lt;=$B$175)),$B$66,IF($B$172-MAX(929-1,$B$174)&gt;0,IF(B1329=0,0,IF(C1329=0,B1329/($B$172-MAX(929-1,$B$174)),B1329*(C1329/12)/(1-(1+C1329/12)^(-($B$172-MAX(929-1,$B$174)))))),"")),D1328))))),IF(IF(AND(929&lt;=$B$174,929&lt;=$B$173),B1329*C1329/12,IF(AND(929=$B$173+1,AND(929&gt;$B$173,$B$78="Refinance",ISNUMBER($B$80),$B$80&gt;=0,$B$80&lt;=1,ROUND($B$81*12,0)&gt;=1,$B$81&lt;=100,SUM($B$82)&gt;=0,SUM($B$82)&lt;=1,SUM($B$83)&gt;=0)),IF(B1329=0,0,IF(C1329=0,B1329/ROUND($B$81*12,0),B1329*(C1329/12)/(1-(1+C1329/12)^(-ROUND($B$81*12,0))))),IF(AND(NOT(AND(929&gt;$B$173,$B$78="Refinance",ISNUMBER($B$80),$B$80&gt;=0,$B$80&lt;=1,ROUND($B$81*12,0)&gt;=1,$B$81&lt;=100,SUM($B$82)&gt;=0,SUM($B$82)&lt;=1,SUM($B$83)&gt;=0)),OR(929=1,929=$B$174+1,AND($B$175&gt;0,929=$B$175+1))),IF(AND($B$170=1,$B$66&gt;0,OR($B$175=0,929&lt;=$B$175)),$B$66,IF($B$172-MAX(929-1,$B$174)&gt;0,IF(B1329=0,0,IF(C1329=0,B1329/($B$172-MAX(929-1,$B$174)),B1329*(C1329/12)/(1-(1+C1329/12)^(-($B$172-MAX(929-1,$B$174)))))),"")),D1328)))+0.0000001&gt;=B1329*C1329/12,MIN(B1329*(1+C1329/12),IF(AND(929&lt;=$B$174,929&lt;=$B$173),B1329*C1329/12,IF(AND(929=$B$173+1,AND(929&gt;$B$173,$B$78="Refinance",ISNUMBER($B$80),$B$80&gt;=0,$B$80&lt;=1,ROUND($B$81*12,0)&gt;=1,$B$81&lt;=100,SUM($B$82)&gt;=0,SUM($B$82)&lt;=1,SUM($B$83)&gt;=0)),IF(B1329=0,0,IF(C1329=0,B1329/ROUND($B$81*12,0),B1329*(C1329/12)/(1-(1+C1329/12)^(-ROUND($B$81*12,0))))),IF(AND(NOT(AND(929&gt;$B$173,$B$78="Refinance",ISNUMBER($B$80),$B$80&gt;=0,$B$80&lt;=1,ROUND($B$81*12,0)&gt;=1,$B$81&lt;=100,SUM($B$82)&gt;=0,SUM($B$82)&lt;=1,SUM($B$83)&gt;=0)),OR(929=1,929=$B$174+1,AND($B$175&gt;0,929=$B$175+1))),IF(AND($B$170=1,$B$66&gt;0,OR($B$175=0,929&lt;=$B$175)),$B$66,IF($B$172-MAX(929-1,$B$174)&gt;0,IF(B1329=0,0,IF(C1329=0,B1329/($B$172-MAX(929-1,$B$174)),B1329*(C1329/12)/(1-(1+C1329/12)^(-($B$172-MAX(929-1,$B$174)))))),"")),D1328)))),""),""))</x:f>
        <x:v>0</x:v>
      </x:c>
      <x:c r="E1329" s="440" t="n">
        <x:f>IF(AND(929=$B$173,ISNUMBER(D1329)),IF(MAX(0,B1329*(1+C1329/12)-D1329)&lt;MAX(0.0000001,$E$17*0.00000000001),0,MAX(0,B1329*(1+C1329/12)-D1329)),0)</x:f>
        <x:v>0</x:v>
      </x:c>
      <x:c r="F1329" s="440" t="n">
        <x:f>IF($B$78="Cash payoff",E1329,0)</x:f>
        <x:v>0</x:v>
      </x:c>
      <x:c r="G1329" s="440" t="n">
        <x:f>IF(AND(E1329&gt;0,AND($B$78="Refinance",ISNUMBER($B$80),$B$80&gt;=0,$B$80&lt;=1,ROUND($B$81*12,0)&gt;=1,$B$81&lt;=100,SUM($B$82)&gt;=0,SUM($B$82)&lt;=1,SUM($B$83)&gt;=0)),E1329*SUM($B$82)+SUM($B$83),0)</x:f>
        <x:v>0</x:v>
      </x:c>
      <x:c r="H1329" s="440" t="n">
        <x:f>IF(ISNUMBER(D1329),IF(MAX(0,B1329*(1+C1329/12)-D1329-F1329)&lt;MAX(0.0000001,$E$17*0.00000000001),0,MAX(0,B1329*(1+C1329/12)-D1329-F1329)),IF(AND($B$171=1,I1328=1),B1329,""))</x:f>
        <x:v>0</x:v>
      </x:c>
      <x:c r="I1329" s="444" t="n">
        <x:f>IF(OR(I1328=1,AND(E1329&gt;0,$B$78&lt;&gt;"Cash payoff",NOT(AND($B$78="Refinance",ISNUMBER($B$80),$B$80&gt;=0,$B$80&lt;=1,ROUND($B$81*12,0)&gt;=1,$B$81&lt;=100,SUM($B$82)&gt;=0,SUM($B$82)&lt;=1,SUM($B$83)&gt;=0))),AND(ISNUMBER(B1329),B1329&gt;0,$B$171=1,NOT(ISNUMBER(D1329)))),1,0)</x:f>
        <x:v>0</x:v>
      </x:c>
      <x:c r="J1329" s="440" t="n">
        <x:f>IF(ISNUMBER(L1328),L1328,"")</x:f>
        <x:v>0</x:v>
      </x:c>
      <x:c r="K1329" s="440" t="n">
        <x:f>IF(AND(ISNUMBER(J1329),J1329=0),0,IF(AND($B$176=1,ISNUMBER(J1329)),MIN(J1329*(1+$B$87/12),IF($B$86=0,0,IF($B$87=0,$B$86/ROUND($B$88*12,0),$B$86*($B$87/12)/(1-(1+$B$87/12)^(-ROUND($B$88*12,0)))))),""))</x:f>
        <x:v>0</x:v>
      </x:c>
      <x:c r="L1329" s="440" t="n">
        <x:f>IF(ISNUMBER(K1329),IF(MAX(0,J1329*(1+SUM($B$87)/12)-K1329)&lt;MAX(0.0000001,$B$86*0.00000000001),0,MAX(0,J1329*(1+SUM($B$87)/12)-K1329)),"")</x:f>
        <x:v>0</x:v>
      </x:c>
      <x:c r="M1329" s="440" t="n">
        <x:f>IF(AND(ISNUMBER(D1329),ISNUMBER(K1329)),D1329+K1329,"")</x:f>
        <x:v>0</x:v>
      </x:c>
      <x:c r="N1329" s="440" t="n">
        <x:f>IF(AND(ISNUMBER(H1329),ISNUMBER(L1329)),H1329+L1329,"")</x:f>
        <x:v>0</x:v>
      </x:c>
    </x:row>
    <x:row r="1330" ht="22" customHeight="1">
      <x:c r="A1330" s="254" t="n">
        <x:f>930</x:f>
        <x:v>930</x:v>
      </x:c>
      <x:c r="B1330" s="440" t="n">
        <x:f>IF(ISNUMBER(H1329),H1329,"")</x:f>
        <x:v>0</x:v>
      </x:c>
      <x:c r="C1330" s="442" t="n">
        <x:f>IF(ISNUMBER(B1330),IF(AND(930&gt;$B$173,$B$78="Refinance",ISNUMBER($B$80),$B$80&gt;=0,$B$80&lt;=1,ROUND($B$81*12,0)&gt;=1,$B$81&lt;=100,SUM($B$82)&gt;=0,SUM($B$82)&lt;=1,SUM($B$83)&gt;=0),$B$80,IF(AND($B$175&gt;0,930&gt;$B$175,ISNUMBER($B$75)),$B$75,$B$61)),"")</x:f>
        <x:v>0.0625</x:v>
      </x:c>
      <x:c r="D1330" s="440" t="n">
        <x:f>IF(AND(ISNUMBER(B1330),B1330=0),0,IF(AND($B$171=1,I1329=0,ISNUMBER(C1330),ISNUMBER(IF(AND(930&lt;=$B$174,930&lt;=$B$173),B1330*C1330/12,IF(AND(930=$B$173+1,AND(930&gt;$B$173,$B$78="Refinance",ISNUMBER($B$80),$B$80&gt;=0,$B$80&lt;=1,ROUND($B$81*12,0)&gt;=1,$B$81&lt;=100,SUM($B$82)&gt;=0,SUM($B$82)&lt;=1,SUM($B$83)&gt;=0)),IF(B1330=0,0,IF(C1330=0,B1330/ROUND($B$81*12,0),B1330*(C1330/12)/(1-(1+C1330/12)^(-ROUND($B$81*12,0))))),IF(AND(NOT(AND(930&gt;$B$173,$B$78="Refinance",ISNUMBER($B$80),$B$80&gt;=0,$B$80&lt;=1,ROUND($B$81*12,0)&gt;=1,$B$81&lt;=100,SUM($B$82)&gt;=0,SUM($B$82)&lt;=1,SUM($B$83)&gt;=0)),OR(930=1,930=$B$174+1,AND($B$175&gt;0,930=$B$175+1))),IF(AND($B$170=1,$B$66&gt;0,OR($B$175=0,930&lt;=$B$175)),$B$66,IF($B$172-MAX(930-1,$B$174)&gt;0,IF(B1330=0,0,IF(C1330=0,B1330/($B$172-MAX(930-1,$B$174)),B1330*(C1330/12)/(1-(1+C1330/12)^(-($B$172-MAX(930-1,$B$174)))))),"")),D1329))))),IF(IF(AND(930&lt;=$B$174,930&lt;=$B$173),B1330*C1330/12,IF(AND(930=$B$173+1,AND(930&gt;$B$173,$B$78="Refinance",ISNUMBER($B$80),$B$80&gt;=0,$B$80&lt;=1,ROUND($B$81*12,0)&gt;=1,$B$81&lt;=100,SUM($B$82)&gt;=0,SUM($B$82)&lt;=1,SUM($B$83)&gt;=0)),IF(B1330=0,0,IF(C1330=0,B1330/ROUND($B$81*12,0),B1330*(C1330/12)/(1-(1+C1330/12)^(-ROUND($B$81*12,0))))),IF(AND(NOT(AND(930&gt;$B$173,$B$78="Refinance",ISNUMBER($B$80),$B$80&gt;=0,$B$80&lt;=1,ROUND($B$81*12,0)&gt;=1,$B$81&lt;=100,SUM($B$82)&gt;=0,SUM($B$82)&lt;=1,SUM($B$83)&gt;=0)),OR(930=1,930=$B$174+1,AND($B$175&gt;0,930=$B$175+1))),IF(AND($B$170=1,$B$66&gt;0,OR($B$175=0,930&lt;=$B$175)),$B$66,IF($B$172-MAX(930-1,$B$174)&gt;0,IF(B1330=0,0,IF(C1330=0,B1330/($B$172-MAX(930-1,$B$174)),B1330*(C1330/12)/(1-(1+C1330/12)^(-($B$172-MAX(930-1,$B$174)))))),"")),D1329)))+0.0000001&gt;=B1330*C1330/12,MIN(B1330*(1+C1330/12),IF(AND(930&lt;=$B$174,930&lt;=$B$173),B1330*C1330/12,IF(AND(930=$B$173+1,AND(930&gt;$B$173,$B$78="Refinance",ISNUMBER($B$80),$B$80&gt;=0,$B$80&lt;=1,ROUND($B$81*12,0)&gt;=1,$B$81&lt;=100,SUM($B$82)&gt;=0,SUM($B$82)&lt;=1,SUM($B$83)&gt;=0)),IF(B1330=0,0,IF(C1330=0,B1330/ROUND($B$81*12,0),B1330*(C1330/12)/(1-(1+C1330/12)^(-ROUND($B$81*12,0))))),IF(AND(NOT(AND(930&gt;$B$173,$B$78="Refinance",ISNUMBER($B$80),$B$80&gt;=0,$B$80&lt;=1,ROUND($B$81*12,0)&gt;=1,$B$81&lt;=100,SUM($B$82)&gt;=0,SUM($B$82)&lt;=1,SUM($B$83)&gt;=0)),OR(930=1,930=$B$174+1,AND($B$175&gt;0,930=$B$175+1))),IF(AND($B$170=1,$B$66&gt;0,OR($B$175=0,930&lt;=$B$175)),$B$66,IF($B$172-MAX(930-1,$B$174)&gt;0,IF(B1330=0,0,IF(C1330=0,B1330/($B$172-MAX(930-1,$B$174)),B1330*(C1330/12)/(1-(1+C1330/12)^(-($B$172-MAX(930-1,$B$174)))))),"")),D1329)))),""),""))</x:f>
        <x:v>0</x:v>
      </x:c>
      <x:c r="E1330" s="440" t="n">
        <x:f>IF(AND(930=$B$173,ISNUMBER(D1330)),IF(MAX(0,B1330*(1+C1330/12)-D1330)&lt;MAX(0.0000001,$E$17*0.00000000001),0,MAX(0,B1330*(1+C1330/12)-D1330)),0)</x:f>
        <x:v>0</x:v>
      </x:c>
      <x:c r="F1330" s="440" t="n">
        <x:f>IF($B$78="Cash payoff",E1330,0)</x:f>
        <x:v>0</x:v>
      </x:c>
      <x:c r="G1330" s="440" t="n">
        <x:f>IF(AND(E1330&gt;0,AND($B$78="Refinance",ISNUMBER($B$80),$B$80&gt;=0,$B$80&lt;=1,ROUND($B$81*12,0)&gt;=1,$B$81&lt;=100,SUM($B$82)&gt;=0,SUM($B$82)&lt;=1,SUM($B$83)&gt;=0)),E1330*SUM($B$82)+SUM($B$83),0)</x:f>
        <x:v>0</x:v>
      </x:c>
      <x:c r="H1330" s="440" t="n">
        <x:f>IF(ISNUMBER(D1330),IF(MAX(0,B1330*(1+C1330/12)-D1330-F1330)&lt;MAX(0.0000001,$E$17*0.00000000001),0,MAX(0,B1330*(1+C1330/12)-D1330-F1330)),IF(AND($B$171=1,I1329=1),B1330,""))</x:f>
        <x:v>0</x:v>
      </x:c>
      <x:c r="I1330" s="444" t="n">
        <x:f>IF(OR(I1329=1,AND(E1330&gt;0,$B$78&lt;&gt;"Cash payoff",NOT(AND($B$78="Refinance",ISNUMBER($B$80),$B$80&gt;=0,$B$80&lt;=1,ROUND($B$81*12,0)&gt;=1,$B$81&lt;=100,SUM($B$82)&gt;=0,SUM($B$82)&lt;=1,SUM($B$83)&gt;=0))),AND(ISNUMBER(B1330),B1330&gt;0,$B$171=1,NOT(ISNUMBER(D1330)))),1,0)</x:f>
        <x:v>0</x:v>
      </x:c>
      <x:c r="J1330" s="440" t="n">
        <x:f>IF(ISNUMBER(L1329),L1329,"")</x:f>
        <x:v>0</x:v>
      </x:c>
      <x:c r="K1330" s="440" t="n">
        <x:f>IF(AND(ISNUMBER(J1330),J1330=0),0,IF(AND($B$176=1,ISNUMBER(J1330)),MIN(J1330*(1+$B$87/12),IF($B$86=0,0,IF($B$87=0,$B$86/ROUND($B$88*12,0),$B$86*($B$87/12)/(1-(1+$B$87/12)^(-ROUND($B$88*12,0)))))),""))</x:f>
        <x:v>0</x:v>
      </x:c>
      <x:c r="L1330" s="440" t="n">
        <x:f>IF(ISNUMBER(K1330),IF(MAX(0,J1330*(1+SUM($B$87)/12)-K1330)&lt;MAX(0.0000001,$B$86*0.00000000001),0,MAX(0,J1330*(1+SUM($B$87)/12)-K1330)),"")</x:f>
        <x:v>0</x:v>
      </x:c>
      <x:c r="M1330" s="440" t="n">
        <x:f>IF(AND(ISNUMBER(D1330),ISNUMBER(K1330)),D1330+K1330,"")</x:f>
        <x:v>0</x:v>
      </x:c>
      <x:c r="N1330" s="440" t="n">
        <x:f>IF(AND(ISNUMBER(H1330),ISNUMBER(L1330)),H1330+L1330,"")</x:f>
        <x:v>0</x:v>
      </x:c>
    </x:row>
    <x:row r="1331" ht="22" customHeight="1">
      <x:c r="A1331" s="254" t="n">
        <x:f>931</x:f>
        <x:v>931</x:v>
      </x:c>
      <x:c r="B1331" s="440" t="n">
        <x:f>IF(ISNUMBER(H1330),H1330,"")</x:f>
        <x:v>0</x:v>
      </x:c>
      <x:c r="C1331" s="442" t="n">
        <x:f>IF(ISNUMBER(B1331),IF(AND(931&gt;$B$173,$B$78="Refinance",ISNUMBER($B$80),$B$80&gt;=0,$B$80&lt;=1,ROUND($B$81*12,0)&gt;=1,$B$81&lt;=100,SUM($B$82)&gt;=0,SUM($B$82)&lt;=1,SUM($B$83)&gt;=0),$B$80,IF(AND($B$175&gt;0,931&gt;$B$175,ISNUMBER($B$75)),$B$75,$B$61)),"")</x:f>
        <x:v>0.0625</x:v>
      </x:c>
      <x:c r="D1331" s="440" t="n">
        <x:f>IF(AND(ISNUMBER(B1331),B1331=0),0,IF(AND($B$171=1,I1330=0,ISNUMBER(C1331),ISNUMBER(IF(AND(931&lt;=$B$174,931&lt;=$B$173),B1331*C1331/12,IF(AND(931=$B$173+1,AND(931&gt;$B$173,$B$78="Refinance",ISNUMBER($B$80),$B$80&gt;=0,$B$80&lt;=1,ROUND($B$81*12,0)&gt;=1,$B$81&lt;=100,SUM($B$82)&gt;=0,SUM($B$82)&lt;=1,SUM($B$83)&gt;=0)),IF(B1331=0,0,IF(C1331=0,B1331/ROUND($B$81*12,0),B1331*(C1331/12)/(1-(1+C1331/12)^(-ROUND($B$81*12,0))))),IF(AND(NOT(AND(931&gt;$B$173,$B$78="Refinance",ISNUMBER($B$80),$B$80&gt;=0,$B$80&lt;=1,ROUND($B$81*12,0)&gt;=1,$B$81&lt;=100,SUM($B$82)&gt;=0,SUM($B$82)&lt;=1,SUM($B$83)&gt;=0)),OR(931=1,931=$B$174+1,AND($B$175&gt;0,931=$B$175+1))),IF(AND($B$170=1,$B$66&gt;0,OR($B$175=0,931&lt;=$B$175)),$B$66,IF($B$172-MAX(931-1,$B$174)&gt;0,IF(B1331=0,0,IF(C1331=0,B1331/($B$172-MAX(931-1,$B$174)),B1331*(C1331/12)/(1-(1+C1331/12)^(-($B$172-MAX(931-1,$B$174)))))),"")),D1330))))),IF(IF(AND(931&lt;=$B$174,931&lt;=$B$173),B1331*C1331/12,IF(AND(931=$B$173+1,AND(931&gt;$B$173,$B$78="Refinance",ISNUMBER($B$80),$B$80&gt;=0,$B$80&lt;=1,ROUND($B$81*12,0)&gt;=1,$B$81&lt;=100,SUM($B$82)&gt;=0,SUM($B$82)&lt;=1,SUM($B$83)&gt;=0)),IF(B1331=0,0,IF(C1331=0,B1331/ROUND($B$81*12,0),B1331*(C1331/12)/(1-(1+C1331/12)^(-ROUND($B$81*12,0))))),IF(AND(NOT(AND(931&gt;$B$173,$B$78="Refinance",ISNUMBER($B$80),$B$80&gt;=0,$B$80&lt;=1,ROUND($B$81*12,0)&gt;=1,$B$81&lt;=100,SUM($B$82)&gt;=0,SUM($B$82)&lt;=1,SUM($B$83)&gt;=0)),OR(931=1,931=$B$174+1,AND($B$175&gt;0,931=$B$175+1))),IF(AND($B$170=1,$B$66&gt;0,OR($B$175=0,931&lt;=$B$175)),$B$66,IF($B$172-MAX(931-1,$B$174)&gt;0,IF(B1331=0,0,IF(C1331=0,B1331/($B$172-MAX(931-1,$B$174)),B1331*(C1331/12)/(1-(1+C1331/12)^(-($B$172-MAX(931-1,$B$174)))))),"")),D1330)))+0.0000001&gt;=B1331*C1331/12,MIN(B1331*(1+C1331/12),IF(AND(931&lt;=$B$174,931&lt;=$B$173),B1331*C1331/12,IF(AND(931=$B$173+1,AND(931&gt;$B$173,$B$78="Refinance",ISNUMBER($B$80),$B$80&gt;=0,$B$80&lt;=1,ROUND($B$81*12,0)&gt;=1,$B$81&lt;=100,SUM($B$82)&gt;=0,SUM($B$82)&lt;=1,SUM($B$83)&gt;=0)),IF(B1331=0,0,IF(C1331=0,B1331/ROUND($B$81*12,0),B1331*(C1331/12)/(1-(1+C1331/12)^(-ROUND($B$81*12,0))))),IF(AND(NOT(AND(931&gt;$B$173,$B$78="Refinance",ISNUMBER($B$80),$B$80&gt;=0,$B$80&lt;=1,ROUND($B$81*12,0)&gt;=1,$B$81&lt;=100,SUM($B$82)&gt;=0,SUM($B$82)&lt;=1,SUM($B$83)&gt;=0)),OR(931=1,931=$B$174+1,AND($B$175&gt;0,931=$B$175+1))),IF(AND($B$170=1,$B$66&gt;0,OR($B$175=0,931&lt;=$B$175)),$B$66,IF($B$172-MAX(931-1,$B$174)&gt;0,IF(B1331=0,0,IF(C1331=0,B1331/($B$172-MAX(931-1,$B$174)),B1331*(C1331/12)/(1-(1+C1331/12)^(-($B$172-MAX(931-1,$B$174)))))),"")),D1330)))),""),""))</x:f>
        <x:v>0</x:v>
      </x:c>
      <x:c r="E1331" s="440" t="n">
        <x:f>IF(AND(931=$B$173,ISNUMBER(D1331)),IF(MAX(0,B1331*(1+C1331/12)-D1331)&lt;MAX(0.0000001,$E$17*0.00000000001),0,MAX(0,B1331*(1+C1331/12)-D1331)),0)</x:f>
        <x:v>0</x:v>
      </x:c>
      <x:c r="F1331" s="440" t="n">
        <x:f>IF($B$78="Cash payoff",E1331,0)</x:f>
        <x:v>0</x:v>
      </x:c>
      <x:c r="G1331" s="440" t="n">
        <x:f>IF(AND(E1331&gt;0,AND($B$78="Refinance",ISNUMBER($B$80),$B$80&gt;=0,$B$80&lt;=1,ROUND($B$81*12,0)&gt;=1,$B$81&lt;=100,SUM($B$82)&gt;=0,SUM($B$82)&lt;=1,SUM($B$83)&gt;=0)),E1331*SUM($B$82)+SUM($B$83),0)</x:f>
        <x:v>0</x:v>
      </x:c>
      <x:c r="H1331" s="440" t="n">
        <x:f>IF(ISNUMBER(D1331),IF(MAX(0,B1331*(1+C1331/12)-D1331-F1331)&lt;MAX(0.0000001,$E$17*0.00000000001),0,MAX(0,B1331*(1+C1331/12)-D1331-F1331)),IF(AND($B$171=1,I1330=1),B1331,""))</x:f>
        <x:v>0</x:v>
      </x:c>
      <x:c r="I1331" s="444" t="n">
        <x:f>IF(OR(I1330=1,AND(E1331&gt;0,$B$78&lt;&gt;"Cash payoff",NOT(AND($B$78="Refinance",ISNUMBER($B$80),$B$80&gt;=0,$B$80&lt;=1,ROUND($B$81*12,0)&gt;=1,$B$81&lt;=100,SUM($B$82)&gt;=0,SUM($B$82)&lt;=1,SUM($B$83)&gt;=0))),AND(ISNUMBER(B1331),B1331&gt;0,$B$171=1,NOT(ISNUMBER(D1331)))),1,0)</x:f>
        <x:v>0</x:v>
      </x:c>
      <x:c r="J1331" s="440" t="n">
        <x:f>IF(ISNUMBER(L1330),L1330,"")</x:f>
        <x:v>0</x:v>
      </x:c>
      <x:c r="K1331" s="440" t="n">
        <x:f>IF(AND(ISNUMBER(J1331),J1331=0),0,IF(AND($B$176=1,ISNUMBER(J1331)),MIN(J1331*(1+$B$87/12),IF($B$86=0,0,IF($B$87=0,$B$86/ROUND($B$88*12,0),$B$86*($B$87/12)/(1-(1+$B$87/12)^(-ROUND($B$88*12,0)))))),""))</x:f>
        <x:v>0</x:v>
      </x:c>
      <x:c r="L1331" s="440" t="n">
        <x:f>IF(ISNUMBER(K1331),IF(MAX(0,J1331*(1+SUM($B$87)/12)-K1331)&lt;MAX(0.0000001,$B$86*0.00000000001),0,MAX(0,J1331*(1+SUM($B$87)/12)-K1331)),"")</x:f>
        <x:v>0</x:v>
      </x:c>
      <x:c r="M1331" s="440" t="n">
        <x:f>IF(AND(ISNUMBER(D1331),ISNUMBER(K1331)),D1331+K1331,"")</x:f>
        <x:v>0</x:v>
      </x:c>
      <x:c r="N1331" s="440" t="n">
        <x:f>IF(AND(ISNUMBER(H1331),ISNUMBER(L1331)),H1331+L1331,"")</x:f>
        <x:v>0</x:v>
      </x:c>
    </x:row>
    <x:row r="1332" ht="22" customHeight="1">
      <x:c r="A1332" s="254" t="n">
        <x:f>932</x:f>
        <x:v>932</x:v>
      </x:c>
      <x:c r="B1332" s="440" t="n">
        <x:f>IF(ISNUMBER(H1331),H1331,"")</x:f>
        <x:v>0</x:v>
      </x:c>
      <x:c r="C1332" s="442" t="n">
        <x:f>IF(ISNUMBER(B1332),IF(AND(932&gt;$B$173,$B$78="Refinance",ISNUMBER($B$80),$B$80&gt;=0,$B$80&lt;=1,ROUND($B$81*12,0)&gt;=1,$B$81&lt;=100,SUM($B$82)&gt;=0,SUM($B$82)&lt;=1,SUM($B$83)&gt;=0),$B$80,IF(AND($B$175&gt;0,932&gt;$B$175,ISNUMBER($B$75)),$B$75,$B$61)),"")</x:f>
        <x:v>0.0625</x:v>
      </x:c>
      <x:c r="D1332" s="440" t="n">
        <x:f>IF(AND(ISNUMBER(B1332),B1332=0),0,IF(AND($B$171=1,I1331=0,ISNUMBER(C1332),ISNUMBER(IF(AND(932&lt;=$B$174,932&lt;=$B$173),B1332*C1332/12,IF(AND(932=$B$173+1,AND(932&gt;$B$173,$B$78="Refinance",ISNUMBER($B$80),$B$80&gt;=0,$B$80&lt;=1,ROUND($B$81*12,0)&gt;=1,$B$81&lt;=100,SUM($B$82)&gt;=0,SUM($B$82)&lt;=1,SUM($B$83)&gt;=0)),IF(B1332=0,0,IF(C1332=0,B1332/ROUND($B$81*12,0),B1332*(C1332/12)/(1-(1+C1332/12)^(-ROUND($B$81*12,0))))),IF(AND(NOT(AND(932&gt;$B$173,$B$78="Refinance",ISNUMBER($B$80),$B$80&gt;=0,$B$80&lt;=1,ROUND($B$81*12,0)&gt;=1,$B$81&lt;=100,SUM($B$82)&gt;=0,SUM($B$82)&lt;=1,SUM($B$83)&gt;=0)),OR(932=1,932=$B$174+1,AND($B$175&gt;0,932=$B$175+1))),IF(AND($B$170=1,$B$66&gt;0,OR($B$175=0,932&lt;=$B$175)),$B$66,IF($B$172-MAX(932-1,$B$174)&gt;0,IF(B1332=0,0,IF(C1332=0,B1332/($B$172-MAX(932-1,$B$174)),B1332*(C1332/12)/(1-(1+C1332/12)^(-($B$172-MAX(932-1,$B$174)))))),"")),D1331))))),IF(IF(AND(932&lt;=$B$174,932&lt;=$B$173),B1332*C1332/12,IF(AND(932=$B$173+1,AND(932&gt;$B$173,$B$78="Refinance",ISNUMBER($B$80),$B$80&gt;=0,$B$80&lt;=1,ROUND($B$81*12,0)&gt;=1,$B$81&lt;=100,SUM($B$82)&gt;=0,SUM($B$82)&lt;=1,SUM($B$83)&gt;=0)),IF(B1332=0,0,IF(C1332=0,B1332/ROUND($B$81*12,0),B1332*(C1332/12)/(1-(1+C1332/12)^(-ROUND($B$81*12,0))))),IF(AND(NOT(AND(932&gt;$B$173,$B$78="Refinance",ISNUMBER($B$80),$B$80&gt;=0,$B$80&lt;=1,ROUND($B$81*12,0)&gt;=1,$B$81&lt;=100,SUM($B$82)&gt;=0,SUM($B$82)&lt;=1,SUM($B$83)&gt;=0)),OR(932=1,932=$B$174+1,AND($B$175&gt;0,932=$B$175+1))),IF(AND($B$170=1,$B$66&gt;0,OR($B$175=0,932&lt;=$B$175)),$B$66,IF($B$172-MAX(932-1,$B$174)&gt;0,IF(B1332=0,0,IF(C1332=0,B1332/($B$172-MAX(932-1,$B$174)),B1332*(C1332/12)/(1-(1+C1332/12)^(-($B$172-MAX(932-1,$B$174)))))),"")),D1331)))+0.0000001&gt;=B1332*C1332/12,MIN(B1332*(1+C1332/12),IF(AND(932&lt;=$B$174,932&lt;=$B$173),B1332*C1332/12,IF(AND(932=$B$173+1,AND(932&gt;$B$173,$B$78="Refinance",ISNUMBER($B$80),$B$80&gt;=0,$B$80&lt;=1,ROUND($B$81*12,0)&gt;=1,$B$81&lt;=100,SUM($B$82)&gt;=0,SUM($B$82)&lt;=1,SUM($B$83)&gt;=0)),IF(B1332=0,0,IF(C1332=0,B1332/ROUND($B$81*12,0),B1332*(C1332/12)/(1-(1+C1332/12)^(-ROUND($B$81*12,0))))),IF(AND(NOT(AND(932&gt;$B$173,$B$78="Refinance",ISNUMBER($B$80),$B$80&gt;=0,$B$80&lt;=1,ROUND($B$81*12,0)&gt;=1,$B$81&lt;=100,SUM($B$82)&gt;=0,SUM($B$82)&lt;=1,SUM($B$83)&gt;=0)),OR(932=1,932=$B$174+1,AND($B$175&gt;0,932=$B$175+1))),IF(AND($B$170=1,$B$66&gt;0,OR($B$175=0,932&lt;=$B$175)),$B$66,IF($B$172-MAX(932-1,$B$174)&gt;0,IF(B1332=0,0,IF(C1332=0,B1332/($B$172-MAX(932-1,$B$174)),B1332*(C1332/12)/(1-(1+C1332/12)^(-($B$172-MAX(932-1,$B$174)))))),"")),D1331)))),""),""))</x:f>
        <x:v>0</x:v>
      </x:c>
      <x:c r="E1332" s="440" t="n">
        <x:f>IF(AND(932=$B$173,ISNUMBER(D1332)),IF(MAX(0,B1332*(1+C1332/12)-D1332)&lt;MAX(0.0000001,$E$17*0.00000000001),0,MAX(0,B1332*(1+C1332/12)-D1332)),0)</x:f>
        <x:v>0</x:v>
      </x:c>
      <x:c r="F1332" s="440" t="n">
        <x:f>IF($B$78="Cash payoff",E1332,0)</x:f>
        <x:v>0</x:v>
      </x:c>
      <x:c r="G1332" s="440" t="n">
        <x:f>IF(AND(E1332&gt;0,AND($B$78="Refinance",ISNUMBER($B$80),$B$80&gt;=0,$B$80&lt;=1,ROUND($B$81*12,0)&gt;=1,$B$81&lt;=100,SUM($B$82)&gt;=0,SUM($B$82)&lt;=1,SUM($B$83)&gt;=0)),E1332*SUM($B$82)+SUM($B$83),0)</x:f>
        <x:v>0</x:v>
      </x:c>
      <x:c r="H1332" s="440" t="n">
        <x:f>IF(ISNUMBER(D1332),IF(MAX(0,B1332*(1+C1332/12)-D1332-F1332)&lt;MAX(0.0000001,$E$17*0.00000000001),0,MAX(0,B1332*(1+C1332/12)-D1332-F1332)),IF(AND($B$171=1,I1331=1),B1332,""))</x:f>
        <x:v>0</x:v>
      </x:c>
      <x:c r="I1332" s="444" t="n">
        <x:f>IF(OR(I1331=1,AND(E1332&gt;0,$B$78&lt;&gt;"Cash payoff",NOT(AND($B$78="Refinance",ISNUMBER($B$80),$B$80&gt;=0,$B$80&lt;=1,ROUND($B$81*12,0)&gt;=1,$B$81&lt;=100,SUM($B$82)&gt;=0,SUM($B$82)&lt;=1,SUM($B$83)&gt;=0))),AND(ISNUMBER(B1332),B1332&gt;0,$B$171=1,NOT(ISNUMBER(D1332)))),1,0)</x:f>
        <x:v>0</x:v>
      </x:c>
      <x:c r="J1332" s="440" t="n">
        <x:f>IF(ISNUMBER(L1331),L1331,"")</x:f>
        <x:v>0</x:v>
      </x:c>
      <x:c r="K1332" s="440" t="n">
        <x:f>IF(AND(ISNUMBER(J1332),J1332=0),0,IF(AND($B$176=1,ISNUMBER(J1332)),MIN(J1332*(1+$B$87/12),IF($B$86=0,0,IF($B$87=0,$B$86/ROUND($B$88*12,0),$B$86*($B$87/12)/(1-(1+$B$87/12)^(-ROUND($B$88*12,0)))))),""))</x:f>
        <x:v>0</x:v>
      </x:c>
      <x:c r="L1332" s="440" t="n">
        <x:f>IF(ISNUMBER(K1332),IF(MAX(0,J1332*(1+SUM($B$87)/12)-K1332)&lt;MAX(0.0000001,$B$86*0.00000000001),0,MAX(0,J1332*(1+SUM($B$87)/12)-K1332)),"")</x:f>
        <x:v>0</x:v>
      </x:c>
      <x:c r="M1332" s="440" t="n">
        <x:f>IF(AND(ISNUMBER(D1332),ISNUMBER(K1332)),D1332+K1332,"")</x:f>
        <x:v>0</x:v>
      </x:c>
      <x:c r="N1332" s="440" t="n">
        <x:f>IF(AND(ISNUMBER(H1332),ISNUMBER(L1332)),H1332+L1332,"")</x:f>
        <x:v>0</x:v>
      </x:c>
    </x:row>
    <x:row r="1333" ht="22" customHeight="1">
      <x:c r="A1333" s="254" t="n">
        <x:f>933</x:f>
        <x:v>933</x:v>
      </x:c>
      <x:c r="B1333" s="440" t="n">
        <x:f>IF(ISNUMBER(H1332),H1332,"")</x:f>
        <x:v>0</x:v>
      </x:c>
      <x:c r="C1333" s="442" t="n">
        <x:f>IF(ISNUMBER(B1333),IF(AND(933&gt;$B$173,$B$78="Refinance",ISNUMBER($B$80),$B$80&gt;=0,$B$80&lt;=1,ROUND($B$81*12,0)&gt;=1,$B$81&lt;=100,SUM($B$82)&gt;=0,SUM($B$82)&lt;=1,SUM($B$83)&gt;=0),$B$80,IF(AND($B$175&gt;0,933&gt;$B$175,ISNUMBER($B$75)),$B$75,$B$61)),"")</x:f>
        <x:v>0.0625</x:v>
      </x:c>
      <x:c r="D1333" s="440" t="n">
        <x:f>IF(AND(ISNUMBER(B1333),B1333=0),0,IF(AND($B$171=1,I1332=0,ISNUMBER(C1333),ISNUMBER(IF(AND(933&lt;=$B$174,933&lt;=$B$173),B1333*C1333/12,IF(AND(933=$B$173+1,AND(933&gt;$B$173,$B$78="Refinance",ISNUMBER($B$80),$B$80&gt;=0,$B$80&lt;=1,ROUND($B$81*12,0)&gt;=1,$B$81&lt;=100,SUM($B$82)&gt;=0,SUM($B$82)&lt;=1,SUM($B$83)&gt;=0)),IF(B1333=0,0,IF(C1333=0,B1333/ROUND($B$81*12,0),B1333*(C1333/12)/(1-(1+C1333/12)^(-ROUND($B$81*12,0))))),IF(AND(NOT(AND(933&gt;$B$173,$B$78="Refinance",ISNUMBER($B$80),$B$80&gt;=0,$B$80&lt;=1,ROUND($B$81*12,0)&gt;=1,$B$81&lt;=100,SUM($B$82)&gt;=0,SUM($B$82)&lt;=1,SUM($B$83)&gt;=0)),OR(933=1,933=$B$174+1,AND($B$175&gt;0,933=$B$175+1))),IF(AND($B$170=1,$B$66&gt;0,OR($B$175=0,933&lt;=$B$175)),$B$66,IF($B$172-MAX(933-1,$B$174)&gt;0,IF(B1333=0,0,IF(C1333=0,B1333/($B$172-MAX(933-1,$B$174)),B1333*(C1333/12)/(1-(1+C1333/12)^(-($B$172-MAX(933-1,$B$174)))))),"")),D1332))))),IF(IF(AND(933&lt;=$B$174,933&lt;=$B$173),B1333*C1333/12,IF(AND(933=$B$173+1,AND(933&gt;$B$173,$B$78="Refinance",ISNUMBER($B$80),$B$80&gt;=0,$B$80&lt;=1,ROUND($B$81*12,0)&gt;=1,$B$81&lt;=100,SUM($B$82)&gt;=0,SUM($B$82)&lt;=1,SUM($B$83)&gt;=0)),IF(B1333=0,0,IF(C1333=0,B1333/ROUND($B$81*12,0),B1333*(C1333/12)/(1-(1+C1333/12)^(-ROUND($B$81*12,0))))),IF(AND(NOT(AND(933&gt;$B$173,$B$78="Refinance",ISNUMBER($B$80),$B$80&gt;=0,$B$80&lt;=1,ROUND($B$81*12,0)&gt;=1,$B$81&lt;=100,SUM($B$82)&gt;=0,SUM($B$82)&lt;=1,SUM($B$83)&gt;=0)),OR(933=1,933=$B$174+1,AND($B$175&gt;0,933=$B$175+1))),IF(AND($B$170=1,$B$66&gt;0,OR($B$175=0,933&lt;=$B$175)),$B$66,IF($B$172-MAX(933-1,$B$174)&gt;0,IF(B1333=0,0,IF(C1333=0,B1333/($B$172-MAX(933-1,$B$174)),B1333*(C1333/12)/(1-(1+C1333/12)^(-($B$172-MAX(933-1,$B$174)))))),"")),D1332)))+0.0000001&gt;=B1333*C1333/12,MIN(B1333*(1+C1333/12),IF(AND(933&lt;=$B$174,933&lt;=$B$173),B1333*C1333/12,IF(AND(933=$B$173+1,AND(933&gt;$B$173,$B$78="Refinance",ISNUMBER($B$80),$B$80&gt;=0,$B$80&lt;=1,ROUND($B$81*12,0)&gt;=1,$B$81&lt;=100,SUM($B$82)&gt;=0,SUM($B$82)&lt;=1,SUM($B$83)&gt;=0)),IF(B1333=0,0,IF(C1333=0,B1333/ROUND($B$81*12,0),B1333*(C1333/12)/(1-(1+C1333/12)^(-ROUND($B$81*12,0))))),IF(AND(NOT(AND(933&gt;$B$173,$B$78="Refinance",ISNUMBER($B$80),$B$80&gt;=0,$B$80&lt;=1,ROUND($B$81*12,0)&gt;=1,$B$81&lt;=100,SUM($B$82)&gt;=0,SUM($B$82)&lt;=1,SUM($B$83)&gt;=0)),OR(933=1,933=$B$174+1,AND($B$175&gt;0,933=$B$175+1))),IF(AND($B$170=1,$B$66&gt;0,OR($B$175=0,933&lt;=$B$175)),$B$66,IF($B$172-MAX(933-1,$B$174)&gt;0,IF(B1333=0,0,IF(C1333=0,B1333/($B$172-MAX(933-1,$B$174)),B1333*(C1333/12)/(1-(1+C1333/12)^(-($B$172-MAX(933-1,$B$174)))))),"")),D1332)))),""),""))</x:f>
        <x:v>0</x:v>
      </x:c>
      <x:c r="E1333" s="440" t="n">
        <x:f>IF(AND(933=$B$173,ISNUMBER(D1333)),IF(MAX(0,B1333*(1+C1333/12)-D1333)&lt;MAX(0.0000001,$E$17*0.00000000001),0,MAX(0,B1333*(1+C1333/12)-D1333)),0)</x:f>
        <x:v>0</x:v>
      </x:c>
      <x:c r="F1333" s="440" t="n">
        <x:f>IF($B$78="Cash payoff",E1333,0)</x:f>
        <x:v>0</x:v>
      </x:c>
      <x:c r="G1333" s="440" t="n">
        <x:f>IF(AND(E1333&gt;0,AND($B$78="Refinance",ISNUMBER($B$80),$B$80&gt;=0,$B$80&lt;=1,ROUND($B$81*12,0)&gt;=1,$B$81&lt;=100,SUM($B$82)&gt;=0,SUM($B$82)&lt;=1,SUM($B$83)&gt;=0)),E1333*SUM($B$82)+SUM($B$83),0)</x:f>
        <x:v>0</x:v>
      </x:c>
      <x:c r="H1333" s="440" t="n">
        <x:f>IF(ISNUMBER(D1333),IF(MAX(0,B1333*(1+C1333/12)-D1333-F1333)&lt;MAX(0.0000001,$E$17*0.00000000001),0,MAX(0,B1333*(1+C1333/12)-D1333-F1333)),IF(AND($B$171=1,I1332=1),B1333,""))</x:f>
        <x:v>0</x:v>
      </x:c>
      <x:c r="I1333" s="444" t="n">
        <x:f>IF(OR(I1332=1,AND(E1333&gt;0,$B$78&lt;&gt;"Cash payoff",NOT(AND($B$78="Refinance",ISNUMBER($B$80),$B$80&gt;=0,$B$80&lt;=1,ROUND($B$81*12,0)&gt;=1,$B$81&lt;=100,SUM($B$82)&gt;=0,SUM($B$82)&lt;=1,SUM($B$83)&gt;=0))),AND(ISNUMBER(B1333),B1333&gt;0,$B$171=1,NOT(ISNUMBER(D1333)))),1,0)</x:f>
        <x:v>0</x:v>
      </x:c>
      <x:c r="J1333" s="440" t="n">
        <x:f>IF(ISNUMBER(L1332),L1332,"")</x:f>
        <x:v>0</x:v>
      </x:c>
      <x:c r="K1333" s="440" t="n">
        <x:f>IF(AND(ISNUMBER(J1333),J1333=0),0,IF(AND($B$176=1,ISNUMBER(J1333)),MIN(J1333*(1+$B$87/12),IF($B$86=0,0,IF($B$87=0,$B$86/ROUND($B$88*12,0),$B$86*($B$87/12)/(1-(1+$B$87/12)^(-ROUND($B$88*12,0)))))),""))</x:f>
        <x:v>0</x:v>
      </x:c>
      <x:c r="L1333" s="440" t="n">
        <x:f>IF(ISNUMBER(K1333),IF(MAX(0,J1333*(1+SUM($B$87)/12)-K1333)&lt;MAX(0.0000001,$B$86*0.00000000001),0,MAX(0,J1333*(1+SUM($B$87)/12)-K1333)),"")</x:f>
        <x:v>0</x:v>
      </x:c>
      <x:c r="M1333" s="440" t="n">
        <x:f>IF(AND(ISNUMBER(D1333),ISNUMBER(K1333)),D1333+K1333,"")</x:f>
        <x:v>0</x:v>
      </x:c>
      <x:c r="N1333" s="440" t="n">
        <x:f>IF(AND(ISNUMBER(H1333),ISNUMBER(L1333)),H1333+L1333,"")</x:f>
        <x:v>0</x:v>
      </x:c>
    </x:row>
    <x:row r="1334" ht="22" customHeight="1">
      <x:c r="A1334" s="254" t="n">
        <x:f>934</x:f>
        <x:v>934</x:v>
      </x:c>
      <x:c r="B1334" s="440" t="n">
        <x:f>IF(ISNUMBER(H1333),H1333,"")</x:f>
        <x:v>0</x:v>
      </x:c>
      <x:c r="C1334" s="442" t="n">
        <x:f>IF(ISNUMBER(B1334),IF(AND(934&gt;$B$173,$B$78="Refinance",ISNUMBER($B$80),$B$80&gt;=0,$B$80&lt;=1,ROUND($B$81*12,0)&gt;=1,$B$81&lt;=100,SUM($B$82)&gt;=0,SUM($B$82)&lt;=1,SUM($B$83)&gt;=0),$B$80,IF(AND($B$175&gt;0,934&gt;$B$175,ISNUMBER($B$75)),$B$75,$B$61)),"")</x:f>
        <x:v>0.0625</x:v>
      </x:c>
      <x:c r="D1334" s="440" t="n">
        <x:f>IF(AND(ISNUMBER(B1334),B1334=0),0,IF(AND($B$171=1,I1333=0,ISNUMBER(C1334),ISNUMBER(IF(AND(934&lt;=$B$174,934&lt;=$B$173),B1334*C1334/12,IF(AND(934=$B$173+1,AND(934&gt;$B$173,$B$78="Refinance",ISNUMBER($B$80),$B$80&gt;=0,$B$80&lt;=1,ROUND($B$81*12,0)&gt;=1,$B$81&lt;=100,SUM($B$82)&gt;=0,SUM($B$82)&lt;=1,SUM($B$83)&gt;=0)),IF(B1334=0,0,IF(C1334=0,B1334/ROUND($B$81*12,0),B1334*(C1334/12)/(1-(1+C1334/12)^(-ROUND($B$81*12,0))))),IF(AND(NOT(AND(934&gt;$B$173,$B$78="Refinance",ISNUMBER($B$80),$B$80&gt;=0,$B$80&lt;=1,ROUND($B$81*12,0)&gt;=1,$B$81&lt;=100,SUM($B$82)&gt;=0,SUM($B$82)&lt;=1,SUM($B$83)&gt;=0)),OR(934=1,934=$B$174+1,AND($B$175&gt;0,934=$B$175+1))),IF(AND($B$170=1,$B$66&gt;0,OR($B$175=0,934&lt;=$B$175)),$B$66,IF($B$172-MAX(934-1,$B$174)&gt;0,IF(B1334=0,0,IF(C1334=0,B1334/($B$172-MAX(934-1,$B$174)),B1334*(C1334/12)/(1-(1+C1334/12)^(-($B$172-MAX(934-1,$B$174)))))),"")),D1333))))),IF(IF(AND(934&lt;=$B$174,934&lt;=$B$173),B1334*C1334/12,IF(AND(934=$B$173+1,AND(934&gt;$B$173,$B$78="Refinance",ISNUMBER($B$80),$B$80&gt;=0,$B$80&lt;=1,ROUND($B$81*12,0)&gt;=1,$B$81&lt;=100,SUM($B$82)&gt;=0,SUM($B$82)&lt;=1,SUM($B$83)&gt;=0)),IF(B1334=0,0,IF(C1334=0,B1334/ROUND($B$81*12,0),B1334*(C1334/12)/(1-(1+C1334/12)^(-ROUND($B$81*12,0))))),IF(AND(NOT(AND(934&gt;$B$173,$B$78="Refinance",ISNUMBER($B$80),$B$80&gt;=0,$B$80&lt;=1,ROUND($B$81*12,0)&gt;=1,$B$81&lt;=100,SUM($B$82)&gt;=0,SUM($B$82)&lt;=1,SUM($B$83)&gt;=0)),OR(934=1,934=$B$174+1,AND($B$175&gt;0,934=$B$175+1))),IF(AND($B$170=1,$B$66&gt;0,OR($B$175=0,934&lt;=$B$175)),$B$66,IF($B$172-MAX(934-1,$B$174)&gt;0,IF(B1334=0,0,IF(C1334=0,B1334/($B$172-MAX(934-1,$B$174)),B1334*(C1334/12)/(1-(1+C1334/12)^(-($B$172-MAX(934-1,$B$174)))))),"")),D1333)))+0.0000001&gt;=B1334*C1334/12,MIN(B1334*(1+C1334/12),IF(AND(934&lt;=$B$174,934&lt;=$B$173),B1334*C1334/12,IF(AND(934=$B$173+1,AND(934&gt;$B$173,$B$78="Refinance",ISNUMBER($B$80),$B$80&gt;=0,$B$80&lt;=1,ROUND($B$81*12,0)&gt;=1,$B$81&lt;=100,SUM($B$82)&gt;=0,SUM($B$82)&lt;=1,SUM($B$83)&gt;=0)),IF(B1334=0,0,IF(C1334=0,B1334/ROUND($B$81*12,0),B1334*(C1334/12)/(1-(1+C1334/12)^(-ROUND($B$81*12,0))))),IF(AND(NOT(AND(934&gt;$B$173,$B$78="Refinance",ISNUMBER($B$80),$B$80&gt;=0,$B$80&lt;=1,ROUND($B$81*12,0)&gt;=1,$B$81&lt;=100,SUM($B$82)&gt;=0,SUM($B$82)&lt;=1,SUM($B$83)&gt;=0)),OR(934=1,934=$B$174+1,AND($B$175&gt;0,934=$B$175+1))),IF(AND($B$170=1,$B$66&gt;0,OR($B$175=0,934&lt;=$B$175)),$B$66,IF($B$172-MAX(934-1,$B$174)&gt;0,IF(B1334=0,0,IF(C1334=0,B1334/($B$172-MAX(934-1,$B$174)),B1334*(C1334/12)/(1-(1+C1334/12)^(-($B$172-MAX(934-1,$B$174)))))),"")),D1333)))),""),""))</x:f>
        <x:v>0</x:v>
      </x:c>
      <x:c r="E1334" s="440" t="n">
        <x:f>IF(AND(934=$B$173,ISNUMBER(D1334)),IF(MAX(0,B1334*(1+C1334/12)-D1334)&lt;MAX(0.0000001,$E$17*0.00000000001),0,MAX(0,B1334*(1+C1334/12)-D1334)),0)</x:f>
        <x:v>0</x:v>
      </x:c>
      <x:c r="F1334" s="440" t="n">
        <x:f>IF($B$78="Cash payoff",E1334,0)</x:f>
        <x:v>0</x:v>
      </x:c>
      <x:c r="G1334" s="440" t="n">
        <x:f>IF(AND(E1334&gt;0,AND($B$78="Refinance",ISNUMBER($B$80),$B$80&gt;=0,$B$80&lt;=1,ROUND($B$81*12,0)&gt;=1,$B$81&lt;=100,SUM($B$82)&gt;=0,SUM($B$82)&lt;=1,SUM($B$83)&gt;=0)),E1334*SUM($B$82)+SUM($B$83),0)</x:f>
        <x:v>0</x:v>
      </x:c>
      <x:c r="H1334" s="440" t="n">
        <x:f>IF(ISNUMBER(D1334),IF(MAX(0,B1334*(1+C1334/12)-D1334-F1334)&lt;MAX(0.0000001,$E$17*0.00000000001),0,MAX(0,B1334*(1+C1334/12)-D1334-F1334)),IF(AND($B$171=1,I1333=1),B1334,""))</x:f>
        <x:v>0</x:v>
      </x:c>
      <x:c r="I1334" s="444" t="n">
        <x:f>IF(OR(I1333=1,AND(E1334&gt;0,$B$78&lt;&gt;"Cash payoff",NOT(AND($B$78="Refinance",ISNUMBER($B$80),$B$80&gt;=0,$B$80&lt;=1,ROUND($B$81*12,0)&gt;=1,$B$81&lt;=100,SUM($B$82)&gt;=0,SUM($B$82)&lt;=1,SUM($B$83)&gt;=0))),AND(ISNUMBER(B1334),B1334&gt;0,$B$171=1,NOT(ISNUMBER(D1334)))),1,0)</x:f>
        <x:v>0</x:v>
      </x:c>
      <x:c r="J1334" s="440" t="n">
        <x:f>IF(ISNUMBER(L1333),L1333,"")</x:f>
        <x:v>0</x:v>
      </x:c>
      <x:c r="K1334" s="440" t="n">
        <x:f>IF(AND(ISNUMBER(J1334),J1334=0),0,IF(AND($B$176=1,ISNUMBER(J1334)),MIN(J1334*(1+$B$87/12),IF($B$86=0,0,IF($B$87=0,$B$86/ROUND($B$88*12,0),$B$86*($B$87/12)/(1-(1+$B$87/12)^(-ROUND($B$88*12,0)))))),""))</x:f>
        <x:v>0</x:v>
      </x:c>
      <x:c r="L1334" s="440" t="n">
        <x:f>IF(ISNUMBER(K1334),IF(MAX(0,J1334*(1+SUM($B$87)/12)-K1334)&lt;MAX(0.0000001,$B$86*0.00000000001),0,MAX(0,J1334*(1+SUM($B$87)/12)-K1334)),"")</x:f>
        <x:v>0</x:v>
      </x:c>
      <x:c r="M1334" s="440" t="n">
        <x:f>IF(AND(ISNUMBER(D1334),ISNUMBER(K1334)),D1334+K1334,"")</x:f>
        <x:v>0</x:v>
      </x:c>
      <x:c r="N1334" s="440" t="n">
        <x:f>IF(AND(ISNUMBER(H1334),ISNUMBER(L1334)),H1334+L1334,"")</x:f>
        <x:v>0</x:v>
      </x:c>
    </x:row>
    <x:row r="1335" ht="22" customHeight="1">
      <x:c r="A1335" s="254" t="n">
        <x:f>935</x:f>
        <x:v>935</x:v>
      </x:c>
      <x:c r="B1335" s="440" t="n">
        <x:f>IF(ISNUMBER(H1334),H1334,"")</x:f>
        <x:v>0</x:v>
      </x:c>
      <x:c r="C1335" s="442" t="n">
        <x:f>IF(ISNUMBER(B1335),IF(AND(935&gt;$B$173,$B$78="Refinance",ISNUMBER($B$80),$B$80&gt;=0,$B$80&lt;=1,ROUND($B$81*12,0)&gt;=1,$B$81&lt;=100,SUM($B$82)&gt;=0,SUM($B$82)&lt;=1,SUM($B$83)&gt;=0),$B$80,IF(AND($B$175&gt;0,935&gt;$B$175,ISNUMBER($B$75)),$B$75,$B$61)),"")</x:f>
        <x:v>0.0625</x:v>
      </x:c>
      <x:c r="D1335" s="440" t="n">
        <x:f>IF(AND(ISNUMBER(B1335),B1335=0),0,IF(AND($B$171=1,I1334=0,ISNUMBER(C1335),ISNUMBER(IF(AND(935&lt;=$B$174,935&lt;=$B$173),B1335*C1335/12,IF(AND(935=$B$173+1,AND(935&gt;$B$173,$B$78="Refinance",ISNUMBER($B$80),$B$80&gt;=0,$B$80&lt;=1,ROUND($B$81*12,0)&gt;=1,$B$81&lt;=100,SUM($B$82)&gt;=0,SUM($B$82)&lt;=1,SUM($B$83)&gt;=0)),IF(B1335=0,0,IF(C1335=0,B1335/ROUND($B$81*12,0),B1335*(C1335/12)/(1-(1+C1335/12)^(-ROUND($B$81*12,0))))),IF(AND(NOT(AND(935&gt;$B$173,$B$78="Refinance",ISNUMBER($B$80),$B$80&gt;=0,$B$80&lt;=1,ROUND($B$81*12,0)&gt;=1,$B$81&lt;=100,SUM($B$82)&gt;=0,SUM($B$82)&lt;=1,SUM($B$83)&gt;=0)),OR(935=1,935=$B$174+1,AND($B$175&gt;0,935=$B$175+1))),IF(AND($B$170=1,$B$66&gt;0,OR($B$175=0,935&lt;=$B$175)),$B$66,IF($B$172-MAX(935-1,$B$174)&gt;0,IF(B1335=0,0,IF(C1335=0,B1335/($B$172-MAX(935-1,$B$174)),B1335*(C1335/12)/(1-(1+C1335/12)^(-($B$172-MAX(935-1,$B$174)))))),"")),D1334))))),IF(IF(AND(935&lt;=$B$174,935&lt;=$B$173),B1335*C1335/12,IF(AND(935=$B$173+1,AND(935&gt;$B$173,$B$78="Refinance",ISNUMBER($B$80),$B$80&gt;=0,$B$80&lt;=1,ROUND($B$81*12,0)&gt;=1,$B$81&lt;=100,SUM($B$82)&gt;=0,SUM($B$82)&lt;=1,SUM($B$83)&gt;=0)),IF(B1335=0,0,IF(C1335=0,B1335/ROUND($B$81*12,0),B1335*(C1335/12)/(1-(1+C1335/12)^(-ROUND($B$81*12,0))))),IF(AND(NOT(AND(935&gt;$B$173,$B$78="Refinance",ISNUMBER($B$80),$B$80&gt;=0,$B$80&lt;=1,ROUND($B$81*12,0)&gt;=1,$B$81&lt;=100,SUM($B$82)&gt;=0,SUM($B$82)&lt;=1,SUM($B$83)&gt;=0)),OR(935=1,935=$B$174+1,AND($B$175&gt;0,935=$B$175+1))),IF(AND($B$170=1,$B$66&gt;0,OR($B$175=0,935&lt;=$B$175)),$B$66,IF($B$172-MAX(935-1,$B$174)&gt;0,IF(B1335=0,0,IF(C1335=0,B1335/($B$172-MAX(935-1,$B$174)),B1335*(C1335/12)/(1-(1+C1335/12)^(-($B$172-MAX(935-1,$B$174)))))),"")),D1334)))+0.0000001&gt;=B1335*C1335/12,MIN(B1335*(1+C1335/12),IF(AND(935&lt;=$B$174,935&lt;=$B$173),B1335*C1335/12,IF(AND(935=$B$173+1,AND(935&gt;$B$173,$B$78="Refinance",ISNUMBER($B$80),$B$80&gt;=0,$B$80&lt;=1,ROUND($B$81*12,0)&gt;=1,$B$81&lt;=100,SUM($B$82)&gt;=0,SUM($B$82)&lt;=1,SUM($B$83)&gt;=0)),IF(B1335=0,0,IF(C1335=0,B1335/ROUND($B$81*12,0),B1335*(C1335/12)/(1-(1+C1335/12)^(-ROUND($B$81*12,0))))),IF(AND(NOT(AND(935&gt;$B$173,$B$78="Refinance",ISNUMBER($B$80),$B$80&gt;=0,$B$80&lt;=1,ROUND($B$81*12,0)&gt;=1,$B$81&lt;=100,SUM($B$82)&gt;=0,SUM($B$82)&lt;=1,SUM($B$83)&gt;=0)),OR(935=1,935=$B$174+1,AND($B$175&gt;0,935=$B$175+1))),IF(AND($B$170=1,$B$66&gt;0,OR($B$175=0,935&lt;=$B$175)),$B$66,IF($B$172-MAX(935-1,$B$174)&gt;0,IF(B1335=0,0,IF(C1335=0,B1335/($B$172-MAX(935-1,$B$174)),B1335*(C1335/12)/(1-(1+C1335/12)^(-($B$172-MAX(935-1,$B$174)))))),"")),D1334)))),""),""))</x:f>
        <x:v>0</x:v>
      </x:c>
      <x:c r="E1335" s="440" t="n">
        <x:f>IF(AND(935=$B$173,ISNUMBER(D1335)),IF(MAX(0,B1335*(1+C1335/12)-D1335)&lt;MAX(0.0000001,$E$17*0.00000000001),0,MAX(0,B1335*(1+C1335/12)-D1335)),0)</x:f>
        <x:v>0</x:v>
      </x:c>
      <x:c r="F1335" s="440" t="n">
        <x:f>IF($B$78="Cash payoff",E1335,0)</x:f>
        <x:v>0</x:v>
      </x:c>
      <x:c r="G1335" s="440" t="n">
        <x:f>IF(AND(E1335&gt;0,AND($B$78="Refinance",ISNUMBER($B$80),$B$80&gt;=0,$B$80&lt;=1,ROUND($B$81*12,0)&gt;=1,$B$81&lt;=100,SUM($B$82)&gt;=0,SUM($B$82)&lt;=1,SUM($B$83)&gt;=0)),E1335*SUM($B$82)+SUM($B$83),0)</x:f>
        <x:v>0</x:v>
      </x:c>
      <x:c r="H1335" s="440" t="n">
        <x:f>IF(ISNUMBER(D1335),IF(MAX(0,B1335*(1+C1335/12)-D1335-F1335)&lt;MAX(0.0000001,$E$17*0.00000000001),0,MAX(0,B1335*(1+C1335/12)-D1335-F1335)),IF(AND($B$171=1,I1334=1),B1335,""))</x:f>
        <x:v>0</x:v>
      </x:c>
      <x:c r="I1335" s="444" t="n">
        <x:f>IF(OR(I1334=1,AND(E1335&gt;0,$B$78&lt;&gt;"Cash payoff",NOT(AND($B$78="Refinance",ISNUMBER($B$80),$B$80&gt;=0,$B$80&lt;=1,ROUND($B$81*12,0)&gt;=1,$B$81&lt;=100,SUM($B$82)&gt;=0,SUM($B$82)&lt;=1,SUM($B$83)&gt;=0))),AND(ISNUMBER(B1335),B1335&gt;0,$B$171=1,NOT(ISNUMBER(D1335)))),1,0)</x:f>
        <x:v>0</x:v>
      </x:c>
      <x:c r="J1335" s="440" t="n">
        <x:f>IF(ISNUMBER(L1334),L1334,"")</x:f>
        <x:v>0</x:v>
      </x:c>
      <x:c r="K1335" s="440" t="n">
        <x:f>IF(AND(ISNUMBER(J1335),J1335=0),0,IF(AND($B$176=1,ISNUMBER(J1335)),MIN(J1335*(1+$B$87/12),IF($B$86=0,0,IF($B$87=0,$B$86/ROUND($B$88*12,0),$B$86*($B$87/12)/(1-(1+$B$87/12)^(-ROUND($B$88*12,0)))))),""))</x:f>
        <x:v>0</x:v>
      </x:c>
      <x:c r="L1335" s="440" t="n">
        <x:f>IF(ISNUMBER(K1335),IF(MAX(0,J1335*(1+SUM($B$87)/12)-K1335)&lt;MAX(0.0000001,$B$86*0.00000000001),0,MAX(0,J1335*(1+SUM($B$87)/12)-K1335)),"")</x:f>
        <x:v>0</x:v>
      </x:c>
      <x:c r="M1335" s="440" t="n">
        <x:f>IF(AND(ISNUMBER(D1335),ISNUMBER(K1335)),D1335+K1335,"")</x:f>
        <x:v>0</x:v>
      </x:c>
      <x:c r="N1335" s="440" t="n">
        <x:f>IF(AND(ISNUMBER(H1335),ISNUMBER(L1335)),H1335+L1335,"")</x:f>
        <x:v>0</x:v>
      </x:c>
    </x:row>
    <x:row r="1336" ht="22" customHeight="1">
      <x:c r="A1336" s="254" t="n">
        <x:f>936</x:f>
        <x:v>936</x:v>
      </x:c>
      <x:c r="B1336" s="440" t="n">
        <x:f>IF(ISNUMBER(H1335),H1335,"")</x:f>
        <x:v>0</x:v>
      </x:c>
      <x:c r="C1336" s="442" t="n">
        <x:f>IF(ISNUMBER(B1336),IF(AND(936&gt;$B$173,$B$78="Refinance",ISNUMBER($B$80),$B$80&gt;=0,$B$80&lt;=1,ROUND($B$81*12,0)&gt;=1,$B$81&lt;=100,SUM($B$82)&gt;=0,SUM($B$82)&lt;=1,SUM($B$83)&gt;=0),$B$80,IF(AND($B$175&gt;0,936&gt;$B$175,ISNUMBER($B$75)),$B$75,$B$61)),"")</x:f>
        <x:v>0.0625</x:v>
      </x:c>
      <x:c r="D1336" s="440" t="n">
        <x:f>IF(AND(ISNUMBER(B1336),B1336=0),0,IF(AND($B$171=1,I1335=0,ISNUMBER(C1336),ISNUMBER(IF(AND(936&lt;=$B$174,936&lt;=$B$173),B1336*C1336/12,IF(AND(936=$B$173+1,AND(936&gt;$B$173,$B$78="Refinance",ISNUMBER($B$80),$B$80&gt;=0,$B$80&lt;=1,ROUND($B$81*12,0)&gt;=1,$B$81&lt;=100,SUM($B$82)&gt;=0,SUM($B$82)&lt;=1,SUM($B$83)&gt;=0)),IF(B1336=0,0,IF(C1336=0,B1336/ROUND($B$81*12,0),B1336*(C1336/12)/(1-(1+C1336/12)^(-ROUND($B$81*12,0))))),IF(AND(NOT(AND(936&gt;$B$173,$B$78="Refinance",ISNUMBER($B$80),$B$80&gt;=0,$B$80&lt;=1,ROUND($B$81*12,0)&gt;=1,$B$81&lt;=100,SUM($B$82)&gt;=0,SUM($B$82)&lt;=1,SUM($B$83)&gt;=0)),OR(936=1,936=$B$174+1,AND($B$175&gt;0,936=$B$175+1))),IF(AND($B$170=1,$B$66&gt;0,OR($B$175=0,936&lt;=$B$175)),$B$66,IF($B$172-MAX(936-1,$B$174)&gt;0,IF(B1336=0,0,IF(C1336=0,B1336/($B$172-MAX(936-1,$B$174)),B1336*(C1336/12)/(1-(1+C1336/12)^(-($B$172-MAX(936-1,$B$174)))))),"")),D1335))))),IF(IF(AND(936&lt;=$B$174,936&lt;=$B$173),B1336*C1336/12,IF(AND(936=$B$173+1,AND(936&gt;$B$173,$B$78="Refinance",ISNUMBER($B$80),$B$80&gt;=0,$B$80&lt;=1,ROUND($B$81*12,0)&gt;=1,$B$81&lt;=100,SUM($B$82)&gt;=0,SUM($B$82)&lt;=1,SUM($B$83)&gt;=0)),IF(B1336=0,0,IF(C1336=0,B1336/ROUND($B$81*12,0),B1336*(C1336/12)/(1-(1+C1336/12)^(-ROUND($B$81*12,0))))),IF(AND(NOT(AND(936&gt;$B$173,$B$78="Refinance",ISNUMBER($B$80),$B$80&gt;=0,$B$80&lt;=1,ROUND($B$81*12,0)&gt;=1,$B$81&lt;=100,SUM($B$82)&gt;=0,SUM($B$82)&lt;=1,SUM($B$83)&gt;=0)),OR(936=1,936=$B$174+1,AND($B$175&gt;0,936=$B$175+1))),IF(AND($B$170=1,$B$66&gt;0,OR($B$175=0,936&lt;=$B$175)),$B$66,IF($B$172-MAX(936-1,$B$174)&gt;0,IF(B1336=0,0,IF(C1336=0,B1336/($B$172-MAX(936-1,$B$174)),B1336*(C1336/12)/(1-(1+C1336/12)^(-($B$172-MAX(936-1,$B$174)))))),"")),D1335)))+0.0000001&gt;=B1336*C1336/12,MIN(B1336*(1+C1336/12),IF(AND(936&lt;=$B$174,936&lt;=$B$173),B1336*C1336/12,IF(AND(936=$B$173+1,AND(936&gt;$B$173,$B$78="Refinance",ISNUMBER($B$80),$B$80&gt;=0,$B$80&lt;=1,ROUND($B$81*12,0)&gt;=1,$B$81&lt;=100,SUM($B$82)&gt;=0,SUM($B$82)&lt;=1,SUM($B$83)&gt;=0)),IF(B1336=0,0,IF(C1336=0,B1336/ROUND($B$81*12,0),B1336*(C1336/12)/(1-(1+C1336/12)^(-ROUND($B$81*12,0))))),IF(AND(NOT(AND(936&gt;$B$173,$B$78="Refinance",ISNUMBER($B$80),$B$80&gt;=0,$B$80&lt;=1,ROUND($B$81*12,0)&gt;=1,$B$81&lt;=100,SUM($B$82)&gt;=0,SUM($B$82)&lt;=1,SUM($B$83)&gt;=0)),OR(936=1,936=$B$174+1,AND($B$175&gt;0,936=$B$175+1))),IF(AND($B$170=1,$B$66&gt;0,OR($B$175=0,936&lt;=$B$175)),$B$66,IF($B$172-MAX(936-1,$B$174)&gt;0,IF(B1336=0,0,IF(C1336=0,B1336/($B$172-MAX(936-1,$B$174)),B1336*(C1336/12)/(1-(1+C1336/12)^(-($B$172-MAX(936-1,$B$174)))))),"")),D1335)))),""),""))</x:f>
        <x:v>0</x:v>
      </x:c>
      <x:c r="E1336" s="440" t="n">
        <x:f>IF(AND(936=$B$173,ISNUMBER(D1336)),IF(MAX(0,B1336*(1+C1336/12)-D1336)&lt;MAX(0.0000001,$E$17*0.00000000001),0,MAX(0,B1336*(1+C1336/12)-D1336)),0)</x:f>
        <x:v>0</x:v>
      </x:c>
      <x:c r="F1336" s="440" t="n">
        <x:f>IF($B$78="Cash payoff",E1336,0)</x:f>
        <x:v>0</x:v>
      </x:c>
      <x:c r="G1336" s="440" t="n">
        <x:f>IF(AND(E1336&gt;0,AND($B$78="Refinance",ISNUMBER($B$80),$B$80&gt;=0,$B$80&lt;=1,ROUND($B$81*12,0)&gt;=1,$B$81&lt;=100,SUM($B$82)&gt;=0,SUM($B$82)&lt;=1,SUM($B$83)&gt;=0)),E1336*SUM($B$82)+SUM($B$83),0)</x:f>
        <x:v>0</x:v>
      </x:c>
      <x:c r="H1336" s="440" t="n">
        <x:f>IF(ISNUMBER(D1336),IF(MAX(0,B1336*(1+C1336/12)-D1336-F1336)&lt;MAX(0.0000001,$E$17*0.00000000001),0,MAX(0,B1336*(1+C1336/12)-D1336-F1336)),IF(AND($B$171=1,I1335=1),B1336,""))</x:f>
        <x:v>0</x:v>
      </x:c>
      <x:c r="I1336" s="444" t="n">
        <x:f>IF(OR(I1335=1,AND(E1336&gt;0,$B$78&lt;&gt;"Cash payoff",NOT(AND($B$78="Refinance",ISNUMBER($B$80),$B$80&gt;=0,$B$80&lt;=1,ROUND($B$81*12,0)&gt;=1,$B$81&lt;=100,SUM($B$82)&gt;=0,SUM($B$82)&lt;=1,SUM($B$83)&gt;=0))),AND(ISNUMBER(B1336),B1336&gt;0,$B$171=1,NOT(ISNUMBER(D1336)))),1,0)</x:f>
        <x:v>0</x:v>
      </x:c>
      <x:c r="J1336" s="440" t="n">
        <x:f>IF(ISNUMBER(L1335),L1335,"")</x:f>
        <x:v>0</x:v>
      </x:c>
      <x:c r="K1336" s="440" t="n">
        <x:f>IF(AND(ISNUMBER(J1336),J1336=0),0,IF(AND($B$176=1,ISNUMBER(J1336)),MIN(J1336*(1+$B$87/12),IF($B$86=0,0,IF($B$87=0,$B$86/ROUND($B$88*12,0),$B$86*($B$87/12)/(1-(1+$B$87/12)^(-ROUND($B$88*12,0)))))),""))</x:f>
        <x:v>0</x:v>
      </x:c>
      <x:c r="L1336" s="440" t="n">
        <x:f>IF(ISNUMBER(K1336),IF(MAX(0,J1336*(1+SUM($B$87)/12)-K1336)&lt;MAX(0.0000001,$B$86*0.00000000001),0,MAX(0,J1336*(1+SUM($B$87)/12)-K1336)),"")</x:f>
        <x:v>0</x:v>
      </x:c>
      <x:c r="M1336" s="440" t="n">
        <x:f>IF(AND(ISNUMBER(D1336),ISNUMBER(K1336)),D1336+K1336,"")</x:f>
        <x:v>0</x:v>
      </x:c>
      <x:c r="N1336" s="440" t="n">
        <x:f>IF(AND(ISNUMBER(H1336),ISNUMBER(L1336)),H1336+L1336,"")</x:f>
        <x:v>0</x:v>
      </x:c>
    </x:row>
    <x:row r="1337" ht="22" customHeight="1">
      <x:c r="A1337" s="254" t="n">
        <x:f>937</x:f>
        <x:v>937</x:v>
      </x:c>
      <x:c r="B1337" s="440" t="n">
        <x:f>IF(ISNUMBER(H1336),H1336,"")</x:f>
        <x:v>0</x:v>
      </x:c>
      <x:c r="C1337" s="442" t="n">
        <x:f>IF(ISNUMBER(B1337),IF(AND(937&gt;$B$173,$B$78="Refinance",ISNUMBER($B$80),$B$80&gt;=0,$B$80&lt;=1,ROUND($B$81*12,0)&gt;=1,$B$81&lt;=100,SUM($B$82)&gt;=0,SUM($B$82)&lt;=1,SUM($B$83)&gt;=0),$B$80,IF(AND($B$175&gt;0,937&gt;$B$175,ISNUMBER($B$75)),$B$75,$B$61)),"")</x:f>
        <x:v>0.0625</x:v>
      </x:c>
      <x:c r="D1337" s="440" t="n">
        <x:f>IF(AND(ISNUMBER(B1337),B1337=0),0,IF(AND($B$171=1,I1336=0,ISNUMBER(C1337),ISNUMBER(IF(AND(937&lt;=$B$174,937&lt;=$B$173),B1337*C1337/12,IF(AND(937=$B$173+1,AND(937&gt;$B$173,$B$78="Refinance",ISNUMBER($B$80),$B$80&gt;=0,$B$80&lt;=1,ROUND($B$81*12,0)&gt;=1,$B$81&lt;=100,SUM($B$82)&gt;=0,SUM($B$82)&lt;=1,SUM($B$83)&gt;=0)),IF(B1337=0,0,IF(C1337=0,B1337/ROUND($B$81*12,0),B1337*(C1337/12)/(1-(1+C1337/12)^(-ROUND($B$81*12,0))))),IF(AND(NOT(AND(937&gt;$B$173,$B$78="Refinance",ISNUMBER($B$80),$B$80&gt;=0,$B$80&lt;=1,ROUND($B$81*12,0)&gt;=1,$B$81&lt;=100,SUM($B$82)&gt;=0,SUM($B$82)&lt;=1,SUM($B$83)&gt;=0)),OR(937=1,937=$B$174+1,AND($B$175&gt;0,937=$B$175+1))),IF(AND($B$170=1,$B$66&gt;0,OR($B$175=0,937&lt;=$B$175)),$B$66,IF($B$172-MAX(937-1,$B$174)&gt;0,IF(B1337=0,0,IF(C1337=0,B1337/($B$172-MAX(937-1,$B$174)),B1337*(C1337/12)/(1-(1+C1337/12)^(-($B$172-MAX(937-1,$B$174)))))),"")),D1336))))),IF(IF(AND(937&lt;=$B$174,937&lt;=$B$173),B1337*C1337/12,IF(AND(937=$B$173+1,AND(937&gt;$B$173,$B$78="Refinance",ISNUMBER($B$80),$B$80&gt;=0,$B$80&lt;=1,ROUND($B$81*12,0)&gt;=1,$B$81&lt;=100,SUM($B$82)&gt;=0,SUM($B$82)&lt;=1,SUM($B$83)&gt;=0)),IF(B1337=0,0,IF(C1337=0,B1337/ROUND($B$81*12,0),B1337*(C1337/12)/(1-(1+C1337/12)^(-ROUND($B$81*12,0))))),IF(AND(NOT(AND(937&gt;$B$173,$B$78="Refinance",ISNUMBER($B$80),$B$80&gt;=0,$B$80&lt;=1,ROUND($B$81*12,0)&gt;=1,$B$81&lt;=100,SUM($B$82)&gt;=0,SUM($B$82)&lt;=1,SUM($B$83)&gt;=0)),OR(937=1,937=$B$174+1,AND($B$175&gt;0,937=$B$175+1))),IF(AND($B$170=1,$B$66&gt;0,OR($B$175=0,937&lt;=$B$175)),$B$66,IF($B$172-MAX(937-1,$B$174)&gt;0,IF(B1337=0,0,IF(C1337=0,B1337/($B$172-MAX(937-1,$B$174)),B1337*(C1337/12)/(1-(1+C1337/12)^(-($B$172-MAX(937-1,$B$174)))))),"")),D1336)))+0.0000001&gt;=B1337*C1337/12,MIN(B1337*(1+C1337/12),IF(AND(937&lt;=$B$174,937&lt;=$B$173),B1337*C1337/12,IF(AND(937=$B$173+1,AND(937&gt;$B$173,$B$78="Refinance",ISNUMBER($B$80),$B$80&gt;=0,$B$80&lt;=1,ROUND($B$81*12,0)&gt;=1,$B$81&lt;=100,SUM($B$82)&gt;=0,SUM($B$82)&lt;=1,SUM($B$83)&gt;=0)),IF(B1337=0,0,IF(C1337=0,B1337/ROUND($B$81*12,0),B1337*(C1337/12)/(1-(1+C1337/12)^(-ROUND($B$81*12,0))))),IF(AND(NOT(AND(937&gt;$B$173,$B$78="Refinance",ISNUMBER($B$80),$B$80&gt;=0,$B$80&lt;=1,ROUND($B$81*12,0)&gt;=1,$B$81&lt;=100,SUM($B$82)&gt;=0,SUM($B$82)&lt;=1,SUM($B$83)&gt;=0)),OR(937=1,937=$B$174+1,AND($B$175&gt;0,937=$B$175+1))),IF(AND($B$170=1,$B$66&gt;0,OR($B$175=0,937&lt;=$B$175)),$B$66,IF($B$172-MAX(937-1,$B$174)&gt;0,IF(B1337=0,0,IF(C1337=0,B1337/($B$172-MAX(937-1,$B$174)),B1337*(C1337/12)/(1-(1+C1337/12)^(-($B$172-MAX(937-1,$B$174)))))),"")),D1336)))),""),""))</x:f>
        <x:v>0</x:v>
      </x:c>
      <x:c r="E1337" s="440" t="n">
        <x:f>IF(AND(937=$B$173,ISNUMBER(D1337)),IF(MAX(0,B1337*(1+C1337/12)-D1337)&lt;MAX(0.0000001,$E$17*0.00000000001),0,MAX(0,B1337*(1+C1337/12)-D1337)),0)</x:f>
        <x:v>0</x:v>
      </x:c>
      <x:c r="F1337" s="440" t="n">
        <x:f>IF($B$78="Cash payoff",E1337,0)</x:f>
        <x:v>0</x:v>
      </x:c>
      <x:c r="G1337" s="440" t="n">
        <x:f>IF(AND(E1337&gt;0,AND($B$78="Refinance",ISNUMBER($B$80),$B$80&gt;=0,$B$80&lt;=1,ROUND($B$81*12,0)&gt;=1,$B$81&lt;=100,SUM($B$82)&gt;=0,SUM($B$82)&lt;=1,SUM($B$83)&gt;=0)),E1337*SUM($B$82)+SUM($B$83),0)</x:f>
        <x:v>0</x:v>
      </x:c>
      <x:c r="H1337" s="440" t="n">
        <x:f>IF(ISNUMBER(D1337),IF(MAX(0,B1337*(1+C1337/12)-D1337-F1337)&lt;MAX(0.0000001,$E$17*0.00000000001),0,MAX(0,B1337*(1+C1337/12)-D1337-F1337)),IF(AND($B$171=1,I1336=1),B1337,""))</x:f>
        <x:v>0</x:v>
      </x:c>
      <x:c r="I1337" s="444" t="n">
        <x:f>IF(OR(I1336=1,AND(E1337&gt;0,$B$78&lt;&gt;"Cash payoff",NOT(AND($B$78="Refinance",ISNUMBER($B$80),$B$80&gt;=0,$B$80&lt;=1,ROUND($B$81*12,0)&gt;=1,$B$81&lt;=100,SUM($B$82)&gt;=0,SUM($B$82)&lt;=1,SUM($B$83)&gt;=0))),AND(ISNUMBER(B1337),B1337&gt;0,$B$171=1,NOT(ISNUMBER(D1337)))),1,0)</x:f>
        <x:v>0</x:v>
      </x:c>
      <x:c r="J1337" s="440" t="n">
        <x:f>IF(ISNUMBER(L1336),L1336,"")</x:f>
        <x:v>0</x:v>
      </x:c>
      <x:c r="K1337" s="440" t="n">
        <x:f>IF(AND(ISNUMBER(J1337),J1337=0),0,IF(AND($B$176=1,ISNUMBER(J1337)),MIN(J1337*(1+$B$87/12),IF($B$86=0,0,IF($B$87=0,$B$86/ROUND($B$88*12,0),$B$86*($B$87/12)/(1-(1+$B$87/12)^(-ROUND($B$88*12,0)))))),""))</x:f>
        <x:v>0</x:v>
      </x:c>
      <x:c r="L1337" s="440" t="n">
        <x:f>IF(ISNUMBER(K1337),IF(MAX(0,J1337*(1+SUM($B$87)/12)-K1337)&lt;MAX(0.0000001,$B$86*0.00000000001),0,MAX(0,J1337*(1+SUM($B$87)/12)-K1337)),"")</x:f>
        <x:v>0</x:v>
      </x:c>
      <x:c r="M1337" s="440" t="n">
        <x:f>IF(AND(ISNUMBER(D1337),ISNUMBER(K1337)),D1337+K1337,"")</x:f>
        <x:v>0</x:v>
      </x:c>
      <x:c r="N1337" s="440" t="n">
        <x:f>IF(AND(ISNUMBER(H1337),ISNUMBER(L1337)),H1337+L1337,"")</x:f>
        <x:v>0</x:v>
      </x:c>
    </x:row>
    <x:row r="1338" ht="22" customHeight="1">
      <x:c r="A1338" s="254" t="n">
        <x:f>938</x:f>
        <x:v>938</x:v>
      </x:c>
      <x:c r="B1338" s="440" t="n">
        <x:f>IF(ISNUMBER(H1337),H1337,"")</x:f>
        <x:v>0</x:v>
      </x:c>
      <x:c r="C1338" s="442" t="n">
        <x:f>IF(ISNUMBER(B1338),IF(AND(938&gt;$B$173,$B$78="Refinance",ISNUMBER($B$80),$B$80&gt;=0,$B$80&lt;=1,ROUND($B$81*12,0)&gt;=1,$B$81&lt;=100,SUM($B$82)&gt;=0,SUM($B$82)&lt;=1,SUM($B$83)&gt;=0),$B$80,IF(AND($B$175&gt;0,938&gt;$B$175,ISNUMBER($B$75)),$B$75,$B$61)),"")</x:f>
        <x:v>0.0625</x:v>
      </x:c>
      <x:c r="D1338" s="440" t="n">
        <x:f>IF(AND(ISNUMBER(B1338),B1338=0),0,IF(AND($B$171=1,I1337=0,ISNUMBER(C1338),ISNUMBER(IF(AND(938&lt;=$B$174,938&lt;=$B$173),B1338*C1338/12,IF(AND(938=$B$173+1,AND(938&gt;$B$173,$B$78="Refinance",ISNUMBER($B$80),$B$80&gt;=0,$B$80&lt;=1,ROUND($B$81*12,0)&gt;=1,$B$81&lt;=100,SUM($B$82)&gt;=0,SUM($B$82)&lt;=1,SUM($B$83)&gt;=0)),IF(B1338=0,0,IF(C1338=0,B1338/ROUND($B$81*12,0),B1338*(C1338/12)/(1-(1+C1338/12)^(-ROUND($B$81*12,0))))),IF(AND(NOT(AND(938&gt;$B$173,$B$78="Refinance",ISNUMBER($B$80),$B$80&gt;=0,$B$80&lt;=1,ROUND($B$81*12,0)&gt;=1,$B$81&lt;=100,SUM($B$82)&gt;=0,SUM($B$82)&lt;=1,SUM($B$83)&gt;=0)),OR(938=1,938=$B$174+1,AND($B$175&gt;0,938=$B$175+1))),IF(AND($B$170=1,$B$66&gt;0,OR($B$175=0,938&lt;=$B$175)),$B$66,IF($B$172-MAX(938-1,$B$174)&gt;0,IF(B1338=0,0,IF(C1338=0,B1338/($B$172-MAX(938-1,$B$174)),B1338*(C1338/12)/(1-(1+C1338/12)^(-($B$172-MAX(938-1,$B$174)))))),"")),D1337))))),IF(IF(AND(938&lt;=$B$174,938&lt;=$B$173),B1338*C1338/12,IF(AND(938=$B$173+1,AND(938&gt;$B$173,$B$78="Refinance",ISNUMBER($B$80),$B$80&gt;=0,$B$80&lt;=1,ROUND($B$81*12,0)&gt;=1,$B$81&lt;=100,SUM($B$82)&gt;=0,SUM($B$82)&lt;=1,SUM($B$83)&gt;=0)),IF(B1338=0,0,IF(C1338=0,B1338/ROUND($B$81*12,0),B1338*(C1338/12)/(1-(1+C1338/12)^(-ROUND($B$81*12,0))))),IF(AND(NOT(AND(938&gt;$B$173,$B$78="Refinance",ISNUMBER($B$80),$B$80&gt;=0,$B$80&lt;=1,ROUND($B$81*12,0)&gt;=1,$B$81&lt;=100,SUM($B$82)&gt;=0,SUM($B$82)&lt;=1,SUM($B$83)&gt;=0)),OR(938=1,938=$B$174+1,AND($B$175&gt;0,938=$B$175+1))),IF(AND($B$170=1,$B$66&gt;0,OR($B$175=0,938&lt;=$B$175)),$B$66,IF($B$172-MAX(938-1,$B$174)&gt;0,IF(B1338=0,0,IF(C1338=0,B1338/($B$172-MAX(938-1,$B$174)),B1338*(C1338/12)/(1-(1+C1338/12)^(-($B$172-MAX(938-1,$B$174)))))),"")),D1337)))+0.0000001&gt;=B1338*C1338/12,MIN(B1338*(1+C1338/12),IF(AND(938&lt;=$B$174,938&lt;=$B$173),B1338*C1338/12,IF(AND(938=$B$173+1,AND(938&gt;$B$173,$B$78="Refinance",ISNUMBER($B$80),$B$80&gt;=0,$B$80&lt;=1,ROUND($B$81*12,0)&gt;=1,$B$81&lt;=100,SUM($B$82)&gt;=0,SUM($B$82)&lt;=1,SUM($B$83)&gt;=0)),IF(B1338=0,0,IF(C1338=0,B1338/ROUND($B$81*12,0),B1338*(C1338/12)/(1-(1+C1338/12)^(-ROUND($B$81*12,0))))),IF(AND(NOT(AND(938&gt;$B$173,$B$78="Refinance",ISNUMBER($B$80),$B$80&gt;=0,$B$80&lt;=1,ROUND($B$81*12,0)&gt;=1,$B$81&lt;=100,SUM($B$82)&gt;=0,SUM($B$82)&lt;=1,SUM($B$83)&gt;=0)),OR(938=1,938=$B$174+1,AND($B$175&gt;0,938=$B$175+1))),IF(AND($B$170=1,$B$66&gt;0,OR($B$175=0,938&lt;=$B$175)),$B$66,IF($B$172-MAX(938-1,$B$174)&gt;0,IF(B1338=0,0,IF(C1338=0,B1338/($B$172-MAX(938-1,$B$174)),B1338*(C1338/12)/(1-(1+C1338/12)^(-($B$172-MAX(938-1,$B$174)))))),"")),D1337)))),""),""))</x:f>
        <x:v>0</x:v>
      </x:c>
      <x:c r="E1338" s="440" t="n">
        <x:f>IF(AND(938=$B$173,ISNUMBER(D1338)),IF(MAX(0,B1338*(1+C1338/12)-D1338)&lt;MAX(0.0000001,$E$17*0.00000000001),0,MAX(0,B1338*(1+C1338/12)-D1338)),0)</x:f>
        <x:v>0</x:v>
      </x:c>
      <x:c r="F1338" s="440" t="n">
        <x:f>IF($B$78="Cash payoff",E1338,0)</x:f>
        <x:v>0</x:v>
      </x:c>
      <x:c r="G1338" s="440" t="n">
        <x:f>IF(AND(E1338&gt;0,AND($B$78="Refinance",ISNUMBER($B$80),$B$80&gt;=0,$B$80&lt;=1,ROUND($B$81*12,0)&gt;=1,$B$81&lt;=100,SUM($B$82)&gt;=0,SUM($B$82)&lt;=1,SUM($B$83)&gt;=0)),E1338*SUM($B$82)+SUM($B$83),0)</x:f>
        <x:v>0</x:v>
      </x:c>
      <x:c r="H1338" s="440" t="n">
        <x:f>IF(ISNUMBER(D1338),IF(MAX(0,B1338*(1+C1338/12)-D1338-F1338)&lt;MAX(0.0000001,$E$17*0.00000000001),0,MAX(0,B1338*(1+C1338/12)-D1338-F1338)),IF(AND($B$171=1,I1337=1),B1338,""))</x:f>
        <x:v>0</x:v>
      </x:c>
      <x:c r="I1338" s="444" t="n">
        <x:f>IF(OR(I1337=1,AND(E1338&gt;0,$B$78&lt;&gt;"Cash payoff",NOT(AND($B$78="Refinance",ISNUMBER($B$80),$B$80&gt;=0,$B$80&lt;=1,ROUND($B$81*12,0)&gt;=1,$B$81&lt;=100,SUM($B$82)&gt;=0,SUM($B$82)&lt;=1,SUM($B$83)&gt;=0))),AND(ISNUMBER(B1338),B1338&gt;0,$B$171=1,NOT(ISNUMBER(D1338)))),1,0)</x:f>
        <x:v>0</x:v>
      </x:c>
      <x:c r="J1338" s="440" t="n">
        <x:f>IF(ISNUMBER(L1337),L1337,"")</x:f>
        <x:v>0</x:v>
      </x:c>
      <x:c r="K1338" s="440" t="n">
        <x:f>IF(AND(ISNUMBER(J1338),J1338=0),0,IF(AND($B$176=1,ISNUMBER(J1338)),MIN(J1338*(1+$B$87/12),IF($B$86=0,0,IF($B$87=0,$B$86/ROUND($B$88*12,0),$B$86*($B$87/12)/(1-(1+$B$87/12)^(-ROUND($B$88*12,0)))))),""))</x:f>
        <x:v>0</x:v>
      </x:c>
      <x:c r="L1338" s="440" t="n">
        <x:f>IF(ISNUMBER(K1338),IF(MAX(0,J1338*(1+SUM($B$87)/12)-K1338)&lt;MAX(0.0000001,$B$86*0.00000000001),0,MAX(0,J1338*(1+SUM($B$87)/12)-K1338)),"")</x:f>
        <x:v>0</x:v>
      </x:c>
      <x:c r="M1338" s="440" t="n">
        <x:f>IF(AND(ISNUMBER(D1338),ISNUMBER(K1338)),D1338+K1338,"")</x:f>
        <x:v>0</x:v>
      </x:c>
      <x:c r="N1338" s="440" t="n">
        <x:f>IF(AND(ISNUMBER(H1338),ISNUMBER(L1338)),H1338+L1338,"")</x:f>
        <x:v>0</x:v>
      </x:c>
    </x:row>
    <x:row r="1339" ht="22" customHeight="1">
      <x:c r="A1339" s="254" t="n">
        <x:f>939</x:f>
        <x:v>939</x:v>
      </x:c>
      <x:c r="B1339" s="440" t="n">
        <x:f>IF(ISNUMBER(H1338),H1338,"")</x:f>
        <x:v>0</x:v>
      </x:c>
      <x:c r="C1339" s="442" t="n">
        <x:f>IF(ISNUMBER(B1339),IF(AND(939&gt;$B$173,$B$78="Refinance",ISNUMBER($B$80),$B$80&gt;=0,$B$80&lt;=1,ROUND($B$81*12,0)&gt;=1,$B$81&lt;=100,SUM($B$82)&gt;=0,SUM($B$82)&lt;=1,SUM($B$83)&gt;=0),$B$80,IF(AND($B$175&gt;0,939&gt;$B$175,ISNUMBER($B$75)),$B$75,$B$61)),"")</x:f>
        <x:v>0.0625</x:v>
      </x:c>
      <x:c r="D1339" s="440" t="n">
        <x:f>IF(AND(ISNUMBER(B1339),B1339=0),0,IF(AND($B$171=1,I1338=0,ISNUMBER(C1339),ISNUMBER(IF(AND(939&lt;=$B$174,939&lt;=$B$173),B1339*C1339/12,IF(AND(939=$B$173+1,AND(939&gt;$B$173,$B$78="Refinance",ISNUMBER($B$80),$B$80&gt;=0,$B$80&lt;=1,ROUND($B$81*12,0)&gt;=1,$B$81&lt;=100,SUM($B$82)&gt;=0,SUM($B$82)&lt;=1,SUM($B$83)&gt;=0)),IF(B1339=0,0,IF(C1339=0,B1339/ROUND($B$81*12,0),B1339*(C1339/12)/(1-(1+C1339/12)^(-ROUND($B$81*12,0))))),IF(AND(NOT(AND(939&gt;$B$173,$B$78="Refinance",ISNUMBER($B$80),$B$80&gt;=0,$B$80&lt;=1,ROUND($B$81*12,0)&gt;=1,$B$81&lt;=100,SUM($B$82)&gt;=0,SUM($B$82)&lt;=1,SUM($B$83)&gt;=0)),OR(939=1,939=$B$174+1,AND($B$175&gt;0,939=$B$175+1))),IF(AND($B$170=1,$B$66&gt;0,OR($B$175=0,939&lt;=$B$175)),$B$66,IF($B$172-MAX(939-1,$B$174)&gt;0,IF(B1339=0,0,IF(C1339=0,B1339/($B$172-MAX(939-1,$B$174)),B1339*(C1339/12)/(1-(1+C1339/12)^(-($B$172-MAX(939-1,$B$174)))))),"")),D1338))))),IF(IF(AND(939&lt;=$B$174,939&lt;=$B$173),B1339*C1339/12,IF(AND(939=$B$173+1,AND(939&gt;$B$173,$B$78="Refinance",ISNUMBER($B$80),$B$80&gt;=0,$B$80&lt;=1,ROUND($B$81*12,0)&gt;=1,$B$81&lt;=100,SUM($B$82)&gt;=0,SUM($B$82)&lt;=1,SUM($B$83)&gt;=0)),IF(B1339=0,0,IF(C1339=0,B1339/ROUND($B$81*12,0),B1339*(C1339/12)/(1-(1+C1339/12)^(-ROUND($B$81*12,0))))),IF(AND(NOT(AND(939&gt;$B$173,$B$78="Refinance",ISNUMBER($B$80),$B$80&gt;=0,$B$80&lt;=1,ROUND($B$81*12,0)&gt;=1,$B$81&lt;=100,SUM($B$82)&gt;=0,SUM($B$82)&lt;=1,SUM($B$83)&gt;=0)),OR(939=1,939=$B$174+1,AND($B$175&gt;0,939=$B$175+1))),IF(AND($B$170=1,$B$66&gt;0,OR($B$175=0,939&lt;=$B$175)),$B$66,IF($B$172-MAX(939-1,$B$174)&gt;0,IF(B1339=0,0,IF(C1339=0,B1339/($B$172-MAX(939-1,$B$174)),B1339*(C1339/12)/(1-(1+C1339/12)^(-($B$172-MAX(939-1,$B$174)))))),"")),D1338)))+0.0000001&gt;=B1339*C1339/12,MIN(B1339*(1+C1339/12),IF(AND(939&lt;=$B$174,939&lt;=$B$173),B1339*C1339/12,IF(AND(939=$B$173+1,AND(939&gt;$B$173,$B$78="Refinance",ISNUMBER($B$80),$B$80&gt;=0,$B$80&lt;=1,ROUND($B$81*12,0)&gt;=1,$B$81&lt;=100,SUM($B$82)&gt;=0,SUM($B$82)&lt;=1,SUM($B$83)&gt;=0)),IF(B1339=0,0,IF(C1339=0,B1339/ROUND($B$81*12,0),B1339*(C1339/12)/(1-(1+C1339/12)^(-ROUND($B$81*12,0))))),IF(AND(NOT(AND(939&gt;$B$173,$B$78="Refinance",ISNUMBER($B$80),$B$80&gt;=0,$B$80&lt;=1,ROUND($B$81*12,0)&gt;=1,$B$81&lt;=100,SUM($B$82)&gt;=0,SUM($B$82)&lt;=1,SUM($B$83)&gt;=0)),OR(939=1,939=$B$174+1,AND($B$175&gt;0,939=$B$175+1))),IF(AND($B$170=1,$B$66&gt;0,OR($B$175=0,939&lt;=$B$175)),$B$66,IF($B$172-MAX(939-1,$B$174)&gt;0,IF(B1339=0,0,IF(C1339=0,B1339/($B$172-MAX(939-1,$B$174)),B1339*(C1339/12)/(1-(1+C1339/12)^(-($B$172-MAX(939-1,$B$174)))))),"")),D1338)))),""),""))</x:f>
        <x:v>0</x:v>
      </x:c>
      <x:c r="E1339" s="440" t="n">
        <x:f>IF(AND(939=$B$173,ISNUMBER(D1339)),IF(MAX(0,B1339*(1+C1339/12)-D1339)&lt;MAX(0.0000001,$E$17*0.00000000001),0,MAX(0,B1339*(1+C1339/12)-D1339)),0)</x:f>
        <x:v>0</x:v>
      </x:c>
      <x:c r="F1339" s="440" t="n">
        <x:f>IF($B$78="Cash payoff",E1339,0)</x:f>
        <x:v>0</x:v>
      </x:c>
      <x:c r="G1339" s="440" t="n">
        <x:f>IF(AND(E1339&gt;0,AND($B$78="Refinance",ISNUMBER($B$80),$B$80&gt;=0,$B$80&lt;=1,ROUND($B$81*12,0)&gt;=1,$B$81&lt;=100,SUM($B$82)&gt;=0,SUM($B$82)&lt;=1,SUM($B$83)&gt;=0)),E1339*SUM($B$82)+SUM($B$83),0)</x:f>
        <x:v>0</x:v>
      </x:c>
      <x:c r="H1339" s="440" t="n">
        <x:f>IF(ISNUMBER(D1339),IF(MAX(0,B1339*(1+C1339/12)-D1339-F1339)&lt;MAX(0.0000001,$E$17*0.00000000001),0,MAX(0,B1339*(1+C1339/12)-D1339-F1339)),IF(AND($B$171=1,I1338=1),B1339,""))</x:f>
        <x:v>0</x:v>
      </x:c>
      <x:c r="I1339" s="444" t="n">
        <x:f>IF(OR(I1338=1,AND(E1339&gt;0,$B$78&lt;&gt;"Cash payoff",NOT(AND($B$78="Refinance",ISNUMBER($B$80),$B$80&gt;=0,$B$80&lt;=1,ROUND($B$81*12,0)&gt;=1,$B$81&lt;=100,SUM($B$82)&gt;=0,SUM($B$82)&lt;=1,SUM($B$83)&gt;=0))),AND(ISNUMBER(B1339),B1339&gt;0,$B$171=1,NOT(ISNUMBER(D1339)))),1,0)</x:f>
        <x:v>0</x:v>
      </x:c>
      <x:c r="J1339" s="440" t="n">
        <x:f>IF(ISNUMBER(L1338),L1338,"")</x:f>
        <x:v>0</x:v>
      </x:c>
      <x:c r="K1339" s="440" t="n">
        <x:f>IF(AND(ISNUMBER(J1339),J1339=0),0,IF(AND($B$176=1,ISNUMBER(J1339)),MIN(J1339*(1+$B$87/12),IF($B$86=0,0,IF($B$87=0,$B$86/ROUND($B$88*12,0),$B$86*($B$87/12)/(1-(1+$B$87/12)^(-ROUND($B$88*12,0)))))),""))</x:f>
        <x:v>0</x:v>
      </x:c>
      <x:c r="L1339" s="440" t="n">
        <x:f>IF(ISNUMBER(K1339),IF(MAX(0,J1339*(1+SUM($B$87)/12)-K1339)&lt;MAX(0.0000001,$B$86*0.00000000001),0,MAX(0,J1339*(1+SUM($B$87)/12)-K1339)),"")</x:f>
        <x:v>0</x:v>
      </x:c>
      <x:c r="M1339" s="440" t="n">
        <x:f>IF(AND(ISNUMBER(D1339),ISNUMBER(K1339)),D1339+K1339,"")</x:f>
        <x:v>0</x:v>
      </x:c>
      <x:c r="N1339" s="440" t="n">
        <x:f>IF(AND(ISNUMBER(H1339),ISNUMBER(L1339)),H1339+L1339,"")</x:f>
        <x:v>0</x:v>
      </x:c>
    </x:row>
    <x:row r="1340" ht="22" customHeight="1">
      <x:c r="A1340" s="254" t="n">
        <x:f>940</x:f>
        <x:v>940</x:v>
      </x:c>
      <x:c r="B1340" s="440" t="n">
        <x:f>IF(ISNUMBER(H1339),H1339,"")</x:f>
        <x:v>0</x:v>
      </x:c>
      <x:c r="C1340" s="442" t="n">
        <x:f>IF(ISNUMBER(B1340),IF(AND(940&gt;$B$173,$B$78="Refinance",ISNUMBER($B$80),$B$80&gt;=0,$B$80&lt;=1,ROUND($B$81*12,0)&gt;=1,$B$81&lt;=100,SUM($B$82)&gt;=0,SUM($B$82)&lt;=1,SUM($B$83)&gt;=0),$B$80,IF(AND($B$175&gt;0,940&gt;$B$175,ISNUMBER($B$75)),$B$75,$B$61)),"")</x:f>
        <x:v>0.0625</x:v>
      </x:c>
      <x:c r="D1340" s="440" t="n">
        <x:f>IF(AND(ISNUMBER(B1340),B1340=0),0,IF(AND($B$171=1,I1339=0,ISNUMBER(C1340),ISNUMBER(IF(AND(940&lt;=$B$174,940&lt;=$B$173),B1340*C1340/12,IF(AND(940=$B$173+1,AND(940&gt;$B$173,$B$78="Refinance",ISNUMBER($B$80),$B$80&gt;=0,$B$80&lt;=1,ROUND($B$81*12,0)&gt;=1,$B$81&lt;=100,SUM($B$82)&gt;=0,SUM($B$82)&lt;=1,SUM($B$83)&gt;=0)),IF(B1340=0,0,IF(C1340=0,B1340/ROUND($B$81*12,0),B1340*(C1340/12)/(1-(1+C1340/12)^(-ROUND($B$81*12,0))))),IF(AND(NOT(AND(940&gt;$B$173,$B$78="Refinance",ISNUMBER($B$80),$B$80&gt;=0,$B$80&lt;=1,ROUND($B$81*12,0)&gt;=1,$B$81&lt;=100,SUM($B$82)&gt;=0,SUM($B$82)&lt;=1,SUM($B$83)&gt;=0)),OR(940=1,940=$B$174+1,AND($B$175&gt;0,940=$B$175+1))),IF(AND($B$170=1,$B$66&gt;0,OR($B$175=0,940&lt;=$B$175)),$B$66,IF($B$172-MAX(940-1,$B$174)&gt;0,IF(B1340=0,0,IF(C1340=0,B1340/($B$172-MAX(940-1,$B$174)),B1340*(C1340/12)/(1-(1+C1340/12)^(-($B$172-MAX(940-1,$B$174)))))),"")),D1339))))),IF(IF(AND(940&lt;=$B$174,940&lt;=$B$173),B1340*C1340/12,IF(AND(940=$B$173+1,AND(940&gt;$B$173,$B$78="Refinance",ISNUMBER($B$80),$B$80&gt;=0,$B$80&lt;=1,ROUND($B$81*12,0)&gt;=1,$B$81&lt;=100,SUM($B$82)&gt;=0,SUM($B$82)&lt;=1,SUM($B$83)&gt;=0)),IF(B1340=0,0,IF(C1340=0,B1340/ROUND($B$81*12,0),B1340*(C1340/12)/(1-(1+C1340/12)^(-ROUND($B$81*12,0))))),IF(AND(NOT(AND(940&gt;$B$173,$B$78="Refinance",ISNUMBER($B$80),$B$80&gt;=0,$B$80&lt;=1,ROUND($B$81*12,0)&gt;=1,$B$81&lt;=100,SUM($B$82)&gt;=0,SUM($B$82)&lt;=1,SUM($B$83)&gt;=0)),OR(940=1,940=$B$174+1,AND($B$175&gt;0,940=$B$175+1))),IF(AND($B$170=1,$B$66&gt;0,OR($B$175=0,940&lt;=$B$175)),$B$66,IF($B$172-MAX(940-1,$B$174)&gt;0,IF(B1340=0,0,IF(C1340=0,B1340/($B$172-MAX(940-1,$B$174)),B1340*(C1340/12)/(1-(1+C1340/12)^(-($B$172-MAX(940-1,$B$174)))))),"")),D1339)))+0.0000001&gt;=B1340*C1340/12,MIN(B1340*(1+C1340/12),IF(AND(940&lt;=$B$174,940&lt;=$B$173),B1340*C1340/12,IF(AND(940=$B$173+1,AND(940&gt;$B$173,$B$78="Refinance",ISNUMBER($B$80),$B$80&gt;=0,$B$80&lt;=1,ROUND($B$81*12,0)&gt;=1,$B$81&lt;=100,SUM($B$82)&gt;=0,SUM($B$82)&lt;=1,SUM($B$83)&gt;=0)),IF(B1340=0,0,IF(C1340=0,B1340/ROUND($B$81*12,0),B1340*(C1340/12)/(1-(1+C1340/12)^(-ROUND($B$81*12,0))))),IF(AND(NOT(AND(940&gt;$B$173,$B$78="Refinance",ISNUMBER($B$80),$B$80&gt;=0,$B$80&lt;=1,ROUND($B$81*12,0)&gt;=1,$B$81&lt;=100,SUM($B$82)&gt;=0,SUM($B$82)&lt;=1,SUM($B$83)&gt;=0)),OR(940=1,940=$B$174+1,AND($B$175&gt;0,940=$B$175+1))),IF(AND($B$170=1,$B$66&gt;0,OR($B$175=0,940&lt;=$B$175)),$B$66,IF($B$172-MAX(940-1,$B$174)&gt;0,IF(B1340=0,0,IF(C1340=0,B1340/($B$172-MAX(940-1,$B$174)),B1340*(C1340/12)/(1-(1+C1340/12)^(-($B$172-MAX(940-1,$B$174)))))),"")),D1339)))),""),""))</x:f>
        <x:v>0</x:v>
      </x:c>
      <x:c r="E1340" s="440" t="n">
        <x:f>IF(AND(940=$B$173,ISNUMBER(D1340)),IF(MAX(0,B1340*(1+C1340/12)-D1340)&lt;MAX(0.0000001,$E$17*0.00000000001),0,MAX(0,B1340*(1+C1340/12)-D1340)),0)</x:f>
        <x:v>0</x:v>
      </x:c>
      <x:c r="F1340" s="440" t="n">
        <x:f>IF($B$78="Cash payoff",E1340,0)</x:f>
        <x:v>0</x:v>
      </x:c>
      <x:c r="G1340" s="440" t="n">
        <x:f>IF(AND(E1340&gt;0,AND($B$78="Refinance",ISNUMBER($B$80),$B$80&gt;=0,$B$80&lt;=1,ROUND($B$81*12,0)&gt;=1,$B$81&lt;=100,SUM($B$82)&gt;=0,SUM($B$82)&lt;=1,SUM($B$83)&gt;=0)),E1340*SUM($B$82)+SUM($B$83),0)</x:f>
        <x:v>0</x:v>
      </x:c>
      <x:c r="H1340" s="440" t="n">
        <x:f>IF(ISNUMBER(D1340),IF(MAX(0,B1340*(1+C1340/12)-D1340-F1340)&lt;MAX(0.0000001,$E$17*0.00000000001),0,MAX(0,B1340*(1+C1340/12)-D1340-F1340)),IF(AND($B$171=1,I1339=1),B1340,""))</x:f>
        <x:v>0</x:v>
      </x:c>
      <x:c r="I1340" s="444" t="n">
        <x:f>IF(OR(I1339=1,AND(E1340&gt;0,$B$78&lt;&gt;"Cash payoff",NOT(AND($B$78="Refinance",ISNUMBER($B$80),$B$80&gt;=0,$B$80&lt;=1,ROUND($B$81*12,0)&gt;=1,$B$81&lt;=100,SUM($B$82)&gt;=0,SUM($B$82)&lt;=1,SUM($B$83)&gt;=0))),AND(ISNUMBER(B1340),B1340&gt;0,$B$171=1,NOT(ISNUMBER(D1340)))),1,0)</x:f>
        <x:v>0</x:v>
      </x:c>
      <x:c r="J1340" s="440" t="n">
        <x:f>IF(ISNUMBER(L1339),L1339,"")</x:f>
        <x:v>0</x:v>
      </x:c>
      <x:c r="K1340" s="440" t="n">
        <x:f>IF(AND(ISNUMBER(J1340),J1340=0),0,IF(AND($B$176=1,ISNUMBER(J1340)),MIN(J1340*(1+$B$87/12),IF($B$86=0,0,IF($B$87=0,$B$86/ROUND($B$88*12,0),$B$86*($B$87/12)/(1-(1+$B$87/12)^(-ROUND($B$88*12,0)))))),""))</x:f>
        <x:v>0</x:v>
      </x:c>
      <x:c r="L1340" s="440" t="n">
        <x:f>IF(ISNUMBER(K1340),IF(MAX(0,J1340*(1+SUM($B$87)/12)-K1340)&lt;MAX(0.0000001,$B$86*0.00000000001),0,MAX(0,J1340*(1+SUM($B$87)/12)-K1340)),"")</x:f>
        <x:v>0</x:v>
      </x:c>
      <x:c r="M1340" s="440" t="n">
        <x:f>IF(AND(ISNUMBER(D1340),ISNUMBER(K1340)),D1340+K1340,"")</x:f>
        <x:v>0</x:v>
      </x:c>
      <x:c r="N1340" s="440" t="n">
        <x:f>IF(AND(ISNUMBER(H1340),ISNUMBER(L1340)),H1340+L1340,"")</x:f>
        <x:v>0</x:v>
      </x:c>
    </x:row>
    <x:row r="1341" ht="22" customHeight="1">
      <x:c r="A1341" s="254" t="n">
        <x:f>941</x:f>
        <x:v>941</x:v>
      </x:c>
      <x:c r="B1341" s="440" t="n">
        <x:f>IF(ISNUMBER(H1340),H1340,"")</x:f>
        <x:v>0</x:v>
      </x:c>
      <x:c r="C1341" s="442" t="n">
        <x:f>IF(ISNUMBER(B1341),IF(AND(941&gt;$B$173,$B$78="Refinance",ISNUMBER($B$80),$B$80&gt;=0,$B$80&lt;=1,ROUND($B$81*12,0)&gt;=1,$B$81&lt;=100,SUM($B$82)&gt;=0,SUM($B$82)&lt;=1,SUM($B$83)&gt;=0),$B$80,IF(AND($B$175&gt;0,941&gt;$B$175,ISNUMBER($B$75)),$B$75,$B$61)),"")</x:f>
        <x:v>0.0625</x:v>
      </x:c>
      <x:c r="D1341" s="440" t="n">
        <x:f>IF(AND(ISNUMBER(B1341),B1341=0),0,IF(AND($B$171=1,I1340=0,ISNUMBER(C1341),ISNUMBER(IF(AND(941&lt;=$B$174,941&lt;=$B$173),B1341*C1341/12,IF(AND(941=$B$173+1,AND(941&gt;$B$173,$B$78="Refinance",ISNUMBER($B$80),$B$80&gt;=0,$B$80&lt;=1,ROUND($B$81*12,0)&gt;=1,$B$81&lt;=100,SUM($B$82)&gt;=0,SUM($B$82)&lt;=1,SUM($B$83)&gt;=0)),IF(B1341=0,0,IF(C1341=0,B1341/ROUND($B$81*12,0),B1341*(C1341/12)/(1-(1+C1341/12)^(-ROUND($B$81*12,0))))),IF(AND(NOT(AND(941&gt;$B$173,$B$78="Refinance",ISNUMBER($B$80),$B$80&gt;=0,$B$80&lt;=1,ROUND($B$81*12,0)&gt;=1,$B$81&lt;=100,SUM($B$82)&gt;=0,SUM($B$82)&lt;=1,SUM($B$83)&gt;=0)),OR(941=1,941=$B$174+1,AND($B$175&gt;0,941=$B$175+1))),IF(AND($B$170=1,$B$66&gt;0,OR($B$175=0,941&lt;=$B$175)),$B$66,IF($B$172-MAX(941-1,$B$174)&gt;0,IF(B1341=0,0,IF(C1341=0,B1341/($B$172-MAX(941-1,$B$174)),B1341*(C1341/12)/(1-(1+C1341/12)^(-($B$172-MAX(941-1,$B$174)))))),"")),D1340))))),IF(IF(AND(941&lt;=$B$174,941&lt;=$B$173),B1341*C1341/12,IF(AND(941=$B$173+1,AND(941&gt;$B$173,$B$78="Refinance",ISNUMBER($B$80),$B$80&gt;=0,$B$80&lt;=1,ROUND($B$81*12,0)&gt;=1,$B$81&lt;=100,SUM($B$82)&gt;=0,SUM($B$82)&lt;=1,SUM($B$83)&gt;=0)),IF(B1341=0,0,IF(C1341=0,B1341/ROUND($B$81*12,0),B1341*(C1341/12)/(1-(1+C1341/12)^(-ROUND($B$81*12,0))))),IF(AND(NOT(AND(941&gt;$B$173,$B$78="Refinance",ISNUMBER($B$80),$B$80&gt;=0,$B$80&lt;=1,ROUND($B$81*12,0)&gt;=1,$B$81&lt;=100,SUM($B$82)&gt;=0,SUM($B$82)&lt;=1,SUM($B$83)&gt;=0)),OR(941=1,941=$B$174+1,AND($B$175&gt;0,941=$B$175+1))),IF(AND($B$170=1,$B$66&gt;0,OR($B$175=0,941&lt;=$B$175)),$B$66,IF($B$172-MAX(941-1,$B$174)&gt;0,IF(B1341=0,0,IF(C1341=0,B1341/($B$172-MAX(941-1,$B$174)),B1341*(C1341/12)/(1-(1+C1341/12)^(-($B$172-MAX(941-1,$B$174)))))),"")),D1340)))+0.0000001&gt;=B1341*C1341/12,MIN(B1341*(1+C1341/12),IF(AND(941&lt;=$B$174,941&lt;=$B$173),B1341*C1341/12,IF(AND(941=$B$173+1,AND(941&gt;$B$173,$B$78="Refinance",ISNUMBER($B$80),$B$80&gt;=0,$B$80&lt;=1,ROUND($B$81*12,0)&gt;=1,$B$81&lt;=100,SUM($B$82)&gt;=0,SUM($B$82)&lt;=1,SUM($B$83)&gt;=0)),IF(B1341=0,0,IF(C1341=0,B1341/ROUND($B$81*12,0),B1341*(C1341/12)/(1-(1+C1341/12)^(-ROUND($B$81*12,0))))),IF(AND(NOT(AND(941&gt;$B$173,$B$78="Refinance",ISNUMBER($B$80),$B$80&gt;=0,$B$80&lt;=1,ROUND($B$81*12,0)&gt;=1,$B$81&lt;=100,SUM($B$82)&gt;=0,SUM($B$82)&lt;=1,SUM($B$83)&gt;=0)),OR(941=1,941=$B$174+1,AND($B$175&gt;0,941=$B$175+1))),IF(AND($B$170=1,$B$66&gt;0,OR($B$175=0,941&lt;=$B$175)),$B$66,IF($B$172-MAX(941-1,$B$174)&gt;0,IF(B1341=0,0,IF(C1341=0,B1341/($B$172-MAX(941-1,$B$174)),B1341*(C1341/12)/(1-(1+C1341/12)^(-($B$172-MAX(941-1,$B$174)))))),"")),D1340)))),""),""))</x:f>
        <x:v>0</x:v>
      </x:c>
      <x:c r="E1341" s="440" t="n">
        <x:f>IF(AND(941=$B$173,ISNUMBER(D1341)),IF(MAX(0,B1341*(1+C1341/12)-D1341)&lt;MAX(0.0000001,$E$17*0.00000000001),0,MAX(0,B1341*(1+C1341/12)-D1341)),0)</x:f>
        <x:v>0</x:v>
      </x:c>
      <x:c r="F1341" s="440" t="n">
        <x:f>IF($B$78="Cash payoff",E1341,0)</x:f>
        <x:v>0</x:v>
      </x:c>
      <x:c r="G1341" s="440" t="n">
        <x:f>IF(AND(E1341&gt;0,AND($B$78="Refinance",ISNUMBER($B$80),$B$80&gt;=0,$B$80&lt;=1,ROUND($B$81*12,0)&gt;=1,$B$81&lt;=100,SUM($B$82)&gt;=0,SUM($B$82)&lt;=1,SUM($B$83)&gt;=0)),E1341*SUM($B$82)+SUM($B$83),0)</x:f>
        <x:v>0</x:v>
      </x:c>
      <x:c r="H1341" s="440" t="n">
        <x:f>IF(ISNUMBER(D1341),IF(MAX(0,B1341*(1+C1341/12)-D1341-F1341)&lt;MAX(0.0000001,$E$17*0.00000000001),0,MAX(0,B1341*(1+C1341/12)-D1341-F1341)),IF(AND($B$171=1,I1340=1),B1341,""))</x:f>
        <x:v>0</x:v>
      </x:c>
      <x:c r="I1341" s="444" t="n">
        <x:f>IF(OR(I1340=1,AND(E1341&gt;0,$B$78&lt;&gt;"Cash payoff",NOT(AND($B$78="Refinance",ISNUMBER($B$80),$B$80&gt;=0,$B$80&lt;=1,ROUND($B$81*12,0)&gt;=1,$B$81&lt;=100,SUM($B$82)&gt;=0,SUM($B$82)&lt;=1,SUM($B$83)&gt;=0))),AND(ISNUMBER(B1341),B1341&gt;0,$B$171=1,NOT(ISNUMBER(D1341)))),1,0)</x:f>
        <x:v>0</x:v>
      </x:c>
      <x:c r="J1341" s="440" t="n">
        <x:f>IF(ISNUMBER(L1340),L1340,"")</x:f>
        <x:v>0</x:v>
      </x:c>
      <x:c r="K1341" s="440" t="n">
        <x:f>IF(AND(ISNUMBER(J1341),J1341=0),0,IF(AND($B$176=1,ISNUMBER(J1341)),MIN(J1341*(1+$B$87/12),IF($B$86=0,0,IF($B$87=0,$B$86/ROUND($B$88*12,0),$B$86*($B$87/12)/(1-(1+$B$87/12)^(-ROUND($B$88*12,0)))))),""))</x:f>
        <x:v>0</x:v>
      </x:c>
      <x:c r="L1341" s="440" t="n">
        <x:f>IF(ISNUMBER(K1341),IF(MAX(0,J1341*(1+SUM($B$87)/12)-K1341)&lt;MAX(0.0000001,$B$86*0.00000000001),0,MAX(0,J1341*(1+SUM($B$87)/12)-K1341)),"")</x:f>
        <x:v>0</x:v>
      </x:c>
      <x:c r="M1341" s="440" t="n">
        <x:f>IF(AND(ISNUMBER(D1341),ISNUMBER(K1341)),D1341+K1341,"")</x:f>
        <x:v>0</x:v>
      </x:c>
      <x:c r="N1341" s="440" t="n">
        <x:f>IF(AND(ISNUMBER(H1341),ISNUMBER(L1341)),H1341+L1341,"")</x:f>
        <x:v>0</x:v>
      </x:c>
    </x:row>
    <x:row r="1342" ht="22" customHeight="1">
      <x:c r="A1342" s="254" t="n">
        <x:f>942</x:f>
        <x:v>942</x:v>
      </x:c>
      <x:c r="B1342" s="440" t="n">
        <x:f>IF(ISNUMBER(H1341),H1341,"")</x:f>
        <x:v>0</x:v>
      </x:c>
      <x:c r="C1342" s="442" t="n">
        <x:f>IF(ISNUMBER(B1342),IF(AND(942&gt;$B$173,$B$78="Refinance",ISNUMBER($B$80),$B$80&gt;=0,$B$80&lt;=1,ROUND($B$81*12,0)&gt;=1,$B$81&lt;=100,SUM($B$82)&gt;=0,SUM($B$82)&lt;=1,SUM($B$83)&gt;=0),$B$80,IF(AND($B$175&gt;0,942&gt;$B$175,ISNUMBER($B$75)),$B$75,$B$61)),"")</x:f>
        <x:v>0.0625</x:v>
      </x:c>
      <x:c r="D1342" s="440" t="n">
        <x:f>IF(AND(ISNUMBER(B1342),B1342=0),0,IF(AND($B$171=1,I1341=0,ISNUMBER(C1342),ISNUMBER(IF(AND(942&lt;=$B$174,942&lt;=$B$173),B1342*C1342/12,IF(AND(942=$B$173+1,AND(942&gt;$B$173,$B$78="Refinance",ISNUMBER($B$80),$B$80&gt;=0,$B$80&lt;=1,ROUND($B$81*12,0)&gt;=1,$B$81&lt;=100,SUM($B$82)&gt;=0,SUM($B$82)&lt;=1,SUM($B$83)&gt;=0)),IF(B1342=0,0,IF(C1342=0,B1342/ROUND($B$81*12,0),B1342*(C1342/12)/(1-(1+C1342/12)^(-ROUND($B$81*12,0))))),IF(AND(NOT(AND(942&gt;$B$173,$B$78="Refinance",ISNUMBER($B$80),$B$80&gt;=0,$B$80&lt;=1,ROUND($B$81*12,0)&gt;=1,$B$81&lt;=100,SUM($B$82)&gt;=0,SUM($B$82)&lt;=1,SUM($B$83)&gt;=0)),OR(942=1,942=$B$174+1,AND($B$175&gt;0,942=$B$175+1))),IF(AND($B$170=1,$B$66&gt;0,OR($B$175=0,942&lt;=$B$175)),$B$66,IF($B$172-MAX(942-1,$B$174)&gt;0,IF(B1342=0,0,IF(C1342=0,B1342/($B$172-MAX(942-1,$B$174)),B1342*(C1342/12)/(1-(1+C1342/12)^(-($B$172-MAX(942-1,$B$174)))))),"")),D1341))))),IF(IF(AND(942&lt;=$B$174,942&lt;=$B$173),B1342*C1342/12,IF(AND(942=$B$173+1,AND(942&gt;$B$173,$B$78="Refinance",ISNUMBER($B$80),$B$80&gt;=0,$B$80&lt;=1,ROUND($B$81*12,0)&gt;=1,$B$81&lt;=100,SUM($B$82)&gt;=0,SUM($B$82)&lt;=1,SUM($B$83)&gt;=0)),IF(B1342=0,0,IF(C1342=0,B1342/ROUND($B$81*12,0),B1342*(C1342/12)/(1-(1+C1342/12)^(-ROUND($B$81*12,0))))),IF(AND(NOT(AND(942&gt;$B$173,$B$78="Refinance",ISNUMBER($B$80),$B$80&gt;=0,$B$80&lt;=1,ROUND($B$81*12,0)&gt;=1,$B$81&lt;=100,SUM($B$82)&gt;=0,SUM($B$82)&lt;=1,SUM($B$83)&gt;=0)),OR(942=1,942=$B$174+1,AND($B$175&gt;0,942=$B$175+1))),IF(AND($B$170=1,$B$66&gt;0,OR($B$175=0,942&lt;=$B$175)),$B$66,IF($B$172-MAX(942-1,$B$174)&gt;0,IF(B1342=0,0,IF(C1342=0,B1342/($B$172-MAX(942-1,$B$174)),B1342*(C1342/12)/(1-(1+C1342/12)^(-($B$172-MAX(942-1,$B$174)))))),"")),D1341)))+0.0000001&gt;=B1342*C1342/12,MIN(B1342*(1+C1342/12),IF(AND(942&lt;=$B$174,942&lt;=$B$173),B1342*C1342/12,IF(AND(942=$B$173+1,AND(942&gt;$B$173,$B$78="Refinance",ISNUMBER($B$80),$B$80&gt;=0,$B$80&lt;=1,ROUND($B$81*12,0)&gt;=1,$B$81&lt;=100,SUM($B$82)&gt;=0,SUM($B$82)&lt;=1,SUM($B$83)&gt;=0)),IF(B1342=0,0,IF(C1342=0,B1342/ROUND($B$81*12,0),B1342*(C1342/12)/(1-(1+C1342/12)^(-ROUND($B$81*12,0))))),IF(AND(NOT(AND(942&gt;$B$173,$B$78="Refinance",ISNUMBER($B$80),$B$80&gt;=0,$B$80&lt;=1,ROUND($B$81*12,0)&gt;=1,$B$81&lt;=100,SUM($B$82)&gt;=0,SUM($B$82)&lt;=1,SUM($B$83)&gt;=0)),OR(942=1,942=$B$174+1,AND($B$175&gt;0,942=$B$175+1))),IF(AND($B$170=1,$B$66&gt;0,OR($B$175=0,942&lt;=$B$175)),$B$66,IF($B$172-MAX(942-1,$B$174)&gt;0,IF(B1342=0,0,IF(C1342=0,B1342/($B$172-MAX(942-1,$B$174)),B1342*(C1342/12)/(1-(1+C1342/12)^(-($B$172-MAX(942-1,$B$174)))))),"")),D1341)))),""),""))</x:f>
        <x:v>0</x:v>
      </x:c>
      <x:c r="E1342" s="440" t="n">
        <x:f>IF(AND(942=$B$173,ISNUMBER(D1342)),IF(MAX(0,B1342*(1+C1342/12)-D1342)&lt;MAX(0.0000001,$E$17*0.00000000001),0,MAX(0,B1342*(1+C1342/12)-D1342)),0)</x:f>
        <x:v>0</x:v>
      </x:c>
      <x:c r="F1342" s="440" t="n">
        <x:f>IF($B$78="Cash payoff",E1342,0)</x:f>
        <x:v>0</x:v>
      </x:c>
      <x:c r="G1342" s="440" t="n">
        <x:f>IF(AND(E1342&gt;0,AND($B$78="Refinance",ISNUMBER($B$80),$B$80&gt;=0,$B$80&lt;=1,ROUND($B$81*12,0)&gt;=1,$B$81&lt;=100,SUM($B$82)&gt;=0,SUM($B$82)&lt;=1,SUM($B$83)&gt;=0)),E1342*SUM($B$82)+SUM($B$83),0)</x:f>
        <x:v>0</x:v>
      </x:c>
      <x:c r="H1342" s="440" t="n">
        <x:f>IF(ISNUMBER(D1342),IF(MAX(0,B1342*(1+C1342/12)-D1342-F1342)&lt;MAX(0.0000001,$E$17*0.00000000001),0,MAX(0,B1342*(1+C1342/12)-D1342-F1342)),IF(AND($B$171=1,I1341=1),B1342,""))</x:f>
        <x:v>0</x:v>
      </x:c>
      <x:c r="I1342" s="444" t="n">
        <x:f>IF(OR(I1341=1,AND(E1342&gt;0,$B$78&lt;&gt;"Cash payoff",NOT(AND($B$78="Refinance",ISNUMBER($B$80),$B$80&gt;=0,$B$80&lt;=1,ROUND($B$81*12,0)&gt;=1,$B$81&lt;=100,SUM($B$82)&gt;=0,SUM($B$82)&lt;=1,SUM($B$83)&gt;=0))),AND(ISNUMBER(B1342),B1342&gt;0,$B$171=1,NOT(ISNUMBER(D1342)))),1,0)</x:f>
        <x:v>0</x:v>
      </x:c>
      <x:c r="J1342" s="440" t="n">
        <x:f>IF(ISNUMBER(L1341),L1341,"")</x:f>
        <x:v>0</x:v>
      </x:c>
      <x:c r="K1342" s="440" t="n">
        <x:f>IF(AND(ISNUMBER(J1342),J1342=0),0,IF(AND($B$176=1,ISNUMBER(J1342)),MIN(J1342*(1+$B$87/12),IF($B$86=0,0,IF($B$87=0,$B$86/ROUND($B$88*12,0),$B$86*($B$87/12)/(1-(1+$B$87/12)^(-ROUND($B$88*12,0)))))),""))</x:f>
        <x:v>0</x:v>
      </x:c>
      <x:c r="L1342" s="440" t="n">
        <x:f>IF(ISNUMBER(K1342),IF(MAX(0,J1342*(1+SUM($B$87)/12)-K1342)&lt;MAX(0.0000001,$B$86*0.00000000001),0,MAX(0,J1342*(1+SUM($B$87)/12)-K1342)),"")</x:f>
        <x:v>0</x:v>
      </x:c>
      <x:c r="M1342" s="440" t="n">
        <x:f>IF(AND(ISNUMBER(D1342),ISNUMBER(K1342)),D1342+K1342,"")</x:f>
        <x:v>0</x:v>
      </x:c>
      <x:c r="N1342" s="440" t="n">
        <x:f>IF(AND(ISNUMBER(H1342),ISNUMBER(L1342)),H1342+L1342,"")</x:f>
        <x:v>0</x:v>
      </x:c>
    </x:row>
    <x:row r="1343" ht="22" customHeight="1">
      <x:c r="A1343" s="254" t="n">
        <x:f>943</x:f>
        <x:v>943</x:v>
      </x:c>
      <x:c r="B1343" s="440" t="n">
        <x:f>IF(ISNUMBER(H1342),H1342,"")</x:f>
        <x:v>0</x:v>
      </x:c>
      <x:c r="C1343" s="442" t="n">
        <x:f>IF(ISNUMBER(B1343),IF(AND(943&gt;$B$173,$B$78="Refinance",ISNUMBER($B$80),$B$80&gt;=0,$B$80&lt;=1,ROUND($B$81*12,0)&gt;=1,$B$81&lt;=100,SUM($B$82)&gt;=0,SUM($B$82)&lt;=1,SUM($B$83)&gt;=0),$B$80,IF(AND($B$175&gt;0,943&gt;$B$175,ISNUMBER($B$75)),$B$75,$B$61)),"")</x:f>
        <x:v>0.0625</x:v>
      </x:c>
      <x:c r="D1343" s="440" t="n">
        <x:f>IF(AND(ISNUMBER(B1343),B1343=0),0,IF(AND($B$171=1,I1342=0,ISNUMBER(C1343),ISNUMBER(IF(AND(943&lt;=$B$174,943&lt;=$B$173),B1343*C1343/12,IF(AND(943=$B$173+1,AND(943&gt;$B$173,$B$78="Refinance",ISNUMBER($B$80),$B$80&gt;=0,$B$80&lt;=1,ROUND($B$81*12,0)&gt;=1,$B$81&lt;=100,SUM($B$82)&gt;=0,SUM($B$82)&lt;=1,SUM($B$83)&gt;=0)),IF(B1343=0,0,IF(C1343=0,B1343/ROUND($B$81*12,0),B1343*(C1343/12)/(1-(1+C1343/12)^(-ROUND($B$81*12,0))))),IF(AND(NOT(AND(943&gt;$B$173,$B$78="Refinance",ISNUMBER($B$80),$B$80&gt;=0,$B$80&lt;=1,ROUND($B$81*12,0)&gt;=1,$B$81&lt;=100,SUM($B$82)&gt;=0,SUM($B$82)&lt;=1,SUM($B$83)&gt;=0)),OR(943=1,943=$B$174+1,AND($B$175&gt;0,943=$B$175+1))),IF(AND($B$170=1,$B$66&gt;0,OR($B$175=0,943&lt;=$B$175)),$B$66,IF($B$172-MAX(943-1,$B$174)&gt;0,IF(B1343=0,0,IF(C1343=0,B1343/($B$172-MAX(943-1,$B$174)),B1343*(C1343/12)/(1-(1+C1343/12)^(-($B$172-MAX(943-1,$B$174)))))),"")),D1342))))),IF(IF(AND(943&lt;=$B$174,943&lt;=$B$173),B1343*C1343/12,IF(AND(943=$B$173+1,AND(943&gt;$B$173,$B$78="Refinance",ISNUMBER($B$80),$B$80&gt;=0,$B$80&lt;=1,ROUND($B$81*12,0)&gt;=1,$B$81&lt;=100,SUM($B$82)&gt;=0,SUM($B$82)&lt;=1,SUM($B$83)&gt;=0)),IF(B1343=0,0,IF(C1343=0,B1343/ROUND($B$81*12,0),B1343*(C1343/12)/(1-(1+C1343/12)^(-ROUND($B$81*12,0))))),IF(AND(NOT(AND(943&gt;$B$173,$B$78="Refinance",ISNUMBER($B$80),$B$80&gt;=0,$B$80&lt;=1,ROUND($B$81*12,0)&gt;=1,$B$81&lt;=100,SUM($B$82)&gt;=0,SUM($B$82)&lt;=1,SUM($B$83)&gt;=0)),OR(943=1,943=$B$174+1,AND($B$175&gt;0,943=$B$175+1))),IF(AND($B$170=1,$B$66&gt;0,OR($B$175=0,943&lt;=$B$175)),$B$66,IF($B$172-MAX(943-1,$B$174)&gt;0,IF(B1343=0,0,IF(C1343=0,B1343/($B$172-MAX(943-1,$B$174)),B1343*(C1343/12)/(1-(1+C1343/12)^(-($B$172-MAX(943-1,$B$174)))))),"")),D1342)))+0.0000001&gt;=B1343*C1343/12,MIN(B1343*(1+C1343/12),IF(AND(943&lt;=$B$174,943&lt;=$B$173),B1343*C1343/12,IF(AND(943=$B$173+1,AND(943&gt;$B$173,$B$78="Refinance",ISNUMBER($B$80),$B$80&gt;=0,$B$80&lt;=1,ROUND($B$81*12,0)&gt;=1,$B$81&lt;=100,SUM($B$82)&gt;=0,SUM($B$82)&lt;=1,SUM($B$83)&gt;=0)),IF(B1343=0,0,IF(C1343=0,B1343/ROUND($B$81*12,0),B1343*(C1343/12)/(1-(1+C1343/12)^(-ROUND($B$81*12,0))))),IF(AND(NOT(AND(943&gt;$B$173,$B$78="Refinance",ISNUMBER($B$80),$B$80&gt;=0,$B$80&lt;=1,ROUND($B$81*12,0)&gt;=1,$B$81&lt;=100,SUM($B$82)&gt;=0,SUM($B$82)&lt;=1,SUM($B$83)&gt;=0)),OR(943=1,943=$B$174+1,AND($B$175&gt;0,943=$B$175+1))),IF(AND($B$170=1,$B$66&gt;0,OR($B$175=0,943&lt;=$B$175)),$B$66,IF($B$172-MAX(943-1,$B$174)&gt;0,IF(B1343=0,0,IF(C1343=0,B1343/($B$172-MAX(943-1,$B$174)),B1343*(C1343/12)/(1-(1+C1343/12)^(-($B$172-MAX(943-1,$B$174)))))),"")),D1342)))),""),""))</x:f>
        <x:v>0</x:v>
      </x:c>
      <x:c r="E1343" s="440" t="n">
        <x:f>IF(AND(943=$B$173,ISNUMBER(D1343)),IF(MAX(0,B1343*(1+C1343/12)-D1343)&lt;MAX(0.0000001,$E$17*0.00000000001),0,MAX(0,B1343*(1+C1343/12)-D1343)),0)</x:f>
        <x:v>0</x:v>
      </x:c>
      <x:c r="F1343" s="440" t="n">
        <x:f>IF($B$78="Cash payoff",E1343,0)</x:f>
        <x:v>0</x:v>
      </x:c>
      <x:c r="G1343" s="440" t="n">
        <x:f>IF(AND(E1343&gt;0,AND($B$78="Refinance",ISNUMBER($B$80),$B$80&gt;=0,$B$80&lt;=1,ROUND($B$81*12,0)&gt;=1,$B$81&lt;=100,SUM($B$82)&gt;=0,SUM($B$82)&lt;=1,SUM($B$83)&gt;=0)),E1343*SUM($B$82)+SUM($B$83),0)</x:f>
        <x:v>0</x:v>
      </x:c>
      <x:c r="H1343" s="440" t="n">
        <x:f>IF(ISNUMBER(D1343),IF(MAX(0,B1343*(1+C1343/12)-D1343-F1343)&lt;MAX(0.0000001,$E$17*0.00000000001),0,MAX(0,B1343*(1+C1343/12)-D1343-F1343)),IF(AND($B$171=1,I1342=1),B1343,""))</x:f>
        <x:v>0</x:v>
      </x:c>
      <x:c r="I1343" s="444" t="n">
        <x:f>IF(OR(I1342=1,AND(E1343&gt;0,$B$78&lt;&gt;"Cash payoff",NOT(AND($B$78="Refinance",ISNUMBER($B$80),$B$80&gt;=0,$B$80&lt;=1,ROUND($B$81*12,0)&gt;=1,$B$81&lt;=100,SUM($B$82)&gt;=0,SUM($B$82)&lt;=1,SUM($B$83)&gt;=0))),AND(ISNUMBER(B1343),B1343&gt;0,$B$171=1,NOT(ISNUMBER(D1343)))),1,0)</x:f>
        <x:v>0</x:v>
      </x:c>
      <x:c r="J1343" s="440" t="n">
        <x:f>IF(ISNUMBER(L1342),L1342,"")</x:f>
        <x:v>0</x:v>
      </x:c>
      <x:c r="K1343" s="440" t="n">
        <x:f>IF(AND(ISNUMBER(J1343),J1343=0),0,IF(AND($B$176=1,ISNUMBER(J1343)),MIN(J1343*(1+$B$87/12),IF($B$86=0,0,IF($B$87=0,$B$86/ROUND($B$88*12,0),$B$86*($B$87/12)/(1-(1+$B$87/12)^(-ROUND($B$88*12,0)))))),""))</x:f>
        <x:v>0</x:v>
      </x:c>
      <x:c r="L1343" s="440" t="n">
        <x:f>IF(ISNUMBER(K1343),IF(MAX(0,J1343*(1+SUM($B$87)/12)-K1343)&lt;MAX(0.0000001,$B$86*0.00000000001),0,MAX(0,J1343*(1+SUM($B$87)/12)-K1343)),"")</x:f>
        <x:v>0</x:v>
      </x:c>
      <x:c r="M1343" s="440" t="n">
        <x:f>IF(AND(ISNUMBER(D1343),ISNUMBER(K1343)),D1343+K1343,"")</x:f>
        <x:v>0</x:v>
      </x:c>
      <x:c r="N1343" s="440" t="n">
        <x:f>IF(AND(ISNUMBER(H1343),ISNUMBER(L1343)),H1343+L1343,"")</x:f>
        <x:v>0</x:v>
      </x:c>
    </x:row>
    <x:row r="1344" ht="22" customHeight="1">
      <x:c r="A1344" s="254" t="n">
        <x:f>944</x:f>
        <x:v>944</x:v>
      </x:c>
      <x:c r="B1344" s="440" t="n">
        <x:f>IF(ISNUMBER(H1343),H1343,"")</x:f>
        <x:v>0</x:v>
      </x:c>
      <x:c r="C1344" s="442" t="n">
        <x:f>IF(ISNUMBER(B1344),IF(AND(944&gt;$B$173,$B$78="Refinance",ISNUMBER($B$80),$B$80&gt;=0,$B$80&lt;=1,ROUND($B$81*12,0)&gt;=1,$B$81&lt;=100,SUM($B$82)&gt;=0,SUM($B$82)&lt;=1,SUM($B$83)&gt;=0),$B$80,IF(AND($B$175&gt;0,944&gt;$B$175,ISNUMBER($B$75)),$B$75,$B$61)),"")</x:f>
        <x:v>0.0625</x:v>
      </x:c>
      <x:c r="D1344" s="440" t="n">
        <x:f>IF(AND(ISNUMBER(B1344),B1344=0),0,IF(AND($B$171=1,I1343=0,ISNUMBER(C1344),ISNUMBER(IF(AND(944&lt;=$B$174,944&lt;=$B$173),B1344*C1344/12,IF(AND(944=$B$173+1,AND(944&gt;$B$173,$B$78="Refinance",ISNUMBER($B$80),$B$80&gt;=0,$B$80&lt;=1,ROUND($B$81*12,0)&gt;=1,$B$81&lt;=100,SUM($B$82)&gt;=0,SUM($B$82)&lt;=1,SUM($B$83)&gt;=0)),IF(B1344=0,0,IF(C1344=0,B1344/ROUND($B$81*12,0),B1344*(C1344/12)/(1-(1+C1344/12)^(-ROUND($B$81*12,0))))),IF(AND(NOT(AND(944&gt;$B$173,$B$78="Refinance",ISNUMBER($B$80),$B$80&gt;=0,$B$80&lt;=1,ROUND($B$81*12,0)&gt;=1,$B$81&lt;=100,SUM($B$82)&gt;=0,SUM($B$82)&lt;=1,SUM($B$83)&gt;=0)),OR(944=1,944=$B$174+1,AND($B$175&gt;0,944=$B$175+1))),IF(AND($B$170=1,$B$66&gt;0,OR($B$175=0,944&lt;=$B$175)),$B$66,IF($B$172-MAX(944-1,$B$174)&gt;0,IF(B1344=0,0,IF(C1344=0,B1344/($B$172-MAX(944-1,$B$174)),B1344*(C1344/12)/(1-(1+C1344/12)^(-($B$172-MAX(944-1,$B$174)))))),"")),D1343))))),IF(IF(AND(944&lt;=$B$174,944&lt;=$B$173),B1344*C1344/12,IF(AND(944=$B$173+1,AND(944&gt;$B$173,$B$78="Refinance",ISNUMBER($B$80),$B$80&gt;=0,$B$80&lt;=1,ROUND($B$81*12,0)&gt;=1,$B$81&lt;=100,SUM($B$82)&gt;=0,SUM($B$82)&lt;=1,SUM($B$83)&gt;=0)),IF(B1344=0,0,IF(C1344=0,B1344/ROUND($B$81*12,0),B1344*(C1344/12)/(1-(1+C1344/12)^(-ROUND($B$81*12,0))))),IF(AND(NOT(AND(944&gt;$B$173,$B$78="Refinance",ISNUMBER($B$80),$B$80&gt;=0,$B$80&lt;=1,ROUND($B$81*12,0)&gt;=1,$B$81&lt;=100,SUM($B$82)&gt;=0,SUM($B$82)&lt;=1,SUM($B$83)&gt;=0)),OR(944=1,944=$B$174+1,AND($B$175&gt;0,944=$B$175+1))),IF(AND($B$170=1,$B$66&gt;0,OR($B$175=0,944&lt;=$B$175)),$B$66,IF($B$172-MAX(944-1,$B$174)&gt;0,IF(B1344=0,0,IF(C1344=0,B1344/($B$172-MAX(944-1,$B$174)),B1344*(C1344/12)/(1-(1+C1344/12)^(-($B$172-MAX(944-1,$B$174)))))),"")),D1343)))+0.0000001&gt;=B1344*C1344/12,MIN(B1344*(1+C1344/12),IF(AND(944&lt;=$B$174,944&lt;=$B$173),B1344*C1344/12,IF(AND(944=$B$173+1,AND(944&gt;$B$173,$B$78="Refinance",ISNUMBER($B$80),$B$80&gt;=0,$B$80&lt;=1,ROUND($B$81*12,0)&gt;=1,$B$81&lt;=100,SUM($B$82)&gt;=0,SUM($B$82)&lt;=1,SUM($B$83)&gt;=0)),IF(B1344=0,0,IF(C1344=0,B1344/ROUND($B$81*12,0),B1344*(C1344/12)/(1-(1+C1344/12)^(-ROUND($B$81*12,0))))),IF(AND(NOT(AND(944&gt;$B$173,$B$78="Refinance",ISNUMBER($B$80),$B$80&gt;=0,$B$80&lt;=1,ROUND($B$81*12,0)&gt;=1,$B$81&lt;=100,SUM($B$82)&gt;=0,SUM($B$82)&lt;=1,SUM($B$83)&gt;=0)),OR(944=1,944=$B$174+1,AND($B$175&gt;0,944=$B$175+1))),IF(AND($B$170=1,$B$66&gt;0,OR($B$175=0,944&lt;=$B$175)),$B$66,IF($B$172-MAX(944-1,$B$174)&gt;0,IF(B1344=0,0,IF(C1344=0,B1344/($B$172-MAX(944-1,$B$174)),B1344*(C1344/12)/(1-(1+C1344/12)^(-($B$172-MAX(944-1,$B$174)))))),"")),D1343)))),""),""))</x:f>
        <x:v>0</x:v>
      </x:c>
      <x:c r="E1344" s="440" t="n">
        <x:f>IF(AND(944=$B$173,ISNUMBER(D1344)),IF(MAX(0,B1344*(1+C1344/12)-D1344)&lt;MAX(0.0000001,$E$17*0.00000000001),0,MAX(0,B1344*(1+C1344/12)-D1344)),0)</x:f>
        <x:v>0</x:v>
      </x:c>
      <x:c r="F1344" s="440" t="n">
        <x:f>IF($B$78="Cash payoff",E1344,0)</x:f>
        <x:v>0</x:v>
      </x:c>
      <x:c r="G1344" s="440" t="n">
        <x:f>IF(AND(E1344&gt;0,AND($B$78="Refinance",ISNUMBER($B$80),$B$80&gt;=0,$B$80&lt;=1,ROUND($B$81*12,0)&gt;=1,$B$81&lt;=100,SUM($B$82)&gt;=0,SUM($B$82)&lt;=1,SUM($B$83)&gt;=0)),E1344*SUM($B$82)+SUM($B$83),0)</x:f>
        <x:v>0</x:v>
      </x:c>
      <x:c r="H1344" s="440" t="n">
        <x:f>IF(ISNUMBER(D1344),IF(MAX(0,B1344*(1+C1344/12)-D1344-F1344)&lt;MAX(0.0000001,$E$17*0.00000000001),0,MAX(0,B1344*(1+C1344/12)-D1344-F1344)),IF(AND($B$171=1,I1343=1),B1344,""))</x:f>
        <x:v>0</x:v>
      </x:c>
      <x:c r="I1344" s="444" t="n">
        <x:f>IF(OR(I1343=1,AND(E1344&gt;0,$B$78&lt;&gt;"Cash payoff",NOT(AND($B$78="Refinance",ISNUMBER($B$80),$B$80&gt;=0,$B$80&lt;=1,ROUND($B$81*12,0)&gt;=1,$B$81&lt;=100,SUM($B$82)&gt;=0,SUM($B$82)&lt;=1,SUM($B$83)&gt;=0))),AND(ISNUMBER(B1344),B1344&gt;0,$B$171=1,NOT(ISNUMBER(D1344)))),1,0)</x:f>
        <x:v>0</x:v>
      </x:c>
      <x:c r="J1344" s="440" t="n">
        <x:f>IF(ISNUMBER(L1343),L1343,"")</x:f>
        <x:v>0</x:v>
      </x:c>
      <x:c r="K1344" s="440" t="n">
        <x:f>IF(AND(ISNUMBER(J1344),J1344=0),0,IF(AND($B$176=1,ISNUMBER(J1344)),MIN(J1344*(1+$B$87/12),IF($B$86=0,0,IF($B$87=0,$B$86/ROUND($B$88*12,0),$B$86*($B$87/12)/(1-(1+$B$87/12)^(-ROUND($B$88*12,0)))))),""))</x:f>
        <x:v>0</x:v>
      </x:c>
      <x:c r="L1344" s="440" t="n">
        <x:f>IF(ISNUMBER(K1344),IF(MAX(0,J1344*(1+SUM($B$87)/12)-K1344)&lt;MAX(0.0000001,$B$86*0.00000000001),0,MAX(0,J1344*(1+SUM($B$87)/12)-K1344)),"")</x:f>
        <x:v>0</x:v>
      </x:c>
      <x:c r="M1344" s="440" t="n">
        <x:f>IF(AND(ISNUMBER(D1344),ISNUMBER(K1344)),D1344+K1344,"")</x:f>
        <x:v>0</x:v>
      </x:c>
      <x:c r="N1344" s="440" t="n">
        <x:f>IF(AND(ISNUMBER(H1344),ISNUMBER(L1344)),H1344+L1344,"")</x:f>
        <x:v>0</x:v>
      </x:c>
    </x:row>
    <x:row r="1345" ht="22" customHeight="1">
      <x:c r="A1345" s="254" t="n">
        <x:f>945</x:f>
        <x:v>945</x:v>
      </x:c>
      <x:c r="B1345" s="440" t="n">
        <x:f>IF(ISNUMBER(H1344),H1344,"")</x:f>
        <x:v>0</x:v>
      </x:c>
      <x:c r="C1345" s="442" t="n">
        <x:f>IF(ISNUMBER(B1345),IF(AND(945&gt;$B$173,$B$78="Refinance",ISNUMBER($B$80),$B$80&gt;=0,$B$80&lt;=1,ROUND($B$81*12,0)&gt;=1,$B$81&lt;=100,SUM($B$82)&gt;=0,SUM($B$82)&lt;=1,SUM($B$83)&gt;=0),$B$80,IF(AND($B$175&gt;0,945&gt;$B$175,ISNUMBER($B$75)),$B$75,$B$61)),"")</x:f>
        <x:v>0.0625</x:v>
      </x:c>
      <x:c r="D1345" s="440" t="n">
        <x:f>IF(AND(ISNUMBER(B1345),B1345=0),0,IF(AND($B$171=1,I1344=0,ISNUMBER(C1345),ISNUMBER(IF(AND(945&lt;=$B$174,945&lt;=$B$173),B1345*C1345/12,IF(AND(945=$B$173+1,AND(945&gt;$B$173,$B$78="Refinance",ISNUMBER($B$80),$B$80&gt;=0,$B$80&lt;=1,ROUND($B$81*12,0)&gt;=1,$B$81&lt;=100,SUM($B$82)&gt;=0,SUM($B$82)&lt;=1,SUM($B$83)&gt;=0)),IF(B1345=0,0,IF(C1345=0,B1345/ROUND($B$81*12,0),B1345*(C1345/12)/(1-(1+C1345/12)^(-ROUND($B$81*12,0))))),IF(AND(NOT(AND(945&gt;$B$173,$B$78="Refinance",ISNUMBER($B$80),$B$80&gt;=0,$B$80&lt;=1,ROUND($B$81*12,0)&gt;=1,$B$81&lt;=100,SUM($B$82)&gt;=0,SUM($B$82)&lt;=1,SUM($B$83)&gt;=0)),OR(945=1,945=$B$174+1,AND($B$175&gt;0,945=$B$175+1))),IF(AND($B$170=1,$B$66&gt;0,OR($B$175=0,945&lt;=$B$175)),$B$66,IF($B$172-MAX(945-1,$B$174)&gt;0,IF(B1345=0,0,IF(C1345=0,B1345/($B$172-MAX(945-1,$B$174)),B1345*(C1345/12)/(1-(1+C1345/12)^(-($B$172-MAX(945-1,$B$174)))))),"")),D1344))))),IF(IF(AND(945&lt;=$B$174,945&lt;=$B$173),B1345*C1345/12,IF(AND(945=$B$173+1,AND(945&gt;$B$173,$B$78="Refinance",ISNUMBER($B$80),$B$80&gt;=0,$B$80&lt;=1,ROUND($B$81*12,0)&gt;=1,$B$81&lt;=100,SUM($B$82)&gt;=0,SUM($B$82)&lt;=1,SUM($B$83)&gt;=0)),IF(B1345=0,0,IF(C1345=0,B1345/ROUND($B$81*12,0),B1345*(C1345/12)/(1-(1+C1345/12)^(-ROUND($B$81*12,0))))),IF(AND(NOT(AND(945&gt;$B$173,$B$78="Refinance",ISNUMBER($B$80),$B$80&gt;=0,$B$80&lt;=1,ROUND($B$81*12,0)&gt;=1,$B$81&lt;=100,SUM($B$82)&gt;=0,SUM($B$82)&lt;=1,SUM($B$83)&gt;=0)),OR(945=1,945=$B$174+1,AND($B$175&gt;0,945=$B$175+1))),IF(AND($B$170=1,$B$66&gt;0,OR($B$175=0,945&lt;=$B$175)),$B$66,IF($B$172-MAX(945-1,$B$174)&gt;0,IF(B1345=0,0,IF(C1345=0,B1345/($B$172-MAX(945-1,$B$174)),B1345*(C1345/12)/(1-(1+C1345/12)^(-($B$172-MAX(945-1,$B$174)))))),"")),D1344)))+0.0000001&gt;=B1345*C1345/12,MIN(B1345*(1+C1345/12),IF(AND(945&lt;=$B$174,945&lt;=$B$173),B1345*C1345/12,IF(AND(945=$B$173+1,AND(945&gt;$B$173,$B$78="Refinance",ISNUMBER($B$80),$B$80&gt;=0,$B$80&lt;=1,ROUND($B$81*12,0)&gt;=1,$B$81&lt;=100,SUM($B$82)&gt;=0,SUM($B$82)&lt;=1,SUM($B$83)&gt;=0)),IF(B1345=0,0,IF(C1345=0,B1345/ROUND($B$81*12,0),B1345*(C1345/12)/(1-(1+C1345/12)^(-ROUND($B$81*12,0))))),IF(AND(NOT(AND(945&gt;$B$173,$B$78="Refinance",ISNUMBER($B$80),$B$80&gt;=0,$B$80&lt;=1,ROUND($B$81*12,0)&gt;=1,$B$81&lt;=100,SUM($B$82)&gt;=0,SUM($B$82)&lt;=1,SUM($B$83)&gt;=0)),OR(945=1,945=$B$174+1,AND($B$175&gt;0,945=$B$175+1))),IF(AND($B$170=1,$B$66&gt;0,OR($B$175=0,945&lt;=$B$175)),$B$66,IF($B$172-MAX(945-1,$B$174)&gt;0,IF(B1345=0,0,IF(C1345=0,B1345/($B$172-MAX(945-1,$B$174)),B1345*(C1345/12)/(1-(1+C1345/12)^(-($B$172-MAX(945-1,$B$174)))))),"")),D1344)))),""),""))</x:f>
        <x:v>0</x:v>
      </x:c>
      <x:c r="E1345" s="440" t="n">
        <x:f>IF(AND(945=$B$173,ISNUMBER(D1345)),IF(MAX(0,B1345*(1+C1345/12)-D1345)&lt;MAX(0.0000001,$E$17*0.00000000001),0,MAX(0,B1345*(1+C1345/12)-D1345)),0)</x:f>
        <x:v>0</x:v>
      </x:c>
      <x:c r="F1345" s="440" t="n">
        <x:f>IF($B$78="Cash payoff",E1345,0)</x:f>
        <x:v>0</x:v>
      </x:c>
      <x:c r="G1345" s="440" t="n">
        <x:f>IF(AND(E1345&gt;0,AND($B$78="Refinance",ISNUMBER($B$80),$B$80&gt;=0,$B$80&lt;=1,ROUND($B$81*12,0)&gt;=1,$B$81&lt;=100,SUM($B$82)&gt;=0,SUM($B$82)&lt;=1,SUM($B$83)&gt;=0)),E1345*SUM($B$82)+SUM($B$83),0)</x:f>
        <x:v>0</x:v>
      </x:c>
      <x:c r="H1345" s="440" t="n">
        <x:f>IF(ISNUMBER(D1345),IF(MAX(0,B1345*(1+C1345/12)-D1345-F1345)&lt;MAX(0.0000001,$E$17*0.00000000001),0,MAX(0,B1345*(1+C1345/12)-D1345-F1345)),IF(AND($B$171=1,I1344=1),B1345,""))</x:f>
        <x:v>0</x:v>
      </x:c>
      <x:c r="I1345" s="444" t="n">
        <x:f>IF(OR(I1344=1,AND(E1345&gt;0,$B$78&lt;&gt;"Cash payoff",NOT(AND($B$78="Refinance",ISNUMBER($B$80),$B$80&gt;=0,$B$80&lt;=1,ROUND($B$81*12,0)&gt;=1,$B$81&lt;=100,SUM($B$82)&gt;=0,SUM($B$82)&lt;=1,SUM($B$83)&gt;=0))),AND(ISNUMBER(B1345),B1345&gt;0,$B$171=1,NOT(ISNUMBER(D1345)))),1,0)</x:f>
        <x:v>0</x:v>
      </x:c>
      <x:c r="J1345" s="440" t="n">
        <x:f>IF(ISNUMBER(L1344),L1344,"")</x:f>
        <x:v>0</x:v>
      </x:c>
      <x:c r="K1345" s="440" t="n">
        <x:f>IF(AND(ISNUMBER(J1345),J1345=0),0,IF(AND($B$176=1,ISNUMBER(J1345)),MIN(J1345*(1+$B$87/12),IF($B$86=0,0,IF($B$87=0,$B$86/ROUND($B$88*12,0),$B$86*($B$87/12)/(1-(1+$B$87/12)^(-ROUND($B$88*12,0)))))),""))</x:f>
        <x:v>0</x:v>
      </x:c>
      <x:c r="L1345" s="440" t="n">
        <x:f>IF(ISNUMBER(K1345),IF(MAX(0,J1345*(1+SUM($B$87)/12)-K1345)&lt;MAX(0.0000001,$B$86*0.00000000001),0,MAX(0,J1345*(1+SUM($B$87)/12)-K1345)),"")</x:f>
        <x:v>0</x:v>
      </x:c>
      <x:c r="M1345" s="440" t="n">
        <x:f>IF(AND(ISNUMBER(D1345),ISNUMBER(K1345)),D1345+K1345,"")</x:f>
        <x:v>0</x:v>
      </x:c>
      <x:c r="N1345" s="440" t="n">
        <x:f>IF(AND(ISNUMBER(H1345),ISNUMBER(L1345)),H1345+L1345,"")</x:f>
        <x:v>0</x:v>
      </x:c>
    </x:row>
    <x:row r="1346" ht="22" customHeight="1">
      <x:c r="A1346" s="254" t="n">
        <x:f>946</x:f>
        <x:v>946</x:v>
      </x:c>
      <x:c r="B1346" s="440" t="n">
        <x:f>IF(ISNUMBER(H1345),H1345,"")</x:f>
        <x:v>0</x:v>
      </x:c>
      <x:c r="C1346" s="442" t="n">
        <x:f>IF(ISNUMBER(B1346),IF(AND(946&gt;$B$173,$B$78="Refinance",ISNUMBER($B$80),$B$80&gt;=0,$B$80&lt;=1,ROUND($B$81*12,0)&gt;=1,$B$81&lt;=100,SUM($B$82)&gt;=0,SUM($B$82)&lt;=1,SUM($B$83)&gt;=0),$B$80,IF(AND($B$175&gt;0,946&gt;$B$175,ISNUMBER($B$75)),$B$75,$B$61)),"")</x:f>
        <x:v>0.0625</x:v>
      </x:c>
      <x:c r="D1346" s="440" t="n">
        <x:f>IF(AND(ISNUMBER(B1346),B1346=0),0,IF(AND($B$171=1,I1345=0,ISNUMBER(C1346),ISNUMBER(IF(AND(946&lt;=$B$174,946&lt;=$B$173),B1346*C1346/12,IF(AND(946=$B$173+1,AND(946&gt;$B$173,$B$78="Refinance",ISNUMBER($B$80),$B$80&gt;=0,$B$80&lt;=1,ROUND($B$81*12,0)&gt;=1,$B$81&lt;=100,SUM($B$82)&gt;=0,SUM($B$82)&lt;=1,SUM($B$83)&gt;=0)),IF(B1346=0,0,IF(C1346=0,B1346/ROUND($B$81*12,0),B1346*(C1346/12)/(1-(1+C1346/12)^(-ROUND($B$81*12,0))))),IF(AND(NOT(AND(946&gt;$B$173,$B$78="Refinance",ISNUMBER($B$80),$B$80&gt;=0,$B$80&lt;=1,ROUND($B$81*12,0)&gt;=1,$B$81&lt;=100,SUM($B$82)&gt;=0,SUM($B$82)&lt;=1,SUM($B$83)&gt;=0)),OR(946=1,946=$B$174+1,AND($B$175&gt;0,946=$B$175+1))),IF(AND($B$170=1,$B$66&gt;0,OR($B$175=0,946&lt;=$B$175)),$B$66,IF($B$172-MAX(946-1,$B$174)&gt;0,IF(B1346=0,0,IF(C1346=0,B1346/($B$172-MAX(946-1,$B$174)),B1346*(C1346/12)/(1-(1+C1346/12)^(-($B$172-MAX(946-1,$B$174)))))),"")),D1345))))),IF(IF(AND(946&lt;=$B$174,946&lt;=$B$173),B1346*C1346/12,IF(AND(946=$B$173+1,AND(946&gt;$B$173,$B$78="Refinance",ISNUMBER($B$80),$B$80&gt;=0,$B$80&lt;=1,ROUND($B$81*12,0)&gt;=1,$B$81&lt;=100,SUM($B$82)&gt;=0,SUM($B$82)&lt;=1,SUM($B$83)&gt;=0)),IF(B1346=0,0,IF(C1346=0,B1346/ROUND($B$81*12,0),B1346*(C1346/12)/(1-(1+C1346/12)^(-ROUND($B$81*12,0))))),IF(AND(NOT(AND(946&gt;$B$173,$B$78="Refinance",ISNUMBER($B$80),$B$80&gt;=0,$B$80&lt;=1,ROUND($B$81*12,0)&gt;=1,$B$81&lt;=100,SUM($B$82)&gt;=0,SUM($B$82)&lt;=1,SUM($B$83)&gt;=0)),OR(946=1,946=$B$174+1,AND($B$175&gt;0,946=$B$175+1))),IF(AND($B$170=1,$B$66&gt;0,OR($B$175=0,946&lt;=$B$175)),$B$66,IF($B$172-MAX(946-1,$B$174)&gt;0,IF(B1346=0,0,IF(C1346=0,B1346/($B$172-MAX(946-1,$B$174)),B1346*(C1346/12)/(1-(1+C1346/12)^(-($B$172-MAX(946-1,$B$174)))))),"")),D1345)))+0.0000001&gt;=B1346*C1346/12,MIN(B1346*(1+C1346/12),IF(AND(946&lt;=$B$174,946&lt;=$B$173),B1346*C1346/12,IF(AND(946=$B$173+1,AND(946&gt;$B$173,$B$78="Refinance",ISNUMBER($B$80),$B$80&gt;=0,$B$80&lt;=1,ROUND($B$81*12,0)&gt;=1,$B$81&lt;=100,SUM($B$82)&gt;=0,SUM($B$82)&lt;=1,SUM($B$83)&gt;=0)),IF(B1346=0,0,IF(C1346=0,B1346/ROUND($B$81*12,0),B1346*(C1346/12)/(1-(1+C1346/12)^(-ROUND($B$81*12,0))))),IF(AND(NOT(AND(946&gt;$B$173,$B$78="Refinance",ISNUMBER($B$80),$B$80&gt;=0,$B$80&lt;=1,ROUND($B$81*12,0)&gt;=1,$B$81&lt;=100,SUM($B$82)&gt;=0,SUM($B$82)&lt;=1,SUM($B$83)&gt;=0)),OR(946=1,946=$B$174+1,AND($B$175&gt;0,946=$B$175+1))),IF(AND($B$170=1,$B$66&gt;0,OR($B$175=0,946&lt;=$B$175)),$B$66,IF($B$172-MAX(946-1,$B$174)&gt;0,IF(B1346=0,0,IF(C1346=0,B1346/($B$172-MAX(946-1,$B$174)),B1346*(C1346/12)/(1-(1+C1346/12)^(-($B$172-MAX(946-1,$B$174)))))),"")),D1345)))),""),""))</x:f>
        <x:v>0</x:v>
      </x:c>
      <x:c r="E1346" s="440" t="n">
        <x:f>IF(AND(946=$B$173,ISNUMBER(D1346)),IF(MAX(0,B1346*(1+C1346/12)-D1346)&lt;MAX(0.0000001,$E$17*0.00000000001),0,MAX(0,B1346*(1+C1346/12)-D1346)),0)</x:f>
        <x:v>0</x:v>
      </x:c>
      <x:c r="F1346" s="440" t="n">
        <x:f>IF($B$78="Cash payoff",E1346,0)</x:f>
        <x:v>0</x:v>
      </x:c>
      <x:c r="G1346" s="440" t="n">
        <x:f>IF(AND(E1346&gt;0,AND($B$78="Refinance",ISNUMBER($B$80),$B$80&gt;=0,$B$80&lt;=1,ROUND($B$81*12,0)&gt;=1,$B$81&lt;=100,SUM($B$82)&gt;=0,SUM($B$82)&lt;=1,SUM($B$83)&gt;=0)),E1346*SUM($B$82)+SUM($B$83),0)</x:f>
        <x:v>0</x:v>
      </x:c>
      <x:c r="H1346" s="440" t="n">
        <x:f>IF(ISNUMBER(D1346),IF(MAX(0,B1346*(1+C1346/12)-D1346-F1346)&lt;MAX(0.0000001,$E$17*0.00000000001),0,MAX(0,B1346*(1+C1346/12)-D1346-F1346)),IF(AND($B$171=1,I1345=1),B1346,""))</x:f>
        <x:v>0</x:v>
      </x:c>
      <x:c r="I1346" s="444" t="n">
        <x:f>IF(OR(I1345=1,AND(E1346&gt;0,$B$78&lt;&gt;"Cash payoff",NOT(AND($B$78="Refinance",ISNUMBER($B$80),$B$80&gt;=0,$B$80&lt;=1,ROUND($B$81*12,0)&gt;=1,$B$81&lt;=100,SUM($B$82)&gt;=0,SUM($B$82)&lt;=1,SUM($B$83)&gt;=0))),AND(ISNUMBER(B1346),B1346&gt;0,$B$171=1,NOT(ISNUMBER(D1346)))),1,0)</x:f>
        <x:v>0</x:v>
      </x:c>
      <x:c r="J1346" s="440" t="n">
        <x:f>IF(ISNUMBER(L1345),L1345,"")</x:f>
        <x:v>0</x:v>
      </x:c>
      <x:c r="K1346" s="440" t="n">
        <x:f>IF(AND(ISNUMBER(J1346),J1346=0),0,IF(AND($B$176=1,ISNUMBER(J1346)),MIN(J1346*(1+$B$87/12),IF($B$86=0,0,IF($B$87=0,$B$86/ROUND($B$88*12,0),$B$86*($B$87/12)/(1-(1+$B$87/12)^(-ROUND($B$88*12,0)))))),""))</x:f>
        <x:v>0</x:v>
      </x:c>
      <x:c r="L1346" s="440" t="n">
        <x:f>IF(ISNUMBER(K1346),IF(MAX(0,J1346*(1+SUM($B$87)/12)-K1346)&lt;MAX(0.0000001,$B$86*0.00000000001),0,MAX(0,J1346*(1+SUM($B$87)/12)-K1346)),"")</x:f>
        <x:v>0</x:v>
      </x:c>
      <x:c r="M1346" s="440" t="n">
        <x:f>IF(AND(ISNUMBER(D1346),ISNUMBER(K1346)),D1346+K1346,"")</x:f>
        <x:v>0</x:v>
      </x:c>
      <x:c r="N1346" s="440" t="n">
        <x:f>IF(AND(ISNUMBER(H1346),ISNUMBER(L1346)),H1346+L1346,"")</x:f>
        <x:v>0</x:v>
      </x:c>
    </x:row>
    <x:row r="1347" ht="22" customHeight="1">
      <x:c r="A1347" s="254" t="n">
        <x:f>947</x:f>
        <x:v>947</x:v>
      </x:c>
      <x:c r="B1347" s="440" t="n">
        <x:f>IF(ISNUMBER(H1346),H1346,"")</x:f>
        <x:v>0</x:v>
      </x:c>
      <x:c r="C1347" s="442" t="n">
        <x:f>IF(ISNUMBER(B1347),IF(AND(947&gt;$B$173,$B$78="Refinance",ISNUMBER($B$80),$B$80&gt;=0,$B$80&lt;=1,ROUND($B$81*12,0)&gt;=1,$B$81&lt;=100,SUM($B$82)&gt;=0,SUM($B$82)&lt;=1,SUM($B$83)&gt;=0),$B$80,IF(AND($B$175&gt;0,947&gt;$B$175,ISNUMBER($B$75)),$B$75,$B$61)),"")</x:f>
        <x:v>0.0625</x:v>
      </x:c>
      <x:c r="D1347" s="440" t="n">
        <x:f>IF(AND(ISNUMBER(B1347),B1347=0),0,IF(AND($B$171=1,I1346=0,ISNUMBER(C1347),ISNUMBER(IF(AND(947&lt;=$B$174,947&lt;=$B$173),B1347*C1347/12,IF(AND(947=$B$173+1,AND(947&gt;$B$173,$B$78="Refinance",ISNUMBER($B$80),$B$80&gt;=0,$B$80&lt;=1,ROUND($B$81*12,0)&gt;=1,$B$81&lt;=100,SUM($B$82)&gt;=0,SUM($B$82)&lt;=1,SUM($B$83)&gt;=0)),IF(B1347=0,0,IF(C1347=0,B1347/ROUND($B$81*12,0),B1347*(C1347/12)/(1-(1+C1347/12)^(-ROUND($B$81*12,0))))),IF(AND(NOT(AND(947&gt;$B$173,$B$78="Refinance",ISNUMBER($B$80),$B$80&gt;=0,$B$80&lt;=1,ROUND($B$81*12,0)&gt;=1,$B$81&lt;=100,SUM($B$82)&gt;=0,SUM($B$82)&lt;=1,SUM($B$83)&gt;=0)),OR(947=1,947=$B$174+1,AND($B$175&gt;0,947=$B$175+1))),IF(AND($B$170=1,$B$66&gt;0,OR($B$175=0,947&lt;=$B$175)),$B$66,IF($B$172-MAX(947-1,$B$174)&gt;0,IF(B1347=0,0,IF(C1347=0,B1347/($B$172-MAX(947-1,$B$174)),B1347*(C1347/12)/(1-(1+C1347/12)^(-($B$172-MAX(947-1,$B$174)))))),"")),D1346))))),IF(IF(AND(947&lt;=$B$174,947&lt;=$B$173),B1347*C1347/12,IF(AND(947=$B$173+1,AND(947&gt;$B$173,$B$78="Refinance",ISNUMBER($B$80),$B$80&gt;=0,$B$80&lt;=1,ROUND($B$81*12,0)&gt;=1,$B$81&lt;=100,SUM($B$82)&gt;=0,SUM($B$82)&lt;=1,SUM($B$83)&gt;=0)),IF(B1347=0,0,IF(C1347=0,B1347/ROUND($B$81*12,0),B1347*(C1347/12)/(1-(1+C1347/12)^(-ROUND($B$81*12,0))))),IF(AND(NOT(AND(947&gt;$B$173,$B$78="Refinance",ISNUMBER($B$80),$B$80&gt;=0,$B$80&lt;=1,ROUND($B$81*12,0)&gt;=1,$B$81&lt;=100,SUM($B$82)&gt;=0,SUM($B$82)&lt;=1,SUM($B$83)&gt;=0)),OR(947=1,947=$B$174+1,AND($B$175&gt;0,947=$B$175+1))),IF(AND($B$170=1,$B$66&gt;0,OR($B$175=0,947&lt;=$B$175)),$B$66,IF($B$172-MAX(947-1,$B$174)&gt;0,IF(B1347=0,0,IF(C1347=0,B1347/($B$172-MAX(947-1,$B$174)),B1347*(C1347/12)/(1-(1+C1347/12)^(-($B$172-MAX(947-1,$B$174)))))),"")),D1346)))+0.0000001&gt;=B1347*C1347/12,MIN(B1347*(1+C1347/12),IF(AND(947&lt;=$B$174,947&lt;=$B$173),B1347*C1347/12,IF(AND(947=$B$173+1,AND(947&gt;$B$173,$B$78="Refinance",ISNUMBER($B$80),$B$80&gt;=0,$B$80&lt;=1,ROUND($B$81*12,0)&gt;=1,$B$81&lt;=100,SUM($B$82)&gt;=0,SUM($B$82)&lt;=1,SUM($B$83)&gt;=0)),IF(B1347=0,0,IF(C1347=0,B1347/ROUND($B$81*12,0),B1347*(C1347/12)/(1-(1+C1347/12)^(-ROUND($B$81*12,0))))),IF(AND(NOT(AND(947&gt;$B$173,$B$78="Refinance",ISNUMBER($B$80),$B$80&gt;=0,$B$80&lt;=1,ROUND($B$81*12,0)&gt;=1,$B$81&lt;=100,SUM($B$82)&gt;=0,SUM($B$82)&lt;=1,SUM($B$83)&gt;=0)),OR(947=1,947=$B$174+1,AND($B$175&gt;0,947=$B$175+1))),IF(AND($B$170=1,$B$66&gt;0,OR($B$175=0,947&lt;=$B$175)),$B$66,IF($B$172-MAX(947-1,$B$174)&gt;0,IF(B1347=0,0,IF(C1347=0,B1347/($B$172-MAX(947-1,$B$174)),B1347*(C1347/12)/(1-(1+C1347/12)^(-($B$172-MAX(947-1,$B$174)))))),"")),D1346)))),""),""))</x:f>
        <x:v>0</x:v>
      </x:c>
      <x:c r="E1347" s="440" t="n">
        <x:f>IF(AND(947=$B$173,ISNUMBER(D1347)),IF(MAX(0,B1347*(1+C1347/12)-D1347)&lt;MAX(0.0000001,$E$17*0.00000000001),0,MAX(0,B1347*(1+C1347/12)-D1347)),0)</x:f>
        <x:v>0</x:v>
      </x:c>
      <x:c r="F1347" s="440" t="n">
        <x:f>IF($B$78="Cash payoff",E1347,0)</x:f>
        <x:v>0</x:v>
      </x:c>
      <x:c r="G1347" s="440" t="n">
        <x:f>IF(AND(E1347&gt;0,AND($B$78="Refinance",ISNUMBER($B$80),$B$80&gt;=0,$B$80&lt;=1,ROUND($B$81*12,0)&gt;=1,$B$81&lt;=100,SUM($B$82)&gt;=0,SUM($B$82)&lt;=1,SUM($B$83)&gt;=0)),E1347*SUM($B$82)+SUM($B$83),0)</x:f>
        <x:v>0</x:v>
      </x:c>
      <x:c r="H1347" s="440" t="n">
        <x:f>IF(ISNUMBER(D1347),IF(MAX(0,B1347*(1+C1347/12)-D1347-F1347)&lt;MAX(0.0000001,$E$17*0.00000000001),0,MAX(0,B1347*(1+C1347/12)-D1347-F1347)),IF(AND($B$171=1,I1346=1),B1347,""))</x:f>
        <x:v>0</x:v>
      </x:c>
      <x:c r="I1347" s="444" t="n">
        <x:f>IF(OR(I1346=1,AND(E1347&gt;0,$B$78&lt;&gt;"Cash payoff",NOT(AND($B$78="Refinance",ISNUMBER($B$80),$B$80&gt;=0,$B$80&lt;=1,ROUND($B$81*12,0)&gt;=1,$B$81&lt;=100,SUM($B$82)&gt;=0,SUM($B$82)&lt;=1,SUM($B$83)&gt;=0))),AND(ISNUMBER(B1347),B1347&gt;0,$B$171=1,NOT(ISNUMBER(D1347)))),1,0)</x:f>
        <x:v>0</x:v>
      </x:c>
      <x:c r="J1347" s="440" t="n">
        <x:f>IF(ISNUMBER(L1346),L1346,"")</x:f>
        <x:v>0</x:v>
      </x:c>
      <x:c r="K1347" s="440" t="n">
        <x:f>IF(AND(ISNUMBER(J1347),J1347=0),0,IF(AND($B$176=1,ISNUMBER(J1347)),MIN(J1347*(1+$B$87/12),IF($B$86=0,0,IF($B$87=0,$B$86/ROUND($B$88*12,0),$B$86*($B$87/12)/(1-(1+$B$87/12)^(-ROUND($B$88*12,0)))))),""))</x:f>
        <x:v>0</x:v>
      </x:c>
      <x:c r="L1347" s="440" t="n">
        <x:f>IF(ISNUMBER(K1347),IF(MAX(0,J1347*(1+SUM($B$87)/12)-K1347)&lt;MAX(0.0000001,$B$86*0.00000000001),0,MAX(0,J1347*(1+SUM($B$87)/12)-K1347)),"")</x:f>
        <x:v>0</x:v>
      </x:c>
      <x:c r="M1347" s="440" t="n">
        <x:f>IF(AND(ISNUMBER(D1347),ISNUMBER(K1347)),D1347+K1347,"")</x:f>
        <x:v>0</x:v>
      </x:c>
      <x:c r="N1347" s="440" t="n">
        <x:f>IF(AND(ISNUMBER(H1347),ISNUMBER(L1347)),H1347+L1347,"")</x:f>
        <x:v>0</x:v>
      </x:c>
    </x:row>
    <x:row r="1348" ht="22" customHeight="1">
      <x:c r="A1348" s="254" t="n">
        <x:f>948</x:f>
        <x:v>948</x:v>
      </x:c>
      <x:c r="B1348" s="440" t="n">
        <x:f>IF(ISNUMBER(H1347),H1347,"")</x:f>
        <x:v>0</x:v>
      </x:c>
      <x:c r="C1348" s="442" t="n">
        <x:f>IF(ISNUMBER(B1348),IF(AND(948&gt;$B$173,$B$78="Refinance",ISNUMBER($B$80),$B$80&gt;=0,$B$80&lt;=1,ROUND($B$81*12,0)&gt;=1,$B$81&lt;=100,SUM($B$82)&gt;=0,SUM($B$82)&lt;=1,SUM($B$83)&gt;=0),$B$80,IF(AND($B$175&gt;0,948&gt;$B$175,ISNUMBER($B$75)),$B$75,$B$61)),"")</x:f>
        <x:v>0.0625</x:v>
      </x:c>
      <x:c r="D1348" s="440" t="n">
        <x:f>IF(AND(ISNUMBER(B1348),B1348=0),0,IF(AND($B$171=1,I1347=0,ISNUMBER(C1348),ISNUMBER(IF(AND(948&lt;=$B$174,948&lt;=$B$173),B1348*C1348/12,IF(AND(948=$B$173+1,AND(948&gt;$B$173,$B$78="Refinance",ISNUMBER($B$80),$B$80&gt;=0,$B$80&lt;=1,ROUND($B$81*12,0)&gt;=1,$B$81&lt;=100,SUM($B$82)&gt;=0,SUM($B$82)&lt;=1,SUM($B$83)&gt;=0)),IF(B1348=0,0,IF(C1348=0,B1348/ROUND($B$81*12,0),B1348*(C1348/12)/(1-(1+C1348/12)^(-ROUND($B$81*12,0))))),IF(AND(NOT(AND(948&gt;$B$173,$B$78="Refinance",ISNUMBER($B$80),$B$80&gt;=0,$B$80&lt;=1,ROUND($B$81*12,0)&gt;=1,$B$81&lt;=100,SUM($B$82)&gt;=0,SUM($B$82)&lt;=1,SUM($B$83)&gt;=0)),OR(948=1,948=$B$174+1,AND($B$175&gt;0,948=$B$175+1))),IF(AND($B$170=1,$B$66&gt;0,OR($B$175=0,948&lt;=$B$175)),$B$66,IF($B$172-MAX(948-1,$B$174)&gt;0,IF(B1348=0,0,IF(C1348=0,B1348/($B$172-MAX(948-1,$B$174)),B1348*(C1348/12)/(1-(1+C1348/12)^(-($B$172-MAX(948-1,$B$174)))))),"")),D1347))))),IF(IF(AND(948&lt;=$B$174,948&lt;=$B$173),B1348*C1348/12,IF(AND(948=$B$173+1,AND(948&gt;$B$173,$B$78="Refinance",ISNUMBER($B$80),$B$80&gt;=0,$B$80&lt;=1,ROUND($B$81*12,0)&gt;=1,$B$81&lt;=100,SUM($B$82)&gt;=0,SUM($B$82)&lt;=1,SUM($B$83)&gt;=0)),IF(B1348=0,0,IF(C1348=0,B1348/ROUND($B$81*12,0),B1348*(C1348/12)/(1-(1+C1348/12)^(-ROUND($B$81*12,0))))),IF(AND(NOT(AND(948&gt;$B$173,$B$78="Refinance",ISNUMBER($B$80),$B$80&gt;=0,$B$80&lt;=1,ROUND($B$81*12,0)&gt;=1,$B$81&lt;=100,SUM($B$82)&gt;=0,SUM($B$82)&lt;=1,SUM($B$83)&gt;=0)),OR(948=1,948=$B$174+1,AND($B$175&gt;0,948=$B$175+1))),IF(AND($B$170=1,$B$66&gt;0,OR($B$175=0,948&lt;=$B$175)),$B$66,IF($B$172-MAX(948-1,$B$174)&gt;0,IF(B1348=0,0,IF(C1348=0,B1348/($B$172-MAX(948-1,$B$174)),B1348*(C1348/12)/(1-(1+C1348/12)^(-($B$172-MAX(948-1,$B$174)))))),"")),D1347)))+0.0000001&gt;=B1348*C1348/12,MIN(B1348*(1+C1348/12),IF(AND(948&lt;=$B$174,948&lt;=$B$173),B1348*C1348/12,IF(AND(948=$B$173+1,AND(948&gt;$B$173,$B$78="Refinance",ISNUMBER($B$80),$B$80&gt;=0,$B$80&lt;=1,ROUND($B$81*12,0)&gt;=1,$B$81&lt;=100,SUM($B$82)&gt;=0,SUM($B$82)&lt;=1,SUM($B$83)&gt;=0)),IF(B1348=0,0,IF(C1348=0,B1348/ROUND($B$81*12,0),B1348*(C1348/12)/(1-(1+C1348/12)^(-ROUND($B$81*12,0))))),IF(AND(NOT(AND(948&gt;$B$173,$B$78="Refinance",ISNUMBER($B$80),$B$80&gt;=0,$B$80&lt;=1,ROUND($B$81*12,0)&gt;=1,$B$81&lt;=100,SUM($B$82)&gt;=0,SUM($B$82)&lt;=1,SUM($B$83)&gt;=0)),OR(948=1,948=$B$174+1,AND($B$175&gt;0,948=$B$175+1))),IF(AND($B$170=1,$B$66&gt;0,OR($B$175=0,948&lt;=$B$175)),$B$66,IF($B$172-MAX(948-1,$B$174)&gt;0,IF(B1348=0,0,IF(C1348=0,B1348/($B$172-MAX(948-1,$B$174)),B1348*(C1348/12)/(1-(1+C1348/12)^(-($B$172-MAX(948-1,$B$174)))))),"")),D1347)))),""),""))</x:f>
        <x:v>0</x:v>
      </x:c>
      <x:c r="E1348" s="440" t="n">
        <x:f>IF(AND(948=$B$173,ISNUMBER(D1348)),IF(MAX(0,B1348*(1+C1348/12)-D1348)&lt;MAX(0.0000001,$E$17*0.00000000001),0,MAX(0,B1348*(1+C1348/12)-D1348)),0)</x:f>
        <x:v>0</x:v>
      </x:c>
      <x:c r="F1348" s="440" t="n">
        <x:f>IF($B$78="Cash payoff",E1348,0)</x:f>
        <x:v>0</x:v>
      </x:c>
      <x:c r="G1348" s="440" t="n">
        <x:f>IF(AND(E1348&gt;0,AND($B$78="Refinance",ISNUMBER($B$80),$B$80&gt;=0,$B$80&lt;=1,ROUND($B$81*12,0)&gt;=1,$B$81&lt;=100,SUM($B$82)&gt;=0,SUM($B$82)&lt;=1,SUM($B$83)&gt;=0)),E1348*SUM($B$82)+SUM($B$83),0)</x:f>
        <x:v>0</x:v>
      </x:c>
      <x:c r="H1348" s="440" t="n">
        <x:f>IF(ISNUMBER(D1348),IF(MAX(0,B1348*(1+C1348/12)-D1348-F1348)&lt;MAX(0.0000001,$E$17*0.00000000001),0,MAX(0,B1348*(1+C1348/12)-D1348-F1348)),IF(AND($B$171=1,I1347=1),B1348,""))</x:f>
        <x:v>0</x:v>
      </x:c>
      <x:c r="I1348" s="444" t="n">
        <x:f>IF(OR(I1347=1,AND(E1348&gt;0,$B$78&lt;&gt;"Cash payoff",NOT(AND($B$78="Refinance",ISNUMBER($B$80),$B$80&gt;=0,$B$80&lt;=1,ROUND($B$81*12,0)&gt;=1,$B$81&lt;=100,SUM($B$82)&gt;=0,SUM($B$82)&lt;=1,SUM($B$83)&gt;=0))),AND(ISNUMBER(B1348),B1348&gt;0,$B$171=1,NOT(ISNUMBER(D1348)))),1,0)</x:f>
        <x:v>0</x:v>
      </x:c>
      <x:c r="J1348" s="440" t="n">
        <x:f>IF(ISNUMBER(L1347),L1347,"")</x:f>
        <x:v>0</x:v>
      </x:c>
      <x:c r="K1348" s="440" t="n">
        <x:f>IF(AND(ISNUMBER(J1348),J1348=0),0,IF(AND($B$176=1,ISNUMBER(J1348)),MIN(J1348*(1+$B$87/12),IF($B$86=0,0,IF($B$87=0,$B$86/ROUND($B$88*12,0),$B$86*($B$87/12)/(1-(1+$B$87/12)^(-ROUND($B$88*12,0)))))),""))</x:f>
        <x:v>0</x:v>
      </x:c>
      <x:c r="L1348" s="440" t="n">
        <x:f>IF(ISNUMBER(K1348),IF(MAX(0,J1348*(1+SUM($B$87)/12)-K1348)&lt;MAX(0.0000001,$B$86*0.00000000001),0,MAX(0,J1348*(1+SUM($B$87)/12)-K1348)),"")</x:f>
        <x:v>0</x:v>
      </x:c>
      <x:c r="M1348" s="440" t="n">
        <x:f>IF(AND(ISNUMBER(D1348),ISNUMBER(K1348)),D1348+K1348,"")</x:f>
        <x:v>0</x:v>
      </x:c>
      <x:c r="N1348" s="440" t="n">
        <x:f>IF(AND(ISNUMBER(H1348),ISNUMBER(L1348)),H1348+L1348,"")</x:f>
        <x:v>0</x:v>
      </x:c>
    </x:row>
    <x:row r="1349" ht="22" customHeight="1">
      <x:c r="A1349" s="254" t="n">
        <x:f>949</x:f>
        <x:v>949</x:v>
      </x:c>
      <x:c r="B1349" s="440" t="n">
        <x:f>IF(ISNUMBER(H1348),H1348,"")</x:f>
        <x:v>0</x:v>
      </x:c>
      <x:c r="C1349" s="442" t="n">
        <x:f>IF(ISNUMBER(B1349),IF(AND(949&gt;$B$173,$B$78="Refinance",ISNUMBER($B$80),$B$80&gt;=0,$B$80&lt;=1,ROUND($B$81*12,0)&gt;=1,$B$81&lt;=100,SUM($B$82)&gt;=0,SUM($B$82)&lt;=1,SUM($B$83)&gt;=0),$B$80,IF(AND($B$175&gt;0,949&gt;$B$175,ISNUMBER($B$75)),$B$75,$B$61)),"")</x:f>
        <x:v>0.0625</x:v>
      </x:c>
      <x:c r="D1349" s="440" t="n">
        <x:f>IF(AND(ISNUMBER(B1349),B1349=0),0,IF(AND($B$171=1,I1348=0,ISNUMBER(C1349),ISNUMBER(IF(AND(949&lt;=$B$174,949&lt;=$B$173),B1349*C1349/12,IF(AND(949=$B$173+1,AND(949&gt;$B$173,$B$78="Refinance",ISNUMBER($B$80),$B$80&gt;=0,$B$80&lt;=1,ROUND($B$81*12,0)&gt;=1,$B$81&lt;=100,SUM($B$82)&gt;=0,SUM($B$82)&lt;=1,SUM($B$83)&gt;=0)),IF(B1349=0,0,IF(C1349=0,B1349/ROUND($B$81*12,0),B1349*(C1349/12)/(1-(1+C1349/12)^(-ROUND($B$81*12,0))))),IF(AND(NOT(AND(949&gt;$B$173,$B$78="Refinance",ISNUMBER($B$80),$B$80&gt;=0,$B$80&lt;=1,ROUND($B$81*12,0)&gt;=1,$B$81&lt;=100,SUM($B$82)&gt;=0,SUM($B$82)&lt;=1,SUM($B$83)&gt;=0)),OR(949=1,949=$B$174+1,AND($B$175&gt;0,949=$B$175+1))),IF(AND($B$170=1,$B$66&gt;0,OR($B$175=0,949&lt;=$B$175)),$B$66,IF($B$172-MAX(949-1,$B$174)&gt;0,IF(B1349=0,0,IF(C1349=0,B1349/($B$172-MAX(949-1,$B$174)),B1349*(C1349/12)/(1-(1+C1349/12)^(-($B$172-MAX(949-1,$B$174)))))),"")),D1348))))),IF(IF(AND(949&lt;=$B$174,949&lt;=$B$173),B1349*C1349/12,IF(AND(949=$B$173+1,AND(949&gt;$B$173,$B$78="Refinance",ISNUMBER($B$80),$B$80&gt;=0,$B$80&lt;=1,ROUND($B$81*12,0)&gt;=1,$B$81&lt;=100,SUM($B$82)&gt;=0,SUM($B$82)&lt;=1,SUM($B$83)&gt;=0)),IF(B1349=0,0,IF(C1349=0,B1349/ROUND($B$81*12,0),B1349*(C1349/12)/(1-(1+C1349/12)^(-ROUND($B$81*12,0))))),IF(AND(NOT(AND(949&gt;$B$173,$B$78="Refinance",ISNUMBER($B$80),$B$80&gt;=0,$B$80&lt;=1,ROUND($B$81*12,0)&gt;=1,$B$81&lt;=100,SUM($B$82)&gt;=0,SUM($B$82)&lt;=1,SUM($B$83)&gt;=0)),OR(949=1,949=$B$174+1,AND($B$175&gt;0,949=$B$175+1))),IF(AND($B$170=1,$B$66&gt;0,OR($B$175=0,949&lt;=$B$175)),$B$66,IF($B$172-MAX(949-1,$B$174)&gt;0,IF(B1349=0,0,IF(C1349=0,B1349/($B$172-MAX(949-1,$B$174)),B1349*(C1349/12)/(1-(1+C1349/12)^(-($B$172-MAX(949-1,$B$174)))))),"")),D1348)))+0.0000001&gt;=B1349*C1349/12,MIN(B1349*(1+C1349/12),IF(AND(949&lt;=$B$174,949&lt;=$B$173),B1349*C1349/12,IF(AND(949=$B$173+1,AND(949&gt;$B$173,$B$78="Refinance",ISNUMBER($B$80),$B$80&gt;=0,$B$80&lt;=1,ROUND($B$81*12,0)&gt;=1,$B$81&lt;=100,SUM($B$82)&gt;=0,SUM($B$82)&lt;=1,SUM($B$83)&gt;=0)),IF(B1349=0,0,IF(C1349=0,B1349/ROUND($B$81*12,0),B1349*(C1349/12)/(1-(1+C1349/12)^(-ROUND($B$81*12,0))))),IF(AND(NOT(AND(949&gt;$B$173,$B$78="Refinance",ISNUMBER($B$80),$B$80&gt;=0,$B$80&lt;=1,ROUND($B$81*12,0)&gt;=1,$B$81&lt;=100,SUM($B$82)&gt;=0,SUM($B$82)&lt;=1,SUM($B$83)&gt;=0)),OR(949=1,949=$B$174+1,AND($B$175&gt;0,949=$B$175+1))),IF(AND($B$170=1,$B$66&gt;0,OR($B$175=0,949&lt;=$B$175)),$B$66,IF($B$172-MAX(949-1,$B$174)&gt;0,IF(B1349=0,0,IF(C1349=0,B1349/($B$172-MAX(949-1,$B$174)),B1349*(C1349/12)/(1-(1+C1349/12)^(-($B$172-MAX(949-1,$B$174)))))),"")),D1348)))),""),""))</x:f>
        <x:v>0</x:v>
      </x:c>
      <x:c r="E1349" s="440" t="n">
        <x:f>IF(AND(949=$B$173,ISNUMBER(D1349)),IF(MAX(0,B1349*(1+C1349/12)-D1349)&lt;MAX(0.0000001,$E$17*0.00000000001),0,MAX(0,B1349*(1+C1349/12)-D1349)),0)</x:f>
        <x:v>0</x:v>
      </x:c>
      <x:c r="F1349" s="440" t="n">
        <x:f>IF($B$78="Cash payoff",E1349,0)</x:f>
        <x:v>0</x:v>
      </x:c>
      <x:c r="G1349" s="440" t="n">
        <x:f>IF(AND(E1349&gt;0,AND($B$78="Refinance",ISNUMBER($B$80),$B$80&gt;=0,$B$80&lt;=1,ROUND($B$81*12,0)&gt;=1,$B$81&lt;=100,SUM($B$82)&gt;=0,SUM($B$82)&lt;=1,SUM($B$83)&gt;=0)),E1349*SUM($B$82)+SUM($B$83),0)</x:f>
        <x:v>0</x:v>
      </x:c>
      <x:c r="H1349" s="440" t="n">
        <x:f>IF(ISNUMBER(D1349),IF(MAX(0,B1349*(1+C1349/12)-D1349-F1349)&lt;MAX(0.0000001,$E$17*0.00000000001),0,MAX(0,B1349*(1+C1349/12)-D1349-F1349)),IF(AND($B$171=1,I1348=1),B1349,""))</x:f>
        <x:v>0</x:v>
      </x:c>
      <x:c r="I1349" s="444" t="n">
        <x:f>IF(OR(I1348=1,AND(E1349&gt;0,$B$78&lt;&gt;"Cash payoff",NOT(AND($B$78="Refinance",ISNUMBER($B$80),$B$80&gt;=0,$B$80&lt;=1,ROUND($B$81*12,0)&gt;=1,$B$81&lt;=100,SUM($B$82)&gt;=0,SUM($B$82)&lt;=1,SUM($B$83)&gt;=0))),AND(ISNUMBER(B1349),B1349&gt;0,$B$171=1,NOT(ISNUMBER(D1349)))),1,0)</x:f>
        <x:v>0</x:v>
      </x:c>
      <x:c r="J1349" s="440" t="n">
        <x:f>IF(ISNUMBER(L1348),L1348,"")</x:f>
        <x:v>0</x:v>
      </x:c>
      <x:c r="K1349" s="440" t="n">
        <x:f>IF(AND(ISNUMBER(J1349),J1349=0),0,IF(AND($B$176=1,ISNUMBER(J1349)),MIN(J1349*(1+$B$87/12),IF($B$86=0,0,IF($B$87=0,$B$86/ROUND($B$88*12,0),$B$86*($B$87/12)/(1-(1+$B$87/12)^(-ROUND($B$88*12,0)))))),""))</x:f>
        <x:v>0</x:v>
      </x:c>
      <x:c r="L1349" s="440" t="n">
        <x:f>IF(ISNUMBER(K1349),IF(MAX(0,J1349*(1+SUM($B$87)/12)-K1349)&lt;MAX(0.0000001,$B$86*0.00000000001),0,MAX(0,J1349*(1+SUM($B$87)/12)-K1349)),"")</x:f>
        <x:v>0</x:v>
      </x:c>
      <x:c r="M1349" s="440" t="n">
        <x:f>IF(AND(ISNUMBER(D1349),ISNUMBER(K1349)),D1349+K1349,"")</x:f>
        <x:v>0</x:v>
      </x:c>
      <x:c r="N1349" s="440" t="n">
        <x:f>IF(AND(ISNUMBER(H1349),ISNUMBER(L1349)),H1349+L1349,"")</x:f>
        <x:v>0</x:v>
      </x:c>
    </x:row>
    <x:row r="1350" ht="22" customHeight="1">
      <x:c r="A1350" s="254" t="n">
        <x:f>950</x:f>
        <x:v>950</x:v>
      </x:c>
      <x:c r="B1350" s="440" t="n">
        <x:f>IF(ISNUMBER(H1349),H1349,"")</x:f>
        <x:v>0</x:v>
      </x:c>
      <x:c r="C1350" s="442" t="n">
        <x:f>IF(ISNUMBER(B1350),IF(AND(950&gt;$B$173,$B$78="Refinance",ISNUMBER($B$80),$B$80&gt;=0,$B$80&lt;=1,ROUND($B$81*12,0)&gt;=1,$B$81&lt;=100,SUM($B$82)&gt;=0,SUM($B$82)&lt;=1,SUM($B$83)&gt;=0),$B$80,IF(AND($B$175&gt;0,950&gt;$B$175,ISNUMBER($B$75)),$B$75,$B$61)),"")</x:f>
        <x:v>0.0625</x:v>
      </x:c>
      <x:c r="D1350" s="440" t="n">
        <x:f>IF(AND(ISNUMBER(B1350),B1350=0),0,IF(AND($B$171=1,I1349=0,ISNUMBER(C1350),ISNUMBER(IF(AND(950&lt;=$B$174,950&lt;=$B$173),B1350*C1350/12,IF(AND(950=$B$173+1,AND(950&gt;$B$173,$B$78="Refinance",ISNUMBER($B$80),$B$80&gt;=0,$B$80&lt;=1,ROUND($B$81*12,0)&gt;=1,$B$81&lt;=100,SUM($B$82)&gt;=0,SUM($B$82)&lt;=1,SUM($B$83)&gt;=0)),IF(B1350=0,0,IF(C1350=0,B1350/ROUND($B$81*12,0),B1350*(C1350/12)/(1-(1+C1350/12)^(-ROUND($B$81*12,0))))),IF(AND(NOT(AND(950&gt;$B$173,$B$78="Refinance",ISNUMBER($B$80),$B$80&gt;=0,$B$80&lt;=1,ROUND($B$81*12,0)&gt;=1,$B$81&lt;=100,SUM($B$82)&gt;=0,SUM($B$82)&lt;=1,SUM($B$83)&gt;=0)),OR(950=1,950=$B$174+1,AND($B$175&gt;0,950=$B$175+1))),IF(AND($B$170=1,$B$66&gt;0,OR($B$175=0,950&lt;=$B$175)),$B$66,IF($B$172-MAX(950-1,$B$174)&gt;0,IF(B1350=0,0,IF(C1350=0,B1350/($B$172-MAX(950-1,$B$174)),B1350*(C1350/12)/(1-(1+C1350/12)^(-($B$172-MAX(950-1,$B$174)))))),"")),D1349))))),IF(IF(AND(950&lt;=$B$174,950&lt;=$B$173),B1350*C1350/12,IF(AND(950=$B$173+1,AND(950&gt;$B$173,$B$78="Refinance",ISNUMBER($B$80),$B$80&gt;=0,$B$80&lt;=1,ROUND($B$81*12,0)&gt;=1,$B$81&lt;=100,SUM($B$82)&gt;=0,SUM($B$82)&lt;=1,SUM($B$83)&gt;=0)),IF(B1350=0,0,IF(C1350=0,B1350/ROUND($B$81*12,0),B1350*(C1350/12)/(1-(1+C1350/12)^(-ROUND($B$81*12,0))))),IF(AND(NOT(AND(950&gt;$B$173,$B$78="Refinance",ISNUMBER($B$80),$B$80&gt;=0,$B$80&lt;=1,ROUND($B$81*12,0)&gt;=1,$B$81&lt;=100,SUM($B$82)&gt;=0,SUM($B$82)&lt;=1,SUM($B$83)&gt;=0)),OR(950=1,950=$B$174+1,AND($B$175&gt;0,950=$B$175+1))),IF(AND($B$170=1,$B$66&gt;0,OR($B$175=0,950&lt;=$B$175)),$B$66,IF($B$172-MAX(950-1,$B$174)&gt;0,IF(B1350=0,0,IF(C1350=0,B1350/($B$172-MAX(950-1,$B$174)),B1350*(C1350/12)/(1-(1+C1350/12)^(-($B$172-MAX(950-1,$B$174)))))),"")),D1349)))+0.0000001&gt;=B1350*C1350/12,MIN(B1350*(1+C1350/12),IF(AND(950&lt;=$B$174,950&lt;=$B$173),B1350*C1350/12,IF(AND(950=$B$173+1,AND(950&gt;$B$173,$B$78="Refinance",ISNUMBER($B$80),$B$80&gt;=0,$B$80&lt;=1,ROUND($B$81*12,0)&gt;=1,$B$81&lt;=100,SUM($B$82)&gt;=0,SUM($B$82)&lt;=1,SUM($B$83)&gt;=0)),IF(B1350=0,0,IF(C1350=0,B1350/ROUND($B$81*12,0),B1350*(C1350/12)/(1-(1+C1350/12)^(-ROUND($B$81*12,0))))),IF(AND(NOT(AND(950&gt;$B$173,$B$78="Refinance",ISNUMBER($B$80),$B$80&gt;=0,$B$80&lt;=1,ROUND($B$81*12,0)&gt;=1,$B$81&lt;=100,SUM($B$82)&gt;=0,SUM($B$82)&lt;=1,SUM($B$83)&gt;=0)),OR(950=1,950=$B$174+1,AND($B$175&gt;0,950=$B$175+1))),IF(AND($B$170=1,$B$66&gt;0,OR($B$175=0,950&lt;=$B$175)),$B$66,IF($B$172-MAX(950-1,$B$174)&gt;0,IF(B1350=0,0,IF(C1350=0,B1350/($B$172-MAX(950-1,$B$174)),B1350*(C1350/12)/(1-(1+C1350/12)^(-($B$172-MAX(950-1,$B$174)))))),"")),D1349)))),""),""))</x:f>
        <x:v>0</x:v>
      </x:c>
      <x:c r="E1350" s="440" t="n">
        <x:f>IF(AND(950=$B$173,ISNUMBER(D1350)),IF(MAX(0,B1350*(1+C1350/12)-D1350)&lt;MAX(0.0000001,$E$17*0.00000000001),0,MAX(0,B1350*(1+C1350/12)-D1350)),0)</x:f>
        <x:v>0</x:v>
      </x:c>
      <x:c r="F1350" s="440" t="n">
        <x:f>IF($B$78="Cash payoff",E1350,0)</x:f>
        <x:v>0</x:v>
      </x:c>
      <x:c r="G1350" s="440" t="n">
        <x:f>IF(AND(E1350&gt;0,AND($B$78="Refinance",ISNUMBER($B$80),$B$80&gt;=0,$B$80&lt;=1,ROUND($B$81*12,0)&gt;=1,$B$81&lt;=100,SUM($B$82)&gt;=0,SUM($B$82)&lt;=1,SUM($B$83)&gt;=0)),E1350*SUM($B$82)+SUM($B$83),0)</x:f>
        <x:v>0</x:v>
      </x:c>
      <x:c r="H1350" s="440" t="n">
        <x:f>IF(ISNUMBER(D1350),IF(MAX(0,B1350*(1+C1350/12)-D1350-F1350)&lt;MAX(0.0000001,$E$17*0.00000000001),0,MAX(0,B1350*(1+C1350/12)-D1350-F1350)),IF(AND($B$171=1,I1349=1),B1350,""))</x:f>
        <x:v>0</x:v>
      </x:c>
      <x:c r="I1350" s="444" t="n">
        <x:f>IF(OR(I1349=1,AND(E1350&gt;0,$B$78&lt;&gt;"Cash payoff",NOT(AND($B$78="Refinance",ISNUMBER($B$80),$B$80&gt;=0,$B$80&lt;=1,ROUND($B$81*12,0)&gt;=1,$B$81&lt;=100,SUM($B$82)&gt;=0,SUM($B$82)&lt;=1,SUM($B$83)&gt;=0))),AND(ISNUMBER(B1350),B1350&gt;0,$B$171=1,NOT(ISNUMBER(D1350)))),1,0)</x:f>
        <x:v>0</x:v>
      </x:c>
      <x:c r="J1350" s="440" t="n">
        <x:f>IF(ISNUMBER(L1349),L1349,"")</x:f>
        <x:v>0</x:v>
      </x:c>
      <x:c r="K1350" s="440" t="n">
        <x:f>IF(AND(ISNUMBER(J1350),J1350=0),0,IF(AND($B$176=1,ISNUMBER(J1350)),MIN(J1350*(1+$B$87/12),IF($B$86=0,0,IF($B$87=0,$B$86/ROUND($B$88*12,0),$B$86*($B$87/12)/(1-(1+$B$87/12)^(-ROUND($B$88*12,0)))))),""))</x:f>
        <x:v>0</x:v>
      </x:c>
      <x:c r="L1350" s="440" t="n">
        <x:f>IF(ISNUMBER(K1350),IF(MAX(0,J1350*(1+SUM($B$87)/12)-K1350)&lt;MAX(0.0000001,$B$86*0.00000000001),0,MAX(0,J1350*(1+SUM($B$87)/12)-K1350)),"")</x:f>
        <x:v>0</x:v>
      </x:c>
      <x:c r="M1350" s="440" t="n">
        <x:f>IF(AND(ISNUMBER(D1350),ISNUMBER(K1350)),D1350+K1350,"")</x:f>
        <x:v>0</x:v>
      </x:c>
      <x:c r="N1350" s="440" t="n">
        <x:f>IF(AND(ISNUMBER(H1350),ISNUMBER(L1350)),H1350+L1350,"")</x:f>
        <x:v>0</x:v>
      </x:c>
    </x:row>
    <x:row r="1351" ht="22" customHeight="1">
      <x:c r="A1351" s="254" t="n">
        <x:f>951</x:f>
        <x:v>951</x:v>
      </x:c>
      <x:c r="B1351" s="440" t="n">
        <x:f>IF(ISNUMBER(H1350),H1350,"")</x:f>
        <x:v>0</x:v>
      </x:c>
      <x:c r="C1351" s="442" t="n">
        <x:f>IF(ISNUMBER(B1351),IF(AND(951&gt;$B$173,$B$78="Refinance",ISNUMBER($B$80),$B$80&gt;=0,$B$80&lt;=1,ROUND($B$81*12,0)&gt;=1,$B$81&lt;=100,SUM($B$82)&gt;=0,SUM($B$82)&lt;=1,SUM($B$83)&gt;=0),$B$80,IF(AND($B$175&gt;0,951&gt;$B$175,ISNUMBER($B$75)),$B$75,$B$61)),"")</x:f>
        <x:v>0.0625</x:v>
      </x:c>
      <x:c r="D1351" s="440" t="n">
        <x:f>IF(AND(ISNUMBER(B1351),B1351=0),0,IF(AND($B$171=1,I1350=0,ISNUMBER(C1351),ISNUMBER(IF(AND(951&lt;=$B$174,951&lt;=$B$173),B1351*C1351/12,IF(AND(951=$B$173+1,AND(951&gt;$B$173,$B$78="Refinance",ISNUMBER($B$80),$B$80&gt;=0,$B$80&lt;=1,ROUND($B$81*12,0)&gt;=1,$B$81&lt;=100,SUM($B$82)&gt;=0,SUM($B$82)&lt;=1,SUM($B$83)&gt;=0)),IF(B1351=0,0,IF(C1351=0,B1351/ROUND($B$81*12,0),B1351*(C1351/12)/(1-(1+C1351/12)^(-ROUND($B$81*12,0))))),IF(AND(NOT(AND(951&gt;$B$173,$B$78="Refinance",ISNUMBER($B$80),$B$80&gt;=0,$B$80&lt;=1,ROUND($B$81*12,0)&gt;=1,$B$81&lt;=100,SUM($B$82)&gt;=0,SUM($B$82)&lt;=1,SUM($B$83)&gt;=0)),OR(951=1,951=$B$174+1,AND($B$175&gt;0,951=$B$175+1))),IF(AND($B$170=1,$B$66&gt;0,OR($B$175=0,951&lt;=$B$175)),$B$66,IF($B$172-MAX(951-1,$B$174)&gt;0,IF(B1351=0,0,IF(C1351=0,B1351/($B$172-MAX(951-1,$B$174)),B1351*(C1351/12)/(1-(1+C1351/12)^(-($B$172-MAX(951-1,$B$174)))))),"")),D1350))))),IF(IF(AND(951&lt;=$B$174,951&lt;=$B$173),B1351*C1351/12,IF(AND(951=$B$173+1,AND(951&gt;$B$173,$B$78="Refinance",ISNUMBER($B$80),$B$80&gt;=0,$B$80&lt;=1,ROUND($B$81*12,0)&gt;=1,$B$81&lt;=100,SUM($B$82)&gt;=0,SUM($B$82)&lt;=1,SUM($B$83)&gt;=0)),IF(B1351=0,0,IF(C1351=0,B1351/ROUND($B$81*12,0),B1351*(C1351/12)/(1-(1+C1351/12)^(-ROUND($B$81*12,0))))),IF(AND(NOT(AND(951&gt;$B$173,$B$78="Refinance",ISNUMBER($B$80),$B$80&gt;=0,$B$80&lt;=1,ROUND($B$81*12,0)&gt;=1,$B$81&lt;=100,SUM($B$82)&gt;=0,SUM($B$82)&lt;=1,SUM($B$83)&gt;=0)),OR(951=1,951=$B$174+1,AND($B$175&gt;0,951=$B$175+1))),IF(AND($B$170=1,$B$66&gt;0,OR($B$175=0,951&lt;=$B$175)),$B$66,IF($B$172-MAX(951-1,$B$174)&gt;0,IF(B1351=0,0,IF(C1351=0,B1351/($B$172-MAX(951-1,$B$174)),B1351*(C1351/12)/(1-(1+C1351/12)^(-($B$172-MAX(951-1,$B$174)))))),"")),D1350)))+0.0000001&gt;=B1351*C1351/12,MIN(B1351*(1+C1351/12),IF(AND(951&lt;=$B$174,951&lt;=$B$173),B1351*C1351/12,IF(AND(951=$B$173+1,AND(951&gt;$B$173,$B$78="Refinance",ISNUMBER($B$80),$B$80&gt;=0,$B$80&lt;=1,ROUND($B$81*12,0)&gt;=1,$B$81&lt;=100,SUM($B$82)&gt;=0,SUM($B$82)&lt;=1,SUM($B$83)&gt;=0)),IF(B1351=0,0,IF(C1351=0,B1351/ROUND($B$81*12,0),B1351*(C1351/12)/(1-(1+C1351/12)^(-ROUND($B$81*12,0))))),IF(AND(NOT(AND(951&gt;$B$173,$B$78="Refinance",ISNUMBER($B$80),$B$80&gt;=0,$B$80&lt;=1,ROUND($B$81*12,0)&gt;=1,$B$81&lt;=100,SUM($B$82)&gt;=0,SUM($B$82)&lt;=1,SUM($B$83)&gt;=0)),OR(951=1,951=$B$174+1,AND($B$175&gt;0,951=$B$175+1))),IF(AND($B$170=1,$B$66&gt;0,OR($B$175=0,951&lt;=$B$175)),$B$66,IF($B$172-MAX(951-1,$B$174)&gt;0,IF(B1351=0,0,IF(C1351=0,B1351/($B$172-MAX(951-1,$B$174)),B1351*(C1351/12)/(1-(1+C1351/12)^(-($B$172-MAX(951-1,$B$174)))))),"")),D1350)))),""),""))</x:f>
        <x:v>0</x:v>
      </x:c>
      <x:c r="E1351" s="440" t="n">
        <x:f>IF(AND(951=$B$173,ISNUMBER(D1351)),IF(MAX(0,B1351*(1+C1351/12)-D1351)&lt;MAX(0.0000001,$E$17*0.00000000001),0,MAX(0,B1351*(1+C1351/12)-D1351)),0)</x:f>
        <x:v>0</x:v>
      </x:c>
      <x:c r="F1351" s="440" t="n">
        <x:f>IF($B$78="Cash payoff",E1351,0)</x:f>
        <x:v>0</x:v>
      </x:c>
      <x:c r="G1351" s="440" t="n">
        <x:f>IF(AND(E1351&gt;0,AND($B$78="Refinance",ISNUMBER($B$80),$B$80&gt;=0,$B$80&lt;=1,ROUND($B$81*12,0)&gt;=1,$B$81&lt;=100,SUM($B$82)&gt;=0,SUM($B$82)&lt;=1,SUM($B$83)&gt;=0)),E1351*SUM($B$82)+SUM($B$83),0)</x:f>
        <x:v>0</x:v>
      </x:c>
      <x:c r="H1351" s="440" t="n">
        <x:f>IF(ISNUMBER(D1351),IF(MAX(0,B1351*(1+C1351/12)-D1351-F1351)&lt;MAX(0.0000001,$E$17*0.00000000001),0,MAX(0,B1351*(1+C1351/12)-D1351-F1351)),IF(AND($B$171=1,I1350=1),B1351,""))</x:f>
        <x:v>0</x:v>
      </x:c>
      <x:c r="I1351" s="444" t="n">
        <x:f>IF(OR(I1350=1,AND(E1351&gt;0,$B$78&lt;&gt;"Cash payoff",NOT(AND($B$78="Refinance",ISNUMBER($B$80),$B$80&gt;=0,$B$80&lt;=1,ROUND($B$81*12,0)&gt;=1,$B$81&lt;=100,SUM($B$82)&gt;=0,SUM($B$82)&lt;=1,SUM($B$83)&gt;=0))),AND(ISNUMBER(B1351),B1351&gt;0,$B$171=1,NOT(ISNUMBER(D1351)))),1,0)</x:f>
        <x:v>0</x:v>
      </x:c>
      <x:c r="J1351" s="440" t="n">
        <x:f>IF(ISNUMBER(L1350),L1350,"")</x:f>
        <x:v>0</x:v>
      </x:c>
      <x:c r="K1351" s="440" t="n">
        <x:f>IF(AND(ISNUMBER(J1351),J1351=0),0,IF(AND($B$176=1,ISNUMBER(J1351)),MIN(J1351*(1+$B$87/12),IF($B$86=0,0,IF($B$87=0,$B$86/ROUND($B$88*12,0),$B$86*($B$87/12)/(1-(1+$B$87/12)^(-ROUND($B$88*12,0)))))),""))</x:f>
        <x:v>0</x:v>
      </x:c>
      <x:c r="L1351" s="440" t="n">
        <x:f>IF(ISNUMBER(K1351),IF(MAX(0,J1351*(1+SUM($B$87)/12)-K1351)&lt;MAX(0.0000001,$B$86*0.00000000001),0,MAX(0,J1351*(1+SUM($B$87)/12)-K1351)),"")</x:f>
        <x:v>0</x:v>
      </x:c>
      <x:c r="M1351" s="440" t="n">
        <x:f>IF(AND(ISNUMBER(D1351),ISNUMBER(K1351)),D1351+K1351,"")</x:f>
        <x:v>0</x:v>
      </x:c>
      <x:c r="N1351" s="440" t="n">
        <x:f>IF(AND(ISNUMBER(H1351),ISNUMBER(L1351)),H1351+L1351,"")</x:f>
        <x:v>0</x:v>
      </x:c>
    </x:row>
    <x:row r="1352" ht="22" customHeight="1">
      <x:c r="A1352" s="254" t="n">
        <x:f>952</x:f>
        <x:v>952</x:v>
      </x:c>
      <x:c r="B1352" s="440" t="n">
        <x:f>IF(ISNUMBER(H1351),H1351,"")</x:f>
        <x:v>0</x:v>
      </x:c>
      <x:c r="C1352" s="442" t="n">
        <x:f>IF(ISNUMBER(B1352),IF(AND(952&gt;$B$173,$B$78="Refinance",ISNUMBER($B$80),$B$80&gt;=0,$B$80&lt;=1,ROUND($B$81*12,0)&gt;=1,$B$81&lt;=100,SUM($B$82)&gt;=0,SUM($B$82)&lt;=1,SUM($B$83)&gt;=0),$B$80,IF(AND($B$175&gt;0,952&gt;$B$175,ISNUMBER($B$75)),$B$75,$B$61)),"")</x:f>
        <x:v>0.0625</x:v>
      </x:c>
      <x:c r="D1352" s="440" t="n">
        <x:f>IF(AND(ISNUMBER(B1352),B1352=0),0,IF(AND($B$171=1,I1351=0,ISNUMBER(C1352),ISNUMBER(IF(AND(952&lt;=$B$174,952&lt;=$B$173),B1352*C1352/12,IF(AND(952=$B$173+1,AND(952&gt;$B$173,$B$78="Refinance",ISNUMBER($B$80),$B$80&gt;=0,$B$80&lt;=1,ROUND($B$81*12,0)&gt;=1,$B$81&lt;=100,SUM($B$82)&gt;=0,SUM($B$82)&lt;=1,SUM($B$83)&gt;=0)),IF(B1352=0,0,IF(C1352=0,B1352/ROUND($B$81*12,0),B1352*(C1352/12)/(1-(1+C1352/12)^(-ROUND($B$81*12,0))))),IF(AND(NOT(AND(952&gt;$B$173,$B$78="Refinance",ISNUMBER($B$80),$B$80&gt;=0,$B$80&lt;=1,ROUND($B$81*12,0)&gt;=1,$B$81&lt;=100,SUM($B$82)&gt;=0,SUM($B$82)&lt;=1,SUM($B$83)&gt;=0)),OR(952=1,952=$B$174+1,AND($B$175&gt;0,952=$B$175+1))),IF(AND($B$170=1,$B$66&gt;0,OR($B$175=0,952&lt;=$B$175)),$B$66,IF($B$172-MAX(952-1,$B$174)&gt;0,IF(B1352=0,0,IF(C1352=0,B1352/($B$172-MAX(952-1,$B$174)),B1352*(C1352/12)/(1-(1+C1352/12)^(-($B$172-MAX(952-1,$B$174)))))),"")),D1351))))),IF(IF(AND(952&lt;=$B$174,952&lt;=$B$173),B1352*C1352/12,IF(AND(952=$B$173+1,AND(952&gt;$B$173,$B$78="Refinance",ISNUMBER($B$80),$B$80&gt;=0,$B$80&lt;=1,ROUND($B$81*12,0)&gt;=1,$B$81&lt;=100,SUM($B$82)&gt;=0,SUM($B$82)&lt;=1,SUM($B$83)&gt;=0)),IF(B1352=0,0,IF(C1352=0,B1352/ROUND($B$81*12,0),B1352*(C1352/12)/(1-(1+C1352/12)^(-ROUND($B$81*12,0))))),IF(AND(NOT(AND(952&gt;$B$173,$B$78="Refinance",ISNUMBER($B$80),$B$80&gt;=0,$B$80&lt;=1,ROUND($B$81*12,0)&gt;=1,$B$81&lt;=100,SUM($B$82)&gt;=0,SUM($B$82)&lt;=1,SUM($B$83)&gt;=0)),OR(952=1,952=$B$174+1,AND($B$175&gt;0,952=$B$175+1))),IF(AND($B$170=1,$B$66&gt;0,OR($B$175=0,952&lt;=$B$175)),$B$66,IF($B$172-MAX(952-1,$B$174)&gt;0,IF(B1352=0,0,IF(C1352=0,B1352/($B$172-MAX(952-1,$B$174)),B1352*(C1352/12)/(1-(1+C1352/12)^(-($B$172-MAX(952-1,$B$174)))))),"")),D1351)))+0.0000001&gt;=B1352*C1352/12,MIN(B1352*(1+C1352/12),IF(AND(952&lt;=$B$174,952&lt;=$B$173),B1352*C1352/12,IF(AND(952=$B$173+1,AND(952&gt;$B$173,$B$78="Refinance",ISNUMBER($B$80),$B$80&gt;=0,$B$80&lt;=1,ROUND($B$81*12,0)&gt;=1,$B$81&lt;=100,SUM($B$82)&gt;=0,SUM($B$82)&lt;=1,SUM($B$83)&gt;=0)),IF(B1352=0,0,IF(C1352=0,B1352/ROUND($B$81*12,0),B1352*(C1352/12)/(1-(1+C1352/12)^(-ROUND($B$81*12,0))))),IF(AND(NOT(AND(952&gt;$B$173,$B$78="Refinance",ISNUMBER($B$80),$B$80&gt;=0,$B$80&lt;=1,ROUND($B$81*12,0)&gt;=1,$B$81&lt;=100,SUM($B$82)&gt;=0,SUM($B$82)&lt;=1,SUM($B$83)&gt;=0)),OR(952=1,952=$B$174+1,AND($B$175&gt;0,952=$B$175+1))),IF(AND($B$170=1,$B$66&gt;0,OR($B$175=0,952&lt;=$B$175)),$B$66,IF($B$172-MAX(952-1,$B$174)&gt;0,IF(B1352=0,0,IF(C1352=0,B1352/($B$172-MAX(952-1,$B$174)),B1352*(C1352/12)/(1-(1+C1352/12)^(-($B$172-MAX(952-1,$B$174)))))),"")),D1351)))),""),""))</x:f>
        <x:v>0</x:v>
      </x:c>
      <x:c r="E1352" s="440" t="n">
        <x:f>IF(AND(952=$B$173,ISNUMBER(D1352)),IF(MAX(0,B1352*(1+C1352/12)-D1352)&lt;MAX(0.0000001,$E$17*0.00000000001),0,MAX(0,B1352*(1+C1352/12)-D1352)),0)</x:f>
        <x:v>0</x:v>
      </x:c>
      <x:c r="F1352" s="440" t="n">
        <x:f>IF($B$78="Cash payoff",E1352,0)</x:f>
        <x:v>0</x:v>
      </x:c>
      <x:c r="G1352" s="440" t="n">
        <x:f>IF(AND(E1352&gt;0,AND($B$78="Refinance",ISNUMBER($B$80),$B$80&gt;=0,$B$80&lt;=1,ROUND($B$81*12,0)&gt;=1,$B$81&lt;=100,SUM($B$82)&gt;=0,SUM($B$82)&lt;=1,SUM($B$83)&gt;=0)),E1352*SUM($B$82)+SUM($B$83),0)</x:f>
        <x:v>0</x:v>
      </x:c>
      <x:c r="H1352" s="440" t="n">
        <x:f>IF(ISNUMBER(D1352),IF(MAX(0,B1352*(1+C1352/12)-D1352-F1352)&lt;MAX(0.0000001,$E$17*0.00000000001),0,MAX(0,B1352*(1+C1352/12)-D1352-F1352)),IF(AND($B$171=1,I1351=1),B1352,""))</x:f>
        <x:v>0</x:v>
      </x:c>
      <x:c r="I1352" s="444" t="n">
        <x:f>IF(OR(I1351=1,AND(E1352&gt;0,$B$78&lt;&gt;"Cash payoff",NOT(AND($B$78="Refinance",ISNUMBER($B$80),$B$80&gt;=0,$B$80&lt;=1,ROUND($B$81*12,0)&gt;=1,$B$81&lt;=100,SUM($B$82)&gt;=0,SUM($B$82)&lt;=1,SUM($B$83)&gt;=0))),AND(ISNUMBER(B1352),B1352&gt;0,$B$171=1,NOT(ISNUMBER(D1352)))),1,0)</x:f>
        <x:v>0</x:v>
      </x:c>
      <x:c r="J1352" s="440" t="n">
        <x:f>IF(ISNUMBER(L1351),L1351,"")</x:f>
        <x:v>0</x:v>
      </x:c>
      <x:c r="K1352" s="440" t="n">
        <x:f>IF(AND(ISNUMBER(J1352),J1352=0),0,IF(AND($B$176=1,ISNUMBER(J1352)),MIN(J1352*(1+$B$87/12),IF($B$86=0,0,IF($B$87=0,$B$86/ROUND($B$88*12,0),$B$86*($B$87/12)/(1-(1+$B$87/12)^(-ROUND($B$88*12,0)))))),""))</x:f>
        <x:v>0</x:v>
      </x:c>
      <x:c r="L1352" s="440" t="n">
        <x:f>IF(ISNUMBER(K1352),IF(MAX(0,J1352*(1+SUM($B$87)/12)-K1352)&lt;MAX(0.0000001,$B$86*0.00000000001),0,MAX(0,J1352*(1+SUM($B$87)/12)-K1352)),"")</x:f>
        <x:v>0</x:v>
      </x:c>
      <x:c r="M1352" s="440" t="n">
        <x:f>IF(AND(ISNUMBER(D1352),ISNUMBER(K1352)),D1352+K1352,"")</x:f>
        <x:v>0</x:v>
      </x:c>
      <x:c r="N1352" s="440" t="n">
        <x:f>IF(AND(ISNUMBER(H1352),ISNUMBER(L1352)),H1352+L1352,"")</x:f>
        <x:v>0</x:v>
      </x:c>
    </x:row>
    <x:row r="1353" ht="22" customHeight="1">
      <x:c r="A1353" s="254" t="n">
        <x:f>953</x:f>
        <x:v>953</x:v>
      </x:c>
      <x:c r="B1353" s="440" t="n">
        <x:f>IF(ISNUMBER(H1352),H1352,"")</x:f>
        <x:v>0</x:v>
      </x:c>
      <x:c r="C1353" s="442" t="n">
        <x:f>IF(ISNUMBER(B1353),IF(AND(953&gt;$B$173,$B$78="Refinance",ISNUMBER($B$80),$B$80&gt;=0,$B$80&lt;=1,ROUND($B$81*12,0)&gt;=1,$B$81&lt;=100,SUM($B$82)&gt;=0,SUM($B$82)&lt;=1,SUM($B$83)&gt;=0),$B$80,IF(AND($B$175&gt;0,953&gt;$B$175,ISNUMBER($B$75)),$B$75,$B$61)),"")</x:f>
        <x:v>0.0625</x:v>
      </x:c>
      <x:c r="D1353" s="440" t="n">
        <x:f>IF(AND(ISNUMBER(B1353),B1353=0),0,IF(AND($B$171=1,I1352=0,ISNUMBER(C1353),ISNUMBER(IF(AND(953&lt;=$B$174,953&lt;=$B$173),B1353*C1353/12,IF(AND(953=$B$173+1,AND(953&gt;$B$173,$B$78="Refinance",ISNUMBER($B$80),$B$80&gt;=0,$B$80&lt;=1,ROUND($B$81*12,0)&gt;=1,$B$81&lt;=100,SUM($B$82)&gt;=0,SUM($B$82)&lt;=1,SUM($B$83)&gt;=0)),IF(B1353=0,0,IF(C1353=0,B1353/ROUND($B$81*12,0),B1353*(C1353/12)/(1-(1+C1353/12)^(-ROUND($B$81*12,0))))),IF(AND(NOT(AND(953&gt;$B$173,$B$78="Refinance",ISNUMBER($B$80),$B$80&gt;=0,$B$80&lt;=1,ROUND($B$81*12,0)&gt;=1,$B$81&lt;=100,SUM($B$82)&gt;=0,SUM($B$82)&lt;=1,SUM($B$83)&gt;=0)),OR(953=1,953=$B$174+1,AND($B$175&gt;0,953=$B$175+1))),IF(AND($B$170=1,$B$66&gt;0,OR($B$175=0,953&lt;=$B$175)),$B$66,IF($B$172-MAX(953-1,$B$174)&gt;0,IF(B1353=0,0,IF(C1353=0,B1353/($B$172-MAX(953-1,$B$174)),B1353*(C1353/12)/(1-(1+C1353/12)^(-($B$172-MAX(953-1,$B$174)))))),"")),D1352))))),IF(IF(AND(953&lt;=$B$174,953&lt;=$B$173),B1353*C1353/12,IF(AND(953=$B$173+1,AND(953&gt;$B$173,$B$78="Refinance",ISNUMBER($B$80),$B$80&gt;=0,$B$80&lt;=1,ROUND($B$81*12,0)&gt;=1,$B$81&lt;=100,SUM($B$82)&gt;=0,SUM($B$82)&lt;=1,SUM($B$83)&gt;=0)),IF(B1353=0,0,IF(C1353=0,B1353/ROUND($B$81*12,0),B1353*(C1353/12)/(1-(1+C1353/12)^(-ROUND($B$81*12,0))))),IF(AND(NOT(AND(953&gt;$B$173,$B$78="Refinance",ISNUMBER($B$80),$B$80&gt;=0,$B$80&lt;=1,ROUND($B$81*12,0)&gt;=1,$B$81&lt;=100,SUM($B$82)&gt;=0,SUM($B$82)&lt;=1,SUM($B$83)&gt;=0)),OR(953=1,953=$B$174+1,AND($B$175&gt;0,953=$B$175+1))),IF(AND($B$170=1,$B$66&gt;0,OR($B$175=0,953&lt;=$B$175)),$B$66,IF($B$172-MAX(953-1,$B$174)&gt;0,IF(B1353=0,0,IF(C1353=0,B1353/($B$172-MAX(953-1,$B$174)),B1353*(C1353/12)/(1-(1+C1353/12)^(-($B$172-MAX(953-1,$B$174)))))),"")),D1352)))+0.0000001&gt;=B1353*C1353/12,MIN(B1353*(1+C1353/12),IF(AND(953&lt;=$B$174,953&lt;=$B$173),B1353*C1353/12,IF(AND(953=$B$173+1,AND(953&gt;$B$173,$B$78="Refinance",ISNUMBER($B$80),$B$80&gt;=0,$B$80&lt;=1,ROUND($B$81*12,0)&gt;=1,$B$81&lt;=100,SUM($B$82)&gt;=0,SUM($B$82)&lt;=1,SUM($B$83)&gt;=0)),IF(B1353=0,0,IF(C1353=0,B1353/ROUND($B$81*12,0),B1353*(C1353/12)/(1-(1+C1353/12)^(-ROUND($B$81*12,0))))),IF(AND(NOT(AND(953&gt;$B$173,$B$78="Refinance",ISNUMBER($B$80),$B$80&gt;=0,$B$80&lt;=1,ROUND($B$81*12,0)&gt;=1,$B$81&lt;=100,SUM($B$82)&gt;=0,SUM($B$82)&lt;=1,SUM($B$83)&gt;=0)),OR(953=1,953=$B$174+1,AND($B$175&gt;0,953=$B$175+1))),IF(AND($B$170=1,$B$66&gt;0,OR($B$175=0,953&lt;=$B$175)),$B$66,IF($B$172-MAX(953-1,$B$174)&gt;0,IF(B1353=0,0,IF(C1353=0,B1353/($B$172-MAX(953-1,$B$174)),B1353*(C1353/12)/(1-(1+C1353/12)^(-($B$172-MAX(953-1,$B$174)))))),"")),D1352)))),""),""))</x:f>
        <x:v>0</x:v>
      </x:c>
      <x:c r="E1353" s="440" t="n">
        <x:f>IF(AND(953=$B$173,ISNUMBER(D1353)),IF(MAX(0,B1353*(1+C1353/12)-D1353)&lt;MAX(0.0000001,$E$17*0.00000000001),0,MAX(0,B1353*(1+C1353/12)-D1353)),0)</x:f>
        <x:v>0</x:v>
      </x:c>
      <x:c r="F1353" s="440" t="n">
        <x:f>IF($B$78="Cash payoff",E1353,0)</x:f>
        <x:v>0</x:v>
      </x:c>
      <x:c r="G1353" s="440" t="n">
        <x:f>IF(AND(E1353&gt;0,AND($B$78="Refinance",ISNUMBER($B$80),$B$80&gt;=0,$B$80&lt;=1,ROUND($B$81*12,0)&gt;=1,$B$81&lt;=100,SUM($B$82)&gt;=0,SUM($B$82)&lt;=1,SUM($B$83)&gt;=0)),E1353*SUM($B$82)+SUM($B$83),0)</x:f>
        <x:v>0</x:v>
      </x:c>
      <x:c r="H1353" s="440" t="n">
        <x:f>IF(ISNUMBER(D1353),IF(MAX(0,B1353*(1+C1353/12)-D1353-F1353)&lt;MAX(0.0000001,$E$17*0.00000000001),0,MAX(0,B1353*(1+C1353/12)-D1353-F1353)),IF(AND($B$171=1,I1352=1),B1353,""))</x:f>
        <x:v>0</x:v>
      </x:c>
      <x:c r="I1353" s="444" t="n">
        <x:f>IF(OR(I1352=1,AND(E1353&gt;0,$B$78&lt;&gt;"Cash payoff",NOT(AND($B$78="Refinance",ISNUMBER($B$80),$B$80&gt;=0,$B$80&lt;=1,ROUND($B$81*12,0)&gt;=1,$B$81&lt;=100,SUM($B$82)&gt;=0,SUM($B$82)&lt;=1,SUM($B$83)&gt;=0))),AND(ISNUMBER(B1353),B1353&gt;0,$B$171=1,NOT(ISNUMBER(D1353)))),1,0)</x:f>
        <x:v>0</x:v>
      </x:c>
      <x:c r="J1353" s="440" t="n">
        <x:f>IF(ISNUMBER(L1352),L1352,"")</x:f>
        <x:v>0</x:v>
      </x:c>
      <x:c r="K1353" s="440" t="n">
        <x:f>IF(AND(ISNUMBER(J1353),J1353=0),0,IF(AND($B$176=1,ISNUMBER(J1353)),MIN(J1353*(1+$B$87/12),IF($B$86=0,0,IF($B$87=0,$B$86/ROUND($B$88*12,0),$B$86*($B$87/12)/(1-(1+$B$87/12)^(-ROUND($B$88*12,0)))))),""))</x:f>
        <x:v>0</x:v>
      </x:c>
      <x:c r="L1353" s="440" t="n">
        <x:f>IF(ISNUMBER(K1353),IF(MAX(0,J1353*(1+SUM($B$87)/12)-K1353)&lt;MAX(0.0000001,$B$86*0.00000000001),0,MAX(0,J1353*(1+SUM($B$87)/12)-K1353)),"")</x:f>
        <x:v>0</x:v>
      </x:c>
      <x:c r="M1353" s="440" t="n">
        <x:f>IF(AND(ISNUMBER(D1353),ISNUMBER(K1353)),D1353+K1353,"")</x:f>
        <x:v>0</x:v>
      </x:c>
      <x:c r="N1353" s="440" t="n">
        <x:f>IF(AND(ISNUMBER(H1353),ISNUMBER(L1353)),H1353+L1353,"")</x:f>
        <x:v>0</x:v>
      </x:c>
    </x:row>
    <x:row r="1354" ht="22" customHeight="1">
      <x:c r="A1354" s="254" t="n">
        <x:f>954</x:f>
        <x:v>954</x:v>
      </x:c>
      <x:c r="B1354" s="440" t="n">
        <x:f>IF(ISNUMBER(H1353),H1353,"")</x:f>
        <x:v>0</x:v>
      </x:c>
      <x:c r="C1354" s="442" t="n">
        <x:f>IF(ISNUMBER(B1354),IF(AND(954&gt;$B$173,$B$78="Refinance",ISNUMBER($B$80),$B$80&gt;=0,$B$80&lt;=1,ROUND($B$81*12,0)&gt;=1,$B$81&lt;=100,SUM($B$82)&gt;=0,SUM($B$82)&lt;=1,SUM($B$83)&gt;=0),$B$80,IF(AND($B$175&gt;0,954&gt;$B$175,ISNUMBER($B$75)),$B$75,$B$61)),"")</x:f>
        <x:v>0.0625</x:v>
      </x:c>
      <x:c r="D1354" s="440" t="n">
        <x:f>IF(AND(ISNUMBER(B1354),B1354=0),0,IF(AND($B$171=1,I1353=0,ISNUMBER(C1354),ISNUMBER(IF(AND(954&lt;=$B$174,954&lt;=$B$173),B1354*C1354/12,IF(AND(954=$B$173+1,AND(954&gt;$B$173,$B$78="Refinance",ISNUMBER($B$80),$B$80&gt;=0,$B$80&lt;=1,ROUND($B$81*12,0)&gt;=1,$B$81&lt;=100,SUM($B$82)&gt;=0,SUM($B$82)&lt;=1,SUM($B$83)&gt;=0)),IF(B1354=0,0,IF(C1354=0,B1354/ROUND($B$81*12,0),B1354*(C1354/12)/(1-(1+C1354/12)^(-ROUND($B$81*12,0))))),IF(AND(NOT(AND(954&gt;$B$173,$B$78="Refinance",ISNUMBER($B$80),$B$80&gt;=0,$B$80&lt;=1,ROUND($B$81*12,0)&gt;=1,$B$81&lt;=100,SUM($B$82)&gt;=0,SUM($B$82)&lt;=1,SUM($B$83)&gt;=0)),OR(954=1,954=$B$174+1,AND($B$175&gt;0,954=$B$175+1))),IF(AND($B$170=1,$B$66&gt;0,OR($B$175=0,954&lt;=$B$175)),$B$66,IF($B$172-MAX(954-1,$B$174)&gt;0,IF(B1354=0,0,IF(C1354=0,B1354/($B$172-MAX(954-1,$B$174)),B1354*(C1354/12)/(1-(1+C1354/12)^(-($B$172-MAX(954-1,$B$174)))))),"")),D1353))))),IF(IF(AND(954&lt;=$B$174,954&lt;=$B$173),B1354*C1354/12,IF(AND(954=$B$173+1,AND(954&gt;$B$173,$B$78="Refinance",ISNUMBER($B$80),$B$80&gt;=0,$B$80&lt;=1,ROUND($B$81*12,0)&gt;=1,$B$81&lt;=100,SUM($B$82)&gt;=0,SUM($B$82)&lt;=1,SUM($B$83)&gt;=0)),IF(B1354=0,0,IF(C1354=0,B1354/ROUND($B$81*12,0),B1354*(C1354/12)/(1-(1+C1354/12)^(-ROUND($B$81*12,0))))),IF(AND(NOT(AND(954&gt;$B$173,$B$78="Refinance",ISNUMBER($B$80),$B$80&gt;=0,$B$80&lt;=1,ROUND($B$81*12,0)&gt;=1,$B$81&lt;=100,SUM($B$82)&gt;=0,SUM($B$82)&lt;=1,SUM($B$83)&gt;=0)),OR(954=1,954=$B$174+1,AND($B$175&gt;0,954=$B$175+1))),IF(AND($B$170=1,$B$66&gt;0,OR($B$175=0,954&lt;=$B$175)),$B$66,IF($B$172-MAX(954-1,$B$174)&gt;0,IF(B1354=0,0,IF(C1354=0,B1354/($B$172-MAX(954-1,$B$174)),B1354*(C1354/12)/(1-(1+C1354/12)^(-($B$172-MAX(954-1,$B$174)))))),"")),D1353)))+0.0000001&gt;=B1354*C1354/12,MIN(B1354*(1+C1354/12),IF(AND(954&lt;=$B$174,954&lt;=$B$173),B1354*C1354/12,IF(AND(954=$B$173+1,AND(954&gt;$B$173,$B$78="Refinance",ISNUMBER($B$80),$B$80&gt;=0,$B$80&lt;=1,ROUND($B$81*12,0)&gt;=1,$B$81&lt;=100,SUM($B$82)&gt;=0,SUM($B$82)&lt;=1,SUM($B$83)&gt;=0)),IF(B1354=0,0,IF(C1354=0,B1354/ROUND($B$81*12,0),B1354*(C1354/12)/(1-(1+C1354/12)^(-ROUND($B$81*12,0))))),IF(AND(NOT(AND(954&gt;$B$173,$B$78="Refinance",ISNUMBER($B$80),$B$80&gt;=0,$B$80&lt;=1,ROUND($B$81*12,0)&gt;=1,$B$81&lt;=100,SUM($B$82)&gt;=0,SUM($B$82)&lt;=1,SUM($B$83)&gt;=0)),OR(954=1,954=$B$174+1,AND($B$175&gt;0,954=$B$175+1))),IF(AND($B$170=1,$B$66&gt;0,OR($B$175=0,954&lt;=$B$175)),$B$66,IF($B$172-MAX(954-1,$B$174)&gt;0,IF(B1354=0,0,IF(C1354=0,B1354/($B$172-MAX(954-1,$B$174)),B1354*(C1354/12)/(1-(1+C1354/12)^(-($B$172-MAX(954-1,$B$174)))))),"")),D1353)))),""),""))</x:f>
        <x:v>0</x:v>
      </x:c>
      <x:c r="E1354" s="440" t="n">
        <x:f>IF(AND(954=$B$173,ISNUMBER(D1354)),IF(MAX(0,B1354*(1+C1354/12)-D1354)&lt;MAX(0.0000001,$E$17*0.00000000001),0,MAX(0,B1354*(1+C1354/12)-D1354)),0)</x:f>
        <x:v>0</x:v>
      </x:c>
      <x:c r="F1354" s="440" t="n">
        <x:f>IF($B$78="Cash payoff",E1354,0)</x:f>
        <x:v>0</x:v>
      </x:c>
      <x:c r="G1354" s="440" t="n">
        <x:f>IF(AND(E1354&gt;0,AND($B$78="Refinance",ISNUMBER($B$80),$B$80&gt;=0,$B$80&lt;=1,ROUND($B$81*12,0)&gt;=1,$B$81&lt;=100,SUM($B$82)&gt;=0,SUM($B$82)&lt;=1,SUM($B$83)&gt;=0)),E1354*SUM($B$82)+SUM($B$83),0)</x:f>
        <x:v>0</x:v>
      </x:c>
      <x:c r="H1354" s="440" t="n">
        <x:f>IF(ISNUMBER(D1354),IF(MAX(0,B1354*(1+C1354/12)-D1354-F1354)&lt;MAX(0.0000001,$E$17*0.00000000001),0,MAX(0,B1354*(1+C1354/12)-D1354-F1354)),IF(AND($B$171=1,I1353=1),B1354,""))</x:f>
        <x:v>0</x:v>
      </x:c>
      <x:c r="I1354" s="444" t="n">
        <x:f>IF(OR(I1353=1,AND(E1354&gt;0,$B$78&lt;&gt;"Cash payoff",NOT(AND($B$78="Refinance",ISNUMBER($B$80),$B$80&gt;=0,$B$80&lt;=1,ROUND($B$81*12,0)&gt;=1,$B$81&lt;=100,SUM($B$82)&gt;=0,SUM($B$82)&lt;=1,SUM($B$83)&gt;=0))),AND(ISNUMBER(B1354),B1354&gt;0,$B$171=1,NOT(ISNUMBER(D1354)))),1,0)</x:f>
        <x:v>0</x:v>
      </x:c>
      <x:c r="J1354" s="440" t="n">
        <x:f>IF(ISNUMBER(L1353),L1353,"")</x:f>
        <x:v>0</x:v>
      </x:c>
      <x:c r="K1354" s="440" t="n">
        <x:f>IF(AND(ISNUMBER(J1354),J1354=0),0,IF(AND($B$176=1,ISNUMBER(J1354)),MIN(J1354*(1+$B$87/12),IF($B$86=0,0,IF($B$87=0,$B$86/ROUND($B$88*12,0),$B$86*($B$87/12)/(1-(1+$B$87/12)^(-ROUND($B$88*12,0)))))),""))</x:f>
        <x:v>0</x:v>
      </x:c>
      <x:c r="L1354" s="440" t="n">
        <x:f>IF(ISNUMBER(K1354),IF(MAX(0,J1354*(1+SUM($B$87)/12)-K1354)&lt;MAX(0.0000001,$B$86*0.00000000001),0,MAX(0,J1354*(1+SUM($B$87)/12)-K1354)),"")</x:f>
        <x:v>0</x:v>
      </x:c>
      <x:c r="M1354" s="440" t="n">
        <x:f>IF(AND(ISNUMBER(D1354),ISNUMBER(K1354)),D1354+K1354,"")</x:f>
        <x:v>0</x:v>
      </x:c>
      <x:c r="N1354" s="440" t="n">
        <x:f>IF(AND(ISNUMBER(H1354),ISNUMBER(L1354)),H1354+L1354,"")</x:f>
        <x:v>0</x:v>
      </x:c>
    </x:row>
    <x:row r="1355" ht="22" customHeight="1">
      <x:c r="A1355" s="254" t="n">
        <x:f>955</x:f>
        <x:v>955</x:v>
      </x:c>
      <x:c r="B1355" s="440" t="n">
        <x:f>IF(ISNUMBER(H1354),H1354,"")</x:f>
        <x:v>0</x:v>
      </x:c>
      <x:c r="C1355" s="442" t="n">
        <x:f>IF(ISNUMBER(B1355),IF(AND(955&gt;$B$173,$B$78="Refinance",ISNUMBER($B$80),$B$80&gt;=0,$B$80&lt;=1,ROUND($B$81*12,0)&gt;=1,$B$81&lt;=100,SUM($B$82)&gt;=0,SUM($B$82)&lt;=1,SUM($B$83)&gt;=0),$B$80,IF(AND($B$175&gt;0,955&gt;$B$175,ISNUMBER($B$75)),$B$75,$B$61)),"")</x:f>
        <x:v>0.0625</x:v>
      </x:c>
      <x:c r="D1355" s="440" t="n">
        <x:f>IF(AND(ISNUMBER(B1355),B1355=0),0,IF(AND($B$171=1,I1354=0,ISNUMBER(C1355),ISNUMBER(IF(AND(955&lt;=$B$174,955&lt;=$B$173),B1355*C1355/12,IF(AND(955=$B$173+1,AND(955&gt;$B$173,$B$78="Refinance",ISNUMBER($B$80),$B$80&gt;=0,$B$80&lt;=1,ROUND($B$81*12,0)&gt;=1,$B$81&lt;=100,SUM($B$82)&gt;=0,SUM($B$82)&lt;=1,SUM($B$83)&gt;=0)),IF(B1355=0,0,IF(C1355=0,B1355/ROUND($B$81*12,0),B1355*(C1355/12)/(1-(1+C1355/12)^(-ROUND($B$81*12,0))))),IF(AND(NOT(AND(955&gt;$B$173,$B$78="Refinance",ISNUMBER($B$80),$B$80&gt;=0,$B$80&lt;=1,ROUND($B$81*12,0)&gt;=1,$B$81&lt;=100,SUM($B$82)&gt;=0,SUM($B$82)&lt;=1,SUM($B$83)&gt;=0)),OR(955=1,955=$B$174+1,AND($B$175&gt;0,955=$B$175+1))),IF(AND($B$170=1,$B$66&gt;0,OR($B$175=0,955&lt;=$B$175)),$B$66,IF($B$172-MAX(955-1,$B$174)&gt;0,IF(B1355=0,0,IF(C1355=0,B1355/($B$172-MAX(955-1,$B$174)),B1355*(C1355/12)/(1-(1+C1355/12)^(-($B$172-MAX(955-1,$B$174)))))),"")),D1354))))),IF(IF(AND(955&lt;=$B$174,955&lt;=$B$173),B1355*C1355/12,IF(AND(955=$B$173+1,AND(955&gt;$B$173,$B$78="Refinance",ISNUMBER($B$80),$B$80&gt;=0,$B$80&lt;=1,ROUND($B$81*12,0)&gt;=1,$B$81&lt;=100,SUM($B$82)&gt;=0,SUM($B$82)&lt;=1,SUM($B$83)&gt;=0)),IF(B1355=0,0,IF(C1355=0,B1355/ROUND($B$81*12,0),B1355*(C1355/12)/(1-(1+C1355/12)^(-ROUND($B$81*12,0))))),IF(AND(NOT(AND(955&gt;$B$173,$B$78="Refinance",ISNUMBER($B$80),$B$80&gt;=0,$B$80&lt;=1,ROUND($B$81*12,0)&gt;=1,$B$81&lt;=100,SUM($B$82)&gt;=0,SUM($B$82)&lt;=1,SUM($B$83)&gt;=0)),OR(955=1,955=$B$174+1,AND($B$175&gt;0,955=$B$175+1))),IF(AND($B$170=1,$B$66&gt;0,OR($B$175=0,955&lt;=$B$175)),$B$66,IF($B$172-MAX(955-1,$B$174)&gt;0,IF(B1355=0,0,IF(C1355=0,B1355/($B$172-MAX(955-1,$B$174)),B1355*(C1355/12)/(1-(1+C1355/12)^(-($B$172-MAX(955-1,$B$174)))))),"")),D1354)))+0.0000001&gt;=B1355*C1355/12,MIN(B1355*(1+C1355/12),IF(AND(955&lt;=$B$174,955&lt;=$B$173),B1355*C1355/12,IF(AND(955=$B$173+1,AND(955&gt;$B$173,$B$78="Refinance",ISNUMBER($B$80),$B$80&gt;=0,$B$80&lt;=1,ROUND($B$81*12,0)&gt;=1,$B$81&lt;=100,SUM($B$82)&gt;=0,SUM($B$82)&lt;=1,SUM($B$83)&gt;=0)),IF(B1355=0,0,IF(C1355=0,B1355/ROUND($B$81*12,0),B1355*(C1355/12)/(1-(1+C1355/12)^(-ROUND($B$81*12,0))))),IF(AND(NOT(AND(955&gt;$B$173,$B$78="Refinance",ISNUMBER($B$80),$B$80&gt;=0,$B$80&lt;=1,ROUND($B$81*12,0)&gt;=1,$B$81&lt;=100,SUM($B$82)&gt;=0,SUM($B$82)&lt;=1,SUM($B$83)&gt;=0)),OR(955=1,955=$B$174+1,AND($B$175&gt;0,955=$B$175+1))),IF(AND($B$170=1,$B$66&gt;0,OR($B$175=0,955&lt;=$B$175)),$B$66,IF($B$172-MAX(955-1,$B$174)&gt;0,IF(B1355=0,0,IF(C1355=0,B1355/($B$172-MAX(955-1,$B$174)),B1355*(C1355/12)/(1-(1+C1355/12)^(-($B$172-MAX(955-1,$B$174)))))),"")),D1354)))),""),""))</x:f>
        <x:v>0</x:v>
      </x:c>
      <x:c r="E1355" s="440" t="n">
        <x:f>IF(AND(955=$B$173,ISNUMBER(D1355)),IF(MAX(0,B1355*(1+C1355/12)-D1355)&lt;MAX(0.0000001,$E$17*0.00000000001),0,MAX(0,B1355*(1+C1355/12)-D1355)),0)</x:f>
        <x:v>0</x:v>
      </x:c>
      <x:c r="F1355" s="440" t="n">
        <x:f>IF($B$78="Cash payoff",E1355,0)</x:f>
        <x:v>0</x:v>
      </x:c>
      <x:c r="G1355" s="440" t="n">
        <x:f>IF(AND(E1355&gt;0,AND($B$78="Refinance",ISNUMBER($B$80),$B$80&gt;=0,$B$80&lt;=1,ROUND($B$81*12,0)&gt;=1,$B$81&lt;=100,SUM($B$82)&gt;=0,SUM($B$82)&lt;=1,SUM($B$83)&gt;=0)),E1355*SUM($B$82)+SUM($B$83),0)</x:f>
        <x:v>0</x:v>
      </x:c>
      <x:c r="H1355" s="440" t="n">
        <x:f>IF(ISNUMBER(D1355),IF(MAX(0,B1355*(1+C1355/12)-D1355-F1355)&lt;MAX(0.0000001,$E$17*0.00000000001),0,MAX(0,B1355*(1+C1355/12)-D1355-F1355)),IF(AND($B$171=1,I1354=1),B1355,""))</x:f>
        <x:v>0</x:v>
      </x:c>
      <x:c r="I1355" s="444" t="n">
        <x:f>IF(OR(I1354=1,AND(E1355&gt;0,$B$78&lt;&gt;"Cash payoff",NOT(AND($B$78="Refinance",ISNUMBER($B$80),$B$80&gt;=0,$B$80&lt;=1,ROUND($B$81*12,0)&gt;=1,$B$81&lt;=100,SUM($B$82)&gt;=0,SUM($B$82)&lt;=1,SUM($B$83)&gt;=0))),AND(ISNUMBER(B1355),B1355&gt;0,$B$171=1,NOT(ISNUMBER(D1355)))),1,0)</x:f>
        <x:v>0</x:v>
      </x:c>
      <x:c r="J1355" s="440" t="n">
        <x:f>IF(ISNUMBER(L1354),L1354,"")</x:f>
        <x:v>0</x:v>
      </x:c>
      <x:c r="K1355" s="440" t="n">
        <x:f>IF(AND(ISNUMBER(J1355),J1355=0),0,IF(AND($B$176=1,ISNUMBER(J1355)),MIN(J1355*(1+$B$87/12),IF($B$86=0,0,IF($B$87=0,$B$86/ROUND($B$88*12,0),$B$86*($B$87/12)/(1-(1+$B$87/12)^(-ROUND($B$88*12,0)))))),""))</x:f>
        <x:v>0</x:v>
      </x:c>
      <x:c r="L1355" s="440" t="n">
        <x:f>IF(ISNUMBER(K1355),IF(MAX(0,J1355*(1+SUM($B$87)/12)-K1355)&lt;MAX(0.0000001,$B$86*0.00000000001),0,MAX(0,J1355*(1+SUM($B$87)/12)-K1355)),"")</x:f>
        <x:v>0</x:v>
      </x:c>
      <x:c r="M1355" s="440" t="n">
        <x:f>IF(AND(ISNUMBER(D1355),ISNUMBER(K1355)),D1355+K1355,"")</x:f>
        <x:v>0</x:v>
      </x:c>
      <x:c r="N1355" s="440" t="n">
        <x:f>IF(AND(ISNUMBER(H1355),ISNUMBER(L1355)),H1355+L1355,"")</x:f>
        <x:v>0</x:v>
      </x:c>
    </x:row>
    <x:row r="1356" ht="22" customHeight="1">
      <x:c r="A1356" s="254" t="n">
        <x:f>956</x:f>
        <x:v>956</x:v>
      </x:c>
      <x:c r="B1356" s="440" t="n">
        <x:f>IF(ISNUMBER(H1355),H1355,"")</x:f>
        <x:v>0</x:v>
      </x:c>
      <x:c r="C1356" s="442" t="n">
        <x:f>IF(ISNUMBER(B1356),IF(AND(956&gt;$B$173,$B$78="Refinance",ISNUMBER($B$80),$B$80&gt;=0,$B$80&lt;=1,ROUND($B$81*12,0)&gt;=1,$B$81&lt;=100,SUM($B$82)&gt;=0,SUM($B$82)&lt;=1,SUM($B$83)&gt;=0),$B$80,IF(AND($B$175&gt;0,956&gt;$B$175,ISNUMBER($B$75)),$B$75,$B$61)),"")</x:f>
        <x:v>0.0625</x:v>
      </x:c>
      <x:c r="D1356" s="440" t="n">
        <x:f>IF(AND(ISNUMBER(B1356),B1356=0),0,IF(AND($B$171=1,I1355=0,ISNUMBER(C1356),ISNUMBER(IF(AND(956&lt;=$B$174,956&lt;=$B$173),B1356*C1356/12,IF(AND(956=$B$173+1,AND(956&gt;$B$173,$B$78="Refinance",ISNUMBER($B$80),$B$80&gt;=0,$B$80&lt;=1,ROUND($B$81*12,0)&gt;=1,$B$81&lt;=100,SUM($B$82)&gt;=0,SUM($B$82)&lt;=1,SUM($B$83)&gt;=0)),IF(B1356=0,0,IF(C1356=0,B1356/ROUND($B$81*12,0),B1356*(C1356/12)/(1-(1+C1356/12)^(-ROUND($B$81*12,0))))),IF(AND(NOT(AND(956&gt;$B$173,$B$78="Refinance",ISNUMBER($B$80),$B$80&gt;=0,$B$80&lt;=1,ROUND($B$81*12,0)&gt;=1,$B$81&lt;=100,SUM($B$82)&gt;=0,SUM($B$82)&lt;=1,SUM($B$83)&gt;=0)),OR(956=1,956=$B$174+1,AND($B$175&gt;0,956=$B$175+1))),IF(AND($B$170=1,$B$66&gt;0,OR($B$175=0,956&lt;=$B$175)),$B$66,IF($B$172-MAX(956-1,$B$174)&gt;0,IF(B1356=0,0,IF(C1356=0,B1356/($B$172-MAX(956-1,$B$174)),B1356*(C1356/12)/(1-(1+C1356/12)^(-($B$172-MAX(956-1,$B$174)))))),"")),D1355))))),IF(IF(AND(956&lt;=$B$174,956&lt;=$B$173),B1356*C1356/12,IF(AND(956=$B$173+1,AND(956&gt;$B$173,$B$78="Refinance",ISNUMBER($B$80),$B$80&gt;=0,$B$80&lt;=1,ROUND($B$81*12,0)&gt;=1,$B$81&lt;=100,SUM($B$82)&gt;=0,SUM($B$82)&lt;=1,SUM($B$83)&gt;=0)),IF(B1356=0,0,IF(C1356=0,B1356/ROUND($B$81*12,0),B1356*(C1356/12)/(1-(1+C1356/12)^(-ROUND($B$81*12,0))))),IF(AND(NOT(AND(956&gt;$B$173,$B$78="Refinance",ISNUMBER($B$80),$B$80&gt;=0,$B$80&lt;=1,ROUND($B$81*12,0)&gt;=1,$B$81&lt;=100,SUM($B$82)&gt;=0,SUM($B$82)&lt;=1,SUM($B$83)&gt;=0)),OR(956=1,956=$B$174+1,AND($B$175&gt;0,956=$B$175+1))),IF(AND($B$170=1,$B$66&gt;0,OR($B$175=0,956&lt;=$B$175)),$B$66,IF($B$172-MAX(956-1,$B$174)&gt;0,IF(B1356=0,0,IF(C1356=0,B1356/($B$172-MAX(956-1,$B$174)),B1356*(C1356/12)/(1-(1+C1356/12)^(-($B$172-MAX(956-1,$B$174)))))),"")),D1355)))+0.0000001&gt;=B1356*C1356/12,MIN(B1356*(1+C1356/12),IF(AND(956&lt;=$B$174,956&lt;=$B$173),B1356*C1356/12,IF(AND(956=$B$173+1,AND(956&gt;$B$173,$B$78="Refinance",ISNUMBER($B$80),$B$80&gt;=0,$B$80&lt;=1,ROUND($B$81*12,0)&gt;=1,$B$81&lt;=100,SUM($B$82)&gt;=0,SUM($B$82)&lt;=1,SUM($B$83)&gt;=0)),IF(B1356=0,0,IF(C1356=0,B1356/ROUND($B$81*12,0),B1356*(C1356/12)/(1-(1+C1356/12)^(-ROUND($B$81*12,0))))),IF(AND(NOT(AND(956&gt;$B$173,$B$78="Refinance",ISNUMBER($B$80),$B$80&gt;=0,$B$80&lt;=1,ROUND($B$81*12,0)&gt;=1,$B$81&lt;=100,SUM($B$82)&gt;=0,SUM($B$82)&lt;=1,SUM($B$83)&gt;=0)),OR(956=1,956=$B$174+1,AND($B$175&gt;0,956=$B$175+1))),IF(AND($B$170=1,$B$66&gt;0,OR($B$175=0,956&lt;=$B$175)),$B$66,IF($B$172-MAX(956-1,$B$174)&gt;0,IF(B1356=0,0,IF(C1356=0,B1356/($B$172-MAX(956-1,$B$174)),B1356*(C1356/12)/(1-(1+C1356/12)^(-($B$172-MAX(956-1,$B$174)))))),"")),D1355)))),""),""))</x:f>
        <x:v>0</x:v>
      </x:c>
      <x:c r="E1356" s="440" t="n">
        <x:f>IF(AND(956=$B$173,ISNUMBER(D1356)),IF(MAX(0,B1356*(1+C1356/12)-D1356)&lt;MAX(0.0000001,$E$17*0.00000000001),0,MAX(0,B1356*(1+C1356/12)-D1356)),0)</x:f>
        <x:v>0</x:v>
      </x:c>
      <x:c r="F1356" s="440" t="n">
        <x:f>IF($B$78="Cash payoff",E1356,0)</x:f>
        <x:v>0</x:v>
      </x:c>
      <x:c r="G1356" s="440" t="n">
        <x:f>IF(AND(E1356&gt;0,AND($B$78="Refinance",ISNUMBER($B$80),$B$80&gt;=0,$B$80&lt;=1,ROUND($B$81*12,0)&gt;=1,$B$81&lt;=100,SUM($B$82)&gt;=0,SUM($B$82)&lt;=1,SUM($B$83)&gt;=0)),E1356*SUM($B$82)+SUM($B$83),0)</x:f>
        <x:v>0</x:v>
      </x:c>
      <x:c r="H1356" s="440" t="n">
        <x:f>IF(ISNUMBER(D1356),IF(MAX(0,B1356*(1+C1356/12)-D1356-F1356)&lt;MAX(0.0000001,$E$17*0.00000000001),0,MAX(0,B1356*(1+C1356/12)-D1356-F1356)),IF(AND($B$171=1,I1355=1),B1356,""))</x:f>
        <x:v>0</x:v>
      </x:c>
      <x:c r="I1356" s="444" t="n">
        <x:f>IF(OR(I1355=1,AND(E1356&gt;0,$B$78&lt;&gt;"Cash payoff",NOT(AND($B$78="Refinance",ISNUMBER($B$80),$B$80&gt;=0,$B$80&lt;=1,ROUND($B$81*12,0)&gt;=1,$B$81&lt;=100,SUM($B$82)&gt;=0,SUM($B$82)&lt;=1,SUM($B$83)&gt;=0))),AND(ISNUMBER(B1356),B1356&gt;0,$B$171=1,NOT(ISNUMBER(D1356)))),1,0)</x:f>
        <x:v>0</x:v>
      </x:c>
      <x:c r="J1356" s="440" t="n">
        <x:f>IF(ISNUMBER(L1355),L1355,"")</x:f>
        <x:v>0</x:v>
      </x:c>
      <x:c r="K1356" s="440" t="n">
        <x:f>IF(AND(ISNUMBER(J1356),J1356=0),0,IF(AND($B$176=1,ISNUMBER(J1356)),MIN(J1356*(1+$B$87/12),IF($B$86=0,0,IF($B$87=0,$B$86/ROUND($B$88*12,0),$B$86*($B$87/12)/(1-(1+$B$87/12)^(-ROUND($B$88*12,0)))))),""))</x:f>
        <x:v>0</x:v>
      </x:c>
      <x:c r="L1356" s="440" t="n">
        <x:f>IF(ISNUMBER(K1356),IF(MAX(0,J1356*(1+SUM($B$87)/12)-K1356)&lt;MAX(0.0000001,$B$86*0.00000000001),0,MAX(0,J1356*(1+SUM($B$87)/12)-K1356)),"")</x:f>
        <x:v>0</x:v>
      </x:c>
      <x:c r="M1356" s="440" t="n">
        <x:f>IF(AND(ISNUMBER(D1356),ISNUMBER(K1356)),D1356+K1356,"")</x:f>
        <x:v>0</x:v>
      </x:c>
      <x:c r="N1356" s="440" t="n">
        <x:f>IF(AND(ISNUMBER(H1356),ISNUMBER(L1356)),H1356+L1356,"")</x:f>
        <x:v>0</x:v>
      </x:c>
    </x:row>
    <x:row r="1357" ht="22" customHeight="1">
      <x:c r="A1357" s="254" t="n">
        <x:f>957</x:f>
        <x:v>957</x:v>
      </x:c>
      <x:c r="B1357" s="440" t="n">
        <x:f>IF(ISNUMBER(H1356),H1356,"")</x:f>
        <x:v>0</x:v>
      </x:c>
      <x:c r="C1357" s="442" t="n">
        <x:f>IF(ISNUMBER(B1357),IF(AND(957&gt;$B$173,$B$78="Refinance",ISNUMBER($B$80),$B$80&gt;=0,$B$80&lt;=1,ROUND($B$81*12,0)&gt;=1,$B$81&lt;=100,SUM($B$82)&gt;=0,SUM($B$82)&lt;=1,SUM($B$83)&gt;=0),$B$80,IF(AND($B$175&gt;0,957&gt;$B$175,ISNUMBER($B$75)),$B$75,$B$61)),"")</x:f>
        <x:v>0.0625</x:v>
      </x:c>
      <x:c r="D1357" s="440" t="n">
        <x:f>IF(AND(ISNUMBER(B1357),B1357=0),0,IF(AND($B$171=1,I1356=0,ISNUMBER(C1357),ISNUMBER(IF(AND(957&lt;=$B$174,957&lt;=$B$173),B1357*C1357/12,IF(AND(957=$B$173+1,AND(957&gt;$B$173,$B$78="Refinance",ISNUMBER($B$80),$B$80&gt;=0,$B$80&lt;=1,ROUND($B$81*12,0)&gt;=1,$B$81&lt;=100,SUM($B$82)&gt;=0,SUM($B$82)&lt;=1,SUM($B$83)&gt;=0)),IF(B1357=0,0,IF(C1357=0,B1357/ROUND($B$81*12,0),B1357*(C1357/12)/(1-(1+C1357/12)^(-ROUND($B$81*12,0))))),IF(AND(NOT(AND(957&gt;$B$173,$B$78="Refinance",ISNUMBER($B$80),$B$80&gt;=0,$B$80&lt;=1,ROUND($B$81*12,0)&gt;=1,$B$81&lt;=100,SUM($B$82)&gt;=0,SUM($B$82)&lt;=1,SUM($B$83)&gt;=0)),OR(957=1,957=$B$174+1,AND($B$175&gt;0,957=$B$175+1))),IF(AND($B$170=1,$B$66&gt;0,OR($B$175=0,957&lt;=$B$175)),$B$66,IF($B$172-MAX(957-1,$B$174)&gt;0,IF(B1357=0,0,IF(C1357=0,B1357/($B$172-MAX(957-1,$B$174)),B1357*(C1357/12)/(1-(1+C1357/12)^(-($B$172-MAX(957-1,$B$174)))))),"")),D1356))))),IF(IF(AND(957&lt;=$B$174,957&lt;=$B$173),B1357*C1357/12,IF(AND(957=$B$173+1,AND(957&gt;$B$173,$B$78="Refinance",ISNUMBER($B$80),$B$80&gt;=0,$B$80&lt;=1,ROUND($B$81*12,0)&gt;=1,$B$81&lt;=100,SUM($B$82)&gt;=0,SUM($B$82)&lt;=1,SUM($B$83)&gt;=0)),IF(B1357=0,0,IF(C1357=0,B1357/ROUND($B$81*12,0),B1357*(C1357/12)/(1-(1+C1357/12)^(-ROUND($B$81*12,0))))),IF(AND(NOT(AND(957&gt;$B$173,$B$78="Refinance",ISNUMBER($B$80),$B$80&gt;=0,$B$80&lt;=1,ROUND($B$81*12,0)&gt;=1,$B$81&lt;=100,SUM($B$82)&gt;=0,SUM($B$82)&lt;=1,SUM($B$83)&gt;=0)),OR(957=1,957=$B$174+1,AND($B$175&gt;0,957=$B$175+1))),IF(AND($B$170=1,$B$66&gt;0,OR($B$175=0,957&lt;=$B$175)),$B$66,IF($B$172-MAX(957-1,$B$174)&gt;0,IF(B1357=0,0,IF(C1357=0,B1357/($B$172-MAX(957-1,$B$174)),B1357*(C1357/12)/(1-(1+C1357/12)^(-($B$172-MAX(957-1,$B$174)))))),"")),D1356)))+0.0000001&gt;=B1357*C1357/12,MIN(B1357*(1+C1357/12),IF(AND(957&lt;=$B$174,957&lt;=$B$173),B1357*C1357/12,IF(AND(957=$B$173+1,AND(957&gt;$B$173,$B$78="Refinance",ISNUMBER($B$80),$B$80&gt;=0,$B$80&lt;=1,ROUND($B$81*12,0)&gt;=1,$B$81&lt;=100,SUM($B$82)&gt;=0,SUM($B$82)&lt;=1,SUM($B$83)&gt;=0)),IF(B1357=0,0,IF(C1357=0,B1357/ROUND($B$81*12,0),B1357*(C1357/12)/(1-(1+C1357/12)^(-ROUND($B$81*12,0))))),IF(AND(NOT(AND(957&gt;$B$173,$B$78="Refinance",ISNUMBER($B$80),$B$80&gt;=0,$B$80&lt;=1,ROUND($B$81*12,0)&gt;=1,$B$81&lt;=100,SUM($B$82)&gt;=0,SUM($B$82)&lt;=1,SUM($B$83)&gt;=0)),OR(957=1,957=$B$174+1,AND($B$175&gt;0,957=$B$175+1))),IF(AND($B$170=1,$B$66&gt;0,OR($B$175=0,957&lt;=$B$175)),$B$66,IF($B$172-MAX(957-1,$B$174)&gt;0,IF(B1357=0,0,IF(C1357=0,B1357/($B$172-MAX(957-1,$B$174)),B1357*(C1357/12)/(1-(1+C1357/12)^(-($B$172-MAX(957-1,$B$174)))))),"")),D1356)))),""),""))</x:f>
        <x:v>0</x:v>
      </x:c>
      <x:c r="E1357" s="440" t="n">
        <x:f>IF(AND(957=$B$173,ISNUMBER(D1357)),IF(MAX(0,B1357*(1+C1357/12)-D1357)&lt;MAX(0.0000001,$E$17*0.00000000001),0,MAX(0,B1357*(1+C1357/12)-D1357)),0)</x:f>
        <x:v>0</x:v>
      </x:c>
      <x:c r="F1357" s="440" t="n">
        <x:f>IF($B$78="Cash payoff",E1357,0)</x:f>
        <x:v>0</x:v>
      </x:c>
      <x:c r="G1357" s="440" t="n">
        <x:f>IF(AND(E1357&gt;0,AND($B$78="Refinance",ISNUMBER($B$80),$B$80&gt;=0,$B$80&lt;=1,ROUND($B$81*12,0)&gt;=1,$B$81&lt;=100,SUM($B$82)&gt;=0,SUM($B$82)&lt;=1,SUM($B$83)&gt;=0)),E1357*SUM($B$82)+SUM($B$83),0)</x:f>
        <x:v>0</x:v>
      </x:c>
      <x:c r="H1357" s="440" t="n">
        <x:f>IF(ISNUMBER(D1357),IF(MAX(0,B1357*(1+C1357/12)-D1357-F1357)&lt;MAX(0.0000001,$E$17*0.00000000001),0,MAX(0,B1357*(1+C1357/12)-D1357-F1357)),IF(AND($B$171=1,I1356=1),B1357,""))</x:f>
        <x:v>0</x:v>
      </x:c>
      <x:c r="I1357" s="444" t="n">
        <x:f>IF(OR(I1356=1,AND(E1357&gt;0,$B$78&lt;&gt;"Cash payoff",NOT(AND($B$78="Refinance",ISNUMBER($B$80),$B$80&gt;=0,$B$80&lt;=1,ROUND($B$81*12,0)&gt;=1,$B$81&lt;=100,SUM($B$82)&gt;=0,SUM($B$82)&lt;=1,SUM($B$83)&gt;=0))),AND(ISNUMBER(B1357),B1357&gt;0,$B$171=1,NOT(ISNUMBER(D1357)))),1,0)</x:f>
        <x:v>0</x:v>
      </x:c>
      <x:c r="J1357" s="440" t="n">
        <x:f>IF(ISNUMBER(L1356),L1356,"")</x:f>
        <x:v>0</x:v>
      </x:c>
      <x:c r="K1357" s="440" t="n">
        <x:f>IF(AND(ISNUMBER(J1357),J1357=0),0,IF(AND($B$176=1,ISNUMBER(J1357)),MIN(J1357*(1+$B$87/12),IF($B$86=0,0,IF($B$87=0,$B$86/ROUND($B$88*12,0),$B$86*($B$87/12)/(1-(1+$B$87/12)^(-ROUND($B$88*12,0)))))),""))</x:f>
        <x:v>0</x:v>
      </x:c>
      <x:c r="L1357" s="440" t="n">
        <x:f>IF(ISNUMBER(K1357),IF(MAX(0,J1357*(1+SUM($B$87)/12)-K1357)&lt;MAX(0.0000001,$B$86*0.00000000001),0,MAX(0,J1357*(1+SUM($B$87)/12)-K1357)),"")</x:f>
        <x:v>0</x:v>
      </x:c>
      <x:c r="M1357" s="440" t="n">
        <x:f>IF(AND(ISNUMBER(D1357),ISNUMBER(K1357)),D1357+K1357,"")</x:f>
        <x:v>0</x:v>
      </x:c>
      <x:c r="N1357" s="440" t="n">
        <x:f>IF(AND(ISNUMBER(H1357),ISNUMBER(L1357)),H1357+L1357,"")</x:f>
        <x:v>0</x:v>
      </x:c>
    </x:row>
    <x:row r="1358" ht="22" customHeight="1">
      <x:c r="A1358" s="254" t="n">
        <x:f>958</x:f>
        <x:v>958</x:v>
      </x:c>
      <x:c r="B1358" s="440" t="n">
        <x:f>IF(ISNUMBER(H1357),H1357,"")</x:f>
        <x:v>0</x:v>
      </x:c>
      <x:c r="C1358" s="442" t="n">
        <x:f>IF(ISNUMBER(B1358),IF(AND(958&gt;$B$173,$B$78="Refinance",ISNUMBER($B$80),$B$80&gt;=0,$B$80&lt;=1,ROUND($B$81*12,0)&gt;=1,$B$81&lt;=100,SUM($B$82)&gt;=0,SUM($B$82)&lt;=1,SUM($B$83)&gt;=0),$B$80,IF(AND($B$175&gt;0,958&gt;$B$175,ISNUMBER($B$75)),$B$75,$B$61)),"")</x:f>
        <x:v>0.0625</x:v>
      </x:c>
      <x:c r="D1358" s="440" t="n">
        <x:f>IF(AND(ISNUMBER(B1358),B1358=0),0,IF(AND($B$171=1,I1357=0,ISNUMBER(C1358),ISNUMBER(IF(AND(958&lt;=$B$174,958&lt;=$B$173),B1358*C1358/12,IF(AND(958=$B$173+1,AND(958&gt;$B$173,$B$78="Refinance",ISNUMBER($B$80),$B$80&gt;=0,$B$80&lt;=1,ROUND($B$81*12,0)&gt;=1,$B$81&lt;=100,SUM($B$82)&gt;=0,SUM($B$82)&lt;=1,SUM($B$83)&gt;=0)),IF(B1358=0,0,IF(C1358=0,B1358/ROUND($B$81*12,0),B1358*(C1358/12)/(1-(1+C1358/12)^(-ROUND($B$81*12,0))))),IF(AND(NOT(AND(958&gt;$B$173,$B$78="Refinance",ISNUMBER($B$80),$B$80&gt;=0,$B$80&lt;=1,ROUND($B$81*12,0)&gt;=1,$B$81&lt;=100,SUM($B$82)&gt;=0,SUM($B$82)&lt;=1,SUM($B$83)&gt;=0)),OR(958=1,958=$B$174+1,AND($B$175&gt;0,958=$B$175+1))),IF(AND($B$170=1,$B$66&gt;0,OR($B$175=0,958&lt;=$B$175)),$B$66,IF($B$172-MAX(958-1,$B$174)&gt;0,IF(B1358=0,0,IF(C1358=0,B1358/($B$172-MAX(958-1,$B$174)),B1358*(C1358/12)/(1-(1+C1358/12)^(-($B$172-MAX(958-1,$B$174)))))),"")),D1357))))),IF(IF(AND(958&lt;=$B$174,958&lt;=$B$173),B1358*C1358/12,IF(AND(958=$B$173+1,AND(958&gt;$B$173,$B$78="Refinance",ISNUMBER($B$80),$B$80&gt;=0,$B$80&lt;=1,ROUND($B$81*12,0)&gt;=1,$B$81&lt;=100,SUM($B$82)&gt;=0,SUM($B$82)&lt;=1,SUM($B$83)&gt;=0)),IF(B1358=0,0,IF(C1358=0,B1358/ROUND($B$81*12,0),B1358*(C1358/12)/(1-(1+C1358/12)^(-ROUND($B$81*12,0))))),IF(AND(NOT(AND(958&gt;$B$173,$B$78="Refinance",ISNUMBER($B$80),$B$80&gt;=0,$B$80&lt;=1,ROUND($B$81*12,0)&gt;=1,$B$81&lt;=100,SUM($B$82)&gt;=0,SUM($B$82)&lt;=1,SUM($B$83)&gt;=0)),OR(958=1,958=$B$174+1,AND($B$175&gt;0,958=$B$175+1))),IF(AND($B$170=1,$B$66&gt;0,OR($B$175=0,958&lt;=$B$175)),$B$66,IF($B$172-MAX(958-1,$B$174)&gt;0,IF(B1358=0,0,IF(C1358=0,B1358/($B$172-MAX(958-1,$B$174)),B1358*(C1358/12)/(1-(1+C1358/12)^(-($B$172-MAX(958-1,$B$174)))))),"")),D1357)))+0.0000001&gt;=B1358*C1358/12,MIN(B1358*(1+C1358/12),IF(AND(958&lt;=$B$174,958&lt;=$B$173),B1358*C1358/12,IF(AND(958=$B$173+1,AND(958&gt;$B$173,$B$78="Refinance",ISNUMBER($B$80),$B$80&gt;=0,$B$80&lt;=1,ROUND($B$81*12,0)&gt;=1,$B$81&lt;=100,SUM($B$82)&gt;=0,SUM($B$82)&lt;=1,SUM($B$83)&gt;=0)),IF(B1358=0,0,IF(C1358=0,B1358/ROUND($B$81*12,0),B1358*(C1358/12)/(1-(1+C1358/12)^(-ROUND($B$81*12,0))))),IF(AND(NOT(AND(958&gt;$B$173,$B$78="Refinance",ISNUMBER($B$80),$B$80&gt;=0,$B$80&lt;=1,ROUND($B$81*12,0)&gt;=1,$B$81&lt;=100,SUM($B$82)&gt;=0,SUM($B$82)&lt;=1,SUM($B$83)&gt;=0)),OR(958=1,958=$B$174+1,AND($B$175&gt;0,958=$B$175+1))),IF(AND($B$170=1,$B$66&gt;0,OR($B$175=0,958&lt;=$B$175)),$B$66,IF($B$172-MAX(958-1,$B$174)&gt;0,IF(B1358=0,0,IF(C1358=0,B1358/($B$172-MAX(958-1,$B$174)),B1358*(C1358/12)/(1-(1+C1358/12)^(-($B$172-MAX(958-1,$B$174)))))),"")),D1357)))),""),""))</x:f>
        <x:v>0</x:v>
      </x:c>
      <x:c r="E1358" s="440" t="n">
        <x:f>IF(AND(958=$B$173,ISNUMBER(D1358)),IF(MAX(0,B1358*(1+C1358/12)-D1358)&lt;MAX(0.0000001,$E$17*0.00000000001),0,MAX(0,B1358*(1+C1358/12)-D1358)),0)</x:f>
        <x:v>0</x:v>
      </x:c>
      <x:c r="F1358" s="440" t="n">
        <x:f>IF($B$78="Cash payoff",E1358,0)</x:f>
        <x:v>0</x:v>
      </x:c>
      <x:c r="G1358" s="440" t="n">
        <x:f>IF(AND(E1358&gt;0,AND($B$78="Refinance",ISNUMBER($B$80),$B$80&gt;=0,$B$80&lt;=1,ROUND($B$81*12,0)&gt;=1,$B$81&lt;=100,SUM($B$82)&gt;=0,SUM($B$82)&lt;=1,SUM($B$83)&gt;=0)),E1358*SUM($B$82)+SUM($B$83),0)</x:f>
        <x:v>0</x:v>
      </x:c>
      <x:c r="H1358" s="440" t="n">
        <x:f>IF(ISNUMBER(D1358),IF(MAX(0,B1358*(1+C1358/12)-D1358-F1358)&lt;MAX(0.0000001,$E$17*0.00000000001),0,MAX(0,B1358*(1+C1358/12)-D1358-F1358)),IF(AND($B$171=1,I1357=1),B1358,""))</x:f>
        <x:v>0</x:v>
      </x:c>
      <x:c r="I1358" s="444" t="n">
        <x:f>IF(OR(I1357=1,AND(E1358&gt;0,$B$78&lt;&gt;"Cash payoff",NOT(AND($B$78="Refinance",ISNUMBER($B$80),$B$80&gt;=0,$B$80&lt;=1,ROUND($B$81*12,0)&gt;=1,$B$81&lt;=100,SUM($B$82)&gt;=0,SUM($B$82)&lt;=1,SUM($B$83)&gt;=0))),AND(ISNUMBER(B1358),B1358&gt;0,$B$171=1,NOT(ISNUMBER(D1358)))),1,0)</x:f>
        <x:v>0</x:v>
      </x:c>
      <x:c r="J1358" s="440" t="n">
        <x:f>IF(ISNUMBER(L1357),L1357,"")</x:f>
        <x:v>0</x:v>
      </x:c>
      <x:c r="K1358" s="440" t="n">
        <x:f>IF(AND(ISNUMBER(J1358),J1358=0),0,IF(AND($B$176=1,ISNUMBER(J1358)),MIN(J1358*(1+$B$87/12),IF($B$86=0,0,IF($B$87=0,$B$86/ROUND($B$88*12,0),$B$86*($B$87/12)/(1-(1+$B$87/12)^(-ROUND($B$88*12,0)))))),""))</x:f>
        <x:v>0</x:v>
      </x:c>
      <x:c r="L1358" s="440" t="n">
        <x:f>IF(ISNUMBER(K1358),IF(MAX(0,J1358*(1+SUM($B$87)/12)-K1358)&lt;MAX(0.0000001,$B$86*0.00000000001),0,MAX(0,J1358*(1+SUM($B$87)/12)-K1358)),"")</x:f>
        <x:v>0</x:v>
      </x:c>
      <x:c r="M1358" s="440" t="n">
        <x:f>IF(AND(ISNUMBER(D1358),ISNUMBER(K1358)),D1358+K1358,"")</x:f>
        <x:v>0</x:v>
      </x:c>
      <x:c r="N1358" s="440" t="n">
        <x:f>IF(AND(ISNUMBER(H1358),ISNUMBER(L1358)),H1358+L1358,"")</x:f>
        <x:v>0</x:v>
      </x:c>
    </x:row>
    <x:row r="1359" ht="22" customHeight="1">
      <x:c r="A1359" s="254" t="n">
        <x:f>959</x:f>
        <x:v>959</x:v>
      </x:c>
      <x:c r="B1359" s="440" t="n">
        <x:f>IF(ISNUMBER(H1358),H1358,"")</x:f>
        <x:v>0</x:v>
      </x:c>
      <x:c r="C1359" s="442" t="n">
        <x:f>IF(ISNUMBER(B1359),IF(AND(959&gt;$B$173,$B$78="Refinance",ISNUMBER($B$80),$B$80&gt;=0,$B$80&lt;=1,ROUND($B$81*12,0)&gt;=1,$B$81&lt;=100,SUM($B$82)&gt;=0,SUM($B$82)&lt;=1,SUM($B$83)&gt;=0),$B$80,IF(AND($B$175&gt;0,959&gt;$B$175,ISNUMBER($B$75)),$B$75,$B$61)),"")</x:f>
        <x:v>0.0625</x:v>
      </x:c>
      <x:c r="D1359" s="440" t="n">
        <x:f>IF(AND(ISNUMBER(B1359),B1359=0),0,IF(AND($B$171=1,I1358=0,ISNUMBER(C1359),ISNUMBER(IF(AND(959&lt;=$B$174,959&lt;=$B$173),B1359*C1359/12,IF(AND(959=$B$173+1,AND(959&gt;$B$173,$B$78="Refinance",ISNUMBER($B$80),$B$80&gt;=0,$B$80&lt;=1,ROUND($B$81*12,0)&gt;=1,$B$81&lt;=100,SUM($B$82)&gt;=0,SUM($B$82)&lt;=1,SUM($B$83)&gt;=0)),IF(B1359=0,0,IF(C1359=0,B1359/ROUND($B$81*12,0),B1359*(C1359/12)/(1-(1+C1359/12)^(-ROUND($B$81*12,0))))),IF(AND(NOT(AND(959&gt;$B$173,$B$78="Refinance",ISNUMBER($B$80),$B$80&gt;=0,$B$80&lt;=1,ROUND($B$81*12,0)&gt;=1,$B$81&lt;=100,SUM($B$82)&gt;=0,SUM($B$82)&lt;=1,SUM($B$83)&gt;=0)),OR(959=1,959=$B$174+1,AND($B$175&gt;0,959=$B$175+1))),IF(AND($B$170=1,$B$66&gt;0,OR($B$175=0,959&lt;=$B$175)),$B$66,IF($B$172-MAX(959-1,$B$174)&gt;0,IF(B1359=0,0,IF(C1359=0,B1359/($B$172-MAX(959-1,$B$174)),B1359*(C1359/12)/(1-(1+C1359/12)^(-($B$172-MAX(959-1,$B$174)))))),"")),D1358))))),IF(IF(AND(959&lt;=$B$174,959&lt;=$B$173),B1359*C1359/12,IF(AND(959=$B$173+1,AND(959&gt;$B$173,$B$78="Refinance",ISNUMBER($B$80),$B$80&gt;=0,$B$80&lt;=1,ROUND($B$81*12,0)&gt;=1,$B$81&lt;=100,SUM($B$82)&gt;=0,SUM($B$82)&lt;=1,SUM($B$83)&gt;=0)),IF(B1359=0,0,IF(C1359=0,B1359/ROUND($B$81*12,0),B1359*(C1359/12)/(1-(1+C1359/12)^(-ROUND($B$81*12,0))))),IF(AND(NOT(AND(959&gt;$B$173,$B$78="Refinance",ISNUMBER($B$80),$B$80&gt;=0,$B$80&lt;=1,ROUND($B$81*12,0)&gt;=1,$B$81&lt;=100,SUM($B$82)&gt;=0,SUM($B$82)&lt;=1,SUM($B$83)&gt;=0)),OR(959=1,959=$B$174+1,AND($B$175&gt;0,959=$B$175+1))),IF(AND($B$170=1,$B$66&gt;0,OR($B$175=0,959&lt;=$B$175)),$B$66,IF($B$172-MAX(959-1,$B$174)&gt;0,IF(B1359=0,0,IF(C1359=0,B1359/($B$172-MAX(959-1,$B$174)),B1359*(C1359/12)/(1-(1+C1359/12)^(-($B$172-MAX(959-1,$B$174)))))),"")),D1358)))+0.0000001&gt;=B1359*C1359/12,MIN(B1359*(1+C1359/12),IF(AND(959&lt;=$B$174,959&lt;=$B$173),B1359*C1359/12,IF(AND(959=$B$173+1,AND(959&gt;$B$173,$B$78="Refinance",ISNUMBER($B$80),$B$80&gt;=0,$B$80&lt;=1,ROUND($B$81*12,0)&gt;=1,$B$81&lt;=100,SUM($B$82)&gt;=0,SUM($B$82)&lt;=1,SUM($B$83)&gt;=0)),IF(B1359=0,0,IF(C1359=0,B1359/ROUND($B$81*12,0),B1359*(C1359/12)/(1-(1+C1359/12)^(-ROUND($B$81*12,0))))),IF(AND(NOT(AND(959&gt;$B$173,$B$78="Refinance",ISNUMBER($B$80),$B$80&gt;=0,$B$80&lt;=1,ROUND($B$81*12,0)&gt;=1,$B$81&lt;=100,SUM($B$82)&gt;=0,SUM($B$82)&lt;=1,SUM($B$83)&gt;=0)),OR(959=1,959=$B$174+1,AND($B$175&gt;0,959=$B$175+1))),IF(AND($B$170=1,$B$66&gt;0,OR($B$175=0,959&lt;=$B$175)),$B$66,IF($B$172-MAX(959-1,$B$174)&gt;0,IF(B1359=0,0,IF(C1359=0,B1359/($B$172-MAX(959-1,$B$174)),B1359*(C1359/12)/(1-(1+C1359/12)^(-($B$172-MAX(959-1,$B$174)))))),"")),D1358)))),""),""))</x:f>
        <x:v>0</x:v>
      </x:c>
      <x:c r="E1359" s="440" t="n">
        <x:f>IF(AND(959=$B$173,ISNUMBER(D1359)),IF(MAX(0,B1359*(1+C1359/12)-D1359)&lt;MAX(0.0000001,$E$17*0.00000000001),0,MAX(0,B1359*(1+C1359/12)-D1359)),0)</x:f>
        <x:v>0</x:v>
      </x:c>
      <x:c r="F1359" s="440" t="n">
        <x:f>IF($B$78="Cash payoff",E1359,0)</x:f>
        <x:v>0</x:v>
      </x:c>
      <x:c r="G1359" s="440" t="n">
        <x:f>IF(AND(E1359&gt;0,AND($B$78="Refinance",ISNUMBER($B$80),$B$80&gt;=0,$B$80&lt;=1,ROUND($B$81*12,0)&gt;=1,$B$81&lt;=100,SUM($B$82)&gt;=0,SUM($B$82)&lt;=1,SUM($B$83)&gt;=0)),E1359*SUM($B$82)+SUM($B$83),0)</x:f>
        <x:v>0</x:v>
      </x:c>
      <x:c r="H1359" s="440" t="n">
        <x:f>IF(ISNUMBER(D1359),IF(MAX(0,B1359*(1+C1359/12)-D1359-F1359)&lt;MAX(0.0000001,$E$17*0.00000000001),0,MAX(0,B1359*(1+C1359/12)-D1359-F1359)),IF(AND($B$171=1,I1358=1),B1359,""))</x:f>
        <x:v>0</x:v>
      </x:c>
      <x:c r="I1359" s="444" t="n">
        <x:f>IF(OR(I1358=1,AND(E1359&gt;0,$B$78&lt;&gt;"Cash payoff",NOT(AND($B$78="Refinance",ISNUMBER($B$80),$B$80&gt;=0,$B$80&lt;=1,ROUND($B$81*12,0)&gt;=1,$B$81&lt;=100,SUM($B$82)&gt;=0,SUM($B$82)&lt;=1,SUM($B$83)&gt;=0))),AND(ISNUMBER(B1359),B1359&gt;0,$B$171=1,NOT(ISNUMBER(D1359)))),1,0)</x:f>
        <x:v>0</x:v>
      </x:c>
      <x:c r="J1359" s="440" t="n">
        <x:f>IF(ISNUMBER(L1358),L1358,"")</x:f>
        <x:v>0</x:v>
      </x:c>
      <x:c r="K1359" s="440" t="n">
        <x:f>IF(AND(ISNUMBER(J1359),J1359=0),0,IF(AND($B$176=1,ISNUMBER(J1359)),MIN(J1359*(1+$B$87/12),IF($B$86=0,0,IF($B$87=0,$B$86/ROUND($B$88*12,0),$B$86*($B$87/12)/(1-(1+$B$87/12)^(-ROUND($B$88*12,0)))))),""))</x:f>
        <x:v>0</x:v>
      </x:c>
      <x:c r="L1359" s="440" t="n">
        <x:f>IF(ISNUMBER(K1359),IF(MAX(0,J1359*(1+SUM($B$87)/12)-K1359)&lt;MAX(0.0000001,$B$86*0.00000000001),0,MAX(0,J1359*(1+SUM($B$87)/12)-K1359)),"")</x:f>
        <x:v>0</x:v>
      </x:c>
      <x:c r="M1359" s="440" t="n">
        <x:f>IF(AND(ISNUMBER(D1359),ISNUMBER(K1359)),D1359+K1359,"")</x:f>
        <x:v>0</x:v>
      </x:c>
      <x:c r="N1359" s="440" t="n">
        <x:f>IF(AND(ISNUMBER(H1359),ISNUMBER(L1359)),H1359+L1359,"")</x:f>
        <x:v>0</x:v>
      </x:c>
    </x:row>
    <x:row r="1360" ht="22" customHeight="1">
      <x:c r="A1360" s="254" t="n">
        <x:f>960</x:f>
        <x:v>960</x:v>
      </x:c>
      <x:c r="B1360" s="440" t="n">
        <x:f>IF(ISNUMBER(H1359),H1359,"")</x:f>
        <x:v>0</x:v>
      </x:c>
      <x:c r="C1360" s="442" t="n">
        <x:f>IF(ISNUMBER(B1360),IF(AND(960&gt;$B$173,$B$78="Refinance",ISNUMBER($B$80),$B$80&gt;=0,$B$80&lt;=1,ROUND($B$81*12,0)&gt;=1,$B$81&lt;=100,SUM($B$82)&gt;=0,SUM($B$82)&lt;=1,SUM($B$83)&gt;=0),$B$80,IF(AND($B$175&gt;0,960&gt;$B$175,ISNUMBER($B$75)),$B$75,$B$61)),"")</x:f>
        <x:v>0.0625</x:v>
      </x:c>
      <x:c r="D1360" s="440" t="n">
        <x:f>IF(AND(ISNUMBER(B1360),B1360=0),0,IF(AND($B$171=1,I1359=0,ISNUMBER(C1360),ISNUMBER(IF(AND(960&lt;=$B$174,960&lt;=$B$173),B1360*C1360/12,IF(AND(960=$B$173+1,AND(960&gt;$B$173,$B$78="Refinance",ISNUMBER($B$80),$B$80&gt;=0,$B$80&lt;=1,ROUND($B$81*12,0)&gt;=1,$B$81&lt;=100,SUM($B$82)&gt;=0,SUM($B$82)&lt;=1,SUM($B$83)&gt;=0)),IF(B1360=0,0,IF(C1360=0,B1360/ROUND($B$81*12,0),B1360*(C1360/12)/(1-(1+C1360/12)^(-ROUND($B$81*12,0))))),IF(AND(NOT(AND(960&gt;$B$173,$B$78="Refinance",ISNUMBER($B$80),$B$80&gt;=0,$B$80&lt;=1,ROUND($B$81*12,0)&gt;=1,$B$81&lt;=100,SUM($B$82)&gt;=0,SUM($B$82)&lt;=1,SUM($B$83)&gt;=0)),OR(960=1,960=$B$174+1,AND($B$175&gt;0,960=$B$175+1))),IF(AND($B$170=1,$B$66&gt;0,OR($B$175=0,960&lt;=$B$175)),$B$66,IF($B$172-MAX(960-1,$B$174)&gt;0,IF(B1360=0,0,IF(C1360=0,B1360/($B$172-MAX(960-1,$B$174)),B1360*(C1360/12)/(1-(1+C1360/12)^(-($B$172-MAX(960-1,$B$174)))))),"")),D1359))))),IF(IF(AND(960&lt;=$B$174,960&lt;=$B$173),B1360*C1360/12,IF(AND(960=$B$173+1,AND(960&gt;$B$173,$B$78="Refinance",ISNUMBER($B$80),$B$80&gt;=0,$B$80&lt;=1,ROUND($B$81*12,0)&gt;=1,$B$81&lt;=100,SUM($B$82)&gt;=0,SUM($B$82)&lt;=1,SUM($B$83)&gt;=0)),IF(B1360=0,0,IF(C1360=0,B1360/ROUND($B$81*12,0),B1360*(C1360/12)/(1-(1+C1360/12)^(-ROUND($B$81*12,0))))),IF(AND(NOT(AND(960&gt;$B$173,$B$78="Refinance",ISNUMBER($B$80),$B$80&gt;=0,$B$80&lt;=1,ROUND($B$81*12,0)&gt;=1,$B$81&lt;=100,SUM($B$82)&gt;=0,SUM($B$82)&lt;=1,SUM($B$83)&gt;=0)),OR(960=1,960=$B$174+1,AND($B$175&gt;0,960=$B$175+1))),IF(AND($B$170=1,$B$66&gt;0,OR($B$175=0,960&lt;=$B$175)),$B$66,IF($B$172-MAX(960-1,$B$174)&gt;0,IF(B1360=0,0,IF(C1360=0,B1360/($B$172-MAX(960-1,$B$174)),B1360*(C1360/12)/(1-(1+C1360/12)^(-($B$172-MAX(960-1,$B$174)))))),"")),D1359)))+0.0000001&gt;=B1360*C1360/12,MIN(B1360*(1+C1360/12),IF(AND(960&lt;=$B$174,960&lt;=$B$173),B1360*C1360/12,IF(AND(960=$B$173+1,AND(960&gt;$B$173,$B$78="Refinance",ISNUMBER($B$80),$B$80&gt;=0,$B$80&lt;=1,ROUND($B$81*12,0)&gt;=1,$B$81&lt;=100,SUM($B$82)&gt;=0,SUM($B$82)&lt;=1,SUM($B$83)&gt;=0)),IF(B1360=0,0,IF(C1360=0,B1360/ROUND($B$81*12,0),B1360*(C1360/12)/(1-(1+C1360/12)^(-ROUND($B$81*12,0))))),IF(AND(NOT(AND(960&gt;$B$173,$B$78="Refinance",ISNUMBER($B$80),$B$80&gt;=0,$B$80&lt;=1,ROUND($B$81*12,0)&gt;=1,$B$81&lt;=100,SUM($B$82)&gt;=0,SUM($B$82)&lt;=1,SUM($B$83)&gt;=0)),OR(960=1,960=$B$174+1,AND($B$175&gt;0,960=$B$175+1))),IF(AND($B$170=1,$B$66&gt;0,OR($B$175=0,960&lt;=$B$175)),$B$66,IF($B$172-MAX(960-1,$B$174)&gt;0,IF(B1360=0,0,IF(C1360=0,B1360/($B$172-MAX(960-1,$B$174)),B1360*(C1360/12)/(1-(1+C1360/12)^(-($B$172-MAX(960-1,$B$174)))))),"")),D1359)))),""),""))</x:f>
        <x:v>0</x:v>
      </x:c>
      <x:c r="E1360" s="440" t="n">
        <x:f>IF(AND(960=$B$173,ISNUMBER(D1360)),IF(MAX(0,B1360*(1+C1360/12)-D1360)&lt;MAX(0.0000001,$E$17*0.00000000001),0,MAX(0,B1360*(1+C1360/12)-D1360)),0)</x:f>
        <x:v>0</x:v>
      </x:c>
      <x:c r="F1360" s="440" t="n">
        <x:f>IF($B$78="Cash payoff",E1360,0)</x:f>
        <x:v>0</x:v>
      </x:c>
      <x:c r="G1360" s="440" t="n">
        <x:f>IF(AND(E1360&gt;0,AND($B$78="Refinance",ISNUMBER($B$80),$B$80&gt;=0,$B$80&lt;=1,ROUND($B$81*12,0)&gt;=1,$B$81&lt;=100,SUM($B$82)&gt;=0,SUM($B$82)&lt;=1,SUM($B$83)&gt;=0)),E1360*SUM($B$82)+SUM($B$83),0)</x:f>
        <x:v>0</x:v>
      </x:c>
      <x:c r="H1360" s="440" t="n">
        <x:f>IF(ISNUMBER(D1360),IF(MAX(0,B1360*(1+C1360/12)-D1360-F1360)&lt;MAX(0.0000001,$E$17*0.00000000001),0,MAX(0,B1360*(1+C1360/12)-D1360-F1360)),IF(AND($B$171=1,I1359=1),B1360,""))</x:f>
        <x:v>0</x:v>
      </x:c>
      <x:c r="I1360" s="444" t="n">
        <x:f>IF(OR(I1359=1,AND(E1360&gt;0,$B$78&lt;&gt;"Cash payoff",NOT(AND($B$78="Refinance",ISNUMBER($B$80),$B$80&gt;=0,$B$80&lt;=1,ROUND($B$81*12,0)&gt;=1,$B$81&lt;=100,SUM($B$82)&gt;=0,SUM($B$82)&lt;=1,SUM($B$83)&gt;=0))),AND(ISNUMBER(B1360),B1360&gt;0,$B$171=1,NOT(ISNUMBER(D1360)))),1,0)</x:f>
        <x:v>0</x:v>
      </x:c>
      <x:c r="J1360" s="440" t="n">
        <x:f>IF(ISNUMBER(L1359),L1359,"")</x:f>
        <x:v>0</x:v>
      </x:c>
      <x:c r="K1360" s="440" t="n">
        <x:f>IF(AND(ISNUMBER(J1360),J1360=0),0,IF(AND($B$176=1,ISNUMBER(J1360)),MIN(J1360*(1+$B$87/12),IF($B$86=0,0,IF($B$87=0,$B$86/ROUND($B$88*12,0),$B$86*($B$87/12)/(1-(1+$B$87/12)^(-ROUND($B$88*12,0)))))),""))</x:f>
        <x:v>0</x:v>
      </x:c>
      <x:c r="L1360" s="440" t="n">
        <x:f>IF(ISNUMBER(K1360),IF(MAX(0,J1360*(1+SUM($B$87)/12)-K1360)&lt;MAX(0.0000001,$B$86*0.00000000001),0,MAX(0,J1360*(1+SUM($B$87)/12)-K1360)),"")</x:f>
        <x:v>0</x:v>
      </x:c>
      <x:c r="M1360" s="440" t="n">
        <x:f>IF(AND(ISNUMBER(D1360),ISNUMBER(K1360)),D1360+K1360,"")</x:f>
        <x:v>0</x:v>
      </x:c>
      <x:c r="N1360" s="440" t="n">
        <x:f>IF(AND(ISNUMBER(H1360),ISNUMBER(L1360)),H1360+L1360,"")</x:f>
        <x:v>0</x:v>
      </x:c>
    </x:row>
    <x:row r="1361" ht="22" customHeight="1">
      <x:c r="A1361" s="254" t="n">
        <x:f>961</x:f>
        <x:v>961</x:v>
      </x:c>
      <x:c r="B1361" s="440" t="n">
        <x:f>IF(ISNUMBER(H1360),H1360,"")</x:f>
        <x:v>0</x:v>
      </x:c>
      <x:c r="C1361" s="442" t="n">
        <x:f>IF(ISNUMBER(B1361),IF(AND(961&gt;$B$173,$B$78="Refinance",ISNUMBER($B$80),$B$80&gt;=0,$B$80&lt;=1,ROUND($B$81*12,0)&gt;=1,$B$81&lt;=100,SUM($B$82)&gt;=0,SUM($B$82)&lt;=1,SUM($B$83)&gt;=0),$B$80,IF(AND($B$175&gt;0,961&gt;$B$175,ISNUMBER($B$75)),$B$75,$B$61)),"")</x:f>
        <x:v>0.0625</x:v>
      </x:c>
      <x:c r="D1361" s="440" t="n">
        <x:f>IF(AND(ISNUMBER(B1361),B1361=0),0,IF(AND($B$171=1,I1360=0,ISNUMBER(C1361),ISNUMBER(IF(AND(961&lt;=$B$174,961&lt;=$B$173),B1361*C1361/12,IF(AND(961=$B$173+1,AND(961&gt;$B$173,$B$78="Refinance",ISNUMBER($B$80),$B$80&gt;=0,$B$80&lt;=1,ROUND($B$81*12,0)&gt;=1,$B$81&lt;=100,SUM($B$82)&gt;=0,SUM($B$82)&lt;=1,SUM($B$83)&gt;=0)),IF(B1361=0,0,IF(C1361=0,B1361/ROUND($B$81*12,0),B1361*(C1361/12)/(1-(1+C1361/12)^(-ROUND($B$81*12,0))))),IF(AND(NOT(AND(961&gt;$B$173,$B$78="Refinance",ISNUMBER($B$80),$B$80&gt;=0,$B$80&lt;=1,ROUND($B$81*12,0)&gt;=1,$B$81&lt;=100,SUM($B$82)&gt;=0,SUM($B$82)&lt;=1,SUM($B$83)&gt;=0)),OR(961=1,961=$B$174+1,AND($B$175&gt;0,961=$B$175+1))),IF(AND($B$170=1,$B$66&gt;0,OR($B$175=0,961&lt;=$B$175)),$B$66,IF($B$172-MAX(961-1,$B$174)&gt;0,IF(B1361=0,0,IF(C1361=0,B1361/($B$172-MAX(961-1,$B$174)),B1361*(C1361/12)/(1-(1+C1361/12)^(-($B$172-MAX(961-1,$B$174)))))),"")),D1360))))),IF(IF(AND(961&lt;=$B$174,961&lt;=$B$173),B1361*C1361/12,IF(AND(961=$B$173+1,AND(961&gt;$B$173,$B$78="Refinance",ISNUMBER($B$80),$B$80&gt;=0,$B$80&lt;=1,ROUND($B$81*12,0)&gt;=1,$B$81&lt;=100,SUM($B$82)&gt;=0,SUM($B$82)&lt;=1,SUM($B$83)&gt;=0)),IF(B1361=0,0,IF(C1361=0,B1361/ROUND($B$81*12,0),B1361*(C1361/12)/(1-(1+C1361/12)^(-ROUND($B$81*12,0))))),IF(AND(NOT(AND(961&gt;$B$173,$B$78="Refinance",ISNUMBER($B$80),$B$80&gt;=0,$B$80&lt;=1,ROUND($B$81*12,0)&gt;=1,$B$81&lt;=100,SUM($B$82)&gt;=0,SUM($B$82)&lt;=1,SUM($B$83)&gt;=0)),OR(961=1,961=$B$174+1,AND($B$175&gt;0,961=$B$175+1))),IF(AND($B$170=1,$B$66&gt;0,OR($B$175=0,961&lt;=$B$175)),$B$66,IF($B$172-MAX(961-1,$B$174)&gt;0,IF(B1361=0,0,IF(C1361=0,B1361/($B$172-MAX(961-1,$B$174)),B1361*(C1361/12)/(1-(1+C1361/12)^(-($B$172-MAX(961-1,$B$174)))))),"")),D1360)))+0.0000001&gt;=B1361*C1361/12,MIN(B1361*(1+C1361/12),IF(AND(961&lt;=$B$174,961&lt;=$B$173),B1361*C1361/12,IF(AND(961=$B$173+1,AND(961&gt;$B$173,$B$78="Refinance",ISNUMBER($B$80),$B$80&gt;=0,$B$80&lt;=1,ROUND($B$81*12,0)&gt;=1,$B$81&lt;=100,SUM($B$82)&gt;=0,SUM($B$82)&lt;=1,SUM($B$83)&gt;=0)),IF(B1361=0,0,IF(C1361=0,B1361/ROUND($B$81*12,0),B1361*(C1361/12)/(1-(1+C1361/12)^(-ROUND($B$81*12,0))))),IF(AND(NOT(AND(961&gt;$B$173,$B$78="Refinance",ISNUMBER($B$80),$B$80&gt;=0,$B$80&lt;=1,ROUND($B$81*12,0)&gt;=1,$B$81&lt;=100,SUM($B$82)&gt;=0,SUM($B$82)&lt;=1,SUM($B$83)&gt;=0)),OR(961=1,961=$B$174+1,AND($B$175&gt;0,961=$B$175+1))),IF(AND($B$170=1,$B$66&gt;0,OR($B$175=0,961&lt;=$B$175)),$B$66,IF($B$172-MAX(961-1,$B$174)&gt;0,IF(B1361=0,0,IF(C1361=0,B1361/($B$172-MAX(961-1,$B$174)),B1361*(C1361/12)/(1-(1+C1361/12)^(-($B$172-MAX(961-1,$B$174)))))),"")),D1360)))),""),""))</x:f>
        <x:v>0</x:v>
      </x:c>
      <x:c r="E1361" s="440" t="n">
        <x:f>IF(AND(961=$B$173,ISNUMBER(D1361)),IF(MAX(0,B1361*(1+C1361/12)-D1361)&lt;MAX(0.0000001,$E$17*0.00000000001),0,MAX(0,B1361*(1+C1361/12)-D1361)),0)</x:f>
        <x:v>0</x:v>
      </x:c>
      <x:c r="F1361" s="440" t="n">
        <x:f>IF($B$78="Cash payoff",E1361,0)</x:f>
        <x:v>0</x:v>
      </x:c>
      <x:c r="G1361" s="440" t="n">
        <x:f>IF(AND(E1361&gt;0,AND($B$78="Refinance",ISNUMBER($B$80),$B$80&gt;=0,$B$80&lt;=1,ROUND($B$81*12,0)&gt;=1,$B$81&lt;=100,SUM($B$82)&gt;=0,SUM($B$82)&lt;=1,SUM($B$83)&gt;=0)),E1361*SUM($B$82)+SUM($B$83),0)</x:f>
        <x:v>0</x:v>
      </x:c>
      <x:c r="H1361" s="440" t="n">
        <x:f>IF(ISNUMBER(D1361),IF(MAX(0,B1361*(1+C1361/12)-D1361-F1361)&lt;MAX(0.0000001,$E$17*0.00000000001),0,MAX(0,B1361*(1+C1361/12)-D1361-F1361)),IF(AND($B$171=1,I1360=1),B1361,""))</x:f>
        <x:v>0</x:v>
      </x:c>
      <x:c r="I1361" s="444" t="n">
        <x:f>IF(OR(I1360=1,AND(E1361&gt;0,$B$78&lt;&gt;"Cash payoff",NOT(AND($B$78="Refinance",ISNUMBER($B$80),$B$80&gt;=0,$B$80&lt;=1,ROUND($B$81*12,0)&gt;=1,$B$81&lt;=100,SUM($B$82)&gt;=0,SUM($B$82)&lt;=1,SUM($B$83)&gt;=0))),AND(ISNUMBER(B1361),B1361&gt;0,$B$171=1,NOT(ISNUMBER(D1361)))),1,0)</x:f>
        <x:v>0</x:v>
      </x:c>
      <x:c r="J1361" s="440" t="n">
        <x:f>IF(ISNUMBER(L1360),L1360,"")</x:f>
        <x:v>0</x:v>
      </x:c>
      <x:c r="K1361" s="440" t="n">
        <x:f>IF(AND(ISNUMBER(J1361),J1361=0),0,IF(AND($B$176=1,ISNUMBER(J1361)),MIN(J1361*(1+$B$87/12),IF($B$86=0,0,IF($B$87=0,$B$86/ROUND($B$88*12,0),$B$86*($B$87/12)/(1-(1+$B$87/12)^(-ROUND($B$88*12,0)))))),""))</x:f>
        <x:v>0</x:v>
      </x:c>
      <x:c r="L1361" s="440" t="n">
        <x:f>IF(ISNUMBER(K1361),IF(MAX(0,J1361*(1+SUM($B$87)/12)-K1361)&lt;MAX(0.0000001,$B$86*0.00000000001),0,MAX(0,J1361*(1+SUM($B$87)/12)-K1361)),"")</x:f>
        <x:v>0</x:v>
      </x:c>
      <x:c r="M1361" s="440" t="n">
        <x:f>IF(AND(ISNUMBER(D1361),ISNUMBER(K1361)),D1361+K1361,"")</x:f>
        <x:v>0</x:v>
      </x:c>
      <x:c r="N1361" s="440" t="n">
        <x:f>IF(AND(ISNUMBER(H1361),ISNUMBER(L1361)),H1361+L1361,"")</x:f>
        <x:v>0</x:v>
      </x:c>
    </x:row>
    <x:row r="1362" ht="22" customHeight="1">
      <x:c r="A1362" s="254" t="n">
        <x:f>962</x:f>
        <x:v>962</x:v>
      </x:c>
      <x:c r="B1362" s="440" t="n">
        <x:f>IF(ISNUMBER(H1361),H1361,"")</x:f>
        <x:v>0</x:v>
      </x:c>
      <x:c r="C1362" s="442" t="n">
        <x:f>IF(ISNUMBER(B1362),IF(AND(962&gt;$B$173,$B$78="Refinance",ISNUMBER($B$80),$B$80&gt;=0,$B$80&lt;=1,ROUND($B$81*12,0)&gt;=1,$B$81&lt;=100,SUM($B$82)&gt;=0,SUM($B$82)&lt;=1,SUM($B$83)&gt;=0),$B$80,IF(AND($B$175&gt;0,962&gt;$B$175,ISNUMBER($B$75)),$B$75,$B$61)),"")</x:f>
        <x:v>0.0625</x:v>
      </x:c>
      <x:c r="D1362" s="440" t="n">
        <x:f>IF(AND(ISNUMBER(B1362),B1362=0),0,IF(AND($B$171=1,I1361=0,ISNUMBER(C1362),ISNUMBER(IF(AND(962&lt;=$B$174,962&lt;=$B$173),B1362*C1362/12,IF(AND(962=$B$173+1,AND(962&gt;$B$173,$B$78="Refinance",ISNUMBER($B$80),$B$80&gt;=0,$B$80&lt;=1,ROUND($B$81*12,0)&gt;=1,$B$81&lt;=100,SUM($B$82)&gt;=0,SUM($B$82)&lt;=1,SUM($B$83)&gt;=0)),IF(B1362=0,0,IF(C1362=0,B1362/ROUND($B$81*12,0),B1362*(C1362/12)/(1-(1+C1362/12)^(-ROUND($B$81*12,0))))),IF(AND(NOT(AND(962&gt;$B$173,$B$78="Refinance",ISNUMBER($B$80),$B$80&gt;=0,$B$80&lt;=1,ROUND($B$81*12,0)&gt;=1,$B$81&lt;=100,SUM($B$82)&gt;=0,SUM($B$82)&lt;=1,SUM($B$83)&gt;=0)),OR(962=1,962=$B$174+1,AND($B$175&gt;0,962=$B$175+1))),IF(AND($B$170=1,$B$66&gt;0,OR($B$175=0,962&lt;=$B$175)),$B$66,IF($B$172-MAX(962-1,$B$174)&gt;0,IF(B1362=0,0,IF(C1362=0,B1362/($B$172-MAX(962-1,$B$174)),B1362*(C1362/12)/(1-(1+C1362/12)^(-($B$172-MAX(962-1,$B$174)))))),"")),D1361))))),IF(IF(AND(962&lt;=$B$174,962&lt;=$B$173),B1362*C1362/12,IF(AND(962=$B$173+1,AND(962&gt;$B$173,$B$78="Refinance",ISNUMBER($B$80),$B$80&gt;=0,$B$80&lt;=1,ROUND($B$81*12,0)&gt;=1,$B$81&lt;=100,SUM($B$82)&gt;=0,SUM($B$82)&lt;=1,SUM($B$83)&gt;=0)),IF(B1362=0,0,IF(C1362=0,B1362/ROUND($B$81*12,0),B1362*(C1362/12)/(1-(1+C1362/12)^(-ROUND($B$81*12,0))))),IF(AND(NOT(AND(962&gt;$B$173,$B$78="Refinance",ISNUMBER($B$80),$B$80&gt;=0,$B$80&lt;=1,ROUND($B$81*12,0)&gt;=1,$B$81&lt;=100,SUM($B$82)&gt;=0,SUM($B$82)&lt;=1,SUM($B$83)&gt;=0)),OR(962=1,962=$B$174+1,AND($B$175&gt;0,962=$B$175+1))),IF(AND($B$170=1,$B$66&gt;0,OR($B$175=0,962&lt;=$B$175)),$B$66,IF($B$172-MAX(962-1,$B$174)&gt;0,IF(B1362=0,0,IF(C1362=0,B1362/($B$172-MAX(962-1,$B$174)),B1362*(C1362/12)/(1-(1+C1362/12)^(-($B$172-MAX(962-1,$B$174)))))),"")),D1361)))+0.0000001&gt;=B1362*C1362/12,MIN(B1362*(1+C1362/12),IF(AND(962&lt;=$B$174,962&lt;=$B$173),B1362*C1362/12,IF(AND(962=$B$173+1,AND(962&gt;$B$173,$B$78="Refinance",ISNUMBER($B$80),$B$80&gt;=0,$B$80&lt;=1,ROUND($B$81*12,0)&gt;=1,$B$81&lt;=100,SUM($B$82)&gt;=0,SUM($B$82)&lt;=1,SUM($B$83)&gt;=0)),IF(B1362=0,0,IF(C1362=0,B1362/ROUND($B$81*12,0),B1362*(C1362/12)/(1-(1+C1362/12)^(-ROUND($B$81*12,0))))),IF(AND(NOT(AND(962&gt;$B$173,$B$78="Refinance",ISNUMBER($B$80),$B$80&gt;=0,$B$80&lt;=1,ROUND($B$81*12,0)&gt;=1,$B$81&lt;=100,SUM($B$82)&gt;=0,SUM($B$82)&lt;=1,SUM($B$83)&gt;=0)),OR(962=1,962=$B$174+1,AND($B$175&gt;0,962=$B$175+1))),IF(AND($B$170=1,$B$66&gt;0,OR($B$175=0,962&lt;=$B$175)),$B$66,IF($B$172-MAX(962-1,$B$174)&gt;0,IF(B1362=0,0,IF(C1362=0,B1362/($B$172-MAX(962-1,$B$174)),B1362*(C1362/12)/(1-(1+C1362/12)^(-($B$172-MAX(962-1,$B$174)))))),"")),D1361)))),""),""))</x:f>
        <x:v>0</x:v>
      </x:c>
      <x:c r="E1362" s="440" t="n">
        <x:f>IF(AND(962=$B$173,ISNUMBER(D1362)),IF(MAX(0,B1362*(1+C1362/12)-D1362)&lt;MAX(0.0000001,$E$17*0.00000000001),0,MAX(0,B1362*(1+C1362/12)-D1362)),0)</x:f>
        <x:v>0</x:v>
      </x:c>
      <x:c r="F1362" s="440" t="n">
        <x:f>IF($B$78="Cash payoff",E1362,0)</x:f>
        <x:v>0</x:v>
      </x:c>
      <x:c r="G1362" s="440" t="n">
        <x:f>IF(AND(E1362&gt;0,AND($B$78="Refinance",ISNUMBER($B$80),$B$80&gt;=0,$B$80&lt;=1,ROUND($B$81*12,0)&gt;=1,$B$81&lt;=100,SUM($B$82)&gt;=0,SUM($B$82)&lt;=1,SUM($B$83)&gt;=0)),E1362*SUM($B$82)+SUM($B$83),0)</x:f>
        <x:v>0</x:v>
      </x:c>
      <x:c r="H1362" s="440" t="n">
        <x:f>IF(ISNUMBER(D1362),IF(MAX(0,B1362*(1+C1362/12)-D1362-F1362)&lt;MAX(0.0000001,$E$17*0.00000000001),0,MAX(0,B1362*(1+C1362/12)-D1362-F1362)),IF(AND($B$171=1,I1361=1),B1362,""))</x:f>
        <x:v>0</x:v>
      </x:c>
      <x:c r="I1362" s="444" t="n">
        <x:f>IF(OR(I1361=1,AND(E1362&gt;0,$B$78&lt;&gt;"Cash payoff",NOT(AND($B$78="Refinance",ISNUMBER($B$80),$B$80&gt;=0,$B$80&lt;=1,ROUND($B$81*12,0)&gt;=1,$B$81&lt;=100,SUM($B$82)&gt;=0,SUM($B$82)&lt;=1,SUM($B$83)&gt;=0))),AND(ISNUMBER(B1362),B1362&gt;0,$B$171=1,NOT(ISNUMBER(D1362)))),1,0)</x:f>
        <x:v>0</x:v>
      </x:c>
      <x:c r="J1362" s="440" t="n">
        <x:f>IF(ISNUMBER(L1361),L1361,"")</x:f>
        <x:v>0</x:v>
      </x:c>
      <x:c r="K1362" s="440" t="n">
        <x:f>IF(AND(ISNUMBER(J1362),J1362=0),0,IF(AND($B$176=1,ISNUMBER(J1362)),MIN(J1362*(1+$B$87/12),IF($B$86=0,0,IF($B$87=0,$B$86/ROUND($B$88*12,0),$B$86*($B$87/12)/(1-(1+$B$87/12)^(-ROUND($B$88*12,0)))))),""))</x:f>
        <x:v>0</x:v>
      </x:c>
      <x:c r="L1362" s="440" t="n">
        <x:f>IF(ISNUMBER(K1362),IF(MAX(0,J1362*(1+SUM($B$87)/12)-K1362)&lt;MAX(0.0000001,$B$86*0.00000000001),0,MAX(0,J1362*(1+SUM($B$87)/12)-K1362)),"")</x:f>
        <x:v>0</x:v>
      </x:c>
      <x:c r="M1362" s="440" t="n">
        <x:f>IF(AND(ISNUMBER(D1362),ISNUMBER(K1362)),D1362+K1362,"")</x:f>
        <x:v>0</x:v>
      </x:c>
      <x:c r="N1362" s="440" t="n">
        <x:f>IF(AND(ISNUMBER(H1362),ISNUMBER(L1362)),H1362+L1362,"")</x:f>
        <x:v>0</x:v>
      </x:c>
    </x:row>
    <x:row r="1363" ht="22" customHeight="1">
      <x:c r="A1363" s="254" t="n">
        <x:f>963</x:f>
        <x:v>963</x:v>
      </x:c>
      <x:c r="B1363" s="440" t="n">
        <x:f>IF(ISNUMBER(H1362),H1362,"")</x:f>
        <x:v>0</x:v>
      </x:c>
      <x:c r="C1363" s="442" t="n">
        <x:f>IF(ISNUMBER(B1363),IF(AND(963&gt;$B$173,$B$78="Refinance",ISNUMBER($B$80),$B$80&gt;=0,$B$80&lt;=1,ROUND($B$81*12,0)&gt;=1,$B$81&lt;=100,SUM($B$82)&gt;=0,SUM($B$82)&lt;=1,SUM($B$83)&gt;=0),$B$80,IF(AND($B$175&gt;0,963&gt;$B$175,ISNUMBER($B$75)),$B$75,$B$61)),"")</x:f>
        <x:v>0.0625</x:v>
      </x:c>
      <x:c r="D1363" s="440" t="n">
        <x:f>IF(AND(ISNUMBER(B1363),B1363=0),0,IF(AND($B$171=1,I1362=0,ISNUMBER(C1363),ISNUMBER(IF(AND(963&lt;=$B$174,963&lt;=$B$173),B1363*C1363/12,IF(AND(963=$B$173+1,AND(963&gt;$B$173,$B$78="Refinance",ISNUMBER($B$80),$B$80&gt;=0,$B$80&lt;=1,ROUND($B$81*12,0)&gt;=1,$B$81&lt;=100,SUM($B$82)&gt;=0,SUM($B$82)&lt;=1,SUM($B$83)&gt;=0)),IF(B1363=0,0,IF(C1363=0,B1363/ROUND($B$81*12,0),B1363*(C1363/12)/(1-(1+C1363/12)^(-ROUND($B$81*12,0))))),IF(AND(NOT(AND(963&gt;$B$173,$B$78="Refinance",ISNUMBER($B$80),$B$80&gt;=0,$B$80&lt;=1,ROUND($B$81*12,0)&gt;=1,$B$81&lt;=100,SUM($B$82)&gt;=0,SUM($B$82)&lt;=1,SUM($B$83)&gt;=0)),OR(963=1,963=$B$174+1,AND($B$175&gt;0,963=$B$175+1))),IF(AND($B$170=1,$B$66&gt;0,OR($B$175=0,963&lt;=$B$175)),$B$66,IF($B$172-MAX(963-1,$B$174)&gt;0,IF(B1363=0,0,IF(C1363=0,B1363/($B$172-MAX(963-1,$B$174)),B1363*(C1363/12)/(1-(1+C1363/12)^(-($B$172-MAX(963-1,$B$174)))))),"")),D1362))))),IF(IF(AND(963&lt;=$B$174,963&lt;=$B$173),B1363*C1363/12,IF(AND(963=$B$173+1,AND(963&gt;$B$173,$B$78="Refinance",ISNUMBER($B$80),$B$80&gt;=0,$B$80&lt;=1,ROUND($B$81*12,0)&gt;=1,$B$81&lt;=100,SUM($B$82)&gt;=0,SUM($B$82)&lt;=1,SUM($B$83)&gt;=0)),IF(B1363=0,0,IF(C1363=0,B1363/ROUND($B$81*12,0),B1363*(C1363/12)/(1-(1+C1363/12)^(-ROUND($B$81*12,0))))),IF(AND(NOT(AND(963&gt;$B$173,$B$78="Refinance",ISNUMBER($B$80),$B$80&gt;=0,$B$80&lt;=1,ROUND($B$81*12,0)&gt;=1,$B$81&lt;=100,SUM($B$82)&gt;=0,SUM($B$82)&lt;=1,SUM($B$83)&gt;=0)),OR(963=1,963=$B$174+1,AND($B$175&gt;0,963=$B$175+1))),IF(AND($B$170=1,$B$66&gt;0,OR($B$175=0,963&lt;=$B$175)),$B$66,IF($B$172-MAX(963-1,$B$174)&gt;0,IF(B1363=0,0,IF(C1363=0,B1363/($B$172-MAX(963-1,$B$174)),B1363*(C1363/12)/(1-(1+C1363/12)^(-($B$172-MAX(963-1,$B$174)))))),"")),D1362)))+0.0000001&gt;=B1363*C1363/12,MIN(B1363*(1+C1363/12),IF(AND(963&lt;=$B$174,963&lt;=$B$173),B1363*C1363/12,IF(AND(963=$B$173+1,AND(963&gt;$B$173,$B$78="Refinance",ISNUMBER($B$80),$B$80&gt;=0,$B$80&lt;=1,ROUND($B$81*12,0)&gt;=1,$B$81&lt;=100,SUM($B$82)&gt;=0,SUM($B$82)&lt;=1,SUM($B$83)&gt;=0)),IF(B1363=0,0,IF(C1363=0,B1363/ROUND($B$81*12,0),B1363*(C1363/12)/(1-(1+C1363/12)^(-ROUND($B$81*12,0))))),IF(AND(NOT(AND(963&gt;$B$173,$B$78="Refinance",ISNUMBER($B$80),$B$80&gt;=0,$B$80&lt;=1,ROUND($B$81*12,0)&gt;=1,$B$81&lt;=100,SUM($B$82)&gt;=0,SUM($B$82)&lt;=1,SUM($B$83)&gt;=0)),OR(963=1,963=$B$174+1,AND($B$175&gt;0,963=$B$175+1))),IF(AND($B$170=1,$B$66&gt;0,OR($B$175=0,963&lt;=$B$175)),$B$66,IF($B$172-MAX(963-1,$B$174)&gt;0,IF(B1363=0,0,IF(C1363=0,B1363/($B$172-MAX(963-1,$B$174)),B1363*(C1363/12)/(1-(1+C1363/12)^(-($B$172-MAX(963-1,$B$174)))))),"")),D1362)))),""),""))</x:f>
        <x:v>0</x:v>
      </x:c>
      <x:c r="E1363" s="440" t="n">
        <x:f>IF(AND(963=$B$173,ISNUMBER(D1363)),IF(MAX(0,B1363*(1+C1363/12)-D1363)&lt;MAX(0.0000001,$E$17*0.00000000001),0,MAX(0,B1363*(1+C1363/12)-D1363)),0)</x:f>
        <x:v>0</x:v>
      </x:c>
      <x:c r="F1363" s="440" t="n">
        <x:f>IF($B$78="Cash payoff",E1363,0)</x:f>
        <x:v>0</x:v>
      </x:c>
      <x:c r="G1363" s="440" t="n">
        <x:f>IF(AND(E1363&gt;0,AND($B$78="Refinance",ISNUMBER($B$80),$B$80&gt;=0,$B$80&lt;=1,ROUND($B$81*12,0)&gt;=1,$B$81&lt;=100,SUM($B$82)&gt;=0,SUM($B$82)&lt;=1,SUM($B$83)&gt;=0)),E1363*SUM($B$82)+SUM($B$83),0)</x:f>
        <x:v>0</x:v>
      </x:c>
      <x:c r="H1363" s="440" t="n">
        <x:f>IF(ISNUMBER(D1363),IF(MAX(0,B1363*(1+C1363/12)-D1363-F1363)&lt;MAX(0.0000001,$E$17*0.00000000001),0,MAX(0,B1363*(1+C1363/12)-D1363-F1363)),IF(AND($B$171=1,I1362=1),B1363,""))</x:f>
        <x:v>0</x:v>
      </x:c>
      <x:c r="I1363" s="444" t="n">
        <x:f>IF(OR(I1362=1,AND(E1363&gt;0,$B$78&lt;&gt;"Cash payoff",NOT(AND($B$78="Refinance",ISNUMBER($B$80),$B$80&gt;=0,$B$80&lt;=1,ROUND($B$81*12,0)&gt;=1,$B$81&lt;=100,SUM($B$82)&gt;=0,SUM($B$82)&lt;=1,SUM($B$83)&gt;=0))),AND(ISNUMBER(B1363),B1363&gt;0,$B$171=1,NOT(ISNUMBER(D1363)))),1,0)</x:f>
        <x:v>0</x:v>
      </x:c>
      <x:c r="J1363" s="440" t="n">
        <x:f>IF(ISNUMBER(L1362),L1362,"")</x:f>
        <x:v>0</x:v>
      </x:c>
      <x:c r="K1363" s="440" t="n">
        <x:f>IF(AND(ISNUMBER(J1363),J1363=0),0,IF(AND($B$176=1,ISNUMBER(J1363)),MIN(J1363*(1+$B$87/12),IF($B$86=0,0,IF($B$87=0,$B$86/ROUND($B$88*12,0),$B$86*($B$87/12)/(1-(1+$B$87/12)^(-ROUND($B$88*12,0)))))),""))</x:f>
        <x:v>0</x:v>
      </x:c>
      <x:c r="L1363" s="440" t="n">
        <x:f>IF(ISNUMBER(K1363),IF(MAX(0,J1363*(1+SUM($B$87)/12)-K1363)&lt;MAX(0.0000001,$B$86*0.00000000001),0,MAX(0,J1363*(1+SUM($B$87)/12)-K1363)),"")</x:f>
        <x:v>0</x:v>
      </x:c>
      <x:c r="M1363" s="440" t="n">
        <x:f>IF(AND(ISNUMBER(D1363),ISNUMBER(K1363)),D1363+K1363,"")</x:f>
        <x:v>0</x:v>
      </x:c>
      <x:c r="N1363" s="440" t="n">
        <x:f>IF(AND(ISNUMBER(H1363),ISNUMBER(L1363)),H1363+L1363,"")</x:f>
        <x:v>0</x:v>
      </x:c>
    </x:row>
    <x:row r="1364" ht="22" customHeight="1">
      <x:c r="A1364" s="254" t="n">
        <x:f>964</x:f>
        <x:v>964</x:v>
      </x:c>
      <x:c r="B1364" s="440" t="n">
        <x:f>IF(ISNUMBER(H1363),H1363,"")</x:f>
        <x:v>0</x:v>
      </x:c>
      <x:c r="C1364" s="442" t="n">
        <x:f>IF(ISNUMBER(B1364),IF(AND(964&gt;$B$173,$B$78="Refinance",ISNUMBER($B$80),$B$80&gt;=0,$B$80&lt;=1,ROUND($B$81*12,0)&gt;=1,$B$81&lt;=100,SUM($B$82)&gt;=0,SUM($B$82)&lt;=1,SUM($B$83)&gt;=0),$B$80,IF(AND($B$175&gt;0,964&gt;$B$175,ISNUMBER($B$75)),$B$75,$B$61)),"")</x:f>
        <x:v>0.0625</x:v>
      </x:c>
      <x:c r="D1364" s="440" t="n">
        <x:f>IF(AND(ISNUMBER(B1364),B1364=0),0,IF(AND($B$171=1,I1363=0,ISNUMBER(C1364),ISNUMBER(IF(AND(964&lt;=$B$174,964&lt;=$B$173),B1364*C1364/12,IF(AND(964=$B$173+1,AND(964&gt;$B$173,$B$78="Refinance",ISNUMBER($B$80),$B$80&gt;=0,$B$80&lt;=1,ROUND($B$81*12,0)&gt;=1,$B$81&lt;=100,SUM($B$82)&gt;=0,SUM($B$82)&lt;=1,SUM($B$83)&gt;=0)),IF(B1364=0,0,IF(C1364=0,B1364/ROUND($B$81*12,0),B1364*(C1364/12)/(1-(1+C1364/12)^(-ROUND($B$81*12,0))))),IF(AND(NOT(AND(964&gt;$B$173,$B$78="Refinance",ISNUMBER($B$80),$B$80&gt;=0,$B$80&lt;=1,ROUND($B$81*12,0)&gt;=1,$B$81&lt;=100,SUM($B$82)&gt;=0,SUM($B$82)&lt;=1,SUM($B$83)&gt;=0)),OR(964=1,964=$B$174+1,AND($B$175&gt;0,964=$B$175+1))),IF(AND($B$170=1,$B$66&gt;0,OR($B$175=0,964&lt;=$B$175)),$B$66,IF($B$172-MAX(964-1,$B$174)&gt;0,IF(B1364=0,0,IF(C1364=0,B1364/($B$172-MAX(964-1,$B$174)),B1364*(C1364/12)/(1-(1+C1364/12)^(-($B$172-MAX(964-1,$B$174)))))),"")),D1363))))),IF(IF(AND(964&lt;=$B$174,964&lt;=$B$173),B1364*C1364/12,IF(AND(964=$B$173+1,AND(964&gt;$B$173,$B$78="Refinance",ISNUMBER($B$80),$B$80&gt;=0,$B$80&lt;=1,ROUND($B$81*12,0)&gt;=1,$B$81&lt;=100,SUM($B$82)&gt;=0,SUM($B$82)&lt;=1,SUM($B$83)&gt;=0)),IF(B1364=0,0,IF(C1364=0,B1364/ROUND($B$81*12,0),B1364*(C1364/12)/(1-(1+C1364/12)^(-ROUND($B$81*12,0))))),IF(AND(NOT(AND(964&gt;$B$173,$B$78="Refinance",ISNUMBER($B$80),$B$80&gt;=0,$B$80&lt;=1,ROUND($B$81*12,0)&gt;=1,$B$81&lt;=100,SUM($B$82)&gt;=0,SUM($B$82)&lt;=1,SUM($B$83)&gt;=0)),OR(964=1,964=$B$174+1,AND($B$175&gt;0,964=$B$175+1))),IF(AND($B$170=1,$B$66&gt;0,OR($B$175=0,964&lt;=$B$175)),$B$66,IF($B$172-MAX(964-1,$B$174)&gt;0,IF(B1364=0,0,IF(C1364=0,B1364/($B$172-MAX(964-1,$B$174)),B1364*(C1364/12)/(1-(1+C1364/12)^(-($B$172-MAX(964-1,$B$174)))))),"")),D1363)))+0.0000001&gt;=B1364*C1364/12,MIN(B1364*(1+C1364/12),IF(AND(964&lt;=$B$174,964&lt;=$B$173),B1364*C1364/12,IF(AND(964=$B$173+1,AND(964&gt;$B$173,$B$78="Refinance",ISNUMBER($B$80),$B$80&gt;=0,$B$80&lt;=1,ROUND($B$81*12,0)&gt;=1,$B$81&lt;=100,SUM($B$82)&gt;=0,SUM($B$82)&lt;=1,SUM($B$83)&gt;=0)),IF(B1364=0,0,IF(C1364=0,B1364/ROUND($B$81*12,0),B1364*(C1364/12)/(1-(1+C1364/12)^(-ROUND($B$81*12,0))))),IF(AND(NOT(AND(964&gt;$B$173,$B$78="Refinance",ISNUMBER($B$80),$B$80&gt;=0,$B$80&lt;=1,ROUND($B$81*12,0)&gt;=1,$B$81&lt;=100,SUM($B$82)&gt;=0,SUM($B$82)&lt;=1,SUM($B$83)&gt;=0)),OR(964=1,964=$B$174+1,AND($B$175&gt;0,964=$B$175+1))),IF(AND($B$170=1,$B$66&gt;0,OR($B$175=0,964&lt;=$B$175)),$B$66,IF($B$172-MAX(964-1,$B$174)&gt;0,IF(B1364=0,0,IF(C1364=0,B1364/($B$172-MAX(964-1,$B$174)),B1364*(C1364/12)/(1-(1+C1364/12)^(-($B$172-MAX(964-1,$B$174)))))),"")),D1363)))),""),""))</x:f>
        <x:v>0</x:v>
      </x:c>
      <x:c r="E1364" s="440" t="n">
        <x:f>IF(AND(964=$B$173,ISNUMBER(D1364)),IF(MAX(0,B1364*(1+C1364/12)-D1364)&lt;MAX(0.0000001,$E$17*0.00000000001),0,MAX(0,B1364*(1+C1364/12)-D1364)),0)</x:f>
        <x:v>0</x:v>
      </x:c>
      <x:c r="F1364" s="440" t="n">
        <x:f>IF($B$78="Cash payoff",E1364,0)</x:f>
        <x:v>0</x:v>
      </x:c>
      <x:c r="G1364" s="440" t="n">
        <x:f>IF(AND(E1364&gt;0,AND($B$78="Refinance",ISNUMBER($B$80),$B$80&gt;=0,$B$80&lt;=1,ROUND($B$81*12,0)&gt;=1,$B$81&lt;=100,SUM($B$82)&gt;=0,SUM($B$82)&lt;=1,SUM($B$83)&gt;=0)),E1364*SUM($B$82)+SUM($B$83),0)</x:f>
        <x:v>0</x:v>
      </x:c>
      <x:c r="H1364" s="440" t="n">
        <x:f>IF(ISNUMBER(D1364),IF(MAX(0,B1364*(1+C1364/12)-D1364-F1364)&lt;MAX(0.0000001,$E$17*0.00000000001),0,MAX(0,B1364*(1+C1364/12)-D1364-F1364)),IF(AND($B$171=1,I1363=1),B1364,""))</x:f>
        <x:v>0</x:v>
      </x:c>
      <x:c r="I1364" s="444" t="n">
        <x:f>IF(OR(I1363=1,AND(E1364&gt;0,$B$78&lt;&gt;"Cash payoff",NOT(AND($B$78="Refinance",ISNUMBER($B$80),$B$80&gt;=0,$B$80&lt;=1,ROUND($B$81*12,0)&gt;=1,$B$81&lt;=100,SUM($B$82)&gt;=0,SUM($B$82)&lt;=1,SUM($B$83)&gt;=0))),AND(ISNUMBER(B1364),B1364&gt;0,$B$171=1,NOT(ISNUMBER(D1364)))),1,0)</x:f>
        <x:v>0</x:v>
      </x:c>
      <x:c r="J1364" s="440" t="n">
        <x:f>IF(ISNUMBER(L1363),L1363,"")</x:f>
        <x:v>0</x:v>
      </x:c>
      <x:c r="K1364" s="440" t="n">
        <x:f>IF(AND(ISNUMBER(J1364),J1364=0),0,IF(AND($B$176=1,ISNUMBER(J1364)),MIN(J1364*(1+$B$87/12),IF($B$86=0,0,IF($B$87=0,$B$86/ROUND($B$88*12,0),$B$86*($B$87/12)/(1-(1+$B$87/12)^(-ROUND($B$88*12,0)))))),""))</x:f>
        <x:v>0</x:v>
      </x:c>
      <x:c r="L1364" s="440" t="n">
        <x:f>IF(ISNUMBER(K1364),IF(MAX(0,J1364*(1+SUM($B$87)/12)-K1364)&lt;MAX(0.0000001,$B$86*0.00000000001),0,MAX(0,J1364*(1+SUM($B$87)/12)-K1364)),"")</x:f>
        <x:v>0</x:v>
      </x:c>
      <x:c r="M1364" s="440" t="n">
        <x:f>IF(AND(ISNUMBER(D1364),ISNUMBER(K1364)),D1364+K1364,"")</x:f>
        <x:v>0</x:v>
      </x:c>
      <x:c r="N1364" s="440" t="n">
        <x:f>IF(AND(ISNUMBER(H1364),ISNUMBER(L1364)),H1364+L1364,"")</x:f>
        <x:v>0</x:v>
      </x:c>
    </x:row>
    <x:row r="1365" ht="22" customHeight="1">
      <x:c r="A1365" s="254" t="n">
        <x:f>965</x:f>
        <x:v>965</x:v>
      </x:c>
      <x:c r="B1365" s="440" t="n">
        <x:f>IF(ISNUMBER(H1364),H1364,"")</x:f>
        <x:v>0</x:v>
      </x:c>
      <x:c r="C1365" s="442" t="n">
        <x:f>IF(ISNUMBER(B1365),IF(AND(965&gt;$B$173,$B$78="Refinance",ISNUMBER($B$80),$B$80&gt;=0,$B$80&lt;=1,ROUND($B$81*12,0)&gt;=1,$B$81&lt;=100,SUM($B$82)&gt;=0,SUM($B$82)&lt;=1,SUM($B$83)&gt;=0),$B$80,IF(AND($B$175&gt;0,965&gt;$B$175,ISNUMBER($B$75)),$B$75,$B$61)),"")</x:f>
        <x:v>0.0625</x:v>
      </x:c>
      <x:c r="D1365" s="440" t="n">
        <x:f>IF(AND(ISNUMBER(B1365),B1365=0),0,IF(AND($B$171=1,I1364=0,ISNUMBER(C1365),ISNUMBER(IF(AND(965&lt;=$B$174,965&lt;=$B$173),B1365*C1365/12,IF(AND(965=$B$173+1,AND(965&gt;$B$173,$B$78="Refinance",ISNUMBER($B$80),$B$80&gt;=0,$B$80&lt;=1,ROUND($B$81*12,0)&gt;=1,$B$81&lt;=100,SUM($B$82)&gt;=0,SUM($B$82)&lt;=1,SUM($B$83)&gt;=0)),IF(B1365=0,0,IF(C1365=0,B1365/ROUND($B$81*12,0),B1365*(C1365/12)/(1-(1+C1365/12)^(-ROUND($B$81*12,0))))),IF(AND(NOT(AND(965&gt;$B$173,$B$78="Refinance",ISNUMBER($B$80),$B$80&gt;=0,$B$80&lt;=1,ROUND($B$81*12,0)&gt;=1,$B$81&lt;=100,SUM($B$82)&gt;=0,SUM($B$82)&lt;=1,SUM($B$83)&gt;=0)),OR(965=1,965=$B$174+1,AND($B$175&gt;0,965=$B$175+1))),IF(AND($B$170=1,$B$66&gt;0,OR($B$175=0,965&lt;=$B$175)),$B$66,IF($B$172-MAX(965-1,$B$174)&gt;0,IF(B1365=0,0,IF(C1365=0,B1365/($B$172-MAX(965-1,$B$174)),B1365*(C1365/12)/(1-(1+C1365/12)^(-($B$172-MAX(965-1,$B$174)))))),"")),D1364))))),IF(IF(AND(965&lt;=$B$174,965&lt;=$B$173),B1365*C1365/12,IF(AND(965=$B$173+1,AND(965&gt;$B$173,$B$78="Refinance",ISNUMBER($B$80),$B$80&gt;=0,$B$80&lt;=1,ROUND($B$81*12,0)&gt;=1,$B$81&lt;=100,SUM($B$82)&gt;=0,SUM($B$82)&lt;=1,SUM($B$83)&gt;=0)),IF(B1365=0,0,IF(C1365=0,B1365/ROUND($B$81*12,0),B1365*(C1365/12)/(1-(1+C1365/12)^(-ROUND($B$81*12,0))))),IF(AND(NOT(AND(965&gt;$B$173,$B$78="Refinance",ISNUMBER($B$80),$B$80&gt;=0,$B$80&lt;=1,ROUND($B$81*12,0)&gt;=1,$B$81&lt;=100,SUM($B$82)&gt;=0,SUM($B$82)&lt;=1,SUM($B$83)&gt;=0)),OR(965=1,965=$B$174+1,AND($B$175&gt;0,965=$B$175+1))),IF(AND($B$170=1,$B$66&gt;0,OR($B$175=0,965&lt;=$B$175)),$B$66,IF($B$172-MAX(965-1,$B$174)&gt;0,IF(B1365=0,0,IF(C1365=0,B1365/($B$172-MAX(965-1,$B$174)),B1365*(C1365/12)/(1-(1+C1365/12)^(-($B$172-MAX(965-1,$B$174)))))),"")),D1364)))+0.0000001&gt;=B1365*C1365/12,MIN(B1365*(1+C1365/12),IF(AND(965&lt;=$B$174,965&lt;=$B$173),B1365*C1365/12,IF(AND(965=$B$173+1,AND(965&gt;$B$173,$B$78="Refinance",ISNUMBER($B$80),$B$80&gt;=0,$B$80&lt;=1,ROUND($B$81*12,0)&gt;=1,$B$81&lt;=100,SUM($B$82)&gt;=0,SUM($B$82)&lt;=1,SUM($B$83)&gt;=0)),IF(B1365=0,0,IF(C1365=0,B1365/ROUND($B$81*12,0),B1365*(C1365/12)/(1-(1+C1365/12)^(-ROUND($B$81*12,0))))),IF(AND(NOT(AND(965&gt;$B$173,$B$78="Refinance",ISNUMBER($B$80),$B$80&gt;=0,$B$80&lt;=1,ROUND($B$81*12,0)&gt;=1,$B$81&lt;=100,SUM($B$82)&gt;=0,SUM($B$82)&lt;=1,SUM($B$83)&gt;=0)),OR(965=1,965=$B$174+1,AND($B$175&gt;0,965=$B$175+1))),IF(AND($B$170=1,$B$66&gt;0,OR($B$175=0,965&lt;=$B$175)),$B$66,IF($B$172-MAX(965-1,$B$174)&gt;0,IF(B1365=0,0,IF(C1365=0,B1365/($B$172-MAX(965-1,$B$174)),B1365*(C1365/12)/(1-(1+C1365/12)^(-($B$172-MAX(965-1,$B$174)))))),"")),D1364)))),""),""))</x:f>
        <x:v>0</x:v>
      </x:c>
      <x:c r="E1365" s="440" t="n">
        <x:f>IF(AND(965=$B$173,ISNUMBER(D1365)),IF(MAX(0,B1365*(1+C1365/12)-D1365)&lt;MAX(0.0000001,$E$17*0.00000000001),0,MAX(0,B1365*(1+C1365/12)-D1365)),0)</x:f>
        <x:v>0</x:v>
      </x:c>
      <x:c r="F1365" s="440" t="n">
        <x:f>IF($B$78="Cash payoff",E1365,0)</x:f>
        <x:v>0</x:v>
      </x:c>
      <x:c r="G1365" s="440" t="n">
        <x:f>IF(AND(E1365&gt;0,AND($B$78="Refinance",ISNUMBER($B$80),$B$80&gt;=0,$B$80&lt;=1,ROUND($B$81*12,0)&gt;=1,$B$81&lt;=100,SUM($B$82)&gt;=0,SUM($B$82)&lt;=1,SUM($B$83)&gt;=0)),E1365*SUM($B$82)+SUM($B$83),0)</x:f>
        <x:v>0</x:v>
      </x:c>
      <x:c r="H1365" s="440" t="n">
        <x:f>IF(ISNUMBER(D1365),IF(MAX(0,B1365*(1+C1365/12)-D1365-F1365)&lt;MAX(0.0000001,$E$17*0.00000000001),0,MAX(0,B1365*(1+C1365/12)-D1365-F1365)),IF(AND($B$171=1,I1364=1),B1365,""))</x:f>
        <x:v>0</x:v>
      </x:c>
      <x:c r="I1365" s="444" t="n">
        <x:f>IF(OR(I1364=1,AND(E1365&gt;0,$B$78&lt;&gt;"Cash payoff",NOT(AND($B$78="Refinance",ISNUMBER($B$80),$B$80&gt;=0,$B$80&lt;=1,ROUND($B$81*12,0)&gt;=1,$B$81&lt;=100,SUM($B$82)&gt;=0,SUM($B$82)&lt;=1,SUM($B$83)&gt;=0))),AND(ISNUMBER(B1365),B1365&gt;0,$B$171=1,NOT(ISNUMBER(D1365)))),1,0)</x:f>
        <x:v>0</x:v>
      </x:c>
      <x:c r="J1365" s="440" t="n">
        <x:f>IF(ISNUMBER(L1364),L1364,"")</x:f>
        <x:v>0</x:v>
      </x:c>
      <x:c r="K1365" s="440" t="n">
        <x:f>IF(AND(ISNUMBER(J1365),J1365=0),0,IF(AND($B$176=1,ISNUMBER(J1365)),MIN(J1365*(1+$B$87/12),IF($B$86=0,0,IF($B$87=0,$B$86/ROUND($B$88*12,0),$B$86*($B$87/12)/(1-(1+$B$87/12)^(-ROUND($B$88*12,0)))))),""))</x:f>
        <x:v>0</x:v>
      </x:c>
      <x:c r="L1365" s="440" t="n">
        <x:f>IF(ISNUMBER(K1365),IF(MAX(0,J1365*(1+SUM($B$87)/12)-K1365)&lt;MAX(0.0000001,$B$86*0.00000000001),0,MAX(0,J1365*(1+SUM($B$87)/12)-K1365)),"")</x:f>
        <x:v>0</x:v>
      </x:c>
      <x:c r="M1365" s="440" t="n">
        <x:f>IF(AND(ISNUMBER(D1365),ISNUMBER(K1365)),D1365+K1365,"")</x:f>
        <x:v>0</x:v>
      </x:c>
      <x:c r="N1365" s="440" t="n">
        <x:f>IF(AND(ISNUMBER(H1365),ISNUMBER(L1365)),H1365+L1365,"")</x:f>
        <x:v>0</x:v>
      </x:c>
    </x:row>
    <x:row r="1366" ht="22" customHeight="1">
      <x:c r="A1366" s="254" t="n">
        <x:f>966</x:f>
        <x:v>966</x:v>
      </x:c>
      <x:c r="B1366" s="440" t="n">
        <x:f>IF(ISNUMBER(H1365),H1365,"")</x:f>
        <x:v>0</x:v>
      </x:c>
      <x:c r="C1366" s="442" t="n">
        <x:f>IF(ISNUMBER(B1366),IF(AND(966&gt;$B$173,$B$78="Refinance",ISNUMBER($B$80),$B$80&gt;=0,$B$80&lt;=1,ROUND($B$81*12,0)&gt;=1,$B$81&lt;=100,SUM($B$82)&gt;=0,SUM($B$82)&lt;=1,SUM($B$83)&gt;=0),$B$80,IF(AND($B$175&gt;0,966&gt;$B$175,ISNUMBER($B$75)),$B$75,$B$61)),"")</x:f>
        <x:v>0.0625</x:v>
      </x:c>
      <x:c r="D1366" s="440" t="n">
        <x:f>IF(AND(ISNUMBER(B1366),B1366=0),0,IF(AND($B$171=1,I1365=0,ISNUMBER(C1366),ISNUMBER(IF(AND(966&lt;=$B$174,966&lt;=$B$173),B1366*C1366/12,IF(AND(966=$B$173+1,AND(966&gt;$B$173,$B$78="Refinance",ISNUMBER($B$80),$B$80&gt;=0,$B$80&lt;=1,ROUND($B$81*12,0)&gt;=1,$B$81&lt;=100,SUM($B$82)&gt;=0,SUM($B$82)&lt;=1,SUM($B$83)&gt;=0)),IF(B1366=0,0,IF(C1366=0,B1366/ROUND($B$81*12,0),B1366*(C1366/12)/(1-(1+C1366/12)^(-ROUND($B$81*12,0))))),IF(AND(NOT(AND(966&gt;$B$173,$B$78="Refinance",ISNUMBER($B$80),$B$80&gt;=0,$B$80&lt;=1,ROUND($B$81*12,0)&gt;=1,$B$81&lt;=100,SUM($B$82)&gt;=0,SUM($B$82)&lt;=1,SUM($B$83)&gt;=0)),OR(966=1,966=$B$174+1,AND($B$175&gt;0,966=$B$175+1))),IF(AND($B$170=1,$B$66&gt;0,OR($B$175=0,966&lt;=$B$175)),$B$66,IF($B$172-MAX(966-1,$B$174)&gt;0,IF(B1366=0,0,IF(C1366=0,B1366/($B$172-MAX(966-1,$B$174)),B1366*(C1366/12)/(1-(1+C1366/12)^(-($B$172-MAX(966-1,$B$174)))))),"")),D1365))))),IF(IF(AND(966&lt;=$B$174,966&lt;=$B$173),B1366*C1366/12,IF(AND(966=$B$173+1,AND(966&gt;$B$173,$B$78="Refinance",ISNUMBER($B$80),$B$80&gt;=0,$B$80&lt;=1,ROUND($B$81*12,0)&gt;=1,$B$81&lt;=100,SUM($B$82)&gt;=0,SUM($B$82)&lt;=1,SUM($B$83)&gt;=0)),IF(B1366=0,0,IF(C1366=0,B1366/ROUND($B$81*12,0),B1366*(C1366/12)/(1-(1+C1366/12)^(-ROUND($B$81*12,0))))),IF(AND(NOT(AND(966&gt;$B$173,$B$78="Refinance",ISNUMBER($B$80),$B$80&gt;=0,$B$80&lt;=1,ROUND($B$81*12,0)&gt;=1,$B$81&lt;=100,SUM($B$82)&gt;=0,SUM($B$82)&lt;=1,SUM($B$83)&gt;=0)),OR(966=1,966=$B$174+1,AND($B$175&gt;0,966=$B$175+1))),IF(AND($B$170=1,$B$66&gt;0,OR($B$175=0,966&lt;=$B$175)),$B$66,IF($B$172-MAX(966-1,$B$174)&gt;0,IF(B1366=0,0,IF(C1366=0,B1366/($B$172-MAX(966-1,$B$174)),B1366*(C1366/12)/(1-(1+C1366/12)^(-($B$172-MAX(966-1,$B$174)))))),"")),D1365)))+0.0000001&gt;=B1366*C1366/12,MIN(B1366*(1+C1366/12),IF(AND(966&lt;=$B$174,966&lt;=$B$173),B1366*C1366/12,IF(AND(966=$B$173+1,AND(966&gt;$B$173,$B$78="Refinance",ISNUMBER($B$80),$B$80&gt;=0,$B$80&lt;=1,ROUND($B$81*12,0)&gt;=1,$B$81&lt;=100,SUM($B$82)&gt;=0,SUM($B$82)&lt;=1,SUM($B$83)&gt;=0)),IF(B1366=0,0,IF(C1366=0,B1366/ROUND($B$81*12,0),B1366*(C1366/12)/(1-(1+C1366/12)^(-ROUND($B$81*12,0))))),IF(AND(NOT(AND(966&gt;$B$173,$B$78="Refinance",ISNUMBER($B$80),$B$80&gt;=0,$B$80&lt;=1,ROUND($B$81*12,0)&gt;=1,$B$81&lt;=100,SUM($B$82)&gt;=0,SUM($B$82)&lt;=1,SUM($B$83)&gt;=0)),OR(966=1,966=$B$174+1,AND($B$175&gt;0,966=$B$175+1))),IF(AND($B$170=1,$B$66&gt;0,OR($B$175=0,966&lt;=$B$175)),$B$66,IF($B$172-MAX(966-1,$B$174)&gt;0,IF(B1366=0,0,IF(C1366=0,B1366/($B$172-MAX(966-1,$B$174)),B1366*(C1366/12)/(1-(1+C1366/12)^(-($B$172-MAX(966-1,$B$174)))))),"")),D1365)))),""),""))</x:f>
        <x:v>0</x:v>
      </x:c>
      <x:c r="E1366" s="440" t="n">
        <x:f>IF(AND(966=$B$173,ISNUMBER(D1366)),IF(MAX(0,B1366*(1+C1366/12)-D1366)&lt;MAX(0.0000001,$E$17*0.00000000001),0,MAX(0,B1366*(1+C1366/12)-D1366)),0)</x:f>
        <x:v>0</x:v>
      </x:c>
      <x:c r="F1366" s="440" t="n">
        <x:f>IF($B$78="Cash payoff",E1366,0)</x:f>
        <x:v>0</x:v>
      </x:c>
      <x:c r="G1366" s="440" t="n">
        <x:f>IF(AND(E1366&gt;0,AND($B$78="Refinance",ISNUMBER($B$80),$B$80&gt;=0,$B$80&lt;=1,ROUND($B$81*12,0)&gt;=1,$B$81&lt;=100,SUM($B$82)&gt;=0,SUM($B$82)&lt;=1,SUM($B$83)&gt;=0)),E1366*SUM($B$82)+SUM($B$83),0)</x:f>
        <x:v>0</x:v>
      </x:c>
      <x:c r="H1366" s="440" t="n">
        <x:f>IF(ISNUMBER(D1366),IF(MAX(0,B1366*(1+C1366/12)-D1366-F1366)&lt;MAX(0.0000001,$E$17*0.00000000001),0,MAX(0,B1366*(1+C1366/12)-D1366-F1366)),IF(AND($B$171=1,I1365=1),B1366,""))</x:f>
        <x:v>0</x:v>
      </x:c>
      <x:c r="I1366" s="444" t="n">
        <x:f>IF(OR(I1365=1,AND(E1366&gt;0,$B$78&lt;&gt;"Cash payoff",NOT(AND($B$78="Refinance",ISNUMBER($B$80),$B$80&gt;=0,$B$80&lt;=1,ROUND($B$81*12,0)&gt;=1,$B$81&lt;=100,SUM($B$82)&gt;=0,SUM($B$82)&lt;=1,SUM($B$83)&gt;=0))),AND(ISNUMBER(B1366),B1366&gt;0,$B$171=1,NOT(ISNUMBER(D1366)))),1,0)</x:f>
        <x:v>0</x:v>
      </x:c>
      <x:c r="J1366" s="440" t="n">
        <x:f>IF(ISNUMBER(L1365),L1365,"")</x:f>
        <x:v>0</x:v>
      </x:c>
      <x:c r="K1366" s="440" t="n">
        <x:f>IF(AND(ISNUMBER(J1366),J1366=0),0,IF(AND($B$176=1,ISNUMBER(J1366)),MIN(J1366*(1+$B$87/12),IF($B$86=0,0,IF($B$87=0,$B$86/ROUND($B$88*12,0),$B$86*($B$87/12)/(1-(1+$B$87/12)^(-ROUND($B$88*12,0)))))),""))</x:f>
        <x:v>0</x:v>
      </x:c>
      <x:c r="L1366" s="440" t="n">
        <x:f>IF(ISNUMBER(K1366),IF(MAX(0,J1366*(1+SUM($B$87)/12)-K1366)&lt;MAX(0.0000001,$B$86*0.00000000001),0,MAX(0,J1366*(1+SUM($B$87)/12)-K1366)),"")</x:f>
        <x:v>0</x:v>
      </x:c>
      <x:c r="M1366" s="440" t="n">
        <x:f>IF(AND(ISNUMBER(D1366),ISNUMBER(K1366)),D1366+K1366,"")</x:f>
        <x:v>0</x:v>
      </x:c>
      <x:c r="N1366" s="440" t="n">
        <x:f>IF(AND(ISNUMBER(H1366),ISNUMBER(L1366)),H1366+L1366,"")</x:f>
        <x:v>0</x:v>
      </x:c>
    </x:row>
    <x:row r="1367" ht="22" customHeight="1">
      <x:c r="A1367" s="254" t="n">
        <x:f>967</x:f>
        <x:v>967</x:v>
      </x:c>
      <x:c r="B1367" s="440" t="n">
        <x:f>IF(ISNUMBER(H1366),H1366,"")</x:f>
        <x:v>0</x:v>
      </x:c>
      <x:c r="C1367" s="442" t="n">
        <x:f>IF(ISNUMBER(B1367),IF(AND(967&gt;$B$173,$B$78="Refinance",ISNUMBER($B$80),$B$80&gt;=0,$B$80&lt;=1,ROUND($B$81*12,0)&gt;=1,$B$81&lt;=100,SUM($B$82)&gt;=0,SUM($B$82)&lt;=1,SUM($B$83)&gt;=0),$B$80,IF(AND($B$175&gt;0,967&gt;$B$175,ISNUMBER($B$75)),$B$75,$B$61)),"")</x:f>
        <x:v>0.0625</x:v>
      </x:c>
      <x:c r="D1367" s="440" t="n">
        <x:f>IF(AND(ISNUMBER(B1367),B1367=0),0,IF(AND($B$171=1,I1366=0,ISNUMBER(C1367),ISNUMBER(IF(AND(967&lt;=$B$174,967&lt;=$B$173),B1367*C1367/12,IF(AND(967=$B$173+1,AND(967&gt;$B$173,$B$78="Refinance",ISNUMBER($B$80),$B$80&gt;=0,$B$80&lt;=1,ROUND($B$81*12,0)&gt;=1,$B$81&lt;=100,SUM($B$82)&gt;=0,SUM($B$82)&lt;=1,SUM($B$83)&gt;=0)),IF(B1367=0,0,IF(C1367=0,B1367/ROUND($B$81*12,0),B1367*(C1367/12)/(1-(1+C1367/12)^(-ROUND($B$81*12,0))))),IF(AND(NOT(AND(967&gt;$B$173,$B$78="Refinance",ISNUMBER($B$80),$B$80&gt;=0,$B$80&lt;=1,ROUND($B$81*12,0)&gt;=1,$B$81&lt;=100,SUM($B$82)&gt;=0,SUM($B$82)&lt;=1,SUM($B$83)&gt;=0)),OR(967=1,967=$B$174+1,AND($B$175&gt;0,967=$B$175+1))),IF(AND($B$170=1,$B$66&gt;0,OR($B$175=0,967&lt;=$B$175)),$B$66,IF($B$172-MAX(967-1,$B$174)&gt;0,IF(B1367=0,0,IF(C1367=0,B1367/($B$172-MAX(967-1,$B$174)),B1367*(C1367/12)/(1-(1+C1367/12)^(-($B$172-MAX(967-1,$B$174)))))),"")),D1366))))),IF(IF(AND(967&lt;=$B$174,967&lt;=$B$173),B1367*C1367/12,IF(AND(967=$B$173+1,AND(967&gt;$B$173,$B$78="Refinance",ISNUMBER($B$80),$B$80&gt;=0,$B$80&lt;=1,ROUND($B$81*12,0)&gt;=1,$B$81&lt;=100,SUM($B$82)&gt;=0,SUM($B$82)&lt;=1,SUM($B$83)&gt;=0)),IF(B1367=0,0,IF(C1367=0,B1367/ROUND($B$81*12,0),B1367*(C1367/12)/(1-(1+C1367/12)^(-ROUND($B$81*12,0))))),IF(AND(NOT(AND(967&gt;$B$173,$B$78="Refinance",ISNUMBER($B$80),$B$80&gt;=0,$B$80&lt;=1,ROUND($B$81*12,0)&gt;=1,$B$81&lt;=100,SUM($B$82)&gt;=0,SUM($B$82)&lt;=1,SUM($B$83)&gt;=0)),OR(967=1,967=$B$174+1,AND($B$175&gt;0,967=$B$175+1))),IF(AND($B$170=1,$B$66&gt;0,OR($B$175=0,967&lt;=$B$175)),$B$66,IF($B$172-MAX(967-1,$B$174)&gt;0,IF(B1367=0,0,IF(C1367=0,B1367/($B$172-MAX(967-1,$B$174)),B1367*(C1367/12)/(1-(1+C1367/12)^(-($B$172-MAX(967-1,$B$174)))))),"")),D1366)))+0.0000001&gt;=B1367*C1367/12,MIN(B1367*(1+C1367/12),IF(AND(967&lt;=$B$174,967&lt;=$B$173),B1367*C1367/12,IF(AND(967=$B$173+1,AND(967&gt;$B$173,$B$78="Refinance",ISNUMBER($B$80),$B$80&gt;=0,$B$80&lt;=1,ROUND($B$81*12,0)&gt;=1,$B$81&lt;=100,SUM($B$82)&gt;=0,SUM($B$82)&lt;=1,SUM($B$83)&gt;=0)),IF(B1367=0,0,IF(C1367=0,B1367/ROUND($B$81*12,0),B1367*(C1367/12)/(1-(1+C1367/12)^(-ROUND($B$81*12,0))))),IF(AND(NOT(AND(967&gt;$B$173,$B$78="Refinance",ISNUMBER($B$80),$B$80&gt;=0,$B$80&lt;=1,ROUND($B$81*12,0)&gt;=1,$B$81&lt;=100,SUM($B$82)&gt;=0,SUM($B$82)&lt;=1,SUM($B$83)&gt;=0)),OR(967=1,967=$B$174+1,AND($B$175&gt;0,967=$B$175+1))),IF(AND($B$170=1,$B$66&gt;0,OR($B$175=0,967&lt;=$B$175)),$B$66,IF($B$172-MAX(967-1,$B$174)&gt;0,IF(B1367=0,0,IF(C1367=0,B1367/($B$172-MAX(967-1,$B$174)),B1367*(C1367/12)/(1-(1+C1367/12)^(-($B$172-MAX(967-1,$B$174)))))),"")),D1366)))),""),""))</x:f>
        <x:v>0</x:v>
      </x:c>
      <x:c r="E1367" s="440" t="n">
        <x:f>IF(AND(967=$B$173,ISNUMBER(D1367)),IF(MAX(0,B1367*(1+C1367/12)-D1367)&lt;MAX(0.0000001,$E$17*0.00000000001),0,MAX(0,B1367*(1+C1367/12)-D1367)),0)</x:f>
        <x:v>0</x:v>
      </x:c>
      <x:c r="F1367" s="440" t="n">
        <x:f>IF($B$78="Cash payoff",E1367,0)</x:f>
        <x:v>0</x:v>
      </x:c>
      <x:c r="G1367" s="440" t="n">
        <x:f>IF(AND(E1367&gt;0,AND($B$78="Refinance",ISNUMBER($B$80),$B$80&gt;=0,$B$80&lt;=1,ROUND($B$81*12,0)&gt;=1,$B$81&lt;=100,SUM($B$82)&gt;=0,SUM($B$82)&lt;=1,SUM($B$83)&gt;=0)),E1367*SUM($B$82)+SUM($B$83),0)</x:f>
        <x:v>0</x:v>
      </x:c>
      <x:c r="H1367" s="440" t="n">
        <x:f>IF(ISNUMBER(D1367),IF(MAX(0,B1367*(1+C1367/12)-D1367-F1367)&lt;MAX(0.0000001,$E$17*0.00000000001),0,MAX(0,B1367*(1+C1367/12)-D1367-F1367)),IF(AND($B$171=1,I1366=1),B1367,""))</x:f>
        <x:v>0</x:v>
      </x:c>
      <x:c r="I1367" s="444" t="n">
        <x:f>IF(OR(I1366=1,AND(E1367&gt;0,$B$78&lt;&gt;"Cash payoff",NOT(AND($B$78="Refinance",ISNUMBER($B$80),$B$80&gt;=0,$B$80&lt;=1,ROUND($B$81*12,0)&gt;=1,$B$81&lt;=100,SUM($B$82)&gt;=0,SUM($B$82)&lt;=1,SUM($B$83)&gt;=0))),AND(ISNUMBER(B1367),B1367&gt;0,$B$171=1,NOT(ISNUMBER(D1367)))),1,0)</x:f>
        <x:v>0</x:v>
      </x:c>
      <x:c r="J1367" s="440" t="n">
        <x:f>IF(ISNUMBER(L1366),L1366,"")</x:f>
        <x:v>0</x:v>
      </x:c>
      <x:c r="K1367" s="440" t="n">
        <x:f>IF(AND(ISNUMBER(J1367),J1367=0),0,IF(AND($B$176=1,ISNUMBER(J1367)),MIN(J1367*(1+$B$87/12),IF($B$86=0,0,IF($B$87=0,$B$86/ROUND($B$88*12,0),$B$86*($B$87/12)/(1-(1+$B$87/12)^(-ROUND($B$88*12,0)))))),""))</x:f>
        <x:v>0</x:v>
      </x:c>
      <x:c r="L1367" s="440" t="n">
        <x:f>IF(ISNUMBER(K1367),IF(MAX(0,J1367*(1+SUM($B$87)/12)-K1367)&lt;MAX(0.0000001,$B$86*0.00000000001),0,MAX(0,J1367*(1+SUM($B$87)/12)-K1367)),"")</x:f>
        <x:v>0</x:v>
      </x:c>
      <x:c r="M1367" s="440" t="n">
        <x:f>IF(AND(ISNUMBER(D1367),ISNUMBER(K1367)),D1367+K1367,"")</x:f>
        <x:v>0</x:v>
      </x:c>
      <x:c r="N1367" s="440" t="n">
        <x:f>IF(AND(ISNUMBER(H1367),ISNUMBER(L1367)),H1367+L1367,"")</x:f>
        <x:v>0</x:v>
      </x:c>
    </x:row>
    <x:row r="1368" ht="22" customHeight="1">
      <x:c r="A1368" s="254" t="n">
        <x:f>968</x:f>
        <x:v>968</x:v>
      </x:c>
      <x:c r="B1368" s="440" t="n">
        <x:f>IF(ISNUMBER(H1367),H1367,"")</x:f>
        <x:v>0</x:v>
      </x:c>
      <x:c r="C1368" s="442" t="n">
        <x:f>IF(ISNUMBER(B1368),IF(AND(968&gt;$B$173,$B$78="Refinance",ISNUMBER($B$80),$B$80&gt;=0,$B$80&lt;=1,ROUND($B$81*12,0)&gt;=1,$B$81&lt;=100,SUM($B$82)&gt;=0,SUM($B$82)&lt;=1,SUM($B$83)&gt;=0),$B$80,IF(AND($B$175&gt;0,968&gt;$B$175,ISNUMBER($B$75)),$B$75,$B$61)),"")</x:f>
        <x:v>0.0625</x:v>
      </x:c>
      <x:c r="D1368" s="440" t="n">
        <x:f>IF(AND(ISNUMBER(B1368),B1368=0),0,IF(AND($B$171=1,I1367=0,ISNUMBER(C1368),ISNUMBER(IF(AND(968&lt;=$B$174,968&lt;=$B$173),B1368*C1368/12,IF(AND(968=$B$173+1,AND(968&gt;$B$173,$B$78="Refinance",ISNUMBER($B$80),$B$80&gt;=0,$B$80&lt;=1,ROUND($B$81*12,0)&gt;=1,$B$81&lt;=100,SUM($B$82)&gt;=0,SUM($B$82)&lt;=1,SUM($B$83)&gt;=0)),IF(B1368=0,0,IF(C1368=0,B1368/ROUND($B$81*12,0),B1368*(C1368/12)/(1-(1+C1368/12)^(-ROUND($B$81*12,0))))),IF(AND(NOT(AND(968&gt;$B$173,$B$78="Refinance",ISNUMBER($B$80),$B$80&gt;=0,$B$80&lt;=1,ROUND($B$81*12,0)&gt;=1,$B$81&lt;=100,SUM($B$82)&gt;=0,SUM($B$82)&lt;=1,SUM($B$83)&gt;=0)),OR(968=1,968=$B$174+1,AND($B$175&gt;0,968=$B$175+1))),IF(AND($B$170=1,$B$66&gt;0,OR($B$175=0,968&lt;=$B$175)),$B$66,IF($B$172-MAX(968-1,$B$174)&gt;0,IF(B1368=0,0,IF(C1368=0,B1368/($B$172-MAX(968-1,$B$174)),B1368*(C1368/12)/(1-(1+C1368/12)^(-($B$172-MAX(968-1,$B$174)))))),"")),D1367))))),IF(IF(AND(968&lt;=$B$174,968&lt;=$B$173),B1368*C1368/12,IF(AND(968=$B$173+1,AND(968&gt;$B$173,$B$78="Refinance",ISNUMBER($B$80),$B$80&gt;=0,$B$80&lt;=1,ROUND($B$81*12,0)&gt;=1,$B$81&lt;=100,SUM($B$82)&gt;=0,SUM($B$82)&lt;=1,SUM($B$83)&gt;=0)),IF(B1368=0,0,IF(C1368=0,B1368/ROUND($B$81*12,0),B1368*(C1368/12)/(1-(1+C1368/12)^(-ROUND($B$81*12,0))))),IF(AND(NOT(AND(968&gt;$B$173,$B$78="Refinance",ISNUMBER($B$80),$B$80&gt;=0,$B$80&lt;=1,ROUND($B$81*12,0)&gt;=1,$B$81&lt;=100,SUM($B$82)&gt;=0,SUM($B$82)&lt;=1,SUM($B$83)&gt;=0)),OR(968=1,968=$B$174+1,AND($B$175&gt;0,968=$B$175+1))),IF(AND($B$170=1,$B$66&gt;0,OR($B$175=0,968&lt;=$B$175)),$B$66,IF($B$172-MAX(968-1,$B$174)&gt;0,IF(B1368=0,0,IF(C1368=0,B1368/($B$172-MAX(968-1,$B$174)),B1368*(C1368/12)/(1-(1+C1368/12)^(-($B$172-MAX(968-1,$B$174)))))),"")),D1367)))+0.0000001&gt;=B1368*C1368/12,MIN(B1368*(1+C1368/12),IF(AND(968&lt;=$B$174,968&lt;=$B$173),B1368*C1368/12,IF(AND(968=$B$173+1,AND(968&gt;$B$173,$B$78="Refinance",ISNUMBER($B$80),$B$80&gt;=0,$B$80&lt;=1,ROUND($B$81*12,0)&gt;=1,$B$81&lt;=100,SUM($B$82)&gt;=0,SUM($B$82)&lt;=1,SUM($B$83)&gt;=0)),IF(B1368=0,0,IF(C1368=0,B1368/ROUND($B$81*12,0),B1368*(C1368/12)/(1-(1+C1368/12)^(-ROUND($B$81*12,0))))),IF(AND(NOT(AND(968&gt;$B$173,$B$78="Refinance",ISNUMBER($B$80),$B$80&gt;=0,$B$80&lt;=1,ROUND($B$81*12,0)&gt;=1,$B$81&lt;=100,SUM($B$82)&gt;=0,SUM($B$82)&lt;=1,SUM($B$83)&gt;=0)),OR(968=1,968=$B$174+1,AND($B$175&gt;0,968=$B$175+1))),IF(AND($B$170=1,$B$66&gt;0,OR($B$175=0,968&lt;=$B$175)),$B$66,IF($B$172-MAX(968-1,$B$174)&gt;0,IF(B1368=0,0,IF(C1368=0,B1368/($B$172-MAX(968-1,$B$174)),B1368*(C1368/12)/(1-(1+C1368/12)^(-($B$172-MAX(968-1,$B$174)))))),"")),D1367)))),""),""))</x:f>
        <x:v>0</x:v>
      </x:c>
      <x:c r="E1368" s="440" t="n">
        <x:f>IF(AND(968=$B$173,ISNUMBER(D1368)),IF(MAX(0,B1368*(1+C1368/12)-D1368)&lt;MAX(0.0000001,$E$17*0.00000000001),0,MAX(0,B1368*(1+C1368/12)-D1368)),0)</x:f>
        <x:v>0</x:v>
      </x:c>
      <x:c r="F1368" s="440" t="n">
        <x:f>IF($B$78="Cash payoff",E1368,0)</x:f>
        <x:v>0</x:v>
      </x:c>
      <x:c r="G1368" s="440" t="n">
        <x:f>IF(AND(E1368&gt;0,AND($B$78="Refinance",ISNUMBER($B$80),$B$80&gt;=0,$B$80&lt;=1,ROUND($B$81*12,0)&gt;=1,$B$81&lt;=100,SUM($B$82)&gt;=0,SUM($B$82)&lt;=1,SUM($B$83)&gt;=0)),E1368*SUM($B$82)+SUM($B$83),0)</x:f>
        <x:v>0</x:v>
      </x:c>
      <x:c r="H1368" s="440" t="n">
        <x:f>IF(ISNUMBER(D1368),IF(MAX(0,B1368*(1+C1368/12)-D1368-F1368)&lt;MAX(0.0000001,$E$17*0.00000000001),0,MAX(0,B1368*(1+C1368/12)-D1368-F1368)),IF(AND($B$171=1,I1367=1),B1368,""))</x:f>
        <x:v>0</x:v>
      </x:c>
      <x:c r="I1368" s="444" t="n">
        <x:f>IF(OR(I1367=1,AND(E1368&gt;0,$B$78&lt;&gt;"Cash payoff",NOT(AND($B$78="Refinance",ISNUMBER($B$80),$B$80&gt;=0,$B$80&lt;=1,ROUND($B$81*12,0)&gt;=1,$B$81&lt;=100,SUM($B$82)&gt;=0,SUM($B$82)&lt;=1,SUM($B$83)&gt;=0))),AND(ISNUMBER(B1368),B1368&gt;0,$B$171=1,NOT(ISNUMBER(D1368)))),1,0)</x:f>
        <x:v>0</x:v>
      </x:c>
      <x:c r="J1368" s="440" t="n">
        <x:f>IF(ISNUMBER(L1367),L1367,"")</x:f>
        <x:v>0</x:v>
      </x:c>
      <x:c r="K1368" s="440" t="n">
        <x:f>IF(AND(ISNUMBER(J1368),J1368=0),0,IF(AND($B$176=1,ISNUMBER(J1368)),MIN(J1368*(1+$B$87/12),IF($B$86=0,0,IF($B$87=0,$B$86/ROUND($B$88*12,0),$B$86*($B$87/12)/(1-(1+$B$87/12)^(-ROUND($B$88*12,0)))))),""))</x:f>
        <x:v>0</x:v>
      </x:c>
      <x:c r="L1368" s="440" t="n">
        <x:f>IF(ISNUMBER(K1368),IF(MAX(0,J1368*(1+SUM($B$87)/12)-K1368)&lt;MAX(0.0000001,$B$86*0.00000000001),0,MAX(0,J1368*(1+SUM($B$87)/12)-K1368)),"")</x:f>
        <x:v>0</x:v>
      </x:c>
      <x:c r="M1368" s="440" t="n">
        <x:f>IF(AND(ISNUMBER(D1368),ISNUMBER(K1368)),D1368+K1368,"")</x:f>
        <x:v>0</x:v>
      </x:c>
      <x:c r="N1368" s="440" t="n">
        <x:f>IF(AND(ISNUMBER(H1368),ISNUMBER(L1368)),H1368+L1368,"")</x:f>
        <x:v>0</x:v>
      </x:c>
    </x:row>
    <x:row r="1369" ht="22" customHeight="1">
      <x:c r="A1369" s="254" t="n">
        <x:f>969</x:f>
        <x:v>969</x:v>
      </x:c>
      <x:c r="B1369" s="440" t="n">
        <x:f>IF(ISNUMBER(H1368),H1368,"")</x:f>
        <x:v>0</x:v>
      </x:c>
      <x:c r="C1369" s="442" t="n">
        <x:f>IF(ISNUMBER(B1369),IF(AND(969&gt;$B$173,$B$78="Refinance",ISNUMBER($B$80),$B$80&gt;=0,$B$80&lt;=1,ROUND($B$81*12,0)&gt;=1,$B$81&lt;=100,SUM($B$82)&gt;=0,SUM($B$82)&lt;=1,SUM($B$83)&gt;=0),$B$80,IF(AND($B$175&gt;0,969&gt;$B$175,ISNUMBER($B$75)),$B$75,$B$61)),"")</x:f>
        <x:v>0.0625</x:v>
      </x:c>
      <x:c r="D1369" s="440" t="n">
        <x:f>IF(AND(ISNUMBER(B1369),B1369=0),0,IF(AND($B$171=1,I1368=0,ISNUMBER(C1369),ISNUMBER(IF(AND(969&lt;=$B$174,969&lt;=$B$173),B1369*C1369/12,IF(AND(969=$B$173+1,AND(969&gt;$B$173,$B$78="Refinance",ISNUMBER($B$80),$B$80&gt;=0,$B$80&lt;=1,ROUND($B$81*12,0)&gt;=1,$B$81&lt;=100,SUM($B$82)&gt;=0,SUM($B$82)&lt;=1,SUM($B$83)&gt;=0)),IF(B1369=0,0,IF(C1369=0,B1369/ROUND($B$81*12,0),B1369*(C1369/12)/(1-(1+C1369/12)^(-ROUND($B$81*12,0))))),IF(AND(NOT(AND(969&gt;$B$173,$B$78="Refinance",ISNUMBER($B$80),$B$80&gt;=0,$B$80&lt;=1,ROUND($B$81*12,0)&gt;=1,$B$81&lt;=100,SUM($B$82)&gt;=0,SUM($B$82)&lt;=1,SUM($B$83)&gt;=0)),OR(969=1,969=$B$174+1,AND($B$175&gt;0,969=$B$175+1))),IF(AND($B$170=1,$B$66&gt;0,OR($B$175=0,969&lt;=$B$175)),$B$66,IF($B$172-MAX(969-1,$B$174)&gt;0,IF(B1369=0,0,IF(C1369=0,B1369/($B$172-MAX(969-1,$B$174)),B1369*(C1369/12)/(1-(1+C1369/12)^(-($B$172-MAX(969-1,$B$174)))))),"")),D1368))))),IF(IF(AND(969&lt;=$B$174,969&lt;=$B$173),B1369*C1369/12,IF(AND(969=$B$173+1,AND(969&gt;$B$173,$B$78="Refinance",ISNUMBER($B$80),$B$80&gt;=0,$B$80&lt;=1,ROUND($B$81*12,0)&gt;=1,$B$81&lt;=100,SUM($B$82)&gt;=0,SUM($B$82)&lt;=1,SUM($B$83)&gt;=0)),IF(B1369=0,0,IF(C1369=0,B1369/ROUND($B$81*12,0),B1369*(C1369/12)/(1-(1+C1369/12)^(-ROUND($B$81*12,0))))),IF(AND(NOT(AND(969&gt;$B$173,$B$78="Refinance",ISNUMBER($B$80),$B$80&gt;=0,$B$80&lt;=1,ROUND($B$81*12,0)&gt;=1,$B$81&lt;=100,SUM($B$82)&gt;=0,SUM($B$82)&lt;=1,SUM($B$83)&gt;=0)),OR(969=1,969=$B$174+1,AND($B$175&gt;0,969=$B$175+1))),IF(AND($B$170=1,$B$66&gt;0,OR($B$175=0,969&lt;=$B$175)),$B$66,IF($B$172-MAX(969-1,$B$174)&gt;0,IF(B1369=0,0,IF(C1369=0,B1369/($B$172-MAX(969-1,$B$174)),B1369*(C1369/12)/(1-(1+C1369/12)^(-($B$172-MAX(969-1,$B$174)))))),"")),D1368)))+0.0000001&gt;=B1369*C1369/12,MIN(B1369*(1+C1369/12),IF(AND(969&lt;=$B$174,969&lt;=$B$173),B1369*C1369/12,IF(AND(969=$B$173+1,AND(969&gt;$B$173,$B$78="Refinance",ISNUMBER($B$80),$B$80&gt;=0,$B$80&lt;=1,ROUND($B$81*12,0)&gt;=1,$B$81&lt;=100,SUM($B$82)&gt;=0,SUM($B$82)&lt;=1,SUM($B$83)&gt;=0)),IF(B1369=0,0,IF(C1369=0,B1369/ROUND($B$81*12,0),B1369*(C1369/12)/(1-(1+C1369/12)^(-ROUND($B$81*12,0))))),IF(AND(NOT(AND(969&gt;$B$173,$B$78="Refinance",ISNUMBER($B$80),$B$80&gt;=0,$B$80&lt;=1,ROUND($B$81*12,0)&gt;=1,$B$81&lt;=100,SUM($B$82)&gt;=0,SUM($B$82)&lt;=1,SUM($B$83)&gt;=0)),OR(969=1,969=$B$174+1,AND($B$175&gt;0,969=$B$175+1))),IF(AND($B$170=1,$B$66&gt;0,OR($B$175=0,969&lt;=$B$175)),$B$66,IF($B$172-MAX(969-1,$B$174)&gt;0,IF(B1369=0,0,IF(C1369=0,B1369/($B$172-MAX(969-1,$B$174)),B1369*(C1369/12)/(1-(1+C1369/12)^(-($B$172-MAX(969-1,$B$174)))))),"")),D1368)))),""),""))</x:f>
        <x:v>0</x:v>
      </x:c>
      <x:c r="E1369" s="440" t="n">
        <x:f>IF(AND(969=$B$173,ISNUMBER(D1369)),IF(MAX(0,B1369*(1+C1369/12)-D1369)&lt;MAX(0.0000001,$E$17*0.00000000001),0,MAX(0,B1369*(1+C1369/12)-D1369)),0)</x:f>
        <x:v>0</x:v>
      </x:c>
      <x:c r="F1369" s="440" t="n">
        <x:f>IF($B$78="Cash payoff",E1369,0)</x:f>
        <x:v>0</x:v>
      </x:c>
      <x:c r="G1369" s="440" t="n">
        <x:f>IF(AND(E1369&gt;0,AND($B$78="Refinance",ISNUMBER($B$80),$B$80&gt;=0,$B$80&lt;=1,ROUND($B$81*12,0)&gt;=1,$B$81&lt;=100,SUM($B$82)&gt;=0,SUM($B$82)&lt;=1,SUM($B$83)&gt;=0)),E1369*SUM($B$82)+SUM($B$83),0)</x:f>
        <x:v>0</x:v>
      </x:c>
      <x:c r="H1369" s="440" t="n">
        <x:f>IF(ISNUMBER(D1369),IF(MAX(0,B1369*(1+C1369/12)-D1369-F1369)&lt;MAX(0.0000001,$E$17*0.00000000001),0,MAX(0,B1369*(1+C1369/12)-D1369-F1369)),IF(AND($B$171=1,I1368=1),B1369,""))</x:f>
        <x:v>0</x:v>
      </x:c>
      <x:c r="I1369" s="444" t="n">
        <x:f>IF(OR(I1368=1,AND(E1369&gt;0,$B$78&lt;&gt;"Cash payoff",NOT(AND($B$78="Refinance",ISNUMBER($B$80),$B$80&gt;=0,$B$80&lt;=1,ROUND($B$81*12,0)&gt;=1,$B$81&lt;=100,SUM($B$82)&gt;=0,SUM($B$82)&lt;=1,SUM($B$83)&gt;=0))),AND(ISNUMBER(B1369),B1369&gt;0,$B$171=1,NOT(ISNUMBER(D1369)))),1,0)</x:f>
        <x:v>0</x:v>
      </x:c>
      <x:c r="J1369" s="440" t="n">
        <x:f>IF(ISNUMBER(L1368),L1368,"")</x:f>
        <x:v>0</x:v>
      </x:c>
      <x:c r="K1369" s="440" t="n">
        <x:f>IF(AND(ISNUMBER(J1369),J1369=0),0,IF(AND($B$176=1,ISNUMBER(J1369)),MIN(J1369*(1+$B$87/12),IF($B$86=0,0,IF($B$87=0,$B$86/ROUND($B$88*12,0),$B$86*($B$87/12)/(1-(1+$B$87/12)^(-ROUND($B$88*12,0)))))),""))</x:f>
        <x:v>0</x:v>
      </x:c>
      <x:c r="L1369" s="440" t="n">
        <x:f>IF(ISNUMBER(K1369),IF(MAX(0,J1369*(1+SUM($B$87)/12)-K1369)&lt;MAX(0.0000001,$B$86*0.00000000001),0,MAX(0,J1369*(1+SUM($B$87)/12)-K1369)),"")</x:f>
        <x:v>0</x:v>
      </x:c>
      <x:c r="M1369" s="440" t="n">
        <x:f>IF(AND(ISNUMBER(D1369),ISNUMBER(K1369)),D1369+K1369,"")</x:f>
        <x:v>0</x:v>
      </x:c>
      <x:c r="N1369" s="440" t="n">
        <x:f>IF(AND(ISNUMBER(H1369),ISNUMBER(L1369)),H1369+L1369,"")</x:f>
        <x:v>0</x:v>
      </x:c>
    </x:row>
    <x:row r="1370" ht="22" customHeight="1">
      <x:c r="A1370" s="254" t="n">
        <x:f>970</x:f>
        <x:v>970</x:v>
      </x:c>
      <x:c r="B1370" s="440" t="n">
        <x:f>IF(ISNUMBER(H1369),H1369,"")</x:f>
        <x:v>0</x:v>
      </x:c>
      <x:c r="C1370" s="442" t="n">
        <x:f>IF(ISNUMBER(B1370),IF(AND(970&gt;$B$173,$B$78="Refinance",ISNUMBER($B$80),$B$80&gt;=0,$B$80&lt;=1,ROUND($B$81*12,0)&gt;=1,$B$81&lt;=100,SUM($B$82)&gt;=0,SUM($B$82)&lt;=1,SUM($B$83)&gt;=0),$B$80,IF(AND($B$175&gt;0,970&gt;$B$175,ISNUMBER($B$75)),$B$75,$B$61)),"")</x:f>
        <x:v>0.0625</x:v>
      </x:c>
      <x:c r="D1370" s="440" t="n">
        <x:f>IF(AND(ISNUMBER(B1370),B1370=0),0,IF(AND($B$171=1,I1369=0,ISNUMBER(C1370),ISNUMBER(IF(AND(970&lt;=$B$174,970&lt;=$B$173),B1370*C1370/12,IF(AND(970=$B$173+1,AND(970&gt;$B$173,$B$78="Refinance",ISNUMBER($B$80),$B$80&gt;=0,$B$80&lt;=1,ROUND($B$81*12,0)&gt;=1,$B$81&lt;=100,SUM($B$82)&gt;=0,SUM($B$82)&lt;=1,SUM($B$83)&gt;=0)),IF(B1370=0,0,IF(C1370=0,B1370/ROUND($B$81*12,0),B1370*(C1370/12)/(1-(1+C1370/12)^(-ROUND($B$81*12,0))))),IF(AND(NOT(AND(970&gt;$B$173,$B$78="Refinance",ISNUMBER($B$80),$B$80&gt;=0,$B$80&lt;=1,ROUND($B$81*12,0)&gt;=1,$B$81&lt;=100,SUM($B$82)&gt;=0,SUM($B$82)&lt;=1,SUM($B$83)&gt;=0)),OR(970=1,970=$B$174+1,AND($B$175&gt;0,970=$B$175+1))),IF(AND($B$170=1,$B$66&gt;0,OR($B$175=0,970&lt;=$B$175)),$B$66,IF($B$172-MAX(970-1,$B$174)&gt;0,IF(B1370=0,0,IF(C1370=0,B1370/($B$172-MAX(970-1,$B$174)),B1370*(C1370/12)/(1-(1+C1370/12)^(-($B$172-MAX(970-1,$B$174)))))),"")),D1369))))),IF(IF(AND(970&lt;=$B$174,970&lt;=$B$173),B1370*C1370/12,IF(AND(970=$B$173+1,AND(970&gt;$B$173,$B$78="Refinance",ISNUMBER($B$80),$B$80&gt;=0,$B$80&lt;=1,ROUND($B$81*12,0)&gt;=1,$B$81&lt;=100,SUM($B$82)&gt;=0,SUM($B$82)&lt;=1,SUM($B$83)&gt;=0)),IF(B1370=0,0,IF(C1370=0,B1370/ROUND($B$81*12,0),B1370*(C1370/12)/(1-(1+C1370/12)^(-ROUND($B$81*12,0))))),IF(AND(NOT(AND(970&gt;$B$173,$B$78="Refinance",ISNUMBER($B$80),$B$80&gt;=0,$B$80&lt;=1,ROUND($B$81*12,0)&gt;=1,$B$81&lt;=100,SUM($B$82)&gt;=0,SUM($B$82)&lt;=1,SUM($B$83)&gt;=0)),OR(970=1,970=$B$174+1,AND($B$175&gt;0,970=$B$175+1))),IF(AND($B$170=1,$B$66&gt;0,OR($B$175=0,970&lt;=$B$175)),$B$66,IF($B$172-MAX(970-1,$B$174)&gt;0,IF(B1370=0,0,IF(C1370=0,B1370/($B$172-MAX(970-1,$B$174)),B1370*(C1370/12)/(1-(1+C1370/12)^(-($B$172-MAX(970-1,$B$174)))))),"")),D1369)))+0.0000001&gt;=B1370*C1370/12,MIN(B1370*(1+C1370/12),IF(AND(970&lt;=$B$174,970&lt;=$B$173),B1370*C1370/12,IF(AND(970=$B$173+1,AND(970&gt;$B$173,$B$78="Refinance",ISNUMBER($B$80),$B$80&gt;=0,$B$80&lt;=1,ROUND($B$81*12,0)&gt;=1,$B$81&lt;=100,SUM($B$82)&gt;=0,SUM($B$82)&lt;=1,SUM($B$83)&gt;=0)),IF(B1370=0,0,IF(C1370=0,B1370/ROUND($B$81*12,0),B1370*(C1370/12)/(1-(1+C1370/12)^(-ROUND($B$81*12,0))))),IF(AND(NOT(AND(970&gt;$B$173,$B$78="Refinance",ISNUMBER($B$80),$B$80&gt;=0,$B$80&lt;=1,ROUND($B$81*12,0)&gt;=1,$B$81&lt;=100,SUM($B$82)&gt;=0,SUM($B$82)&lt;=1,SUM($B$83)&gt;=0)),OR(970=1,970=$B$174+1,AND($B$175&gt;0,970=$B$175+1))),IF(AND($B$170=1,$B$66&gt;0,OR($B$175=0,970&lt;=$B$175)),$B$66,IF($B$172-MAX(970-1,$B$174)&gt;0,IF(B1370=0,0,IF(C1370=0,B1370/($B$172-MAX(970-1,$B$174)),B1370*(C1370/12)/(1-(1+C1370/12)^(-($B$172-MAX(970-1,$B$174)))))),"")),D1369)))),""),""))</x:f>
        <x:v>0</x:v>
      </x:c>
      <x:c r="E1370" s="440" t="n">
        <x:f>IF(AND(970=$B$173,ISNUMBER(D1370)),IF(MAX(0,B1370*(1+C1370/12)-D1370)&lt;MAX(0.0000001,$E$17*0.00000000001),0,MAX(0,B1370*(1+C1370/12)-D1370)),0)</x:f>
        <x:v>0</x:v>
      </x:c>
      <x:c r="F1370" s="440" t="n">
        <x:f>IF($B$78="Cash payoff",E1370,0)</x:f>
        <x:v>0</x:v>
      </x:c>
      <x:c r="G1370" s="440" t="n">
        <x:f>IF(AND(E1370&gt;0,AND($B$78="Refinance",ISNUMBER($B$80),$B$80&gt;=0,$B$80&lt;=1,ROUND($B$81*12,0)&gt;=1,$B$81&lt;=100,SUM($B$82)&gt;=0,SUM($B$82)&lt;=1,SUM($B$83)&gt;=0)),E1370*SUM($B$82)+SUM($B$83),0)</x:f>
        <x:v>0</x:v>
      </x:c>
      <x:c r="H1370" s="440" t="n">
        <x:f>IF(ISNUMBER(D1370),IF(MAX(0,B1370*(1+C1370/12)-D1370-F1370)&lt;MAX(0.0000001,$E$17*0.00000000001),0,MAX(0,B1370*(1+C1370/12)-D1370-F1370)),IF(AND($B$171=1,I1369=1),B1370,""))</x:f>
        <x:v>0</x:v>
      </x:c>
      <x:c r="I1370" s="444" t="n">
        <x:f>IF(OR(I1369=1,AND(E1370&gt;0,$B$78&lt;&gt;"Cash payoff",NOT(AND($B$78="Refinance",ISNUMBER($B$80),$B$80&gt;=0,$B$80&lt;=1,ROUND($B$81*12,0)&gt;=1,$B$81&lt;=100,SUM($B$82)&gt;=0,SUM($B$82)&lt;=1,SUM($B$83)&gt;=0))),AND(ISNUMBER(B1370),B1370&gt;0,$B$171=1,NOT(ISNUMBER(D1370)))),1,0)</x:f>
        <x:v>0</x:v>
      </x:c>
      <x:c r="J1370" s="440" t="n">
        <x:f>IF(ISNUMBER(L1369),L1369,"")</x:f>
        <x:v>0</x:v>
      </x:c>
      <x:c r="K1370" s="440" t="n">
        <x:f>IF(AND(ISNUMBER(J1370),J1370=0),0,IF(AND($B$176=1,ISNUMBER(J1370)),MIN(J1370*(1+$B$87/12),IF($B$86=0,0,IF($B$87=0,$B$86/ROUND($B$88*12,0),$B$86*($B$87/12)/(1-(1+$B$87/12)^(-ROUND($B$88*12,0)))))),""))</x:f>
        <x:v>0</x:v>
      </x:c>
      <x:c r="L1370" s="440" t="n">
        <x:f>IF(ISNUMBER(K1370),IF(MAX(0,J1370*(1+SUM($B$87)/12)-K1370)&lt;MAX(0.0000001,$B$86*0.00000000001),0,MAX(0,J1370*(1+SUM($B$87)/12)-K1370)),"")</x:f>
        <x:v>0</x:v>
      </x:c>
      <x:c r="M1370" s="440" t="n">
        <x:f>IF(AND(ISNUMBER(D1370),ISNUMBER(K1370)),D1370+K1370,"")</x:f>
        <x:v>0</x:v>
      </x:c>
      <x:c r="N1370" s="440" t="n">
        <x:f>IF(AND(ISNUMBER(H1370),ISNUMBER(L1370)),H1370+L1370,"")</x:f>
        <x:v>0</x:v>
      </x:c>
    </x:row>
    <x:row r="1371" ht="22" customHeight="1">
      <x:c r="A1371" s="254" t="n">
        <x:f>971</x:f>
        <x:v>971</x:v>
      </x:c>
      <x:c r="B1371" s="440" t="n">
        <x:f>IF(ISNUMBER(H1370),H1370,"")</x:f>
        <x:v>0</x:v>
      </x:c>
      <x:c r="C1371" s="442" t="n">
        <x:f>IF(ISNUMBER(B1371),IF(AND(971&gt;$B$173,$B$78="Refinance",ISNUMBER($B$80),$B$80&gt;=0,$B$80&lt;=1,ROUND($B$81*12,0)&gt;=1,$B$81&lt;=100,SUM($B$82)&gt;=0,SUM($B$82)&lt;=1,SUM($B$83)&gt;=0),$B$80,IF(AND($B$175&gt;0,971&gt;$B$175,ISNUMBER($B$75)),$B$75,$B$61)),"")</x:f>
        <x:v>0.0625</x:v>
      </x:c>
      <x:c r="D1371" s="440" t="n">
        <x:f>IF(AND(ISNUMBER(B1371),B1371=0),0,IF(AND($B$171=1,I1370=0,ISNUMBER(C1371),ISNUMBER(IF(AND(971&lt;=$B$174,971&lt;=$B$173),B1371*C1371/12,IF(AND(971=$B$173+1,AND(971&gt;$B$173,$B$78="Refinance",ISNUMBER($B$80),$B$80&gt;=0,$B$80&lt;=1,ROUND($B$81*12,0)&gt;=1,$B$81&lt;=100,SUM($B$82)&gt;=0,SUM($B$82)&lt;=1,SUM($B$83)&gt;=0)),IF(B1371=0,0,IF(C1371=0,B1371/ROUND($B$81*12,0),B1371*(C1371/12)/(1-(1+C1371/12)^(-ROUND($B$81*12,0))))),IF(AND(NOT(AND(971&gt;$B$173,$B$78="Refinance",ISNUMBER($B$80),$B$80&gt;=0,$B$80&lt;=1,ROUND($B$81*12,0)&gt;=1,$B$81&lt;=100,SUM($B$82)&gt;=0,SUM($B$82)&lt;=1,SUM($B$83)&gt;=0)),OR(971=1,971=$B$174+1,AND($B$175&gt;0,971=$B$175+1))),IF(AND($B$170=1,$B$66&gt;0,OR($B$175=0,971&lt;=$B$175)),$B$66,IF($B$172-MAX(971-1,$B$174)&gt;0,IF(B1371=0,0,IF(C1371=0,B1371/($B$172-MAX(971-1,$B$174)),B1371*(C1371/12)/(1-(1+C1371/12)^(-($B$172-MAX(971-1,$B$174)))))),"")),D1370))))),IF(IF(AND(971&lt;=$B$174,971&lt;=$B$173),B1371*C1371/12,IF(AND(971=$B$173+1,AND(971&gt;$B$173,$B$78="Refinance",ISNUMBER($B$80),$B$80&gt;=0,$B$80&lt;=1,ROUND($B$81*12,0)&gt;=1,$B$81&lt;=100,SUM($B$82)&gt;=0,SUM($B$82)&lt;=1,SUM($B$83)&gt;=0)),IF(B1371=0,0,IF(C1371=0,B1371/ROUND($B$81*12,0),B1371*(C1371/12)/(1-(1+C1371/12)^(-ROUND($B$81*12,0))))),IF(AND(NOT(AND(971&gt;$B$173,$B$78="Refinance",ISNUMBER($B$80),$B$80&gt;=0,$B$80&lt;=1,ROUND($B$81*12,0)&gt;=1,$B$81&lt;=100,SUM($B$82)&gt;=0,SUM($B$82)&lt;=1,SUM($B$83)&gt;=0)),OR(971=1,971=$B$174+1,AND($B$175&gt;0,971=$B$175+1))),IF(AND($B$170=1,$B$66&gt;0,OR($B$175=0,971&lt;=$B$175)),$B$66,IF($B$172-MAX(971-1,$B$174)&gt;0,IF(B1371=0,0,IF(C1371=0,B1371/($B$172-MAX(971-1,$B$174)),B1371*(C1371/12)/(1-(1+C1371/12)^(-($B$172-MAX(971-1,$B$174)))))),"")),D1370)))+0.0000001&gt;=B1371*C1371/12,MIN(B1371*(1+C1371/12),IF(AND(971&lt;=$B$174,971&lt;=$B$173),B1371*C1371/12,IF(AND(971=$B$173+1,AND(971&gt;$B$173,$B$78="Refinance",ISNUMBER($B$80),$B$80&gt;=0,$B$80&lt;=1,ROUND($B$81*12,0)&gt;=1,$B$81&lt;=100,SUM($B$82)&gt;=0,SUM($B$82)&lt;=1,SUM($B$83)&gt;=0)),IF(B1371=0,0,IF(C1371=0,B1371/ROUND($B$81*12,0),B1371*(C1371/12)/(1-(1+C1371/12)^(-ROUND($B$81*12,0))))),IF(AND(NOT(AND(971&gt;$B$173,$B$78="Refinance",ISNUMBER($B$80),$B$80&gt;=0,$B$80&lt;=1,ROUND($B$81*12,0)&gt;=1,$B$81&lt;=100,SUM($B$82)&gt;=0,SUM($B$82)&lt;=1,SUM($B$83)&gt;=0)),OR(971=1,971=$B$174+1,AND($B$175&gt;0,971=$B$175+1))),IF(AND($B$170=1,$B$66&gt;0,OR($B$175=0,971&lt;=$B$175)),$B$66,IF($B$172-MAX(971-1,$B$174)&gt;0,IF(B1371=0,0,IF(C1371=0,B1371/($B$172-MAX(971-1,$B$174)),B1371*(C1371/12)/(1-(1+C1371/12)^(-($B$172-MAX(971-1,$B$174)))))),"")),D1370)))),""),""))</x:f>
        <x:v>0</x:v>
      </x:c>
      <x:c r="E1371" s="440" t="n">
        <x:f>IF(AND(971=$B$173,ISNUMBER(D1371)),IF(MAX(0,B1371*(1+C1371/12)-D1371)&lt;MAX(0.0000001,$E$17*0.00000000001),0,MAX(0,B1371*(1+C1371/12)-D1371)),0)</x:f>
        <x:v>0</x:v>
      </x:c>
      <x:c r="F1371" s="440" t="n">
        <x:f>IF($B$78="Cash payoff",E1371,0)</x:f>
        <x:v>0</x:v>
      </x:c>
      <x:c r="G1371" s="440" t="n">
        <x:f>IF(AND(E1371&gt;0,AND($B$78="Refinance",ISNUMBER($B$80),$B$80&gt;=0,$B$80&lt;=1,ROUND($B$81*12,0)&gt;=1,$B$81&lt;=100,SUM($B$82)&gt;=0,SUM($B$82)&lt;=1,SUM($B$83)&gt;=0)),E1371*SUM($B$82)+SUM($B$83),0)</x:f>
        <x:v>0</x:v>
      </x:c>
      <x:c r="H1371" s="440" t="n">
        <x:f>IF(ISNUMBER(D1371),IF(MAX(0,B1371*(1+C1371/12)-D1371-F1371)&lt;MAX(0.0000001,$E$17*0.00000000001),0,MAX(0,B1371*(1+C1371/12)-D1371-F1371)),IF(AND($B$171=1,I1370=1),B1371,""))</x:f>
        <x:v>0</x:v>
      </x:c>
      <x:c r="I1371" s="444" t="n">
        <x:f>IF(OR(I1370=1,AND(E1371&gt;0,$B$78&lt;&gt;"Cash payoff",NOT(AND($B$78="Refinance",ISNUMBER($B$80),$B$80&gt;=0,$B$80&lt;=1,ROUND($B$81*12,0)&gt;=1,$B$81&lt;=100,SUM($B$82)&gt;=0,SUM($B$82)&lt;=1,SUM($B$83)&gt;=0))),AND(ISNUMBER(B1371),B1371&gt;0,$B$171=1,NOT(ISNUMBER(D1371)))),1,0)</x:f>
        <x:v>0</x:v>
      </x:c>
      <x:c r="J1371" s="440" t="n">
        <x:f>IF(ISNUMBER(L1370),L1370,"")</x:f>
        <x:v>0</x:v>
      </x:c>
      <x:c r="K1371" s="440" t="n">
        <x:f>IF(AND(ISNUMBER(J1371),J1371=0),0,IF(AND($B$176=1,ISNUMBER(J1371)),MIN(J1371*(1+$B$87/12),IF($B$86=0,0,IF($B$87=0,$B$86/ROUND($B$88*12,0),$B$86*($B$87/12)/(1-(1+$B$87/12)^(-ROUND($B$88*12,0)))))),""))</x:f>
        <x:v>0</x:v>
      </x:c>
      <x:c r="L1371" s="440" t="n">
        <x:f>IF(ISNUMBER(K1371),IF(MAX(0,J1371*(1+SUM($B$87)/12)-K1371)&lt;MAX(0.0000001,$B$86*0.00000000001),0,MAX(0,J1371*(1+SUM($B$87)/12)-K1371)),"")</x:f>
        <x:v>0</x:v>
      </x:c>
      <x:c r="M1371" s="440" t="n">
        <x:f>IF(AND(ISNUMBER(D1371),ISNUMBER(K1371)),D1371+K1371,"")</x:f>
        <x:v>0</x:v>
      </x:c>
      <x:c r="N1371" s="440" t="n">
        <x:f>IF(AND(ISNUMBER(H1371),ISNUMBER(L1371)),H1371+L1371,"")</x:f>
        <x:v>0</x:v>
      </x:c>
    </x:row>
    <x:row r="1372" ht="22" customHeight="1">
      <x:c r="A1372" s="254" t="n">
        <x:f>972</x:f>
        <x:v>972</x:v>
      </x:c>
      <x:c r="B1372" s="440" t="n">
        <x:f>IF(ISNUMBER(H1371),H1371,"")</x:f>
        <x:v>0</x:v>
      </x:c>
      <x:c r="C1372" s="442" t="n">
        <x:f>IF(ISNUMBER(B1372),IF(AND(972&gt;$B$173,$B$78="Refinance",ISNUMBER($B$80),$B$80&gt;=0,$B$80&lt;=1,ROUND($B$81*12,0)&gt;=1,$B$81&lt;=100,SUM($B$82)&gt;=0,SUM($B$82)&lt;=1,SUM($B$83)&gt;=0),$B$80,IF(AND($B$175&gt;0,972&gt;$B$175,ISNUMBER($B$75)),$B$75,$B$61)),"")</x:f>
        <x:v>0.0625</x:v>
      </x:c>
      <x:c r="D1372" s="440" t="n">
        <x:f>IF(AND(ISNUMBER(B1372),B1372=0),0,IF(AND($B$171=1,I1371=0,ISNUMBER(C1372),ISNUMBER(IF(AND(972&lt;=$B$174,972&lt;=$B$173),B1372*C1372/12,IF(AND(972=$B$173+1,AND(972&gt;$B$173,$B$78="Refinance",ISNUMBER($B$80),$B$80&gt;=0,$B$80&lt;=1,ROUND($B$81*12,0)&gt;=1,$B$81&lt;=100,SUM($B$82)&gt;=0,SUM($B$82)&lt;=1,SUM($B$83)&gt;=0)),IF(B1372=0,0,IF(C1372=0,B1372/ROUND($B$81*12,0),B1372*(C1372/12)/(1-(1+C1372/12)^(-ROUND($B$81*12,0))))),IF(AND(NOT(AND(972&gt;$B$173,$B$78="Refinance",ISNUMBER($B$80),$B$80&gt;=0,$B$80&lt;=1,ROUND($B$81*12,0)&gt;=1,$B$81&lt;=100,SUM($B$82)&gt;=0,SUM($B$82)&lt;=1,SUM($B$83)&gt;=0)),OR(972=1,972=$B$174+1,AND($B$175&gt;0,972=$B$175+1))),IF(AND($B$170=1,$B$66&gt;0,OR($B$175=0,972&lt;=$B$175)),$B$66,IF($B$172-MAX(972-1,$B$174)&gt;0,IF(B1372=0,0,IF(C1372=0,B1372/($B$172-MAX(972-1,$B$174)),B1372*(C1372/12)/(1-(1+C1372/12)^(-($B$172-MAX(972-1,$B$174)))))),"")),D1371))))),IF(IF(AND(972&lt;=$B$174,972&lt;=$B$173),B1372*C1372/12,IF(AND(972=$B$173+1,AND(972&gt;$B$173,$B$78="Refinance",ISNUMBER($B$80),$B$80&gt;=0,$B$80&lt;=1,ROUND($B$81*12,0)&gt;=1,$B$81&lt;=100,SUM($B$82)&gt;=0,SUM($B$82)&lt;=1,SUM($B$83)&gt;=0)),IF(B1372=0,0,IF(C1372=0,B1372/ROUND($B$81*12,0),B1372*(C1372/12)/(1-(1+C1372/12)^(-ROUND($B$81*12,0))))),IF(AND(NOT(AND(972&gt;$B$173,$B$78="Refinance",ISNUMBER($B$80),$B$80&gt;=0,$B$80&lt;=1,ROUND($B$81*12,0)&gt;=1,$B$81&lt;=100,SUM($B$82)&gt;=0,SUM($B$82)&lt;=1,SUM($B$83)&gt;=0)),OR(972=1,972=$B$174+1,AND($B$175&gt;0,972=$B$175+1))),IF(AND($B$170=1,$B$66&gt;0,OR($B$175=0,972&lt;=$B$175)),$B$66,IF($B$172-MAX(972-1,$B$174)&gt;0,IF(B1372=0,0,IF(C1372=0,B1372/($B$172-MAX(972-1,$B$174)),B1372*(C1372/12)/(1-(1+C1372/12)^(-($B$172-MAX(972-1,$B$174)))))),"")),D1371)))+0.0000001&gt;=B1372*C1372/12,MIN(B1372*(1+C1372/12),IF(AND(972&lt;=$B$174,972&lt;=$B$173),B1372*C1372/12,IF(AND(972=$B$173+1,AND(972&gt;$B$173,$B$78="Refinance",ISNUMBER($B$80),$B$80&gt;=0,$B$80&lt;=1,ROUND($B$81*12,0)&gt;=1,$B$81&lt;=100,SUM($B$82)&gt;=0,SUM($B$82)&lt;=1,SUM($B$83)&gt;=0)),IF(B1372=0,0,IF(C1372=0,B1372/ROUND($B$81*12,0),B1372*(C1372/12)/(1-(1+C1372/12)^(-ROUND($B$81*12,0))))),IF(AND(NOT(AND(972&gt;$B$173,$B$78="Refinance",ISNUMBER($B$80),$B$80&gt;=0,$B$80&lt;=1,ROUND($B$81*12,0)&gt;=1,$B$81&lt;=100,SUM($B$82)&gt;=0,SUM($B$82)&lt;=1,SUM($B$83)&gt;=0)),OR(972=1,972=$B$174+1,AND($B$175&gt;0,972=$B$175+1))),IF(AND($B$170=1,$B$66&gt;0,OR($B$175=0,972&lt;=$B$175)),$B$66,IF($B$172-MAX(972-1,$B$174)&gt;0,IF(B1372=0,0,IF(C1372=0,B1372/($B$172-MAX(972-1,$B$174)),B1372*(C1372/12)/(1-(1+C1372/12)^(-($B$172-MAX(972-1,$B$174)))))),"")),D1371)))),""),""))</x:f>
        <x:v>0</x:v>
      </x:c>
      <x:c r="E1372" s="440" t="n">
        <x:f>IF(AND(972=$B$173,ISNUMBER(D1372)),IF(MAX(0,B1372*(1+C1372/12)-D1372)&lt;MAX(0.0000001,$E$17*0.00000000001),0,MAX(0,B1372*(1+C1372/12)-D1372)),0)</x:f>
        <x:v>0</x:v>
      </x:c>
      <x:c r="F1372" s="440" t="n">
        <x:f>IF($B$78="Cash payoff",E1372,0)</x:f>
        <x:v>0</x:v>
      </x:c>
      <x:c r="G1372" s="440" t="n">
        <x:f>IF(AND(E1372&gt;0,AND($B$78="Refinance",ISNUMBER($B$80),$B$80&gt;=0,$B$80&lt;=1,ROUND($B$81*12,0)&gt;=1,$B$81&lt;=100,SUM($B$82)&gt;=0,SUM($B$82)&lt;=1,SUM($B$83)&gt;=0)),E1372*SUM($B$82)+SUM($B$83),0)</x:f>
        <x:v>0</x:v>
      </x:c>
      <x:c r="H1372" s="440" t="n">
        <x:f>IF(ISNUMBER(D1372),IF(MAX(0,B1372*(1+C1372/12)-D1372-F1372)&lt;MAX(0.0000001,$E$17*0.00000000001),0,MAX(0,B1372*(1+C1372/12)-D1372-F1372)),IF(AND($B$171=1,I1371=1),B1372,""))</x:f>
        <x:v>0</x:v>
      </x:c>
      <x:c r="I1372" s="444" t="n">
        <x:f>IF(OR(I1371=1,AND(E1372&gt;0,$B$78&lt;&gt;"Cash payoff",NOT(AND($B$78="Refinance",ISNUMBER($B$80),$B$80&gt;=0,$B$80&lt;=1,ROUND($B$81*12,0)&gt;=1,$B$81&lt;=100,SUM($B$82)&gt;=0,SUM($B$82)&lt;=1,SUM($B$83)&gt;=0))),AND(ISNUMBER(B1372),B1372&gt;0,$B$171=1,NOT(ISNUMBER(D1372)))),1,0)</x:f>
        <x:v>0</x:v>
      </x:c>
      <x:c r="J1372" s="440" t="n">
        <x:f>IF(ISNUMBER(L1371),L1371,"")</x:f>
        <x:v>0</x:v>
      </x:c>
      <x:c r="K1372" s="440" t="n">
        <x:f>IF(AND(ISNUMBER(J1372),J1372=0),0,IF(AND($B$176=1,ISNUMBER(J1372)),MIN(J1372*(1+$B$87/12),IF($B$86=0,0,IF($B$87=0,$B$86/ROUND($B$88*12,0),$B$86*($B$87/12)/(1-(1+$B$87/12)^(-ROUND($B$88*12,0)))))),""))</x:f>
        <x:v>0</x:v>
      </x:c>
      <x:c r="L1372" s="440" t="n">
        <x:f>IF(ISNUMBER(K1372),IF(MAX(0,J1372*(1+SUM($B$87)/12)-K1372)&lt;MAX(0.0000001,$B$86*0.00000000001),0,MAX(0,J1372*(1+SUM($B$87)/12)-K1372)),"")</x:f>
        <x:v>0</x:v>
      </x:c>
      <x:c r="M1372" s="440" t="n">
        <x:f>IF(AND(ISNUMBER(D1372),ISNUMBER(K1372)),D1372+K1372,"")</x:f>
        <x:v>0</x:v>
      </x:c>
      <x:c r="N1372" s="440" t="n">
        <x:f>IF(AND(ISNUMBER(H1372),ISNUMBER(L1372)),H1372+L1372,"")</x:f>
        <x:v>0</x:v>
      </x:c>
    </x:row>
    <x:row r="1373" ht="22" customHeight="1">
      <x:c r="A1373" s="254" t="n">
        <x:f>973</x:f>
        <x:v>973</x:v>
      </x:c>
      <x:c r="B1373" s="440" t="n">
        <x:f>IF(ISNUMBER(H1372),H1372,"")</x:f>
        <x:v>0</x:v>
      </x:c>
      <x:c r="C1373" s="442" t="n">
        <x:f>IF(ISNUMBER(B1373),IF(AND(973&gt;$B$173,$B$78="Refinance",ISNUMBER($B$80),$B$80&gt;=0,$B$80&lt;=1,ROUND($B$81*12,0)&gt;=1,$B$81&lt;=100,SUM($B$82)&gt;=0,SUM($B$82)&lt;=1,SUM($B$83)&gt;=0),$B$80,IF(AND($B$175&gt;0,973&gt;$B$175,ISNUMBER($B$75)),$B$75,$B$61)),"")</x:f>
        <x:v>0.0625</x:v>
      </x:c>
      <x:c r="D1373" s="440" t="n">
        <x:f>IF(AND(ISNUMBER(B1373),B1373=0),0,IF(AND($B$171=1,I1372=0,ISNUMBER(C1373),ISNUMBER(IF(AND(973&lt;=$B$174,973&lt;=$B$173),B1373*C1373/12,IF(AND(973=$B$173+1,AND(973&gt;$B$173,$B$78="Refinance",ISNUMBER($B$80),$B$80&gt;=0,$B$80&lt;=1,ROUND($B$81*12,0)&gt;=1,$B$81&lt;=100,SUM($B$82)&gt;=0,SUM($B$82)&lt;=1,SUM($B$83)&gt;=0)),IF(B1373=0,0,IF(C1373=0,B1373/ROUND($B$81*12,0),B1373*(C1373/12)/(1-(1+C1373/12)^(-ROUND($B$81*12,0))))),IF(AND(NOT(AND(973&gt;$B$173,$B$78="Refinance",ISNUMBER($B$80),$B$80&gt;=0,$B$80&lt;=1,ROUND($B$81*12,0)&gt;=1,$B$81&lt;=100,SUM($B$82)&gt;=0,SUM($B$82)&lt;=1,SUM($B$83)&gt;=0)),OR(973=1,973=$B$174+1,AND($B$175&gt;0,973=$B$175+1))),IF(AND($B$170=1,$B$66&gt;0,OR($B$175=0,973&lt;=$B$175)),$B$66,IF($B$172-MAX(973-1,$B$174)&gt;0,IF(B1373=0,0,IF(C1373=0,B1373/($B$172-MAX(973-1,$B$174)),B1373*(C1373/12)/(1-(1+C1373/12)^(-($B$172-MAX(973-1,$B$174)))))),"")),D1372))))),IF(IF(AND(973&lt;=$B$174,973&lt;=$B$173),B1373*C1373/12,IF(AND(973=$B$173+1,AND(973&gt;$B$173,$B$78="Refinance",ISNUMBER($B$80),$B$80&gt;=0,$B$80&lt;=1,ROUND($B$81*12,0)&gt;=1,$B$81&lt;=100,SUM($B$82)&gt;=0,SUM($B$82)&lt;=1,SUM($B$83)&gt;=0)),IF(B1373=0,0,IF(C1373=0,B1373/ROUND($B$81*12,0),B1373*(C1373/12)/(1-(1+C1373/12)^(-ROUND($B$81*12,0))))),IF(AND(NOT(AND(973&gt;$B$173,$B$78="Refinance",ISNUMBER($B$80),$B$80&gt;=0,$B$80&lt;=1,ROUND($B$81*12,0)&gt;=1,$B$81&lt;=100,SUM($B$82)&gt;=0,SUM($B$82)&lt;=1,SUM($B$83)&gt;=0)),OR(973=1,973=$B$174+1,AND($B$175&gt;0,973=$B$175+1))),IF(AND($B$170=1,$B$66&gt;0,OR($B$175=0,973&lt;=$B$175)),$B$66,IF($B$172-MAX(973-1,$B$174)&gt;0,IF(B1373=0,0,IF(C1373=0,B1373/($B$172-MAX(973-1,$B$174)),B1373*(C1373/12)/(1-(1+C1373/12)^(-($B$172-MAX(973-1,$B$174)))))),"")),D1372)))+0.0000001&gt;=B1373*C1373/12,MIN(B1373*(1+C1373/12),IF(AND(973&lt;=$B$174,973&lt;=$B$173),B1373*C1373/12,IF(AND(973=$B$173+1,AND(973&gt;$B$173,$B$78="Refinance",ISNUMBER($B$80),$B$80&gt;=0,$B$80&lt;=1,ROUND($B$81*12,0)&gt;=1,$B$81&lt;=100,SUM($B$82)&gt;=0,SUM($B$82)&lt;=1,SUM($B$83)&gt;=0)),IF(B1373=0,0,IF(C1373=0,B1373/ROUND($B$81*12,0),B1373*(C1373/12)/(1-(1+C1373/12)^(-ROUND($B$81*12,0))))),IF(AND(NOT(AND(973&gt;$B$173,$B$78="Refinance",ISNUMBER($B$80),$B$80&gt;=0,$B$80&lt;=1,ROUND($B$81*12,0)&gt;=1,$B$81&lt;=100,SUM($B$82)&gt;=0,SUM($B$82)&lt;=1,SUM($B$83)&gt;=0)),OR(973=1,973=$B$174+1,AND($B$175&gt;0,973=$B$175+1))),IF(AND($B$170=1,$B$66&gt;0,OR($B$175=0,973&lt;=$B$175)),$B$66,IF($B$172-MAX(973-1,$B$174)&gt;0,IF(B1373=0,0,IF(C1373=0,B1373/($B$172-MAX(973-1,$B$174)),B1373*(C1373/12)/(1-(1+C1373/12)^(-($B$172-MAX(973-1,$B$174)))))),"")),D1372)))),""),""))</x:f>
        <x:v>0</x:v>
      </x:c>
      <x:c r="E1373" s="440" t="n">
        <x:f>IF(AND(973=$B$173,ISNUMBER(D1373)),IF(MAX(0,B1373*(1+C1373/12)-D1373)&lt;MAX(0.0000001,$E$17*0.00000000001),0,MAX(0,B1373*(1+C1373/12)-D1373)),0)</x:f>
        <x:v>0</x:v>
      </x:c>
      <x:c r="F1373" s="440" t="n">
        <x:f>IF($B$78="Cash payoff",E1373,0)</x:f>
        <x:v>0</x:v>
      </x:c>
      <x:c r="G1373" s="440" t="n">
        <x:f>IF(AND(E1373&gt;0,AND($B$78="Refinance",ISNUMBER($B$80),$B$80&gt;=0,$B$80&lt;=1,ROUND($B$81*12,0)&gt;=1,$B$81&lt;=100,SUM($B$82)&gt;=0,SUM($B$82)&lt;=1,SUM($B$83)&gt;=0)),E1373*SUM($B$82)+SUM($B$83),0)</x:f>
        <x:v>0</x:v>
      </x:c>
      <x:c r="H1373" s="440" t="n">
        <x:f>IF(ISNUMBER(D1373),IF(MAX(0,B1373*(1+C1373/12)-D1373-F1373)&lt;MAX(0.0000001,$E$17*0.00000000001),0,MAX(0,B1373*(1+C1373/12)-D1373-F1373)),IF(AND($B$171=1,I1372=1),B1373,""))</x:f>
        <x:v>0</x:v>
      </x:c>
      <x:c r="I1373" s="444" t="n">
        <x:f>IF(OR(I1372=1,AND(E1373&gt;0,$B$78&lt;&gt;"Cash payoff",NOT(AND($B$78="Refinance",ISNUMBER($B$80),$B$80&gt;=0,$B$80&lt;=1,ROUND($B$81*12,0)&gt;=1,$B$81&lt;=100,SUM($B$82)&gt;=0,SUM($B$82)&lt;=1,SUM($B$83)&gt;=0))),AND(ISNUMBER(B1373),B1373&gt;0,$B$171=1,NOT(ISNUMBER(D1373)))),1,0)</x:f>
        <x:v>0</x:v>
      </x:c>
      <x:c r="J1373" s="440" t="n">
        <x:f>IF(ISNUMBER(L1372),L1372,"")</x:f>
        <x:v>0</x:v>
      </x:c>
      <x:c r="K1373" s="440" t="n">
        <x:f>IF(AND(ISNUMBER(J1373),J1373=0),0,IF(AND($B$176=1,ISNUMBER(J1373)),MIN(J1373*(1+$B$87/12),IF($B$86=0,0,IF($B$87=0,$B$86/ROUND($B$88*12,0),$B$86*($B$87/12)/(1-(1+$B$87/12)^(-ROUND($B$88*12,0)))))),""))</x:f>
        <x:v>0</x:v>
      </x:c>
      <x:c r="L1373" s="440" t="n">
        <x:f>IF(ISNUMBER(K1373),IF(MAX(0,J1373*(1+SUM($B$87)/12)-K1373)&lt;MAX(0.0000001,$B$86*0.00000000001),0,MAX(0,J1373*(1+SUM($B$87)/12)-K1373)),"")</x:f>
        <x:v>0</x:v>
      </x:c>
      <x:c r="M1373" s="440" t="n">
        <x:f>IF(AND(ISNUMBER(D1373),ISNUMBER(K1373)),D1373+K1373,"")</x:f>
        <x:v>0</x:v>
      </x:c>
      <x:c r="N1373" s="440" t="n">
        <x:f>IF(AND(ISNUMBER(H1373),ISNUMBER(L1373)),H1373+L1373,"")</x:f>
        <x:v>0</x:v>
      </x:c>
    </x:row>
    <x:row r="1374" ht="22" customHeight="1">
      <x:c r="A1374" s="254" t="n">
        <x:f>974</x:f>
        <x:v>974</x:v>
      </x:c>
      <x:c r="B1374" s="440" t="n">
        <x:f>IF(ISNUMBER(H1373),H1373,"")</x:f>
        <x:v>0</x:v>
      </x:c>
      <x:c r="C1374" s="442" t="n">
        <x:f>IF(ISNUMBER(B1374),IF(AND(974&gt;$B$173,$B$78="Refinance",ISNUMBER($B$80),$B$80&gt;=0,$B$80&lt;=1,ROUND($B$81*12,0)&gt;=1,$B$81&lt;=100,SUM($B$82)&gt;=0,SUM($B$82)&lt;=1,SUM($B$83)&gt;=0),$B$80,IF(AND($B$175&gt;0,974&gt;$B$175,ISNUMBER($B$75)),$B$75,$B$61)),"")</x:f>
        <x:v>0.0625</x:v>
      </x:c>
      <x:c r="D1374" s="440" t="n">
        <x:f>IF(AND(ISNUMBER(B1374),B1374=0),0,IF(AND($B$171=1,I1373=0,ISNUMBER(C1374),ISNUMBER(IF(AND(974&lt;=$B$174,974&lt;=$B$173),B1374*C1374/12,IF(AND(974=$B$173+1,AND(974&gt;$B$173,$B$78="Refinance",ISNUMBER($B$80),$B$80&gt;=0,$B$80&lt;=1,ROUND($B$81*12,0)&gt;=1,$B$81&lt;=100,SUM($B$82)&gt;=0,SUM($B$82)&lt;=1,SUM($B$83)&gt;=0)),IF(B1374=0,0,IF(C1374=0,B1374/ROUND($B$81*12,0),B1374*(C1374/12)/(1-(1+C1374/12)^(-ROUND($B$81*12,0))))),IF(AND(NOT(AND(974&gt;$B$173,$B$78="Refinance",ISNUMBER($B$80),$B$80&gt;=0,$B$80&lt;=1,ROUND($B$81*12,0)&gt;=1,$B$81&lt;=100,SUM($B$82)&gt;=0,SUM($B$82)&lt;=1,SUM($B$83)&gt;=0)),OR(974=1,974=$B$174+1,AND($B$175&gt;0,974=$B$175+1))),IF(AND($B$170=1,$B$66&gt;0,OR($B$175=0,974&lt;=$B$175)),$B$66,IF($B$172-MAX(974-1,$B$174)&gt;0,IF(B1374=0,0,IF(C1374=0,B1374/($B$172-MAX(974-1,$B$174)),B1374*(C1374/12)/(1-(1+C1374/12)^(-($B$172-MAX(974-1,$B$174)))))),"")),D1373))))),IF(IF(AND(974&lt;=$B$174,974&lt;=$B$173),B1374*C1374/12,IF(AND(974=$B$173+1,AND(974&gt;$B$173,$B$78="Refinance",ISNUMBER($B$80),$B$80&gt;=0,$B$80&lt;=1,ROUND($B$81*12,0)&gt;=1,$B$81&lt;=100,SUM($B$82)&gt;=0,SUM($B$82)&lt;=1,SUM($B$83)&gt;=0)),IF(B1374=0,0,IF(C1374=0,B1374/ROUND($B$81*12,0),B1374*(C1374/12)/(1-(1+C1374/12)^(-ROUND($B$81*12,0))))),IF(AND(NOT(AND(974&gt;$B$173,$B$78="Refinance",ISNUMBER($B$80),$B$80&gt;=0,$B$80&lt;=1,ROUND($B$81*12,0)&gt;=1,$B$81&lt;=100,SUM($B$82)&gt;=0,SUM($B$82)&lt;=1,SUM($B$83)&gt;=0)),OR(974=1,974=$B$174+1,AND($B$175&gt;0,974=$B$175+1))),IF(AND($B$170=1,$B$66&gt;0,OR($B$175=0,974&lt;=$B$175)),$B$66,IF($B$172-MAX(974-1,$B$174)&gt;0,IF(B1374=0,0,IF(C1374=0,B1374/($B$172-MAX(974-1,$B$174)),B1374*(C1374/12)/(1-(1+C1374/12)^(-($B$172-MAX(974-1,$B$174)))))),"")),D1373)))+0.0000001&gt;=B1374*C1374/12,MIN(B1374*(1+C1374/12),IF(AND(974&lt;=$B$174,974&lt;=$B$173),B1374*C1374/12,IF(AND(974=$B$173+1,AND(974&gt;$B$173,$B$78="Refinance",ISNUMBER($B$80),$B$80&gt;=0,$B$80&lt;=1,ROUND($B$81*12,0)&gt;=1,$B$81&lt;=100,SUM($B$82)&gt;=0,SUM($B$82)&lt;=1,SUM($B$83)&gt;=0)),IF(B1374=0,0,IF(C1374=0,B1374/ROUND($B$81*12,0),B1374*(C1374/12)/(1-(1+C1374/12)^(-ROUND($B$81*12,0))))),IF(AND(NOT(AND(974&gt;$B$173,$B$78="Refinance",ISNUMBER($B$80),$B$80&gt;=0,$B$80&lt;=1,ROUND($B$81*12,0)&gt;=1,$B$81&lt;=100,SUM($B$82)&gt;=0,SUM($B$82)&lt;=1,SUM($B$83)&gt;=0)),OR(974=1,974=$B$174+1,AND($B$175&gt;0,974=$B$175+1))),IF(AND($B$170=1,$B$66&gt;0,OR($B$175=0,974&lt;=$B$175)),$B$66,IF($B$172-MAX(974-1,$B$174)&gt;0,IF(B1374=0,0,IF(C1374=0,B1374/($B$172-MAX(974-1,$B$174)),B1374*(C1374/12)/(1-(1+C1374/12)^(-($B$172-MAX(974-1,$B$174)))))),"")),D1373)))),""),""))</x:f>
        <x:v>0</x:v>
      </x:c>
      <x:c r="E1374" s="440" t="n">
        <x:f>IF(AND(974=$B$173,ISNUMBER(D1374)),IF(MAX(0,B1374*(1+C1374/12)-D1374)&lt;MAX(0.0000001,$E$17*0.00000000001),0,MAX(0,B1374*(1+C1374/12)-D1374)),0)</x:f>
        <x:v>0</x:v>
      </x:c>
      <x:c r="F1374" s="440" t="n">
        <x:f>IF($B$78="Cash payoff",E1374,0)</x:f>
        <x:v>0</x:v>
      </x:c>
      <x:c r="G1374" s="440" t="n">
        <x:f>IF(AND(E1374&gt;0,AND($B$78="Refinance",ISNUMBER($B$80),$B$80&gt;=0,$B$80&lt;=1,ROUND($B$81*12,0)&gt;=1,$B$81&lt;=100,SUM($B$82)&gt;=0,SUM($B$82)&lt;=1,SUM($B$83)&gt;=0)),E1374*SUM($B$82)+SUM($B$83),0)</x:f>
        <x:v>0</x:v>
      </x:c>
      <x:c r="H1374" s="440" t="n">
        <x:f>IF(ISNUMBER(D1374),IF(MAX(0,B1374*(1+C1374/12)-D1374-F1374)&lt;MAX(0.0000001,$E$17*0.00000000001),0,MAX(0,B1374*(1+C1374/12)-D1374-F1374)),IF(AND($B$171=1,I1373=1),B1374,""))</x:f>
        <x:v>0</x:v>
      </x:c>
      <x:c r="I1374" s="444" t="n">
        <x:f>IF(OR(I1373=1,AND(E1374&gt;0,$B$78&lt;&gt;"Cash payoff",NOT(AND($B$78="Refinance",ISNUMBER($B$80),$B$80&gt;=0,$B$80&lt;=1,ROUND($B$81*12,0)&gt;=1,$B$81&lt;=100,SUM($B$82)&gt;=0,SUM($B$82)&lt;=1,SUM($B$83)&gt;=0))),AND(ISNUMBER(B1374),B1374&gt;0,$B$171=1,NOT(ISNUMBER(D1374)))),1,0)</x:f>
        <x:v>0</x:v>
      </x:c>
      <x:c r="J1374" s="440" t="n">
        <x:f>IF(ISNUMBER(L1373),L1373,"")</x:f>
        <x:v>0</x:v>
      </x:c>
      <x:c r="K1374" s="440" t="n">
        <x:f>IF(AND(ISNUMBER(J1374),J1374=0),0,IF(AND($B$176=1,ISNUMBER(J1374)),MIN(J1374*(1+$B$87/12),IF($B$86=0,0,IF($B$87=0,$B$86/ROUND($B$88*12,0),$B$86*($B$87/12)/(1-(1+$B$87/12)^(-ROUND($B$88*12,0)))))),""))</x:f>
        <x:v>0</x:v>
      </x:c>
      <x:c r="L1374" s="440" t="n">
        <x:f>IF(ISNUMBER(K1374),IF(MAX(0,J1374*(1+SUM($B$87)/12)-K1374)&lt;MAX(0.0000001,$B$86*0.00000000001),0,MAX(0,J1374*(1+SUM($B$87)/12)-K1374)),"")</x:f>
        <x:v>0</x:v>
      </x:c>
      <x:c r="M1374" s="440" t="n">
        <x:f>IF(AND(ISNUMBER(D1374),ISNUMBER(K1374)),D1374+K1374,"")</x:f>
        <x:v>0</x:v>
      </x:c>
      <x:c r="N1374" s="440" t="n">
        <x:f>IF(AND(ISNUMBER(H1374),ISNUMBER(L1374)),H1374+L1374,"")</x:f>
        <x:v>0</x:v>
      </x:c>
    </x:row>
    <x:row r="1375" ht="22" customHeight="1">
      <x:c r="A1375" s="254" t="n">
        <x:f>975</x:f>
        <x:v>975</x:v>
      </x:c>
      <x:c r="B1375" s="440" t="n">
        <x:f>IF(ISNUMBER(H1374),H1374,"")</x:f>
        <x:v>0</x:v>
      </x:c>
      <x:c r="C1375" s="442" t="n">
        <x:f>IF(ISNUMBER(B1375),IF(AND(975&gt;$B$173,$B$78="Refinance",ISNUMBER($B$80),$B$80&gt;=0,$B$80&lt;=1,ROUND($B$81*12,0)&gt;=1,$B$81&lt;=100,SUM($B$82)&gt;=0,SUM($B$82)&lt;=1,SUM($B$83)&gt;=0),$B$80,IF(AND($B$175&gt;0,975&gt;$B$175,ISNUMBER($B$75)),$B$75,$B$61)),"")</x:f>
        <x:v>0.0625</x:v>
      </x:c>
      <x:c r="D1375" s="440" t="n">
        <x:f>IF(AND(ISNUMBER(B1375),B1375=0),0,IF(AND($B$171=1,I1374=0,ISNUMBER(C1375),ISNUMBER(IF(AND(975&lt;=$B$174,975&lt;=$B$173),B1375*C1375/12,IF(AND(975=$B$173+1,AND(975&gt;$B$173,$B$78="Refinance",ISNUMBER($B$80),$B$80&gt;=0,$B$80&lt;=1,ROUND($B$81*12,0)&gt;=1,$B$81&lt;=100,SUM($B$82)&gt;=0,SUM($B$82)&lt;=1,SUM($B$83)&gt;=0)),IF(B1375=0,0,IF(C1375=0,B1375/ROUND($B$81*12,0),B1375*(C1375/12)/(1-(1+C1375/12)^(-ROUND($B$81*12,0))))),IF(AND(NOT(AND(975&gt;$B$173,$B$78="Refinance",ISNUMBER($B$80),$B$80&gt;=0,$B$80&lt;=1,ROUND($B$81*12,0)&gt;=1,$B$81&lt;=100,SUM($B$82)&gt;=0,SUM($B$82)&lt;=1,SUM($B$83)&gt;=0)),OR(975=1,975=$B$174+1,AND($B$175&gt;0,975=$B$175+1))),IF(AND($B$170=1,$B$66&gt;0,OR($B$175=0,975&lt;=$B$175)),$B$66,IF($B$172-MAX(975-1,$B$174)&gt;0,IF(B1375=0,0,IF(C1375=0,B1375/($B$172-MAX(975-1,$B$174)),B1375*(C1375/12)/(1-(1+C1375/12)^(-($B$172-MAX(975-1,$B$174)))))),"")),D1374))))),IF(IF(AND(975&lt;=$B$174,975&lt;=$B$173),B1375*C1375/12,IF(AND(975=$B$173+1,AND(975&gt;$B$173,$B$78="Refinance",ISNUMBER($B$80),$B$80&gt;=0,$B$80&lt;=1,ROUND($B$81*12,0)&gt;=1,$B$81&lt;=100,SUM($B$82)&gt;=0,SUM($B$82)&lt;=1,SUM($B$83)&gt;=0)),IF(B1375=0,0,IF(C1375=0,B1375/ROUND($B$81*12,0),B1375*(C1375/12)/(1-(1+C1375/12)^(-ROUND($B$81*12,0))))),IF(AND(NOT(AND(975&gt;$B$173,$B$78="Refinance",ISNUMBER($B$80),$B$80&gt;=0,$B$80&lt;=1,ROUND($B$81*12,0)&gt;=1,$B$81&lt;=100,SUM($B$82)&gt;=0,SUM($B$82)&lt;=1,SUM($B$83)&gt;=0)),OR(975=1,975=$B$174+1,AND($B$175&gt;0,975=$B$175+1))),IF(AND($B$170=1,$B$66&gt;0,OR($B$175=0,975&lt;=$B$175)),$B$66,IF($B$172-MAX(975-1,$B$174)&gt;0,IF(B1375=0,0,IF(C1375=0,B1375/($B$172-MAX(975-1,$B$174)),B1375*(C1375/12)/(1-(1+C1375/12)^(-($B$172-MAX(975-1,$B$174)))))),"")),D1374)))+0.0000001&gt;=B1375*C1375/12,MIN(B1375*(1+C1375/12),IF(AND(975&lt;=$B$174,975&lt;=$B$173),B1375*C1375/12,IF(AND(975=$B$173+1,AND(975&gt;$B$173,$B$78="Refinance",ISNUMBER($B$80),$B$80&gt;=0,$B$80&lt;=1,ROUND($B$81*12,0)&gt;=1,$B$81&lt;=100,SUM($B$82)&gt;=0,SUM($B$82)&lt;=1,SUM($B$83)&gt;=0)),IF(B1375=0,0,IF(C1375=0,B1375/ROUND($B$81*12,0),B1375*(C1375/12)/(1-(1+C1375/12)^(-ROUND($B$81*12,0))))),IF(AND(NOT(AND(975&gt;$B$173,$B$78="Refinance",ISNUMBER($B$80),$B$80&gt;=0,$B$80&lt;=1,ROUND($B$81*12,0)&gt;=1,$B$81&lt;=100,SUM($B$82)&gt;=0,SUM($B$82)&lt;=1,SUM($B$83)&gt;=0)),OR(975=1,975=$B$174+1,AND($B$175&gt;0,975=$B$175+1))),IF(AND($B$170=1,$B$66&gt;0,OR($B$175=0,975&lt;=$B$175)),$B$66,IF($B$172-MAX(975-1,$B$174)&gt;0,IF(B1375=0,0,IF(C1375=0,B1375/($B$172-MAX(975-1,$B$174)),B1375*(C1375/12)/(1-(1+C1375/12)^(-($B$172-MAX(975-1,$B$174)))))),"")),D1374)))),""),""))</x:f>
        <x:v>0</x:v>
      </x:c>
      <x:c r="E1375" s="440" t="n">
        <x:f>IF(AND(975=$B$173,ISNUMBER(D1375)),IF(MAX(0,B1375*(1+C1375/12)-D1375)&lt;MAX(0.0000001,$E$17*0.00000000001),0,MAX(0,B1375*(1+C1375/12)-D1375)),0)</x:f>
        <x:v>0</x:v>
      </x:c>
      <x:c r="F1375" s="440" t="n">
        <x:f>IF($B$78="Cash payoff",E1375,0)</x:f>
        <x:v>0</x:v>
      </x:c>
      <x:c r="G1375" s="440" t="n">
        <x:f>IF(AND(E1375&gt;0,AND($B$78="Refinance",ISNUMBER($B$80),$B$80&gt;=0,$B$80&lt;=1,ROUND($B$81*12,0)&gt;=1,$B$81&lt;=100,SUM($B$82)&gt;=0,SUM($B$82)&lt;=1,SUM($B$83)&gt;=0)),E1375*SUM($B$82)+SUM($B$83),0)</x:f>
        <x:v>0</x:v>
      </x:c>
      <x:c r="H1375" s="440" t="n">
        <x:f>IF(ISNUMBER(D1375),IF(MAX(0,B1375*(1+C1375/12)-D1375-F1375)&lt;MAX(0.0000001,$E$17*0.00000000001),0,MAX(0,B1375*(1+C1375/12)-D1375-F1375)),IF(AND($B$171=1,I1374=1),B1375,""))</x:f>
        <x:v>0</x:v>
      </x:c>
      <x:c r="I1375" s="444" t="n">
        <x:f>IF(OR(I1374=1,AND(E1375&gt;0,$B$78&lt;&gt;"Cash payoff",NOT(AND($B$78="Refinance",ISNUMBER($B$80),$B$80&gt;=0,$B$80&lt;=1,ROUND($B$81*12,0)&gt;=1,$B$81&lt;=100,SUM($B$82)&gt;=0,SUM($B$82)&lt;=1,SUM($B$83)&gt;=0))),AND(ISNUMBER(B1375),B1375&gt;0,$B$171=1,NOT(ISNUMBER(D1375)))),1,0)</x:f>
        <x:v>0</x:v>
      </x:c>
      <x:c r="J1375" s="440" t="n">
        <x:f>IF(ISNUMBER(L1374),L1374,"")</x:f>
        <x:v>0</x:v>
      </x:c>
      <x:c r="K1375" s="440" t="n">
        <x:f>IF(AND(ISNUMBER(J1375),J1375=0),0,IF(AND($B$176=1,ISNUMBER(J1375)),MIN(J1375*(1+$B$87/12),IF($B$86=0,0,IF($B$87=0,$B$86/ROUND($B$88*12,0),$B$86*($B$87/12)/(1-(1+$B$87/12)^(-ROUND($B$88*12,0)))))),""))</x:f>
        <x:v>0</x:v>
      </x:c>
      <x:c r="L1375" s="440" t="n">
        <x:f>IF(ISNUMBER(K1375),IF(MAX(0,J1375*(1+SUM($B$87)/12)-K1375)&lt;MAX(0.0000001,$B$86*0.00000000001),0,MAX(0,J1375*(1+SUM($B$87)/12)-K1375)),"")</x:f>
        <x:v>0</x:v>
      </x:c>
      <x:c r="M1375" s="440" t="n">
        <x:f>IF(AND(ISNUMBER(D1375),ISNUMBER(K1375)),D1375+K1375,"")</x:f>
        <x:v>0</x:v>
      </x:c>
      <x:c r="N1375" s="440" t="n">
        <x:f>IF(AND(ISNUMBER(H1375),ISNUMBER(L1375)),H1375+L1375,"")</x:f>
        <x:v>0</x:v>
      </x:c>
    </x:row>
    <x:row r="1376" ht="22" customHeight="1">
      <x:c r="A1376" s="254" t="n">
        <x:f>976</x:f>
        <x:v>976</x:v>
      </x:c>
      <x:c r="B1376" s="440" t="n">
        <x:f>IF(ISNUMBER(H1375),H1375,"")</x:f>
        <x:v>0</x:v>
      </x:c>
      <x:c r="C1376" s="442" t="n">
        <x:f>IF(ISNUMBER(B1376),IF(AND(976&gt;$B$173,$B$78="Refinance",ISNUMBER($B$80),$B$80&gt;=0,$B$80&lt;=1,ROUND($B$81*12,0)&gt;=1,$B$81&lt;=100,SUM($B$82)&gt;=0,SUM($B$82)&lt;=1,SUM($B$83)&gt;=0),$B$80,IF(AND($B$175&gt;0,976&gt;$B$175,ISNUMBER($B$75)),$B$75,$B$61)),"")</x:f>
        <x:v>0.0625</x:v>
      </x:c>
      <x:c r="D1376" s="440" t="n">
        <x:f>IF(AND(ISNUMBER(B1376),B1376=0),0,IF(AND($B$171=1,I1375=0,ISNUMBER(C1376),ISNUMBER(IF(AND(976&lt;=$B$174,976&lt;=$B$173),B1376*C1376/12,IF(AND(976=$B$173+1,AND(976&gt;$B$173,$B$78="Refinance",ISNUMBER($B$80),$B$80&gt;=0,$B$80&lt;=1,ROUND($B$81*12,0)&gt;=1,$B$81&lt;=100,SUM($B$82)&gt;=0,SUM($B$82)&lt;=1,SUM($B$83)&gt;=0)),IF(B1376=0,0,IF(C1376=0,B1376/ROUND($B$81*12,0),B1376*(C1376/12)/(1-(1+C1376/12)^(-ROUND($B$81*12,0))))),IF(AND(NOT(AND(976&gt;$B$173,$B$78="Refinance",ISNUMBER($B$80),$B$80&gt;=0,$B$80&lt;=1,ROUND($B$81*12,0)&gt;=1,$B$81&lt;=100,SUM($B$82)&gt;=0,SUM($B$82)&lt;=1,SUM($B$83)&gt;=0)),OR(976=1,976=$B$174+1,AND($B$175&gt;0,976=$B$175+1))),IF(AND($B$170=1,$B$66&gt;0,OR($B$175=0,976&lt;=$B$175)),$B$66,IF($B$172-MAX(976-1,$B$174)&gt;0,IF(B1376=0,0,IF(C1376=0,B1376/($B$172-MAX(976-1,$B$174)),B1376*(C1376/12)/(1-(1+C1376/12)^(-($B$172-MAX(976-1,$B$174)))))),"")),D1375))))),IF(IF(AND(976&lt;=$B$174,976&lt;=$B$173),B1376*C1376/12,IF(AND(976=$B$173+1,AND(976&gt;$B$173,$B$78="Refinance",ISNUMBER($B$80),$B$80&gt;=0,$B$80&lt;=1,ROUND($B$81*12,0)&gt;=1,$B$81&lt;=100,SUM($B$82)&gt;=0,SUM($B$82)&lt;=1,SUM($B$83)&gt;=0)),IF(B1376=0,0,IF(C1376=0,B1376/ROUND($B$81*12,0),B1376*(C1376/12)/(1-(1+C1376/12)^(-ROUND($B$81*12,0))))),IF(AND(NOT(AND(976&gt;$B$173,$B$78="Refinance",ISNUMBER($B$80),$B$80&gt;=0,$B$80&lt;=1,ROUND($B$81*12,0)&gt;=1,$B$81&lt;=100,SUM($B$82)&gt;=0,SUM($B$82)&lt;=1,SUM($B$83)&gt;=0)),OR(976=1,976=$B$174+1,AND($B$175&gt;0,976=$B$175+1))),IF(AND($B$170=1,$B$66&gt;0,OR($B$175=0,976&lt;=$B$175)),$B$66,IF($B$172-MAX(976-1,$B$174)&gt;0,IF(B1376=0,0,IF(C1376=0,B1376/($B$172-MAX(976-1,$B$174)),B1376*(C1376/12)/(1-(1+C1376/12)^(-($B$172-MAX(976-1,$B$174)))))),"")),D1375)))+0.0000001&gt;=B1376*C1376/12,MIN(B1376*(1+C1376/12),IF(AND(976&lt;=$B$174,976&lt;=$B$173),B1376*C1376/12,IF(AND(976=$B$173+1,AND(976&gt;$B$173,$B$78="Refinance",ISNUMBER($B$80),$B$80&gt;=0,$B$80&lt;=1,ROUND($B$81*12,0)&gt;=1,$B$81&lt;=100,SUM($B$82)&gt;=0,SUM($B$82)&lt;=1,SUM($B$83)&gt;=0)),IF(B1376=0,0,IF(C1376=0,B1376/ROUND($B$81*12,0),B1376*(C1376/12)/(1-(1+C1376/12)^(-ROUND($B$81*12,0))))),IF(AND(NOT(AND(976&gt;$B$173,$B$78="Refinance",ISNUMBER($B$80),$B$80&gt;=0,$B$80&lt;=1,ROUND($B$81*12,0)&gt;=1,$B$81&lt;=100,SUM($B$82)&gt;=0,SUM($B$82)&lt;=1,SUM($B$83)&gt;=0)),OR(976=1,976=$B$174+1,AND($B$175&gt;0,976=$B$175+1))),IF(AND($B$170=1,$B$66&gt;0,OR($B$175=0,976&lt;=$B$175)),$B$66,IF($B$172-MAX(976-1,$B$174)&gt;0,IF(B1376=0,0,IF(C1376=0,B1376/($B$172-MAX(976-1,$B$174)),B1376*(C1376/12)/(1-(1+C1376/12)^(-($B$172-MAX(976-1,$B$174)))))),"")),D1375)))),""),""))</x:f>
        <x:v>0</x:v>
      </x:c>
      <x:c r="E1376" s="440" t="n">
        <x:f>IF(AND(976=$B$173,ISNUMBER(D1376)),IF(MAX(0,B1376*(1+C1376/12)-D1376)&lt;MAX(0.0000001,$E$17*0.00000000001),0,MAX(0,B1376*(1+C1376/12)-D1376)),0)</x:f>
        <x:v>0</x:v>
      </x:c>
      <x:c r="F1376" s="440" t="n">
        <x:f>IF($B$78="Cash payoff",E1376,0)</x:f>
        <x:v>0</x:v>
      </x:c>
      <x:c r="G1376" s="440" t="n">
        <x:f>IF(AND(E1376&gt;0,AND($B$78="Refinance",ISNUMBER($B$80),$B$80&gt;=0,$B$80&lt;=1,ROUND($B$81*12,0)&gt;=1,$B$81&lt;=100,SUM($B$82)&gt;=0,SUM($B$82)&lt;=1,SUM($B$83)&gt;=0)),E1376*SUM($B$82)+SUM($B$83),0)</x:f>
        <x:v>0</x:v>
      </x:c>
      <x:c r="H1376" s="440" t="n">
        <x:f>IF(ISNUMBER(D1376),IF(MAX(0,B1376*(1+C1376/12)-D1376-F1376)&lt;MAX(0.0000001,$E$17*0.00000000001),0,MAX(0,B1376*(1+C1376/12)-D1376-F1376)),IF(AND($B$171=1,I1375=1),B1376,""))</x:f>
        <x:v>0</x:v>
      </x:c>
      <x:c r="I1376" s="444" t="n">
        <x:f>IF(OR(I1375=1,AND(E1376&gt;0,$B$78&lt;&gt;"Cash payoff",NOT(AND($B$78="Refinance",ISNUMBER($B$80),$B$80&gt;=0,$B$80&lt;=1,ROUND($B$81*12,0)&gt;=1,$B$81&lt;=100,SUM($B$82)&gt;=0,SUM($B$82)&lt;=1,SUM($B$83)&gt;=0))),AND(ISNUMBER(B1376),B1376&gt;0,$B$171=1,NOT(ISNUMBER(D1376)))),1,0)</x:f>
        <x:v>0</x:v>
      </x:c>
      <x:c r="J1376" s="440" t="n">
        <x:f>IF(ISNUMBER(L1375),L1375,"")</x:f>
        <x:v>0</x:v>
      </x:c>
      <x:c r="K1376" s="440" t="n">
        <x:f>IF(AND(ISNUMBER(J1376),J1376=0),0,IF(AND($B$176=1,ISNUMBER(J1376)),MIN(J1376*(1+$B$87/12),IF($B$86=0,0,IF($B$87=0,$B$86/ROUND($B$88*12,0),$B$86*($B$87/12)/(1-(1+$B$87/12)^(-ROUND($B$88*12,0)))))),""))</x:f>
        <x:v>0</x:v>
      </x:c>
      <x:c r="L1376" s="440" t="n">
        <x:f>IF(ISNUMBER(K1376),IF(MAX(0,J1376*(1+SUM($B$87)/12)-K1376)&lt;MAX(0.0000001,$B$86*0.00000000001),0,MAX(0,J1376*(1+SUM($B$87)/12)-K1376)),"")</x:f>
        <x:v>0</x:v>
      </x:c>
      <x:c r="M1376" s="440" t="n">
        <x:f>IF(AND(ISNUMBER(D1376),ISNUMBER(K1376)),D1376+K1376,"")</x:f>
        <x:v>0</x:v>
      </x:c>
      <x:c r="N1376" s="440" t="n">
        <x:f>IF(AND(ISNUMBER(H1376),ISNUMBER(L1376)),H1376+L1376,"")</x:f>
        <x:v>0</x:v>
      </x:c>
    </x:row>
    <x:row r="1377" ht="22" customHeight="1">
      <x:c r="A1377" s="254" t="n">
        <x:f>977</x:f>
        <x:v>977</x:v>
      </x:c>
      <x:c r="B1377" s="440" t="n">
        <x:f>IF(ISNUMBER(H1376),H1376,"")</x:f>
        <x:v>0</x:v>
      </x:c>
      <x:c r="C1377" s="442" t="n">
        <x:f>IF(ISNUMBER(B1377),IF(AND(977&gt;$B$173,$B$78="Refinance",ISNUMBER($B$80),$B$80&gt;=0,$B$80&lt;=1,ROUND($B$81*12,0)&gt;=1,$B$81&lt;=100,SUM($B$82)&gt;=0,SUM($B$82)&lt;=1,SUM($B$83)&gt;=0),$B$80,IF(AND($B$175&gt;0,977&gt;$B$175,ISNUMBER($B$75)),$B$75,$B$61)),"")</x:f>
        <x:v>0.0625</x:v>
      </x:c>
      <x:c r="D1377" s="440" t="n">
        <x:f>IF(AND(ISNUMBER(B1377),B1377=0),0,IF(AND($B$171=1,I1376=0,ISNUMBER(C1377),ISNUMBER(IF(AND(977&lt;=$B$174,977&lt;=$B$173),B1377*C1377/12,IF(AND(977=$B$173+1,AND(977&gt;$B$173,$B$78="Refinance",ISNUMBER($B$80),$B$80&gt;=0,$B$80&lt;=1,ROUND($B$81*12,0)&gt;=1,$B$81&lt;=100,SUM($B$82)&gt;=0,SUM($B$82)&lt;=1,SUM($B$83)&gt;=0)),IF(B1377=0,0,IF(C1377=0,B1377/ROUND($B$81*12,0),B1377*(C1377/12)/(1-(1+C1377/12)^(-ROUND($B$81*12,0))))),IF(AND(NOT(AND(977&gt;$B$173,$B$78="Refinance",ISNUMBER($B$80),$B$80&gt;=0,$B$80&lt;=1,ROUND($B$81*12,0)&gt;=1,$B$81&lt;=100,SUM($B$82)&gt;=0,SUM($B$82)&lt;=1,SUM($B$83)&gt;=0)),OR(977=1,977=$B$174+1,AND($B$175&gt;0,977=$B$175+1))),IF(AND($B$170=1,$B$66&gt;0,OR($B$175=0,977&lt;=$B$175)),$B$66,IF($B$172-MAX(977-1,$B$174)&gt;0,IF(B1377=0,0,IF(C1377=0,B1377/($B$172-MAX(977-1,$B$174)),B1377*(C1377/12)/(1-(1+C1377/12)^(-($B$172-MAX(977-1,$B$174)))))),"")),D1376))))),IF(IF(AND(977&lt;=$B$174,977&lt;=$B$173),B1377*C1377/12,IF(AND(977=$B$173+1,AND(977&gt;$B$173,$B$78="Refinance",ISNUMBER($B$80),$B$80&gt;=0,$B$80&lt;=1,ROUND($B$81*12,0)&gt;=1,$B$81&lt;=100,SUM($B$82)&gt;=0,SUM($B$82)&lt;=1,SUM($B$83)&gt;=0)),IF(B1377=0,0,IF(C1377=0,B1377/ROUND($B$81*12,0),B1377*(C1377/12)/(1-(1+C1377/12)^(-ROUND($B$81*12,0))))),IF(AND(NOT(AND(977&gt;$B$173,$B$78="Refinance",ISNUMBER($B$80),$B$80&gt;=0,$B$80&lt;=1,ROUND($B$81*12,0)&gt;=1,$B$81&lt;=100,SUM($B$82)&gt;=0,SUM($B$82)&lt;=1,SUM($B$83)&gt;=0)),OR(977=1,977=$B$174+1,AND($B$175&gt;0,977=$B$175+1))),IF(AND($B$170=1,$B$66&gt;0,OR($B$175=0,977&lt;=$B$175)),$B$66,IF($B$172-MAX(977-1,$B$174)&gt;0,IF(B1377=0,0,IF(C1377=0,B1377/($B$172-MAX(977-1,$B$174)),B1377*(C1377/12)/(1-(1+C1377/12)^(-($B$172-MAX(977-1,$B$174)))))),"")),D1376)))+0.0000001&gt;=B1377*C1377/12,MIN(B1377*(1+C1377/12),IF(AND(977&lt;=$B$174,977&lt;=$B$173),B1377*C1377/12,IF(AND(977=$B$173+1,AND(977&gt;$B$173,$B$78="Refinance",ISNUMBER($B$80),$B$80&gt;=0,$B$80&lt;=1,ROUND($B$81*12,0)&gt;=1,$B$81&lt;=100,SUM($B$82)&gt;=0,SUM($B$82)&lt;=1,SUM($B$83)&gt;=0)),IF(B1377=0,0,IF(C1377=0,B1377/ROUND($B$81*12,0),B1377*(C1377/12)/(1-(1+C1377/12)^(-ROUND($B$81*12,0))))),IF(AND(NOT(AND(977&gt;$B$173,$B$78="Refinance",ISNUMBER($B$80),$B$80&gt;=0,$B$80&lt;=1,ROUND($B$81*12,0)&gt;=1,$B$81&lt;=100,SUM($B$82)&gt;=0,SUM($B$82)&lt;=1,SUM($B$83)&gt;=0)),OR(977=1,977=$B$174+1,AND($B$175&gt;0,977=$B$175+1))),IF(AND($B$170=1,$B$66&gt;0,OR($B$175=0,977&lt;=$B$175)),$B$66,IF($B$172-MAX(977-1,$B$174)&gt;0,IF(B1377=0,0,IF(C1377=0,B1377/($B$172-MAX(977-1,$B$174)),B1377*(C1377/12)/(1-(1+C1377/12)^(-($B$172-MAX(977-1,$B$174)))))),"")),D1376)))),""),""))</x:f>
        <x:v>0</x:v>
      </x:c>
      <x:c r="E1377" s="440" t="n">
        <x:f>IF(AND(977=$B$173,ISNUMBER(D1377)),IF(MAX(0,B1377*(1+C1377/12)-D1377)&lt;MAX(0.0000001,$E$17*0.00000000001),0,MAX(0,B1377*(1+C1377/12)-D1377)),0)</x:f>
        <x:v>0</x:v>
      </x:c>
      <x:c r="F1377" s="440" t="n">
        <x:f>IF($B$78="Cash payoff",E1377,0)</x:f>
        <x:v>0</x:v>
      </x:c>
      <x:c r="G1377" s="440" t="n">
        <x:f>IF(AND(E1377&gt;0,AND($B$78="Refinance",ISNUMBER($B$80),$B$80&gt;=0,$B$80&lt;=1,ROUND($B$81*12,0)&gt;=1,$B$81&lt;=100,SUM($B$82)&gt;=0,SUM($B$82)&lt;=1,SUM($B$83)&gt;=0)),E1377*SUM($B$82)+SUM($B$83),0)</x:f>
        <x:v>0</x:v>
      </x:c>
      <x:c r="H1377" s="440" t="n">
        <x:f>IF(ISNUMBER(D1377),IF(MAX(0,B1377*(1+C1377/12)-D1377-F1377)&lt;MAX(0.0000001,$E$17*0.00000000001),0,MAX(0,B1377*(1+C1377/12)-D1377-F1377)),IF(AND($B$171=1,I1376=1),B1377,""))</x:f>
        <x:v>0</x:v>
      </x:c>
      <x:c r="I1377" s="444" t="n">
        <x:f>IF(OR(I1376=1,AND(E1377&gt;0,$B$78&lt;&gt;"Cash payoff",NOT(AND($B$78="Refinance",ISNUMBER($B$80),$B$80&gt;=0,$B$80&lt;=1,ROUND($B$81*12,0)&gt;=1,$B$81&lt;=100,SUM($B$82)&gt;=0,SUM($B$82)&lt;=1,SUM($B$83)&gt;=0))),AND(ISNUMBER(B1377),B1377&gt;0,$B$171=1,NOT(ISNUMBER(D1377)))),1,0)</x:f>
        <x:v>0</x:v>
      </x:c>
      <x:c r="J1377" s="440" t="n">
        <x:f>IF(ISNUMBER(L1376),L1376,"")</x:f>
        <x:v>0</x:v>
      </x:c>
      <x:c r="K1377" s="440" t="n">
        <x:f>IF(AND(ISNUMBER(J1377),J1377=0),0,IF(AND($B$176=1,ISNUMBER(J1377)),MIN(J1377*(1+$B$87/12),IF($B$86=0,0,IF($B$87=0,$B$86/ROUND($B$88*12,0),$B$86*($B$87/12)/(1-(1+$B$87/12)^(-ROUND($B$88*12,0)))))),""))</x:f>
        <x:v>0</x:v>
      </x:c>
      <x:c r="L1377" s="440" t="n">
        <x:f>IF(ISNUMBER(K1377),IF(MAX(0,J1377*(1+SUM($B$87)/12)-K1377)&lt;MAX(0.0000001,$B$86*0.00000000001),0,MAX(0,J1377*(1+SUM($B$87)/12)-K1377)),"")</x:f>
        <x:v>0</x:v>
      </x:c>
      <x:c r="M1377" s="440" t="n">
        <x:f>IF(AND(ISNUMBER(D1377),ISNUMBER(K1377)),D1377+K1377,"")</x:f>
        <x:v>0</x:v>
      </x:c>
      <x:c r="N1377" s="440" t="n">
        <x:f>IF(AND(ISNUMBER(H1377),ISNUMBER(L1377)),H1377+L1377,"")</x:f>
        <x:v>0</x:v>
      </x:c>
    </x:row>
    <x:row r="1378" ht="22" customHeight="1">
      <x:c r="A1378" s="254" t="n">
        <x:f>978</x:f>
        <x:v>978</x:v>
      </x:c>
      <x:c r="B1378" s="440" t="n">
        <x:f>IF(ISNUMBER(H1377),H1377,"")</x:f>
        <x:v>0</x:v>
      </x:c>
      <x:c r="C1378" s="442" t="n">
        <x:f>IF(ISNUMBER(B1378),IF(AND(978&gt;$B$173,$B$78="Refinance",ISNUMBER($B$80),$B$80&gt;=0,$B$80&lt;=1,ROUND($B$81*12,0)&gt;=1,$B$81&lt;=100,SUM($B$82)&gt;=0,SUM($B$82)&lt;=1,SUM($B$83)&gt;=0),$B$80,IF(AND($B$175&gt;0,978&gt;$B$175,ISNUMBER($B$75)),$B$75,$B$61)),"")</x:f>
        <x:v>0.0625</x:v>
      </x:c>
      <x:c r="D1378" s="440" t="n">
        <x:f>IF(AND(ISNUMBER(B1378),B1378=0),0,IF(AND($B$171=1,I1377=0,ISNUMBER(C1378),ISNUMBER(IF(AND(978&lt;=$B$174,978&lt;=$B$173),B1378*C1378/12,IF(AND(978=$B$173+1,AND(978&gt;$B$173,$B$78="Refinance",ISNUMBER($B$80),$B$80&gt;=0,$B$80&lt;=1,ROUND($B$81*12,0)&gt;=1,$B$81&lt;=100,SUM($B$82)&gt;=0,SUM($B$82)&lt;=1,SUM($B$83)&gt;=0)),IF(B1378=0,0,IF(C1378=0,B1378/ROUND($B$81*12,0),B1378*(C1378/12)/(1-(1+C1378/12)^(-ROUND($B$81*12,0))))),IF(AND(NOT(AND(978&gt;$B$173,$B$78="Refinance",ISNUMBER($B$80),$B$80&gt;=0,$B$80&lt;=1,ROUND($B$81*12,0)&gt;=1,$B$81&lt;=100,SUM($B$82)&gt;=0,SUM($B$82)&lt;=1,SUM($B$83)&gt;=0)),OR(978=1,978=$B$174+1,AND($B$175&gt;0,978=$B$175+1))),IF(AND($B$170=1,$B$66&gt;0,OR($B$175=0,978&lt;=$B$175)),$B$66,IF($B$172-MAX(978-1,$B$174)&gt;0,IF(B1378=0,0,IF(C1378=0,B1378/($B$172-MAX(978-1,$B$174)),B1378*(C1378/12)/(1-(1+C1378/12)^(-($B$172-MAX(978-1,$B$174)))))),"")),D1377))))),IF(IF(AND(978&lt;=$B$174,978&lt;=$B$173),B1378*C1378/12,IF(AND(978=$B$173+1,AND(978&gt;$B$173,$B$78="Refinance",ISNUMBER($B$80),$B$80&gt;=0,$B$80&lt;=1,ROUND($B$81*12,0)&gt;=1,$B$81&lt;=100,SUM($B$82)&gt;=0,SUM($B$82)&lt;=1,SUM($B$83)&gt;=0)),IF(B1378=0,0,IF(C1378=0,B1378/ROUND($B$81*12,0),B1378*(C1378/12)/(1-(1+C1378/12)^(-ROUND($B$81*12,0))))),IF(AND(NOT(AND(978&gt;$B$173,$B$78="Refinance",ISNUMBER($B$80),$B$80&gt;=0,$B$80&lt;=1,ROUND($B$81*12,0)&gt;=1,$B$81&lt;=100,SUM($B$82)&gt;=0,SUM($B$82)&lt;=1,SUM($B$83)&gt;=0)),OR(978=1,978=$B$174+1,AND($B$175&gt;0,978=$B$175+1))),IF(AND($B$170=1,$B$66&gt;0,OR($B$175=0,978&lt;=$B$175)),$B$66,IF($B$172-MAX(978-1,$B$174)&gt;0,IF(B1378=0,0,IF(C1378=0,B1378/($B$172-MAX(978-1,$B$174)),B1378*(C1378/12)/(1-(1+C1378/12)^(-($B$172-MAX(978-1,$B$174)))))),"")),D1377)))+0.0000001&gt;=B1378*C1378/12,MIN(B1378*(1+C1378/12),IF(AND(978&lt;=$B$174,978&lt;=$B$173),B1378*C1378/12,IF(AND(978=$B$173+1,AND(978&gt;$B$173,$B$78="Refinance",ISNUMBER($B$80),$B$80&gt;=0,$B$80&lt;=1,ROUND($B$81*12,0)&gt;=1,$B$81&lt;=100,SUM($B$82)&gt;=0,SUM($B$82)&lt;=1,SUM($B$83)&gt;=0)),IF(B1378=0,0,IF(C1378=0,B1378/ROUND($B$81*12,0),B1378*(C1378/12)/(1-(1+C1378/12)^(-ROUND($B$81*12,0))))),IF(AND(NOT(AND(978&gt;$B$173,$B$78="Refinance",ISNUMBER($B$80),$B$80&gt;=0,$B$80&lt;=1,ROUND($B$81*12,0)&gt;=1,$B$81&lt;=100,SUM($B$82)&gt;=0,SUM($B$82)&lt;=1,SUM($B$83)&gt;=0)),OR(978=1,978=$B$174+1,AND($B$175&gt;0,978=$B$175+1))),IF(AND($B$170=1,$B$66&gt;0,OR($B$175=0,978&lt;=$B$175)),$B$66,IF($B$172-MAX(978-1,$B$174)&gt;0,IF(B1378=0,0,IF(C1378=0,B1378/($B$172-MAX(978-1,$B$174)),B1378*(C1378/12)/(1-(1+C1378/12)^(-($B$172-MAX(978-1,$B$174)))))),"")),D1377)))),""),""))</x:f>
        <x:v>0</x:v>
      </x:c>
      <x:c r="E1378" s="440" t="n">
        <x:f>IF(AND(978=$B$173,ISNUMBER(D1378)),IF(MAX(0,B1378*(1+C1378/12)-D1378)&lt;MAX(0.0000001,$E$17*0.00000000001),0,MAX(0,B1378*(1+C1378/12)-D1378)),0)</x:f>
        <x:v>0</x:v>
      </x:c>
      <x:c r="F1378" s="440" t="n">
        <x:f>IF($B$78="Cash payoff",E1378,0)</x:f>
        <x:v>0</x:v>
      </x:c>
      <x:c r="G1378" s="440" t="n">
        <x:f>IF(AND(E1378&gt;0,AND($B$78="Refinance",ISNUMBER($B$80),$B$80&gt;=0,$B$80&lt;=1,ROUND($B$81*12,0)&gt;=1,$B$81&lt;=100,SUM($B$82)&gt;=0,SUM($B$82)&lt;=1,SUM($B$83)&gt;=0)),E1378*SUM($B$82)+SUM($B$83),0)</x:f>
        <x:v>0</x:v>
      </x:c>
      <x:c r="H1378" s="440" t="n">
        <x:f>IF(ISNUMBER(D1378),IF(MAX(0,B1378*(1+C1378/12)-D1378-F1378)&lt;MAX(0.0000001,$E$17*0.00000000001),0,MAX(0,B1378*(1+C1378/12)-D1378-F1378)),IF(AND($B$171=1,I1377=1),B1378,""))</x:f>
        <x:v>0</x:v>
      </x:c>
      <x:c r="I1378" s="444" t="n">
        <x:f>IF(OR(I1377=1,AND(E1378&gt;0,$B$78&lt;&gt;"Cash payoff",NOT(AND($B$78="Refinance",ISNUMBER($B$80),$B$80&gt;=0,$B$80&lt;=1,ROUND($B$81*12,0)&gt;=1,$B$81&lt;=100,SUM($B$82)&gt;=0,SUM($B$82)&lt;=1,SUM($B$83)&gt;=0))),AND(ISNUMBER(B1378),B1378&gt;0,$B$171=1,NOT(ISNUMBER(D1378)))),1,0)</x:f>
        <x:v>0</x:v>
      </x:c>
      <x:c r="J1378" s="440" t="n">
        <x:f>IF(ISNUMBER(L1377),L1377,"")</x:f>
        <x:v>0</x:v>
      </x:c>
      <x:c r="K1378" s="440" t="n">
        <x:f>IF(AND(ISNUMBER(J1378),J1378=0),0,IF(AND($B$176=1,ISNUMBER(J1378)),MIN(J1378*(1+$B$87/12),IF($B$86=0,0,IF($B$87=0,$B$86/ROUND($B$88*12,0),$B$86*($B$87/12)/(1-(1+$B$87/12)^(-ROUND($B$88*12,0)))))),""))</x:f>
        <x:v>0</x:v>
      </x:c>
      <x:c r="L1378" s="440" t="n">
        <x:f>IF(ISNUMBER(K1378),IF(MAX(0,J1378*(1+SUM($B$87)/12)-K1378)&lt;MAX(0.0000001,$B$86*0.00000000001),0,MAX(0,J1378*(1+SUM($B$87)/12)-K1378)),"")</x:f>
        <x:v>0</x:v>
      </x:c>
      <x:c r="M1378" s="440" t="n">
        <x:f>IF(AND(ISNUMBER(D1378),ISNUMBER(K1378)),D1378+K1378,"")</x:f>
        <x:v>0</x:v>
      </x:c>
      <x:c r="N1378" s="440" t="n">
        <x:f>IF(AND(ISNUMBER(H1378),ISNUMBER(L1378)),H1378+L1378,"")</x:f>
        <x:v>0</x:v>
      </x:c>
    </x:row>
    <x:row r="1379" ht="22" customHeight="1">
      <x:c r="A1379" s="254" t="n">
        <x:f>979</x:f>
        <x:v>979</x:v>
      </x:c>
      <x:c r="B1379" s="440" t="n">
        <x:f>IF(ISNUMBER(H1378),H1378,"")</x:f>
        <x:v>0</x:v>
      </x:c>
      <x:c r="C1379" s="442" t="n">
        <x:f>IF(ISNUMBER(B1379),IF(AND(979&gt;$B$173,$B$78="Refinance",ISNUMBER($B$80),$B$80&gt;=0,$B$80&lt;=1,ROUND($B$81*12,0)&gt;=1,$B$81&lt;=100,SUM($B$82)&gt;=0,SUM($B$82)&lt;=1,SUM($B$83)&gt;=0),$B$80,IF(AND($B$175&gt;0,979&gt;$B$175,ISNUMBER($B$75)),$B$75,$B$61)),"")</x:f>
        <x:v>0.0625</x:v>
      </x:c>
      <x:c r="D1379" s="440" t="n">
        <x:f>IF(AND(ISNUMBER(B1379),B1379=0),0,IF(AND($B$171=1,I1378=0,ISNUMBER(C1379),ISNUMBER(IF(AND(979&lt;=$B$174,979&lt;=$B$173),B1379*C1379/12,IF(AND(979=$B$173+1,AND(979&gt;$B$173,$B$78="Refinance",ISNUMBER($B$80),$B$80&gt;=0,$B$80&lt;=1,ROUND($B$81*12,0)&gt;=1,$B$81&lt;=100,SUM($B$82)&gt;=0,SUM($B$82)&lt;=1,SUM($B$83)&gt;=0)),IF(B1379=0,0,IF(C1379=0,B1379/ROUND($B$81*12,0),B1379*(C1379/12)/(1-(1+C1379/12)^(-ROUND($B$81*12,0))))),IF(AND(NOT(AND(979&gt;$B$173,$B$78="Refinance",ISNUMBER($B$80),$B$80&gt;=0,$B$80&lt;=1,ROUND($B$81*12,0)&gt;=1,$B$81&lt;=100,SUM($B$82)&gt;=0,SUM($B$82)&lt;=1,SUM($B$83)&gt;=0)),OR(979=1,979=$B$174+1,AND($B$175&gt;0,979=$B$175+1))),IF(AND($B$170=1,$B$66&gt;0,OR($B$175=0,979&lt;=$B$175)),$B$66,IF($B$172-MAX(979-1,$B$174)&gt;0,IF(B1379=0,0,IF(C1379=0,B1379/($B$172-MAX(979-1,$B$174)),B1379*(C1379/12)/(1-(1+C1379/12)^(-($B$172-MAX(979-1,$B$174)))))),"")),D1378))))),IF(IF(AND(979&lt;=$B$174,979&lt;=$B$173),B1379*C1379/12,IF(AND(979=$B$173+1,AND(979&gt;$B$173,$B$78="Refinance",ISNUMBER($B$80),$B$80&gt;=0,$B$80&lt;=1,ROUND($B$81*12,0)&gt;=1,$B$81&lt;=100,SUM($B$82)&gt;=0,SUM($B$82)&lt;=1,SUM($B$83)&gt;=0)),IF(B1379=0,0,IF(C1379=0,B1379/ROUND($B$81*12,0),B1379*(C1379/12)/(1-(1+C1379/12)^(-ROUND($B$81*12,0))))),IF(AND(NOT(AND(979&gt;$B$173,$B$78="Refinance",ISNUMBER($B$80),$B$80&gt;=0,$B$80&lt;=1,ROUND($B$81*12,0)&gt;=1,$B$81&lt;=100,SUM($B$82)&gt;=0,SUM($B$82)&lt;=1,SUM($B$83)&gt;=0)),OR(979=1,979=$B$174+1,AND($B$175&gt;0,979=$B$175+1))),IF(AND($B$170=1,$B$66&gt;0,OR($B$175=0,979&lt;=$B$175)),$B$66,IF($B$172-MAX(979-1,$B$174)&gt;0,IF(B1379=0,0,IF(C1379=0,B1379/($B$172-MAX(979-1,$B$174)),B1379*(C1379/12)/(1-(1+C1379/12)^(-($B$172-MAX(979-1,$B$174)))))),"")),D1378)))+0.0000001&gt;=B1379*C1379/12,MIN(B1379*(1+C1379/12),IF(AND(979&lt;=$B$174,979&lt;=$B$173),B1379*C1379/12,IF(AND(979=$B$173+1,AND(979&gt;$B$173,$B$78="Refinance",ISNUMBER($B$80),$B$80&gt;=0,$B$80&lt;=1,ROUND($B$81*12,0)&gt;=1,$B$81&lt;=100,SUM($B$82)&gt;=0,SUM($B$82)&lt;=1,SUM($B$83)&gt;=0)),IF(B1379=0,0,IF(C1379=0,B1379/ROUND($B$81*12,0),B1379*(C1379/12)/(1-(1+C1379/12)^(-ROUND($B$81*12,0))))),IF(AND(NOT(AND(979&gt;$B$173,$B$78="Refinance",ISNUMBER($B$80),$B$80&gt;=0,$B$80&lt;=1,ROUND($B$81*12,0)&gt;=1,$B$81&lt;=100,SUM($B$82)&gt;=0,SUM($B$82)&lt;=1,SUM($B$83)&gt;=0)),OR(979=1,979=$B$174+1,AND($B$175&gt;0,979=$B$175+1))),IF(AND($B$170=1,$B$66&gt;0,OR($B$175=0,979&lt;=$B$175)),$B$66,IF($B$172-MAX(979-1,$B$174)&gt;0,IF(B1379=0,0,IF(C1379=0,B1379/($B$172-MAX(979-1,$B$174)),B1379*(C1379/12)/(1-(1+C1379/12)^(-($B$172-MAX(979-1,$B$174)))))),"")),D1378)))),""),""))</x:f>
        <x:v>0</x:v>
      </x:c>
      <x:c r="E1379" s="440" t="n">
        <x:f>IF(AND(979=$B$173,ISNUMBER(D1379)),IF(MAX(0,B1379*(1+C1379/12)-D1379)&lt;MAX(0.0000001,$E$17*0.00000000001),0,MAX(0,B1379*(1+C1379/12)-D1379)),0)</x:f>
        <x:v>0</x:v>
      </x:c>
      <x:c r="F1379" s="440" t="n">
        <x:f>IF($B$78="Cash payoff",E1379,0)</x:f>
        <x:v>0</x:v>
      </x:c>
      <x:c r="G1379" s="440" t="n">
        <x:f>IF(AND(E1379&gt;0,AND($B$78="Refinance",ISNUMBER($B$80),$B$80&gt;=0,$B$80&lt;=1,ROUND($B$81*12,0)&gt;=1,$B$81&lt;=100,SUM($B$82)&gt;=0,SUM($B$82)&lt;=1,SUM($B$83)&gt;=0)),E1379*SUM($B$82)+SUM($B$83),0)</x:f>
        <x:v>0</x:v>
      </x:c>
      <x:c r="H1379" s="440" t="n">
        <x:f>IF(ISNUMBER(D1379),IF(MAX(0,B1379*(1+C1379/12)-D1379-F1379)&lt;MAX(0.0000001,$E$17*0.00000000001),0,MAX(0,B1379*(1+C1379/12)-D1379-F1379)),IF(AND($B$171=1,I1378=1),B1379,""))</x:f>
        <x:v>0</x:v>
      </x:c>
      <x:c r="I1379" s="444" t="n">
        <x:f>IF(OR(I1378=1,AND(E1379&gt;0,$B$78&lt;&gt;"Cash payoff",NOT(AND($B$78="Refinance",ISNUMBER($B$80),$B$80&gt;=0,$B$80&lt;=1,ROUND($B$81*12,0)&gt;=1,$B$81&lt;=100,SUM($B$82)&gt;=0,SUM($B$82)&lt;=1,SUM($B$83)&gt;=0))),AND(ISNUMBER(B1379),B1379&gt;0,$B$171=1,NOT(ISNUMBER(D1379)))),1,0)</x:f>
        <x:v>0</x:v>
      </x:c>
      <x:c r="J1379" s="440" t="n">
        <x:f>IF(ISNUMBER(L1378),L1378,"")</x:f>
        <x:v>0</x:v>
      </x:c>
      <x:c r="K1379" s="440" t="n">
        <x:f>IF(AND(ISNUMBER(J1379),J1379=0),0,IF(AND($B$176=1,ISNUMBER(J1379)),MIN(J1379*(1+$B$87/12),IF($B$86=0,0,IF($B$87=0,$B$86/ROUND($B$88*12,0),$B$86*($B$87/12)/(1-(1+$B$87/12)^(-ROUND($B$88*12,0)))))),""))</x:f>
        <x:v>0</x:v>
      </x:c>
      <x:c r="L1379" s="440" t="n">
        <x:f>IF(ISNUMBER(K1379),IF(MAX(0,J1379*(1+SUM($B$87)/12)-K1379)&lt;MAX(0.0000001,$B$86*0.00000000001),0,MAX(0,J1379*(1+SUM($B$87)/12)-K1379)),"")</x:f>
        <x:v>0</x:v>
      </x:c>
      <x:c r="M1379" s="440" t="n">
        <x:f>IF(AND(ISNUMBER(D1379),ISNUMBER(K1379)),D1379+K1379,"")</x:f>
        <x:v>0</x:v>
      </x:c>
      <x:c r="N1379" s="440" t="n">
        <x:f>IF(AND(ISNUMBER(H1379),ISNUMBER(L1379)),H1379+L1379,"")</x:f>
        <x:v>0</x:v>
      </x:c>
    </x:row>
    <x:row r="1380" ht="22" customHeight="1">
      <x:c r="A1380" s="254" t="n">
        <x:f>980</x:f>
        <x:v>980</x:v>
      </x:c>
      <x:c r="B1380" s="440" t="n">
        <x:f>IF(ISNUMBER(H1379),H1379,"")</x:f>
        <x:v>0</x:v>
      </x:c>
      <x:c r="C1380" s="442" t="n">
        <x:f>IF(ISNUMBER(B1380),IF(AND(980&gt;$B$173,$B$78="Refinance",ISNUMBER($B$80),$B$80&gt;=0,$B$80&lt;=1,ROUND($B$81*12,0)&gt;=1,$B$81&lt;=100,SUM($B$82)&gt;=0,SUM($B$82)&lt;=1,SUM($B$83)&gt;=0),$B$80,IF(AND($B$175&gt;0,980&gt;$B$175,ISNUMBER($B$75)),$B$75,$B$61)),"")</x:f>
        <x:v>0.0625</x:v>
      </x:c>
      <x:c r="D1380" s="440" t="n">
        <x:f>IF(AND(ISNUMBER(B1380),B1380=0),0,IF(AND($B$171=1,I1379=0,ISNUMBER(C1380),ISNUMBER(IF(AND(980&lt;=$B$174,980&lt;=$B$173),B1380*C1380/12,IF(AND(980=$B$173+1,AND(980&gt;$B$173,$B$78="Refinance",ISNUMBER($B$80),$B$80&gt;=0,$B$80&lt;=1,ROUND($B$81*12,0)&gt;=1,$B$81&lt;=100,SUM($B$82)&gt;=0,SUM($B$82)&lt;=1,SUM($B$83)&gt;=0)),IF(B1380=0,0,IF(C1380=0,B1380/ROUND($B$81*12,0),B1380*(C1380/12)/(1-(1+C1380/12)^(-ROUND($B$81*12,0))))),IF(AND(NOT(AND(980&gt;$B$173,$B$78="Refinance",ISNUMBER($B$80),$B$80&gt;=0,$B$80&lt;=1,ROUND($B$81*12,0)&gt;=1,$B$81&lt;=100,SUM($B$82)&gt;=0,SUM($B$82)&lt;=1,SUM($B$83)&gt;=0)),OR(980=1,980=$B$174+1,AND($B$175&gt;0,980=$B$175+1))),IF(AND($B$170=1,$B$66&gt;0,OR($B$175=0,980&lt;=$B$175)),$B$66,IF($B$172-MAX(980-1,$B$174)&gt;0,IF(B1380=0,0,IF(C1380=0,B1380/($B$172-MAX(980-1,$B$174)),B1380*(C1380/12)/(1-(1+C1380/12)^(-($B$172-MAX(980-1,$B$174)))))),"")),D1379))))),IF(IF(AND(980&lt;=$B$174,980&lt;=$B$173),B1380*C1380/12,IF(AND(980=$B$173+1,AND(980&gt;$B$173,$B$78="Refinance",ISNUMBER($B$80),$B$80&gt;=0,$B$80&lt;=1,ROUND($B$81*12,0)&gt;=1,$B$81&lt;=100,SUM($B$82)&gt;=0,SUM($B$82)&lt;=1,SUM($B$83)&gt;=0)),IF(B1380=0,0,IF(C1380=0,B1380/ROUND($B$81*12,0),B1380*(C1380/12)/(1-(1+C1380/12)^(-ROUND($B$81*12,0))))),IF(AND(NOT(AND(980&gt;$B$173,$B$78="Refinance",ISNUMBER($B$80),$B$80&gt;=0,$B$80&lt;=1,ROUND($B$81*12,0)&gt;=1,$B$81&lt;=100,SUM($B$82)&gt;=0,SUM($B$82)&lt;=1,SUM($B$83)&gt;=0)),OR(980=1,980=$B$174+1,AND($B$175&gt;0,980=$B$175+1))),IF(AND($B$170=1,$B$66&gt;0,OR($B$175=0,980&lt;=$B$175)),$B$66,IF($B$172-MAX(980-1,$B$174)&gt;0,IF(B1380=0,0,IF(C1380=0,B1380/($B$172-MAX(980-1,$B$174)),B1380*(C1380/12)/(1-(1+C1380/12)^(-($B$172-MAX(980-1,$B$174)))))),"")),D1379)))+0.0000001&gt;=B1380*C1380/12,MIN(B1380*(1+C1380/12),IF(AND(980&lt;=$B$174,980&lt;=$B$173),B1380*C1380/12,IF(AND(980=$B$173+1,AND(980&gt;$B$173,$B$78="Refinance",ISNUMBER($B$80),$B$80&gt;=0,$B$80&lt;=1,ROUND($B$81*12,0)&gt;=1,$B$81&lt;=100,SUM($B$82)&gt;=0,SUM($B$82)&lt;=1,SUM($B$83)&gt;=0)),IF(B1380=0,0,IF(C1380=0,B1380/ROUND($B$81*12,0),B1380*(C1380/12)/(1-(1+C1380/12)^(-ROUND($B$81*12,0))))),IF(AND(NOT(AND(980&gt;$B$173,$B$78="Refinance",ISNUMBER($B$80),$B$80&gt;=0,$B$80&lt;=1,ROUND($B$81*12,0)&gt;=1,$B$81&lt;=100,SUM($B$82)&gt;=0,SUM($B$82)&lt;=1,SUM($B$83)&gt;=0)),OR(980=1,980=$B$174+1,AND($B$175&gt;0,980=$B$175+1))),IF(AND($B$170=1,$B$66&gt;0,OR($B$175=0,980&lt;=$B$175)),$B$66,IF($B$172-MAX(980-1,$B$174)&gt;0,IF(B1380=0,0,IF(C1380=0,B1380/($B$172-MAX(980-1,$B$174)),B1380*(C1380/12)/(1-(1+C1380/12)^(-($B$172-MAX(980-1,$B$174)))))),"")),D1379)))),""),""))</x:f>
        <x:v>0</x:v>
      </x:c>
      <x:c r="E1380" s="440" t="n">
        <x:f>IF(AND(980=$B$173,ISNUMBER(D1380)),IF(MAX(0,B1380*(1+C1380/12)-D1380)&lt;MAX(0.0000001,$E$17*0.00000000001),0,MAX(0,B1380*(1+C1380/12)-D1380)),0)</x:f>
        <x:v>0</x:v>
      </x:c>
      <x:c r="F1380" s="440" t="n">
        <x:f>IF($B$78="Cash payoff",E1380,0)</x:f>
        <x:v>0</x:v>
      </x:c>
      <x:c r="G1380" s="440" t="n">
        <x:f>IF(AND(E1380&gt;0,AND($B$78="Refinance",ISNUMBER($B$80),$B$80&gt;=0,$B$80&lt;=1,ROUND($B$81*12,0)&gt;=1,$B$81&lt;=100,SUM($B$82)&gt;=0,SUM($B$82)&lt;=1,SUM($B$83)&gt;=0)),E1380*SUM($B$82)+SUM($B$83),0)</x:f>
        <x:v>0</x:v>
      </x:c>
      <x:c r="H1380" s="440" t="n">
        <x:f>IF(ISNUMBER(D1380),IF(MAX(0,B1380*(1+C1380/12)-D1380-F1380)&lt;MAX(0.0000001,$E$17*0.00000000001),0,MAX(0,B1380*(1+C1380/12)-D1380-F1380)),IF(AND($B$171=1,I1379=1),B1380,""))</x:f>
        <x:v>0</x:v>
      </x:c>
      <x:c r="I1380" s="444" t="n">
        <x:f>IF(OR(I1379=1,AND(E1380&gt;0,$B$78&lt;&gt;"Cash payoff",NOT(AND($B$78="Refinance",ISNUMBER($B$80),$B$80&gt;=0,$B$80&lt;=1,ROUND($B$81*12,0)&gt;=1,$B$81&lt;=100,SUM($B$82)&gt;=0,SUM($B$82)&lt;=1,SUM($B$83)&gt;=0))),AND(ISNUMBER(B1380),B1380&gt;0,$B$171=1,NOT(ISNUMBER(D1380)))),1,0)</x:f>
        <x:v>0</x:v>
      </x:c>
      <x:c r="J1380" s="440" t="n">
        <x:f>IF(ISNUMBER(L1379),L1379,"")</x:f>
        <x:v>0</x:v>
      </x:c>
      <x:c r="K1380" s="440" t="n">
        <x:f>IF(AND(ISNUMBER(J1380),J1380=0),0,IF(AND($B$176=1,ISNUMBER(J1380)),MIN(J1380*(1+$B$87/12),IF($B$86=0,0,IF($B$87=0,$B$86/ROUND($B$88*12,0),$B$86*($B$87/12)/(1-(1+$B$87/12)^(-ROUND($B$88*12,0)))))),""))</x:f>
        <x:v>0</x:v>
      </x:c>
      <x:c r="L1380" s="440" t="n">
        <x:f>IF(ISNUMBER(K1380),IF(MAX(0,J1380*(1+SUM($B$87)/12)-K1380)&lt;MAX(0.0000001,$B$86*0.00000000001),0,MAX(0,J1380*(1+SUM($B$87)/12)-K1380)),"")</x:f>
        <x:v>0</x:v>
      </x:c>
      <x:c r="M1380" s="440" t="n">
        <x:f>IF(AND(ISNUMBER(D1380),ISNUMBER(K1380)),D1380+K1380,"")</x:f>
        <x:v>0</x:v>
      </x:c>
      <x:c r="N1380" s="440" t="n">
        <x:f>IF(AND(ISNUMBER(H1380),ISNUMBER(L1380)),H1380+L1380,"")</x:f>
        <x:v>0</x:v>
      </x:c>
    </x:row>
    <x:row r="1381" ht="22" customHeight="1">
      <x:c r="A1381" s="254" t="n">
        <x:f>981</x:f>
        <x:v>981</x:v>
      </x:c>
      <x:c r="B1381" s="440" t="n">
        <x:f>IF(ISNUMBER(H1380),H1380,"")</x:f>
        <x:v>0</x:v>
      </x:c>
      <x:c r="C1381" s="442" t="n">
        <x:f>IF(ISNUMBER(B1381),IF(AND(981&gt;$B$173,$B$78="Refinance",ISNUMBER($B$80),$B$80&gt;=0,$B$80&lt;=1,ROUND($B$81*12,0)&gt;=1,$B$81&lt;=100,SUM($B$82)&gt;=0,SUM($B$82)&lt;=1,SUM($B$83)&gt;=0),$B$80,IF(AND($B$175&gt;0,981&gt;$B$175,ISNUMBER($B$75)),$B$75,$B$61)),"")</x:f>
        <x:v>0.0625</x:v>
      </x:c>
      <x:c r="D1381" s="440" t="n">
        <x:f>IF(AND(ISNUMBER(B1381),B1381=0),0,IF(AND($B$171=1,I1380=0,ISNUMBER(C1381),ISNUMBER(IF(AND(981&lt;=$B$174,981&lt;=$B$173),B1381*C1381/12,IF(AND(981=$B$173+1,AND(981&gt;$B$173,$B$78="Refinance",ISNUMBER($B$80),$B$80&gt;=0,$B$80&lt;=1,ROUND($B$81*12,0)&gt;=1,$B$81&lt;=100,SUM($B$82)&gt;=0,SUM($B$82)&lt;=1,SUM($B$83)&gt;=0)),IF(B1381=0,0,IF(C1381=0,B1381/ROUND($B$81*12,0),B1381*(C1381/12)/(1-(1+C1381/12)^(-ROUND($B$81*12,0))))),IF(AND(NOT(AND(981&gt;$B$173,$B$78="Refinance",ISNUMBER($B$80),$B$80&gt;=0,$B$80&lt;=1,ROUND($B$81*12,0)&gt;=1,$B$81&lt;=100,SUM($B$82)&gt;=0,SUM($B$82)&lt;=1,SUM($B$83)&gt;=0)),OR(981=1,981=$B$174+1,AND($B$175&gt;0,981=$B$175+1))),IF(AND($B$170=1,$B$66&gt;0,OR($B$175=0,981&lt;=$B$175)),$B$66,IF($B$172-MAX(981-1,$B$174)&gt;0,IF(B1381=0,0,IF(C1381=0,B1381/($B$172-MAX(981-1,$B$174)),B1381*(C1381/12)/(1-(1+C1381/12)^(-($B$172-MAX(981-1,$B$174)))))),"")),D1380))))),IF(IF(AND(981&lt;=$B$174,981&lt;=$B$173),B1381*C1381/12,IF(AND(981=$B$173+1,AND(981&gt;$B$173,$B$78="Refinance",ISNUMBER($B$80),$B$80&gt;=0,$B$80&lt;=1,ROUND($B$81*12,0)&gt;=1,$B$81&lt;=100,SUM($B$82)&gt;=0,SUM($B$82)&lt;=1,SUM($B$83)&gt;=0)),IF(B1381=0,0,IF(C1381=0,B1381/ROUND($B$81*12,0),B1381*(C1381/12)/(1-(1+C1381/12)^(-ROUND($B$81*12,0))))),IF(AND(NOT(AND(981&gt;$B$173,$B$78="Refinance",ISNUMBER($B$80),$B$80&gt;=0,$B$80&lt;=1,ROUND($B$81*12,0)&gt;=1,$B$81&lt;=100,SUM($B$82)&gt;=0,SUM($B$82)&lt;=1,SUM($B$83)&gt;=0)),OR(981=1,981=$B$174+1,AND($B$175&gt;0,981=$B$175+1))),IF(AND($B$170=1,$B$66&gt;0,OR($B$175=0,981&lt;=$B$175)),$B$66,IF($B$172-MAX(981-1,$B$174)&gt;0,IF(B1381=0,0,IF(C1381=0,B1381/($B$172-MAX(981-1,$B$174)),B1381*(C1381/12)/(1-(1+C1381/12)^(-($B$172-MAX(981-1,$B$174)))))),"")),D1380)))+0.0000001&gt;=B1381*C1381/12,MIN(B1381*(1+C1381/12),IF(AND(981&lt;=$B$174,981&lt;=$B$173),B1381*C1381/12,IF(AND(981=$B$173+1,AND(981&gt;$B$173,$B$78="Refinance",ISNUMBER($B$80),$B$80&gt;=0,$B$80&lt;=1,ROUND($B$81*12,0)&gt;=1,$B$81&lt;=100,SUM($B$82)&gt;=0,SUM($B$82)&lt;=1,SUM($B$83)&gt;=0)),IF(B1381=0,0,IF(C1381=0,B1381/ROUND($B$81*12,0),B1381*(C1381/12)/(1-(1+C1381/12)^(-ROUND($B$81*12,0))))),IF(AND(NOT(AND(981&gt;$B$173,$B$78="Refinance",ISNUMBER($B$80),$B$80&gt;=0,$B$80&lt;=1,ROUND($B$81*12,0)&gt;=1,$B$81&lt;=100,SUM($B$82)&gt;=0,SUM($B$82)&lt;=1,SUM($B$83)&gt;=0)),OR(981=1,981=$B$174+1,AND($B$175&gt;0,981=$B$175+1))),IF(AND($B$170=1,$B$66&gt;0,OR($B$175=0,981&lt;=$B$175)),$B$66,IF($B$172-MAX(981-1,$B$174)&gt;0,IF(B1381=0,0,IF(C1381=0,B1381/($B$172-MAX(981-1,$B$174)),B1381*(C1381/12)/(1-(1+C1381/12)^(-($B$172-MAX(981-1,$B$174)))))),"")),D1380)))),""),""))</x:f>
        <x:v>0</x:v>
      </x:c>
      <x:c r="E1381" s="440" t="n">
        <x:f>IF(AND(981=$B$173,ISNUMBER(D1381)),IF(MAX(0,B1381*(1+C1381/12)-D1381)&lt;MAX(0.0000001,$E$17*0.00000000001),0,MAX(0,B1381*(1+C1381/12)-D1381)),0)</x:f>
        <x:v>0</x:v>
      </x:c>
      <x:c r="F1381" s="440" t="n">
        <x:f>IF($B$78="Cash payoff",E1381,0)</x:f>
        <x:v>0</x:v>
      </x:c>
      <x:c r="G1381" s="440" t="n">
        <x:f>IF(AND(E1381&gt;0,AND($B$78="Refinance",ISNUMBER($B$80),$B$80&gt;=0,$B$80&lt;=1,ROUND($B$81*12,0)&gt;=1,$B$81&lt;=100,SUM($B$82)&gt;=0,SUM($B$82)&lt;=1,SUM($B$83)&gt;=0)),E1381*SUM($B$82)+SUM($B$83),0)</x:f>
        <x:v>0</x:v>
      </x:c>
      <x:c r="H1381" s="440" t="n">
        <x:f>IF(ISNUMBER(D1381),IF(MAX(0,B1381*(1+C1381/12)-D1381-F1381)&lt;MAX(0.0000001,$E$17*0.00000000001),0,MAX(0,B1381*(1+C1381/12)-D1381-F1381)),IF(AND($B$171=1,I1380=1),B1381,""))</x:f>
        <x:v>0</x:v>
      </x:c>
      <x:c r="I1381" s="444" t="n">
        <x:f>IF(OR(I1380=1,AND(E1381&gt;0,$B$78&lt;&gt;"Cash payoff",NOT(AND($B$78="Refinance",ISNUMBER($B$80),$B$80&gt;=0,$B$80&lt;=1,ROUND($B$81*12,0)&gt;=1,$B$81&lt;=100,SUM($B$82)&gt;=0,SUM($B$82)&lt;=1,SUM($B$83)&gt;=0))),AND(ISNUMBER(B1381),B1381&gt;0,$B$171=1,NOT(ISNUMBER(D1381)))),1,0)</x:f>
        <x:v>0</x:v>
      </x:c>
      <x:c r="J1381" s="440" t="n">
        <x:f>IF(ISNUMBER(L1380),L1380,"")</x:f>
        <x:v>0</x:v>
      </x:c>
      <x:c r="K1381" s="440" t="n">
        <x:f>IF(AND(ISNUMBER(J1381),J1381=0),0,IF(AND($B$176=1,ISNUMBER(J1381)),MIN(J1381*(1+$B$87/12),IF($B$86=0,0,IF($B$87=0,$B$86/ROUND($B$88*12,0),$B$86*($B$87/12)/(1-(1+$B$87/12)^(-ROUND($B$88*12,0)))))),""))</x:f>
        <x:v>0</x:v>
      </x:c>
      <x:c r="L1381" s="440" t="n">
        <x:f>IF(ISNUMBER(K1381),IF(MAX(0,J1381*(1+SUM($B$87)/12)-K1381)&lt;MAX(0.0000001,$B$86*0.00000000001),0,MAX(0,J1381*(1+SUM($B$87)/12)-K1381)),"")</x:f>
        <x:v>0</x:v>
      </x:c>
      <x:c r="M1381" s="440" t="n">
        <x:f>IF(AND(ISNUMBER(D1381),ISNUMBER(K1381)),D1381+K1381,"")</x:f>
        <x:v>0</x:v>
      </x:c>
      <x:c r="N1381" s="440" t="n">
        <x:f>IF(AND(ISNUMBER(H1381),ISNUMBER(L1381)),H1381+L1381,"")</x:f>
        <x:v>0</x:v>
      </x:c>
    </x:row>
    <x:row r="1382" ht="22" customHeight="1">
      <x:c r="A1382" s="254" t="n">
        <x:f>982</x:f>
        <x:v>982</x:v>
      </x:c>
      <x:c r="B1382" s="440" t="n">
        <x:f>IF(ISNUMBER(H1381),H1381,"")</x:f>
        <x:v>0</x:v>
      </x:c>
      <x:c r="C1382" s="442" t="n">
        <x:f>IF(ISNUMBER(B1382),IF(AND(982&gt;$B$173,$B$78="Refinance",ISNUMBER($B$80),$B$80&gt;=0,$B$80&lt;=1,ROUND($B$81*12,0)&gt;=1,$B$81&lt;=100,SUM($B$82)&gt;=0,SUM($B$82)&lt;=1,SUM($B$83)&gt;=0),$B$80,IF(AND($B$175&gt;0,982&gt;$B$175,ISNUMBER($B$75)),$B$75,$B$61)),"")</x:f>
        <x:v>0.0625</x:v>
      </x:c>
      <x:c r="D1382" s="440" t="n">
        <x:f>IF(AND(ISNUMBER(B1382),B1382=0),0,IF(AND($B$171=1,I1381=0,ISNUMBER(C1382),ISNUMBER(IF(AND(982&lt;=$B$174,982&lt;=$B$173),B1382*C1382/12,IF(AND(982=$B$173+1,AND(982&gt;$B$173,$B$78="Refinance",ISNUMBER($B$80),$B$80&gt;=0,$B$80&lt;=1,ROUND($B$81*12,0)&gt;=1,$B$81&lt;=100,SUM($B$82)&gt;=0,SUM($B$82)&lt;=1,SUM($B$83)&gt;=0)),IF(B1382=0,0,IF(C1382=0,B1382/ROUND($B$81*12,0),B1382*(C1382/12)/(1-(1+C1382/12)^(-ROUND($B$81*12,0))))),IF(AND(NOT(AND(982&gt;$B$173,$B$78="Refinance",ISNUMBER($B$80),$B$80&gt;=0,$B$80&lt;=1,ROUND($B$81*12,0)&gt;=1,$B$81&lt;=100,SUM($B$82)&gt;=0,SUM($B$82)&lt;=1,SUM($B$83)&gt;=0)),OR(982=1,982=$B$174+1,AND($B$175&gt;0,982=$B$175+1))),IF(AND($B$170=1,$B$66&gt;0,OR($B$175=0,982&lt;=$B$175)),$B$66,IF($B$172-MAX(982-1,$B$174)&gt;0,IF(B1382=0,0,IF(C1382=0,B1382/($B$172-MAX(982-1,$B$174)),B1382*(C1382/12)/(1-(1+C1382/12)^(-($B$172-MAX(982-1,$B$174)))))),"")),D1381))))),IF(IF(AND(982&lt;=$B$174,982&lt;=$B$173),B1382*C1382/12,IF(AND(982=$B$173+1,AND(982&gt;$B$173,$B$78="Refinance",ISNUMBER($B$80),$B$80&gt;=0,$B$80&lt;=1,ROUND($B$81*12,0)&gt;=1,$B$81&lt;=100,SUM($B$82)&gt;=0,SUM($B$82)&lt;=1,SUM($B$83)&gt;=0)),IF(B1382=0,0,IF(C1382=0,B1382/ROUND($B$81*12,0),B1382*(C1382/12)/(1-(1+C1382/12)^(-ROUND($B$81*12,0))))),IF(AND(NOT(AND(982&gt;$B$173,$B$78="Refinance",ISNUMBER($B$80),$B$80&gt;=0,$B$80&lt;=1,ROUND($B$81*12,0)&gt;=1,$B$81&lt;=100,SUM($B$82)&gt;=0,SUM($B$82)&lt;=1,SUM($B$83)&gt;=0)),OR(982=1,982=$B$174+1,AND($B$175&gt;0,982=$B$175+1))),IF(AND($B$170=1,$B$66&gt;0,OR($B$175=0,982&lt;=$B$175)),$B$66,IF($B$172-MAX(982-1,$B$174)&gt;0,IF(B1382=0,0,IF(C1382=0,B1382/($B$172-MAX(982-1,$B$174)),B1382*(C1382/12)/(1-(1+C1382/12)^(-($B$172-MAX(982-1,$B$174)))))),"")),D1381)))+0.0000001&gt;=B1382*C1382/12,MIN(B1382*(1+C1382/12),IF(AND(982&lt;=$B$174,982&lt;=$B$173),B1382*C1382/12,IF(AND(982=$B$173+1,AND(982&gt;$B$173,$B$78="Refinance",ISNUMBER($B$80),$B$80&gt;=0,$B$80&lt;=1,ROUND($B$81*12,0)&gt;=1,$B$81&lt;=100,SUM($B$82)&gt;=0,SUM($B$82)&lt;=1,SUM($B$83)&gt;=0)),IF(B1382=0,0,IF(C1382=0,B1382/ROUND($B$81*12,0),B1382*(C1382/12)/(1-(1+C1382/12)^(-ROUND($B$81*12,0))))),IF(AND(NOT(AND(982&gt;$B$173,$B$78="Refinance",ISNUMBER($B$80),$B$80&gt;=0,$B$80&lt;=1,ROUND($B$81*12,0)&gt;=1,$B$81&lt;=100,SUM($B$82)&gt;=0,SUM($B$82)&lt;=1,SUM($B$83)&gt;=0)),OR(982=1,982=$B$174+1,AND($B$175&gt;0,982=$B$175+1))),IF(AND($B$170=1,$B$66&gt;0,OR($B$175=0,982&lt;=$B$175)),$B$66,IF($B$172-MAX(982-1,$B$174)&gt;0,IF(B1382=0,0,IF(C1382=0,B1382/($B$172-MAX(982-1,$B$174)),B1382*(C1382/12)/(1-(1+C1382/12)^(-($B$172-MAX(982-1,$B$174)))))),"")),D1381)))),""),""))</x:f>
        <x:v>0</x:v>
      </x:c>
      <x:c r="E1382" s="440" t="n">
        <x:f>IF(AND(982=$B$173,ISNUMBER(D1382)),IF(MAX(0,B1382*(1+C1382/12)-D1382)&lt;MAX(0.0000001,$E$17*0.00000000001),0,MAX(0,B1382*(1+C1382/12)-D1382)),0)</x:f>
        <x:v>0</x:v>
      </x:c>
      <x:c r="F1382" s="440" t="n">
        <x:f>IF($B$78="Cash payoff",E1382,0)</x:f>
        <x:v>0</x:v>
      </x:c>
      <x:c r="G1382" s="440" t="n">
        <x:f>IF(AND(E1382&gt;0,AND($B$78="Refinance",ISNUMBER($B$80),$B$80&gt;=0,$B$80&lt;=1,ROUND($B$81*12,0)&gt;=1,$B$81&lt;=100,SUM($B$82)&gt;=0,SUM($B$82)&lt;=1,SUM($B$83)&gt;=0)),E1382*SUM($B$82)+SUM($B$83),0)</x:f>
        <x:v>0</x:v>
      </x:c>
      <x:c r="H1382" s="440" t="n">
        <x:f>IF(ISNUMBER(D1382),IF(MAX(0,B1382*(1+C1382/12)-D1382-F1382)&lt;MAX(0.0000001,$E$17*0.00000000001),0,MAX(0,B1382*(1+C1382/12)-D1382-F1382)),IF(AND($B$171=1,I1381=1),B1382,""))</x:f>
        <x:v>0</x:v>
      </x:c>
      <x:c r="I1382" s="444" t="n">
        <x:f>IF(OR(I1381=1,AND(E1382&gt;0,$B$78&lt;&gt;"Cash payoff",NOT(AND($B$78="Refinance",ISNUMBER($B$80),$B$80&gt;=0,$B$80&lt;=1,ROUND($B$81*12,0)&gt;=1,$B$81&lt;=100,SUM($B$82)&gt;=0,SUM($B$82)&lt;=1,SUM($B$83)&gt;=0))),AND(ISNUMBER(B1382),B1382&gt;0,$B$171=1,NOT(ISNUMBER(D1382)))),1,0)</x:f>
        <x:v>0</x:v>
      </x:c>
      <x:c r="J1382" s="440" t="n">
        <x:f>IF(ISNUMBER(L1381),L1381,"")</x:f>
        <x:v>0</x:v>
      </x:c>
      <x:c r="K1382" s="440" t="n">
        <x:f>IF(AND(ISNUMBER(J1382),J1382=0),0,IF(AND($B$176=1,ISNUMBER(J1382)),MIN(J1382*(1+$B$87/12),IF($B$86=0,0,IF($B$87=0,$B$86/ROUND($B$88*12,0),$B$86*($B$87/12)/(1-(1+$B$87/12)^(-ROUND($B$88*12,0)))))),""))</x:f>
        <x:v>0</x:v>
      </x:c>
      <x:c r="L1382" s="440" t="n">
        <x:f>IF(ISNUMBER(K1382),IF(MAX(0,J1382*(1+SUM($B$87)/12)-K1382)&lt;MAX(0.0000001,$B$86*0.00000000001),0,MAX(0,J1382*(1+SUM($B$87)/12)-K1382)),"")</x:f>
        <x:v>0</x:v>
      </x:c>
      <x:c r="M1382" s="440" t="n">
        <x:f>IF(AND(ISNUMBER(D1382),ISNUMBER(K1382)),D1382+K1382,"")</x:f>
        <x:v>0</x:v>
      </x:c>
      <x:c r="N1382" s="440" t="n">
        <x:f>IF(AND(ISNUMBER(H1382),ISNUMBER(L1382)),H1382+L1382,"")</x:f>
        <x:v>0</x:v>
      </x:c>
    </x:row>
    <x:row r="1383" ht="22" customHeight="1">
      <x:c r="A1383" s="254" t="n">
        <x:f>983</x:f>
        <x:v>983</x:v>
      </x:c>
      <x:c r="B1383" s="440" t="n">
        <x:f>IF(ISNUMBER(H1382),H1382,"")</x:f>
        <x:v>0</x:v>
      </x:c>
      <x:c r="C1383" s="442" t="n">
        <x:f>IF(ISNUMBER(B1383),IF(AND(983&gt;$B$173,$B$78="Refinance",ISNUMBER($B$80),$B$80&gt;=0,$B$80&lt;=1,ROUND($B$81*12,0)&gt;=1,$B$81&lt;=100,SUM($B$82)&gt;=0,SUM($B$82)&lt;=1,SUM($B$83)&gt;=0),$B$80,IF(AND($B$175&gt;0,983&gt;$B$175,ISNUMBER($B$75)),$B$75,$B$61)),"")</x:f>
        <x:v>0.0625</x:v>
      </x:c>
      <x:c r="D1383" s="440" t="n">
        <x:f>IF(AND(ISNUMBER(B1383),B1383=0),0,IF(AND($B$171=1,I1382=0,ISNUMBER(C1383),ISNUMBER(IF(AND(983&lt;=$B$174,983&lt;=$B$173),B1383*C1383/12,IF(AND(983=$B$173+1,AND(983&gt;$B$173,$B$78="Refinance",ISNUMBER($B$80),$B$80&gt;=0,$B$80&lt;=1,ROUND($B$81*12,0)&gt;=1,$B$81&lt;=100,SUM($B$82)&gt;=0,SUM($B$82)&lt;=1,SUM($B$83)&gt;=0)),IF(B1383=0,0,IF(C1383=0,B1383/ROUND($B$81*12,0),B1383*(C1383/12)/(1-(1+C1383/12)^(-ROUND($B$81*12,0))))),IF(AND(NOT(AND(983&gt;$B$173,$B$78="Refinance",ISNUMBER($B$80),$B$80&gt;=0,$B$80&lt;=1,ROUND($B$81*12,0)&gt;=1,$B$81&lt;=100,SUM($B$82)&gt;=0,SUM($B$82)&lt;=1,SUM($B$83)&gt;=0)),OR(983=1,983=$B$174+1,AND($B$175&gt;0,983=$B$175+1))),IF(AND($B$170=1,$B$66&gt;0,OR($B$175=0,983&lt;=$B$175)),$B$66,IF($B$172-MAX(983-1,$B$174)&gt;0,IF(B1383=0,0,IF(C1383=0,B1383/($B$172-MAX(983-1,$B$174)),B1383*(C1383/12)/(1-(1+C1383/12)^(-($B$172-MAX(983-1,$B$174)))))),"")),D1382))))),IF(IF(AND(983&lt;=$B$174,983&lt;=$B$173),B1383*C1383/12,IF(AND(983=$B$173+1,AND(983&gt;$B$173,$B$78="Refinance",ISNUMBER($B$80),$B$80&gt;=0,$B$80&lt;=1,ROUND($B$81*12,0)&gt;=1,$B$81&lt;=100,SUM($B$82)&gt;=0,SUM($B$82)&lt;=1,SUM($B$83)&gt;=0)),IF(B1383=0,0,IF(C1383=0,B1383/ROUND($B$81*12,0),B1383*(C1383/12)/(1-(1+C1383/12)^(-ROUND($B$81*12,0))))),IF(AND(NOT(AND(983&gt;$B$173,$B$78="Refinance",ISNUMBER($B$80),$B$80&gt;=0,$B$80&lt;=1,ROUND($B$81*12,0)&gt;=1,$B$81&lt;=100,SUM($B$82)&gt;=0,SUM($B$82)&lt;=1,SUM($B$83)&gt;=0)),OR(983=1,983=$B$174+1,AND($B$175&gt;0,983=$B$175+1))),IF(AND($B$170=1,$B$66&gt;0,OR($B$175=0,983&lt;=$B$175)),$B$66,IF($B$172-MAX(983-1,$B$174)&gt;0,IF(B1383=0,0,IF(C1383=0,B1383/($B$172-MAX(983-1,$B$174)),B1383*(C1383/12)/(1-(1+C1383/12)^(-($B$172-MAX(983-1,$B$174)))))),"")),D1382)))+0.0000001&gt;=B1383*C1383/12,MIN(B1383*(1+C1383/12),IF(AND(983&lt;=$B$174,983&lt;=$B$173),B1383*C1383/12,IF(AND(983=$B$173+1,AND(983&gt;$B$173,$B$78="Refinance",ISNUMBER($B$80),$B$80&gt;=0,$B$80&lt;=1,ROUND($B$81*12,0)&gt;=1,$B$81&lt;=100,SUM($B$82)&gt;=0,SUM($B$82)&lt;=1,SUM($B$83)&gt;=0)),IF(B1383=0,0,IF(C1383=0,B1383/ROUND($B$81*12,0),B1383*(C1383/12)/(1-(1+C1383/12)^(-ROUND($B$81*12,0))))),IF(AND(NOT(AND(983&gt;$B$173,$B$78="Refinance",ISNUMBER($B$80),$B$80&gt;=0,$B$80&lt;=1,ROUND($B$81*12,0)&gt;=1,$B$81&lt;=100,SUM($B$82)&gt;=0,SUM($B$82)&lt;=1,SUM($B$83)&gt;=0)),OR(983=1,983=$B$174+1,AND($B$175&gt;0,983=$B$175+1))),IF(AND($B$170=1,$B$66&gt;0,OR($B$175=0,983&lt;=$B$175)),$B$66,IF($B$172-MAX(983-1,$B$174)&gt;0,IF(B1383=0,0,IF(C1383=0,B1383/($B$172-MAX(983-1,$B$174)),B1383*(C1383/12)/(1-(1+C1383/12)^(-($B$172-MAX(983-1,$B$174)))))),"")),D1382)))),""),""))</x:f>
        <x:v>0</x:v>
      </x:c>
      <x:c r="E1383" s="440" t="n">
        <x:f>IF(AND(983=$B$173,ISNUMBER(D1383)),IF(MAX(0,B1383*(1+C1383/12)-D1383)&lt;MAX(0.0000001,$E$17*0.00000000001),0,MAX(0,B1383*(1+C1383/12)-D1383)),0)</x:f>
        <x:v>0</x:v>
      </x:c>
      <x:c r="F1383" s="440" t="n">
        <x:f>IF($B$78="Cash payoff",E1383,0)</x:f>
        <x:v>0</x:v>
      </x:c>
      <x:c r="G1383" s="440" t="n">
        <x:f>IF(AND(E1383&gt;0,AND($B$78="Refinance",ISNUMBER($B$80),$B$80&gt;=0,$B$80&lt;=1,ROUND($B$81*12,0)&gt;=1,$B$81&lt;=100,SUM($B$82)&gt;=0,SUM($B$82)&lt;=1,SUM($B$83)&gt;=0)),E1383*SUM($B$82)+SUM($B$83),0)</x:f>
        <x:v>0</x:v>
      </x:c>
      <x:c r="H1383" s="440" t="n">
        <x:f>IF(ISNUMBER(D1383),IF(MAX(0,B1383*(1+C1383/12)-D1383-F1383)&lt;MAX(0.0000001,$E$17*0.00000000001),0,MAX(0,B1383*(1+C1383/12)-D1383-F1383)),IF(AND($B$171=1,I1382=1),B1383,""))</x:f>
        <x:v>0</x:v>
      </x:c>
      <x:c r="I1383" s="444" t="n">
        <x:f>IF(OR(I1382=1,AND(E1383&gt;0,$B$78&lt;&gt;"Cash payoff",NOT(AND($B$78="Refinance",ISNUMBER($B$80),$B$80&gt;=0,$B$80&lt;=1,ROUND($B$81*12,0)&gt;=1,$B$81&lt;=100,SUM($B$82)&gt;=0,SUM($B$82)&lt;=1,SUM($B$83)&gt;=0))),AND(ISNUMBER(B1383),B1383&gt;0,$B$171=1,NOT(ISNUMBER(D1383)))),1,0)</x:f>
        <x:v>0</x:v>
      </x:c>
      <x:c r="J1383" s="440" t="n">
        <x:f>IF(ISNUMBER(L1382),L1382,"")</x:f>
        <x:v>0</x:v>
      </x:c>
      <x:c r="K1383" s="440" t="n">
        <x:f>IF(AND(ISNUMBER(J1383),J1383=0),0,IF(AND($B$176=1,ISNUMBER(J1383)),MIN(J1383*(1+$B$87/12),IF($B$86=0,0,IF($B$87=0,$B$86/ROUND($B$88*12,0),$B$86*($B$87/12)/(1-(1+$B$87/12)^(-ROUND($B$88*12,0)))))),""))</x:f>
        <x:v>0</x:v>
      </x:c>
      <x:c r="L1383" s="440" t="n">
        <x:f>IF(ISNUMBER(K1383),IF(MAX(0,J1383*(1+SUM($B$87)/12)-K1383)&lt;MAX(0.0000001,$B$86*0.00000000001),0,MAX(0,J1383*(1+SUM($B$87)/12)-K1383)),"")</x:f>
        <x:v>0</x:v>
      </x:c>
      <x:c r="M1383" s="440" t="n">
        <x:f>IF(AND(ISNUMBER(D1383),ISNUMBER(K1383)),D1383+K1383,"")</x:f>
        <x:v>0</x:v>
      </x:c>
      <x:c r="N1383" s="440" t="n">
        <x:f>IF(AND(ISNUMBER(H1383),ISNUMBER(L1383)),H1383+L1383,"")</x:f>
        <x:v>0</x:v>
      </x:c>
    </x:row>
    <x:row r="1384" ht="22" customHeight="1">
      <x:c r="A1384" s="254" t="n">
        <x:f>984</x:f>
        <x:v>984</x:v>
      </x:c>
      <x:c r="B1384" s="440" t="n">
        <x:f>IF(ISNUMBER(H1383),H1383,"")</x:f>
        <x:v>0</x:v>
      </x:c>
      <x:c r="C1384" s="442" t="n">
        <x:f>IF(ISNUMBER(B1384),IF(AND(984&gt;$B$173,$B$78="Refinance",ISNUMBER($B$80),$B$80&gt;=0,$B$80&lt;=1,ROUND($B$81*12,0)&gt;=1,$B$81&lt;=100,SUM($B$82)&gt;=0,SUM($B$82)&lt;=1,SUM($B$83)&gt;=0),$B$80,IF(AND($B$175&gt;0,984&gt;$B$175,ISNUMBER($B$75)),$B$75,$B$61)),"")</x:f>
        <x:v>0.0625</x:v>
      </x:c>
      <x:c r="D1384" s="440" t="n">
        <x:f>IF(AND(ISNUMBER(B1384),B1384=0),0,IF(AND($B$171=1,I1383=0,ISNUMBER(C1384),ISNUMBER(IF(AND(984&lt;=$B$174,984&lt;=$B$173),B1384*C1384/12,IF(AND(984=$B$173+1,AND(984&gt;$B$173,$B$78="Refinance",ISNUMBER($B$80),$B$80&gt;=0,$B$80&lt;=1,ROUND($B$81*12,0)&gt;=1,$B$81&lt;=100,SUM($B$82)&gt;=0,SUM($B$82)&lt;=1,SUM($B$83)&gt;=0)),IF(B1384=0,0,IF(C1384=0,B1384/ROUND($B$81*12,0),B1384*(C1384/12)/(1-(1+C1384/12)^(-ROUND($B$81*12,0))))),IF(AND(NOT(AND(984&gt;$B$173,$B$78="Refinance",ISNUMBER($B$80),$B$80&gt;=0,$B$80&lt;=1,ROUND($B$81*12,0)&gt;=1,$B$81&lt;=100,SUM($B$82)&gt;=0,SUM($B$82)&lt;=1,SUM($B$83)&gt;=0)),OR(984=1,984=$B$174+1,AND($B$175&gt;0,984=$B$175+1))),IF(AND($B$170=1,$B$66&gt;0,OR($B$175=0,984&lt;=$B$175)),$B$66,IF($B$172-MAX(984-1,$B$174)&gt;0,IF(B1384=0,0,IF(C1384=0,B1384/($B$172-MAX(984-1,$B$174)),B1384*(C1384/12)/(1-(1+C1384/12)^(-($B$172-MAX(984-1,$B$174)))))),"")),D1383))))),IF(IF(AND(984&lt;=$B$174,984&lt;=$B$173),B1384*C1384/12,IF(AND(984=$B$173+1,AND(984&gt;$B$173,$B$78="Refinance",ISNUMBER($B$80),$B$80&gt;=0,$B$80&lt;=1,ROUND($B$81*12,0)&gt;=1,$B$81&lt;=100,SUM($B$82)&gt;=0,SUM($B$82)&lt;=1,SUM($B$83)&gt;=0)),IF(B1384=0,0,IF(C1384=0,B1384/ROUND($B$81*12,0),B1384*(C1384/12)/(1-(1+C1384/12)^(-ROUND($B$81*12,0))))),IF(AND(NOT(AND(984&gt;$B$173,$B$78="Refinance",ISNUMBER($B$80),$B$80&gt;=0,$B$80&lt;=1,ROUND($B$81*12,0)&gt;=1,$B$81&lt;=100,SUM($B$82)&gt;=0,SUM($B$82)&lt;=1,SUM($B$83)&gt;=0)),OR(984=1,984=$B$174+1,AND($B$175&gt;0,984=$B$175+1))),IF(AND($B$170=1,$B$66&gt;0,OR($B$175=0,984&lt;=$B$175)),$B$66,IF($B$172-MAX(984-1,$B$174)&gt;0,IF(B1384=0,0,IF(C1384=0,B1384/($B$172-MAX(984-1,$B$174)),B1384*(C1384/12)/(1-(1+C1384/12)^(-($B$172-MAX(984-1,$B$174)))))),"")),D1383)))+0.0000001&gt;=B1384*C1384/12,MIN(B1384*(1+C1384/12),IF(AND(984&lt;=$B$174,984&lt;=$B$173),B1384*C1384/12,IF(AND(984=$B$173+1,AND(984&gt;$B$173,$B$78="Refinance",ISNUMBER($B$80),$B$80&gt;=0,$B$80&lt;=1,ROUND($B$81*12,0)&gt;=1,$B$81&lt;=100,SUM($B$82)&gt;=0,SUM($B$82)&lt;=1,SUM($B$83)&gt;=0)),IF(B1384=0,0,IF(C1384=0,B1384/ROUND($B$81*12,0),B1384*(C1384/12)/(1-(1+C1384/12)^(-ROUND($B$81*12,0))))),IF(AND(NOT(AND(984&gt;$B$173,$B$78="Refinance",ISNUMBER($B$80),$B$80&gt;=0,$B$80&lt;=1,ROUND($B$81*12,0)&gt;=1,$B$81&lt;=100,SUM($B$82)&gt;=0,SUM($B$82)&lt;=1,SUM($B$83)&gt;=0)),OR(984=1,984=$B$174+1,AND($B$175&gt;0,984=$B$175+1))),IF(AND($B$170=1,$B$66&gt;0,OR($B$175=0,984&lt;=$B$175)),$B$66,IF($B$172-MAX(984-1,$B$174)&gt;0,IF(B1384=0,0,IF(C1384=0,B1384/($B$172-MAX(984-1,$B$174)),B1384*(C1384/12)/(1-(1+C1384/12)^(-($B$172-MAX(984-1,$B$174)))))),"")),D1383)))),""),""))</x:f>
        <x:v>0</x:v>
      </x:c>
      <x:c r="E1384" s="440" t="n">
        <x:f>IF(AND(984=$B$173,ISNUMBER(D1384)),IF(MAX(0,B1384*(1+C1384/12)-D1384)&lt;MAX(0.0000001,$E$17*0.00000000001),0,MAX(0,B1384*(1+C1384/12)-D1384)),0)</x:f>
        <x:v>0</x:v>
      </x:c>
      <x:c r="F1384" s="440" t="n">
        <x:f>IF($B$78="Cash payoff",E1384,0)</x:f>
        <x:v>0</x:v>
      </x:c>
      <x:c r="G1384" s="440" t="n">
        <x:f>IF(AND(E1384&gt;0,AND($B$78="Refinance",ISNUMBER($B$80),$B$80&gt;=0,$B$80&lt;=1,ROUND($B$81*12,0)&gt;=1,$B$81&lt;=100,SUM($B$82)&gt;=0,SUM($B$82)&lt;=1,SUM($B$83)&gt;=0)),E1384*SUM($B$82)+SUM($B$83),0)</x:f>
        <x:v>0</x:v>
      </x:c>
      <x:c r="H1384" s="440" t="n">
        <x:f>IF(ISNUMBER(D1384),IF(MAX(0,B1384*(1+C1384/12)-D1384-F1384)&lt;MAX(0.0000001,$E$17*0.00000000001),0,MAX(0,B1384*(1+C1384/12)-D1384-F1384)),IF(AND($B$171=1,I1383=1),B1384,""))</x:f>
        <x:v>0</x:v>
      </x:c>
      <x:c r="I1384" s="444" t="n">
        <x:f>IF(OR(I1383=1,AND(E1384&gt;0,$B$78&lt;&gt;"Cash payoff",NOT(AND($B$78="Refinance",ISNUMBER($B$80),$B$80&gt;=0,$B$80&lt;=1,ROUND($B$81*12,0)&gt;=1,$B$81&lt;=100,SUM($B$82)&gt;=0,SUM($B$82)&lt;=1,SUM($B$83)&gt;=0))),AND(ISNUMBER(B1384),B1384&gt;0,$B$171=1,NOT(ISNUMBER(D1384)))),1,0)</x:f>
        <x:v>0</x:v>
      </x:c>
      <x:c r="J1384" s="440" t="n">
        <x:f>IF(ISNUMBER(L1383),L1383,"")</x:f>
        <x:v>0</x:v>
      </x:c>
      <x:c r="K1384" s="440" t="n">
        <x:f>IF(AND(ISNUMBER(J1384),J1384=0),0,IF(AND($B$176=1,ISNUMBER(J1384)),MIN(J1384*(1+$B$87/12),IF($B$86=0,0,IF($B$87=0,$B$86/ROUND($B$88*12,0),$B$86*($B$87/12)/(1-(1+$B$87/12)^(-ROUND($B$88*12,0)))))),""))</x:f>
        <x:v>0</x:v>
      </x:c>
      <x:c r="L1384" s="440" t="n">
        <x:f>IF(ISNUMBER(K1384),IF(MAX(0,J1384*(1+SUM($B$87)/12)-K1384)&lt;MAX(0.0000001,$B$86*0.00000000001),0,MAX(0,J1384*(1+SUM($B$87)/12)-K1384)),"")</x:f>
        <x:v>0</x:v>
      </x:c>
      <x:c r="M1384" s="440" t="n">
        <x:f>IF(AND(ISNUMBER(D1384),ISNUMBER(K1384)),D1384+K1384,"")</x:f>
        <x:v>0</x:v>
      </x:c>
      <x:c r="N1384" s="440" t="n">
        <x:f>IF(AND(ISNUMBER(H1384),ISNUMBER(L1384)),H1384+L1384,"")</x:f>
        <x:v>0</x:v>
      </x:c>
    </x:row>
    <x:row r="1385" ht="22" customHeight="1">
      <x:c r="A1385" s="254" t="n">
        <x:f>985</x:f>
        <x:v>985</x:v>
      </x:c>
      <x:c r="B1385" s="440" t="n">
        <x:f>IF(ISNUMBER(H1384),H1384,"")</x:f>
        <x:v>0</x:v>
      </x:c>
      <x:c r="C1385" s="442" t="n">
        <x:f>IF(ISNUMBER(B1385),IF(AND(985&gt;$B$173,$B$78="Refinance",ISNUMBER($B$80),$B$80&gt;=0,$B$80&lt;=1,ROUND($B$81*12,0)&gt;=1,$B$81&lt;=100,SUM($B$82)&gt;=0,SUM($B$82)&lt;=1,SUM($B$83)&gt;=0),$B$80,IF(AND($B$175&gt;0,985&gt;$B$175,ISNUMBER($B$75)),$B$75,$B$61)),"")</x:f>
        <x:v>0.0625</x:v>
      </x:c>
      <x:c r="D1385" s="440" t="n">
        <x:f>IF(AND(ISNUMBER(B1385),B1385=0),0,IF(AND($B$171=1,I1384=0,ISNUMBER(C1385),ISNUMBER(IF(AND(985&lt;=$B$174,985&lt;=$B$173),B1385*C1385/12,IF(AND(985=$B$173+1,AND(985&gt;$B$173,$B$78="Refinance",ISNUMBER($B$80),$B$80&gt;=0,$B$80&lt;=1,ROUND($B$81*12,0)&gt;=1,$B$81&lt;=100,SUM($B$82)&gt;=0,SUM($B$82)&lt;=1,SUM($B$83)&gt;=0)),IF(B1385=0,0,IF(C1385=0,B1385/ROUND($B$81*12,0),B1385*(C1385/12)/(1-(1+C1385/12)^(-ROUND($B$81*12,0))))),IF(AND(NOT(AND(985&gt;$B$173,$B$78="Refinance",ISNUMBER($B$80),$B$80&gt;=0,$B$80&lt;=1,ROUND($B$81*12,0)&gt;=1,$B$81&lt;=100,SUM($B$82)&gt;=0,SUM($B$82)&lt;=1,SUM($B$83)&gt;=0)),OR(985=1,985=$B$174+1,AND($B$175&gt;0,985=$B$175+1))),IF(AND($B$170=1,$B$66&gt;0,OR($B$175=0,985&lt;=$B$175)),$B$66,IF($B$172-MAX(985-1,$B$174)&gt;0,IF(B1385=0,0,IF(C1385=0,B1385/($B$172-MAX(985-1,$B$174)),B1385*(C1385/12)/(1-(1+C1385/12)^(-($B$172-MAX(985-1,$B$174)))))),"")),D1384))))),IF(IF(AND(985&lt;=$B$174,985&lt;=$B$173),B1385*C1385/12,IF(AND(985=$B$173+1,AND(985&gt;$B$173,$B$78="Refinance",ISNUMBER($B$80),$B$80&gt;=0,$B$80&lt;=1,ROUND($B$81*12,0)&gt;=1,$B$81&lt;=100,SUM($B$82)&gt;=0,SUM($B$82)&lt;=1,SUM($B$83)&gt;=0)),IF(B1385=0,0,IF(C1385=0,B1385/ROUND($B$81*12,0),B1385*(C1385/12)/(1-(1+C1385/12)^(-ROUND($B$81*12,0))))),IF(AND(NOT(AND(985&gt;$B$173,$B$78="Refinance",ISNUMBER($B$80),$B$80&gt;=0,$B$80&lt;=1,ROUND($B$81*12,0)&gt;=1,$B$81&lt;=100,SUM($B$82)&gt;=0,SUM($B$82)&lt;=1,SUM($B$83)&gt;=0)),OR(985=1,985=$B$174+1,AND($B$175&gt;0,985=$B$175+1))),IF(AND($B$170=1,$B$66&gt;0,OR($B$175=0,985&lt;=$B$175)),$B$66,IF($B$172-MAX(985-1,$B$174)&gt;0,IF(B1385=0,0,IF(C1385=0,B1385/($B$172-MAX(985-1,$B$174)),B1385*(C1385/12)/(1-(1+C1385/12)^(-($B$172-MAX(985-1,$B$174)))))),"")),D1384)))+0.0000001&gt;=B1385*C1385/12,MIN(B1385*(1+C1385/12),IF(AND(985&lt;=$B$174,985&lt;=$B$173),B1385*C1385/12,IF(AND(985=$B$173+1,AND(985&gt;$B$173,$B$78="Refinance",ISNUMBER($B$80),$B$80&gt;=0,$B$80&lt;=1,ROUND($B$81*12,0)&gt;=1,$B$81&lt;=100,SUM($B$82)&gt;=0,SUM($B$82)&lt;=1,SUM($B$83)&gt;=0)),IF(B1385=0,0,IF(C1385=0,B1385/ROUND($B$81*12,0),B1385*(C1385/12)/(1-(1+C1385/12)^(-ROUND($B$81*12,0))))),IF(AND(NOT(AND(985&gt;$B$173,$B$78="Refinance",ISNUMBER($B$80),$B$80&gt;=0,$B$80&lt;=1,ROUND($B$81*12,0)&gt;=1,$B$81&lt;=100,SUM($B$82)&gt;=0,SUM($B$82)&lt;=1,SUM($B$83)&gt;=0)),OR(985=1,985=$B$174+1,AND($B$175&gt;0,985=$B$175+1))),IF(AND($B$170=1,$B$66&gt;0,OR($B$175=0,985&lt;=$B$175)),$B$66,IF($B$172-MAX(985-1,$B$174)&gt;0,IF(B1385=0,0,IF(C1385=0,B1385/($B$172-MAX(985-1,$B$174)),B1385*(C1385/12)/(1-(1+C1385/12)^(-($B$172-MAX(985-1,$B$174)))))),"")),D1384)))),""),""))</x:f>
        <x:v>0</x:v>
      </x:c>
      <x:c r="E1385" s="440" t="n">
        <x:f>IF(AND(985=$B$173,ISNUMBER(D1385)),IF(MAX(0,B1385*(1+C1385/12)-D1385)&lt;MAX(0.0000001,$E$17*0.00000000001),0,MAX(0,B1385*(1+C1385/12)-D1385)),0)</x:f>
        <x:v>0</x:v>
      </x:c>
      <x:c r="F1385" s="440" t="n">
        <x:f>IF($B$78="Cash payoff",E1385,0)</x:f>
        <x:v>0</x:v>
      </x:c>
      <x:c r="G1385" s="440" t="n">
        <x:f>IF(AND(E1385&gt;0,AND($B$78="Refinance",ISNUMBER($B$80),$B$80&gt;=0,$B$80&lt;=1,ROUND($B$81*12,0)&gt;=1,$B$81&lt;=100,SUM($B$82)&gt;=0,SUM($B$82)&lt;=1,SUM($B$83)&gt;=0)),E1385*SUM($B$82)+SUM($B$83),0)</x:f>
        <x:v>0</x:v>
      </x:c>
      <x:c r="H1385" s="440" t="n">
        <x:f>IF(ISNUMBER(D1385),IF(MAX(0,B1385*(1+C1385/12)-D1385-F1385)&lt;MAX(0.0000001,$E$17*0.00000000001),0,MAX(0,B1385*(1+C1385/12)-D1385-F1385)),IF(AND($B$171=1,I1384=1),B1385,""))</x:f>
        <x:v>0</x:v>
      </x:c>
      <x:c r="I1385" s="444" t="n">
        <x:f>IF(OR(I1384=1,AND(E1385&gt;0,$B$78&lt;&gt;"Cash payoff",NOT(AND($B$78="Refinance",ISNUMBER($B$80),$B$80&gt;=0,$B$80&lt;=1,ROUND($B$81*12,0)&gt;=1,$B$81&lt;=100,SUM($B$82)&gt;=0,SUM($B$82)&lt;=1,SUM($B$83)&gt;=0))),AND(ISNUMBER(B1385),B1385&gt;0,$B$171=1,NOT(ISNUMBER(D1385)))),1,0)</x:f>
        <x:v>0</x:v>
      </x:c>
      <x:c r="J1385" s="440" t="n">
        <x:f>IF(ISNUMBER(L1384),L1384,"")</x:f>
        <x:v>0</x:v>
      </x:c>
      <x:c r="K1385" s="440" t="n">
        <x:f>IF(AND(ISNUMBER(J1385),J1385=0),0,IF(AND($B$176=1,ISNUMBER(J1385)),MIN(J1385*(1+$B$87/12),IF($B$86=0,0,IF($B$87=0,$B$86/ROUND($B$88*12,0),$B$86*($B$87/12)/(1-(1+$B$87/12)^(-ROUND($B$88*12,0)))))),""))</x:f>
        <x:v>0</x:v>
      </x:c>
      <x:c r="L1385" s="440" t="n">
        <x:f>IF(ISNUMBER(K1385),IF(MAX(0,J1385*(1+SUM($B$87)/12)-K1385)&lt;MAX(0.0000001,$B$86*0.00000000001),0,MAX(0,J1385*(1+SUM($B$87)/12)-K1385)),"")</x:f>
        <x:v>0</x:v>
      </x:c>
      <x:c r="M1385" s="440" t="n">
        <x:f>IF(AND(ISNUMBER(D1385),ISNUMBER(K1385)),D1385+K1385,"")</x:f>
        <x:v>0</x:v>
      </x:c>
      <x:c r="N1385" s="440" t="n">
        <x:f>IF(AND(ISNUMBER(H1385),ISNUMBER(L1385)),H1385+L1385,"")</x:f>
        <x:v>0</x:v>
      </x:c>
    </x:row>
    <x:row r="1386" ht="22" customHeight="1">
      <x:c r="A1386" s="254" t="n">
        <x:f>986</x:f>
        <x:v>986</x:v>
      </x:c>
      <x:c r="B1386" s="440" t="n">
        <x:f>IF(ISNUMBER(H1385),H1385,"")</x:f>
        <x:v>0</x:v>
      </x:c>
      <x:c r="C1386" s="442" t="n">
        <x:f>IF(ISNUMBER(B1386),IF(AND(986&gt;$B$173,$B$78="Refinance",ISNUMBER($B$80),$B$80&gt;=0,$B$80&lt;=1,ROUND($B$81*12,0)&gt;=1,$B$81&lt;=100,SUM($B$82)&gt;=0,SUM($B$82)&lt;=1,SUM($B$83)&gt;=0),$B$80,IF(AND($B$175&gt;0,986&gt;$B$175,ISNUMBER($B$75)),$B$75,$B$61)),"")</x:f>
        <x:v>0.0625</x:v>
      </x:c>
      <x:c r="D1386" s="440" t="n">
        <x:f>IF(AND(ISNUMBER(B1386),B1386=0),0,IF(AND($B$171=1,I1385=0,ISNUMBER(C1386),ISNUMBER(IF(AND(986&lt;=$B$174,986&lt;=$B$173),B1386*C1386/12,IF(AND(986=$B$173+1,AND(986&gt;$B$173,$B$78="Refinance",ISNUMBER($B$80),$B$80&gt;=0,$B$80&lt;=1,ROUND($B$81*12,0)&gt;=1,$B$81&lt;=100,SUM($B$82)&gt;=0,SUM($B$82)&lt;=1,SUM($B$83)&gt;=0)),IF(B1386=0,0,IF(C1386=0,B1386/ROUND($B$81*12,0),B1386*(C1386/12)/(1-(1+C1386/12)^(-ROUND($B$81*12,0))))),IF(AND(NOT(AND(986&gt;$B$173,$B$78="Refinance",ISNUMBER($B$80),$B$80&gt;=0,$B$80&lt;=1,ROUND($B$81*12,0)&gt;=1,$B$81&lt;=100,SUM($B$82)&gt;=0,SUM($B$82)&lt;=1,SUM($B$83)&gt;=0)),OR(986=1,986=$B$174+1,AND($B$175&gt;0,986=$B$175+1))),IF(AND($B$170=1,$B$66&gt;0,OR($B$175=0,986&lt;=$B$175)),$B$66,IF($B$172-MAX(986-1,$B$174)&gt;0,IF(B1386=0,0,IF(C1386=0,B1386/($B$172-MAX(986-1,$B$174)),B1386*(C1386/12)/(1-(1+C1386/12)^(-($B$172-MAX(986-1,$B$174)))))),"")),D1385))))),IF(IF(AND(986&lt;=$B$174,986&lt;=$B$173),B1386*C1386/12,IF(AND(986=$B$173+1,AND(986&gt;$B$173,$B$78="Refinance",ISNUMBER($B$80),$B$80&gt;=0,$B$80&lt;=1,ROUND($B$81*12,0)&gt;=1,$B$81&lt;=100,SUM($B$82)&gt;=0,SUM($B$82)&lt;=1,SUM($B$83)&gt;=0)),IF(B1386=0,0,IF(C1386=0,B1386/ROUND($B$81*12,0),B1386*(C1386/12)/(1-(1+C1386/12)^(-ROUND($B$81*12,0))))),IF(AND(NOT(AND(986&gt;$B$173,$B$78="Refinance",ISNUMBER($B$80),$B$80&gt;=0,$B$80&lt;=1,ROUND($B$81*12,0)&gt;=1,$B$81&lt;=100,SUM($B$82)&gt;=0,SUM($B$82)&lt;=1,SUM($B$83)&gt;=0)),OR(986=1,986=$B$174+1,AND($B$175&gt;0,986=$B$175+1))),IF(AND($B$170=1,$B$66&gt;0,OR($B$175=0,986&lt;=$B$175)),$B$66,IF($B$172-MAX(986-1,$B$174)&gt;0,IF(B1386=0,0,IF(C1386=0,B1386/($B$172-MAX(986-1,$B$174)),B1386*(C1386/12)/(1-(1+C1386/12)^(-($B$172-MAX(986-1,$B$174)))))),"")),D1385)))+0.0000001&gt;=B1386*C1386/12,MIN(B1386*(1+C1386/12),IF(AND(986&lt;=$B$174,986&lt;=$B$173),B1386*C1386/12,IF(AND(986=$B$173+1,AND(986&gt;$B$173,$B$78="Refinance",ISNUMBER($B$80),$B$80&gt;=0,$B$80&lt;=1,ROUND($B$81*12,0)&gt;=1,$B$81&lt;=100,SUM($B$82)&gt;=0,SUM($B$82)&lt;=1,SUM($B$83)&gt;=0)),IF(B1386=0,0,IF(C1386=0,B1386/ROUND($B$81*12,0),B1386*(C1386/12)/(1-(1+C1386/12)^(-ROUND($B$81*12,0))))),IF(AND(NOT(AND(986&gt;$B$173,$B$78="Refinance",ISNUMBER($B$80),$B$80&gt;=0,$B$80&lt;=1,ROUND($B$81*12,0)&gt;=1,$B$81&lt;=100,SUM($B$82)&gt;=0,SUM($B$82)&lt;=1,SUM($B$83)&gt;=0)),OR(986=1,986=$B$174+1,AND($B$175&gt;0,986=$B$175+1))),IF(AND($B$170=1,$B$66&gt;0,OR($B$175=0,986&lt;=$B$175)),$B$66,IF($B$172-MAX(986-1,$B$174)&gt;0,IF(B1386=0,0,IF(C1386=0,B1386/($B$172-MAX(986-1,$B$174)),B1386*(C1386/12)/(1-(1+C1386/12)^(-($B$172-MAX(986-1,$B$174)))))),"")),D1385)))),""),""))</x:f>
        <x:v>0</x:v>
      </x:c>
      <x:c r="E1386" s="440" t="n">
        <x:f>IF(AND(986=$B$173,ISNUMBER(D1386)),IF(MAX(0,B1386*(1+C1386/12)-D1386)&lt;MAX(0.0000001,$E$17*0.00000000001),0,MAX(0,B1386*(1+C1386/12)-D1386)),0)</x:f>
        <x:v>0</x:v>
      </x:c>
      <x:c r="F1386" s="440" t="n">
        <x:f>IF($B$78="Cash payoff",E1386,0)</x:f>
        <x:v>0</x:v>
      </x:c>
      <x:c r="G1386" s="440" t="n">
        <x:f>IF(AND(E1386&gt;0,AND($B$78="Refinance",ISNUMBER($B$80),$B$80&gt;=0,$B$80&lt;=1,ROUND($B$81*12,0)&gt;=1,$B$81&lt;=100,SUM($B$82)&gt;=0,SUM($B$82)&lt;=1,SUM($B$83)&gt;=0)),E1386*SUM($B$82)+SUM($B$83),0)</x:f>
        <x:v>0</x:v>
      </x:c>
      <x:c r="H1386" s="440" t="n">
        <x:f>IF(ISNUMBER(D1386),IF(MAX(0,B1386*(1+C1386/12)-D1386-F1386)&lt;MAX(0.0000001,$E$17*0.00000000001),0,MAX(0,B1386*(1+C1386/12)-D1386-F1386)),IF(AND($B$171=1,I1385=1),B1386,""))</x:f>
        <x:v>0</x:v>
      </x:c>
      <x:c r="I1386" s="444" t="n">
        <x:f>IF(OR(I1385=1,AND(E1386&gt;0,$B$78&lt;&gt;"Cash payoff",NOT(AND($B$78="Refinance",ISNUMBER($B$80),$B$80&gt;=0,$B$80&lt;=1,ROUND($B$81*12,0)&gt;=1,$B$81&lt;=100,SUM($B$82)&gt;=0,SUM($B$82)&lt;=1,SUM($B$83)&gt;=0))),AND(ISNUMBER(B1386),B1386&gt;0,$B$171=1,NOT(ISNUMBER(D1386)))),1,0)</x:f>
        <x:v>0</x:v>
      </x:c>
      <x:c r="J1386" s="440" t="n">
        <x:f>IF(ISNUMBER(L1385),L1385,"")</x:f>
        <x:v>0</x:v>
      </x:c>
      <x:c r="K1386" s="440" t="n">
        <x:f>IF(AND(ISNUMBER(J1386),J1386=0),0,IF(AND($B$176=1,ISNUMBER(J1386)),MIN(J1386*(1+$B$87/12),IF($B$86=0,0,IF($B$87=0,$B$86/ROUND($B$88*12,0),$B$86*($B$87/12)/(1-(1+$B$87/12)^(-ROUND($B$88*12,0)))))),""))</x:f>
        <x:v>0</x:v>
      </x:c>
      <x:c r="L1386" s="440" t="n">
        <x:f>IF(ISNUMBER(K1386),IF(MAX(0,J1386*(1+SUM($B$87)/12)-K1386)&lt;MAX(0.0000001,$B$86*0.00000000001),0,MAX(0,J1386*(1+SUM($B$87)/12)-K1386)),"")</x:f>
        <x:v>0</x:v>
      </x:c>
      <x:c r="M1386" s="440" t="n">
        <x:f>IF(AND(ISNUMBER(D1386),ISNUMBER(K1386)),D1386+K1386,"")</x:f>
        <x:v>0</x:v>
      </x:c>
      <x:c r="N1386" s="440" t="n">
        <x:f>IF(AND(ISNUMBER(H1386),ISNUMBER(L1386)),H1386+L1386,"")</x:f>
        <x:v>0</x:v>
      </x:c>
    </x:row>
    <x:row r="1387" ht="22" customHeight="1">
      <x:c r="A1387" s="254" t="n">
        <x:f>987</x:f>
        <x:v>987</x:v>
      </x:c>
      <x:c r="B1387" s="440" t="n">
        <x:f>IF(ISNUMBER(H1386),H1386,"")</x:f>
        <x:v>0</x:v>
      </x:c>
      <x:c r="C1387" s="442" t="n">
        <x:f>IF(ISNUMBER(B1387),IF(AND(987&gt;$B$173,$B$78="Refinance",ISNUMBER($B$80),$B$80&gt;=0,$B$80&lt;=1,ROUND($B$81*12,0)&gt;=1,$B$81&lt;=100,SUM($B$82)&gt;=0,SUM($B$82)&lt;=1,SUM($B$83)&gt;=0),$B$80,IF(AND($B$175&gt;0,987&gt;$B$175,ISNUMBER($B$75)),$B$75,$B$61)),"")</x:f>
        <x:v>0.0625</x:v>
      </x:c>
      <x:c r="D1387" s="440" t="n">
        <x:f>IF(AND(ISNUMBER(B1387),B1387=0),0,IF(AND($B$171=1,I1386=0,ISNUMBER(C1387),ISNUMBER(IF(AND(987&lt;=$B$174,987&lt;=$B$173),B1387*C1387/12,IF(AND(987=$B$173+1,AND(987&gt;$B$173,$B$78="Refinance",ISNUMBER($B$80),$B$80&gt;=0,$B$80&lt;=1,ROUND($B$81*12,0)&gt;=1,$B$81&lt;=100,SUM($B$82)&gt;=0,SUM($B$82)&lt;=1,SUM($B$83)&gt;=0)),IF(B1387=0,0,IF(C1387=0,B1387/ROUND($B$81*12,0),B1387*(C1387/12)/(1-(1+C1387/12)^(-ROUND($B$81*12,0))))),IF(AND(NOT(AND(987&gt;$B$173,$B$78="Refinance",ISNUMBER($B$80),$B$80&gt;=0,$B$80&lt;=1,ROUND($B$81*12,0)&gt;=1,$B$81&lt;=100,SUM($B$82)&gt;=0,SUM($B$82)&lt;=1,SUM($B$83)&gt;=0)),OR(987=1,987=$B$174+1,AND($B$175&gt;0,987=$B$175+1))),IF(AND($B$170=1,$B$66&gt;0,OR($B$175=0,987&lt;=$B$175)),$B$66,IF($B$172-MAX(987-1,$B$174)&gt;0,IF(B1387=0,0,IF(C1387=0,B1387/($B$172-MAX(987-1,$B$174)),B1387*(C1387/12)/(1-(1+C1387/12)^(-($B$172-MAX(987-1,$B$174)))))),"")),D1386))))),IF(IF(AND(987&lt;=$B$174,987&lt;=$B$173),B1387*C1387/12,IF(AND(987=$B$173+1,AND(987&gt;$B$173,$B$78="Refinance",ISNUMBER($B$80),$B$80&gt;=0,$B$80&lt;=1,ROUND($B$81*12,0)&gt;=1,$B$81&lt;=100,SUM($B$82)&gt;=0,SUM($B$82)&lt;=1,SUM($B$83)&gt;=0)),IF(B1387=0,0,IF(C1387=0,B1387/ROUND($B$81*12,0),B1387*(C1387/12)/(1-(1+C1387/12)^(-ROUND($B$81*12,0))))),IF(AND(NOT(AND(987&gt;$B$173,$B$78="Refinance",ISNUMBER($B$80),$B$80&gt;=0,$B$80&lt;=1,ROUND($B$81*12,0)&gt;=1,$B$81&lt;=100,SUM($B$82)&gt;=0,SUM($B$82)&lt;=1,SUM($B$83)&gt;=0)),OR(987=1,987=$B$174+1,AND($B$175&gt;0,987=$B$175+1))),IF(AND($B$170=1,$B$66&gt;0,OR($B$175=0,987&lt;=$B$175)),$B$66,IF($B$172-MAX(987-1,$B$174)&gt;0,IF(B1387=0,0,IF(C1387=0,B1387/($B$172-MAX(987-1,$B$174)),B1387*(C1387/12)/(1-(1+C1387/12)^(-($B$172-MAX(987-1,$B$174)))))),"")),D1386)))+0.0000001&gt;=B1387*C1387/12,MIN(B1387*(1+C1387/12),IF(AND(987&lt;=$B$174,987&lt;=$B$173),B1387*C1387/12,IF(AND(987=$B$173+1,AND(987&gt;$B$173,$B$78="Refinance",ISNUMBER($B$80),$B$80&gt;=0,$B$80&lt;=1,ROUND($B$81*12,0)&gt;=1,$B$81&lt;=100,SUM($B$82)&gt;=0,SUM($B$82)&lt;=1,SUM($B$83)&gt;=0)),IF(B1387=0,0,IF(C1387=0,B1387/ROUND($B$81*12,0),B1387*(C1387/12)/(1-(1+C1387/12)^(-ROUND($B$81*12,0))))),IF(AND(NOT(AND(987&gt;$B$173,$B$78="Refinance",ISNUMBER($B$80),$B$80&gt;=0,$B$80&lt;=1,ROUND($B$81*12,0)&gt;=1,$B$81&lt;=100,SUM($B$82)&gt;=0,SUM($B$82)&lt;=1,SUM($B$83)&gt;=0)),OR(987=1,987=$B$174+1,AND($B$175&gt;0,987=$B$175+1))),IF(AND($B$170=1,$B$66&gt;0,OR($B$175=0,987&lt;=$B$175)),$B$66,IF($B$172-MAX(987-1,$B$174)&gt;0,IF(B1387=0,0,IF(C1387=0,B1387/($B$172-MAX(987-1,$B$174)),B1387*(C1387/12)/(1-(1+C1387/12)^(-($B$172-MAX(987-1,$B$174)))))),"")),D1386)))),""),""))</x:f>
        <x:v>0</x:v>
      </x:c>
      <x:c r="E1387" s="440" t="n">
        <x:f>IF(AND(987=$B$173,ISNUMBER(D1387)),IF(MAX(0,B1387*(1+C1387/12)-D1387)&lt;MAX(0.0000001,$E$17*0.00000000001),0,MAX(0,B1387*(1+C1387/12)-D1387)),0)</x:f>
        <x:v>0</x:v>
      </x:c>
      <x:c r="F1387" s="440" t="n">
        <x:f>IF($B$78="Cash payoff",E1387,0)</x:f>
        <x:v>0</x:v>
      </x:c>
      <x:c r="G1387" s="440" t="n">
        <x:f>IF(AND(E1387&gt;0,AND($B$78="Refinance",ISNUMBER($B$80),$B$80&gt;=0,$B$80&lt;=1,ROUND($B$81*12,0)&gt;=1,$B$81&lt;=100,SUM($B$82)&gt;=0,SUM($B$82)&lt;=1,SUM($B$83)&gt;=0)),E1387*SUM($B$82)+SUM($B$83),0)</x:f>
        <x:v>0</x:v>
      </x:c>
      <x:c r="H1387" s="440" t="n">
        <x:f>IF(ISNUMBER(D1387),IF(MAX(0,B1387*(1+C1387/12)-D1387-F1387)&lt;MAX(0.0000001,$E$17*0.00000000001),0,MAX(0,B1387*(1+C1387/12)-D1387-F1387)),IF(AND($B$171=1,I1386=1),B1387,""))</x:f>
        <x:v>0</x:v>
      </x:c>
      <x:c r="I1387" s="444" t="n">
        <x:f>IF(OR(I1386=1,AND(E1387&gt;0,$B$78&lt;&gt;"Cash payoff",NOT(AND($B$78="Refinance",ISNUMBER($B$80),$B$80&gt;=0,$B$80&lt;=1,ROUND($B$81*12,0)&gt;=1,$B$81&lt;=100,SUM($B$82)&gt;=0,SUM($B$82)&lt;=1,SUM($B$83)&gt;=0))),AND(ISNUMBER(B1387),B1387&gt;0,$B$171=1,NOT(ISNUMBER(D1387)))),1,0)</x:f>
        <x:v>0</x:v>
      </x:c>
      <x:c r="J1387" s="440" t="n">
        <x:f>IF(ISNUMBER(L1386),L1386,"")</x:f>
        <x:v>0</x:v>
      </x:c>
      <x:c r="K1387" s="440" t="n">
        <x:f>IF(AND(ISNUMBER(J1387),J1387=0),0,IF(AND($B$176=1,ISNUMBER(J1387)),MIN(J1387*(1+$B$87/12),IF($B$86=0,0,IF($B$87=0,$B$86/ROUND($B$88*12,0),$B$86*($B$87/12)/(1-(1+$B$87/12)^(-ROUND($B$88*12,0)))))),""))</x:f>
        <x:v>0</x:v>
      </x:c>
      <x:c r="L1387" s="440" t="n">
        <x:f>IF(ISNUMBER(K1387),IF(MAX(0,J1387*(1+SUM($B$87)/12)-K1387)&lt;MAX(0.0000001,$B$86*0.00000000001),0,MAX(0,J1387*(1+SUM($B$87)/12)-K1387)),"")</x:f>
        <x:v>0</x:v>
      </x:c>
      <x:c r="M1387" s="440" t="n">
        <x:f>IF(AND(ISNUMBER(D1387),ISNUMBER(K1387)),D1387+K1387,"")</x:f>
        <x:v>0</x:v>
      </x:c>
      <x:c r="N1387" s="440" t="n">
        <x:f>IF(AND(ISNUMBER(H1387),ISNUMBER(L1387)),H1387+L1387,"")</x:f>
        <x:v>0</x:v>
      </x:c>
    </x:row>
    <x:row r="1388" ht="22" customHeight="1">
      <x:c r="A1388" s="254" t="n">
        <x:f>988</x:f>
        <x:v>988</x:v>
      </x:c>
      <x:c r="B1388" s="440" t="n">
        <x:f>IF(ISNUMBER(H1387),H1387,"")</x:f>
        <x:v>0</x:v>
      </x:c>
      <x:c r="C1388" s="442" t="n">
        <x:f>IF(ISNUMBER(B1388),IF(AND(988&gt;$B$173,$B$78="Refinance",ISNUMBER($B$80),$B$80&gt;=0,$B$80&lt;=1,ROUND($B$81*12,0)&gt;=1,$B$81&lt;=100,SUM($B$82)&gt;=0,SUM($B$82)&lt;=1,SUM($B$83)&gt;=0),$B$80,IF(AND($B$175&gt;0,988&gt;$B$175,ISNUMBER($B$75)),$B$75,$B$61)),"")</x:f>
        <x:v>0.0625</x:v>
      </x:c>
      <x:c r="D1388" s="440" t="n">
        <x:f>IF(AND(ISNUMBER(B1388),B1388=0),0,IF(AND($B$171=1,I1387=0,ISNUMBER(C1388),ISNUMBER(IF(AND(988&lt;=$B$174,988&lt;=$B$173),B1388*C1388/12,IF(AND(988=$B$173+1,AND(988&gt;$B$173,$B$78="Refinance",ISNUMBER($B$80),$B$80&gt;=0,$B$80&lt;=1,ROUND($B$81*12,0)&gt;=1,$B$81&lt;=100,SUM($B$82)&gt;=0,SUM($B$82)&lt;=1,SUM($B$83)&gt;=0)),IF(B1388=0,0,IF(C1388=0,B1388/ROUND($B$81*12,0),B1388*(C1388/12)/(1-(1+C1388/12)^(-ROUND($B$81*12,0))))),IF(AND(NOT(AND(988&gt;$B$173,$B$78="Refinance",ISNUMBER($B$80),$B$80&gt;=0,$B$80&lt;=1,ROUND($B$81*12,0)&gt;=1,$B$81&lt;=100,SUM($B$82)&gt;=0,SUM($B$82)&lt;=1,SUM($B$83)&gt;=0)),OR(988=1,988=$B$174+1,AND($B$175&gt;0,988=$B$175+1))),IF(AND($B$170=1,$B$66&gt;0,OR($B$175=0,988&lt;=$B$175)),$B$66,IF($B$172-MAX(988-1,$B$174)&gt;0,IF(B1388=0,0,IF(C1388=0,B1388/($B$172-MAX(988-1,$B$174)),B1388*(C1388/12)/(1-(1+C1388/12)^(-($B$172-MAX(988-1,$B$174)))))),"")),D1387))))),IF(IF(AND(988&lt;=$B$174,988&lt;=$B$173),B1388*C1388/12,IF(AND(988=$B$173+1,AND(988&gt;$B$173,$B$78="Refinance",ISNUMBER($B$80),$B$80&gt;=0,$B$80&lt;=1,ROUND($B$81*12,0)&gt;=1,$B$81&lt;=100,SUM($B$82)&gt;=0,SUM($B$82)&lt;=1,SUM($B$83)&gt;=0)),IF(B1388=0,0,IF(C1388=0,B1388/ROUND($B$81*12,0),B1388*(C1388/12)/(1-(1+C1388/12)^(-ROUND($B$81*12,0))))),IF(AND(NOT(AND(988&gt;$B$173,$B$78="Refinance",ISNUMBER($B$80),$B$80&gt;=0,$B$80&lt;=1,ROUND($B$81*12,0)&gt;=1,$B$81&lt;=100,SUM($B$82)&gt;=0,SUM($B$82)&lt;=1,SUM($B$83)&gt;=0)),OR(988=1,988=$B$174+1,AND($B$175&gt;0,988=$B$175+1))),IF(AND($B$170=1,$B$66&gt;0,OR($B$175=0,988&lt;=$B$175)),$B$66,IF($B$172-MAX(988-1,$B$174)&gt;0,IF(B1388=0,0,IF(C1388=0,B1388/($B$172-MAX(988-1,$B$174)),B1388*(C1388/12)/(1-(1+C1388/12)^(-($B$172-MAX(988-1,$B$174)))))),"")),D1387)))+0.0000001&gt;=B1388*C1388/12,MIN(B1388*(1+C1388/12),IF(AND(988&lt;=$B$174,988&lt;=$B$173),B1388*C1388/12,IF(AND(988=$B$173+1,AND(988&gt;$B$173,$B$78="Refinance",ISNUMBER($B$80),$B$80&gt;=0,$B$80&lt;=1,ROUND($B$81*12,0)&gt;=1,$B$81&lt;=100,SUM($B$82)&gt;=0,SUM($B$82)&lt;=1,SUM($B$83)&gt;=0)),IF(B1388=0,0,IF(C1388=0,B1388/ROUND($B$81*12,0),B1388*(C1388/12)/(1-(1+C1388/12)^(-ROUND($B$81*12,0))))),IF(AND(NOT(AND(988&gt;$B$173,$B$78="Refinance",ISNUMBER($B$80),$B$80&gt;=0,$B$80&lt;=1,ROUND($B$81*12,0)&gt;=1,$B$81&lt;=100,SUM($B$82)&gt;=0,SUM($B$82)&lt;=1,SUM($B$83)&gt;=0)),OR(988=1,988=$B$174+1,AND($B$175&gt;0,988=$B$175+1))),IF(AND($B$170=1,$B$66&gt;0,OR($B$175=0,988&lt;=$B$175)),$B$66,IF($B$172-MAX(988-1,$B$174)&gt;0,IF(B1388=0,0,IF(C1388=0,B1388/($B$172-MAX(988-1,$B$174)),B1388*(C1388/12)/(1-(1+C1388/12)^(-($B$172-MAX(988-1,$B$174)))))),"")),D1387)))),""),""))</x:f>
        <x:v>0</x:v>
      </x:c>
      <x:c r="E1388" s="440" t="n">
        <x:f>IF(AND(988=$B$173,ISNUMBER(D1388)),IF(MAX(0,B1388*(1+C1388/12)-D1388)&lt;MAX(0.0000001,$E$17*0.00000000001),0,MAX(0,B1388*(1+C1388/12)-D1388)),0)</x:f>
        <x:v>0</x:v>
      </x:c>
      <x:c r="F1388" s="440" t="n">
        <x:f>IF($B$78="Cash payoff",E1388,0)</x:f>
        <x:v>0</x:v>
      </x:c>
      <x:c r="G1388" s="440" t="n">
        <x:f>IF(AND(E1388&gt;0,AND($B$78="Refinance",ISNUMBER($B$80),$B$80&gt;=0,$B$80&lt;=1,ROUND($B$81*12,0)&gt;=1,$B$81&lt;=100,SUM($B$82)&gt;=0,SUM($B$82)&lt;=1,SUM($B$83)&gt;=0)),E1388*SUM($B$82)+SUM($B$83),0)</x:f>
        <x:v>0</x:v>
      </x:c>
      <x:c r="H1388" s="440" t="n">
        <x:f>IF(ISNUMBER(D1388),IF(MAX(0,B1388*(1+C1388/12)-D1388-F1388)&lt;MAX(0.0000001,$E$17*0.00000000001),0,MAX(0,B1388*(1+C1388/12)-D1388-F1388)),IF(AND($B$171=1,I1387=1),B1388,""))</x:f>
        <x:v>0</x:v>
      </x:c>
      <x:c r="I1388" s="444" t="n">
        <x:f>IF(OR(I1387=1,AND(E1388&gt;0,$B$78&lt;&gt;"Cash payoff",NOT(AND($B$78="Refinance",ISNUMBER($B$80),$B$80&gt;=0,$B$80&lt;=1,ROUND($B$81*12,0)&gt;=1,$B$81&lt;=100,SUM($B$82)&gt;=0,SUM($B$82)&lt;=1,SUM($B$83)&gt;=0))),AND(ISNUMBER(B1388),B1388&gt;0,$B$171=1,NOT(ISNUMBER(D1388)))),1,0)</x:f>
        <x:v>0</x:v>
      </x:c>
      <x:c r="J1388" s="440" t="n">
        <x:f>IF(ISNUMBER(L1387),L1387,"")</x:f>
        <x:v>0</x:v>
      </x:c>
      <x:c r="K1388" s="440" t="n">
        <x:f>IF(AND(ISNUMBER(J1388),J1388=0),0,IF(AND($B$176=1,ISNUMBER(J1388)),MIN(J1388*(1+$B$87/12),IF($B$86=0,0,IF($B$87=0,$B$86/ROUND($B$88*12,0),$B$86*($B$87/12)/(1-(1+$B$87/12)^(-ROUND($B$88*12,0)))))),""))</x:f>
        <x:v>0</x:v>
      </x:c>
      <x:c r="L1388" s="440" t="n">
        <x:f>IF(ISNUMBER(K1388),IF(MAX(0,J1388*(1+SUM($B$87)/12)-K1388)&lt;MAX(0.0000001,$B$86*0.00000000001),0,MAX(0,J1388*(1+SUM($B$87)/12)-K1388)),"")</x:f>
        <x:v>0</x:v>
      </x:c>
      <x:c r="M1388" s="440" t="n">
        <x:f>IF(AND(ISNUMBER(D1388),ISNUMBER(K1388)),D1388+K1388,"")</x:f>
        <x:v>0</x:v>
      </x:c>
      <x:c r="N1388" s="440" t="n">
        <x:f>IF(AND(ISNUMBER(H1388),ISNUMBER(L1388)),H1388+L1388,"")</x:f>
        <x:v>0</x:v>
      </x:c>
    </x:row>
    <x:row r="1389" ht="22" customHeight="1">
      <x:c r="A1389" s="254" t="n">
        <x:f>989</x:f>
        <x:v>989</x:v>
      </x:c>
      <x:c r="B1389" s="440" t="n">
        <x:f>IF(ISNUMBER(H1388),H1388,"")</x:f>
        <x:v>0</x:v>
      </x:c>
      <x:c r="C1389" s="442" t="n">
        <x:f>IF(ISNUMBER(B1389),IF(AND(989&gt;$B$173,$B$78="Refinance",ISNUMBER($B$80),$B$80&gt;=0,$B$80&lt;=1,ROUND($B$81*12,0)&gt;=1,$B$81&lt;=100,SUM($B$82)&gt;=0,SUM($B$82)&lt;=1,SUM($B$83)&gt;=0),$B$80,IF(AND($B$175&gt;0,989&gt;$B$175,ISNUMBER($B$75)),$B$75,$B$61)),"")</x:f>
        <x:v>0.0625</x:v>
      </x:c>
      <x:c r="D1389" s="440" t="n">
        <x:f>IF(AND(ISNUMBER(B1389),B1389=0),0,IF(AND($B$171=1,I1388=0,ISNUMBER(C1389),ISNUMBER(IF(AND(989&lt;=$B$174,989&lt;=$B$173),B1389*C1389/12,IF(AND(989=$B$173+1,AND(989&gt;$B$173,$B$78="Refinance",ISNUMBER($B$80),$B$80&gt;=0,$B$80&lt;=1,ROUND($B$81*12,0)&gt;=1,$B$81&lt;=100,SUM($B$82)&gt;=0,SUM($B$82)&lt;=1,SUM($B$83)&gt;=0)),IF(B1389=0,0,IF(C1389=0,B1389/ROUND($B$81*12,0),B1389*(C1389/12)/(1-(1+C1389/12)^(-ROUND($B$81*12,0))))),IF(AND(NOT(AND(989&gt;$B$173,$B$78="Refinance",ISNUMBER($B$80),$B$80&gt;=0,$B$80&lt;=1,ROUND($B$81*12,0)&gt;=1,$B$81&lt;=100,SUM($B$82)&gt;=0,SUM($B$82)&lt;=1,SUM($B$83)&gt;=0)),OR(989=1,989=$B$174+1,AND($B$175&gt;0,989=$B$175+1))),IF(AND($B$170=1,$B$66&gt;0,OR($B$175=0,989&lt;=$B$175)),$B$66,IF($B$172-MAX(989-1,$B$174)&gt;0,IF(B1389=0,0,IF(C1389=0,B1389/($B$172-MAX(989-1,$B$174)),B1389*(C1389/12)/(1-(1+C1389/12)^(-($B$172-MAX(989-1,$B$174)))))),"")),D1388))))),IF(IF(AND(989&lt;=$B$174,989&lt;=$B$173),B1389*C1389/12,IF(AND(989=$B$173+1,AND(989&gt;$B$173,$B$78="Refinance",ISNUMBER($B$80),$B$80&gt;=0,$B$80&lt;=1,ROUND($B$81*12,0)&gt;=1,$B$81&lt;=100,SUM($B$82)&gt;=0,SUM($B$82)&lt;=1,SUM($B$83)&gt;=0)),IF(B1389=0,0,IF(C1389=0,B1389/ROUND($B$81*12,0),B1389*(C1389/12)/(1-(1+C1389/12)^(-ROUND($B$81*12,0))))),IF(AND(NOT(AND(989&gt;$B$173,$B$78="Refinance",ISNUMBER($B$80),$B$80&gt;=0,$B$80&lt;=1,ROUND($B$81*12,0)&gt;=1,$B$81&lt;=100,SUM($B$82)&gt;=0,SUM($B$82)&lt;=1,SUM($B$83)&gt;=0)),OR(989=1,989=$B$174+1,AND($B$175&gt;0,989=$B$175+1))),IF(AND($B$170=1,$B$66&gt;0,OR($B$175=0,989&lt;=$B$175)),$B$66,IF($B$172-MAX(989-1,$B$174)&gt;0,IF(B1389=0,0,IF(C1389=0,B1389/($B$172-MAX(989-1,$B$174)),B1389*(C1389/12)/(1-(1+C1389/12)^(-($B$172-MAX(989-1,$B$174)))))),"")),D1388)))+0.0000001&gt;=B1389*C1389/12,MIN(B1389*(1+C1389/12),IF(AND(989&lt;=$B$174,989&lt;=$B$173),B1389*C1389/12,IF(AND(989=$B$173+1,AND(989&gt;$B$173,$B$78="Refinance",ISNUMBER($B$80),$B$80&gt;=0,$B$80&lt;=1,ROUND($B$81*12,0)&gt;=1,$B$81&lt;=100,SUM($B$82)&gt;=0,SUM($B$82)&lt;=1,SUM($B$83)&gt;=0)),IF(B1389=0,0,IF(C1389=0,B1389/ROUND($B$81*12,0),B1389*(C1389/12)/(1-(1+C1389/12)^(-ROUND($B$81*12,0))))),IF(AND(NOT(AND(989&gt;$B$173,$B$78="Refinance",ISNUMBER($B$80),$B$80&gt;=0,$B$80&lt;=1,ROUND($B$81*12,0)&gt;=1,$B$81&lt;=100,SUM($B$82)&gt;=0,SUM($B$82)&lt;=1,SUM($B$83)&gt;=0)),OR(989=1,989=$B$174+1,AND($B$175&gt;0,989=$B$175+1))),IF(AND($B$170=1,$B$66&gt;0,OR($B$175=0,989&lt;=$B$175)),$B$66,IF($B$172-MAX(989-1,$B$174)&gt;0,IF(B1389=0,0,IF(C1389=0,B1389/($B$172-MAX(989-1,$B$174)),B1389*(C1389/12)/(1-(1+C1389/12)^(-($B$172-MAX(989-1,$B$174)))))),"")),D1388)))),""),""))</x:f>
        <x:v>0</x:v>
      </x:c>
      <x:c r="E1389" s="440" t="n">
        <x:f>IF(AND(989=$B$173,ISNUMBER(D1389)),IF(MAX(0,B1389*(1+C1389/12)-D1389)&lt;MAX(0.0000001,$E$17*0.00000000001),0,MAX(0,B1389*(1+C1389/12)-D1389)),0)</x:f>
        <x:v>0</x:v>
      </x:c>
      <x:c r="F1389" s="440" t="n">
        <x:f>IF($B$78="Cash payoff",E1389,0)</x:f>
        <x:v>0</x:v>
      </x:c>
      <x:c r="G1389" s="440" t="n">
        <x:f>IF(AND(E1389&gt;0,AND($B$78="Refinance",ISNUMBER($B$80),$B$80&gt;=0,$B$80&lt;=1,ROUND($B$81*12,0)&gt;=1,$B$81&lt;=100,SUM($B$82)&gt;=0,SUM($B$82)&lt;=1,SUM($B$83)&gt;=0)),E1389*SUM($B$82)+SUM($B$83),0)</x:f>
        <x:v>0</x:v>
      </x:c>
      <x:c r="H1389" s="440" t="n">
        <x:f>IF(ISNUMBER(D1389),IF(MAX(0,B1389*(1+C1389/12)-D1389-F1389)&lt;MAX(0.0000001,$E$17*0.00000000001),0,MAX(0,B1389*(1+C1389/12)-D1389-F1389)),IF(AND($B$171=1,I1388=1),B1389,""))</x:f>
        <x:v>0</x:v>
      </x:c>
      <x:c r="I1389" s="444" t="n">
        <x:f>IF(OR(I1388=1,AND(E1389&gt;0,$B$78&lt;&gt;"Cash payoff",NOT(AND($B$78="Refinance",ISNUMBER($B$80),$B$80&gt;=0,$B$80&lt;=1,ROUND($B$81*12,0)&gt;=1,$B$81&lt;=100,SUM($B$82)&gt;=0,SUM($B$82)&lt;=1,SUM($B$83)&gt;=0))),AND(ISNUMBER(B1389),B1389&gt;0,$B$171=1,NOT(ISNUMBER(D1389)))),1,0)</x:f>
        <x:v>0</x:v>
      </x:c>
      <x:c r="J1389" s="440" t="n">
        <x:f>IF(ISNUMBER(L1388),L1388,"")</x:f>
        <x:v>0</x:v>
      </x:c>
      <x:c r="K1389" s="440" t="n">
        <x:f>IF(AND(ISNUMBER(J1389),J1389=0),0,IF(AND($B$176=1,ISNUMBER(J1389)),MIN(J1389*(1+$B$87/12),IF($B$86=0,0,IF($B$87=0,$B$86/ROUND($B$88*12,0),$B$86*($B$87/12)/(1-(1+$B$87/12)^(-ROUND($B$88*12,0)))))),""))</x:f>
        <x:v>0</x:v>
      </x:c>
      <x:c r="L1389" s="440" t="n">
        <x:f>IF(ISNUMBER(K1389),IF(MAX(0,J1389*(1+SUM($B$87)/12)-K1389)&lt;MAX(0.0000001,$B$86*0.00000000001),0,MAX(0,J1389*(1+SUM($B$87)/12)-K1389)),"")</x:f>
        <x:v>0</x:v>
      </x:c>
      <x:c r="M1389" s="440" t="n">
        <x:f>IF(AND(ISNUMBER(D1389),ISNUMBER(K1389)),D1389+K1389,"")</x:f>
        <x:v>0</x:v>
      </x:c>
      <x:c r="N1389" s="440" t="n">
        <x:f>IF(AND(ISNUMBER(H1389),ISNUMBER(L1389)),H1389+L1389,"")</x:f>
        <x:v>0</x:v>
      </x:c>
    </x:row>
    <x:row r="1390" ht="22" customHeight="1">
      <x:c r="A1390" s="254" t="n">
        <x:f>990</x:f>
        <x:v>990</x:v>
      </x:c>
      <x:c r="B1390" s="440" t="n">
        <x:f>IF(ISNUMBER(H1389),H1389,"")</x:f>
        <x:v>0</x:v>
      </x:c>
      <x:c r="C1390" s="442" t="n">
        <x:f>IF(ISNUMBER(B1390),IF(AND(990&gt;$B$173,$B$78="Refinance",ISNUMBER($B$80),$B$80&gt;=0,$B$80&lt;=1,ROUND($B$81*12,0)&gt;=1,$B$81&lt;=100,SUM($B$82)&gt;=0,SUM($B$82)&lt;=1,SUM($B$83)&gt;=0),$B$80,IF(AND($B$175&gt;0,990&gt;$B$175,ISNUMBER($B$75)),$B$75,$B$61)),"")</x:f>
        <x:v>0.0625</x:v>
      </x:c>
      <x:c r="D1390" s="440" t="n">
        <x:f>IF(AND(ISNUMBER(B1390),B1390=0),0,IF(AND($B$171=1,I1389=0,ISNUMBER(C1390),ISNUMBER(IF(AND(990&lt;=$B$174,990&lt;=$B$173),B1390*C1390/12,IF(AND(990=$B$173+1,AND(990&gt;$B$173,$B$78="Refinance",ISNUMBER($B$80),$B$80&gt;=0,$B$80&lt;=1,ROUND($B$81*12,0)&gt;=1,$B$81&lt;=100,SUM($B$82)&gt;=0,SUM($B$82)&lt;=1,SUM($B$83)&gt;=0)),IF(B1390=0,0,IF(C1390=0,B1390/ROUND($B$81*12,0),B1390*(C1390/12)/(1-(1+C1390/12)^(-ROUND($B$81*12,0))))),IF(AND(NOT(AND(990&gt;$B$173,$B$78="Refinance",ISNUMBER($B$80),$B$80&gt;=0,$B$80&lt;=1,ROUND($B$81*12,0)&gt;=1,$B$81&lt;=100,SUM($B$82)&gt;=0,SUM($B$82)&lt;=1,SUM($B$83)&gt;=0)),OR(990=1,990=$B$174+1,AND($B$175&gt;0,990=$B$175+1))),IF(AND($B$170=1,$B$66&gt;0,OR($B$175=0,990&lt;=$B$175)),$B$66,IF($B$172-MAX(990-1,$B$174)&gt;0,IF(B1390=0,0,IF(C1390=0,B1390/($B$172-MAX(990-1,$B$174)),B1390*(C1390/12)/(1-(1+C1390/12)^(-($B$172-MAX(990-1,$B$174)))))),"")),D1389))))),IF(IF(AND(990&lt;=$B$174,990&lt;=$B$173),B1390*C1390/12,IF(AND(990=$B$173+1,AND(990&gt;$B$173,$B$78="Refinance",ISNUMBER($B$80),$B$80&gt;=0,$B$80&lt;=1,ROUND($B$81*12,0)&gt;=1,$B$81&lt;=100,SUM($B$82)&gt;=0,SUM($B$82)&lt;=1,SUM($B$83)&gt;=0)),IF(B1390=0,0,IF(C1390=0,B1390/ROUND($B$81*12,0),B1390*(C1390/12)/(1-(1+C1390/12)^(-ROUND($B$81*12,0))))),IF(AND(NOT(AND(990&gt;$B$173,$B$78="Refinance",ISNUMBER($B$80),$B$80&gt;=0,$B$80&lt;=1,ROUND($B$81*12,0)&gt;=1,$B$81&lt;=100,SUM($B$82)&gt;=0,SUM($B$82)&lt;=1,SUM($B$83)&gt;=0)),OR(990=1,990=$B$174+1,AND($B$175&gt;0,990=$B$175+1))),IF(AND($B$170=1,$B$66&gt;0,OR($B$175=0,990&lt;=$B$175)),$B$66,IF($B$172-MAX(990-1,$B$174)&gt;0,IF(B1390=0,0,IF(C1390=0,B1390/($B$172-MAX(990-1,$B$174)),B1390*(C1390/12)/(1-(1+C1390/12)^(-($B$172-MAX(990-1,$B$174)))))),"")),D1389)))+0.0000001&gt;=B1390*C1390/12,MIN(B1390*(1+C1390/12),IF(AND(990&lt;=$B$174,990&lt;=$B$173),B1390*C1390/12,IF(AND(990=$B$173+1,AND(990&gt;$B$173,$B$78="Refinance",ISNUMBER($B$80),$B$80&gt;=0,$B$80&lt;=1,ROUND($B$81*12,0)&gt;=1,$B$81&lt;=100,SUM($B$82)&gt;=0,SUM($B$82)&lt;=1,SUM($B$83)&gt;=0)),IF(B1390=0,0,IF(C1390=0,B1390/ROUND($B$81*12,0),B1390*(C1390/12)/(1-(1+C1390/12)^(-ROUND($B$81*12,0))))),IF(AND(NOT(AND(990&gt;$B$173,$B$78="Refinance",ISNUMBER($B$80),$B$80&gt;=0,$B$80&lt;=1,ROUND($B$81*12,0)&gt;=1,$B$81&lt;=100,SUM($B$82)&gt;=0,SUM($B$82)&lt;=1,SUM($B$83)&gt;=0)),OR(990=1,990=$B$174+1,AND($B$175&gt;0,990=$B$175+1))),IF(AND($B$170=1,$B$66&gt;0,OR($B$175=0,990&lt;=$B$175)),$B$66,IF($B$172-MAX(990-1,$B$174)&gt;0,IF(B1390=0,0,IF(C1390=0,B1390/($B$172-MAX(990-1,$B$174)),B1390*(C1390/12)/(1-(1+C1390/12)^(-($B$172-MAX(990-1,$B$174)))))),"")),D1389)))),""),""))</x:f>
        <x:v>0</x:v>
      </x:c>
      <x:c r="E1390" s="440" t="n">
        <x:f>IF(AND(990=$B$173,ISNUMBER(D1390)),IF(MAX(0,B1390*(1+C1390/12)-D1390)&lt;MAX(0.0000001,$E$17*0.00000000001),0,MAX(0,B1390*(1+C1390/12)-D1390)),0)</x:f>
        <x:v>0</x:v>
      </x:c>
      <x:c r="F1390" s="440" t="n">
        <x:f>IF($B$78="Cash payoff",E1390,0)</x:f>
        <x:v>0</x:v>
      </x:c>
      <x:c r="G1390" s="440" t="n">
        <x:f>IF(AND(E1390&gt;0,AND($B$78="Refinance",ISNUMBER($B$80),$B$80&gt;=0,$B$80&lt;=1,ROUND($B$81*12,0)&gt;=1,$B$81&lt;=100,SUM($B$82)&gt;=0,SUM($B$82)&lt;=1,SUM($B$83)&gt;=0)),E1390*SUM($B$82)+SUM($B$83),0)</x:f>
        <x:v>0</x:v>
      </x:c>
      <x:c r="H1390" s="440" t="n">
        <x:f>IF(ISNUMBER(D1390),IF(MAX(0,B1390*(1+C1390/12)-D1390-F1390)&lt;MAX(0.0000001,$E$17*0.00000000001),0,MAX(0,B1390*(1+C1390/12)-D1390-F1390)),IF(AND($B$171=1,I1389=1),B1390,""))</x:f>
        <x:v>0</x:v>
      </x:c>
      <x:c r="I1390" s="444" t="n">
        <x:f>IF(OR(I1389=1,AND(E1390&gt;0,$B$78&lt;&gt;"Cash payoff",NOT(AND($B$78="Refinance",ISNUMBER($B$80),$B$80&gt;=0,$B$80&lt;=1,ROUND($B$81*12,0)&gt;=1,$B$81&lt;=100,SUM($B$82)&gt;=0,SUM($B$82)&lt;=1,SUM($B$83)&gt;=0))),AND(ISNUMBER(B1390),B1390&gt;0,$B$171=1,NOT(ISNUMBER(D1390)))),1,0)</x:f>
        <x:v>0</x:v>
      </x:c>
      <x:c r="J1390" s="440" t="n">
        <x:f>IF(ISNUMBER(L1389),L1389,"")</x:f>
        <x:v>0</x:v>
      </x:c>
      <x:c r="K1390" s="440" t="n">
        <x:f>IF(AND(ISNUMBER(J1390),J1390=0),0,IF(AND($B$176=1,ISNUMBER(J1390)),MIN(J1390*(1+$B$87/12),IF($B$86=0,0,IF($B$87=0,$B$86/ROUND($B$88*12,0),$B$86*($B$87/12)/(1-(1+$B$87/12)^(-ROUND($B$88*12,0)))))),""))</x:f>
        <x:v>0</x:v>
      </x:c>
      <x:c r="L1390" s="440" t="n">
        <x:f>IF(ISNUMBER(K1390),IF(MAX(0,J1390*(1+SUM($B$87)/12)-K1390)&lt;MAX(0.0000001,$B$86*0.00000000001),0,MAX(0,J1390*(1+SUM($B$87)/12)-K1390)),"")</x:f>
        <x:v>0</x:v>
      </x:c>
      <x:c r="M1390" s="440" t="n">
        <x:f>IF(AND(ISNUMBER(D1390),ISNUMBER(K1390)),D1390+K1390,"")</x:f>
        <x:v>0</x:v>
      </x:c>
      <x:c r="N1390" s="440" t="n">
        <x:f>IF(AND(ISNUMBER(H1390),ISNUMBER(L1390)),H1390+L1390,"")</x:f>
        <x:v>0</x:v>
      </x:c>
    </x:row>
    <x:row r="1391" ht="22" customHeight="1">
      <x:c r="A1391" s="254" t="n">
        <x:f>991</x:f>
        <x:v>991</x:v>
      </x:c>
      <x:c r="B1391" s="440" t="n">
        <x:f>IF(ISNUMBER(H1390),H1390,"")</x:f>
        <x:v>0</x:v>
      </x:c>
      <x:c r="C1391" s="442" t="n">
        <x:f>IF(ISNUMBER(B1391),IF(AND(991&gt;$B$173,$B$78="Refinance",ISNUMBER($B$80),$B$80&gt;=0,$B$80&lt;=1,ROUND($B$81*12,0)&gt;=1,$B$81&lt;=100,SUM($B$82)&gt;=0,SUM($B$82)&lt;=1,SUM($B$83)&gt;=0),$B$80,IF(AND($B$175&gt;0,991&gt;$B$175,ISNUMBER($B$75)),$B$75,$B$61)),"")</x:f>
        <x:v>0.0625</x:v>
      </x:c>
      <x:c r="D1391" s="440" t="n">
        <x:f>IF(AND(ISNUMBER(B1391),B1391=0),0,IF(AND($B$171=1,I1390=0,ISNUMBER(C1391),ISNUMBER(IF(AND(991&lt;=$B$174,991&lt;=$B$173),B1391*C1391/12,IF(AND(991=$B$173+1,AND(991&gt;$B$173,$B$78="Refinance",ISNUMBER($B$80),$B$80&gt;=0,$B$80&lt;=1,ROUND($B$81*12,0)&gt;=1,$B$81&lt;=100,SUM($B$82)&gt;=0,SUM($B$82)&lt;=1,SUM($B$83)&gt;=0)),IF(B1391=0,0,IF(C1391=0,B1391/ROUND($B$81*12,0),B1391*(C1391/12)/(1-(1+C1391/12)^(-ROUND($B$81*12,0))))),IF(AND(NOT(AND(991&gt;$B$173,$B$78="Refinance",ISNUMBER($B$80),$B$80&gt;=0,$B$80&lt;=1,ROUND($B$81*12,0)&gt;=1,$B$81&lt;=100,SUM($B$82)&gt;=0,SUM($B$82)&lt;=1,SUM($B$83)&gt;=0)),OR(991=1,991=$B$174+1,AND($B$175&gt;0,991=$B$175+1))),IF(AND($B$170=1,$B$66&gt;0,OR($B$175=0,991&lt;=$B$175)),$B$66,IF($B$172-MAX(991-1,$B$174)&gt;0,IF(B1391=0,0,IF(C1391=0,B1391/($B$172-MAX(991-1,$B$174)),B1391*(C1391/12)/(1-(1+C1391/12)^(-($B$172-MAX(991-1,$B$174)))))),"")),D1390))))),IF(IF(AND(991&lt;=$B$174,991&lt;=$B$173),B1391*C1391/12,IF(AND(991=$B$173+1,AND(991&gt;$B$173,$B$78="Refinance",ISNUMBER($B$80),$B$80&gt;=0,$B$80&lt;=1,ROUND($B$81*12,0)&gt;=1,$B$81&lt;=100,SUM($B$82)&gt;=0,SUM($B$82)&lt;=1,SUM($B$83)&gt;=0)),IF(B1391=0,0,IF(C1391=0,B1391/ROUND($B$81*12,0),B1391*(C1391/12)/(1-(1+C1391/12)^(-ROUND($B$81*12,0))))),IF(AND(NOT(AND(991&gt;$B$173,$B$78="Refinance",ISNUMBER($B$80),$B$80&gt;=0,$B$80&lt;=1,ROUND($B$81*12,0)&gt;=1,$B$81&lt;=100,SUM($B$82)&gt;=0,SUM($B$82)&lt;=1,SUM($B$83)&gt;=0)),OR(991=1,991=$B$174+1,AND($B$175&gt;0,991=$B$175+1))),IF(AND($B$170=1,$B$66&gt;0,OR($B$175=0,991&lt;=$B$175)),$B$66,IF($B$172-MAX(991-1,$B$174)&gt;0,IF(B1391=0,0,IF(C1391=0,B1391/($B$172-MAX(991-1,$B$174)),B1391*(C1391/12)/(1-(1+C1391/12)^(-($B$172-MAX(991-1,$B$174)))))),"")),D1390)))+0.0000001&gt;=B1391*C1391/12,MIN(B1391*(1+C1391/12),IF(AND(991&lt;=$B$174,991&lt;=$B$173),B1391*C1391/12,IF(AND(991=$B$173+1,AND(991&gt;$B$173,$B$78="Refinance",ISNUMBER($B$80),$B$80&gt;=0,$B$80&lt;=1,ROUND($B$81*12,0)&gt;=1,$B$81&lt;=100,SUM($B$82)&gt;=0,SUM($B$82)&lt;=1,SUM($B$83)&gt;=0)),IF(B1391=0,0,IF(C1391=0,B1391/ROUND($B$81*12,0),B1391*(C1391/12)/(1-(1+C1391/12)^(-ROUND($B$81*12,0))))),IF(AND(NOT(AND(991&gt;$B$173,$B$78="Refinance",ISNUMBER($B$80),$B$80&gt;=0,$B$80&lt;=1,ROUND($B$81*12,0)&gt;=1,$B$81&lt;=100,SUM($B$82)&gt;=0,SUM($B$82)&lt;=1,SUM($B$83)&gt;=0)),OR(991=1,991=$B$174+1,AND($B$175&gt;0,991=$B$175+1))),IF(AND($B$170=1,$B$66&gt;0,OR($B$175=0,991&lt;=$B$175)),$B$66,IF($B$172-MAX(991-1,$B$174)&gt;0,IF(B1391=0,0,IF(C1391=0,B1391/($B$172-MAX(991-1,$B$174)),B1391*(C1391/12)/(1-(1+C1391/12)^(-($B$172-MAX(991-1,$B$174)))))),"")),D1390)))),""),""))</x:f>
        <x:v>0</x:v>
      </x:c>
      <x:c r="E1391" s="440" t="n">
        <x:f>IF(AND(991=$B$173,ISNUMBER(D1391)),IF(MAX(0,B1391*(1+C1391/12)-D1391)&lt;MAX(0.0000001,$E$17*0.00000000001),0,MAX(0,B1391*(1+C1391/12)-D1391)),0)</x:f>
        <x:v>0</x:v>
      </x:c>
      <x:c r="F1391" s="440" t="n">
        <x:f>IF($B$78="Cash payoff",E1391,0)</x:f>
        <x:v>0</x:v>
      </x:c>
      <x:c r="G1391" s="440" t="n">
        <x:f>IF(AND(E1391&gt;0,AND($B$78="Refinance",ISNUMBER($B$80),$B$80&gt;=0,$B$80&lt;=1,ROUND($B$81*12,0)&gt;=1,$B$81&lt;=100,SUM($B$82)&gt;=0,SUM($B$82)&lt;=1,SUM($B$83)&gt;=0)),E1391*SUM($B$82)+SUM($B$83),0)</x:f>
        <x:v>0</x:v>
      </x:c>
      <x:c r="H1391" s="440" t="n">
        <x:f>IF(ISNUMBER(D1391),IF(MAX(0,B1391*(1+C1391/12)-D1391-F1391)&lt;MAX(0.0000001,$E$17*0.00000000001),0,MAX(0,B1391*(1+C1391/12)-D1391-F1391)),IF(AND($B$171=1,I1390=1),B1391,""))</x:f>
        <x:v>0</x:v>
      </x:c>
      <x:c r="I1391" s="444" t="n">
        <x:f>IF(OR(I1390=1,AND(E1391&gt;0,$B$78&lt;&gt;"Cash payoff",NOT(AND($B$78="Refinance",ISNUMBER($B$80),$B$80&gt;=0,$B$80&lt;=1,ROUND($B$81*12,0)&gt;=1,$B$81&lt;=100,SUM($B$82)&gt;=0,SUM($B$82)&lt;=1,SUM($B$83)&gt;=0))),AND(ISNUMBER(B1391),B1391&gt;0,$B$171=1,NOT(ISNUMBER(D1391)))),1,0)</x:f>
        <x:v>0</x:v>
      </x:c>
      <x:c r="J1391" s="440" t="n">
        <x:f>IF(ISNUMBER(L1390),L1390,"")</x:f>
        <x:v>0</x:v>
      </x:c>
      <x:c r="K1391" s="440" t="n">
        <x:f>IF(AND(ISNUMBER(J1391),J1391=0),0,IF(AND($B$176=1,ISNUMBER(J1391)),MIN(J1391*(1+$B$87/12),IF($B$86=0,0,IF($B$87=0,$B$86/ROUND($B$88*12,0),$B$86*($B$87/12)/(1-(1+$B$87/12)^(-ROUND($B$88*12,0)))))),""))</x:f>
        <x:v>0</x:v>
      </x:c>
      <x:c r="L1391" s="440" t="n">
        <x:f>IF(ISNUMBER(K1391),IF(MAX(0,J1391*(1+SUM($B$87)/12)-K1391)&lt;MAX(0.0000001,$B$86*0.00000000001),0,MAX(0,J1391*(1+SUM($B$87)/12)-K1391)),"")</x:f>
        <x:v>0</x:v>
      </x:c>
      <x:c r="M1391" s="440" t="n">
        <x:f>IF(AND(ISNUMBER(D1391),ISNUMBER(K1391)),D1391+K1391,"")</x:f>
        <x:v>0</x:v>
      </x:c>
      <x:c r="N1391" s="440" t="n">
        <x:f>IF(AND(ISNUMBER(H1391),ISNUMBER(L1391)),H1391+L1391,"")</x:f>
        <x:v>0</x:v>
      </x:c>
    </x:row>
    <x:row r="1392" ht="22" customHeight="1">
      <x:c r="A1392" s="254" t="n">
        <x:f>992</x:f>
        <x:v>992</x:v>
      </x:c>
      <x:c r="B1392" s="440" t="n">
        <x:f>IF(ISNUMBER(H1391),H1391,"")</x:f>
        <x:v>0</x:v>
      </x:c>
      <x:c r="C1392" s="442" t="n">
        <x:f>IF(ISNUMBER(B1392),IF(AND(992&gt;$B$173,$B$78="Refinance",ISNUMBER($B$80),$B$80&gt;=0,$B$80&lt;=1,ROUND($B$81*12,0)&gt;=1,$B$81&lt;=100,SUM($B$82)&gt;=0,SUM($B$82)&lt;=1,SUM($B$83)&gt;=0),$B$80,IF(AND($B$175&gt;0,992&gt;$B$175,ISNUMBER($B$75)),$B$75,$B$61)),"")</x:f>
        <x:v>0.0625</x:v>
      </x:c>
      <x:c r="D1392" s="440" t="n">
        <x:f>IF(AND(ISNUMBER(B1392),B1392=0),0,IF(AND($B$171=1,I1391=0,ISNUMBER(C1392),ISNUMBER(IF(AND(992&lt;=$B$174,992&lt;=$B$173),B1392*C1392/12,IF(AND(992=$B$173+1,AND(992&gt;$B$173,$B$78="Refinance",ISNUMBER($B$80),$B$80&gt;=0,$B$80&lt;=1,ROUND($B$81*12,0)&gt;=1,$B$81&lt;=100,SUM($B$82)&gt;=0,SUM($B$82)&lt;=1,SUM($B$83)&gt;=0)),IF(B1392=0,0,IF(C1392=0,B1392/ROUND($B$81*12,0),B1392*(C1392/12)/(1-(1+C1392/12)^(-ROUND($B$81*12,0))))),IF(AND(NOT(AND(992&gt;$B$173,$B$78="Refinance",ISNUMBER($B$80),$B$80&gt;=0,$B$80&lt;=1,ROUND($B$81*12,0)&gt;=1,$B$81&lt;=100,SUM($B$82)&gt;=0,SUM($B$82)&lt;=1,SUM($B$83)&gt;=0)),OR(992=1,992=$B$174+1,AND($B$175&gt;0,992=$B$175+1))),IF(AND($B$170=1,$B$66&gt;0,OR($B$175=0,992&lt;=$B$175)),$B$66,IF($B$172-MAX(992-1,$B$174)&gt;0,IF(B1392=0,0,IF(C1392=0,B1392/($B$172-MAX(992-1,$B$174)),B1392*(C1392/12)/(1-(1+C1392/12)^(-($B$172-MAX(992-1,$B$174)))))),"")),D1391))))),IF(IF(AND(992&lt;=$B$174,992&lt;=$B$173),B1392*C1392/12,IF(AND(992=$B$173+1,AND(992&gt;$B$173,$B$78="Refinance",ISNUMBER($B$80),$B$80&gt;=0,$B$80&lt;=1,ROUND($B$81*12,0)&gt;=1,$B$81&lt;=100,SUM($B$82)&gt;=0,SUM($B$82)&lt;=1,SUM($B$83)&gt;=0)),IF(B1392=0,0,IF(C1392=0,B1392/ROUND($B$81*12,0),B1392*(C1392/12)/(1-(1+C1392/12)^(-ROUND($B$81*12,0))))),IF(AND(NOT(AND(992&gt;$B$173,$B$78="Refinance",ISNUMBER($B$80),$B$80&gt;=0,$B$80&lt;=1,ROUND($B$81*12,0)&gt;=1,$B$81&lt;=100,SUM($B$82)&gt;=0,SUM($B$82)&lt;=1,SUM($B$83)&gt;=0)),OR(992=1,992=$B$174+1,AND($B$175&gt;0,992=$B$175+1))),IF(AND($B$170=1,$B$66&gt;0,OR($B$175=0,992&lt;=$B$175)),$B$66,IF($B$172-MAX(992-1,$B$174)&gt;0,IF(B1392=0,0,IF(C1392=0,B1392/($B$172-MAX(992-1,$B$174)),B1392*(C1392/12)/(1-(1+C1392/12)^(-($B$172-MAX(992-1,$B$174)))))),"")),D1391)))+0.0000001&gt;=B1392*C1392/12,MIN(B1392*(1+C1392/12),IF(AND(992&lt;=$B$174,992&lt;=$B$173),B1392*C1392/12,IF(AND(992=$B$173+1,AND(992&gt;$B$173,$B$78="Refinance",ISNUMBER($B$80),$B$80&gt;=0,$B$80&lt;=1,ROUND($B$81*12,0)&gt;=1,$B$81&lt;=100,SUM($B$82)&gt;=0,SUM($B$82)&lt;=1,SUM($B$83)&gt;=0)),IF(B1392=0,0,IF(C1392=0,B1392/ROUND($B$81*12,0),B1392*(C1392/12)/(1-(1+C1392/12)^(-ROUND($B$81*12,0))))),IF(AND(NOT(AND(992&gt;$B$173,$B$78="Refinance",ISNUMBER($B$80),$B$80&gt;=0,$B$80&lt;=1,ROUND($B$81*12,0)&gt;=1,$B$81&lt;=100,SUM($B$82)&gt;=0,SUM($B$82)&lt;=1,SUM($B$83)&gt;=0)),OR(992=1,992=$B$174+1,AND($B$175&gt;0,992=$B$175+1))),IF(AND($B$170=1,$B$66&gt;0,OR($B$175=0,992&lt;=$B$175)),$B$66,IF($B$172-MAX(992-1,$B$174)&gt;0,IF(B1392=0,0,IF(C1392=0,B1392/($B$172-MAX(992-1,$B$174)),B1392*(C1392/12)/(1-(1+C1392/12)^(-($B$172-MAX(992-1,$B$174)))))),"")),D1391)))),""),""))</x:f>
        <x:v>0</x:v>
      </x:c>
      <x:c r="E1392" s="440" t="n">
        <x:f>IF(AND(992=$B$173,ISNUMBER(D1392)),IF(MAX(0,B1392*(1+C1392/12)-D1392)&lt;MAX(0.0000001,$E$17*0.00000000001),0,MAX(0,B1392*(1+C1392/12)-D1392)),0)</x:f>
        <x:v>0</x:v>
      </x:c>
      <x:c r="F1392" s="440" t="n">
        <x:f>IF($B$78="Cash payoff",E1392,0)</x:f>
        <x:v>0</x:v>
      </x:c>
      <x:c r="G1392" s="440" t="n">
        <x:f>IF(AND(E1392&gt;0,AND($B$78="Refinance",ISNUMBER($B$80),$B$80&gt;=0,$B$80&lt;=1,ROUND($B$81*12,0)&gt;=1,$B$81&lt;=100,SUM($B$82)&gt;=0,SUM($B$82)&lt;=1,SUM($B$83)&gt;=0)),E1392*SUM($B$82)+SUM($B$83),0)</x:f>
        <x:v>0</x:v>
      </x:c>
      <x:c r="H1392" s="440" t="n">
        <x:f>IF(ISNUMBER(D1392),IF(MAX(0,B1392*(1+C1392/12)-D1392-F1392)&lt;MAX(0.0000001,$E$17*0.00000000001),0,MAX(0,B1392*(1+C1392/12)-D1392-F1392)),IF(AND($B$171=1,I1391=1),B1392,""))</x:f>
        <x:v>0</x:v>
      </x:c>
      <x:c r="I1392" s="444" t="n">
        <x:f>IF(OR(I1391=1,AND(E1392&gt;0,$B$78&lt;&gt;"Cash payoff",NOT(AND($B$78="Refinance",ISNUMBER($B$80),$B$80&gt;=0,$B$80&lt;=1,ROUND($B$81*12,0)&gt;=1,$B$81&lt;=100,SUM($B$82)&gt;=0,SUM($B$82)&lt;=1,SUM($B$83)&gt;=0))),AND(ISNUMBER(B1392),B1392&gt;0,$B$171=1,NOT(ISNUMBER(D1392)))),1,0)</x:f>
        <x:v>0</x:v>
      </x:c>
      <x:c r="J1392" s="440" t="n">
        <x:f>IF(ISNUMBER(L1391),L1391,"")</x:f>
        <x:v>0</x:v>
      </x:c>
      <x:c r="K1392" s="440" t="n">
        <x:f>IF(AND(ISNUMBER(J1392),J1392=0),0,IF(AND($B$176=1,ISNUMBER(J1392)),MIN(J1392*(1+$B$87/12),IF($B$86=0,0,IF($B$87=0,$B$86/ROUND($B$88*12,0),$B$86*($B$87/12)/(1-(1+$B$87/12)^(-ROUND($B$88*12,0)))))),""))</x:f>
        <x:v>0</x:v>
      </x:c>
      <x:c r="L1392" s="440" t="n">
        <x:f>IF(ISNUMBER(K1392),IF(MAX(0,J1392*(1+SUM($B$87)/12)-K1392)&lt;MAX(0.0000001,$B$86*0.00000000001),0,MAX(0,J1392*(1+SUM($B$87)/12)-K1392)),"")</x:f>
        <x:v>0</x:v>
      </x:c>
      <x:c r="M1392" s="440" t="n">
        <x:f>IF(AND(ISNUMBER(D1392),ISNUMBER(K1392)),D1392+K1392,"")</x:f>
        <x:v>0</x:v>
      </x:c>
      <x:c r="N1392" s="440" t="n">
        <x:f>IF(AND(ISNUMBER(H1392),ISNUMBER(L1392)),H1392+L1392,"")</x:f>
        <x:v>0</x:v>
      </x:c>
    </x:row>
    <x:row r="1393" ht="22" customHeight="1">
      <x:c r="A1393" s="254" t="n">
        <x:f>993</x:f>
        <x:v>993</x:v>
      </x:c>
      <x:c r="B1393" s="440" t="n">
        <x:f>IF(ISNUMBER(H1392),H1392,"")</x:f>
        <x:v>0</x:v>
      </x:c>
      <x:c r="C1393" s="442" t="n">
        <x:f>IF(ISNUMBER(B1393),IF(AND(993&gt;$B$173,$B$78="Refinance",ISNUMBER($B$80),$B$80&gt;=0,$B$80&lt;=1,ROUND($B$81*12,0)&gt;=1,$B$81&lt;=100,SUM($B$82)&gt;=0,SUM($B$82)&lt;=1,SUM($B$83)&gt;=0),$B$80,IF(AND($B$175&gt;0,993&gt;$B$175,ISNUMBER($B$75)),$B$75,$B$61)),"")</x:f>
        <x:v>0.0625</x:v>
      </x:c>
      <x:c r="D1393" s="440" t="n">
        <x:f>IF(AND(ISNUMBER(B1393),B1393=0),0,IF(AND($B$171=1,I1392=0,ISNUMBER(C1393),ISNUMBER(IF(AND(993&lt;=$B$174,993&lt;=$B$173),B1393*C1393/12,IF(AND(993=$B$173+1,AND(993&gt;$B$173,$B$78="Refinance",ISNUMBER($B$80),$B$80&gt;=0,$B$80&lt;=1,ROUND($B$81*12,0)&gt;=1,$B$81&lt;=100,SUM($B$82)&gt;=0,SUM($B$82)&lt;=1,SUM($B$83)&gt;=0)),IF(B1393=0,0,IF(C1393=0,B1393/ROUND($B$81*12,0),B1393*(C1393/12)/(1-(1+C1393/12)^(-ROUND($B$81*12,0))))),IF(AND(NOT(AND(993&gt;$B$173,$B$78="Refinance",ISNUMBER($B$80),$B$80&gt;=0,$B$80&lt;=1,ROUND($B$81*12,0)&gt;=1,$B$81&lt;=100,SUM($B$82)&gt;=0,SUM($B$82)&lt;=1,SUM($B$83)&gt;=0)),OR(993=1,993=$B$174+1,AND($B$175&gt;0,993=$B$175+1))),IF(AND($B$170=1,$B$66&gt;0,OR($B$175=0,993&lt;=$B$175)),$B$66,IF($B$172-MAX(993-1,$B$174)&gt;0,IF(B1393=0,0,IF(C1393=0,B1393/($B$172-MAX(993-1,$B$174)),B1393*(C1393/12)/(1-(1+C1393/12)^(-($B$172-MAX(993-1,$B$174)))))),"")),D1392))))),IF(IF(AND(993&lt;=$B$174,993&lt;=$B$173),B1393*C1393/12,IF(AND(993=$B$173+1,AND(993&gt;$B$173,$B$78="Refinance",ISNUMBER($B$80),$B$80&gt;=0,$B$80&lt;=1,ROUND($B$81*12,0)&gt;=1,$B$81&lt;=100,SUM($B$82)&gt;=0,SUM($B$82)&lt;=1,SUM($B$83)&gt;=0)),IF(B1393=0,0,IF(C1393=0,B1393/ROUND($B$81*12,0),B1393*(C1393/12)/(1-(1+C1393/12)^(-ROUND($B$81*12,0))))),IF(AND(NOT(AND(993&gt;$B$173,$B$78="Refinance",ISNUMBER($B$80),$B$80&gt;=0,$B$80&lt;=1,ROUND($B$81*12,0)&gt;=1,$B$81&lt;=100,SUM($B$82)&gt;=0,SUM($B$82)&lt;=1,SUM($B$83)&gt;=0)),OR(993=1,993=$B$174+1,AND($B$175&gt;0,993=$B$175+1))),IF(AND($B$170=1,$B$66&gt;0,OR($B$175=0,993&lt;=$B$175)),$B$66,IF($B$172-MAX(993-1,$B$174)&gt;0,IF(B1393=0,0,IF(C1393=0,B1393/($B$172-MAX(993-1,$B$174)),B1393*(C1393/12)/(1-(1+C1393/12)^(-($B$172-MAX(993-1,$B$174)))))),"")),D1392)))+0.0000001&gt;=B1393*C1393/12,MIN(B1393*(1+C1393/12),IF(AND(993&lt;=$B$174,993&lt;=$B$173),B1393*C1393/12,IF(AND(993=$B$173+1,AND(993&gt;$B$173,$B$78="Refinance",ISNUMBER($B$80),$B$80&gt;=0,$B$80&lt;=1,ROUND($B$81*12,0)&gt;=1,$B$81&lt;=100,SUM($B$82)&gt;=0,SUM($B$82)&lt;=1,SUM($B$83)&gt;=0)),IF(B1393=0,0,IF(C1393=0,B1393/ROUND($B$81*12,0),B1393*(C1393/12)/(1-(1+C1393/12)^(-ROUND($B$81*12,0))))),IF(AND(NOT(AND(993&gt;$B$173,$B$78="Refinance",ISNUMBER($B$80),$B$80&gt;=0,$B$80&lt;=1,ROUND($B$81*12,0)&gt;=1,$B$81&lt;=100,SUM($B$82)&gt;=0,SUM($B$82)&lt;=1,SUM($B$83)&gt;=0)),OR(993=1,993=$B$174+1,AND($B$175&gt;0,993=$B$175+1))),IF(AND($B$170=1,$B$66&gt;0,OR($B$175=0,993&lt;=$B$175)),$B$66,IF($B$172-MAX(993-1,$B$174)&gt;0,IF(B1393=0,0,IF(C1393=0,B1393/($B$172-MAX(993-1,$B$174)),B1393*(C1393/12)/(1-(1+C1393/12)^(-($B$172-MAX(993-1,$B$174)))))),"")),D1392)))),""),""))</x:f>
        <x:v>0</x:v>
      </x:c>
      <x:c r="E1393" s="440" t="n">
        <x:f>IF(AND(993=$B$173,ISNUMBER(D1393)),IF(MAX(0,B1393*(1+C1393/12)-D1393)&lt;MAX(0.0000001,$E$17*0.00000000001),0,MAX(0,B1393*(1+C1393/12)-D1393)),0)</x:f>
        <x:v>0</x:v>
      </x:c>
      <x:c r="F1393" s="440" t="n">
        <x:f>IF($B$78="Cash payoff",E1393,0)</x:f>
        <x:v>0</x:v>
      </x:c>
      <x:c r="G1393" s="440" t="n">
        <x:f>IF(AND(E1393&gt;0,AND($B$78="Refinance",ISNUMBER($B$80),$B$80&gt;=0,$B$80&lt;=1,ROUND($B$81*12,0)&gt;=1,$B$81&lt;=100,SUM($B$82)&gt;=0,SUM($B$82)&lt;=1,SUM($B$83)&gt;=0)),E1393*SUM($B$82)+SUM($B$83),0)</x:f>
        <x:v>0</x:v>
      </x:c>
      <x:c r="H1393" s="440" t="n">
        <x:f>IF(ISNUMBER(D1393),IF(MAX(0,B1393*(1+C1393/12)-D1393-F1393)&lt;MAX(0.0000001,$E$17*0.00000000001),0,MAX(0,B1393*(1+C1393/12)-D1393-F1393)),IF(AND($B$171=1,I1392=1),B1393,""))</x:f>
        <x:v>0</x:v>
      </x:c>
      <x:c r="I1393" s="444" t="n">
        <x:f>IF(OR(I1392=1,AND(E1393&gt;0,$B$78&lt;&gt;"Cash payoff",NOT(AND($B$78="Refinance",ISNUMBER($B$80),$B$80&gt;=0,$B$80&lt;=1,ROUND($B$81*12,0)&gt;=1,$B$81&lt;=100,SUM($B$82)&gt;=0,SUM($B$82)&lt;=1,SUM($B$83)&gt;=0))),AND(ISNUMBER(B1393),B1393&gt;0,$B$171=1,NOT(ISNUMBER(D1393)))),1,0)</x:f>
        <x:v>0</x:v>
      </x:c>
      <x:c r="J1393" s="440" t="n">
        <x:f>IF(ISNUMBER(L1392),L1392,"")</x:f>
        <x:v>0</x:v>
      </x:c>
      <x:c r="K1393" s="440" t="n">
        <x:f>IF(AND(ISNUMBER(J1393),J1393=0),0,IF(AND($B$176=1,ISNUMBER(J1393)),MIN(J1393*(1+$B$87/12),IF($B$86=0,0,IF($B$87=0,$B$86/ROUND($B$88*12,0),$B$86*($B$87/12)/(1-(1+$B$87/12)^(-ROUND($B$88*12,0)))))),""))</x:f>
        <x:v>0</x:v>
      </x:c>
      <x:c r="L1393" s="440" t="n">
        <x:f>IF(ISNUMBER(K1393),IF(MAX(0,J1393*(1+SUM($B$87)/12)-K1393)&lt;MAX(0.0000001,$B$86*0.00000000001),0,MAX(0,J1393*(1+SUM($B$87)/12)-K1393)),"")</x:f>
        <x:v>0</x:v>
      </x:c>
      <x:c r="M1393" s="440" t="n">
        <x:f>IF(AND(ISNUMBER(D1393),ISNUMBER(K1393)),D1393+K1393,"")</x:f>
        <x:v>0</x:v>
      </x:c>
      <x:c r="N1393" s="440" t="n">
        <x:f>IF(AND(ISNUMBER(H1393),ISNUMBER(L1393)),H1393+L1393,"")</x:f>
        <x:v>0</x:v>
      </x:c>
    </x:row>
    <x:row r="1394" ht="22" customHeight="1">
      <x:c r="A1394" s="254" t="n">
        <x:f>994</x:f>
        <x:v>994</x:v>
      </x:c>
      <x:c r="B1394" s="440" t="n">
        <x:f>IF(ISNUMBER(H1393),H1393,"")</x:f>
        <x:v>0</x:v>
      </x:c>
      <x:c r="C1394" s="442" t="n">
        <x:f>IF(ISNUMBER(B1394),IF(AND(994&gt;$B$173,$B$78="Refinance",ISNUMBER($B$80),$B$80&gt;=0,$B$80&lt;=1,ROUND($B$81*12,0)&gt;=1,$B$81&lt;=100,SUM($B$82)&gt;=0,SUM($B$82)&lt;=1,SUM($B$83)&gt;=0),$B$80,IF(AND($B$175&gt;0,994&gt;$B$175,ISNUMBER($B$75)),$B$75,$B$61)),"")</x:f>
        <x:v>0.0625</x:v>
      </x:c>
      <x:c r="D1394" s="440" t="n">
        <x:f>IF(AND(ISNUMBER(B1394),B1394=0),0,IF(AND($B$171=1,I1393=0,ISNUMBER(C1394),ISNUMBER(IF(AND(994&lt;=$B$174,994&lt;=$B$173),B1394*C1394/12,IF(AND(994=$B$173+1,AND(994&gt;$B$173,$B$78="Refinance",ISNUMBER($B$80),$B$80&gt;=0,$B$80&lt;=1,ROUND($B$81*12,0)&gt;=1,$B$81&lt;=100,SUM($B$82)&gt;=0,SUM($B$82)&lt;=1,SUM($B$83)&gt;=0)),IF(B1394=0,0,IF(C1394=0,B1394/ROUND($B$81*12,0),B1394*(C1394/12)/(1-(1+C1394/12)^(-ROUND($B$81*12,0))))),IF(AND(NOT(AND(994&gt;$B$173,$B$78="Refinance",ISNUMBER($B$80),$B$80&gt;=0,$B$80&lt;=1,ROUND($B$81*12,0)&gt;=1,$B$81&lt;=100,SUM($B$82)&gt;=0,SUM($B$82)&lt;=1,SUM($B$83)&gt;=0)),OR(994=1,994=$B$174+1,AND($B$175&gt;0,994=$B$175+1))),IF(AND($B$170=1,$B$66&gt;0,OR($B$175=0,994&lt;=$B$175)),$B$66,IF($B$172-MAX(994-1,$B$174)&gt;0,IF(B1394=0,0,IF(C1394=0,B1394/($B$172-MAX(994-1,$B$174)),B1394*(C1394/12)/(1-(1+C1394/12)^(-($B$172-MAX(994-1,$B$174)))))),"")),D1393))))),IF(IF(AND(994&lt;=$B$174,994&lt;=$B$173),B1394*C1394/12,IF(AND(994=$B$173+1,AND(994&gt;$B$173,$B$78="Refinance",ISNUMBER($B$80),$B$80&gt;=0,$B$80&lt;=1,ROUND($B$81*12,0)&gt;=1,$B$81&lt;=100,SUM($B$82)&gt;=0,SUM($B$82)&lt;=1,SUM($B$83)&gt;=0)),IF(B1394=0,0,IF(C1394=0,B1394/ROUND($B$81*12,0),B1394*(C1394/12)/(1-(1+C1394/12)^(-ROUND($B$81*12,0))))),IF(AND(NOT(AND(994&gt;$B$173,$B$78="Refinance",ISNUMBER($B$80),$B$80&gt;=0,$B$80&lt;=1,ROUND($B$81*12,0)&gt;=1,$B$81&lt;=100,SUM($B$82)&gt;=0,SUM($B$82)&lt;=1,SUM($B$83)&gt;=0)),OR(994=1,994=$B$174+1,AND($B$175&gt;0,994=$B$175+1))),IF(AND($B$170=1,$B$66&gt;0,OR($B$175=0,994&lt;=$B$175)),$B$66,IF($B$172-MAX(994-1,$B$174)&gt;0,IF(B1394=0,0,IF(C1394=0,B1394/($B$172-MAX(994-1,$B$174)),B1394*(C1394/12)/(1-(1+C1394/12)^(-($B$172-MAX(994-1,$B$174)))))),"")),D1393)))+0.0000001&gt;=B1394*C1394/12,MIN(B1394*(1+C1394/12),IF(AND(994&lt;=$B$174,994&lt;=$B$173),B1394*C1394/12,IF(AND(994=$B$173+1,AND(994&gt;$B$173,$B$78="Refinance",ISNUMBER($B$80),$B$80&gt;=0,$B$80&lt;=1,ROUND($B$81*12,0)&gt;=1,$B$81&lt;=100,SUM($B$82)&gt;=0,SUM($B$82)&lt;=1,SUM($B$83)&gt;=0)),IF(B1394=0,0,IF(C1394=0,B1394/ROUND($B$81*12,0),B1394*(C1394/12)/(1-(1+C1394/12)^(-ROUND($B$81*12,0))))),IF(AND(NOT(AND(994&gt;$B$173,$B$78="Refinance",ISNUMBER($B$80),$B$80&gt;=0,$B$80&lt;=1,ROUND($B$81*12,0)&gt;=1,$B$81&lt;=100,SUM($B$82)&gt;=0,SUM($B$82)&lt;=1,SUM($B$83)&gt;=0)),OR(994=1,994=$B$174+1,AND($B$175&gt;0,994=$B$175+1))),IF(AND($B$170=1,$B$66&gt;0,OR($B$175=0,994&lt;=$B$175)),$B$66,IF($B$172-MAX(994-1,$B$174)&gt;0,IF(B1394=0,0,IF(C1394=0,B1394/($B$172-MAX(994-1,$B$174)),B1394*(C1394/12)/(1-(1+C1394/12)^(-($B$172-MAX(994-1,$B$174)))))),"")),D1393)))),""),""))</x:f>
        <x:v>0</x:v>
      </x:c>
      <x:c r="E1394" s="440" t="n">
        <x:f>IF(AND(994=$B$173,ISNUMBER(D1394)),IF(MAX(0,B1394*(1+C1394/12)-D1394)&lt;MAX(0.0000001,$E$17*0.00000000001),0,MAX(0,B1394*(1+C1394/12)-D1394)),0)</x:f>
        <x:v>0</x:v>
      </x:c>
      <x:c r="F1394" s="440" t="n">
        <x:f>IF($B$78="Cash payoff",E1394,0)</x:f>
        <x:v>0</x:v>
      </x:c>
      <x:c r="G1394" s="440" t="n">
        <x:f>IF(AND(E1394&gt;0,AND($B$78="Refinance",ISNUMBER($B$80),$B$80&gt;=0,$B$80&lt;=1,ROUND($B$81*12,0)&gt;=1,$B$81&lt;=100,SUM($B$82)&gt;=0,SUM($B$82)&lt;=1,SUM($B$83)&gt;=0)),E1394*SUM($B$82)+SUM($B$83),0)</x:f>
        <x:v>0</x:v>
      </x:c>
      <x:c r="H1394" s="440" t="n">
        <x:f>IF(ISNUMBER(D1394),IF(MAX(0,B1394*(1+C1394/12)-D1394-F1394)&lt;MAX(0.0000001,$E$17*0.00000000001),0,MAX(0,B1394*(1+C1394/12)-D1394-F1394)),IF(AND($B$171=1,I1393=1),B1394,""))</x:f>
        <x:v>0</x:v>
      </x:c>
      <x:c r="I1394" s="444" t="n">
        <x:f>IF(OR(I1393=1,AND(E1394&gt;0,$B$78&lt;&gt;"Cash payoff",NOT(AND($B$78="Refinance",ISNUMBER($B$80),$B$80&gt;=0,$B$80&lt;=1,ROUND($B$81*12,0)&gt;=1,$B$81&lt;=100,SUM($B$82)&gt;=0,SUM($B$82)&lt;=1,SUM($B$83)&gt;=0))),AND(ISNUMBER(B1394),B1394&gt;0,$B$171=1,NOT(ISNUMBER(D1394)))),1,0)</x:f>
        <x:v>0</x:v>
      </x:c>
      <x:c r="J1394" s="440" t="n">
        <x:f>IF(ISNUMBER(L1393),L1393,"")</x:f>
        <x:v>0</x:v>
      </x:c>
      <x:c r="K1394" s="440" t="n">
        <x:f>IF(AND(ISNUMBER(J1394),J1394=0),0,IF(AND($B$176=1,ISNUMBER(J1394)),MIN(J1394*(1+$B$87/12),IF($B$86=0,0,IF($B$87=0,$B$86/ROUND($B$88*12,0),$B$86*($B$87/12)/(1-(1+$B$87/12)^(-ROUND($B$88*12,0)))))),""))</x:f>
        <x:v>0</x:v>
      </x:c>
      <x:c r="L1394" s="440" t="n">
        <x:f>IF(ISNUMBER(K1394),IF(MAX(0,J1394*(1+SUM($B$87)/12)-K1394)&lt;MAX(0.0000001,$B$86*0.00000000001),0,MAX(0,J1394*(1+SUM($B$87)/12)-K1394)),"")</x:f>
        <x:v>0</x:v>
      </x:c>
      <x:c r="M1394" s="440" t="n">
        <x:f>IF(AND(ISNUMBER(D1394),ISNUMBER(K1394)),D1394+K1394,"")</x:f>
        <x:v>0</x:v>
      </x:c>
      <x:c r="N1394" s="440" t="n">
        <x:f>IF(AND(ISNUMBER(H1394),ISNUMBER(L1394)),H1394+L1394,"")</x:f>
        <x:v>0</x:v>
      </x:c>
    </x:row>
    <x:row r="1395" ht="22" customHeight="1">
      <x:c r="A1395" s="254" t="n">
        <x:f>995</x:f>
        <x:v>995</x:v>
      </x:c>
      <x:c r="B1395" s="440" t="n">
        <x:f>IF(ISNUMBER(H1394),H1394,"")</x:f>
        <x:v>0</x:v>
      </x:c>
      <x:c r="C1395" s="442" t="n">
        <x:f>IF(ISNUMBER(B1395),IF(AND(995&gt;$B$173,$B$78="Refinance",ISNUMBER($B$80),$B$80&gt;=0,$B$80&lt;=1,ROUND($B$81*12,0)&gt;=1,$B$81&lt;=100,SUM($B$82)&gt;=0,SUM($B$82)&lt;=1,SUM($B$83)&gt;=0),$B$80,IF(AND($B$175&gt;0,995&gt;$B$175,ISNUMBER($B$75)),$B$75,$B$61)),"")</x:f>
        <x:v>0.0625</x:v>
      </x:c>
      <x:c r="D1395" s="440" t="n">
        <x:f>IF(AND(ISNUMBER(B1395),B1395=0),0,IF(AND($B$171=1,I1394=0,ISNUMBER(C1395),ISNUMBER(IF(AND(995&lt;=$B$174,995&lt;=$B$173),B1395*C1395/12,IF(AND(995=$B$173+1,AND(995&gt;$B$173,$B$78="Refinance",ISNUMBER($B$80),$B$80&gt;=0,$B$80&lt;=1,ROUND($B$81*12,0)&gt;=1,$B$81&lt;=100,SUM($B$82)&gt;=0,SUM($B$82)&lt;=1,SUM($B$83)&gt;=0)),IF(B1395=0,0,IF(C1395=0,B1395/ROUND($B$81*12,0),B1395*(C1395/12)/(1-(1+C1395/12)^(-ROUND($B$81*12,0))))),IF(AND(NOT(AND(995&gt;$B$173,$B$78="Refinance",ISNUMBER($B$80),$B$80&gt;=0,$B$80&lt;=1,ROUND($B$81*12,0)&gt;=1,$B$81&lt;=100,SUM($B$82)&gt;=0,SUM($B$82)&lt;=1,SUM($B$83)&gt;=0)),OR(995=1,995=$B$174+1,AND($B$175&gt;0,995=$B$175+1))),IF(AND($B$170=1,$B$66&gt;0,OR($B$175=0,995&lt;=$B$175)),$B$66,IF($B$172-MAX(995-1,$B$174)&gt;0,IF(B1395=0,0,IF(C1395=0,B1395/($B$172-MAX(995-1,$B$174)),B1395*(C1395/12)/(1-(1+C1395/12)^(-($B$172-MAX(995-1,$B$174)))))),"")),D1394))))),IF(IF(AND(995&lt;=$B$174,995&lt;=$B$173),B1395*C1395/12,IF(AND(995=$B$173+1,AND(995&gt;$B$173,$B$78="Refinance",ISNUMBER($B$80),$B$80&gt;=0,$B$80&lt;=1,ROUND($B$81*12,0)&gt;=1,$B$81&lt;=100,SUM($B$82)&gt;=0,SUM($B$82)&lt;=1,SUM($B$83)&gt;=0)),IF(B1395=0,0,IF(C1395=0,B1395/ROUND($B$81*12,0),B1395*(C1395/12)/(1-(1+C1395/12)^(-ROUND($B$81*12,0))))),IF(AND(NOT(AND(995&gt;$B$173,$B$78="Refinance",ISNUMBER($B$80),$B$80&gt;=0,$B$80&lt;=1,ROUND($B$81*12,0)&gt;=1,$B$81&lt;=100,SUM($B$82)&gt;=0,SUM($B$82)&lt;=1,SUM($B$83)&gt;=0)),OR(995=1,995=$B$174+1,AND($B$175&gt;0,995=$B$175+1))),IF(AND($B$170=1,$B$66&gt;0,OR($B$175=0,995&lt;=$B$175)),$B$66,IF($B$172-MAX(995-1,$B$174)&gt;0,IF(B1395=0,0,IF(C1395=0,B1395/($B$172-MAX(995-1,$B$174)),B1395*(C1395/12)/(1-(1+C1395/12)^(-($B$172-MAX(995-1,$B$174)))))),"")),D1394)))+0.0000001&gt;=B1395*C1395/12,MIN(B1395*(1+C1395/12),IF(AND(995&lt;=$B$174,995&lt;=$B$173),B1395*C1395/12,IF(AND(995=$B$173+1,AND(995&gt;$B$173,$B$78="Refinance",ISNUMBER($B$80),$B$80&gt;=0,$B$80&lt;=1,ROUND($B$81*12,0)&gt;=1,$B$81&lt;=100,SUM($B$82)&gt;=0,SUM($B$82)&lt;=1,SUM($B$83)&gt;=0)),IF(B1395=0,0,IF(C1395=0,B1395/ROUND($B$81*12,0),B1395*(C1395/12)/(1-(1+C1395/12)^(-ROUND($B$81*12,0))))),IF(AND(NOT(AND(995&gt;$B$173,$B$78="Refinance",ISNUMBER($B$80),$B$80&gt;=0,$B$80&lt;=1,ROUND($B$81*12,0)&gt;=1,$B$81&lt;=100,SUM($B$82)&gt;=0,SUM($B$82)&lt;=1,SUM($B$83)&gt;=0)),OR(995=1,995=$B$174+1,AND($B$175&gt;0,995=$B$175+1))),IF(AND($B$170=1,$B$66&gt;0,OR($B$175=0,995&lt;=$B$175)),$B$66,IF($B$172-MAX(995-1,$B$174)&gt;0,IF(B1395=0,0,IF(C1395=0,B1395/($B$172-MAX(995-1,$B$174)),B1395*(C1395/12)/(1-(1+C1395/12)^(-($B$172-MAX(995-1,$B$174)))))),"")),D1394)))),""),""))</x:f>
        <x:v>0</x:v>
      </x:c>
      <x:c r="E1395" s="440" t="n">
        <x:f>IF(AND(995=$B$173,ISNUMBER(D1395)),IF(MAX(0,B1395*(1+C1395/12)-D1395)&lt;MAX(0.0000001,$E$17*0.00000000001),0,MAX(0,B1395*(1+C1395/12)-D1395)),0)</x:f>
        <x:v>0</x:v>
      </x:c>
      <x:c r="F1395" s="440" t="n">
        <x:f>IF($B$78="Cash payoff",E1395,0)</x:f>
        <x:v>0</x:v>
      </x:c>
      <x:c r="G1395" s="440" t="n">
        <x:f>IF(AND(E1395&gt;0,AND($B$78="Refinance",ISNUMBER($B$80),$B$80&gt;=0,$B$80&lt;=1,ROUND($B$81*12,0)&gt;=1,$B$81&lt;=100,SUM($B$82)&gt;=0,SUM($B$82)&lt;=1,SUM($B$83)&gt;=0)),E1395*SUM($B$82)+SUM($B$83),0)</x:f>
        <x:v>0</x:v>
      </x:c>
      <x:c r="H1395" s="440" t="n">
        <x:f>IF(ISNUMBER(D1395),IF(MAX(0,B1395*(1+C1395/12)-D1395-F1395)&lt;MAX(0.0000001,$E$17*0.00000000001),0,MAX(0,B1395*(1+C1395/12)-D1395-F1395)),IF(AND($B$171=1,I1394=1),B1395,""))</x:f>
        <x:v>0</x:v>
      </x:c>
      <x:c r="I1395" s="444" t="n">
        <x:f>IF(OR(I1394=1,AND(E1395&gt;0,$B$78&lt;&gt;"Cash payoff",NOT(AND($B$78="Refinance",ISNUMBER($B$80),$B$80&gt;=0,$B$80&lt;=1,ROUND($B$81*12,0)&gt;=1,$B$81&lt;=100,SUM($B$82)&gt;=0,SUM($B$82)&lt;=1,SUM($B$83)&gt;=0))),AND(ISNUMBER(B1395),B1395&gt;0,$B$171=1,NOT(ISNUMBER(D1395)))),1,0)</x:f>
        <x:v>0</x:v>
      </x:c>
      <x:c r="J1395" s="440" t="n">
        <x:f>IF(ISNUMBER(L1394),L1394,"")</x:f>
        <x:v>0</x:v>
      </x:c>
      <x:c r="K1395" s="440" t="n">
        <x:f>IF(AND(ISNUMBER(J1395),J1395=0),0,IF(AND($B$176=1,ISNUMBER(J1395)),MIN(J1395*(1+$B$87/12),IF($B$86=0,0,IF($B$87=0,$B$86/ROUND($B$88*12,0),$B$86*($B$87/12)/(1-(1+$B$87/12)^(-ROUND($B$88*12,0)))))),""))</x:f>
        <x:v>0</x:v>
      </x:c>
      <x:c r="L1395" s="440" t="n">
        <x:f>IF(ISNUMBER(K1395),IF(MAX(0,J1395*(1+SUM($B$87)/12)-K1395)&lt;MAX(0.0000001,$B$86*0.00000000001),0,MAX(0,J1395*(1+SUM($B$87)/12)-K1395)),"")</x:f>
        <x:v>0</x:v>
      </x:c>
      <x:c r="M1395" s="440" t="n">
        <x:f>IF(AND(ISNUMBER(D1395),ISNUMBER(K1395)),D1395+K1395,"")</x:f>
        <x:v>0</x:v>
      </x:c>
      <x:c r="N1395" s="440" t="n">
        <x:f>IF(AND(ISNUMBER(H1395),ISNUMBER(L1395)),H1395+L1395,"")</x:f>
        <x:v>0</x:v>
      </x:c>
    </x:row>
    <x:row r="1396" ht="22" customHeight="1">
      <x:c r="A1396" s="254" t="n">
        <x:f>996</x:f>
        <x:v>996</x:v>
      </x:c>
      <x:c r="B1396" s="440" t="n">
        <x:f>IF(ISNUMBER(H1395),H1395,"")</x:f>
        <x:v>0</x:v>
      </x:c>
      <x:c r="C1396" s="442" t="n">
        <x:f>IF(ISNUMBER(B1396),IF(AND(996&gt;$B$173,$B$78="Refinance",ISNUMBER($B$80),$B$80&gt;=0,$B$80&lt;=1,ROUND($B$81*12,0)&gt;=1,$B$81&lt;=100,SUM($B$82)&gt;=0,SUM($B$82)&lt;=1,SUM($B$83)&gt;=0),$B$80,IF(AND($B$175&gt;0,996&gt;$B$175,ISNUMBER($B$75)),$B$75,$B$61)),"")</x:f>
        <x:v>0.0625</x:v>
      </x:c>
      <x:c r="D1396" s="440" t="n">
        <x:f>IF(AND(ISNUMBER(B1396),B1396=0),0,IF(AND($B$171=1,I1395=0,ISNUMBER(C1396),ISNUMBER(IF(AND(996&lt;=$B$174,996&lt;=$B$173),B1396*C1396/12,IF(AND(996=$B$173+1,AND(996&gt;$B$173,$B$78="Refinance",ISNUMBER($B$80),$B$80&gt;=0,$B$80&lt;=1,ROUND($B$81*12,0)&gt;=1,$B$81&lt;=100,SUM($B$82)&gt;=0,SUM($B$82)&lt;=1,SUM($B$83)&gt;=0)),IF(B1396=0,0,IF(C1396=0,B1396/ROUND($B$81*12,0),B1396*(C1396/12)/(1-(1+C1396/12)^(-ROUND($B$81*12,0))))),IF(AND(NOT(AND(996&gt;$B$173,$B$78="Refinance",ISNUMBER($B$80),$B$80&gt;=0,$B$80&lt;=1,ROUND($B$81*12,0)&gt;=1,$B$81&lt;=100,SUM($B$82)&gt;=0,SUM($B$82)&lt;=1,SUM($B$83)&gt;=0)),OR(996=1,996=$B$174+1,AND($B$175&gt;0,996=$B$175+1))),IF(AND($B$170=1,$B$66&gt;0,OR($B$175=0,996&lt;=$B$175)),$B$66,IF($B$172-MAX(996-1,$B$174)&gt;0,IF(B1396=0,0,IF(C1396=0,B1396/($B$172-MAX(996-1,$B$174)),B1396*(C1396/12)/(1-(1+C1396/12)^(-($B$172-MAX(996-1,$B$174)))))),"")),D1395))))),IF(IF(AND(996&lt;=$B$174,996&lt;=$B$173),B1396*C1396/12,IF(AND(996=$B$173+1,AND(996&gt;$B$173,$B$78="Refinance",ISNUMBER($B$80),$B$80&gt;=0,$B$80&lt;=1,ROUND($B$81*12,0)&gt;=1,$B$81&lt;=100,SUM($B$82)&gt;=0,SUM($B$82)&lt;=1,SUM($B$83)&gt;=0)),IF(B1396=0,0,IF(C1396=0,B1396/ROUND($B$81*12,0),B1396*(C1396/12)/(1-(1+C1396/12)^(-ROUND($B$81*12,0))))),IF(AND(NOT(AND(996&gt;$B$173,$B$78="Refinance",ISNUMBER($B$80),$B$80&gt;=0,$B$80&lt;=1,ROUND($B$81*12,0)&gt;=1,$B$81&lt;=100,SUM($B$82)&gt;=0,SUM($B$82)&lt;=1,SUM($B$83)&gt;=0)),OR(996=1,996=$B$174+1,AND($B$175&gt;0,996=$B$175+1))),IF(AND($B$170=1,$B$66&gt;0,OR($B$175=0,996&lt;=$B$175)),$B$66,IF($B$172-MAX(996-1,$B$174)&gt;0,IF(B1396=0,0,IF(C1396=0,B1396/($B$172-MAX(996-1,$B$174)),B1396*(C1396/12)/(1-(1+C1396/12)^(-($B$172-MAX(996-1,$B$174)))))),"")),D1395)))+0.0000001&gt;=B1396*C1396/12,MIN(B1396*(1+C1396/12),IF(AND(996&lt;=$B$174,996&lt;=$B$173),B1396*C1396/12,IF(AND(996=$B$173+1,AND(996&gt;$B$173,$B$78="Refinance",ISNUMBER($B$80),$B$80&gt;=0,$B$80&lt;=1,ROUND($B$81*12,0)&gt;=1,$B$81&lt;=100,SUM($B$82)&gt;=0,SUM($B$82)&lt;=1,SUM($B$83)&gt;=0)),IF(B1396=0,0,IF(C1396=0,B1396/ROUND($B$81*12,0),B1396*(C1396/12)/(1-(1+C1396/12)^(-ROUND($B$81*12,0))))),IF(AND(NOT(AND(996&gt;$B$173,$B$78="Refinance",ISNUMBER($B$80),$B$80&gt;=0,$B$80&lt;=1,ROUND($B$81*12,0)&gt;=1,$B$81&lt;=100,SUM($B$82)&gt;=0,SUM($B$82)&lt;=1,SUM($B$83)&gt;=0)),OR(996=1,996=$B$174+1,AND($B$175&gt;0,996=$B$175+1))),IF(AND($B$170=1,$B$66&gt;0,OR($B$175=0,996&lt;=$B$175)),$B$66,IF($B$172-MAX(996-1,$B$174)&gt;0,IF(B1396=0,0,IF(C1396=0,B1396/($B$172-MAX(996-1,$B$174)),B1396*(C1396/12)/(1-(1+C1396/12)^(-($B$172-MAX(996-1,$B$174)))))),"")),D1395)))),""),""))</x:f>
        <x:v>0</x:v>
      </x:c>
      <x:c r="E1396" s="440" t="n">
        <x:f>IF(AND(996=$B$173,ISNUMBER(D1396)),IF(MAX(0,B1396*(1+C1396/12)-D1396)&lt;MAX(0.0000001,$E$17*0.00000000001),0,MAX(0,B1396*(1+C1396/12)-D1396)),0)</x:f>
        <x:v>0</x:v>
      </x:c>
      <x:c r="F1396" s="440" t="n">
        <x:f>IF($B$78="Cash payoff",E1396,0)</x:f>
        <x:v>0</x:v>
      </x:c>
      <x:c r="G1396" s="440" t="n">
        <x:f>IF(AND(E1396&gt;0,AND($B$78="Refinance",ISNUMBER($B$80),$B$80&gt;=0,$B$80&lt;=1,ROUND($B$81*12,0)&gt;=1,$B$81&lt;=100,SUM($B$82)&gt;=0,SUM($B$82)&lt;=1,SUM($B$83)&gt;=0)),E1396*SUM($B$82)+SUM($B$83),0)</x:f>
        <x:v>0</x:v>
      </x:c>
      <x:c r="H1396" s="440" t="n">
        <x:f>IF(ISNUMBER(D1396),IF(MAX(0,B1396*(1+C1396/12)-D1396-F1396)&lt;MAX(0.0000001,$E$17*0.00000000001),0,MAX(0,B1396*(1+C1396/12)-D1396-F1396)),IF(AND($B$171=1,I1395=1),B1396,""))</x:f>
        <x:v>0</x:v>
      </x:c>
      <x:c r="I1396" s="444" t="n">
        <x:f>IF(OR(I1395=1,AND(E1396&gt;0,$B$78&lt;&gt;"Cash payoff",NOT(AND($B$78="Refinance",ISNUMBER($B$80),$B$80&gt;=0,$B$80&lt;=1,ROUND($B$81*12,0)&gt;=1,$B$81&lt;=100,SUM($B$82)&gt;=0,SUM($B$82)&lt;=1,SUM($B$83)&gt;=0))),AND(ISNUMBER(B1396),B1396&gt;0,$B$171=1,NOT(ISNUMBER(D1396)))),1,0)</x:f>
        <x:v>0</x:v>
      </x:c>
      <x:c r="J1396" s="440" t="n">
        <x:f>IF(ISNUMBER(L1395),L1395,"")</x:f>
        <x:v>0</x:v>
      </x:c>
      <x:c r="K1396" s="440" t="n">
        <x:f>IF(AND(ISNUMBER(J1396),J1396=0),0,IF(AND($B$176=1,ISNUMBER(J1396)),MIN(J1396*(1+$B$87/12),IF($B$86=0,0,IF($B$87=0,$B$86/ROUND($B$88*12,0),$B$86*($B$87/12)/(1-(1+$B$87/12)^(-ROUND($B$88*12,0)))))),""))</x:f>
        <x:v>0</x:v>
      </x:c>
      <x:c r="L1396" s="440" t="n">
        <x:f>IF(ISNUMBER(K1396),IF(MAX(0,J1396*(1+SUM($B$87)/12)-K1396)&lt;MAX(0.0000001,$B$86*0.00000000001),0,MAX(0,J1396*(1+SUM($B$87)/12)-K1396)),"")</x:f>
        <x:v>0</x:v>
      </x:c>
      <x:c r="M1396" s="440" t="n">
        <x:f>IF(AND(ISNUMBER(D1396),ISNUMBER(K1396)),D1396+K1396,"")</x:f>
        <x:v>0</x:v>
      </x:c>
      <x:c r="N1396" s="440" t="n">
        <x:f>IF(AND(ISNUMBER(H1396),ISNUMBER(L1396)),H1396+L1396,"")</x:f>
        <x:v>0</x:v>
      </x:c>
    </x:row>
    <x:row r="1397" ht="22" customHeight="1">
      <x:c r="A1397" s="254" t="n">
        <x:f>997</x:f>
        <x:v>997</x:v>
      </x:c>
      <x:c r="B1397" s="440" t="n">
        <x:f>IF(ISNUMBER(H1396),H1396,"")</x:f>
        <x:v>0</x:v>
      </x:c>
      <x:c r="C1397" s="442" t="n">
        <x:f>IF(ISNUMBER(B1397),IF(AND(997&gt;$B$173,$B$78="Refinance",ISNUMBER($B$80),$B$80&gt;=0,$B$80&lt;=1,ROUND($B$81*12,0)&gt;=1,$B$81&lt;=100,SUM($B$82)&gt;=0,SUM($B$82)&lt;=1,SUM($B$83)&gt;=0),$B$80,IF(AND($B$175&gt;0,997&gt;$B$175,ISNUMBER($B$75)),$B$75,$B$61)),"")</x:f>
        <x:v>0.0625</x:v>
      </x:c>
      <x:c r="D1397" s="440" t="n">
        <x:f>IF(AND(ISNUMBER(B1397),B1397=0),0,IF(AND($B$171=1,I1396=0,ISNUMBER(C1397),ISNUMBER(IF(AND(997&lt;=$B$174,997&lt;=$B$173),B1397*C1397/12,IF(AND(997=$B$173+1,AND(997&gt;$B$173,$B$78="Refinance",ISNUMBER($B$80),$B$80&gt;=0,$B$80&lt;=1,ROUND($B$81*12,0)&gt;=1,$B$81&lt;=100,SUM($B$82)&gt;=0,SUM($B$82)&lt;=1,SUM($B$83)&gt;=0)),IF(B1397=0,0,IF(C1397=0,B1397/ROUND($B$81*12,0),B1397*(C1397/12)/(1-(1+C1397/12)^(-ROUND($B$81*12,0))))),IF(AND(NOT(AND(997&gt;$B$173,$B$78="Refinance",ISNUMBER($B$80),$B$80&gt;=0,$B$80&lt;=1,ROUND($B$81*12,0)&gt;=1,$B$81&lt;=100,SUM($B$82)&gt;=0,SUM($B$82)&lt;=1,SUM($B$83)&gt;=0)),OR(997=1,997=$B$174+1,AND($B$175&gt;0,997=$B$175+1))),IF(AND($B$170=1,$B$66&gt;0,OR($B$175=0,997&lt;=$B$175)),$B$66,IF($B$172-MAX(997-1,$B$174)&gt;0,IF(B1397=0,0,IF(C1397=0,B1397/($B$172-MAX(997-1,$B$174)),B1397*(C1397/12)/(1-(1+C1397/12)^(-($B$172-MAX(997-1,$B$174)))))),"")),D1396))))),IF(IF(AND(997&lt;=$B$174,997&lt;=$B$173),B1397*C1397/12,IF(AND(997=$B$173+1,AND(997&gt;$B$173,$B$78="Refinance",ISNUMBER($B$80),$B$80&gt;=0,$B$80&lt;=1,ROUND($B$81*12,0)&gt;=1,$B$81&lt;=100,SUM($B$82)&gt;=0,SUM($B$82)&lt;=1,SUM($B$83)&gt;=0)),IF(B1397=0,0,IF(C1397=0,B1397/ROUND($B$81*12,0),B1397*(C1397/12)/(1-(1+C1397/12)^(-ROUND($B$81*12,0))))),IF(AND(NOT(AND(997&gt;$B$173,$B$78="Refinance",ISNUMBER($B$80),$B$80&gt;=0,$B$80&lt;=1,ROUND($B$81*12,0)&gt;=1,$B$81&lt;=100,SUM($B$82)&gt;=0,SUM($B$82)&lt;=1,SUM($B$83)&gt;=0)),OR(997=1,997=$B$174+1,AND($B$175&gt;0,997=$B$175+1))),IF(AND($B$170=1,$B$66&gt;0,OR($B$175=0,997&lt;=$B$175)),$B$66,IF($B$172-MAX(997-1,$B$174)&gt;0,IF(B1397=0,0,IF(C1397=0,B1397/($B$172-MAX(997-1,$B$174)),B1397*(C1397/12)/(1-(1+C1397/12)^(-($B$172-MAX(997-1,$B$174)))))),"")),D1396)))+0.0000001&gt;=B1397*C1397/12,MIN(B1397*(1+C1397/12),IF(AND(997&lt;=$B$174,997&lt;=$B$173),B1397*C1397/12,IF(AND(997=$B$173+1,AND(997&gt;$B$173,$B$78="Refinance",ISNUMBER($B$80),$B$80&gt;=0,$B$80&lt;=1,ROUND($B$81*12,0)&gt;=1,$B$81&lt;=100,SUM($B$82)&gt;=0,SUM($B$82)&lt;=1,SUM($B$83)&gt;=0)),IF(B1397=0,0,IF(C1397=0,B1397/ROUND($B$81*12,0),B1397*(C1397/12)/(1-(1+C1397/12)^(-ROUND($B$81*12,0))))),IF(AND(NOT(AND(997&gt;$B$173,$B$78="Refinance",ISNUMBER($B$80),$B$80&gt;=0,$B$80&lt;=1,ROUND($B$81*12,0)&gt;=1,$B$81&lt;=100,SUM($B$82)&gt;=0,SUM($B$82)&lt;=1,SUM($B$83)&gt;=0)),OR(997=1,997=$B$174+1,AND($B$175&gt;0,997=$B$175+1))),IF(AND($B$170=1,$B$66&gt;0,OR($B$175=0,997&lt;=$B$175)),$B$66,IF($B$172-MAX(997-1,$B$174)&gt;0,IF(B1397=0,0,IF(C1397=0,B1397/($B$172-MAX(997-1,$B$174)),B1397*(C1397/12)/(1-(1+C1397/12)^(-($B$172-MAX(997-1,$B$174)))))),"")),D1396)))),""),""))</x:f>
        <x:v>0</x:v>
      </x:c>
      <x:c r="E1397" s="440" t="n">
        <x:f>IF(AND(997=$B$173,ISNUMBER(D1397)),IF(MAX(0,B1397*(1+C1397/12)-D1397)&lt;MAX(0.0000001,$E$17*0.00000000001),0,MAX(0,B1397*(1+C1397/12)-D1397)),0)</x:f>
        <x:v>0</x:v>
      </x:c>
      <x:c r="F1397" s="440" t="n">
        <x:f>IF($B$78="Cash payoff",E1397,0)</x:f>
        <x:v>0</x:v>
      </x:c>
      <x:c r="G1397" s="440" t="n">
        <x:f>IF(AND(E1397&gt;0,AND($B$78="Refinance",ISNUMBER($B$80),$B$80&gt;=0,$B$80&lt;=1,ROUND($B$81*12,0)&gt;=1,$B$81&lt;=100,SUM($B$82)&gt;=0,SUM($B$82)&lt;=1,SUM($B$83)&gt;=0)),E1397*SUM($B$82)+SUM($B$83),0)</x:f>
        <x:v>0</x:v>
      </x:c>
      <x:c r="H1397" s="440" t="n">
        <x:f>IF(ISNUMBER(D1397),IF(MAX(0,B1397*(1+C1397/12)-D1397-F1397)&lt;MAX(0.0000001,$E$17*0.00000000001),0,MAX(0,B1397*(1+C1397/12)-D1397-F1397)),IF(AND($B$171=1,I1396=1),B1397,""))</x:f>
        <x:v>0</x:v>
      </x:c>
      <x:c r="I1397" s="444" t="n">
        <x:f>IF(OR(I1396=1,AND(E1397&gt;0,$B$78&lt;&gt;"Cash payoff",NOT(AND($B$78="Refinance",ISNUMBER($B$80),$B$80&gt;=0,$B$80&lt;=1,ROUND($B$81*12,0)&gt;=1,$B$81&lt;=100,SUM($B$82)&gt;=0,SUM($B$82)&lt;=1,SUM($B$83)&gt;=0))),AND(ISNUMBER(B1397),B1397&gt;0,$B$171=1,NOT(ISNUMBER(D1397)))),1,0)</x:f>
        <x:v>0</x:v>
      </x:c>
      <x:c r="J1397" s="440" t="n">
        <x:f>IF(ISNUMBER(L1396),L1396,"")</x:f>
        <x:v>0</x:v>
      </x:c>
      <x:c r="K1397" s="440" t="n">
        <x:f>IF(AND(ISNUMBER(J1397),J1397=0),0,IF(AND($B$176=1,ISNUMBER(J1397)),MIN(J1397*(1+$B$87/12),IF($B$86=0,0,IF($B$87=0,$B$86/ROUND($B$88*12,0),$B$86*($B$87/12)/(1-(1+$B$87/12)^(-ROUND($B$88*12,0)))))),""))</x:f>
        <x:v>0</x:v>
      </x:c>
      <x:c r="L1397" s="440" t="n">
        <x:f>IF(ISNUMBER(K1397),IF(MAX(0,J1397*(1+SUM($B$87)/12)-K1397)&lt;MAX(0.0000001,$B$86*0.00000000001),0,MAX(0,J1397*(1+SUM($B$87)/12)-K1397)),"")</x:f>
        <x:v>0</x:v>
      </x:c>
      <x:c r="M1397" s="440" t="n">
        <x:f>IF(AND(ISNUMBER(D1397),ISNUMBER(K1397)),D1397+K1397,"")</x:f>
        <x:v>0</x:v>
      </x:c>
      <x:c r="N1397" s="440" t="n">
        <x:f>IF(AND(ISNUMBER(H1397),ISNUMBER(L1397)),H1397+L1397,"")</x:f>
        <x:v>0</x:v>
      </x:c>
    </x:row>
    <x:row r="1398" ht="22" customHeight="1">
      <x:c r="A1398" s="254" t="n">
        <x:f>998</x:f>
        <x:v>998</x:v>
      </x:c>
      <x:c r="B1398" s="440" t="n">
        <x:f>IF(ISNUMBER(H1397),H1397,"")</x:f>
        <x:v>0</x:v>
      </x:c>
      <x:c r="C1398" s="442" t="n">
        <x:f>IF(ISNUMBER(B1398),IF(AND(998&gt;$B$173,$B$78="Refinance",ISNUMBER($B$80),$B$80&gt;=0,$B$80&lt;=1,ROUND($B$81*12,0)&gt;=1,$B$81&lt;=100,SUM($B$82)&gt;=0,SUM($B$82)&lt;=1,SUM($B$83)&gt;=0),$B$80,IF(AND($B$175&gt;0,998&gt;$B$175,ISNUMBER($B$75)),$B$75,$B$61)),"")</x:f>
        <x:v>0.0625</x:v>
      </x:c>
      <x:c r="D1398" s="440" t="n">
        <x:f>IF(AND(ISNUMBER(B1398),B1398=0),0,IF(AND($B$171=1,I1397=0,ISNUMBER(C1398),ISNUMBER(IF(AND(998&lt;=$B$174,998&lt;=$B$173),B1398*C1398/12,IF(AND(998=$B$173+1,AND(998&gt;$B$173,$B$78="Refinance",ISNUMBER($B$80),$B$80&gt;=0,$B$80&lt;=1,ROUND($B$81*12,0)&gt;=1,$B$81&lt;=100,SUM($B$82)&gt;=0,SUM($B$82)&lt;=1,SUM($B$83)&gt;=0)),IF(B1398=0,0,IF(C1398=0,B1398/ROUND($B$81*12,0),B1398*(C1398/12)/(1-(1+C1398/12)^(-ROUND($B$81*12,0))))),IF(AND(NOT(AND(998&gt;$B$173,$B$78="Refinance",ISNUMBER($B$80),$B$80&gt;=0,$B$80&lt;=1,ROUND($B$81*12,0)&gt;=1,$B$81&lt;=100,SUM($B$82)&gt;=0,SUM($B$82)&lt;=1,SUM($B$83)&gt;=0)),OR(998=1,998=$B$174+1,AND($B$175&gt;0,998=$B$175+1))),IF(AND($B$170=1,$B$66&gt;0,OR($B$175=0,998&lt;=$B$175)),$B$66,IF($B$172-MAX(998-1,$B$174)&gt;0,IF(B1398=0,0,IF(C1398=0,B1398/($B$172-MAX(998-1,$B$174)),B1398*(C1398/12)/(1-(1+C1398/12)^(-($B$172-MAX(998-1,$B$174)))))),"")),D1397))))),IF(IF(AND(998&lt;=$B$174,998&lt;=$B$173),B1398*C1398/12,IF(AND(998=$B$173+1,AND(998&gt;$B$173,$B$78="Refinance",ISNUMBER($B$80),$B$80&gt;=0,$B$80&lt;=1,ROUND($B$81*12,0)&gt;=1,$B$81&lt;=100,SUM($B$82)&gt;=0,SUM($B$82)&lt;=1,SUM($B$83)&gt;=0)),IF(B1398=0,0,IF(C1398=0,B1398/ROUND($B$81*12,0),B1398*(C1398/12)/(1-(1+C1398/12)^(-ROUND($B$81*12,0))))),IF(AND(NOT(AND(998&gt;$B$173,$B$78="Refinance",ISNUMBER($B$80),$B$80&gt;=0,$B$80&lt;=1,ROUND($B$81*12,0)&gt;=1,$B$81&lt;=100,SUM($B$82)&gt;=0,SUM($B$82)&lt;=1,SUM($B$83)&gt;=0)),OR(998=1,998=$B$174+1,AND($B$175&gt;0,998=$B$175+1))),IF(AND($B$170=1,$B$66&gt;0,OR($B$175=0,998&lt;=$B$175)),$B$66,IF($B$172-MAX(998-1,$B$174)&gt;0,IF(B1398=0,0,IF(C1398=0,B1398/($B$172-MAX(998-1,$B$174)),B1398*(C1398/12)/(1-(1+C1398/12)^(-($B$172-MAX(998-1,$B$174)))))),"")),D1397)))+0.0000001&gt;=B1398*C1398/12,MIN(B1398*(1+C1398/12),IF(AND(998&lt;=$B$174,998&lt;=$B$173),B1398*C1398/12,IF(AND(998=$B$173+1,AND(998&gt;$B$173,$B$78="Refinance",ISNUMBER($B$80),$B$80&gt;=0,$B$80&lt;=1,ROUND($B$81*12,0)&gt;=1,$B$81&lt;=100,SUM($B$82)&gt;=0,SUM($B$82)&lt;=1,SUM($B$83)&gt;=0)),IF(B1398=0,0,IF(C1398=0,B1398/ROUND($B$81*12,0),B1398*(C1398/12)/(1-(1+C1398/12)^(-ROUND($B$81*12,0))))),IF(AND(NOT(AND(998&gt;$B$173,$B$78="Refinance",ISNUMBER($B$80),$B$80&gt;=0,$B$80&lt;=1,ROUND($B$81*12,0)&gt;=1,$B$81&lt;=100,SUM($B$82)&gt;=0,SUM($B$82)&lt;=1,SUM($B$83)&gt;=0)),OR(998=1,998=$B$174+1,AND($B$175&gt;0,998=$B$175+1))),IF(AND($B$170=1,$B$66&gt;0,OR($B$175=0,998&lt;=$B$175)),$B$66,IF($B$172-MAX(998-1,$B$174)&gt;0,IF(B1398=0,0,IF(C1398=0,B1398/($B$172-MAX(998-1,$B$174)),B1398*(C1398/12)/(1-(1+C1398/12)^(-($B$172-MAX(998-1,$B$174)))))),"")),D1397)))),""),""))</x:f>
        <x:v>0</x:v>
      </x:c>
      <x:c r="E1398" s="440" t="n">
        <x:f>IF(AND(998=$B$173,ISNUMBER(D1398)),IF(MAX(0,B1398*(1+C1398/12)-D1398)&lt;MAX(0.0000001,$E$17*0.00000000001),0,MAX(0,B1398*(1+C1398/12)-D1398)),0)</x:f>
        <x:v>0</x:v>
      </x:c>
      <x:c r="F1398" s="440" t="n">
        <x:f>IF($B$78="Cash payoff",E1398,0)</x:f>
        <x:v>0</x:v>
      </x:c>
      <x:c r="G1398" s="440" t="n">
        <x:f>IF(AND(E1398&gt;0,AND($B$78="Refinance",ISNUMBER($B$80),$B$80&gt;=0,$B$80&lt;=1,ROUND($B$81*12,0)&gt;=1,$B$81&lt;=100,SUM($B$82)&gt;=0,SUM($B$82)&lt;=1,SUM($B$83)&gt;=0)),E1398*SUM($B$82)+SUM($B$83),0)</x:f>
        <x:v>0</x:v>
      </x:c>
      <x:c r="H1398" s="440" t="n">
        <x:f>IF(ISNUMBER(D1398),IF(MAX(0,B1398*(1+C1398/12)-D1398-F1398)&lt;MAX(0.0000001,$E$17*0.00000000001),0,MAX(0,B1398*(1+C1398/12)-D1398-F1398)),IF(AND($B$171=1,I1397=1),B1398,""))</x:f>
        <x:v>0</x:v>
      </x:c>
      <x:c r="I1398" s="444" t="n">
        <x:f>IF(OR(I1397=1,AND(E1398&gt;0,$B$78&lt;&gt;"Cash payoff",NOT(AND($B$78="Refinance",ISNUMBER($B$80),$B$80&gt;=0,$B$80&lt;=1,ROUND($B$81*12,0)&gt;=1,$B$81&lt;=100,SUM($B$82)&gt;=0,SUM($B$82)&lt;=1,SUM($B$83)&gt;=0))),AND(ISNUMBER(B1398),B1398&gt;0,$B$171=1,NOT(ISNUMBER(D1398)))),1,0)</x:f>
        <x:v>0</x:v>
      </x:c>
      <x:c r="J1398" s="440" t="n">
        <x:f>IF(ISNUMBER(L1397),L1397,"")</x:f>
        <x:v>0</x:v>
      </x:c>
      <x:c r="K1398" s="440" t="n">
        <x:f>IF(AND(ISNUMBER(J1398),J1398=0),0,IF(AND($B$176=1,ISNUMBER(J1398)),MIN(J1398*(1+$B$87/12),IF($B$86=0,0,IF($B$87=0,$B$86/ROUND($B$88*12,0),$B$86*($B$87/12)/(1-(1+$B$87/12)^(-ROUND($B$88*12,0)))))),""))</x:f>
        <x:v>0</x:v>
      </x:c>
      <x:c r="L1398" s="440" t="n">
        <x:f>IF(ISNUMBER(K1398),IF(MAX(0,J1398*(1+SUM($B$87)/12)-K1398)&lt;MAX(0.0000001,$B$86*0.00000000001),0,MAX(0,J1398*(1+SUM($B$87)/12)-K1398)),"")</x:f>
        <x:v>0</x:v>
      </x:c>
      <x:c r="M1398" s="440" t="n">
        <x:f>IF(AND(ISNUMBER(D1398),ISNUMBER(K1398)),D1398+K1398,"")</x:f>
        <x:v>0</x:v>
      </x:c>
      <x:c r="N1398" s="440" t="n">
        <x:f>IF(AND(ISNUMBER(H1398),ISNUMBER(L1398)),H1398+L1398,"")</x:f>
        <x:v>0</x:v>
      </x:c>
    </x:row>
    <x:row r="1399" ht="22" customHeight="1">
      <x:c r="A1399" s="254" t="n">
        <x:f>999</x:f>
        <x:v>999</x:v>
      </x:c>
      <x:c r="B1399" s="440" t="n">
        <x:f>IF(ISNUMBER(H1398),H1398,"")</x:f>
        <x:v>0</x:v>
      </x:c>
      <x:c r="C1399" s="442" t="n">
        <x:f>IF(ISNUMBER(B1399),IF(AND(999&gt;$B$173,$B$78="Refinance",ISNUMBER($B$80),$B$80&gt;=0,$B$80&lt;=1,ROUND($B$81*12,0)&gt;=1,$B$81&lt;=100,SUM($B$82)&gt;=0,SUM($B$82)&lt;=1,SUM($B$83)&gt;=0),$B$80,IF(AND($B$175&gt;0,999&gt;$B$175,ISNUMBER($B$75)),$B$75,$B$61)),"")</x:f>
        <x:v>0.0625</x:v>
      </x:c>
      <x:c r="D1399" s="440" t="n">
        <x:f>IF(AND(ISNUMBER(B1399),B1399=0),0,IF(AND($B$171=1,I1398=0,ISNUMBER(C1399),ISNUMBER(IF(AND(999&lt;=$B$174,999&lt;=$B$173),B1399*C1399/12,IF(AND(999=$B$173+1,AND(999&gt;$B$173,$B$78="Refinance",ISNUMBER($B$80),$B$80&gt;=0,$B$80&lt;=1,ROUND($B$81*12,0)&gt;=1,$B$81&lt;=100,SUM($B$82)&gt;=0,SUM($B$82)&lt;=1,SUM($B$83)&gt;=0)),IF(B1399=0,0,IF(C1399=0,B1399/ROUND($B$81*12,0),B1399*(C1399/12)/(1-(1+C1399/12)^(-ROUND($B$81*12,0))))),IF(AND(NOT(AND(999&gt;$B$173,$B$78="Refinance",ISNUMBER($B$80),$B$80&gt;=0,$B$80&lt;=1,ROUND($B$81*12,0)&gt;=1,$B$81&lt;=100,SUM($B$82)&gt;=0,SUM($B$82)&lt;=1,SUM($B$83)&gt;=0)),OR(999=1,999=$B$174+1,AND($B$175&gt;0,999=$B$175+1))),IF(AND($B$170=1,$B$66&gt;0,OR($B$175=0,999&lt;=$B$175)),$B$66,IF($B$172-MAX(999-1,$B$174)&gt;0,IF(B1399=0,0,IF(C1399=0,B1399/($B$172-MAX(999-1,$B$174)),B1399*(C1399/12)/(1-(1+C1399/12)^(-($B$172-MAX(999-1,$B$174)))))),"")),D1398))))),IF(IF(AND(999&lt;=$B$174,999&lt;=$B$173),B1399*C1399/12,IF(AND(999=$B$173+1,AND(999&gt;$B$173,$B$78="Refinance",ISNUMBER($B$80),$B$80&gt;=0,$B$80&lt;=1,ROUND($B$81*12,0)&gt;=1,$B$81&lt;=100,SUM($B$82)&gt;=0,SUM($B$82)&lt;=1,SUM($B$83)&gt;=0)),IF(B1399=0,0,IF(C1399=0,B1399/ROUND($B$81*12,0),B1399*(C1399/12)/(1-(1+C1399/12)^(-ROUND($B$81*12,0))))),IF(AND(NOT(AND(999&gt;$B$173,$B$78="Refinance",ISNUMBER($B$80),$B$80&gt;=0,$B$80&lt;=1,ROUND($B$81*12,0)&gt;=1,$B$81&lt;=100,SUM($B$82)&gt;=0,SUM($B$82)&lt;=1,SUM($B$83)&gt;=0)),OR(999=1,999=$B$174+1,AND($B$175&gt;0,999=$B$175+1))),IF(AND($B$170=1,$B$66&gt;0,OR($B$175=0,999&lt;=$B$175)),$B$66,IF($B$172-MAX(999-1,$B$174)&gt;0,IF(B1399=0,0,IF(C1399=0,B1399/($B$172-MAX(999-1,$B$174)),B1399*(C1399/12)/(1-(1+C1399/12)^(-($B$172-MAX(999-1,$B$174)))))),"")),D1398)))+0.0000001&gt;=B1399*C1399/12,MIN(B1399*(1+C1399/12),IF(AND(999&lt;=$B$174,999&lt;=$B$173),B1399*C1399/12,IF(AND(999=$B$173+1,AND(999&gt;$B$173,$B$78="Refinance",ISNUMBER($B$80),$B$80&gt;=0,$B$80&lt;=1,ROUND($B$81*12,0)&gt;=1,$B$81&lt;=100,SUM($B$82)&gt;=0,SUM($B$82)&lt;=1,SUM($B$83)&gt;=0)),IF(B1399=0,0,IF(C1399=0,B1399/ROUND($B$81*12,0),B1399*(C1399/12)/(1-(1+C1399/12)^(-ROUND($B$81*12,0))))),IF(AND(NOT(AND(999&gt;$B$173,$B$78="Refinance",ISNUMBER($B$80),$B$80&gt;=0,$B$80&lt;=1,ROUND($B$81*12,0)&gt;=1,$B$81&lt;=100,SUM($B$82)&gt;=0,SUM($B$82)&lt;=1,SUM($B$83)&gt;=0)),OR(999=1,999=$B$174+1,AND($B$175&gt;0,999=$B$175+1))),IF(AND($B$170=1,$B$66&gt;0,OR($B$175=0,999&lt;=$B$175)),$B$66,IF($B$172-MAX(999-1,$B$174)&gt;0,IF(B1399=0,0,IF(C1399=0,B1399/($B$172-MAX(999-1,$B$174)),B1399*(C1399/12)/(1-(1+C1399/12)^(-($B$172-MAX(999-1,$B$174)))))),"")),D1398)))),""),""))</x:f>
        <x:v>0</x:v>
      </x:c>
      <x:c r="E1399" s="440" t="n">
        <x:f>IF(AND(999=$B$173,ISNUMBER(D1399)),IF(MAX(0,B1399*(1+C1399/12)-D1399)&lt;MAX(0.0000001,$E$17*0.00000000001),0,MAX(0,B1399*(1+C1399/12)-D1399)),0)</x:f>
        <x:v>0</x:v>
      </x:c>
      <x:c r="F1399" s="440" t="n">
        <x:f>IF($B$78="Cash payoff",E1399,0)</x:f>
        <x:v>0</x:v>
      </x:c>
      <x:c r="G1399" s="440" t="n">
        <x:f>IF(AND(E1399&gt;0,AND($B$78="Refinance",ISNUMBER($B$80),$B$80&gt;=0,$B$80&lt;=1,ROUND($B$81*12,0)&gt;=1,$B$81&lt;=100,SUM($B$82)&gt;=0,SUM($B$82)&lt;=1,SUM($B$83)&gt;=0)),E1399*SUM($B$82)+SUM($B$83),0)</x:f>
        <x:v>0</x:v>
      </x:c>
      <x:c r="H1399" s="440" t="n">
        <x:f>IF(ISNUMBER(D1399),IF(MAX(0,B1399*(1+C1399/12)-D1399-F1399)&lt;MAX(0.0000001,$E$17*0.00000000001),0,MAX(0,B1399*(1+C1399/12)-D1399-F1399)),IF(AND($B$171=1,I1398=1),B1399,""))</x:f>
        <x:v>0</x:v>
      </x:c>
      <x:c r="I1399" s="444" t="n">
        <x:f>IF(OR(I1398=1,AND(E1399&gt;0,$B$78&lt;&gt;"Cash payoff",NOT(AND($B$78="Refinance",ISNUMBER($B$80),$B$80&gt;=0,$B$80&lt;=1,ROUND($B$81*12,0)&gt;=1,$B$81&lt;=100,SUM($B$82)&gt;=0,SUM($B$82)&lt;=1,SUM($B$83)&gt;=0))),AND(ISNUMBER(B1399),B1399&gt;0,$B$171=1,NOT(ISNUMBER(D1399)))),1,0)</x:f>
        <x:v>0</x:v>
      </x:c>
      <x:c r="J1399" s="440" t="n">
        <x:f>IF(ISNUMBER(L1398),L1398,"")</x:f>
        <x:v>0</x:v>
      </x:c>
      <x:c r="K1399" s="440" t="n">
        <x:f>IF(AND(ISNUMBER(J1399),J1399=0),0,IF(AND($B$176=1,ISNUMBER(J1399)),MIN(J1399*(1+$B$87/12),IF($B$86=0,0,IF($B$87=0,$B$86/ROUND($B$88*12,0),$B$86*($B$87/12)/(1-(1+$B$87/12)^(-ROUND($B$88*12,0)))))),""))</x:f>
        <x:v>0</x:v>
      </x:c>
      <x:c r="L1399" s="440" t="n">
        <x:f>IF(ISNUMBER(K1399),IF(MAX(0,J1399*(1+SUM($B$87)/12)-K1399)&lt;MAX(0.0000001,$B$86*0.00000000001),0,MAX(0,J1399*(1+SUM($B$87)/12)-K1399)),"")</x:f>
        <x:v>0</x:v>
      </x:c>
      <x:c r="M1399" s="440" t="n">
        <x:f>IF(AND(ISNUMBER(D1399),ISNUMBER(K1399)),D1399+K1399,"")</x:f>
        <x:v>0</x:v>
      </x:c>
      <x:c r="N1399" s="440" t="n">
        <x:f>IF(AND(ISNUMBER(H1399),ISNUMBER(L1399)),H1399+L1399,"")</x:f>
        <x:v>0</x:v>
      </x:c>
    </x:row>
    <x:row r="1400" ht="22" customHeight="1">
      <x:c r="A1400" s="254" t="n">
        <x:f>1000</x:f>
        <x:v>1000</x:v>
      </x:c>
      <x:c r="B1400" s="440" t="n">
        <x:f>IF(ISNUMBER(H1399),H1399,"")</x:f>
        <x:v>0</x:v>
      </x:c>
      <x:c r="C1400" s="442" t="n">
        <x:f>IF(ISNUMBER(B1400),IF(AND(1000&gt;$B$173,$B$78="Refinance",ISNUMBER($B$80),$B$80&gt;=0,$B$80&lt;=1,ROUND($B$81*12,0)&gt;=1,$B$81&lt;=100,SUM($B$82)&gt;=0,SUM($B$82)&lt;=1,SUM($B$83)&gt;=0),$B$80,IF(AND($B$175&gt;0,1000&gt;$B$175,ISNUMBER($B$75)),$B$75,$B$61)),"")</x:f>
        <x:v>0.0625</x:v>
      </x:c>
      <x:c r="D1400" s="440" t="n">
        <x:f>IF(AND(ISNUMBER(B1400),B1400=0),0,IF(AND($B$171=1,I1399=0,ISNUMBER(C1400),ISNUMBER(IF(AND(1000&lt;=$B$174,1000&lt;=$B$173),B1400*C1400/12,IF(AND(1000=$B$173+1,AND(1000&gt;$B$173,$B$78="Refinance",ISNUMBER($B$80),$B$80&gt;=0,$B$80&lt;=1,ROUND($B$81*12,0)&gt;=1,$B$81&lt;=100,SUM($B$82)&gt;=0,SUM($B$82)&lt;=1,SUM($B$83)&gt;=0)),IF(B1400=0,0,IF(C1400=0,B1400/ROUND($B$81*12,0),B1400*(C1400/12)/(1-(1+C1400/12)^(-ROUND($B$81*12,0))))),IF(AND(NOT(AND(1000&gt;$B$173,$B$78="Refinance",ISNUMBER($B$80),$B$80&gt;=0,$B$80&lt;=1,ROUND($B$81*12,0)&gt;=1,$B$81&lt;=100,SUM($B$82)&gt;=0,SUM($B$82)&lt;=1,SUM($B$83)&gt;=0)),OR(1000=1,1000=$B$174+1,AND($B$175&gt;0,1000=$B$175+1))),IF(AND($B$170=1,$B$66&gt;0,OR($B$175=0,1000&lt;=$B$175)),$B$66,IF($B$172-MAX(1000-1,$B$174)&gt;0,IF(B1400=0,0,IF(C1400=0,B1400/($B$172-MAX(1000-1,$B$174)),B1400*(C1400/12)/(1-(1+C1400/12)^(-($B$172-MAX(1000-1,$B$174)))))),"")),D1399))))),IF(IF(AND(1000&lt;=$B$174,1000&lt;=$B$173),B1400*C1400/12,IF(AND(1000=$B$173+1,AND(1000&gt;$B$173,$B$78="Refinance",ISNUMBER($B$80),$B$80&gt;=0,$B$80&lt;=1,ROUND($B$81*12,0)&gt;=1,$B$81&lt;=100,SUM($B$82)&gt;=0,SUM($B$82)&lt;=1,SUM($B$83)&gt;=0)),IF(B1400=0,0,IF(C1400=0,B1400/ROUND($B$81*12,0),B1400*(C1400/12)/(1-(1+C1400/12)^(-ROUND($B$81*12,0))))),IF(AND(NOT(AND(1000&gt;$B$173,$B$78="Refinance",ISNUMBER($B$80),$B$80&gt;=0,$B$80&lt;=1,ROUND($B$81*12,0)&gt;=1,$B$81&lt;=100,SUM($B$82)&gt;=0,SUM($B$82)&lt;=1,SUM($B$83)&gt;=0)),OR(1000=1,1000=$B$174+1,AND($B$175&gt;0,1000=$B$175+1))),IF(AND($B$170=1,$B$66&gt;0,OR($B$175=0,1000&lt;=$B$175)),$B$66,IF($B$172-MAX(1000-1,$B$174)&gt;0,IF(B1400=0,0,IF(C1400=0,B1400/($B$172-MAX(1000-1,$B$174)),B1400*(C1400/12)/(1-(1+C1400/12)^(-($B$172-MAX(1000-1,$B$174)))))),"")),D1399)))+0.0000001&gt;=B1400*C1400/12,MIN(B1400*(1+C1400/12),IF(AND(1000&lt;=$B$174,1000&lt;=$B$173),B1400*C1400/12,IF(AND(1000=$B$173+1,AND(1000&gt;$B$173,$B$78="Refinance",ISNUMBER($B$80),$B$80&gt;=0,$B$80&lt;=1,ROUND($B$81*12,0)&gt;=1,$B$81&lt;=100,SUM($B$82)&gt;=0,SUM($B$82)&lt;=1,SUM($B$83)&gt;=0)),IF(B1400=0,0,IF(C1400=0,B1400/ROUND($B$81*12,0),B1400*(C1400/12)/(1-(1+C1400/12)^(-ROUND($B$81*12,0))))),IF(AND(NOT(AND(1000&gt;$B$173,$B$78="Refinance",ISNUMBER($B$80),$B$80&gt;=0,$B$80&lt;=1,ROUND($B$81*12,0)&gt;=1,$B$81&lt;=100,SUM($B$82)&gt;=0,SUM($B$82)&lt;=1,SUM($B$83)&gt;=0)),OR(1000=1,1000=$B$174+1,AND($B$175&gt;0,1000=$B$175+1))),IF(AND($B$170=1,$B$66&gt;0,OR($B$175=0,1000&lt;=$B$175)),$B$66,IF($B$172-MAX(1000-1,$B$174)&gt;0,IF(B1400=0,0,IF(C1400=0,B1400/($B$172-MAX(1000-1,$B$174)),B1400*(C1400/12)/(1-(1+C1400/12)^(-($B$172-MAX(1000-1,$B$174)))))),"")),D1399)))),""),""))</x:f>
        <x:v>0</x:v>
      </x:c>
      <x:c r="E1400" s="440" t="n">
        <x:f>IF(AND(1000=$B$173,ISNUMBER(D1400)),IF(MAX(0,B1400*(1+C1400/12)-D1400)&lt;MAX(0.0000001,$E$17*0.00000000001),0,MAX(0,B1400*(1+C1400/12)-D1400)),0)</x:f>
        <x:v>0</x:v>
      </x:c>
      <x:c r="F1400" s="440" t="n">
        <x:f>IF($B$78="Cash payoff",E1400,0)</x:f>
        <x:v>0</x:v>
      </x:c>
      <x:c r="G1400" s="440" t="n">
        <x:f>IF(AND(E1400&gt;0,AND($B$78="Refinance",ISNUMBER($B$80),$B$80&gt;=0,$B$80&lt;=1,ROUND($B$81*12,0)&gt;=1,$B$81&lt;=100,SUM($B$82)&gt;=0,SUM($B$82)&lt;=1,SUM($B$83)&gt;=0)),E1400*SUM($B$82)+SUM($B$83),0)</x:f>
        <x:v>0</x:v>
      </x:c>
      <x:c r="H1400" s="440" t="n">
        <x:f>IF(ISNUMBER(D1400),IF(MAX(0,B1400*(1+C1400/12)-D1400-F1400)&lt;MAX(0.0000001,$E$17*0.00000000001),0,MAX(0,B1400*(1+C1400/12)-D1400-F1400)),IF(AND($B$171=1,I1399=1),B1400,""))</x:f>
        <x:v>0</x:v>
      </x:c>
      <x:c r="I1400" s="444" t="n">
        <x:f>IF(OR(I1399=1,AND(E1400&gt;0,$B$78&lt;&gt;"Cash payoff",NOT(AND($B$78="Refinance",ISNUMBER($B$80),$B$80&gt;=0,$B$80&lt;=1,ROUND($B$81*12,0)&gt;=1,$B$81&lt;=100,SUM($B$82)&gt;=0,SUM($B$82)&lt;=1,SUM($B$83)&gt;=0))),AND(ISNUMBER(B1400),B1400&gt;0,$B$171=1,NOT(ISNUMBER(D1400)))),1,0)</x:f>
        <x:v>0</x:v>
      </x:c>
      <x:c r="J1400" s="440" t="n">
        <x:f>IF(ISNUMBER(L1399),L1399,"")</x:f>
        <x:v>0</x:v>
      </x:c>
      <x:c r="K1400" s="440" t="n">
        <x:f>IF(AND(ISNUMBER(J1400),J1400=0),0,IF(AND($B$176=1,ISNUMBER(J1400)),MIN(J1400*(1+$B$87/12),IF($B$86=0,0,IF($B$87=0,$B$86/ROUND($B$88*12,0),$B$86*($B$87/12)/(1-(1+$B$87/12)^(-ROUND($B$88*12,0)))))),""))</x:f>
        <x:v>0</x:v>
      </x:c>
      <x:c r="L1400" s="440" t="n">
        <x:f>IF(ISNUMBER(K1400),IF(MAX(0,J1400*(1+SUM($B$87)/12)-K1400)&lt;MAX(0.0000001,$B$86*0.00000000001),0,MAX(0,J1400*(1+SUM($B$87)/12)-K1400)),"")</x:f>
        <x:v>0</x:v>
      </x:c>
      <x:c r="M1400" s="440" t="n">
        <x:f>IF(AND(ISNUMBER(D1400),ISNUMBER(K1400)),D1400+K1400,"")</x:f>
        <x:v>0</x:v>
      </x:c>
      <x:c r="N1400" s="440" t="n">
        <x:f>IF(AND(ISNUMBER(H1400),ISNUMBER(L1400)),H1400+L1400,"")</x:f>
        <x:v>0</x:v>
      </x:c>
    </x:row>
    <x:row r="1401" ht="22" customHeight="1">
      <x:c r="A1401" s="254" t="n">
        <x:f>1001</x:f>
        <x:v>1001</x:v>
      </x:c>
      <x:c r="B1401" s="440" t="n">
        <x:f>IF(ISNUMBER(H1400),H1400,"")</x:f>
        <x:v>0</x:v>
      </x:c>
      <x:c r="C1401" s="442" t="n">
        <x:f>IF(ISNUMBER(B1401),IF(AND(1001&gt;$B$173,$B$78="Refinance",ISNUMBER($B$80),$B$80&gt;=0,$B$80&lt;=1,ROUND($B$81*12,0)&gt;=1,$B$81&lt;=100,SUM($B$82)&gt;=0,SUM($B$82)&lt;=1,SUM($B$83)&gt;=0),$B$80,IF(AND($B$175&gt;0,1001&gt;$B$175,ISNUMBER($B$75)),$B$75,$B$61)),"")</x:f>
        <x:v>0.0625</x:v>
      </x:c>
      <x:c r="D1401" s="440" t="n">
        <x:f>IF(AND(ISNUMBER(B1401),B1401=0),0,IF(AND($B$171=1,I1400=0,ISNUMBER(C1401),ISNUMBER(IF(AND(1001&lt;=$B$174,1001&lt;=$B$173),B1401*C1401/12,IF(AND(1001=$B$173+1,AND(1001&gt;$B$173,$B$78="Refinance",ISNUMBER($B$80),$B$80&gt;=0,$B$80&lt;=1,ROUND($B$81*12,0)&gt;=1,$B$81&lt;=100,SUM($B$82)&gt;=0,SUM($B$82)&lt;=1,SUM($B$83)&gt;=0)),IF(B1401=0,0,IF(C1401=0,B1401/ROUND($B$81*12,0),B1401*(C1401/12)/(1-(1+C1401/12)^(-ROUND($B$81*12,0))))),IF(AND(NOT(AND(1001&gt;$B$173,$B$78="Refinance",ISNUMBER($B$80),$B$80&gt;=0,$B$80&lt;=1,ROUND($B$81*12,0)&gt;=1,$B$81&lt;=100,SUM($B$82)&gt;=0,SUM($B$82)&lt;=1,SUM($B$83)&gt;=0)),OR(1001=1,1001=$B$174+1,AND($B$175&gt;0,1001=$B$175+1))),IF(AND($B$170=1,$B$66&gt;0,OR($B$175=0,1001&lt;=$B$175)),$B$66,IF($B$172-MAX(1001-1,$B$174)&gt;0,IF(B1401=0,0,IF(C1401=0,B1401/($B$172-MAX(1001-1,$B$174)),B1401*(C1401/12)/(1-(1+C1401/12)^(-($B$172-MAX(1001-1,$B$174)))))),"")),D1400))))),IF(IF(AND(1001&lt;=$B$174,1001&lt;=$B$173),B1401*C1401/12,IF(AND(1001=$B$173+1,AND(1001&gt;$B$173,$B$78="Refinance",ISNUMBER($B$80),$B$80&gt;=0,$B$80&lt;=1,ROUND($B$81*12,0)&gt;=1,$B$81&lt;=100,SUM($B$82)&gt;=0,SUM($B$82)&lt;=1,SUM($B$83)&gt;=0)),IF(B1401=0,0,IF(C1401=0,B1401/ROUND($B$81*12,0),B1401*(C1401/12)/(1-(1+C1401/12)^(-ROUND($B$81*12,0))))),IF(AND(NOT(AND(1001&gt;$B$173,$B$78="Refinance",ISNUMBER($B$80),$B$80&gt;=0,$B$80&lt;=1,ROUND($B$81*12,0)&gt;=1,$B$81&lt;=100,SUM($B$82)&gt;=0,SUM($B$82)&lt;=1,SUM($B$83)&gt;=0)),OR(1001=1,1001=$B$174+1,AND($B$175&gt;0,1001=$B$175+1))),IF(AND($B$170=1,$B$66&gt;0,OR($B$175=0,1001&lt;=$B$175)),$B$66,IF($B$172-MAX(1001-1,$B$174)&gt;0,IF(B1401=0,0,IF(C1401=0,B1401/($B$172-MAX(1001-1,$B$174)),B1401*(C1401/12)/(1-(1+C1401/12)^(-($B$172-MAX(1001-1,$B$174)))))),"")),D1400)))+0.0000001&gt;=B1401*C1401/12,MIN(B1401*(1+C1401/12),IF(AND(1001&lt;=$B$174,1001&lt;=$B$173),B1401*C1401/12,IF(AND(1001=$B$173+1,AND(1001&gt;$B$173,$B$78="Refinance",ISNUMBER($B$80),$B$80&gt;=0,$B$80&lt;=1,ROUND($B$81*12,0)&gt;=1,$B$81&lt;=100,SUM($B$82)&gt;=0,SUM($B$82)&lt;=1,SUM($B$83)&gt;=0)),IF(B1401=0,0,IF(C1401=0,B1401/ROUND($B$81*12,0),B1401*(C1401/12)/(1-(1+C1401/12)^(-ROUND($B$81*12,0))))),IF(AND(NOT(AND(1001&gt;$B$173,$B$78="Refinance",ISNUMBER($B$80),$B$80&gt;=0,$B$80&lt;=1,ROUND($B$81*12,0)&gt;=1,$B$81&lt;=100,SUM($B$82)&gt;=0,SUM($B$82)&lt;=1,SUM($B$83)&gt;=0)),OR(1001=1,1001=$B$174+1,AND($B$175&gt;0,1001=$B$175+1))),IF(AND($B$170=1,$B$66&gt;0,OR($B$175=0,1001&lt;=$B$175)),$B$66,IF($B$172-MAX(1001-1,$B$174)&gt;0,IF(B1401=0,0,IF(C1401=0,B1401/($B$172-MAX(1001-1,$B$174)),B1401*(C1401/12)/(1-(1+C1401/12)^(-($B$172-MAX(1001-1,$B$174)))))),"")),D1400)))),""),""))</x:f>
        <x:v>0</x:v>
      </x:c>
      <x:c r="E1401" s="440" t="n">
        <x:f>IF(AND(1001=$B$173,ISNUMBER(D1401)),IF(MAX(0,B1401*(1+C1401/12)-D1401)&lt;MAX(0.0000001,$E$17*0.00000000001),0,MAX(0,B1401*(1+C1401/12)-D1401)),0)</x:f>
        <x:v>0</x:v>
      </x:c>
      <x:c r="F1401" s="440" t="n">
        <x:f>IF($B$78="Cash payoff",E1401,0)</x:f>
        <x:v>0</x:v>
      </x:c>
      <x:c r="G1401" s="440" t="n">
        <x:f>IF(AND(E1401&gt;0,AND($B$78="Refinance",ISNUMBER($B$80),$B$80&gt;=0,$B$80&lt;=1,ROUND($B$81*12,0)&gt;=1,$B$81&lt;=100,SUM($B$82)&gt;=0,SUM($B$82)&lt;=1,SUM($B$83)&gt;=0)),E1401*SUM($B$82)+SUM($B$83),0)</x:f>
        <x:v>0</x:v>
      </x:c>
      <x:c r="H1401" s="440" t="n">
        <x:f>IF(ISNUMBER(D1401),IF(MAX(0,B1401*(1+C1401/12)-D1401-F1401)&lt;MAX(0.0000001,$E$17*0.00000000001),0,MAX(0,B1401*(1+C1401/12)-D1401-F1401)),IF(AND($B$171=1,I1400=1),B1401,""))</x:f>
        <x:v>0</x:v>
      </x:c>
      <x:c r="I1401" s="444" t="n">
        <x:f>IF(OR(I1400=1,AND(E1401&gt;0,$B$78&lt;&gt;"Cash payoff",NOT(AND($B$78="Refinance",ISNUMBER($B$80),$B$80&gt;=0,$B$80&lt;=1,ROUND($B$81*12,0)&gt;=1,$B$81&lt;=100,SUM($B$82)&gt;=0,SUM($B$82)&lt;=1,SUM($B$83)&gt;=0))),AND(ISNUMBER(B1401),B1401&gt;0,$B$171=1,NOT(ISNUMBER(D1401)))),1,0)</x:f>
        <x:v>0</x:v>
      </x:c>
      <x:c r="J1401" s="440" t="n">
        <x:f>IF(ISNUMBER(L1400),L1400,"")</x:f>
        <x:v>0</x:v>
      </x:c>
      <x:c r="K1401" s="440" t="n">
        <x:f>IF(AND(ISNUMBER(J1401),J1401=0),0,IF(AND($B$176=1,ISNUMBER(J1401)),MIN(J1401*(1+$B$87/12),IF($B$86=0,0,IF($B$87=0,$B$86/ROUND($B$88*12,0),$B$86*($B$87/12)/(1-(1+$B$87/12)^(-ROUND($B$88*12,0)))))),""))</x:f>
        <x:v>0</x:v>
      </x:c>
      <x:c r="L1401" s="440" t="n">
        <x:f>IF(ISNUMBER(K1401),IF(MAX(0,J1401*(1+SUM($B$87)/12)-K1401)&lt;MAX(0.0000001,$B$86*0.00000000001),0,MAX(0,J1401*(1+SUM($B$87)/12)-K1401)),"")</x:f>
        <x:v>0</x:v>
      </x:c>
      <x:c r="M1401" s="440" t="n">
        <x:f>IF(AND(ISNUMBER(D1401),ISNUMBER(K1401)),D1401+K1401,"")</x:f>
        <x:v>0</x:v>
      </x:c>
      <x:c r="N1401" s="440" t="n">
        <x:f>IF(AND(ISNUMBER(H1401),ISNUMBER(L1401)),H1401+L1401,"")</x:f>
        <x:v>0</x:v>
      </x:c>
    </x:row>
    <x:row r="1402" ht="22" customHeight="1">
      <x:c r="A1402" s="254" t="n">
        <x:f>1002</x:f>
        <x:v>1002</x:v>
      </x:c>
      <x:c r="B1402" s="440" t="n">
        <x:f>IF(ISNUMBER(H1401),H1401,"")</x:f>
        <x:v>0</x:v>
      </x:c>
      <x:c r="C1402" s="442" t="n">
        <x:f>IF(ISNUMBER(B1402),IF(AND(1002&gt;$B$173,$B$78="Refinance",ISNUMBER($B$80),$B$80&gt;=0,$B$80&lt;=1,ROUND($B$81*12,0)&gt;=1,$B$81&lt;=100,SUM($B$82)&gt;=0,SUM($B$82)&lt;=1,SUM($B$83)&gt;=0),$B$80,IF(AND($B$175&gt;0,1002&gt;$B$175,ISNUMBER($B$75)),$B$75,$B$61)),"")</x:f>
        <x:v>0.0625</x:v>
      </x:c>
      <x:c r="D1402" s="440" t="n">
        <x:f>IF(AND(ISNUMBER(B1402),B1402=0),0,IF(AND($B$171=1,I1401=0,ISNUMBER(C1402),ISNUMBER(IF(AND(1002&lt;=$B$174,1002&lt;=$B$173),B1402*C1402/12,IF(AND(1002=$B$173+1,AND(1002&gt;$B$173,$B$78="Refinance",ISNUMBER($B$80),$B$80&gt;=0,$B$80&lt;=1,ROUND($B$81*12,0)&gt;=1,$B$81&lt;=100,SUM($B$82)&gt;=0,SUM($B$82)&lt;=1,SUM($B$83)&gt;=0)),IF(B1402=0,0,IF(C1402=0,B1402/ROUND($B$81*12,0),B1402*(C1402/12)/(1-(1+C1402/12)^(-ROUND($B$81*12,0))))),IF(AND(NOT(AND(1002&gt;$B$173,$B$78="Refinance",ISNUMBER($B$80),$B$80&gt;=0,$B$80&lt;=1,ROUND($B$81*12,0)&gt;=1,$B$81&lt;=100,SUM($B$82)&gt;=0,SUM($B$82)&lt;=1,SUM($B$83)&gt;=0)),OR(1002=1,1002=$B$174+1,AND($B$175&gt;0,1002=$B$175+1))),IF(AND($B$170=1,$B$66&gt;0,OR($B$175=0,1002&lt;=$B$175)),$B$66,IF($B$172-MAX(1002-1,$B$174)&gt;0,IF(B1402=0,0,IF(C1402=0,B1402/($B$172-MAX(1002-1,$B$174)),B1402*(C1402/12)/(1-(1+C1402/12)^(-($B$172-MAX(1002-1,$B$174)))))),"")),D1401))))),IF(IF(AND(1002&lt;=$B$174,1002&lt;=$B$173),B1402*C1402/12,IF(AND(1002=$B$173+1,AND(1002&gt;$B$173,$B$78="Refinance",ISNUMBER($B$80),$B$80&gt;=0,$B$80&lt;=1,ROUND($B$81*12,0)&gt;=1,$B$81&lt;=100,SUM($B$82)&gt;=0,SUM($B$82)&lt;=1,SUM($B$83)&gt;=0)),IF(B1402=0,0,IF(C1402=0,B1402/ROUND($B$81*12,0),B1402*(C1402/12)/(1-(1+C1402/12)^(-ROUND($B$81*12,0))))),IF(AND(NOT(AND(1002&gt;$B$173,$B$78="Refinance",ISNUMBER($B$80),$B$80&gt;=0,$B$80&lt;=1,ROUND($B$81*12,0)&gt;=1,$B$81&lt;=100,SUM($B$82)&gt;=0,SUM($B$82)&lt;=1,SUM($B$83)&gt;=0)),OR(1002=1,1002=$B$174+1,AND($B$175&gt;0,1002=$B$175+1))),IF(AND($B$170=1,$B$66&gt;0,OR($B$175=0,1002&lt;=$B$175)),$B$66,IF($B$172-MAX(1002-1,$B$174)&gt;0,IF(B1402=0,0,IF(C1402=0,B1402/($B$172-MAX(1002-1,$B$174)),B1402*(C1402/12)/(1-(1+C1402/12)^(-($B$172-MAX(1002-1,$B$174)))))),"")),D1401)))+0.0000001&gt;=B1402*C1402/12,MIN(B1402*(1+C1402/12),IF(AND(1002&lt;=$B$174,1002&lt;=$B$173),B1402*C1402/12,IF(AND(1002=$B$173+1,AND(1002&gt;$B$173,$B$78="Refinance",ISNUMBER($B$80),$B$80&gt;=0,$B$80&lt;=1,ROUND($B$81*12,0)&gt;=1,$B$81&lt;=100,SUM($B$82)&gt;=0,SUM($B$82)&lt;=1,SUM($B$83)&gt;=0)),IF(B1402=0,0,IF(C1402=0,B1402/ROUND($B$81*12,0),B1402*(C1402/12)/(1-(1+C1402/12)^(-ROUND($B$81*12,0))))),IF(AND(NOT(AND(1002&gt;$B$173,$B$78="Refinance",ISNUMBER($B$80),$B$80&gt;=0,$B$80&lt;=1,ROUND($B$81*12,0)&gt;=1,$B$81&lt;=100,SUM($B$82)&gt;=0,SUM($B$82)&lt;=1,SUM($B$83)&gt;=0)),OR(1002=1,1002=$B$174+1,AND($B$175&gt;0,1002=$B$175+1))),IF(AND($B$170=1,$B$66&gt;0,OR($B$175=0,1002&lt;=$B$175)),$B$66,IF($B$172-MAX(1002-1,$B$174)&gt;0,IF(B1402=0,0,IF(C1402=0,B1402/($B$172-MAX(1002-1,$B$174)),B1402*(C1402/12)/(1-(1+C1402/12)^(-($B$172-MAX(1002-1,$B$174)))))),"")),D1401)))),""),""))</x:f>
        <x:v>0</x:v>
      </x:c>
      <x:c r="E1402" s="440" t="n">
        <x:f>IF(AND(1002=$B$173,ISNUMBER(D1402)),IF(MAX(0,B1402*(1+C1402/12)-D1402)&lt;MAX(0.0000001,$E$17*0.00000000001),0,MAX(0,B1402*(1+C1402/12)-D1402)),0)</x:f>
        <x:v>0</x:v>
      </x:c>
      <x:c r="F1402" s="440" t="n">
        <x:f>IF($B$78="Cash payoff",E1402,0)</x:f>
        <x:v>0</x:v>
      </x:c>
      <x:c r="G1402" s="440" t="n">
        <x:f>IF(AND(E1402&gt;0,AND($B$78="Refinance",ISNUMBER($B$80),$B$80&gt;=0,$B$80&lt;=1,ROUND($B$81*12,0)&gt;=1,$B$81&lt;=100,SUM($B$82)&gt;=0,SUM($B$82)&lt;=1,SUM($B$83)&gt;=0)),E1402*SUM($B$82)+SUM($B$83),0)</x:f>
        <x:v>0</x:v>
      </x:c>
      <x:c r="H1402" s="440" t="n">
        <x:f>IF(ISNUMBER(D1402),IF(MAX(0,B1402*(1+C1402/12)-D1402-F1402)&lt;MAX(0.0000001,$E$17*0.00000000001),0,MAX(0,B1402*(1+C1402/12)-D1402-F1402)),IF(AND($B$171=1,I1401=1),B1402,""))</x:f>
        <x:v>0</x:v>
      </x:c>
      <x:c r="I1402" s="444" t="n">
        <x:f>IF(OR(I1401=1,AND(E1402&gt;0,$B$78&lt;&gt;"Cash payoff",NOT(AND($B$78="Refinance",ISNUMBER($B$80),$B$80&gt;=0,$B$80&lt;=1,ROUND($B$81*12,0)&gt;=1,$B$81&lt;=100,SUM($B$82)&gt;=0,SUM($B$82)&lt;=1,SUM($B$83)&gt;=0))),AND(ISNUMBER(B1402),B1402&gt;0,$B$171=1,NOT(ISNUMBER(D1402)))),1,0)</x:f>
        <x:v>0</x:v>
      </x:c>
      <x:c r="J1402" s="440" t="n">
        <x:f>IF(ISNUMBER(L1401),L1401,"")</x:f>
        <x:v>0</x:v>
      </x:c>
      <x:c r="K1402" s="440" t="n">
        <x:f>IF(AND(ISNUMBER(J1402),J1402=0),0,IF(AND($B$176=1,ISNUMBER(J1402)),MIN(J1402*(1+$B$87/12),IF($B$86=0,0,IF($B$87=0,$B$86/ROUND($B$88*12,0),$B$86*($B$87/12)/(1-(1+$B$87/12)^(-ROUND($B$88*12,0)))))),""))</x:f>
        <x:v>0</x:v>
      </x:c>
      <x:c r="L1402" s="440" t="n">
        <x:f>IF(ISNUMBER(K1402),IF(MAX(0,J1402*(1+SUM($B$87)/12)-K1402)&lt;MAX(0.0000001,$B$86*0.00000000001),0,MAX(0,J1402*(1+SUM($B$87)/12)-K1402)),"")</x:f>
        <x:v>0</x:v>
      </x:c>
      <x:c r="M1402" s="440" t="n">
        <x:f>IF(AND(ISNUMBER(D1402),ISNUMBER(K1402)),D1402+K1402,"")</x:f>
        <x:v>0</x:v>
      </x:c>
      <x:c r="N1402" s="440" t="n">
        <x:f>IF(AND(ISNUMBER(H1402),ISNUMBER(L1402)),H1402+L1402,"")</x:f>
        <x:v>0</x:v>
      </x:c>
    </x:row>
    <x:row r="1403" ht="22" customHeight="1">
      <x:c r="A1403" s="254" t="n">
        <x:f>1003</x:f>
        <x:v>1003</x:v>
      </x:c>
      <x:c r="B1403" s="440" t="n">
        <x:f>IF(ISNUMBER(H1402),H1402,"")</x:f>
        <x:v>0</x:v>
      </x:c>
      <x:c r="C1403" s="442" t="n">
        <x:f>IF(ISNUMBER(B1403),IF(AND(1003&gt;$B$173,$B$78="Refinance",ISNUMBER($B$80),$B$80&gt;=0,$B$80&lt;=1,ROUND($B$81*12,0)&gt;=1,$B$81&lt;=100,SUM($B$82)&gt;=0,SUM($B$82)&lt;=1,SUM($B$83)&gt;=0),$B$80,IF(AND($B$175&gt;0,1003&gt;$B$175,ISNUMBER($B$75)),$B$75,$B$61)),"")</x:f>
        <x:v>0.0625</x:v>
      </x:c>
      <x:c r="D1403" s="440" t="n">
        <x:f>IF(AND(ISNUMBER(B1403),B1403=0),0,IF(AND($B$171=1,I1402=0,ISNUMBER(C1403),ISNUMBER(IF(AND(1003&lt;=$B$174,1003&lt;=$B$173),B1403*C1403/12,IF(AND(1003=$B$173+1,AND(1003&gt;$B$173,$B$78="Refinance",ISNUMBER($B$80),$B$80&gt;=0,$B$80&lt;=1,ROUND($B$81*12,0)&gt;=1,$B$81&lt;=100,SUM($B$82)&gt;=0,SUM($B$82)&lt;=1,SUM($B$83)&gt;=0)),IF(B1403=0,0,IF(C1403=0,B1403/ROUND($B$81*12,0),B1403*(C1403/12)/(1-(1+C1403/12)^(-ROUND($B$81*12,0))))),IF(AND(NOT(AND(1003&gt;$B$173,$B$78="Refinance",ISNUMBER($B$80),$B$80&gt;=0,$B$80&lt;=1,ROUND($B$81*12,0)&gt;=1,$B$81&lt;=100,SUM($B$82)&gt;=0,SUM($B$82)&lt;=1,SUM($B$83)&gt;=0)),OR(1003=1,1003=$B$174+1,AND($B$175&gt;0,1003=$B$175+1))),IF(AND($B$170=1,$B$66&gt;0,OR($B$175=0,1003&lt;=$B$175)),$B$66,IF($B$172-MAX(1003-1,$B$174)&gt;0,IF(B1403=0,0,IF(C1403=0,B1403/($B$172-MAX(1003-1,$B$174)),B1403*(C1403/12)/(1-(1+C1403/12)^(-($B$172-MAX(1003-1,$B$174)))))),"")),D1402))))),IF(IF(AND(1003&lt;=$B$174,1003&lt;=$B$173),B1403*C1403/12,IF(AND(1003=$B$173+1,AND(1003&gt;$B$173,$B$78="Refinance",ISNUMBER($B$80),$B$80&gt;=0,$B$80&lt;=1,ROUND($B$81*12,0)&gt;=1,$B$81&lt;=100,SUM($B$82)&gt;=0,SUM($B$82)&lt;=1,SUM($B$83)&gt;=0)),IF(B1403=0,0,IF(C1403=0,B1403/ROUND($B$81*12,0),B1403*(C1403/12)/(1-(1+C1403/12)^(-ROUND($B$81*12,0))))),IF(AND(NOT(AND(1003&gt;$B$173,$B$78="Refinance",ISNUMBER($B$80),$B$80&gt;=0,$B$80&lt;=1,ROUND($B$81*12,0)&gt;=1,$B$81&lt;=100,SUM($B$82)&gt;=0,SUM($B$82)&lt;=1,SUM($B$83)&gt;=0)),OR(1003=1,1003=$B$174+1,AND($B$175&gt;0,1003=$B$175+1))),IF(AND($B$170=1,$B$66&gt;0,OR($B$175=0,1003&lt;=$B$175)),$B$66,IF($B$172-MAX(1003-1,$B$174)&gt;0,IF(B1403=0,0,IF(C1403=0,B1403/($B$172-MAX(1003-1,$B$174)),B1403*(C1403/12)/(1-(1+C1403/12)^(-($B$172-MAX(1003-1,$B$174)))))),"")),D1402)))+0.0000001&gt;=B1403*C1403/12,MIN(B1403*(1+C1403/12),IF(AND(1003&lt;=$B$174,1003&lt;=$B$173),B1403*C1403/12,IF(AND(1003=$B$173+1,AND(1003&gt;$B$173,$B$78="Refinance",ISNUMBER($B$80),$B$80&gt;=0,$B$80&lt;=1,ROUND($B$81*12,0)&gt;=1,$B$81&lt;=100,SUM($B$82)&gt;=0,SUM($B$82)&lt;=1,SUM($B$83)&gt;=0)),IF(B1403=0,0,IF(C1403=0,B1403/ROUND($B$81*12,0),B1403*(C1403/12)/(1-(1+C1403/12)^(-ROUND($B$81*12,0))))),IF(AND(NOT(AND(1003&gt;$B$173,$B$78="Refinance",ISNUMBER($B$80),$B$80&gt;=0,$B$80&lt;=1,ROUND($B$81*12,0)&gt;=1,$B$81&lt;=100,SUM($B$82)&gt;=0,SUM($B$82)&lt;=1,SUM($B$83)&gt;=0)),OR(1003=1,1003=$B$174+1,AND($B$175&gt;0,1003=$B$175+1))),IF(AND($B$170=1,$B$66&gt;0,OR($B$175=0,1003&lt;=$B$175)),$B$66,IF($B$172-MAX(1003-1,$B$174)&gt;0,IF(B1403=0,0,IF(C1403=0,B1403/($B$172-MAX(1003-1,$B$174)),B1403*(C1403/12)/(1-(1+C1403/12)^(-($B$172-MAX(1003-1,$B$174)))))),"")),D1402)))),""),""))</x:f>
        <x:v>0</x:v>
      </x:c>
      <x:c r="E1403" s="440" t="n">
        <x:f>IF(AND(1003=$B$173,ISNUMBER(D1403)),IF(MAX(0,B1403*(1+C1403/12)-D1403)&lt;MAX(0.0000001,$E$17*0.00000000001),0,MAX(0,B1403*(1+C1403/12)-D1403)),0)</x:f>
        <x:v>0</x:v>
      </x:c>
      <x:c r="F1403" s="440" t="n">
        <x:f>IF($B$78="Cash payoff",E1403,0)</x:f>
        <x:v>0</x:v>
      </x:c>
      <x:c r="G1403" s="440" t="n">
        <x:f>IF(AND(E1403&gt;0,AND($B$78="Refinance",ISNUMBER($B$80),$B$80&gt;=0,$B$80&lt;=1,ROUND($B$81*12,0)&gt;=1,$B$81&lt;=100,SUM($B$82)&gt;=0,SUM($B$82)&lt;=1,SUM($B$83)&gt;=0)),E1403*SUM($B$82)+SUM($B$83),0)</x:f>
        <x:v>0</x:v>
      </x:c>
      <x:c r="H1403" s="440" t="n">
        <x:f>IF(ISNUMBER(D1403),IF(MAX(0,B1403*(1+C1403/12)-D1403-F1403)&lt;MAX(0.0000001,$E$17*0.00000000001),0,MAX(0,B1403*(1+C1403/12)-D1403-F1403)),IF(AND($B$171=1,I1402=1),B1403,""))</x:f>
        <x:v>0</x:v>
      </x:c>
      <x:c r="I1403" s="444" t="n">
        <x:f>IF(OR(I1402=1,AND(E1403&gt;0,$B$78&lt;&gt;"Cash payoff",NOT(AND($B$78="Refinance",ISNUMBER($B$80),$B$80&gt;=0,$B$80&lt;=1,ROUND($B$81*12,0)&gt;=1,$B$81&lt;=100,SUM($B$82)&gt;=0,SUM($B$82)&lt;=1,SUM($B$83)&gt;=0))),AND(ISNUMBER(B1403),B1403&gt;0,$B$171=1,NOT(ISNUMBER(D1403)))),1,0)</x:f>
        <x:v>0</x:v>
      </x:c>
      <x:c r="J1403" s="440" t="n">
        <x:f>IF(ISNUMBER(L1402),L1402,"")</x:f>
        <x:v>0</x:v>
      </x:c>
      <x:c r="K1403" s="440" t="n">
        <x:f>IF(AND(ISNUMBER(J1403),J1403=0),0,IF(AND($B$176=1,ISNUMBER(J1403)),MIN(J1403*(1+$B$87/12),IF($B$86=0,0,IF($B$87=0,$B$86/ROUND($B$88*12,0),$B$86*($B$87/12)/(1-(1+$B$87/12)^(-ROUND($B$88*12,0)))))),""))</x:f>
        <x:v>0</x:v>
      </x:c>
      <x:c r="L1403" s="440" t="n">
        <x:f>IF(ISNUMBER(K1403),IF(MAX(0,J1403*(1+SUM($B$87)/12)-K1403)&lt;MAX(0.0000001,$B$86*0.00000000001),0,MAX(0,J1403*(1+SUM($B$87)/12)-K1403)),"")</x:f>
        <x:v>0</x:v>
      </x:c>
      <x:c r="M1403" s="440" t="n">
        <x:f>IF(AND(ISNUMBER(D1403),ISNUMBER(K1403)),D1403+K1403,"")</x:f>
        <x:v>0</x:v>
      </x:c>
      <x:c r="N1403" s="440" t="n">
        <x:f>IF(AND(ISNUMBER(H1403),ISNUMBER(L1403)),H1403+L1403,"")</x:f>
        <x:v>0</x:v>
      </x:c>
    </x:row>
    <x:row r="1404" ht="22" customHeight="1">
      <x:c r="A1404" s="254" t="n">
        <x:f>1004</x:f>
        <x:v>1004</x:v>
      </x:c>
      <x:c r="B1404" s="440" t="n">
        <x:f>IF(ISNUMBER(H1403),H1403,"")</x:f>
        <x:v>0</x:v>
      </x:c>
      <x:c r="C1404" s="442" t="n">
        <x:f>IF(ISNUMBER(B1404),IF(AND(1004&gt;$B$173,$B$78="Refinance",ISNUMBER($B$80),$B$80&gt;=0,$B$80&lt;=1,ROUND($B$81*12,0)&gt;=1,$B$81&lt;=100,SUM($B$82)&gt;=0,SUM($B$82)&lt;=1,SUM($B$83)&gt;=0),$B$80,IF(AND($B$175&gt;0,1004&gt;$B$175,ISNUMBER($B$75)),$B$75,$B$61)),"")</x:f>
        <x:v>0.0625</x:v>
      </x:c>
      <x:c r="D1404" s="440" t="n">
        <x:f>IF(AND(ISNUMBER(B1404),B1404=0),0,IF(AND($B$171=1,I1403=0,ISNUMBER(C1404),ISNUMBER(IF(AND(1004&lt;=$B$174,1004&lt;=$B$173),B1404*C1404/12,IF(AND(1004=$B$173+1,AND(1004&gt;$B$173,$B$78="Refinance",ISNUMBER($B$80),$B$80&gt;=0,$B$80&lt;=1,ROUND($B$81*12,0)&gt;=1,$B$81&lt;=100,SUM($B$82)&gt;=0,SUM($B$82)&lt;=1,SUM($B$83)&gt;=0)),IF(B1404=0,0,IF(C1404=0,B1404/ROUND($B$81*12,0),B1404*(C1404/12)/(1-(1+C1404/12)^(-ROUND($B$81*12,0))))),IF(AND(NOT(AND(1004&gt;$B$173,$B$78="Refinance",ISNUMBER($B$80),$B$80&gt;=0,$B$80&lt;=1,ROUND($B$81*12,0)&gt;=1,$B$81&lt;=100,SUM($B$82)&gt;=0,SUM($B$82)&lt;=1,SUM($B$83)&gt;=0)),OR(1004=1,1004=$B$174+1,AND($B$175&gt;0,1004=$B$175+1))),IF(AND($B$170=1,$B$66&gt;0,OR($B$175=0,1004&lt;=$B$175)),$B$66,IF($B$172-MAX(1004-1,$B$174)&gt;0,IF(B1404=0,0,IF(C1404=0,B1404/($B$172-MAX(1004-1,$B$174)),B1404*(C1404/12)/(1-(1+C1404/12)^(-($B$172-MAX(1004-1,$B$174)))))),"")),D1403))))),IF(IF(AND(1004&lt;=$B$174,1004&lt;=$B$173),B1404*C1404/12,IF(AND(1004=$B$173+1,AND(1004&gt;$B$173,$B$78="Refinance",ISNUMBER($B$80),$B$80&gt;=0,$B$80&lt;=1,ROUND($B$81*12,0)&gt;=1,$B$81&lt;=100,SUM($B$82)&gt;=0,SUM($B$82)&lt;=1,SUM($B$83)&gt;=0)),IF(B1404=0,0,IF(C1404=0,B1404/ROUND($B$81*12,0),B1404*(C1404/12)/(1-(1+C1404/12)^(-ROUND($B$81*12,0))))),IF(AND(NOT(AND(1004&gt;$B$173,$B$78="Refinance",ISNUMBER($B$80),$B$80&gt;=0,$B$80&lt;=1,ROUND($B$81*12,0)&gt;=1,$B$81&lt;=100,SUM($B$82)&gt;=0,SUM($B$82)&lt;=1,SUM($B$83)&gt;=0)),OR(1004=1,1004=$B$174+1,AND($B$175&gt;0,1004=$B$175+1))),IF(AND($B$170=1,$B$66&gt;0,OR($B$175=0,1004&lt;=$B$175)),$B$66,IF($B$172-MAX(1004-1,$B$174)&gt;0,IF(B1404=0,0,IF(C1404=0,B1404/($B$172-MAX(1004-1,$B$174)),B1404*(C1404/12)/(1-(1+C1404/12)^(-($B$172-MAX(1004-1,$B$174)))))),"")),D1403)))+0.0000001&gt;=B1404*C1404/12,MIN(B1404*(1+C1404/12),IF(AND(1004&lt;=$B$174,1004&lt;=$B$173),B1404*C1404/12,IF(AND(1004=$B$173+1,AND(1004&gt;$B$173,$B$78="Refinance",ISNUMBER($B$80),$B$80&gt;=0,$B$80&lt;=1,ROUND($B$81*12,0)&gt;=1,$B$81&lt;=100,SUM($B$82)&gt;=0,SUM($B$82)&lt;=1,SUM($B$83)&gt;=0)),IF(B1404=0,0,IF(C1404=0,B1404/ROUND($B$81*12,0),B1404*(C1404/12)/(1-(1+C1404/12)^(-ROUND($B$81*12,0))))),IF(AND(NOT(AND(1004&gt;$B$173,$B$78="Refinance",ISNUMBER($B$80),$B$80&gt;=0,$B$80&lt;=1,ROUND($B$81*12,0)&gt;=1,$B$81&lt;=100,SUM($B$82)&gt;=0,SUM($B$82)&lt;=1,SUM($B$83)&gt;=0)),OR(1004=1,1004=$B$174+1,AND($B$175&gt;0,1004=$B$175+1))),IF(AND($B$170=1,$B$66&gt;0,OR($B$175=0,1004&lt;=$B$175)),$B$66,IF($B$172-MAX(1004-1,$B$174)&gt;0,IF(B1404=0,0,IF(C1404=0,B1404/($B$172-MAX(1004-1,$B$174)),B1404*(C1404/12)/(1-(1+C1404/12)^(-($B$172-MAX(1004-1,$B$174)))))),"")),D1403)))),""),""))</x:f>
        <x:v>0</x:v>
      </x:c>
      <x:c r="E1404" s="440" t="n">
        <x:f>IF(AND(1004=$B$173,ISNUMBER(D1404)),IF(MAX(0,B1404*(1+C1404/12)-D1404)&lt;MAX(0.0000001,$E$17*0.00000000001),0,MAX(0,B1404*(1+C1404/12)-D1404)),0)</x:f>
        <x:v>0</x:v>
      </x:c>
      <x:c r="F1404" s="440" t="n">
        <x:f>IF($B$78="Cash payoff",E1404,0)</x:f>
        <x:v>0</x:v>
      </x:c>
      <x:c r="G1404" s="440" t="n">
        <x:f>IF(AND(E1404&gt;0,AND($B$78="Refinance",ISNUMBER($B$80),$B$80&gt;=0,$B$80&lt;=1,ROUND($B$81*12,0)&gt;=1,$B$81&lt;=100,SUM($B$82)&gt;=0,SUM($B$82)&lt;=1,SUM($B$83)&gt;=0)),E1404*SUM($B$82)+SUM($B$83),0)</x:f>
        <x:v>0</x:v>
      </x:c>
      <x:c r="H1404" s="440" t="n">
        <x:f>IF(ISNUMBER(D1404),IF(MAX(0,B1404*(1+C1404/12)-D1404-F1404)&lt;MAX(0.0000001,$E$17*0.00000000001),0,MAX(0,B1404*(1+C1404/12)-D1404-F1404)),IF(AND($B$171=1,I1403=1),B1404,""))</x:f>
        <x:v>0</x:v>
      </x:c>
      <x:c r="I1404" s="444" t="n">
        <x:f>IF(OR(I1403=1,AND(E1404&gt;0,$B$78&lt;&gt;"Cash payoff",NOT(AND($B$78="Refinance",ISNUMBER($B$80),$B$80&gt;=0,$B$80&lt;=1,ROUND($B$81*12,0)&gt;=1,$B$81&lt;=100,SUM($B$82)&gt;=0,SUM($B$82)&lt;=1,SUM($B$83)&gt;=0))),AND(ISNUMBER(B1404),B1404&gt;0,$B$171=1,NOT(ISNUMBER(D1404)))),1,0)</x:f>
        <x:v>0</x:v>
      </x:c>
      <x:c r="J1404" s="440" t="n">
        <x:f>IF(ISNUMBER(L1403),L1403,"")</x:f>
        <x:v>0</x:v>
      </x:c>
      <x:c r="K1404" s="440" t="n">
        <x:f>IF(AND(ISNUMBER(J1404),J1404=0),0,IF(AND($B$176=1,ISNUMBER(J1404)),MIN(J1404*(1+$B$87/12),IF($B$86=0,0,IF($B$87=0,$B$86/ROUND($B$88*12,0),$B$86*($B$87/12)/(1-(1+$B$87/12)^(-ROUND($B$88*12,0)))))),""))</x:f>
        <x:v>0</x:v>
      </x:c>
      <x:c r="L1404" s="440" t="n">
        <x:f>IF(ISNUMBER(K1404),IF(MAX(0,J1404*(1+SUM($B$87)/12)-K1404)&lt;MAX(0.0000001,$B$86*0.00000000001),0,MAX(0,J1404*(1+SUM($B$87)/12)-K1404)),"")</x:f>
        <x:v>0</x:v>
      </x:c>
      <x:c r="M1404" s="440" t="n">
        <x:f>IF(AND(ISNUMBER(D1404),ISNUMBER(K1404)),D1404+K1404,"")</x:f>
        <x:v>0</x:v>
      </x:c>
      <x:c r="N1404" s="440" t="n">
        <x:f>IF(AND(ISNUMBER(H1404),ISNUMBER(L1404)),H1404+L1404,"")</x:f>
        <x:v>0</x:v>
      </x:c>
    </x:row>
    <x:row r="1405" ht="22" customHeight="1">
      <x:c r="A1405" s="254" t="n">
        <x:f>1005</x:f>
        <x:v>1005</x:v>
      </x:c>
      <x:c r="B1405" s="440" t="n">
        <x:f>IF(ISNUMBER(H1404),H1404,"")</x:f>
        <x:v>0</x:v>
      </x:c>
      <x:c r="C1405" s="442" t="n">
        <x:f>IF(ISNUMBER(B1405),IF(AND(1005&gt;$B$173,$B$78="Refinance",ISNUMBER($B$80),$B$80&gt;=0,$B$80&lt;=1,ROUND($B$81*12,0)&gt;=1,$B$81&lt;=100,SUM($B$82)&gt;=0,SUM($B$82)&lt;=1,SUM($B$83)&gt;=0),$B$80,IF(AND($B$175&gt;0,1005&gt;$B$175,ISNUMBER($B$75)),$B$75,$B$61)),"")</x:f>
        <x:v>0.0625</x:v>
      </x:c>
      <x:c r="D1405" s="440" t="n">
        <x:f>IF(AND(ISNUMBER(B1405),B1405=0),0,IF(AND($B$171=1,I1404=0,ISNUMBER(C1405),ISNUMBER(IF(AND(1005&lt;=$B$174,1005&lt;=$B$173),B1405*C1405/12,IF(AND(1005=$B$173+1,AND(1005&gt;$B$173,$B$78="Refinance",ISNUMBER($B$80),$B$80&gt;=0,$B$80&lt;=1,ROUND($B$81*12,0)&gt;=1,$B$81&lt;=100,SUM($B$82)&gt;=0,SUM($B$82)&lt;=1,SUM($B$83)&gt;=0)),IF(B1405=0,0,IF(C1405=0,B1405/ROUND($B$81*12,0),B1405*(C1405/12)/(1-(1+C1405/12)^(-ROUND($B$81*12,0))))),IF(AND(NOT(AND(1005&gt;$B$173,$B$78="Refinance",ISNUMBER($B$80),$B$80&gt;=0,$B$80&lt;=1,ROUND($B$81*12,0)&gt;=1,$B$81&lt;=100,SUM($B$82)&gt;=0,SUM($B$82)&lt;=1,SUM($B$83)&gt;=0)),OR(1005=1,1005=$B$174+1,AND($B$175&gt;0,1005=$B$175+1))),IF(AND($B$170=1,$B$66&gt;0,OR($B$175=0,1005&lt;=$B$175)),$B$66,IF($B$172-MAX(1005-1,$B$174)&gt;0,IF(B1405=0,0,IF(C1405=0,B1405/($B$172-MAX(1005-1,$B$174)),B1405*(C1405/12)/(1-(1+C1405/12)^(-($B$172-MAX(1005-1,$B$174)))))),"")),D1404))))),IF(IF(AND(1005&lt;=$B$174,1005&lt;=$B$173),B1405*C1405/12,IF(AND(1005=$B$173+1,AND(1005&gt;$B$173,$B$78="Refinance",ISNUMBER($B$80),$B$80&gt;=0,$B$80&lt;=1,ROUND($B$81*12,0)&gt;=1,$B$81&lt;=100,SUM($B$82)&gt;=0,SUM($B$82)&lt;=1,SUM($B$83)&gt;=0)),IF(B1405=0,0,IF(C1405=0,B1405/ROUND($B$81*12,0),B1405*(C1405/12)/(1-(1+C1405/12)^(-ROUND($B$81*12,0))))),IF(AND(NOT(AND(1005&gt;$B$173,$B$78="Refinance",ISNUMBER($B$80),$B$80&gt;=0,$B$80&lt;=1,ROUND($B$81*12,0)&gt;=1,$B$81&lt;=100,SUM($B$82)&gt;=0,SUM($B$82)&lt;=1,SUM($B$83)&gt;=0)),OR(1005=1,1005=$B$174+1,AND($B$175&gt;0,1005=$B$175+1))),IF(AND($B$170=1,$B$66&gt;0,OR($B$175=0,1005&lt;=$B$175)),$B$66,IF($B$172-MAX(1005-1,$B$174)&gt;0,IF(B1405=0,0,IF(C1405=0,B1405/($B$172-MAX(1005-1,$B$174)),B1405*(C1405/12)/(1-(1+C1405/12)^(-($B$172-MAX(1005-1,$B$174)))))),"")),D1404)))+0.0000001&gt;=B1405*C1405/12,MIN(B1405*(1+C1405/12),IF(AND(1005&lt;=$B$174,1005&lt;=$B$173),B1405*C1405/12,IF(AND(1005=$B$173+1,AND(1005&gt;$B$173,$B$78="Refinance",ISNUMBER($B$80),$B$80&gt;=0,$B$80&lt;=1,ROUND($B$81*12,0)&gt;=1,$B$81&lt;=100,SUM($B$82)&gt;=0,SUM($B$82)&lt;=1,SUM($B$83)&gt;=0)),IF(B1405=0,0,IF(C1405=0,B1405/ROUND($B$81*12,0),B1405*(C1405/12)/(1-(1+C1405/12)^(-ROUND($B$81*12,0))))),IF(AND(NOT(AND(1005&gt;$B$173,$B$78="Refinance",ISNUMBER($B$80),$B$80&gt;=0,$B$80&lt;=1,ROUND($B$81*12,0)&gt;=1,$B$81&lt;=100,SUM($B$82)&gt;=0,SUM($B$82)&lt;=1,SUM($B$83)&gt;=0)),OR(1005=1,1005=$B$174+1,AND($B$175&gt;0,1005=$B$175+1))),IF(AND($B$170=1,$B$66&gt;0,OR($B$175=0,1005&lt;=$B$175)),$B$66,IF($B$172-MAX(1005-1,$B$174)&gt;0,IF(B1405=0,0,IF(C1405=0,B1405/($B$172-MAX(1005-1,$B$174)),B1405*(C1405/12)/(1-(1+C1405/12)^(-($B$172-MAX(1005-1,$B$174)))))),"")),D1404)))),""),""))</x:f>
        <x:v>0</x:v>
      </x:c>
      <x:c r="E1405" s="440" t="n">
        <x:f>IF(AND(1005=$B$173,ISNUMBER(D1405)),IF(MAX(0,B1405*(1+C1405/12)-D1405)&lt;MAX(0.0000001,$E$17*0.00000000001),0,MAX(0,B1405*(1+C1405/12)-D1405)),0)</x:f>
        <x:v>0</x:v>
      </x:c>
      <x:c r="F1405" s="440" t="n">
        <x:f>IF($B$78="Cash payoff",E1405,0)</x:f>
        <x:v>0</x:v>
      </x:c>
      <x:c r="G1405" s="440" t="n">
        <x:f>IF(AND(E1405&gt;0,AND($B$78="Refinance",ISNUMBER($B$80),$B$80&gt;=0,$B$80&lt;=1,ROUND($B$81*12,0)&gt;=1,$B$81&lt;=100,SUM($B$82)&gt;=0,SUM($B$82)&lt;=1,SUM($B$83)&gt;=0)),E1405*SUM($B$82)+SUM($B$83),0)</x:f>
        <x:v>0</x:v>
      </x:c>
      <x:c r="H1405" s="440" t="n">
        <x:f>IF(ISNUMBER(D1405),IF(MAX(0,B1405*(1+C1405/12)-D1405-F1405)&lt;MAX(0.0000001,$E$17*0.00000000001),0,MAX(0,B1405*(1+C1405/12)-D1405-F1405)),IF(AND($B$171=1,I1404=1),B1405,""))</x:f>
        <x:v>0</x:v>
      </x:c>
      <x:c r="I1405" s="444" t="n">
        <x:f>IF(OR(I1404=1,AND(E1405&gt;0,$B$78&lt;&gt;"Cash payoff",NOT(AND($B$78="Refinance",ISNUMBER($B$80),$B$80&gt;=0,$B$80&lt;=1,ROUND($B$81*12,0)&gt;=1,$B$81&lt;=100,SUM($B$82)&gt;=0,SUM($B$82)&lt;=1,SUM($B$83)&gt;=0))),AND(ISNUMBER(B1405),B1405&gt;0,$B$171=1,NOT(ISNUMBER(D1405)))),1,0)</x:f>
        <x:v>0</x:v>
      </x:c>
      <x:c r="J1405" s="440" t="n">
        <x:f>IF(ISNUMBER(L1404),L1404,"")</x:f>
        <x:v>0</x:v>
      </x:c>
      <x:c r="K1405" s="440" t="n">
        <x:f>IF(AND(ISNUMBER(J1405),J1405=0),0,IF(AND($B$176=1,ISNUMBER(J1405)),MIN(J1405*(1+$B$87/12),IF($B$86=0,0,IF($B$87=0,$B$86/ROUND($B$88*12,0),$B$86*($B$87/12)/(1-(1+$B$87/12)^(-ROUND($B$88*12,0)))))),""))</x:f>
        <x:v>0</x:v>
      </x:c>
      <x:c r="L1405" s="440" t="n">
        <x:f>IF(ISNUMBER(K1405),IF(MAX(0,J1405*(1+SUM($B$87)/12)-K1405)&lt;MAX(0.0000001,$B$86*0.00000000001),0,MAX(0,J1405*(1+SUM($B$87)/12)-K1405)),"")</x:f>
        <x:v>0</x:v>
      </x:c>
      <x:c r="M1405" s="440" t="n">
        <x:f>IF(AND(ISNUMBER(D1405),ISNUMBER(K1405)),D1405+K1405,"")</x:f>
        <x:v>0</x:v>
      </x:c>
      <x:c r="N1405" s="440" t="n">
        <x:f>IF(AND(ISNUMBER(H1405),ISNUMBER(L1405)),H1405+L1405,"")</x:f>
        <x:v>0</x:v>
      </x:c>
    </x:row>
    <x:row r="1406" ht="22" customHeight="1">
      <x:c r="A1406" s="254" t="n">
        <x:f>1006</x:f>
        <x:v>1006</x:v>
      </x:c>
      <x:c r="B1406" s="440" t="n">
        <x:f>IF(ISNUMBER(H1405),H1405,"")</x:f>
        <x:v>0</x:v>
      </x:c>
      <x:c r="C1406" s="442" t="n">
        <x:f>IF(ISNUMBER(B1406),IF(AND(1006&gt;$B$173,$B$78="Refinance",ISNUMBER($B$80),$B$80&gt;=0,$B$80&lt;=1,ROUND($B$81*12,0)&gt;=1,$B$81&lt;=100,SUM($B$82)&gt;=0,SUM($B$82)&lt;=1,SUM($B$83)&gt;=0),$B$80,IF(AND($B$175&gt;0,1006&gt;$B$175,ISNUMBER($B$75)),$B$75,$B$61)),"")</x:f>
        <x:v>0.0625</x:v>
      </x:c>
      <x:c r="D1406" s="440" t="n">
        <x:f>IF(AND(ISNUMBER(B1406),B1406=0),0,IF(AND($B$171=1,I1405=0,ISNUMBER(C1406),ISNUMBER(IF(AND(1006&lt;=$B$174,1006&lt;=$B$173),B1406*C1406/12,IF(AND(1006=$B$173+1,AND(1006&gt;$B$173,$B$78="Refinance",ISNUMBER($B$80),$B$80&gt;=0,$B$80&lt;=1,ROUND($B$81*12,0)&gt;=1,$B$81&lt;=100,SUM($B$82)&gt;=0,SUM($B$82)&lt;=1,SUM($B$83)&gt;=0)),IF(B1406=0,0,IF(C1406=0,B1406/ROUND($B$81*12,0),B1406*(C1406/12)/(1-(1+C1406/12)^(-ROUND($B$81*12,0))))),IF(AND(NOT(AND(1006&gt;$B$173,$B$78="Refinance",ISNUMBER($B$80),$B$80&gt;=0,$B$80&lt;=1,ROUND($B$81*12,0)&gt;=1,$B$81&lt;=100,SUM($B$82)&gt;=0,SUM($B$82)&lt;=1,SUM($B$83)&gt;=0)),OR(1006=1,1006=$B$174+1,AND($B$175&gt;0,1006=$B$175+1))),IF(AND($B$170=1,$B$66&gt;0,OR($B$175=0,1006&lt;=$B$175)),$B$66,IF($B$172-MAX(1006-1,$B$174)&gt;0,IF(B1406=0,0,IF(C1406=0,B1406/($B$172-MAX(1006-1,$B$174)),B1406*(C1406/12)/(1-(1+C1406/12)^(-($B$172-MAX(1006-1,$B$174)))))),"")),D1405))))),IF(IF(AND(1006&lt;=$B$174,1006&lt;=$B$173),B1406*C1406/12,IF(AND(1006=$B$173+1,AND(1006&gt;$B$173,$B$78="Refinance",ISNUMBER($B$80),$B$80&gt;=0,$B$80&lt;=1,ROUND($B$81*12,0)&gt;=1,$B$81&lt;=100,SUM($B$82)&gt;=0,SUM($B$82)&lt;=1,SUM($B$83)&gt;=0)),IF(B1406=0,0,IF(C1406=0,B1406/ROUND($B$81*12,0),B1406*(C1406/12)/(1-(1+C1406/12)^(-ROUND($B$81*12,0))))),IF(AND(NOT(AND(1006&gt;$B$173,$B$78="Refinance",ISNUMBER($B$80),$B$80&gt;=0,$B$80&lt;=1,ROUND($B$81*12,0)&gt;=1,$B$81&lt;=100,SUM($B$82)&gt;=0,SUM($B$82)&lt;=1,SUM($B$83)&gt;=0)),OR(1006=1,1006=$B$174+1,AND($B$175&gt;0,1006=$B$175+1))),IF(AND($B$170=1,$B$66&gt;0,OR($B$175=0,1006&lt;=$B$175)),$B$66,IF($B$172-MAX(1006-1,$B$174)&gt;0,IF(B1406=0,0,IF(C1406=0,B1406/($B$172-MAX(1006-1,$B$174)),B1406*(C1406/12)/(1-(1+C1406/12)^(-($B$172-MAX(1006-1,$B$174)))))),"")),D1405)))+0.0000001&gt;=B1406*C1406/12,MIN(B1406*(1+C1406/12),IF(AND(1006&lt;=$B$174,1006&lt;=$B$173),B1406*C1406/12,IF(AND(1006=$B$173+1,AND(1006&gt;$B$173,$B$78="Refinance",ISNUMBER($B$80),$B$80&gt;=0,$B$80&lt;=1,ROUND($B$81*12,0)&gt;=1,$B$81&lt;=100,SUM($B$82)&gt;=0,SUM($B$82)&lt;=1,SUM($B$83)&gt;=0)),IF(B1406=0,0,IF(C1406=0,B1406/ROUND($B$81*12,0),B1406*(C1406/12)/(1-(1+C1406/12)^(-ROUND($B$81*12,0))))),IF(AND(NOT(AND(1006&gt;$B$173,$B$78="Refinance",ISNUMBER($B$80),$B$80&gt;=0,$B$80&lt;=1,ROUND($B$81*12,0)&gt;=1,$B$81&lt;=100,SUM($B$82)&gt;=0,SUM($B$82)&lt;=1,SUM($B$83)&gt;=0)),OR(1006=1,1006=$B$174+1,AND($B$175&gt;0,1006=$B$175+1))),IF(AND($B$170=1,$B$66&gt;0,OR($B$175=0,1006&lt;=$B$175)),$B$66,IF($B$172-MAX(1006-1,$B$174)&gt;0,IF(B1406=0,0,IF(C1406=0,B1406/($B$172-MAX(1006-1,$B$174)),B1406*(C1406/12)/(1-(1+C1406/12)^(-($B$172-MAX(1006-1,$B$174)))))),"")),D1405)))),""),""))</x:f>
        <x:v>0</x:v>
      </x:c>
      <x:c r="E1406" s="440" t="n">
        <x:f>IF(AND(1006=$B$173,ISNUMBER(D1406)),IF(MAX(0,B1406*(1+C1406/12)-D1406)&lt;MAX(0.0000001,$E$17*0.00000000001),0,MAX(0,B1406*(1+C1406/12)-D1406)),0)</x:f>
        <x:v>0</x:v>
      </x:c>
      <x:c r="F1406" s="440" t="n">
        <x:f>IF($B$78="Cash payoff",E1406,0)</x:f>
        <x:v>0</x:v>
      </x:c>
      <x:c r="G1406" s="440" t="n">
        <x:f>IF(AND(E1406&gt;0,AND($B$78="Refinance",ISNUMBER($B$80),$B$80&gt;=0,$B$80&lt;=1,ROUND($B$81*12,0)&gt;=1,$B$81&lt;=100,SUM($B$82)&gt;=0,SUM($B$82)&lt;=1,SUM($B$83)&gt;=0)),E1406*SUM($B$82)+SUM($B$83),0)</x:f>
        <x:v>0</x:v>
      </x:c>
      <x:c r="H1406" s="440" t="n">
        <x:f>IF(ISNUMBER(D1406),IF(MAX(0,B1406*(1+C1406/12)-D1406-F1406)&lt;MAX(0.0000001,$E$17*0.00000000001),0,MAX(0,B1406*(1+C1406/12)-D1406-F1406)),IF(AND($B$171=1,I1405=1),B1406,""))</x:f>
        <x:v>0</x:v>
      </x:c>
      <x:c r="I1406" s="444" t="n">
        <x:f>IF(OR(I1405=1,AND(E1406&gt;0,$B$78&lt;&gt;"Cash payoff",NOT(AND($B$78="Refinance",ISNUMBER($B$80),$B$80&gt;=0,$B$80&lt;=1,ROUND($B$81*12,0)&gt;=1,$B$81&lt;=100,SUM($B$82)&gt;=0,SUM($B$82)&lt;=1,SUM($B$83)&gt;=0))),AND(ISNUMBER(B1406),B1406&gt;0,$B$171=1,NOT(ISNUMBER(D1406)))),1,0)</x:f>
        <x:v>0</x:v>
      </x:c>
      <x:c r="J1406" s="440" t="n">
        <x:f>IF(ISNUMBER(L1405),L1405,"")</x:f>
        <x:v>0</x:v>
      </x:c>
      <x:c r="K1406" s="440" t="n">
        <x:f>IF(AND(ISNUMBER(J1406),J1406=0),0,IF(AND($B$176=1,ISNUMBER(J1406)),MIN(J1406*(1+$B$87/12),IF($B$86=0,0,IF($B$87=0,$B$86/ROUND($B$88*12,0),$B$86*($B$87/12)/(1-(1+$B$87/12)^(-ROUND($B$88*12,0)))))),""))</x:f>
        <x:v>0</x:v>
      </x:c>
      <x:c r="L1406" s="440" t="n">
        <x:f>IF(ISNUMBER(K1406),IF(MAX(0,J1406*(1+SUM($B$87)/12)-K1406)&lt;MAX(0.0000001,$B$86*0.00000000001),0,MAX(0,J1406*(1+SUM($B$87)/12)-K1406)),"")</x:f>
        <x:v>0</x:v>
      </x:c>
      <x:c r="M1406" s="440" t="n">
        <x:f>IF(AND(ISNUMBER(D1406),ISNUMBER(K1406)),D1406+K1406,"")</x:f>
        <x:v>0</x:v>
      </x:c>
      <x:c r="N1406" s="440" t="n">
        <x:f>IF(AND(ISNUMBER(H1406),ISNUMBER(L1406)),H1406+L1406,"")</x:f>
        <x:v>0</x:v>
      </x:c>
    </x:row>
    <x:row r="1407" ht="22" customHeight="1">
      <x:c r="A1407" s="254" t="n">
        <x:f>1007</x:f>
        <x:v>1007</x:v>
      </x:c>
      <x:c r="B1407" s="440" t="n">
        <x:f>IF(ISNUMBER(H1406),H1406,"")</x:f>
        <x:v>0</x:v>
      </x:c>
      <x:c r="C1407" s="442" t="n">
        <x:f>IF(ISNUMBER(B1407),IF(AND(1007&gt;$B$173,$B$78="Refinance",ISNUMBER($B$80),$B$80&gt;=0,$B$80&lt;=1,ROUND($B$81*12,0)&gt;=1,$B$81&lt;=100,SUM($B$82)&gt;=0,SUM($B$82)&lt;=1,SUM($B$83)&gt;=0),$B$80,IF(AND($B$175&gt;0,1007&gt;$B$175,ISNUMBER($B$75)),$B$75,$B$61)),"")</x:f>
        <x:v>0.0625</x:v>
      </x:c>
      <x:c r="D1407" s="440" t="n">
        <x:f>IF(AND(ISNUMBER(B1407),B1407=0),0,IF(AND($B$171=1,I1406=0,ISNUMBER(C1407),ISNUMBER(IF(AND(1007&lt;=$B$174,1007&lt;=$B$173),B1407*C1407/12,IF(AND(1007=$B$173+1,AND(1007&gt;$B$173,$B$78="Refinance",ISNUMBER($B$80),$B$80&gt;=0,$B$80&lt;=1,ROUND($B$81*12,0)&gt;=1,$B$81&lt;=100,SUM($B$82)&gt;=0,SUM($B$82)&lt;=1,SUM($B$83)&gt;=0)),IF(B1407=0,0,IF(C1407=0,B1407/ROUND($B$81*12,0),B1407*(C1407/12)/(1-(1+C1407/12)^(-ROUND($B$81*12,0))))),IF(AND(NOT(AND(1007&gt;$B$173,$B$78="Refinance",ISNUMBER($B$80),$B$80&gt;=0,$B$80&lt;=1,ROUND($B$81*12,0)&gt;=1,$B$81&lt;=100,SUM($B$82)&gt;=0,SUM($B$82)&lt;=1,SUM($B$83)&gt;=0)),OR(1007=1,1007=$B$174+1,AND($B$175&gt;0,1007=$B$175+1))),IF(AND($B$170=1,$B$66&gt;0,OR($B$175=0,1007&lt;=$B$175)),$B$66,IF($B$172-MAX(1007-1,$B$174)&gt;0,IF(B1407=0,0,IF(C1407=0,B1407/($B$172-MAX(1007-1,$B$174)),B1407*(C1407/12)/(1-(1+C1407/12)^(-($B$172-MAX(1007-1,$B$174)))))),"")),D1406))))),IF(IF(AND(1007&lt;=$B$174,1007&lt;=$B$173),B1407*C1407/12,IF(AND(1007=$B$173+1,AND(1007&gt;$B$173,$B$78="Refinance",ISNUMBER($B$80),$B$80&gt;=0,$B$80&lt;=1,ROUND($B$81*12,0)&gt;=1,$B$81&lt;=100,SUM($B$82)&gt;=0,SUM($B$82)&lt;=1,SUM($B$83)&gt;=0)),IF(B1407=0,0,IF(C1407=0,B1407/ROUND($B$81*12,0),B1407*(C1407/12)/(1-(1+C1407/12)^(-ROUND($B$81*12,0))))),IF(AND(NOT(AND(1007&gt;$B$173,$B$78="Refinance",ISNUMBER($B$80),$B$80&gt;=0,$B$80&lt;=1,ROUND($B$81*12,0)&gt;=1,$B$81&lt;=100,SUM($B$82)&gt;=0,SUM($B$82)&lt;=1,SUM($B$83)&gt;=0)),OR(1007=1,1007=$B$174+1,AND($B$175&gt;0,1007=$B$175+1))),IF(AND($B$170=1,$B$66&gt;0,OR($B$175=0,1007&lt;=$B$175)),$B$66,IF($B$172-MAX(1007-1,$B$174)&gt;0,IF(B1407=0,0,IF(C1407=0,B1407/($B$172-MAX(1007-1,$B$174)),B1407*(C1407/12)/(1-(1+C1407/12)^(-($B$172-MAX(1007-1,$B$174)))))),"")),D1406)))+0.0000001&gt;=B1407*C1407/12,MIN(B1407*(1+C1407/12),IF(AND(1007&lt;=$B$174,1007&lt;=$B$173),B1407*C1407/12,IF(AND(1007=$B$173+1,AND(1007&gt;$B$173,$B$78="Refinance",ISNUMBER($B$80),$B$80&gt;=0,$B$80&lt;=1,ROUND($B$81*12,0)&gt;=1,$B$81&lt;=100,SUM($B$82)&gt;=0,SUM($B$82)&lt;=1,SUM($B$83)&gt;=0)),IF(B1407=0,0,IF(C1407=0,B1407/ROUND($B$81*12,0),B1407*(C1407/12)/(1-(1+C1407/12)^(-ROUND($B$81*12,0))))),IF(AND(NOT(AND(1007&gt;$B$173,$B$78="Refinance",ISNUMBER($B$80),$B$80&gt;=0,$B$80&lt;=1,ROUND($B$81*12,0)&gt;=1,$B$81&lt;=100,SUM($B$82)&gt;=0,SUM($B$82)&lt;=1,SUM($B$83)&gt;=0)),OR(1007=1,1007=$B$174+1,AND($B$175&gt;0,1007=$B$175+1))),IF(AND($B$170=1,$B$66&gt;0,OR($B$175=0,1007&lt;=$B$175)),$B$66,IF($B$172-MAX(1007-1,$B$174)&gt;0,IF(B1407=0,0,IF(C1407=0,B1407/($B$172-MAX(1007-1,$B$174)),B1407*(C1407/12)/(1-(1+C1407/12)^(-($B$172-MAX(1007-1,$B$174)))))),"")),D1406)))),""),""))</x:f>
        <x:v>0</x:v>
      </x:c>
      <x:c r="E1407" s="440" t="n">
        <x:f>IF(AND(1007=$B$173,ISNUMBER(D1407)),IF(MAX(0,B1407*(1+C1407/12)-D1407)&lt;MAX(0.0000001,$E$17*0.00000000001),0,MAX(0,B1407*(1+C1407/12)-D1407)),0)</x:f>
        <x:v>0</x:v>
      </x:c>
      <x:c r="F1407" s="440" t="n">
        <x:f>IF($B$78="Cash payoff",E1407,0)</x:f>
        <x:v>0</x:v>
      </x:c>
      <x:c r="G1407" s="440" t="n">
        <x:f>IF(AND(E1407&gt;0,AND($B$78="Refinance",ISNUMBER($B$80),$B$80&gt;=0,$B$80&lt;=1,ROUND($B$81*12,0)&gt;=1,$B$81&lt;=100,SUM($B$82)&gt;=0,SUM($B$82)&lt;=1,SUM($B$83)&gt;=0)),E1407*SUM($B$82)+SUM($B$83),0)</x:f>
        <x:v>0</x:v>
      </x:c>
      <x:c r="H1407" s="440" t="n">
        <x:f>IF(ISNUMBER(D1407),IF(MAX(0,B1407*(1+C1407/12)-D1407-F1407)&lt;MAX(0.0000001,$E$17*0.00000000001),0,MAX(0,B1407*(1+C1407/12)-D1407-F1407)),IF(AND($B$171=1,I1406=1),B1407,""))</x:f>
        <x:v>0</x:v>
      </x:c>
      <x:c r="I1407" s="444" t="n">
        <x:f>IF(OR(I1406=1,AND(E1407&gt;0,$B$78&lt;&gt;"Cash payoff",NOT(AND($B$78="Refinance",ISNUMBER($B$80),$B$80&gt;=0,$B$80&lt;=1,ROUND($B$81*12,0)&gt;=1,$B$81&lt;=100,SUM($B$82)&gt;=0,SUM($B$82)&lt;=1,SUM($B$83)&gt;=0))),AND(ISNUMBER(B1407),B1407&gt;0,$B$171=1,NOT(ISNUMBER(D1407)))),1,0)</x:f>
        <x:v>0</x:v>
      </x:c>
      <x:c r="J1407" s="440" t="n">
        <x:f>IF(ISNUMBER(L1406),L1406,"")</x:f>
        <x:v>0</x:v>
      </x:c>
      <x:c r="K1407" s="440" t="n">
        <x:f>IF(AND(ISNUMBER(J1407),J1407=0),0,IF(AND($B$176=1,ISNUMBER(J1407)),MIN(J1407*(1+$B$87/12),IF($B$86=0,0,IF($B$87=0,$B$86/ROUND($B$88*12,0),$B$86*($B$87/12)/(1-(1+$B$87/12)^(-ROUND($B$88*12,0)))))),""))</x:f>
        <x:v>0</x:v>
      </x:c>
      <x:c r="L1407" s="440" t="n">
        <x:f>IF(ISNUMBER(K1407),IF(MAX(0,J1407*(1+SUM($B$87)/12)-K1407)&lt;MAX(0.0000001,$B$86*0.00000000001),0,MAX(0,J1407*(1+SUM($B$87)/12)-K1407)),"")</x:f>
        <x:v>0</x:v>
      </x:c>
      <x:c r="M1407" s="440" t="n">
        <x:f>IF(AND(ISNUMBER(D1407),ISNUMBER(K1407)),D1407+K1407,"")</x:f>
        <x:v>0</x:v>
      </x:c>
      <x:c r="N1407" s="440" t="n">
        <x:f>IF(AND(ISNUMBER(H1407),ISNUMBER(L1407)),H1407+L1407,"")</x:f>
        <x:v>0</x:v>
      </x:c>
    </x:row>
    <x:row r="1408" ht="22" customHeight="1">
      <x:c r="A1408" s="254" t="n">
        <x:f>1008</x:f>
        <x:v>1008</x:v>
      </x:c>
      <x:c r="B1408" s="440" t="n">
        <x:f>IF(ISNUMBER(H1407),H1407,"")</x:f>
        <x:v>0</x:v>
      </x:c>
      <x:c r="C1408" s="442" t="n">
        <x:f>IF(ISNUMBER(B1408),IF(AND(1008&gt;$B$173,$B$78="Refinance",ISNUMBER($B$80),$B$80&gt;=0,$B$80&lt;=1,ROUND($B$81*12,0)&gt;=1,$B$81&lt;=100,SUM($B$82)&gt;=0,SUM($B$82)&lt;=1,SUM($B$83)&gt;=0),$B$80,IF(AND($B$175&gt;0,1008&gt;$B$175,ISNUMBER($B$75)),$B$75,$B$61)),"")</x:f>
        <x:v>0.0625</x:v>
      </x:c>
      <x:c r="D1408" s="440" t="n">
        <x:f>IF(AND(ISNUMBER(B1408),B1408=0),0,IF(AND($B$171=1,I1407=0,ISNUMBER(C1408),ISNUMBER(IF(AND(1008&lt;=$B$174,1008&lt;=$B$173),B1408*C1408/12,IF(AND(1008=$B$173+1,AND(1008&gt;$B$173,$B$78="Refinance",ISNUMBER($B$80),$B$80&gt;=0,$B$80&lt;=1,ROUND($B$81*12,0)&gt;=1,$B$81&lt;=100,SUM($B$82)&gt;=0,SUM($B$82)&lt;=1,SUM($B$83)&gt;=0)),IF(B1408=0,0,IF(C1408=0,B1408/ROUND($B$81*12,0),B1408*(C1408/12)/(1-(1+C1408/12)^(-ROUND($B$81*12,0))))),IF(AND(NOT(AND(1008&gt;$B$173,$B$78="Refinance",ISNUMBER($B$80),$B$80&gt;=0,$B$80&lt;=1,ROUND($B$81*12,0)&gt;=1,$B$81&lt;=100,SUM($B$82)&gt;=0,SUM($B$82)&lt;=1,SUM($B$83)&gt;=0)),OR(1008=1,1008=$B$174+1,AND($B$175&gt;0,1008=$B$175+1))),IF(AND($B$170=1,$B$66&gt;0,OR($B$175=0,1008&lt;=$B$175)),$B$66,IF($B$172-MAX(1008-1,$B$174)&gt;0,IF(B1408=0,0,IF(C1408=0,B1408/($B$172-MAX(1008-1,$B$174)),B1408*(C1408/12)/(1-(1+C1408/12)^(-($B$172-MAX(1008-1,$B$174)))))),"")),D1407))))),IF(IF(AND(1008&lt;=$B$174,1008&lt;=$B$173),B1408*C1408/12,IF(AND(1008=$B$173+1,AND(1008&gt;$B$173,$B$78="Refinance",ISNUMBER($B$80),$B$80&gt;=0,$B$80&lt;=1,ROUND($B$81*12,0)&gt;=1,$B$81&lt;=100,SUM($B$82)&gt;=0,SUM($B$82)&lt;=1,SUM($B$83)&gt;=0)),IF(B1408=0,0,IF(C1408=0,B1408/ROUND($B$81*12,0),B1408*(C1408/12)/(1-(1+C1408/12)^(-ROUND($B$81*12,0))))),IF(AND(NOT(AND(1008&gt;$B$173,$B$78="Refinance",ISNUMBER($B$80),$B$80&gt;=0,$B$80&lt;=1,ROUND($B$81*12,0)&gt;=1,$B$81&lt;=100,SUM($B$82)&gt;=0,SUM($B$82)&lt;=1,SUM($B$83)&gt;=0)),OR(1008=1,1008=$B$174+1,AND($B$175&gt;0,1008=$B$175+1))),IF(AND($B$170=1,$B$66&gt;0,OR($B$175=0,1008&lt;=$B$175)),$B$66,IF($B$172-MAX(1008-1,$B$174)&gt;0,IF(B1408=0,0,IF(C1408=0,B1408/($B$172-MAX(1008-1,$B$174)),B1408*(C1408/12)/(1-(1+C1408/12)^(-($B$172-MAX(1008-1,$B$174)))))),"")),D1407)))+0.0000001&gt;=B1408*C1408/12,MIN(B1408*(1+C1408/12),IF(AND(1008&lt;=$B$174,1008&lt;=$B$173),B1408*C1408/12,IF(AND(1008=$B$173+1,AND(1008&gt;$B$173,$B$78="Refinance",ISNUMBER($B$80),$B$80&gt;=0,$B$80&lt;=1,ROUND($B$81*12,0)&gt;=1,$B$81&lt;=100,SUM($B$82)&gt;=0,SUM($B$82)&lt;=1,SUM($B$83)&gt;=0)),IF(B1408=0,0,IF(C1408=0,B1408/ROUND($B$81*12,0),B1408*(C1408/12)/(1-(1+C1408/12)^(-ROUND($B$81*12,0))))),IF(AND(NOT(AND(1008&gt;$B$173,$B$78="Refinance",ISNUMBER($B$80),$B$80&gt;=0,$B$80&lt;=1,ROUND($B$81*12,0)&gt;=1,$B$81&lt;=100,SUM($B$82)&gt;=0,SUM($B$82)&lt;=1,SUM($B$83)&gt;=0)),OR(1008=1,1008=$B$174+1,AND($B$175&gt;0,1008=$B$175+1))),IF(AND($B$170=1,$B$66&gt;0,OR($B$175=0,1008&lt;=$B$175)),$B$66,IF($B$172-MAX(1008-1,$B$174)&gt;0,IF(B1408=0,0,IF(C1408=0,B1408/($B$172-MAX(1008-1,$B$174)),B1408*(C1408/12)/(1-(1+C1408/12)^(-($B$172-MAX(1008-1,$B$174)))))),"")),D1407)))),""),""))</x:f>
        <x:v>0</x:v>
      </x:c>
      <x:c r="E1408" s="440" t="n">
        <x:f>IF(AND(1008=$B$173,ISNUMBER(D1408)),IF(MAX(0,B1408*(1+C1408/12)-D1408)&lt;MAX(0.0000001,$E$17*0.00000000001),0,MAX(0,B1408*(1+C1408/12)-D1408)),0)</x:f>
        <x:v>0</x:v>
      </x:c>
      <x:c r="F1408" s="440" t="n">
        <x:f>IF($B$78="Cash payoff",E1408,0)</x:f>
        <x:v>0</x:v>
      </x:c>
      <x:c r="G1408" s="440" t="n">
        <x:f>IF(AND(E1408&gt;0,AND($B$78="Refinance",ISNUMBER($B$80),$B$80&gt;=0,$B$80&lt;=1,ROUND($B$81*12,0)&gt;=1,$B$81&lt;=100,SUM($B$82)&gt;=0,SUM($B$82)&lt;=1,SUM($B$83)&gt;=0)),E1408*SUM($B$82)+SUM($B$83),0)</x:f>
        <x:v>0</x:v>
      </x:c>
      <x:c r="H1408" s="440" t="n">
        <x:f>IF(ISNUMBER(D1408),IF(MAX(0,B1408*(1+C1408/12)-D1408-F1408)&lt;MAX(0.0000001,$E$17*0.00000000001),0,MAX(0,B1408*(1+C1408/12)-D1408-F1408)),IF(AND($B$171=1,I1407=1),B1408,""))</x:f>
        <x:v>0</x:v>
      </x:c>
      <x:c r="I1408" s="444" t="n">
        <x:f>IF(OR(I1407=1,AND(E1408&gt;0,$B$78&lt;&gt;"Cash payoff",NOT(AND($B$78="Refinance",ISNUMBER($B$80),$B$80&gt;=0,$B$80&lt;=1,ROUND($B$81*12,0)&gt;=1,$B$81&lt;=100,SUM($B$82)&gt;=0,SUM($B$82)&lt;=1,SUM($B$83)&gt;=0))),AND(ISNUMBER(B1408),B1408&gt;0,$B$171=1,NOT(ISNUMBER(D1408)))),1,0)</x:f>
        <x:v>0</x:v>
      </x:c>
      <x:c r="J1408" s="440" t="n">
        <x:f>IF(ISNUMBER(L1407),L1407,"")</x:f>
        <x:v>0</x:v>
      </x:c>
      <x:c r="K1408" s="440" t="n">
        <x:f>IF(AND(ISNUMBER(J1408),J1408=0),0,IF(AND($B$176=1,ISNUMBER(J1408)),MIN(J1408*(1+$B$87/12),IF($B$86=0,0,IF($B$87=0,$B$86/ROUND($B$88*12,0),$B$86*($B$87/12)/(1-(1+$B$87/12)^(-ROUND($B$88*12,0)))))),""))</x:f>
        <x:v>0</x:v>
      </x:c>
      <x:c r="L1408" s="440" t="n">
        <x:f>IF(ISNUMBER(K1408),IF(MAX(0,J1408*(1+SUM($B$87)/12)-K1408)&lt;MAX(0.0000001,$B$86*0.00000000001),0,MAX(0,J1408*(1+SUM($B$87)/12)-K1408)),"")</x:f>
        <x:v>0</x:v>
      </x:c>
      <x:c r="M1408" s="440" t="n">
        <x:f>IF(AND(ISNUMBER(D1408),ISNUMBER(K1408)),D1408+K1408,"")</x:f>
        <x:v>0</x:v>
      </x:c>
      <x:c r="N1408" s="440" t="n">
        <x:f>IF(AND(ISNUMBER(H1408),ISNUMBER(L1408)),H1408+L1408,"")</x:f>
        <x:v>0</x:v>
      </x:c>
    </x:row>
    <x:row r="1409" ht="22" customHeight="1">
      <x:c r="A1409" s="254" t="n">
        <x:f>1009</x:f>
        <x:v>1009</x:v>
      </x:c>
      <x:c r="B1409" s="440" t="n">
        <x:f>IF(ISNUMBER(H1408),H1408,"")</x:f>
        <x:v>0</x:v>
      </x:c>
      <x:c r="C1409" s="442" t="n">
        <x:f>IF(ISNUMBER(B1409),IF(AND(1009&gt;$B$173,$B$78="Refinance",ISNUMBER($B$80),$B$80&gt;=0,$B$80&lt;=1,ROUND($B$81*12,0)&gt;=1,$B$81&lt;=100,SUM($B$82)&gt;=0,SUM($B$82)&lt;=1,SUM($B$83)&gt;=0),$B$80,IF(AND($B$175&gt;0,1009&gt;$B$175,ISNUMBER($B$75)),$B$75,$B$61)),"")</x:f>
        <x:v>0.0625</x:v>
      </x:c>
      <x:c r="D1409" s="440" t="n">
        <x:f>IF(AND(ISNUMBER(B1409),B1409=0),0,IF(AND($B$171=1,I1408=0,ISNUMBER(C1409),ISNUMBER(IF(AND(1009&lt;=$B$174,1009&lt;=$B$173),B1409*C1409/12,IF(AND(1009=$B$173+1,AND(1009&gt;$B$173,$B$78="Refinance",ISNUMBER($B$80),$B$80&gt;=0,$B$80&lt;=1,ROUND($B$81*12,0)&gt;=1,$B$81&lt;=100,SUM($B$82)&gt;=0,SUM($B$82)&lt;=1,SUM($B$83)&gt;=0)),IF(B1409=0,0,IF(C1409=0,B1409/ROUND($B$81*12,0),B1409*(C1409/12)/(1-(1+C1409/12)^(-ROUND($B$81*12,0))))),IF(AND(NOT(AND(1009&gt;$B$173,$B$78="Refinance",ISNUMBER($B$80),$B$80&gt;=0,$B$80&lt;=1,ROUND($B$81*12,0)&gt;=1,$B$81&lt;=100,SUM($B$82)&gt;=0,SUM($B$82)&lt;=1,SUM($B$83)&gt;=0)),OR(1009=1,1009=$B$174+1,AND($B$175&gt;0,1009=$B$175+1))),IF(AND($B$170=1,$B$66&gt;0,OR($B$175=0,1009&lt;=$B$175)),$B$66,IF($B$172-MAX(1009-1,$B$174)&gt;0,IF(B1409=0,0,IF(C1409=0,B1409/($B$172-MAX(1009-1,$B$174)),B1409*(C1409/12)/(1-(1+C1409/12)^(-($B$172-MAX(1009-1,$B$174)))))),"")),D1408))))),IF(IF(AND(1009&lt;=$B$174,1009&lt;=$B$173),B1409*C1409/12,IF(AND(1009=$B$173+1,AND(1009&gt;$B$173,$B$78="Refinance",ISNUMBER($B$80),$B$80&gt;=0,$B$80&lt;=1,ROUND($B$81*12,0)&gt;=1,$B$81&lt;=100,SUM($B$82)&gt;=0,SUM($B$82)&lt;=1,SUM($B$83)&gt;=0)),IF(B1409=0,0,IF(C1409=0,B1409/ROUND($B$81*12,0),B1409*(C1409/12)/(1-(1+C1409/12)^(-ROUND($B$81*12,0))))),IF(AND(NOT(AND(1009&gt;$B$173,$B$78="Refinance",ISNUMBER($B$80),$B$80&gt;=0,$B$80&lt;=1,ROUND($B$81*12,0)&gt;=1,$B$81&lt;=100,SUM($B$82)&gt;=0,SUM($B$82)&lt;=1,SUM($B$83)&gt;=0)),OR(1009=1,1009=$B$174+1,AND($B$175&gt;0,1009=$B$175+1))),IF(AND($B$170=1,$B$66&gt;0,OR($B$175=0,1009&lt;=$B$175)),$B$66,IF($B$172-MAX(1009-1,$B$174)&gt;0,IF(B1409=0,0,IF(C1409=0,B1409/($B$172-MAX(1009-1,$B$174)),B1409*(C1409/12)/(1-(1+C1409/12)^(-($B$172-MAX(1009-1,$B$174)))))),"")),D1408)))+0.0000001&gt;=B1409*C1409/12,MIN(B1409*(1+C1409/12),IF(AND(1009&lt;=$B$174,1009&lt;=$B$173),B1409*C1409/12,IF(AND(1009=$B$173+1,AND(1009&gt;$B$173,$B$78="Refinance",ISNUMBER($B$80),$B$80&gt;=0,$B$80&lt;=1,ROUND($B$81*12,0)&gt;=1,$B$81&lt;=100,SUM($B$82)&gt;=0,SUM($B$82)&lt;=1,SUM($B$83)&gt;=0)),IF(B1409=0,0,IF(C1409=0,B1409/ROUND($B$81*12,0),B1409*(C1409/12)/(1-(1+C1409/12)^(-ROUND($B$81*12,0))))),IF(AND(NOT(AND(1009&gt;$B$173,$B$78="Refinance",ISNUMBER($B$80),$B$80&gt;=0,$B$80&lt;=1,ROUND($B$81*12,0)&gt;=1,$B$81&lt;=100,SUM($B$82)&gt;=0,SUM($B$82)&lt;=1,SUM($B$83)&gt;=0)),OR(1009=1,1009=$B$174+1,AND($B$175&gt;0,1009=$B$175+1))),IF(AND($B$170=1,$B$66&gt;0,OR($B$175=0,1009&lt;=$B$175)),$B$66,IF($B$172-MAX(1009-1,$B$174)&gt;0,IF(B1409=0,0,IF(C1409=0,B1409/($B$172-MAX(1009-1,$B$174)),B1409*(C1409/12)/(1-(1+C1409/12)^(-($B$172-MAX(1009-1,$B$174)))))),"")),D1408)))),""),""))</x:f>
        <x:v>0</x:v>
      </x:c>
      <x:c r="E1409" s="440" t="n">
        <x:f>IF(AND(1009=$B$173,ISNUMBER(D1409)),IF(MAX(0,B1409*(1+C1409/12)-D1409)&lt;MAX(0.0000001,$E$17*0.00000000001),0,MAX(0,B1409*(1+C1409/12)-D1409)),0)</x:f>
        <x:v>0</x:v>
      </x:c>
      <x:c r="F1409" s="440" t="n">
        <x:f>IF($B$78="Cash payoff",E1409,0)</x:f>
        <x:v>0</x:v>
      </x:c>
      <x:c r="G1409" s="440" t="n">
        <x:f>IF(AND(E1409&gt;0,AND($B$78="Refinance",ISNUMBER($B$80),$B$80&gt;=0,$B$80&lt;=1,ROUND($B$81*12,0)&gt;=1,$B$81&lt;=100,SUM($B$82)&gt;=0,SUM($B$82)&lt;=1,SUM($B$83)&gt;=0)),E1409*SUM($B$82)+SUM($B$83),0)</x:f>
        <x:v>0</x:v>
      </x:c>
      <x:c r="H1409" s="440" t="n">
        <x:f>IF(ISNUMBER(D1409),IF(MAX(0,B1409*(1+C1409/12)-D1409-F1409)&lt;MAX(0.0000001,$E$17*0.00000000001),0,MAX(0,B1409*(1+C1409/12)-D1409-F1409)),IF(AND($B$171=1,I1408=1),B1409,""))</x:f>
        <x:v>0</x:v>
      </x:c>
      <x:c r="I1409" s="444" t="n">
        <x:f>IF(OR(I1408=1,AND(E1409&gt;0,$B$78&lt;&gt;"Cash payoff",NOT(AND($B$78="Refinance",ISNUMBER($B$80),$B$80&gt;=0,$B$80&lt;=1,ROUND($B$81*12,0)&gt;=1,$B$81&lt;=100,SUM($B$82)&gt;=0,SUM($B$82)&lt;=1,SUM($B$83)&gt;=0))),AND(ISNUMBER(B1409),B1409&gt;0,$B$171=1,NOT(ISNUMBER(D1409)))),1,0)</x:f>
        <x:v>0</x:v>
      </x:c>
      <x:c r="J1409" s="440" t="n">
        <x:f>IF(ISNUMBER(L1408),L1408,"")</x:f>
        <x:v>0</x:v>
      </x:c>
      <x:c r="K1409" s="440" t="n">
        <x:f>IF(AND(ISNUMBER(J1409),J1409=0),0,IF(AND($B$176=1,ISNUMBER(J1409)),MIN(J1409*(1+$B$87/12),IF($B$86=0,0,IF($B$87=0,$B$86/ROUND($B$88*12,0),$B$86*($B$87/12)/(1-(1+$B$87/12)^(-ROUND($B$88*12,0)))))),""))</x:f>
        <x:v>0</x:v>
      </x:c>
      <x:c r="L1409" s="440" t="n">
        <x:f>IF(ISNUMBER(K1409),IF(MAX(0,J1409*(1+SUM($B$87)/12)-K1409)&lt;MAX(0.0000001,$B$86*0.00000000001),0,MAX(0,J1409*(1+SUM($B$87)/12)-K1409)),"")</x:f>
        <x:v>0</x:v>
      </x:c>
      <x:c r="M1409" s="440" t="n">
        <x:f>IF(AND(ISNUMBER(D1409),ISNUMBER(K1409)),D1409+K1409,"")</x:f>
        <x:v>0</x:v>
      </x:c>
      <x:c r="N1409" s="440" t="n">
        <x:f>IF(AND(ISNUMBER(H1409),ISNUMBER(L1409)),H1409+L1409,"")</x:f>
        <x:v>0</x:v>
      </x:c>
    </x:row>
    <x:row r="1410" ht="22" customHeight="1">
      <x:c r="A1410" s="254" t="n">
        <x:f>1010</x:f>
        <x:v>1010</x:v>
      </x:c>
      <x:c r="B1410" s="440" t="n">
        <x:f>IF(ISNUMBER(H1409),H1409,"")</x:f>
        <x:v>0</x:v>
      </x:c>
      <x:c r="C1410" s="442" t="n">
        <x:f>IF(ISNUMBER(B1410),IF(AND(1010&gt;$B$173,$B$78="Refinance",ISNUMBER($B$80),$B$80&gt;=0,$B$80&lt;=1,ROUND($B$81*12,0)&gt;=1,$B$81&lt;=100,SUM($B$82)&gt;=0,SUM($B$82)&lt;=1,SUM($B$83)&gt;=0),$B$80,IF(AND($B$175&gt;0,1010&gt;$B$175,ISNUMBER($B$75)),$B$75,$B$61)),"")</x:f>
        <x:v>0.0625</x:v>
      </x:c>
      <x:c r="D1410" s="440" t="n">
        <x:f>IF(AND(ISNUMBER(B1410),B1410=0),0,IF(AND($B$171=1,I1409=0,ISNUMBER(C1410),ISNUMBER(IF(AND(1010&lt;=$B$174,1010&lt;=$B$173),B1410*C1410/12,IF(AND(1010=$B$173+1,AND(1010&gt;$B$173,$B$78="Refinance",ISNUMBER($B$80),$B$80&gt;=0,$B$80&lt;=1,ROUND($B$81*12,0)&gt;=1,$B$81&lt;=100,SUM($B$82)&gt;=0,SUM($B$82)&lt;=1,SUM($B$83)&gt;=0)),IF(B1410=0,0,IF(C1410=0,B1410/ROUND($B$81*12,0),B1410*(C1410/12)/(1-(1+C1410/12)^(-ROUND($B$81*12,0))))),IF(AND(NOT(AND(1010&gt;$B$173,$B$78="Refinance",ISNUMBER($B$80),$B$80&gt;=0,$B$80&lt;=1,ROUND($B$81*12,0)&gt;=1,$B$81&lt;=100,SUM($B$82)&gt;=0,SUM($B$82)&lt;=1,SUM($B$83)&gt;=0)),OR(1010=1,1010=$B$174+1,AND($B$175&gt;0,1010=$B$175+1))),IF(AND($B$170=1,$B$66&gt;0,OR($B$175=0,1010&lt;=$B$175)),$B$66,IF($B$172-MAX(1010-1,$B$174)&gt;0,IF(B1410=0,0,IF(C1410=0,B1410/($B$172-MAX(1010-1,$B$174)),B1410*(C1410/12)/(1-(1+C1410/12)^(-($B$172-MAX(1010-1,$B$174)))))),"")),D1409))))),IF(IF(AND(1010&lt;=$B$174,1010&lt;=$B$173),B1410*C1410/12,IF(AND(1010=$B$173+1,AND(1010&gt;$B$173,$B$78="Refinance",ISNUMBER($B$80),$B$80&gt;=0,$B$80&lt;=1,ROUND($B$81*12,0)&gt;=1,$B$81&lt;=100,SUM($B$82)&gt;=0,SUM($B$82)&lt;=1,SUM($B$83)&gt;=0)),IF(B1410=0,0,IF(C1410=0,B1410/ROUND($B$81*12,0),B1410*(C1410/12)/(1-(1+C1410/12)^(-ROUND($B$81*12,0))))),IF(AND(NOT(AND(1010&gt;$B$173,$B$78="Refinance",ISNUMBER($B$80),$B$80&gt;=0,$B$80&lt;=1,ROUND($B$81*12,0)&gt;=1,$B$81&lt;=100,SUM($B$82)&gt;=0,SUM($B$82)&lt;=1,SUM($B$83)&gt;=0)),OR(1010=1,1010=$B$174+1,AND($B$175&gt;0,1010=$B$175+1))),IF(AND($B$170=1,$B$66&gt;0,OR($B$175=0,1010&lt;=$B$175)),$B$66,IF($B$172-MAX(1010-1,$B$174)&gt;0,IF(B1410=0,0,IF(C1410=0,B1410/($B$172-MAX(1010-1,$B$174)),B1410*(C1410/12)/(1-(1+C1410/12)^(-($B$172-MAX(1010-1,$B$174)))))),"")),D1409)))+0.0000001&gt;=B1410*C1410/12,MIN(B1410*(1+C1410/12),IF(AND(1010&lt;=$B$174,1010&lt;=$B$173),B1410*C1410/12,IF(AND(1010=$B$173+1,AND(1010&gt;$B$173,$B$78="Refinance",ISNUMBER($B$80),$B$80&gt;=0,$B$80&lt;=1,ROUND($B$81*12,0)&gt;=1,$B$81&lt;=100,SUM($B$82)&gt;=0,SUM($B$82)&lt;=1,SUM($B$83)&gt;=0)),IF(B1410=0,0,IF(C1410=0,B1410/ROUND($B$81*12,0),B1410*(C1410/12)/(1-(1+C1410/12)^(-ROUND($B$81*12,0))))),IF(AND(NOT(AND(1010&gt;$B$173,$B$78="Refinance",ISNUMBER($B$80),$B$80&gt;=0,$B$80&lt;=1,ROUND($B$81*12,0)&gt;=1,$B$81&lt;=100,SUM($B$82)&gt;=0,SUM($B$82)&lt;=1,SUM($B$83)&gt;=0)),OR(1010=1,1010=$B$174+1,AND($B$175&gt;0,1010=$B$175+1))),IF(AND($B$170=1,$B$66&gt;0,OR($B$175=0,1010&lt;=$B$175)),$B$66,IF($B$172-MAX(1010-1,$B$174)&gt;0,IF(B1410=0,0,IF(C1410=0,B1410/($B$172-MAX(1010-1,$B$174)),B1410*(C1410/12)/(1-(1+C1410/12)^(-($B$172-MAX(1010-1,$B$174)))))),"")),D1409)))),""),""))</x:f>
        <x:v>0</x:v>
      </x:c>
      <x:c r="E1410" s="440" t="n">
        <x:f>IF(AND(1010=$B$173,ISNUMBER(D1410)),IF(MAX(0,B1410*(1+C1410/12)-D1410)&lt;MAX(0.0000001,$E$17*0.00000000001),0,MAX(0,B1410*(1+C1410/12)-D1410)),0)</x:f>
        <x:v>0</x:v>
      </x:c>
      <x:c r="F1410" s="440" t="n">
        <x:f>IF($B$78="Cash payoff",E1410,0)</x:f>
        <x:v>0</x:v>
      </x:c>
      <x:c r="G1410" s="440" t="n">
        <x:f>IF(AND(E1410&gt;0,AND($B$78="Refinance",ISNUMBER($B$80),$B$80&gt;=0,$B$80&lt;=1,ROUND($B$81*12,0)&gt;=1,$B$81&lt;=100,SUM($B$82)&gt;=0,SUM($B$82)&lt;=1,SUM($B$83)&gt;=0)),E1410*SUM($B$82)+SUM($B$83),0)</x:f>
        <x:v>0</x:v>
      </x:c>
      <x:c r="H1410" s="440" t="n">
        <x:f>IF(ISNUMBER(D1410),IF(MAX(0,B1410*(1+C1410/12)-D1410-F1410)&lt;MAX(0.0000001,$E$17*0.00000000001),0,MAX(0,B1410*(1+C1410/12)-D1410-F1410)),IF(AND($B$171=1,I1409=1),B1410,""))</x:f>
        <x:v>0</x:v>
      </x:c>
      <x:c r="I1410" s="444" t="n">
        <x:f>IF(OR(I1409=1,AND(E1410&gt;0,$B$78&lt;&gt;"Cash payoff",NOT(AND($B$78="Refinance",ISNUMBER($B$80),$B$80&gt;=0,$B$80&lt;=1,ROUND($B$81*12,0)&gt;=1,$B$81&lt;=100,SUM($B$82)&gt;=0,SUM($B$82)&lt;=1,SUM($B$83)&gt;=0))),AND(ISNUMBER(B1410),B1410&gt;0,$B$171=1,NOT(ISNUMBER(D1410)))),1,0)</x:f>
        <x:v>0</x:v>
      </x:c>
      <x:c r="J1410" s="440" t="n">
        <x:f>IF(ISNUMBER(L1409),L1409,"")</x:f>
        <x:v>0</x:v>
      </x:c>
      <x:c r="K1410" s="440" t="n">
        <x:f>IF(AND(ISNUMBER(J1410),J1410=0),0,IF(AND($B$176=1,ISNUMBER(J1410)),MIN(J1410*(1+$B$87/12),IF($B$86=0,0,IF($B$87=0,$B$86/ROUND($B$88*12,0),$B$86*($B$87/12)/(1-(1+$B$87/12)^(-ROUND($B$88*12,0)))))),""))</x:f>
        <x:v>0</x:v>
      </x:c>
      <x:c r="L1410" s="440" t="n">
        <x:f>IF(ISNUMBER(K1410),IF(MAX(0,J1410*(1+SUM($B$87)/12)-K1410)&lt;MAX(0.0000001,$B$86*0.00000000001),0,MAX(0,J1410*(1+SUM($B$87)/12)-K1410)),"")</x:f>
        <x:v>0</x:v>
      </x:c>
      <x:c r="M1410" s="440" t="n">
        <x:f>IF(AND(ISNUMBER(D1410),ISNUMBER(K1410)),D1410+K1410,"")</x:f>
        <x:v>0</x:v>
      </x:c>
      <x:c r="N1410" s="440" t="n">
        <x:f>IF(AND(ISNUMBER(H1410),ISNUMBER(L1410)),H1410+L1410,"")</x:f>
        <x:v>0</x:v>
      </x:c>
    </x:row>
    <x:row r="1411" ht="22" customHeight="1">
      <x:c r="A1411" s="254" t="n">
        <x:f>1011</x:f>
        <x:v>1011</x:v>
      </x:c>
      <x:c r="B1411" s="440" t="n">
        <x:f>IF(ISNUMBER(H1410),H1410,"")</x:f>
        <x:v>0</x:v>
      </x:c>
      <x:c r="C1411" s="442" t="n">
        <x:f>IF(ISNUMBER(B1411),IF(AND(1011&gt;$B$173,$B$78="Refinance",ISNUMBER($B$80),$B$80&gt;=0,$B$80&lt;=1,ROUND($B$81*12,0)&gt;=1,$B$81&lt;=100,SUM($B$82)&gt;=0,SUM($B$82)&lt;=1,SUM($B$83)&gt;=0),$B$80,IF(AND($B$175&gt;0,1011&gt;$B$175,ISNUMBER($B$75)),$B$75,$B$61)),"")</x:f>
        <x:v>0.0625</x:v>
      </x:c>
      <x:c r="D1411" s="440" t="n">
        <x:f>IF(AND(ISNUMBER(B1411),B1411=0),0,IF(AND($B$171=1,I1410=0,ISNUMBER(C1411),ISNUMBER(IF(AND(1011&lt;=$B$174,1011&lt;=$B$173),B1411*C1411/12,IF(AND(1011=$B$173+1,AND(1011&gt;$B$173,$B$78="Refinance",ISNUMBER($B$80),$B$80&gt;=0,$B$80&lt;=1,ROUND($B$81*12,0)&gt;=1,$B$81&lt;=100,SUM($B$82)&gt;=0,SUM($B$82)&lt;=1,SUM($B$83)&gt;=0)),IF(B1411=0,0,IF(C1411=0,B1411/ROUND($B$81*12,0),B1411*(C1411/12)/(1-(1+C1411/12)^(-ROUND($B$81*12,0))))),IF(AND(NOT(AND(1011&gt;$B$173,$B$78="Refinance",ISNUMBER($B$80),$B$80&gt;=0,$B$80&lt;=1,ROUND($B$81*12,0)&gt;=1,$B$81&lt;=100,SUM($B$82)&gt;=0,SUM($B$82)&lt;=1,SUM($B$83)&gt;=0)),OR(1011=1,1011=$B$174+1,AND($B$175&gt;0,1011=$B$175+1))),IF(AND($B$170=1,$B$66&gt;0,OR($B$175=0,1011&lt;=$B$175)),$B$66,IF($B$172-MAX(1011-1,$B$174)&gt;0,IF(B1411=0,0,IF(C1411=0,B1411/($B$172-MAX(1011-1,$B$174)),B1411*(C1411/12)/(1-(1+C1411/12)^(-($B$172-MAX(1011-1,$B$174)))))),"")),D1410))))),IF(IF(AND(1011&lt;=$B$174,1011&lt;=$B$173),B1411*C1411/12,IF(AND(1011=$B$173+1,AND(1011&gt;$B$173,$B$78="Refinance",ISNUMBER($B$80),$B$80&gt;=0,$B$80&lt;=1,ROUND($B$81*12,0)&gt;=1,$B$81&lt;=100,SUM($B$82)&gt;=0,SUM($B$82)&lt;=1,SUM($B$83)&gt;=0)),IF(B1411=0,0,IF(C1411=0,B1411/ROUND($B$81*12,0),B1411*(C1411/12)/(1-(1+C1411/12)^(-ROUND($B$81*12,0))))),IF(AND(NOT(AND(1011&gt;$B$173,$B$78="Refinance",ISNUMBER($B$80),$B$80&gt;=0,$B$80&lt;=1,ROUND($B$81*12,0)&gt;=1,$B$81&lt;=100,SUM($B$82)&gt;=0,SUM($B$82)&lt;=1,SUM($B$83)&gt;=0)),OR(1011=1,1011=$B$174+1,AND($B$175&gt;0,1011=$B$175+1))),IF(AND($B$170=1,$B$66&gt;0,OR($B$175=0,1011&lt;=$B$175)),$B$66,IF($B$172-MAX(1011-1,$B$174)&gt;0,IF(B1411=0,0,IF(C1411=0,B1411/($B$172-MAX(1011-1,$B$174)),B1411*(C1411/12)/(1-(1+C1411/12)^(-($B$172-MAX(1011-1,$B$174)))))),"")),D1410)))+0.0000001&gt;=B1411*C1411/12,MIN(B1411*(1+C1411/12),IF(AND(1011&lt;=$B$174,1011&lt;=$B$173),B1411*C1411/12,IF(AND(1011=$B$173+1,AND(1011&gt;$B$173,$B$78="Refinance",ISNUMBER($B$80),$B$80&gt;=0,$B$80&lt;=1,ROUND($B$81*12,0)&gt;=1,$B$81&lt;=100,SUM($B$82)&gt;=0,SUM($B$82)&lt;=1,SUM($B$83)&gt;=0)),IF(B1411=0,0,IF(C1411=0,B1411/ROUND($B$81*12,0),B1411*(C1411/12)/(1-(1+C1411/12)^(-ROUND($B$81*12,0))))),IF(AND(NOT(AND(1011&gt;$B$173,$B$78="Refinance",ISNUMBER($B$80),$B$80&gt;=0,$B$80&lt;=1,ROUND($B$81*12,0)&gt;=1,$B$81&lt;=100,SUM($B$82)&gt;=0,SUM($B$82)&lt;=1,SUM($B$83)&gt;=0)),OR(1011=1,1011=$B$174+1,AND($B$175&gt;0,1011=$B$175+1))),IF(AND($B$170=1,$B$66&gt;0,OR($B$175=0,1011&lt;=$B$175)),$B$66,IF($B$172-MAX(1011-1,$B$174)&gt;0,IF(B1411=0,0,IF(C1411=0,B1411/($B$172-MAX(1011-1,$B$174)),B1411*(C1411/12)/(1-(1+C1411/12)^(-($B$172-MAX(1011-1,$B$174)))))),"")),D1410)))),""),""))</x:f>
        <x:v>0</x:v>
      </x:c>
      <x:c r="E1411" s="440" t="n">
        <x:f>IF(AND(1011=$B$173,ISNUMBER(D1411)),IF(MAX(0,B1411*(1+C1411/12)-D1411)&lt;MAX(0.0000001,$E$17*0.00000000001),0,MAX(0,B1411*(1+C1411/12)-D1411)),0)</x:f>
        <x:v>0</x:v>
      </x:c>
      <x:c r="F1411" s="440" t="n">
        <x:f>IF($B$78="Cash payoff",E1411,0)</x:f>
        <x:v>0</x:v>
      </x:c>
      <x:c r="G1411" s="440" t="n">
        <x:f>IF(AND(E1411&gt;0,AND($B$78="Refinance",ISNUMBER($B$80),$B$80&gt;=0,$B$80&lt;=1,ROUND($B$81*12,0)&gt;=1,$B$81&lt;=100,SUM($B$82)&gt;=0,SUM($B$82)&lt;=1,SUM($B$83)&gt;=0)),E1411*SUM($B$82)+SUM($B$83),0)</x:f>
        <x:v>0</x:v>
      </x:c>
      <x:c r="H1411" s="440" t="n">
        <x:f>IF(ISNUMBER(D1411),IF(MAX(0,B1411*(1+C1411/12)-D1411-F1411)&lt;MAX(0.0000001,$E$17*0.00000000001),0,MAX(0,B1411*(1+C1411/12)-D1411-F1411)),IF(AND($B$171=1,I1410=1),B1411,""))</x:f>
        <x:v>0</x:v>
      </x:c>
      <x:c r="I1411" s="444" t="n">
        <x:f>IF(OR(I1410=1,AND(E1411&gt;0,$B$78&lt;&gt;"Cash payoff",NOT(AND($B$78="Refinance",ISNUMBER($B$80),$B$80&gt;=0,$B$80&lt;=1,ROUND($B$81*12,0)&gt;=1,$B$81&lt;=100,SUM($B$82)&gt;=0,SUM($B$82)&lt;=1,SUM($B$83)&gt;=0))),AND(ISNUMBER(B1411),B1411&gt;0,$B$171=1,NOT(ISNUMBER(D1411)))),1,0)</x:f>
        <x:v>0</x:v>
      </x:c>
      <x:c r="J1411" s="440" t="n">
        <x:f>IF(ISNUMBER(L1410),L1410,"")</x:f>
        <x:v>0</x:v>
      </x:c>
      <x:c r="K1411" s="440" t="n">
        <x:f>IF(AND(ISNUMBER(J1411),J1411=0),0,IF(AND($B$176=1,ISNUMBER(J1411)),MIN(J1411*(1+$B$87/12),IF($B$86=0,0,IF($B$87=0,$B$86/ROUND($B$88*12,0),$B$86*($B$87/12)/(1-(1+$B$87/12)^(-ROUND($B$88*12,0)))))),""))</x:f>
        <x:v>0</x:v>
      </x:c>
      <x:c r="L1411" s="440" t="n">
        <x:f>IF(ISNUMBER(K1411),IF(MAX(0,J1411*(1+SUM($B$87)/12)-K1411)&lt;MAX(0.0000001,$B$86*0.00000000001),0,MAX(0,J1411*(1+SUM($B$87)/12)-K1411)),"")</x:f>
        <x:v>0</x:v>
      </x:c>
      <x:c r="M1411" s="440" t="n">
        <x:f>IF(AND(ISNUMBER(D1411),ISNUMBER(K1411)),D1411+K1411,"")</x:f>
        <x:v>0</x:v>
      </x:c>
      <x:c r="N1411" s="440" t="n">
        <x:f>IF(AND(ISNUMBER(H1411),ISNUMBER(L1411)),H1411+L1411,"")</x:f>
        <x:v>0</x:v>
      </x:c>
    </x:row>
    <x:row r="1412" ht="22" customHeight="1">
      <x:c r="A1412" s="254" t="n">
        <x:f>1012</x:f>
        <x:v>1012</x:v>
      </x:c>
      <x:c r="B1412" s="440" t="n">
        <x:f>IF(ISNUMBER(H1411),H1411,"")</x:f>
        <x:v>0</x:v>
      </x:c>
      <x:c r="C1412" s="442" t="n">
        <x:f>IF(ISNUMBER(B1412),IF(AND(1012&gt;$B$173,$B$78="Refinance",ISNUMBER($B$80),$B$80&gt;=0,$B$80&lt;=1,ROUND($B$81*12,0)&gt;=1,$B$81&lt;=100,SUM($B$82)&gt;=0,SUM($B$82)&lt;=1,SUM($B$83)&gt;=0),$B$80,IF(AND($B$175&gt;0,1012&gt;$B$175,ISNUMBER($B$75)),$B$75,$B$61)),"")</x:f>
        <x:v>0.0625</x:v>
      </x:c>
      <x:c r="D1412" s="440" t="n">
        <x:f>IF(AND(ISNUMBER(B1412),B1412=0),0,IF(AND($B$171=1,I1411=0,ISNUMBER(C1412),ISNUMBER(IF(AND(1012&lt;=$B$174,1012&lt;=$B$173),B1412*C1412/12,IF(AND(1012=$B$173+1,AND(1012&gt;$B$173,$B$78="Refinance",ISNUMBER($B$80),$B$80&gt;=0,$B$80&lt;=1,ROUND($B$81*12,0)&gt;=1,$B$81&lt;=100,SUM($B$82)&gt;=0,SUM($B$82)&lt;=1,SUM($B$83)&gt;=0)),IF(B1412=0,0,IF(C1412=0,B1412/ROUND($B$81*12,0),B1412*(C1412/12)/(1-(1+C1412/12)^(-ROUND($B$81*12,0))))),IF(AND(NOT(AND(1012&gt;$B$173,$B$78="Refinance",ISNUMBER($B$80),$B$80&gt;=0,$B$80&lt;=1,ROUND($B$81*12,0)&gt;=1,$B$81&lt;=100,SUM($B$82)&gt;=0,SUM($B$82)&lt;=1,SUM($B$83)&gt;=0)),OR(1012=1,1012=$B$174+1,AND($B$175&gt;0,1012=$B$175+1))),IF(AND($B$170=1,$B$66&gt;0,OR($B$175=0,1012&lt;=$B$175)),$B$66,IF($B$172-MAX(1012-1,$B$174)&gt;0,IF(B1412=0,0,IF(C1412=0,B1412/($B$172-MAX(1012-1,$B$174)),B1412*(C1412/12)/(1-(1+C1412/12)^(-($B$172-MAX(1012-1,$B$174)))))),"")),D1411))))),IF(IF(AND(1012&lt;=$B$174,1012&lt;=$B$173),B1412*C1412/12,IF(AND(1012=$B$173+1,AND(1012&gt;$B$173,$B$78="Refinance",ISNUMBER($B$80),$B$80&gt;=0,$B$80&lt;=1,ROUND($B$81*12,0)&gt;=1,$B$81&lt;=100,SUM($B$82)&gt;=0,SUM($B$82)&lt;=1,SUM($B$83)&gt;=0)),IF(B1412=0,0,IF(C1412=0,B1412/ROUND($B$81*12,0),B1412*(C1412/12)/(1-(1+C1412/12)^(-ROUND($B$81*12,0))))),IF(AND(NOT(AND(1012&gt;$B$173,$B$78="Refinance",ISNUMBER($B$80),$B$80&gt;=0,$B$80&lt;=1,ROUND($B$81*12,0)&gt;=1,$B$81&lt;=100,SUM($B$82)&gt;=0,SUM($B$82)&lt;=1,SUM($B$83)&gt;=0)),OR(1012=1,1012=$B$174+1,AND($B$175&gt;0,1012=$B$175+1))),IF(AND($B$170=1,$B$66&gt;0,OR($B$175=0,1012&lt;=$B$175)),$B$66,IF($B$172-MAX(1012-1,$B$174)&gt;0,IF(B1412=0,0,IF(C1412=0,B1412/($B$172-MAX(1012-1,$B$174)),B1412*(C1412/12)/(1-(1+C1412/12)^(-($B$172-MAX(1012-1,$B$174)))))),"")),D1411)))+0.0000001&gt;=B1412*C1412/12,MIN(B1412*(1+C1412/12),IF(AND(1012&lt;=$B$174,1012&lt;=$B$173),B1412*C1412/12,IF(AND(1012=$B$173+1,AND(1012&gt;$B$173,$B$78="Refinance",ISNUMBER($B$80),$B$80&gt;=0,$B$80&lt;=1,ROUND($B$81*12,0)&gt;=1,$B$81&lt;=100,SUM($B$82)&gt;=0,SUM($B$82)&lt;=1,SUM($B$83)&gt;=0)),IF(B1412=0,0,IF(C1412=0,B1412/ROUND($B$81*12,0),B1412*(C1412/12)/(1-(1+C1412/12)^(-ROUND($B$81*12,0))))),IF(AND(NOT(AND(1012&gt;$B$173,$B$78="Refinance",ISNUMBER($B$80),$B$80&gt;=0,$B$80&lt;=1,ROUND($B$81*12,0)&gt;=1,$B$81&lt;=100,SUM($B$82)&gt;=0,SUM($B$82)&lt;=1,SUM($B$83)&gt;=0)),OR(1012=1,1012=$B$174+1,AND($B$175&gt;0,1012=$B$175+1))),IF(AND($B$170=1,$B$66&gt;0,OR($B$175=0,1012&lt;=$B$175)),$B$66,IF($B$172-MAX(1012-1,$B$174)&gt;0,IF(B1412=0,0,IF(C1412=0,B1412/($B$172-MAX(1012-1,$B$174)),B1412*(C1412/12)/(1-(1+C1412/12)^(-($B$172-MAX(1012-1,$B$174)))))),"")),D1411)))),""),""))</x:f>
        <x:v>0</x:v>
      </x:c>
      <x:c r="E1412" s="440" t="n">
        <x:f>IF(AND(1012=$B$173,ISNUMBER(D1412)),IF(MAX(0,B1412*(1+C1412/12)-D1412)&lt;MAX(0.0000001,$E$17*0.00000000001),0,MAX(0,B1412*(1+C1412/12)-D1412)),0)</x:f>
        <x:v>0</x:v>
      </x:c>
      <x:c r="F1412" s="440" t="n">
        <x:f>IF($B$78="Cash payoff",E1412,0)</x:f>
        <x:v>0</x:v>
      </x:c>
      <x:c r="G1412" s="440" t="n">
        <x:f>IF(AND(E1412&gt;0,AND($B$78="Refinance",ISNUMBER($B$80),$B$80&gt;=0,$B$80&lt;=1,ROUND($B$81*12,0)&gt;=1,$B$81&lt;=100,SUM($B$82)&gt;=0,SUM($B$82)&lt;=1,SUM($B$83)&gt;=0)),E1412*SUM($B$82)+SUM($B$83),0)</x:f>
        <x:v>0</x:v>
      </x:c>
      <x:c r="H1412" s="440" t="n">
        <x:f>IF(ISNUMBER(D1412),IF(MAX(0,B1412*(1+C1412/12)-D1412-F1412)&lt;MAX(0.0000001,$E$17*0.00000000001),0,MAX(0,B1412*(1+C1412/12)-D1412-F1412)),IF(AND($B$171=1,I1411=1),B1412,""))</x:f>
        <x:v>0</x:v>
      </x:c>
      <x:c r="I1412" s="444" t="n">
        <x:f>IF(OR(I1411=1,AND(E1412&gt;0,$B$78&lt;&gt;"Cash payoff",NOT(AND($B$78="Refinance",ISNUMBER($B$80),$B$80&gt;=0,$B$80&lt;=1,ROUND($B$81*12,0)&gt;=1,$B$81&lt;=100,SUM($B$82)&gt;=0,SUM($B$82)&lt;=1,SUM($B$83)&gt;=0))),AND(ISNUMBER(B1412),B1412&gt;0,$B$171=1,NOT(ISNUMBER(D1412)))),1,0)</x:f>
        <x:v>0</x:v>
      </x:c>
      <x:c r="J1412" s="440" t="n">
        <x:f>IF(ISNUMBER(L1411),L1411,"")</x:f>
        <x:v>0</x:v>
      </x:c>
      <x:c r="K1412" s="440" t="n">
        <x:f>IF(AND(ISNUMBER(J1412),J1412=0),0,IF(AND($B$176=1,ISNUMBER(J1412)),MIN(J1412*(1+$B$87/12),IF($B$86=0,0,IF($B$87=0,$B$86/ROUND($B$88*12,0),$B$86*($B$87/12)/(1-(1+$B$87/12)^(-ROUND($B$88*12,0)))))),""))</x:f>
        <x:v>0</x:v>
      </x:c>
      <x:c r="L1412" s="440" t="n">
        <x:f>IF(ISNUMBER(K1412),IF(MAX(0,J1412*(1+SUM($B$87)/12)-K1412)&lt;MAX(0.0000001,$B$86*0.00000000001),0,MAX(0,J1412*(1+SUM($B$87)/12)-K1412)),"")</x:f>
        <x:v>0</x:v>
      </x:c>
      <x:c r="M1412" s="440" t="n">
        <x:f>IF(AND(ISNUMBER(D1412),ISNUMBER(K1412)),D1412+K1412,"")</x:f>
        <x:v>0</x:v>
      </x:c>
      <x:c r="N1412" s="440" t="n">
        <x:f>IF(AND(ISNUMBER(H1412),ISNUMBER(L1412)),H1412+L1412,"")</x:f>
        <x:v>0</x:v>
      </x:c>
    </x:row>
    <x:row r="1413" ht="22" customHeight="1">
      <x:c r="A1413" s="254" t="n">
        <x:f>1013</x:f>
        <x:v>1013</x:v>
      </x:c>
      <x:c r="B1413" s="440" t="n">
        <x:f>IF(ISNUMBER(H1412),H1412,"")</x:f>
        <x:v>0</x:v>
      </x:c>
      <x:c r="C1413" s="442" t="n">
        <x:f>IF(ISNUMBER(B1413),IF(AND(1013&gt;$B$173,$B$78="Refinance",ISNUMBER($B$80),$B$80&gt;=0,$B$80&lt;=1,ROUND($B$81*12,0)&gt;=1,$B$81&lt;=100,SUM($B$82)&gt;=0,SUM($B$82)&lt;=1,SUM($B$83)&gt;=0),$B$80,IF(AND($B$175&gt;0,1013&gt;$B$175,ISNUMBER($B$75)),$B$75,$B$61)),"")</x:f>
        <x:v>0.0625</x:v>
      </x:c>
      <x:c r="D1413" s="440" t="n">
        <x:f>IF(AND(ISNUMBER(B1413),B1413=0),0,IF(AND($B$171=1,I1412=0,ISNUMBER(C1413),ISNUMBER(IF(AND(1013&lt;=$B$174,1013&lt;=$B$173),B1413*C1413/12,IF(AND(1013=$B$173+1,AND(1013&gt;$B$173,$B$78="Refinance",ISNUMBER($B$80),$B$80&gt;=0,$B$80&lt;=1,ROUND($B$81*12,0)&gt;=1,$B$81&lt;=100,SUM($B$82)&gt;=0,SUM($B$82)&lt;=1,SUM($B$83)&gt;=0)),IF(B1413=0,0,IF(C1413=0,B1413/ROUND($B$81*12,0),B1413*(C1413/12)/(1-(1+C1413/12)^(-ROUND($B$81*12,0))))),IF(AND(NOT(AND(1013&gt;$B$173,$B$78="Refinance",ISNUMBER($B$80),$B$80&gt;=0,$B$80&lt;=1,ROUND($B$81*12,0)&gt;=1,$B$81&lt;=100,SUM($B$82)&gt;=0,SUM($B$82)&lt;=1,SUM($B$83)&gt;=0)),OR(1013=1,1013=$B$174+1,AND($B$175&gt;0,1013=$B$175+1))),IF(AND($B$170=1,$B$66&gt;0,OR($B$175=0,1013&lt;=$B$175)),$B$66,IF($B$172-MAX(1013-1,$B$174)&gt;0,IF(B1413=0,0,IF(C1413=0,B1413/($B$172-MAX(1013-1,$B$174)),B1413*(C1413/12)/(1-(1+C1413/12)^(-($B$172-MAX(1013-1,$B$174)))))),"")),D1412))))),IF(IF(AND(1013&lt;=$B$174,1013&lt;=$B$173),B1413*C1413/12,IF(AND(1013=$B$173+1,AND(1013&gt;$B$173,$B$78="Refinance",ISNUMBER($B$80),$B$80&gt;=0,$B$80&lt;=1,ROUND($B$81*12,0)&gt;=1,$B$81&lt;=100,SUM($B$82)&gt;=0,SUM($B$82)&lt;=1,SUM($B$83)&gt;=0)),IF(B1413=0,0,IF(C1413=0,B1413/ROUND($B$81*12,0),B1413*(C1413/12)/(1-(1+C1413/12)^(-ROUND($B$81*12,0))))),IF(AND(NOT(AND(1013&gt;$B$173,$B$78="Refinance",ISNUMBER($B$80),$B$80&gt;=0,$B$80&lt;=1,ROUND($B$81*12,0)&gt;=1,$B$81&lt;=100,SUM($B$82)&gt;=0,SUM($B$82)&lt;=1,SUM($B$83)&gt;=0)),OR(1013=1,1013=$B$174+1,AND($B$175&gt;0,1013=$B$175+1))),IF(AND($B$170=1,$B$66&gt;0,OR($B$175=0,1013&lt;=$B$175)),$B$66,IF($B$172-MAX(1013-1,$B$174)&gt;0,IF(B1413=0,0,IF(C1413=0,B1413/($B$172-MAX(1013-1,$B$174)),B1413*(C1413/12)/(1-(1+C1413/12)^(-($B$172-MAX(1013-1,$B$174)))))),"")),D1412)))+0.0000001&gt;=B1413*C1413/12,MIN(B1413*(1+C1413/12),IF(AND(1013&lt;=$B$174,1013&lt;=$B$173),B1413*C1413/12,IF(AND(1013=$B$173+1,AND(1013&gt;$B$173,$B$78="Refinance",ISNUMBER($B$80),$B$80&gt;=0,$B$80&lt;=1,ROUND($B$81*12,0)&gt;=1,$B$81&lt;=100,SUM($B$82)&gt;=0,SUM($B$82)&lt;=1,SUM($B$83)&gt;=0)),IF(B1413=0,0,IF(C1413=0,B1413/ROUND($B$81*12,0),B1413*(C1413/12)/(1-(1+C1413/12)^(-ROUND($B$81*12,0))))),IF(AND(NOT(AND(1013&gt;$B$173,$B$78="Refinance",ISNUMBER($B$80),$B$80&gt;=0,$B$80&lt;=1,ROUND($B$81*12,0)&gt;=1,$B$81&lt;=100,SUM($B$82)&gt;=0,SUM($B$82)&lt;=1,SUM($B$83)&gt;=0)),OR(1013=1,1013=$B$174+1,AND($B$175&gt;0,1013=$B$175+1))),IF(AND($B$170=1,$B$66&gt;0,OR($B$175=0,1013&lt;=$B$175)),$B$66,IF($B$172-MAX(1013-1,$B$174)&gt;0,IF(B1413=0,0,IF(C1413=0,B1413/($B$172-MAX(1013-1,$B$174)),B1413*(C1413/12)/(1-(1+C1413/12)^(-($B$172-MAX(1013-1,$B$174)))))),"")),D1412)))),""),""))</x:f>
        <x:v>0</x:v>
      </x:c>
      <x:c r="E1413" s="440" t="n">
        <x:f>IF(AND(1013=$B$173,ISNUMBER(D1413)),IF(MAX(0,B1413*(1+C1413/12)-D1413)&lt;MAX(0.0000001,$E$17*0.00000000001),0,MAX(0,B1413*(1+C1413/12)-D1413)),0)</x:f>
        <x:v>0</x:v>
      </x:c>
      <x:c r="F1413" s="440" t="n">
        <x:f>IF($B$78="Cash payoff",E1413,0)</x:f>
        <x:v>0</x:v>
      </x:c>
      <x:c r="G1413" s="440" t="n">
        <x:f>IF(AND(E1413&gt;0,AND($B$78="Refinance",ISNUMBER($B$80),$B$80&gt;=0,$B$80&lt;=1,ROUND($B$81*12,0)&gt;=1,$B$81&lt;=100,SUM($B$82)&gt;=0,SUM($B$82)&lt;=1,SUM($B$83)&gt;=0)),E1413*SUM($B$82)+SUM($B$83),0)</x:f>
        <x:v>0</x:v>
      </x:c>
      <x:c r="H1413" s="440" t="n">
        <x:f>IF(ISNUMBER(D1413),IF(MAX(0,B1413*(1+C1413/12)-D1413-F1413)&lt;MAX(0.0000001,$E$17*0.00000000001),0,MAX(0,B1413*(1+C1413/12)-D1413-F1413)),IF(AND($B$171=1,I1412=1),B1413,""))</x:f>
        <x:v>0</x:v>
      </x:c>
      <x:c r="I1413" s="444" t="n">
        <x:f>IF(OR(I1412=1,AND(E1413&gt;0,$B$78&lt;&gt;"Cash payoff",NOT(AND($B$78="Refinance",ISNUMBER($B$80),$B$80&gt;=0,$B$80&lt;=1,ROUND($B$81*12,0)&gt;=1,$B$81&lt;=100,SUM($B$82)&gt;=0,SUM($B$82)&lt;=1,SUM($B$83)&gt;=0))),AND(ISNUMBER(B1413),B1413&gt;0,$B$171=1,NOT(ISNUMBER(D1413)))),1,0)</x:f>
        <x:v>0</x:v>
      </x:c>
      <x:c r="J1413" s="440" t="n">
        <x:f>IF(ISNUMBER(L1412),L1412,"")</x:f>
        <x:v>0</x:v>
      </x:c>
      <x:c r="K1413" s="440" t="n">
        <x:f>IF(AND(ISNUMBER(J1413),J1413=0),0,IF(AND($B$176=1,ISNUMBER(J1413)),MIN(J1413*(1+$B$87/12),IF($B$86=0,0,IF($B$87=0,$B$86/ROUND($B$88*12,0),$B$86*($B$87/12)/(1-(1+$B$87/12)^(-ROUND($B$88*12,0)))))),""))</x:f>
        <x:v>0</x:v>
      </x:c>
      <x:c r="L1413" s="440" t="n">
        <x:f>IF(ISNUMBER(K1413),IF(MAX(0,J1413*(1+SUM($B$87)/12)-K1413)&lt;MAX(0.0000001,$B$86*0.00000000001),0,MAX(0,J1413*(1+SUM($B$87)/12)-K1413)),"")</x:f>
        <x:v>0</x:v>
      </x:c>
      <x:c r="M1413" s="440" t="n">
        <x:f>IF(AND(ISNUMBER(D1413),ISNUMBER(K1413)),D1413+K1413,"")</x:f>
        <x:v>0</x:v>
      </x:c>
      <x:c r="N1413" s="440" t="n">
        <x:f>IF(AND(ISNUMBER(H1413),ISNUMBER(L1413)),H1413+L1413,"")</x:f>
        <x:v>0</x:v>
      </x:c>
    </x:row>
    <x:row r="1414" ht="22" customHeight="1">
      <x:c r="A1414" s="254" t="n">
        <x:f>1014</x:f>
        <x:v>1014</x:v>
      </x:c>
      <x:c r="B1414" s="440" t="n">
        <x:f>IF(ISNUMBER(H1413),H1413,"")</x:f>
        <x:v>0</x:v>
      </x:c>
      <x:c r="C1414" s="442" t="n">
        <x:f>IF(ISNUMBER(B1414),IF(AND(1014&gt;$B$173,$B$78="Refinance",ISNUMBER($B$80),$B$80&gt;=0,$B$80&lt;=1,ROUND($B$81*12,0)&gt;=1,$B$81&lt;=100,SUM($B$82)&gt;=0,SUM($B$82)&lt;=1,SUM($B$83)&gt;=0),$B$80,IF(AND($B$175&gt;0,1014&gt;$B$175,ISNUMBER($B$75)),$B$75,$B$61)),"")</x:f>
        <x:v>0.0625</x:v>
      </x:c>
      <x:c r="D1414" s="440" t="n">
        <x:f>IF(AND(ISNUMBER(B1414),B1414=0),0,IF(AND($B$171=1,I1413=0,ISNUMBER(C1414),ISNUMBER(IF(AND(1014&lt;=$B$174,1014&lt;=$B$173),B1414*C1414/12,IF(AND(1014=$B$173+1,AND(1014&gt;$B$173,$B$78="Refinance",ISNUMBER($B$80),$B$80&gt;=0,$B$80&lt;=1,ROUND($B$81*12,0)&gt;=1,$B$81&lt;=100,SUM($B$82)&gt;=0,SUM($B$82)&lt;=1,SUM($B$83)&gt;=0)),IF(B1414=0,0,IF(C1414=0,B1414/ROUND($B$81*12,0),B1414*(C1414/12)/(1-(1+C1414/12)^(-ROUND($B$81*12,0))))),IF(AND(NOT(AND(1014&gt;$B$173,$B$78="Refinance",ISNUMBER($B$80),$B$80&gt;=0,$B$80&lt;=1,ROUND($B$81*12,0)&gt;=1,$B$81&lt;=100,SUM($B$82)&gt;=0,SUM($B$82)&lt;=1,SUM($B$83)&gt;=0)),OR(1014=1,1014=$B$174+1,AND($B$175&gt;0,1014=$B$175+1))),IF(AND($B$170=1,$B$66&gt;0,OR($B$175=0,1014&lt;=$B$175)),$B$66,IF($B$172-MAX(1014-1,$B$174)&gt;0,IF(B1414=0,0,IF(C1414=0,B1414/($B$172-MAX(1014-1,$B$174)),B1414*(C1414/12)/(1-(1+C1414/12)^(-($B$172-MAX(1014-1,$B$174)))))),"")),D1413))))),IF(IF(AND(1014&lt;=$B$174,1014&lt;=$B$173),B1414*C1414/12,IF(AND(1014=$B$173+1,AND(1014&gt;$B$173,$B$78="Refinance",ISNUMBER($B$80),$B$80&gt;=0,$B$80&lt;=1,ROUND($B$81*12,0)&gt;=1,$B$81&lt;=100,SUM($B$82)&gt;=0,SUM($B$82)&lt;=1,SUM($B$83)&gt;=0)),IF(B1414=0,0,IF(C1414=0,B1414/ROUND($B$81*12,0),B1414*(C1414/12)/(1-(1+C1414/12)^(-ROUND($B$81*12,0))))),IF(AND(NOT(AND(1014&gt;$B$173,$B$78="Refinance",ISNUMBER($B$80),$B$80&gt;=0,$B$80&lt;=1,ROUND($B$81*12,0)&gt;=1,$B$81&lt;=100,SUM($B$82)&gt;=0,SUM($B$82)&lt;=1,SUM($B$83)&gt;=0)),OR(1014=1,1014=$B$174+1,AND($B$175&gt;0,1014=$B$175+1))),IF(AND($B$170=1,$B$66&gt;0,OR($B$175=0,1014&lt;=$B$175)),$B$66,IF($B$172-MAX(1014-1,$B$174)&gt;0,IF(B1414=0,0,IF(C1414=0,B1414/($B$172-MAX(1014-1,$B$174)),B1414*(C1414/12)/(1-(1+C1414/12)^(-($B$172-MAX(1014-1,$B$174)))))),"")),D1413)))+0.0000001&gt;=B1414*C1414/12,MIN(B1414*(1+C1414/12),IF(AND(1014&lt;=$B$174,1014&lt;=$B$173),B1414*C1414/12,IF(AND(1014=$B$173+1,AND(1014&gt;$B$173,$B$78="Refinance",ISNUMBER($B$80),$B$80&gt;=0,$B$80&lt;=1,ROUND($B$81*12,0)&gt;=1,$B$81&lt;=100,SUM($B$82)&gt;=0,SUM($B$82)&lt;=1,SUM($B$83)&gt;=0)),IF(B1414=0,0,IF(C1414=0,B1414/ROUND($B$81*12,0),B1414*(C1414/12)/(1-(1+C1414/12)^(-ROUND($B$81*12,0))))),IF(AND(NOT(AND(1014&gt;$B$173,$B$78="Refinance",ISNUMBER($B$80),$B$80&gt;=0,$B$80&lt;=1,ROUND($B$81*12,0)&gt;=1,$B$81&lt;=100,SUM($B$82)&gt;=0,SUM($B$82)&lt;=1,SUM($B$83)&gt;=0)),OR(1014=1,1014=$B$174+1,AND($B$175&gt;0,1014=$B$175+1))),IF(AND($B$170=1,$B$66&gt;0,OR($B$175=0,1014&lt;=$B$175)),$B$66,IF($B$172-MAX(1014-1,$B$174)&gt;0,IF(B1414=0,0,IF(C1414=0,B1414/($B$172-MAX(1014-1,$B$174)),B1414*(C1414/12)/(1-(1+C1414/12)^(-($B$172-MAX(1014-1,$B$174)))))),"")),D1413)))),""),""))</x:f>
        <x:v>0</x:v>
      </x:c>
      <x:c r="E1414" s="440" t="n">
        <x:f>IF(AND(1014=$B$173,ISNUMBER(D1414)),IF(MAX(0,B1414*(1+C1414/12)-D1414)&lt;MAX(0.0000001,$E$17*0.00000000001),0,MAX(0,B1414*(1+C1414/12)-D1414)),0)</x:f>
        <x:v>0</x:v>
      </x:c>
      <x:c r="F1414" s="440" t="n">
        <x:f>IF($B$78="Cash payoff",E1414,0)</x:f>
        <x:v>0</x:v>
      </x:c>
      <x:c r="G1414" s="440" t="n">
        <x:f>IF(AND(E1414&gt;0,AND($B$78="Refinance",ISNUMBER($B$80),$B$80&gt;=0,$B$80&lt;=1,ROUND($B$81*12,0)&gt;=1,$B$81&lt;=100,SUM($B$82)&gt;=0,SUM($B$82)&lt;=1,SUM($B$83)&gt;=0)),E1414*SUM($B$82)+SUM($B$83),0)</x:f>
        <x:v>0</x:v>
      </x:c>
      <x:c r="H1414" s="440" t="n">
        <x:f>IF(ISNUMBER(D1414),IF(MAX(0,B1414*(1+C1414/12)-D1414-F1414)&lt;MAX(0.0000001,$E$17*0.00000000001),0,MAX(0,B1414*(1+C1414/12)-D1414-F1414)),IF(AND($B$171=1,I1413=1),B1414,""))</x:f>
        <x:v>0</x:v>
      </x:c>
      <x:c r="I1414" s="444" t="n">
        <x:f>IF(OR(I1413=1,AND(E1414&gt;0,$B$78&lt;&gt;"Cash payoff",NOT(AND($B$78="Refinance",ISNUMBER($B$80),$B$80&gt;=0,$B$80&lt;=1,ROUND($B$81*12,0)&gt;=1,$B$81&lt;=100,SUM($B$82)&gt;=0,SUM($B$82)&lt;=1,SUM($B$83)&gt;=0))),AND(ISNUMBER(B1414),B1414&gt;0,$B$171=1,NOT(ISNUMBER(D1414)))),1,0)</x:f>
        <x:v>0</x:v>
      </x:c>
      <x:c r="J1414" s="440" t="n">
        <x:f>IF(ISNUMBER(L1413),L1413,"")</x:f>
        <x:v>0</x:v>
      </x:c>
      <x:c r="K1414" s="440" t="n">
        <x:f>IF(AND(ISNUMBER(J1414),J1414=0),0,IF(AND($B$176=1,ISNUMBER(J1414)),MIN(J1414*(1+$B$87/12),IF($B$86=0,0,IF($B$87=0,$B$86/ROUND($B$88*12,0),$B$86*($B$87/12)/(1-(1+$B$87/12)^(-ROUND($B$88*12,0)))))),""))</x:f>
        <x:v>0</x:v>
      </x:c>
      <x:c r="L1414" s="440" t="n">
        <x:f>IF(ISNUMBER(K1414),IF(MAX(0,J1414*(1+SUM($B$87)/12)-K1414)&lt;MAX(0.0000001,$B$86*0.00000000001),0,MAX(0,J1414*(1+SUM($B$87)/12)-K1414)),"")</x:f>
        <x:v>0</x:v>
      </x:c>
      <x:c r="M1414" s="440" t="n">
        <x:f>IF(AND(ISNUMBER(D1414),ISNUMBER(K1414)),D1414+K1414,"")</x:f>
        <x:v>0</x:v>
      </x:c>
      <x:c r="N1414" s="440" t="n">
        <x:f>IF(AND(ISNUMBER(H1414),ISNUMBER(L1414)),H1414+L1414,"")</x:f>
        <x:v>0</x:v>
      </x:c>
    </x:row>
    <x:row r="1415" ht="22" customHeight="1">
      <x:c r="A1415" s="254" t="n">
        <x:f>1015</x:f>
        <x:v>1015</x:v>
      </x:c>
      <x:c r="B1415" s="440" t="n">
        <x:f>IF(ISNUMBER(H1414),H1414,"")</x:f>
        <x:v>0</x:v>
      </x:c>
      <x:c r="C1415" s="442" t="n">
        <x:f>IF(ISNUMBER(B1415),IF(AND(1015&gt;$B$173,$B$78="Refinance",ISNUMBER($B$80),$B$80&gt;=0,$B$80&lt;=1,ROUND($B$81*12,0)&gt;=1,$B$81&lt;=100,SUM($B$82)&gt;=0,SUM($B$82)&lt;=1,SUM($B$83)&gt;=0),$B$80,IF(AND($B$175&gt;0,1015&gt;$B$175,ISNUMBER($B$75)),$B$75,$B$61)),"")</x:f>
        <x:v>0.0625</x:v>
      </x:c>
      <x:c r="D1415" s="440" t="n">
        <x:f>IF(AND(ISNUMBER(B1415),B1415=0),0,IF(AND($B$171=1,I1414=0,ISNUMBER(C1415),ISNUMBER(IF(AND(1015&lt;=$B$174,1015&lt;=$B$173),B1415*C1415/12,IF(AND(1015=$B$173+1,AND(1015&gt;$B$173,$B$78="Refinance",ISNUMBER($B$80),$B$80&gt;=0,$B$80&lt;=1,ROUND($B$81*12,0)&gt;=1,$B$81&lt;=100,SUM($B$82)&gt;=0,SUM($B$82)&lt;=1,SUM($B$83)&gt;=0)),IF(B1415=0,0,IF(C1415=0,B1415/ROUND($B$81*12,0),B1415*(C1415/12)/(1-(1+C1415/12)^(-ROUND($B$81*12,0))))),IF(AND(NOT(AND(1015&gt;$B$173,$B$78="Refinance",ISNUMBER($B$80),$B$80&gt;=0,$B$80&lt;=1,ROUND($B$81*12,0)&gt;=1,$B$81&lt;=100,SUM($B$82)&gt;=0,SUM($B$82)&lt;=1,SUM($B$83)&gt;=0)),OR(1015=1,1015=$B$174+1,AND($B$175&gt;0,1015=$B$175+1))),IF(AND($B$170=1,$B$66&gt;0,OR($B$175=0,1015&lt;=$B$175)),$B$66,IF($B$172-MAX(1015-1,$B$174)&gt;0,IF(B1415=0,0,IF(C1415=0,B1415/($B$172-MAX(1015-1,$B$174)),B1415*(C1415/12)/(1-(1+C1415/12)^(-($B$172-MAX(1015-1,$B$174)))))),"")),D1414))))),IF(IF(AND(1015&lt;=$B$174,1015&lt;=$B$173),B1415*C1415/12,IF(AND(1015=$B$173+1,AND(1015&gt;$B$173,$B$78="Refinance",ISNUMBER($B$80),$B$80&gt;=0,$B$80&lt;=1,ROUND($B$81*12,0)&gt;=1,$B$81&lt;=100,SUM($B$82)&gt;=0,SUM($B$82)&lt;=1,SUM($B$83)&gt;=0)),IF(B1415=0,0,IF(C1415=0,B1415/ROUND($B$81*12,0),B1415*(C1415/12)/(1-(1+C1415/12)^(-ROUND($B$81*12,0))))),IF(AND(NOT(AND(1015&gt;$B$173,$B$78="Refinance",ISNUMBER($B$80),$B$80&gt;=0,$B$80&lt;=1,ROUND($B$81*12,0)&gt;=1,$B$81&lt;=100,SUM($B$82)&gt;=0,SUM($B$82)&lt;=1,SUM($B$83)&gt;=0)),OR(1015=1,1015=$B$174+1,AND($B$175&gt;0,1015=$B$175+1))),IF(AND($B$170=1,$B$66&gt;0,OR($B$175=0,1015&lt;=$B$175)),$B$66,IF($B$172-MAX(1015-1,$B$174)&gt;0,IF(B1415=0,0,IF(C1415=0,B1415/($B$172-MAX(1015-1,$B$174)),B1415*(C1415/12)/(1-(1+C1415/12)^(-($B$172-MAX(1015-1,$B$174)))))),"")),D1414)))+0.0000001&gt;=B1415*C1415/12,MIN(B1415*(1+C1415/12),IF(AND(1015&lt;=$B$174,1015&lt;=$B$173),B1415*C1415/12,IF(AND(1015=$B$173+1,AND(1015&gt;$B$173,$B$78="Refinance",ISNUMBER($B$80),$B$80&gt;=0,$B$80&lt;=1,ROUND($B$81*12,0)&gt;=1,$B$81&lt;=100,SUM($B$82)&gt;=0,SUM($B$82)&lt;=1,SUM($B$83)&gt;=0)),IF(B1415=0,0,IF(C1415=0,B1415/ROUND($B$81*12,0),B1415*(C1415/12)/(1-(1+C1415/12)^(-ROUND($B$81*12,0))))),IF(AND(NOT(AND(1015&gt;$B$173,$B$78="Refinance",ISNUMBER($B$80),$B$80&gt;=0,$B$80&lt;=1,ROUND($B$81*12,0)&gt;=1,$B$81&lt;=100,SUM($B$82)&gt;=0,SUM($B$82)&lt;=1,SUM($B$83)&gt;=0)),OR(1015=1,1015=$B$174+1,AND($B$175&gt;0,1015=$B$175+1))),IF(AND($B$170=1,$B$66&gt;0,OR($B$175=0,1015&lt;=$B$175)),$B$66,IF($B$172-MAX(1015-1,$B$174)&gt;0,IF(B1415=0,0,IF(C1415=0,B1415/($B$172-MAX(1015-1,$B$174)),B1415*(C1415/12)/(1-(1+C1415/12)^(-($B$172-MAX(1015-1,$B$174)))))),"")),D1414)))),""),""))</x:f>
        <x:v>0</x:v>
      </x:c>
      <x:c r="E1415" s="440" t="n">
        <x:f>IF(AND(1015=$B$173,ISNUMBER(D1415)),IF(MAX(0,B1415*(1+C1415/12)-D1415)&lt;MAX(0.0000001,$E$17*0.00000000001),0,MAX(0,B1415*(1+C1415/12)-D1415)),0)</x:f>
        <x:v>0</x:v>
      </x:c>
      <x:c r="F1415" s="440" t="n">
        <x:f>IF($B$78="Cash payoff",E1415,0)</x:f>
        <x:v>0</x:v>
      </x:c>
      <x:c r="G1415" s="440" t="n">
        <x:f>IF(AND(E1415&gt;0,AND($B$78="Refinance",ISNUMBER($B$80),$B$80&gt;=0,$B$80&lt;=1,ROUND($B$81*12,0)&gt;=1,$B$81&lt;=100,SUM($B$82)&gt;=0,SUM($B$82)&lt;=1,SUM($B$83)&gt;=0)),E1415*SUM($B$82)+SUM($B$83),0)</x:f>
        <x:v>0</x:v>
      </x:c>
      <x:c r="H1415" s="440" t="n">
        <x:f>IF(ISNUMBER(D1415),IF(MAX(0,B1415*(1+C1415/12)-D1415-F1415)&lt;MAX(0.0000001,$E$17*0.00000000001),0,MAX(0,B1415*(1+C1415/12)-D1415-F1415)),IF(AND($B$171=1,I1414=1),B1415,""))</x:f>
        <x:v>0</x:v>
      </x:c>
      <x:c r="I1415" s="444" t="n">
        <x:f>IF(OR(I1414=1,AND(E1415&gt;0,$B$78&lt;&gt;"Cash payoff",NOT(AND($B$78="Refinance",ISNUMBER($B$80),$B$80&gt;=0,$B$80&lt;=1,ROUND($B$81*12,0)&gt;=1,$B$81&lt;=100,SUM($B$82)&gt;=0,SUM($B$82)&lt;=1,SUM($B$83)&gt;=0))),AND(ISNUMBER(B1415),B1415&gt;0,$B$171=1,NOT(ISNUMBER(D1415)))),1,0)</x:f>
        <x:v>0</x:v>
      </x:c>
      <x:c r="J1415" s="440" t="n">
        <x:f>IF(ISNUMBER(L1414),L1414,"")</x:f>
        <x:v>0</x:v>
      </x:c>
      <x:c r="K1415" s="440" t="n">
        <x:f>IF(AND(ISNUMBER(J1415),J1415=0),0,IF(AND($B$176=1,ISNUMBER(J1415)),MIN(J1415*(1+$B$87/12),IF($B$86=0,0,IF($B$87=0,$B$86/ROUND($B$88*12,0),$B$86*($B$87/12)/(1-(1+$B$87/12)^(-ROUND($B$88*12,0)))))),""))</x:f>
        <x:v>0</x:v>
      </x:c>
      <x:c r="L1415" s="440" t="n">
        <x:f>IF(ISNUMBER(K1415),IF(MAX(0,J1415*(1+SUM($B$87)/12)-K1415)&lt;MAX(0.0000001,$B$86*0.00000000001),0,MAX(0,J1415*(1+SUM($B$87)/12)-K1415)),"")</x:f>
        <x:v>0</x:v>
      </x:c>
      <x:c r="M1415" s="440" t="n">
        <x:f>IF(AND(ISNUMBER(D1415),ISNUMBER(K1415)),D1415+K1415,"")</x:f>
        <x:v>0</x:v>
      </x:c>
      <x:c r="N1415" s="440" t="n">
        <x:f>IF(AND(ISNUMBER(H1415),ISNUMBER(L1415)),H1415+L1415,"")</x:f>
        <x:v>0</x:v>
      </x:c>
    </x:row>
    <x:row r="1416" ht="22" customHeight="1">
      <x:c r="A1416" s="254" t="n">
        <x:f>1016</x:f>
        <x:v>1016</x:v>
      </x:c>
      <x:c r="B1416" s="440" t="n">
        <x:f>IF(ISNUMBER(H1415),H1415,"")</x:f>
        <x:v>0</x:v>
      </x:c>
      <x:c r="C1416" s="442" t="n">
        <x:f>IF(ISNUMBER(B1416),IF(AND(1016&gt;$B$173,$B$78="Refinance",ISNUMBER($B$80),$B$80&gt;=0,$B$80&lt;=1,ROUND($B$81*12,0)&gt;=1,$B$81&lt;=100,SUM($B$82)&gt;=0,SUM($B$82)&lt;=1,SUM($B$83)&gt;=0),$B$80,IF(AND($B$175&gt;0,1016&gt;$B$175,ISNUMBER($B$75)),$B$75,$B$61)),"")</x:f>
        <x:v>0.0625</x:v>
      </x:c>
      <x:c r="D1416" s="440" t="n">
        <x:f>IF(AND(ISNUMBER(B1416),B1416=0),0,IF(AND($B$171=1,I1415=0,ISNUMBER(C1416),ISNUMBER(IF(AND(1016&lt;=$B$174,1016&lt;=$B$173),B1416*C1416/12,IF(AND(1016=$B$173+1,AND(1016&gt;$B$173,$B$78="Refinance",ISNUMBER($B$80),$B$80&gt;=0,$B$80&lt;=1,ROUND($B$81*12,0)&gt;=1,$B$81&lt;=100,SUM($B$82)&gt;=0,SUM($B$82)&lt;=1,SUM($B$83)&gt;=0)),IF(B1416=0,0,IF(C1416=0,B1416/ROUND($B$81*12,0),B1416*(C1416/12)/(1-(1+C1416/12)^(-ROUND($B$81*12,0))))),IF(AND(NOT(AND(1016&gt;$B$173,$B$78="Refinance",ISNUMBER($B$80),$B$80&gt;=0,$B$80&lt;=1,ROUND($B$81*12,0)&gt;=1,$B$81&lt;=100,SUM($B$82)&gt;=0,SUM($B$82)&lt;=1,SUM($B$83)&gt;=0)),OR(1016=1,1016=$B$174+1,AND($B$175&gt;0,1016=$B$175+1))),IF(AND($B$170=1,$B$66&gt;0,OR($B$175=0,1016&lt;=$B$175)),$B$66,IF($B$172-MAX(1016-1,$B$174)&gt;0,IF(B1416=0,0,IF(C1416=0,B1416/($B$172-MAX(1016-1,$B$174)),B1416*(C1416/12)/(1-(1+C1416/12)^(-($B$172-MAX(1016-1,$B$174)))))),"")),D1415))))),IF(IF(AND(1016&lt;=$B$174,1016&lt;=$B$173),B1416*C1416/12,IF(AND(1016=$B$173+1,AND(1016&gt;$B$173,$B$78="Refinance",ISNUMBER($B$80),$B$80&gt;=0,$B$80&lt;=1,ROUND($B$81*12,0)&gt;=1,$B$81&lt;=100,SUM($B$82)&gt;=0,SUM($B$82)&lt;=1,SUM($B$83)&gt;=0)),IF(B1416=0,0,IF(C1416=0,B1416/ROUND($B$81*12,0),B1416*(C1416/12)/(1-(1+C1416/12)^(-ROUND($B$81*12,0))))),IF(AND(NOT(AND(1016&gt;$B$173,$B$78="Refinance",ISNUMBER($B$80),$B$80&gt;=0,$B$80&lt;=1,ROUND($B$81*12,0)&gt;=1,$B$81&lt;=100,SUM($B$82)&gt;=0,SUM($B$82)&lt;=1,SUM($B$83)&gt;=0)),OR(1016=1,1016=$B$174+1,AND($B$175&gt;0,1016=$B$175+1))),IF(AND($B$170=1,$B$66&gt;0,OR($B$175=0,1016&lt;=$B$175)),$B$66,IF($B$172-MAX(1016-1,$B$174)&gt;0,IF(B1416=0,0,IF(C1416=0,B1416/($B$172-MAX(1016-1,$B$174)),B1416*(C1416/12)/(1-(1+C1416/12)^(-($B$172-MAX(1016-1,$B$174)))))),"")),D1415)))+0.0000001&gt;=B1416*C1416/12,MIN(B1416*(1+C1416/12),IF(AND(1016&lt;=$B$174,1016&lt;=$B$173),B1416*C1416/12,IF(AND(1016=$B$173+1,AND(1016&gt;$B$173,$B$78="Refinance",ISNUMBER($B$80),$B$80&gt;=0,$B$80&lt;=1,ROUND($B$81*12,0)&gt;=1,$B$81&lt;=100,SUM($B$82)&gt;=0,SUM($B$82)&lt;=1,SUM($B$83)&gt;=0)),IF(B1416=0,0,IF(C1416=0,B1416/ROUND($B$81*12,0),B1416*(C1416/12)/(1-(1+C1416/12)^(-ROUND($B$81*12,0))))),IF(AND(NOT(AND(1016&gt;$B$173,$B$78="Refinance",ISNUMBER($B$80),$B$80&gt;=0,$B$80&lt;=1,ROUND($B$81*12,0)&gt;=1,$B$81&lt;=100,SUM($B$82)&gt;=0,SUM($B$82)&lt;=1,SUM($B$83)&gt;=0)),OR(1016=1,1016=$B$174+1,AND($B$175&gt;0,1016=$B$175+1))),IF(AND($B$170=1,$B$66&gt;0,OR($B$175=0,1016&lt;=$B$175)),$B$66,IF($B$172-MAX(1016-1,$B$174)&gt;0,IF(B1416=0,0,IF(C1416=0,B1416/($B$172-MAX(1016-1,$B$174)),B1416*(C1416/12)/(1-(1+C1416/12)^(-($B$172-MAX(1016-1,$B$174)))))),"")),D1415)))),""),""))</x:f>
        <x:v>0</x:v>
      </x:c>
      <x:c r="E1416" s="440" t="n">
        <x:f>IF(AND(1016=$B$173,ISNUMBER(D1416)),IF(MAX(0,B1416*(1+C1416/12)-D1416)&lt;MAX(0.0000001,$E$17*0.00000000001),0,MAX(0,B1416*(1+C1416/12)-D1416)),0)</x:f>
        <x:v>0</x:v>
      </x:c>
      <x:c r="F1416" s="440" t="n">
        <x:f>IF($B$78="Cash payoff",E1416,0)</x:f>
        <x:v>0</x:v>
      </x:c>
      <x:c r="G1416" s="440" t="n">
        <x:f>IF(AND(E1416&gt;0,AND($B$78="Refinance",ISNUMBER($B$80),$B$80&gt;=0,$B$80&lt;=1,ROUND($B$81*12,0)&gt;=1,$B$81&lt;=100,SUM($B$82)&gt;=0,SUM($B$82)&lt;=1,SUM($B$83)&gt;=0)),E1416*SUM($B$82)+SUM($B$83),0)</x:f>
        <x:v>0</x:v>
      </x:c>
      <x:c r="H1416" s="440" t="n">
        <x:f>IF(ISNUMBER(D1416),IF(MAX(0,B1416*(1+C1416/12)-D1416-F1416)&lt;MAX(0.0000001,$E$17*0.00000000001),0,MAX(0,B1416*(1+C1416/12)-D1416-F1416)),IF(AND($B$171=1,I1415=1),B1416,""))</x:f>
        <x:v>0</x:v>
      </x:c>
      <x:c r="I1416" s="444" t="n">
        <x:f>IF(OR(I1415=1,AND(E1416&gt;0,$B$78&lt;&gt;"Cash payoff",NOT(AND($B$78="Refinance",ISNUMBER($B$80),$B$80&gt;=0,$B$80&lt;=1,ROUND($B$81*12,0)&gt;=1,$B$81&lt;=100,SUM($B$82)&gt;=0,SUM($B$82)&lt;=1,SUM($B$83)&gt;=0))),AND(ISNUMBER(B1416),B1416&gt;0,$B$171=1,NOT(ISNUMBER(D1416)))),1,0)</x:f>
        <x:v>0</x:v>
      </x:c>
      <x:c r="J1416" s="440" t="n">
        <x:f>IF(ISNUMBER(L1415),L1415,"")</x:f>
        <x:v>0</x:v>
      </x:c>
      <x:c r="K1416" s="440" t="n">
        <x:f>IF(AND(ISNUMBER(J1416),J1416=0),0,IF(AND($B$176=1,ISNUMBER(J1416)),MIN(J1416*(1+$B$87/12),IF($B$86=0,0,IF($B$87=0,$B$86/ROUND($B$88*12,0),$B$86*($B$87/12)/(1-(1+$B$87/12)^(-ROUND($B$88*12,0)))))),""))</x:f>
        <x:v>0</x:v>
      </x:c>
      <x:c r="L1416" s="440" t="n">
        <x:f>IF(ISNUMBER(K1416),IF(MAX(0,J1416*(1+SUM($B$87)/12)-K1416)&lt;MAX(0.0000001,$B$86*0.00000000001),0,MAX(0,J1416*(1+SUM($B$87)/12)-K1416)),"")</x:f>
        <x:v>0</x:v>
      </x:c>
      <x:c r="M1416" s="440" t="n">
        <x:f>IF(AND(ISNUMBER(D1416),ISNUMBER(K1416)),D1416+K1416,"")</x:f>
        <x:v>0</x:v>
      </x:c>
      <x:c r="N1416" s="440" t="n">
        <x:f>IF(AND(ISNUMBER(H1416),ISNUMBER(L1416)),H1416+L1416,"")</x:f>
        <x:v>0</x:v>
      </x:c>
    </x:row>
    <x:row r="1417" ht="22" customHeight="1">
      <x:c r="A1417" s="254" t="n">
        <x:f>1017</x:f>
        <x:v>1017</x:v>
      </x:c>
      <x:c r="B1417" s="440" t="n">
        <x:f>IF(ISNUMBER(H1416),H1416,"")</x:f>
        <x:v>0</x:v>
      </x:c>
      <x:c r="C1417" s="442" t="n">
        <x:f>IF(ISNUMBER(B1417),IF(AND(1017&gt;$B$173,$B$78="Refinance",ISNUMBER($B$80),$B$80&gt;=0,$B$80&lt;=1,ROUND($B$81*12,0)&gt;=1,$B$81&lt;=100,SUM($B$82)&gt;=0,SUM($B$82)&lt;=1,SUM($B$83)&gt;=0),$B$80,IF(AND($B$175&gt;0,1017&gt;$B$175,ISNUMBER($B$75)),$B$75,$B$61)),"")</x:f>
        <x:v>0.0625</x:v>
      </x:c>
      <x:c r="D1417" s="440" t="n">
        <x:f>IF(AND(ISNUMBER(B1417),B1417=0),0,IF(AND($B$171=1,I1416=0,ISNUMBER(C1417),ISNUMBER(IF(AND(1017&lt;=$B$174,1017&lt;=$B$173),B1417*C1417/12,IF(AND(1017=$B$173+1,AND(1017&gt;$B$173,$B$78="Refinance",ISNUMBER($B$80),$B$80&gt;=0,$B$80&lt;=1,ROUND($B$81*12,0)&gt;=1,$B$81&lt;=100,SUM($B$82)&gt;=0,SUM($B$82)&lt;=1,SUM($B$83)&gt;=0)),IF(B1417=0,0,IF(C1417=0,B1417/ROUND($B$81*12,0),B1417*(C1417/12)/(1-(1+C1417/12)^(-ROUND($B$81*12,0))))),IF(AND(NOT(AND(1017&gt;$B$173,$B$78="Refinance",ISNUMBER($B$80),$B$80&gt;=0,$B$80&lt;=1,ROUND($B$81*12,0)&gt;=1,$B$81&lt;=100,SUM($B$82)&gt;=0,SUM($B$82)&lt;=1,SUM($B$83)&gt;=0)),OR(1017=1,1017=$B$174+1,AND($B$175&gt;0,1017=$B$175+1))),IF(AND($B$170=1,$B$66&gt;0,OR($B$175=0,1017&lt;=$B$175)),$B$66,IF($B$172-MAX(1017-1,$B$174)&gt;0,IF(B1417=0,0,IF(C1417=0,B1417/($B$172-MAX(1017-1,$B$174)),B1417*(C1417/12)/(1-(1+C1417/12)^(-($B$172-MAX(1017-1,$B$174)))))),"")),D1416))))),IF(IF(AND(1017&lt;=$B$174,1017&lt;=$B$173),B1417*C1417/12,IF(AND(1017=$B$173+1,AND(1017&gt;$B$173,$B$78="Refinance",ISNUMBER($B$80),$B$80&gt;=0,$B$80&lt;=1,ROUND($B$81*12,0)&gt;=1,$B$81&lt;=100,SUM($B$82)&gt;=0,SUM($B$82)&lt;=1,SUM($B$83)&gt;=0)),IF(B1417=0,0,IF(C1417=0,B1417/ROUND($B$81*12,0),B1417*(C1417/12)/(1-(1+C1417/12)^(-ROUND($B$81*12,0))))),IF(AND(NOT(AND(1017&gt;$B$173,$B$78="Refinance",ISNUMBER($B$80),$B$80&gt;=0,$B$80&lt;=1,ROUND($B$81*12,0)&gt;=1,$B$81&lt;=100,SUM($B$82)&gt;=0,SUM($B$82)&lt;=1,SUM($B$83)&gt;=0)),OR(1017=1,1017=$B$174+1,AND($B$175&gt;0,1017=$B$175+1))),IF(AND($B$170=1,$B$66&gt;0,OR($B$175=0,1017&lt;=$B$175)),$B$66,IF($B$172-MAX(1017-1,$B$174)&gt;0,IF(B1417=0,0,IF(C1417=0,B1417/($B$172-MAX(1017-1,$B$174)),B1417*(C1417/12)/(1-(1+C1417/12)^(-($B$172-MAX(1017-1,$B$174)))))),"")),D1416)))+0.0000001&gt;=B1417*C1417/12,MIN(B1417*(1+C1417/12),IF(AND(1017&lt;=$B$174,1017&lt;=$B$173),B1417*C1417/12,IF(AND(1017=$B$173+1,AND(1017&gt;$B$173,$B$78="Refinance",ISNUMBER($B$80),$B$80&gt;=0,$B$80&lt;=1,ROUND($B$81*12,0)&gt;=1,$B$81&lt;=100,SUM($B$82)&gt;=0,SUM($B$82)&lt;=1,SUM($B$83)&gt;=0)),IF(B1417=0,0,IF(C1417=0,B1417/ROUND($B$81*12,0),B1417*(C1417/12)/(1-(1+C1417/12)^(-ROUND($B$81*12,0))))),IF(AND(NOT(AND(1017&gt;$B$173,$B$78="Refinance",ISNUMBER($B$80),$B$80&gt;=0,$B$80&lt;=1,ROUND($B$81*12,0)&gt;=1,$B$81&lt;=100,SUM($B$82)&gt;=0,SUM($B$82)&lt;=1,SUM($B$83)&gt;=0)),OR(1017=1,1017=$B$174+1,AND($B$175&gt;0,1017=$B$175+1))),IF(AND($B$170=1,$B$66&gt;0,OR($B$175=0,1017&lt;=$B$175)),$B$66,IF($B$172-MAX(1017-1,$B$174)&gt;0,IF(B1417=0,0,IF(C1417=0,B1417/($B$172-MAX(1017-1,$B$174)),B1417*(C1417/12)/(1-(1+C1417/12)^(-($B$172-MAX(1017-1,$B$174)))))),"")),D1416)))),""),""))</x:f>
        <x:v>0</x:v>
      </x:c>
      <x:c r="E1417" s="440" t="n">
        <x:f>IF(AND(1017=$B$173,ISNUMBER(D1417)),IF(MAX(0,B1417*(1+C1417/12)-D1417)&lt;MAX(0.0000001,$E$17*0.00000000001),0,MAX(0,B1417*(1+C1417/12)-D1417)),0)</x:f>
        <x:v>0</x:v>
      </x:c>
      <x:c r="F1417" s="440" t="n">
        <x:f>IF($B$78="Cash payoff",E1417,0)</x:f>
        <x:v>0</x:v>
      </x:c>
      <x:c r="G1417" s="440" t="n">
        <x:f>IF(AND(E1417&gt;0,AND($B$78="Refinance",ISNUMBER($B$80),$B$80&gt;=0,$B$80&lt;=1,ROUND($B$81*12,0)&gt;=1,$B$81&lt;=100,SUM($B$82)&gt;=0,SUM($B$82)&lt;=1,SUM($B$83)&gt;=0)),E1417*SUM($B$82)+SUM($B$83),0)</x:f>
        <x:v>0</x:v>
      </x:c>
      <x:c r="H1417" s="440" t="n">
        <x:f>IF(ISNUMBER(D1417),IF(MAX(0,B1417*(1+C1417/12)-D1417-F1417)&lt;MAX(0.0000001,$E$17*0.00000000001),0,MAX(0,B1417*(1+C1417/12)-D1417-F1417)),IF(AND($B$171=1,I1416=1),B1417,""))</x:f>
        <x:v>0</x:v>
      </x:c>
      <x:c r="I1417" s="444" t="n">
        <x:f>IF(OR(I1416=1,AND(E1417&gt;0,$B$78&lt;&gt;"Cash payoff",NOT(AND($B$78="Refinance",ISNUMBER($B$80),$B$80&gt;=0,$B$80&lt;=1,ROUND($B$81*12,0)&gt;=1,$B$81&lt;=100,SUM($B$82)&gt;=0,SUM($B$82)&lt;=1,SUM($B$83)&gt;=0))),AND(ISNUMBER(B1417),B1417&gt;0,$B$171=1,NOT(ISNUMBER(D1417)))),1,0)</x:f>
        <x:v>0</x:v>
      </x:c>
      <x:c r="J1417" s="440" t="n">
        <x:f>IF(ISNUMBER(L1416),L1416,"")</x:f>
        <x:v>0</x:v>
      </x:c>
      <x:c r="K1417" s="440" t="n">
        <x:f>IF(AND(ISNUMBER(J1417),J1417=0),0,IF(AND($B$176=1,ISNUMBER(J1417)),MIN(J1417*(1+$B$87/12),IF($B$86=0,0,IF($B$87=0,$B$86/ROUND($B$88*12,0),$B$86*($B$87/12)/(1-(1+$B$87/12)^(-ROUND($B$88*12,0)))))),""))</x:f>
        <x:v>0</x:v>
      </x:c>
      <x:c r="L1417" s="440" t="n">
        <x:f>IF(ISNUMBER(K1417),IF(MAX(0,J1417*(1+SUM($B$87)/12)-K1417)&lt;MAX(0.0000001,$B$86*0.00000000001),0,MAX(0,J1417*(1+SUM($B$87)/12)-K1417)),"")</x:f>
        <x:v>0</x:v>
      </x:c>
      <x:c r="M1417" s="440" t="n">
        <x:f>IF(AND(ISNUMBER(D1417),ISNUMBER(K1417)),D1417+K1417,"")</x:f>
        <x:v>0</x:v>
      </x:c>
      <x:c r="N1417" s="440" t="n">
        <x:f>IF(AND(ISNUMBER(H1417),ISNUMBER(L1417)),H1417+L1417,"")</x:f>
        <x:v>0</x:v>
      </x:c>
    </x:row>
    <x:row r="1418" ht="22" customHeight="1">
      <x:c r="A1418" s="254" t="n">
        <x:f>1018</x:f>
        <x:v>1018</x:v>
      </x:c>
      <x:c r="B1418" s="440" t="n">
        <x:f>IF(ISNUMBER(H1417),H1417,"")</x:f>
        <x:v>0</x:v>
      </x:c>
      <x:c r="C1418" s="442" t="n">
        <x:f>IF(ISNUMBER(B1418),IF(AND(1018&gt;$B$173,$B$78="Refinance",ISNUMBER($B$80),$B$80&gt;=0,$B$80&lt;=1,ROUND($B$81*12,0)&gt;=1,$B$81&lt;=100,SUM($B$82)&gt;=0,SUM($B$82)&lt;=1,SUM($B$83)&gt;=0),$B$80,IF(AND($B$175&gt;0,1018&gt;$B$175,ISNUMBER($B$75)),$B$75,$B$61)),"")</x:f>
        <x:v>0.0625</x:v>
      </x:c>
      <x:c r="D1418" s="440" t="n">
        <x:f>IF(AND(ISNUMBER(B1418),B1418=0),0,IF(AND($B$171=1,I1417=0,ISNUMBER(C1418),ISNUMBER(IF(AND(1018&lt;=$B$174,1018&lt;=$B$173),B1418*C1418/12,IF(AND(1018=$B$173+1,AND(1018&gt;$B$173,$B$78="Refinance",ISNUMBER($B$80),$B$80&gt;=0,$B$80&lt;=1,ROUND($B$81*12,0)&gt;=1,$B$81&lt;=100,SUM($B$82)&gt;=0,SUM($B$82)&lt;=1,SUM($B$83)&gt;=0)),IF(B1418=0,0,IF(C1418=0,B1418/ROUND($B$81*12,0),B1418*(C1418/12)/(1-(1+C1418/12)^(-ROUND($B$81*12,0))))),IF(AND(NOT(AND(1018&gt;$B$173,$B$78="Refinance",ISNUMBER($B$80),$B$80&gt;=0,$B$80&lt;=1,ROUND($B$81*12,0)&gt;=1,$B$81&lt;=100,SUM($B$82)&gt;=0,SUM($B$82)&lt;=1,SUM($B$83)&gt;=0)),OR(1018=1,1018=$B$174+1,AND($B$175&gt;0,1018=$B$175+1))),IF(AND($B$170=1,$B$66&gt;0,OR($B$175=0,1018&lt;=$B$175)),$B$66,IF($B$172-MAX(1018-1,$B$174)&gt;0,IF(B1418=0,0,IF(C1418=0,B1418/($B$172-MAX(1018-1,$B$174)),B1418*(C1418/12)/(1-(1+C1418/12)^(-($B$172-MAX(1018-1,$B$174)))))),"")),D1417))))),IF(IF(AND(1018&lt;=$B$174,1018&lt;=$B$173),B1418*C1418/12,IF(AND(1018=$B$173+1,AND(1018&gt;$B$173,$B$78="Refinance",ISNUMBER($B$80),$B$80&gt;=0,$B$80&lt;=1,ROUND($B$81*12,0)&gt;=1,$B$81&lt;=100,SUM($B$82)&gt;=0,SUM($B$82)&lt;=1,SUM($B$83)&gt;=0)),IF(B1418=0,0,IF(C1418=0,B1418/ROUND($B$81*12,0),B1418*(C1418/12)/(1-(1+C1418/12)^(-ROUND($B$81*12,0))))),IF(AND(NOT(AND(1018&gt;$B$173,$B$78="Refinance",ISNUMBER($B$80),$B$80&gt;=0,$B$80&lt;=1,ROUND($B$81*12,0)&gt;=1,$B$81&lt;=100,SUM($B$82)&gt;=0,SUM($B$82)&lt;=1,SUM($B$83)&gt;=0)),OR(1018=1,1018=$B$174+1,AND($B$175&gt;0,1018=$B$175+1))),IF(AND($B$170=1,$B$66&gt;0,OR($B$175=0,1018&lt;=$B$175)),$B$66,IF($B$172-MAX(1018-1,$B$174)&gt;0,IF(B1418=0,0,IF(C1418=0,B1418/($B$172-MAX(1018-1,$B$174)),B1418*(C1418/12)/(1-(1+C1418/12)^(-($B$172-MAX(1018-1,$B$174)))))),"")),D1417)))+0.0000001&gt;=B1418*C1418/12,MIN(B1418*(1+C1418/12),IF(AND(1018&lt;=$B$174,1018&lt;=$B$173),B1418*C1418/12,IF(AND(1018=$B$173+1,AND(1018&gt;$B$173,$B$78="Refinance",ISNUMBER($B$80),$B$80&gt;=0,$B$80&lt;=1,ROUND($B$81*12,0)&gt;=1,$B$81&lt;=100,SUM($B$82)&gt;=0,SUM($B$82)&lt;=1,SUM($B$83)&gt;=0)),IF(B1418=0,0,IF(C1418=0,B1418/ROUND($B$81*12,0),B1418*(C1418/12)/(1-(1+C1418/12)^(-ROUND($B$81*12,0))))),IF(AND(NOT(AND(1018&gt;$B$173,$B$78="Refinance",ISNUMBER($B$80),$B$80&gt;=0,$B$80&lt;=1,ROUND($B$81*12,0)&gt;=1,$B$81&lt;=100,SUM($B$82)&gt;=0,SUM($B$82)&lt;=1,SUM($B$83)&gt;=0)),OR(1018=1,1018=$B$174+1,AND($B$175&gt;0,1018=$B$175+1))),IF(AND($B$170=1,$B$66&gt;0,OR($B$175=0,1018&lt;=$B$175)),$B$66,IF($B$172-MAX(1018-1,$B$174)&gt;0,IF(B1418=0,0,IF(C1418=0,B1418/($B$172-MAX(1018-1,$B$174)),B1418*(C1418/12)/(1-(1+C1418/12)^(-($B$172-MAX(1018-1,$B$174)))))),"")),D1417)))),""),""))</x:f>
        <x:v>0</x:v>
      </x:c>
      <x:c r="E1418" s="440" t="n">
        <x:f>IF(AND(1018=$B$173,ISNUMBER(D1418)),IF(MAX(0,B1418*(1+C1418/12)-D1418)&lt;MAX(0.0000001,$E$17*0.00000000001),0,MAX(0,B1418*(1+C1418/12)-D1418)),0)</x:f>
        <x:v>0</x:v>
      </x:c>
      <x:c r="F1418" s="440" t="n">
        <x:f>IF($B$78="Cash payoff",E1418,0)</x:f>
        <x:v>0</x:v>
      </x:c>
      <x:c r="G1418" s="440" t="n">
        <x:f>IF(AND(E1418&gt;0,AND($B$78="Refinance",ISNUMBER($B$80),$B$80&gt;=0,$B$80&lt;=1,ROUND($B$81*12,0)&gt;=1,$B$81&lt;=100,SUM($B$82)&gt;=0,SUM($B$82)&lt;=1,SUM($B$83)&gt;=0)),E1418*SUM($B$82)+SUM($B$83),0)</x:f>
        <x:v>0</x:v>
      </x:c>
      <x:c r="H1418" s="440" t="n">
        <x:f>IF(ISNUMBER(D1418),IF(MAX(0,B1418*(1+C1418/12)-D1418-F1418)&lt;MAX(0.0000001,$E$17*0.00000000001),0,MAX(0,B1418*(1+C1418/12)-D1418-F1418)),IF(AND($B$171=1,I1417=1),B1418,""))</x:f>
        <x:v>0</x:v>
      </x:c>
      <x:c r="I1418" s="444" t="n">
        <x:f>IF(OR(I1417=1,AND(E1418&gt;0,$B$78&lt;&gt;"Cash payoff",NOT(AND($B$78="Refinance",ISNUMBER($B$80),$B$80&gt;=0,$B$80&lt;=1,ROUND($B$81*12,0)&gt;=1,$B$81&lt;=100,SUM($B$82)&gt;=0,SUM($B$82)&lt;=1,SUM($B$83)&gt;=0))),AND(ISNUMBER(B1418),B1418&gt;0,$B$171=1,NOT(ISNUMBER(D1418)))),1,0)</x:f>
        <x:v>0</x:v>
      </x:c>
      <x:c r="J1418" s="440" t="n">
        <x:f>IF(ISNUMBER(L1417),L1417,"")</x:f>
        <x:v>0</x:v>
      </x:c>
      <x:c r="K1418" s="440" t="n">
        <x:f>IF(AND(ISNUMBER(J1418),J1418=0),0,IF(AND($B$176=1,ISNUMBER(J1418)),MIN(J1418*(1+$B$87/12),IF($B$86=0,0,IF($B$87=0,$B$86/ROUND($B$88*12,0),$B$86*($B$87/12)/(1-(1+$B$87/12)^(-ROUND($B$88*12,0)))))),""))</x:f>
        <x:v>0</x:v>
      </x:c>
      <x:c r="L1418" s="440" t="n">
        <x:f>IF(ISNUMBER(K1418),IF(MAX(0,J1418*(1+SUM($B$87)/12)-K1418)&lt;MAX(0.0000001,$B$86*0.00000000001),0,MAX(0,J1418*(1+SUM($B$87)/12)-K1418)),"")</x:f>
        <x:v>0</x:v>
      </x:c>
      <x:c r="M1418" s="440" t="n">
        <x:f>IF(AND(ISNUMBER(D1418),ISNUMBER(K1418)),D1418+K1418,"")</x:f>
        <x:v>0</x:v>
      </x:c>
      <x:c r="N1418" s="440" t="n">
        <x:f>IF(AND(ISNUMBER(H1418),ISNUMBER(L1418)),H1418+L1418,"")</x:f>
        <x:v>0</x:v>
      </x:c>
    </x:row>
    <x:row r="1419" ht="22" customHeight="1">
      <x:c r="A1419" s="254" t="n">
        <x:f>1019</x:f>
        <x:v>1019</x:v>
      </x:c>
      <x:c r="B1419" s="440" t="n">
        <x:f>IF(ISNUMBER(H1418),H1418,"")</x:f>
        <x:v>0</x:v>
      </x:c>
      <x:c r="C1419" s="442" t="n">
        <x:f>IF(ISNUMBER(B1419),IF(AND(1019&gt;$B$173,$B$78="Refinance",ISNUMBER($B$80),$B$80&gt;=0,$B$80&lt;=1,ROUND($B$81*12,0)&gt;=1,$B$81&lt;=100,SUM($B$82)&gt;=0,SUM($B$82)&lt;=1,SUM($B$83)&gt;=0),$B$80,IF(AND($B$175&gt;0,1019&gt;$B$175,ISNUMBER($B$75)),$B$75,$B$61)),"")</x:f>
        <x:v>0.0625</x:v>
      </x:c>
      <x:c r="D1419" s="440" t="n">
        <x:f>IF(AND(ISNUMBER(B1419),B1419=0),0,IF(AND($B$171=1,I1418=0,ISNUMBER(C1419),ISNUMBER(IF(AND(1019&lt;=$B$174,1019&lt;=$B$173),B1419*C1419/12,IF(AND(1019=$B$173+1,AND(1019&gt;$B$173,$B$78="Refinance",ISNUMBER($B$80),$B$80&gt;=0,$B$80&lt;=1,ROUND($B$81*12,0)&gt;=1,$B$81&lt;=100,SUM($B$82)&gt;=0,SUM($B$82)&lt;=1,SUM($B$83)&gt;=0)),IF(B1419=0,0,IF(C1419=0,B1419/ROUND($B$81*12,0),B1419*(C1419/12)/(1-(1+C1419/12)^(-ROUND($B$81*12,0))))),IF(AND(NOT(AND(1019&gt;$B$173,$B$78="Refinance",ISNUMBER($B$80),$B$80&gt;=0,$B$80&lt;=1,ROUND($B$81*12,0)&gt;=1,$B$81&lt;=100,SUM($B$82)&gt;=0,SUM($B$82)&lt;=1,SUM($B$83)&gt;=0)),OR(1019=1,1019=$B$174+1,AND($B$175&gt;0,1019=$B$175+1))),IF(AND($B$170=1,$B$66&gt;0,OR($B$175=0,1019&lt;=$B$175)),$B$66,IF($B$172-MAX(1019-1,$B$174)&gt;0,IF(B1419=0,0,IF(C1419=0,B1419/($B$172-MAX(1019-1,$B$174)),B1419*(C1419/12)/(1-(1+C1419/12)^(-($B$172-MAX(1019-1,$B$174)))))),"")),D1418))))),IF(IF(AND(1019&lt;=$B$174,1019&lt;=$B$173),B1419*C1419/12,IF(AND(1019=$B$173+1,AND(1019&gt;$B$173,$B$78="Refinance",ISNUMBER($B$80),$B$80&gt;=0,$B$80&lt;=1,ROUND($B$81*12,0)&gt;=1,$B$81&lt;=100,SUM($B$82)&gt;=0,SUM($B$82)&lt;=1,SUM($B$83)&gt;=0)),IF(B1419=0,0,IF(C1419=0,B1419/ROUND($B$81*12,0),B1419*(C1419/12)/(1-(1+C1419/12)^(-ROUND($B$81*12,0))))),IF(AND(NOT(AND(1019&gt;$B$173,$B$78="Refinance",ISNUMBER($B$80),$B$80&gt;=0,$B$80&lt;=1,ROUND($B$81*12,0)&gt;=1,$B$81&lt;=100,SUM($B$82)&gt;=0,SUM($B$82)&lt;=1,SUM($B$83)&gt;=0)),OR(1019=1,1019=$B$174+1,AND($B$175&gt;0,1019=$B$175+1))),IF(AND($B$170=1,$B$66&gt;0,OR($B$175=0,1019&lt;=$B$175)),$B$66,IF($B$172-MAX(1019-1,$B$174)&gt;0,IF(B1419=0,0,IF(C1419=0,B1419/($B$172-MAX(1019-1,$B$174)),B1419*(C1419/12)/(1-(1+C1419/12)^(-($B$172-MAX(1019-1,$B$174)))))),"")),D1418)))+0.0000001&gt;=B1419*C1419/12,MIN(B1419*(1+C1419/12),IF(AND(1019&lt;=$B$174,1019&lt;=$B$173),B1419*C1419/12,IF(AND(1019=$B$173+1,AND(1019&gt;$B$173,$B$78="Refinance",ISNUMBER($B$80),$B$80&gt;=0,$B$80&lt;=1,ROUND($B$81*12,0)&gt;=1,$B$81&lt;=100,SUM($B$82)&gt;=0,SUM($B$82)&lt;=1,SUM($B$83)&gt;=0)),IF(B1419=0,0,IF(C1419=0,B1419/ROUND($B$81*12,0),B1419*(C1419/12)/(1-(1+C1419/12)^(-ROUND($B$81*12,0))))),IF(AND(NOT(AND(1019&gt;$B$173,$B$78="Refinance",ISNUMBER($B$80),$B$80&gt;=0,$B$80&lt;=1,ROUND($B$81*12,0)&gt;=1,$B$81&lt;=100,SUM($B$82)&gt;=0,SUM($B$82)&lt;=1,SUM($B$83)&gt;=0)),OR(1019=1,1019=$B$174+1,AND($B$175&gt;0,1019=$B$175+1))),IF(AND($B$170=1,$B$66&gt;0,OR($B$175=0,1019&lt;=$B$175)),$B$66,IF($B$172-MAX(1019-1,$B$174)&gt;0,IF(B1419=0,0,IF(C1419=0,B1419/($B$172-MAX(1019-1,$B$174)),B1419*(C1419/12)/(1-(1+C1419/12)^(-($B$172-MAX(1019-1,$B$174)))))),"")),D1418)))),""),""))</x:f>
        <x:v>0</x:v>
      </x:c>
      <x:c r="E1419" s="440" t="n">
        <x:f>IF(AND(1019=$B$173,ISNUMBER(D1419)),IF(MAX(0,B1419*(1+C1419/12)-D1419)&lt;MAX(0.0000001,$E$17*0.00000000001),0,MAX(0,B1419*(1+C1419/12)-D1419)),0)</x:f>
        <x:v>0</x:v>
      </x:c>
      <x:c r="F1419" s="440" t="n">
        <x:f>IF($B$78="Cash payoff",E1419,0)</x:f>
        <x:v>0</x:v>
      </x:c>
      <x:c r="G1419" s="440" t="n">
        <x:f>IF(AND(E1419&gt;0,AND($B$78="Refinance",ISNUMBER($B$80),$B$80&gt;=0,$B$80&lt;=1,ROUND($B$81*12,0)&gt;=1,$B$81&lt;=100,SUM($B$82)&gt;=0,SUM($B$82)&lt;=1,SUM($B$83)&gt;=0)),E1419*SUM($B$82)+SUM($B$83),0)</x:f>
        <x:v>0</x:v>
      </x:c>
      <x:c r="H1419" s="440" t="n">
        <x:f>IF(ISNUMBER(D1419),IF(MAX(0,B1419*(1+C1419/12)-D1419-F1419)&lt;MAX(0.0000001,$E$17*0.00000000001),0,MAX(0,B1419*(1+C1419/12)-D1419-F1419)),IF(AND($B$171=1,I1418=1),B1419,""))</x:f>
        <x:v>0</x:v>
      </x:c>
      <x:c r="I1419" s="444" t="n">
        <x:f>IF(OR(I1418=1,AND(E1419&gt;0,$B$78&lt;&gt;"Cash payoff",NOT(AND($B$78="Refinance",ISNUMBER($B$80),$B$80&gt;=0,$B$80&lt;=1,ROUND($B$81*12,0)&gt;=1,$B$81&lt;=100,SUM($B$82)&gt;=0,SUM($B$82)&lt;=1,SUM($B$83)&gt;=0))),AND(ISNUMBER(B1419),B1419&gt;0,$B$171=1,NOT(ISNUMBER(D1419)))),1,0)</x:f>
        <x:v>0</x:v>
      </x:c>
      <x:c r="J1419" s="440" t="n">
        <x:f>IF(ISNUMBER(L1418),L1418,"")</x:f>
        <x:v>0</x:v>
      </x:c>
      <x:c r="K1419" s="440" t="n">
        <x:f>IF(AND(ISNUMBER(J1419),J1419=0),0,IF(AND($B$176=1,ISNUMBER(J1419)),MIN(J1419*(1+$B$87/12),IF($B$86=0,0,IF($B$87=0,$B$86/ROUND($B$88*12,0),$B$86*($B$87/12)/(1-(1+$B$87/12)^(-ROUND($B$88*12,0)))))),""))</x:f>
        <x:v>0</x:v>
      </x:c>
      <x:c r="L1419" s="440" t="n">
        <x:f>IF(ISNUMBER(K1419),IF(MAX(0,J1419*(1+SUM($B$87)/12)-K1419)&lt;MAX(0.0000001,$B$86*0.00000000001),0,MAX(0,J1419*(1+SUM($B$87)/12)-K1419)),"")</x:f>
        <x:v>0</x:v>
      </x:c>
      <x:c r="M1419" s="440" t="n">
        <x:f>IF(AND(ISNUMBER(D1419),ISNUMBER(K1419)),D1419+K1419,"")</x:f>
        <x:v>0</x:v>
      </x:c>
      <x:c r="N1419" s="440" t="n">
        <x:f>IF(AND(ISNUMBER(H1419),ISNUMBER(L1419)),H1419+L1419,"")</x:f>
        <x:v>0</x:v>
      </x:c>
    </x:row>
    <x:row r="1420" ht="22" customHeight="1">
      <x:c r="A1420" s="254" t="n">
        <x:f>1020</x:f>
        <x:v>1020</x:v>
      </x:c>
      <x:c r="B1420" s="440" t="n">
        <x:f>IF(ISNUMBER(H1419),H1419,"")</x:f>
        <x:v>0</x:v>
      </x:c>
      <x:c r="C1420" s="442" t="n">
        <x:f>IF(ISNUMBER(B1420),IF(AND(1020&gt;$B$173,$B$78="Refinance",ISNUMBER($B$80),$B$80&gt;=0,$B$80&lt;=1,ROUND($B$81*12,0)&gt;=1,$B$81&lt;=100,SUM($B$82)&gt;=0,SUM($B$82)&lt;=1,SUM($B$83)&gt;=0),$B$80,IF(AND($B$175&gt;0,1020&gt;$B$175,ISNUMBER($B$75)),$B$75,$B$61)),"")</x:f>
        <x:v>0.0625</x:v>
      </x:c>
      <x:c r="D1420" s="440" t="n">
        <x:f>IF(AND(ISNUMBER(B1420),B1420=0),0,IF(AND($B$171=1,I1419=0,ISNUMBER(C1420),ISNUMBER(IF(AND(1020&lt;=$B$174,1020&lt;=$B$173),B1420*C1420/12,IF(AND(1020=$B$173+1,AND(1020&gt;$B$173,$B$78="Refinance",ISNUMBER($B$80),$B$80&gt;=0,$B$80&lt;=1,ROUND($B$81*12,0)&gt;=1,$B$81&lt;=100,SUM($B$82)&gt;=0,SUM($B$82)&lt;=1,SUM($B$83)&gt;=0)),IF(B1420=0,0,IF(C1420=0,B1420/ROUND($B$81*12,0),B1420*(C1420/12)/(1-(1+C1420/12)^(-ROUND($B$81*12,0))))),IF(AND(NOT(AND(1020&gt;$B$173,$B$78="Refinance",ISNUMBER($B$80),$B$80&gt;=0,$B$80&lt;=1,ROUND($B$81*12,0)&gt;=1,$B$81&lt;=100,SUM($B$82)&gt;=0,SUM($B$82)&lt;=1,SUM($B$83)&gt;=0)),OR(1020=1,1020=$B$174+1,AND($B$175&gt;0,1020=$B$175+1))),IF(AND($B$170=1,$B$66&gt;0,OR($B$175=0,1020&lt;=$B$175)),$B$66,IF($B$172-MAX(1020-1,$B$174)&gt;0,IF(B1420=0,0,IF(C1420=0,B1420/($B$172-MAX(1020-1,$B$174)),B1420*(C1420/12)/(1-(1+C1420/12)^(-($B$172-MAX(1020-1,$B$174)))))),"")),D1419))))),IF(IF(AND(1020&lt;=$B$174,1020&lt;=$B$173),B1420*C1420/12,IF(AND(1020=$B$173+1,AND(1020&gt;$B$173,$B$78="Refinance",ISNUMBER($B$80),$B$80&gt;=0,$B$80&lt;=1,ROUND($B$81*12,0)&gt;=1,$B$81&lt;=100,SUM($B$82)&gt;=0,SUM($B$82)&lt;=1,SUM($B$83)&gt;=0)),IF(B1420=0,0,IF(C1420=0,B1420/ROUND($B$81*12,0),B1420*(C1420/12)/(1-(1+C1420/12)^(-ROUND($B$81*12,0))))),IF(AND(NOT(AND(1020&gt;$B$173,$B$78="Refinance",ISNUMBER($B$80),$B$80&gt;=0,$B$80&lt;=1,ROUND($B$81*12,0)&gt;=1,$B$81&lt;=100,SUM($B$82)&gt;=0,SUM($B$82)&lt;=1,SUM($B$83)&gt;=0)),OR(1020=1,1020=$B$174+1,AND($B$175&gt;0,1020=$B$175+1))),IF(AND($B$170=1,$B$66&gt;0,OR($B$175=0,1020&lt;=$B$175)),$B$66,IF($B$172-MAX(1020-1,$B$174)&gt;0,IF(B1420=0,0,IF(C1420=0,B1420/($B$172-MAX(1020-1,$B$174)),B1420*(C1420/12)/(1-(1+C1420/12)^(-($B$172-MAX(1020-1,$B$174)))))),"")),D1419)))+0.0000001&gt;=B1420*C1420/12,MIN(B1420*(1+C1420/12),IF(AND(1020&lt;=$B$174,1020&lt;=$B$173),B1420*C1420/12,IF(AND(1020=$B$173+1,AND(1020&gt;$B$173,$B$78="Refinance",ISNUMBER($B$80),$B$80&gt;=0,$B$80&lt;=1,ROUND($B$81*12,0)&gt;=1,$B$81&lt;=100,SUM($B$82)&gt;=0,SUM($B$82)&lt;=1,SUM($B$83)&gt;=0)),IF(B1420=0,0,IF(C1420=0,B1420/ROUND($B$81*12,0),B1420*(C1420/12)/(1-(1+C1420/12)^(-ROUND($B$81*12,0))))),IF(AND(NOT(AND(1020&gt;$B$173,$B$78="Refinance",ISNUMBER($B$80),$B$80&gt;=0,$B$80&lt;=1,ROUND($B$81*12,0)&gt;=1,$B$81&lt;=100,SUM($B$82)&gt;=0,SUM($B$82)&lt;=1,SUM($B$83)&gt;=0)),OR(1020=1,1020=$B$174+1,AND($B$175&gt;0,1020=$B$175+1))),IF(AND($B$170=1,$B$66&gt;0,OR($B$175=0,1020&lt;=$B$175)),$B$66,IF($B$172-MAX(1020-1,$B$174)&gt;0,IF(B1420=0,0,IF(C1420=0,B1420/($B$172-MAX(1020-1,$B$174)),B1420*(C1420/12)/(1-(1+C1420/12)^(-($B$172-MAX(1020-1,$B$174)))))),"")),D1419)))),""),""))</x:f>
        <x:v>0</x:v>
      </x:c>
      <x:c r="E1420" s="440" t="n">
        <x:f>IF(AND(1020=$B$173,ISNUMBER(D1420)),IF(MAX(0,B1420*(1+C1420/12)-D1420)&lt;MAX(0.0000001,$E$17*0.00000000001),0,MAX(0,B1420*(1+C1420/12)-D1420)),0)</x:f>
        <x:v>0</x:v>
      </x:c>
      <x:c r="F1420" s="440" t="n">
        <x:f>IF($B$78="Cash payoff",E1420,0)</x:f>
        <x:v>0</x:v>
      </x:c>
      <x:c r="G1420" s="440" t="n">
        <x:f>IF(AND(E1420&gt;0,AND($B$78="Refinance",ISNUMBER($B$80),$B$80&gt;=0,$B$80&lt;=1,ROUND($B$81*12,0)&gt;=1,$B$81&lt;=100,SUM($B$82)&gt;=0,SUM($B$82)&lt;=1,SUM($B$83)&gt;=0)),E1420*SUM($B$82)+SUM($B$83),0)</x:f>
        <x:v>0</x:v>
      </x:c>
      <x:c r="H1420" s="440" t="n">
        <x:f>IF(ISNUMBER(D1420),IF(MAX(0,B1420*(1+C1420/12)-D1420-F1420)&lt;MAX(0.0000001,$E$17*0.00000000001),0,MAX(0,B1420*(1+C1420/12)-D1420-F1420)),IF(AND($B$171=1,I1419=1),B1420,""))</x:f>
        <x:v>0</x:v>
      </x:c>
      <x:c r="I1420" s="444" t="n">
        <x:f>IF(OR(I1419=1,AND(E1420&gt;0,$B$78&lt;&gt;"Cash payoff",NOT(AND($B$78="Refinance",ISNUMBER($B$80),$B$80&gt;=0,$B$80&lt;=1,ROUND($B$81*12,0)&gt;=1,$B$81&lt;=100,SUM($B$82)&gt;=0,SUM($B$82)&lt;=1,SUM($B$83)&gt;=0))),AND(ISNUMBER(B1420),B1420&gt;0,$B$171=1,NOT(ISNUMBER(D1420)))),1,0)</x:f>
        <x:v>0</x:v>
      </x:c>
      <x:c r="J1420" s="440" t="n">
        <x:f>IF(ISNUMBER(L1419),L1419,"")</x:f>
        <x:v>0</x:v>
      </x:c>
      <x:c r="K1420" s="440" t="n">
        <x:f>IF(AND(ISNUMBER(J1420),J1420=0),0,IF(AND($B$176=1,ISNUMBER(J1420)),MIN(J1420*(1+$B$87/12),IF($B$86=0,0,IF($B$87=0,$B$86/ROUND($B$88*12,0),$B$86*($B$87/12)/(1-(1+$B$87/12)^(-ROUND($B$88*12,0)))))),""))</x:f>
        <x:v>0</x:v>
      </x:c>
      <x:c r="L1420" s="440" t="n">
        <x:f>IF(ISNUMBER(K1420),IF(MAX(0,J1420*(1+SUM($B$87)/12)-K1420)&lt;MAX(0.0000001,$B$86*0.00000000001),0,MAX(0,J1420*(1+SUM($B$87)/12)-K1420)),"")</x:f>
        <x:v>0</x:v>
      </x:c>
      <x:c r="M1420" s="440" t="n">
        <x:f>IF(AND(ISNUMBER(D1420),ISNUMBER(K1420)),D1420+K1420,"")</x:f>
        <x:v>0</x:v>
      </x:c>
      <x:c r="N1420" s="440" t="n">
        <x:f>IF(AND(ISNUMBER(H1420),ISNUMBER(L1420)),H1420+L1420,"")</x:f>
        <x:v>0</x:v>
      </x:c>
    </x:row>
    <x:row r="1421" ht="22" customHeight="1">
      <x:c r="A1421" s="254" t="n">
        <x:f>1021</x:f>
        <x:v>1021</x:v>
      </x:c>
      <x:c r="B1421" s="440" t="n">
        <x:f>IF(ISNUMBER(H1420),H1420,"")</x:f>
        <x:v>0</x:v>
      </x:c>
      <x:c r="C1421" s="442" t="n">
        <x:f>IF(ISNUMBER(B1421),IF(AND(1021&gt;$B$173,$B$78="Refinance",ISNUMBER($B$80),$B$80&gt;=0,$B$80&lt;=1,ROUND($B$81*12,0)&gt;=1,$B$81&lt;=100,SUM($B$82)&gt;=0,SUM($B$82)&lt;=1,SUM($B$83)&gt;=0),$B$80,IF(AND($B$175&gt;0,1021&gt;$B$175,ISNUMBER($B$75)),$B$75,$B$61)),"")</x:f>
        <x:v>0.0625</x:v>
      </x:c>
      <x:c r="D1421" s="440" t="n">
        <x:f>IF(AND(ISNUMBER(B1421),B1421=0),0,IF(AND($B$171=1,I1420=0,ISNUMBER(C1421),ISNUMBER(IF(AND(1021&lt;=$B$174,1021&lt;=$B$173),B1421*C1421/12,IF(AND(1021=$B$173+1,AND(1021&gt;$B$173,$B$78="Refinance",ISNUMBER($B$80),$B$80&gt;=0,$B$80&lt;=1,ROUND($B$81*12,0)&gt;=1,$B$81&lt;=100,SUM($B$82)&gt;=0,SUM($B$82)&lt;=1,SUM($B$83)&gt;=0)),IF(B1421=0,0,IF(C1421=0,B1421/ROUND($B$81*12,0),B1421*(C1421/12)/(1-(1+C1421/12)^(-ROUND($B$81*12,0))))),IF(AND(NOT(AND(1021&gt;$B$173,$B$78="Refinance",ISNUMBER($B$80),$B$80&gt;=0,$B$80&lt;=1,ROUND($B$81*12,0)&gt;=1,$B$81&lt;=100,SUM($B$82)&gt;=0,SUM($B$82)&lt;=1,SUM($B$83)&gt;=0)),OR(1021=1,1021=$B$174+1,AND($B$175&gt;0,1021=$B$175+1))),IF(AND($B$170=1,$B$66&gt;0,OR($B$175=0,1021&lt;=$B$175)),$B$66,IF($B$172-MAX(1021-1,$B$174)&gt;0,IF(B1421=0,0,IF(C1421=0,B1421/($B$172-MAX(1021-1,$B$174)),B1421*(C1421/12)/(1-(1+C1421/12)^(-($B$172-MAX(1021-1,$B$174)))))),"")),D1420))))),IF(IF(AND(1021&lt;=$B$174,1021&lt;=$B$173),B1421*C1421/12,IF(AND(1021=$B$173+1,AND(1021&gt;$B$173,$B$78="Refinance",ISNUMBER($B$80),$B$80&gt;=0,$B$80&lt;=1,ROUND($B$81*12,0)&gt;=1,$B$81&lt;=100,SUM($B$82)&gt;=0,SUM($B$82)&lt;=1,SUM($B$83)&gt;=0)),IF(B1421=0,0,IF(C1421=0,B1421/ROUND($B$81*12,0),B1421*(C1421/12)/(1-(1+C1421/12)^(-ROUND($B$81*12,0))))),IF(AND(NOT(AND(1021&gt;$B$173,$B$78="Refinance",ISNUMBER($B$80),$B$80&gt;=0,$B$80&lt;=1,ROUND($B$81*12,0)&gt;=1,$B$81&lt;=100,SUM($B$82)&gt;=0,SUM($B$82)&lt;=1,SUM($B$83)&gt;=0)),OR(1021=1,1021=$B$174+1,AND($B$175&gt;0,1021=$B$175+1))),IF(AND($B$170=1,$B$66&gt;0,OR($B$175=0,1021&lt;=$B$175)),$B$66,IF($B$172-MAX(1021-1,$B$174)&gt;0,IF(B1421=0,0,IF(C1421=0,B1421/($B$172-MAX(1021-1,$B$174)),B1421*(C1421/12)/(1-(1+C1421/12)^(-($B$172-MAX(1021-1,$B$174)))))),"")),D1420)))+0.0000001&gt;=B1421*C1421/12,MIN(B1421*(1+C1421/12),IF(AND(1021&lt;=$B$174,1021&lt;=$B$173),B1421*C1421/12,IF(AND(1021=$B$173+1,AND(1021&gt;$B$173,$B$78="Refinance",ISNUMBER($B$80),$B$80&gt;=0,$B$80&lt;=1,ROUND($B$81*12,0)&gt;=1,$B$81&lt;=100,SUM($B$82)&gt;=0,SUM($B$82)&lt;=1,SUM($B$83)&gt;=0)),IF(B1421=0,0,IF(C1421=0,B1421/ROUND($B$81*12,0),B1421*(C1421/12)/(1-(1+C1421/12)^(-ROUND($B$81*12,0))))),IF(AND(NOT(AND(1021&gt;$B$173,$B$78="Refinance",ISNUMBER($B$80),$B$80&gt;=0,$B$80&lt;=1,ROUND($B$81*12,0)&gt;=1,$B$81&lt;=100,SUM($B$82)&gt;=0,SUM($B$82)&lt;=1,SUM($B$83)&gt;=0)),OR(1021=1,1021=$B$174+1,AND($B$175&gt;0,1021=$B$175+1))),IF(AND($B$170=1,$B$66&gt;0,OR($B$175=0,1021&lt;=$B$175)),$B$66,IF($B$172-MAX(1021-1,$B$174)&gt;0,IF(B1421=0,0,IF(C1421=0,B1421/($B$172-MAX(1021-1,$B$174)),B1421*(C1421/12)/(1-(1+C1421/12)^(-($B$172-MAX(1021-1,$B$174)))))),"")),D1420)))),""),""))</x:f>
        <x:v>0</x:v>
      </x:c>
      <x:c r="E1421" s="440" t="n">
        <x:f>IF(AND(1021=$B$173,ISNUMBER(D1421)),IF(MAX(0,B1421*(1+C1421/12)-D1421)&lt;MAX(0.0000001,$E$17*0.00000000001),0,MAX(0,B1421*(1+C1421/12)-D1421)),0)</x:f>
        <x:v>0</x:v>
      </x:c>
      <x:c r="F1421" s="440" t="n">
        <x:f>IF($B$78="Cash payoff",E1421,0)</x:f>
        <x:v>0</x:v>
      </x:c>
      <x:c r="G1421" s="440" t="n">
        <x:f>IF(AND(E1421&gt;0,AND($B$78="Refinance",ISNUMBER($B$80),$B$80&gt;=0,$B$80&lt;=1,ROUND($B$81*12,0)&gt;=1,$B$81&lt;=100,SUM($B$82)&gt;=0,SUM($B$82)&lt;=1,SUM($B$83)&gt;=0)),E1421*SUM($B$82)+SUM($B$83),0)</x:f>
        <x:v>0</x:v>
      </x:c>
      <x:c r="H1421" s="440" t="n">
        <x:f>IF(ISNUMBER(D1421),IF(MAX(0,B1421*(1+C1421/12)-D1421-F1421)&lt;MAX(0.0000001,$E$17*0.00000000001),0,MAX(0,B1421*(1+C1421/12)-D1421-F1421)),IF(AND($B$171=1,I1420=1),B1421,""))</x:f>
        <x:v>0</x:v>
      </x:c>
      <x:c r="I1421" s="444" t="n">
        <x:f>IF(OR(I1420=1,AND(E1421&gt;0,$B$78&lt;&gt;"Cash payoff",NOT(AND($B$78="Refinance",ISNUMBER($B$80),$B$80&gt;=0,$B$80&lt;=1,ROUND($B$81*12,0)&gt;=1,$B$81&lt;=100,SUM($B$82)&gt;=0,SUM($B$82)&lt;=1,SUM($B$83)&gt;=0))),AND(ISNUMBER(B1421),B1421&gt;0,$B$171=1,NOT(ISNUMBER(D1421)))),1,0)</x:f>
        <x:v>0</x:v>
      </x:c>
      <x:c r="J1421" s="440" t="n">
        <x:f>IF(ISNUMBER(L1420),L1420,"")</x:f>
        <x:v>0</x:v>
      </x:c>
      <x:c r="K1421" s="440" t="n">
        <x:f>IF(AND(ISNUMBER(J1421),J1421=0),0,IF(AND($B$176=1,ISNUMBER(J1421)),MIN(J1421*(1+$B$87/12),IF($B$86=0,0,IF($B$87=0,$B$86/ROUND($B$88*12,0),$B$86*($B$87/12)/(1-(1+$B$87/12)^(-ROUND($B$88*12,0)))))),""))</x:f>
        <x:v>0</x:v>
      </x:c>
      <x:c r="L1421" s="440" t="n">
        <x:f>IF(ISNUMBER(K1421),IF(MAX(0,J1421*(1+SUM($B$87)/12)-K1421)&lt;MAX(0.0000001,$B$86*0.00000000001),0,MAX(0,J1421*(1+SUM($B$87)/12)-K1421)),"")</x:f>
        <x:v>0</x:v>
      </x:c>
      <x:c r="M1421" s="440" t="n">
        <x:f>IF(AND(ISNUMBER(D1421),ISNUMBER(K1421)),D1421+K1421,"")</x:f>
        <x:v>0</x:v>
      </x:c>
      <x:c r="N1421" s="440" t="n">
        <x:f>IF(AND(ISNUMBER(H1421),ISNUMBER(L1421)),H1421+L1421,"")</x:f>
        <x:v>0</x:v>
      </x:c>
    </x:row>
    <x:row r="1422" ht="22" customHeight="1">
      <x:c r="A1422" s="254" t="n">
        <x:f>1022</x:f>
        <x:v>1022</x:v>
      </x:c>
      <x:c r="B1422" s="440" t="n">
        <x:f>IF(ISNUMBER(H1421),H1421,"")</x:f>
        <x:v>0</x:v>
      </x:c>
      <x:c r="C1422" s="442" t="n">
        <x:f>IF(ISNUMBER(B1422),IF(AND(1022&gt;$B$173,$B$78="Refinance",ISNUMBER($B$80),$B$80&gt;=0,$B$80&lt;=1,ROUND($B$81*12,0)&gt;=1,$B$81&lt;=100,SUM($B$82)&gt;=0,SUM($B$82)&lt;=1,SUM($B$83)&gt;=0),$B$80,IF(AND($B$175&gt;0,1022&gt;$B$175,ISNUMBER($B$75)),$B$75,$B$61)),"")</x:f>
        <x:v>0.0625</x:v>
      </x:c>
      <x:c r="D1422" s="440" t="n">
        <x:f>IF(AND(ISNUMBER(B1422),B1422=0),0,IF(AND($B$171=1,I1421=0,ISNUMBER(C1422),ISNUMBER(IF(AND(1022&lt;=$B$174,1022&lt;=$B$173),B1422*C1422/12,IF(AND(1022=$B$173+1,AND(1022&gt;$B$173,$B$78="Refinance",ISNUMBER($B$80),$B$80&gt;=0,$B$80&lt;=1,ROUND($B$81*12,0)&gt;=1,$B$81&lt;=100,SUM($B$82)&gt;=0,SUM($B$82)&lt;=1,SUM($B$83)&gt;=0)),IF(B1422=0,0,IF(C1422=0,B1422/ROUND($B$81*12,0),B1422*(C1422/12)/(1-(1+C1422/12)^(-ROUND($B$81*12,0))))),IF(AND(NOT(AND(1022&gt;$B$173,$B$78="Refinance",ISNUMBER($B$80),$B$80&gt;=0,$B$80&lt;=1,ROUND($B$81*12,0)&gt;=1,$B$81&lt;=100,SUM($B$82)&gt;=0,SUM($B$82)&lt;=1,SUM($B$83)&gt;=0)),OR(1022=1,1022=$B$174+1,AND($B$175&gt;0,1022=$B$175+1))),IF(AND($B$170=1,$B$66&gt;0,OR($B$175=0,1022&lt;=$B$175)),$B$66,IF($B$172-MAX(1022-1,$B$174)&gt;0,IF(B1422=0,0,IF(C1422=0,B1422/($B$172-MAX(1022-1,$B$174)),B1422*(C1422/12)/(1-(1+C1422/12)^(-($B$172-MAX(1022-1,$B$174)))))),"")),D1421))))),IF(IF(AND(1022&lt;=$B$174,1022&lt;=$B$173),B1422*C1422/12,IF(AND(1022=$B$173+1,AND(1022&gt;$B$173,$B$78="Refinance",ISNUMBER($B$80),$B$80&gt;=0,$B$80&lt;=1,ROUND($B$81*12,0)&gt;=1,$B$81&lt;=100,SUM($B$82)&gt;=0,SUM($B$82)&lt;=1,SUM($B$83)&gt;=0)),IF(B1422=0,0,IF(C1422=0,B1422/ROUND($B$81*12,0),B1422*(C1422/12)/(1-(1+C1422/12)^(-ROUND($B$81*12,0))))),IF(AND(NOT(AND(1022&gt;$B$173,$B$78="Refinance",ISNUMBER($B$80),$B$80&gt;=0,$B$80&lt;=1,ROUND($B$81*12,0)&gt;=1,$B$81&lt;=100,SUM($B$82)&gt;=0,SUM($B$82)&lt;=1,SUM($B$83)&gt;=0)),OR(1022=1,1022=$B$174+1,AND($B$175&gt;0,1022=$B$175+1))),IF(AND($B$170=1,$B$66&gt;0,OR($B$175=0,1022&lt;=$B$175)),$B$66,IF($B$172-MAX(1022-1,$B$174)&gt;0,IF(B1422=0,0,IF(C1422=0,B1422/($B$172-MAX(1022-1,$B$174)),B1422*(C1422/12)/(1-(1+C1422/12)^(-($B$172-MAX(1022-1,$B$174)))))),"")),D1421)))+0.0000001&gt;=B1422*C1422/12,MIN(B1422*(1+C1422/12),IF(AND(1022&lt;=$B$174,1022&lt;=$B$173),B1422*C1422/12,IF(AND(1022=$B$173+1,AND(1022&gt;$B$173,$B$78="Refinance",ISNUMBER($B$80),$B$80&gt;=0,$B$80&lt;=1,ROUND($B$81*12,0)&gt;=1,$B$81&lt;=100,SUM($B$82)&gt;=0,SUM($B$82)&lt;=1,SUM($B$83)&gt;=0)),IF(B1422=0,0,IF(C1422=0,B1422/ROUND($B$81*12,0),B1422*(C1422/12)/(1-(1+C1422/12)^(-ROUND($B$81*12,0))))),IF(AND(NOT(AND(1022&gt;$B$173,$B$78="Refinance",ISNUMBER($B$80),$B$80&gt;=0,$B$80&lt;=1,ROUND($B$81*12,0)&gt;=1,$B$81&lt;=100,SUM($B$82)&gt;=0,SUM($B$82)&lt;=1,SUM($B$83)&gt;=0)),OR(1022=1,1022=$B$174+1,AND($B$175&gt;0,1022=$B$175+1))),IF(AND($B$170=1,$B$66&gt;0,OR($B$175=0,1022&lt;=$B$175)),$B$66,IF($B$172-MAX(1022-1,$B$174)&gt;0,IF(B1422=0,0,IF(C1422=0,B1422/($B$172-MAX(1022-1,$B$174)),B1422*(C1422/12)/(1-(1+C1422/12)^(-($B$172-MAX(1022-1,$B$174)))))),"")),D1421)))),""),""))</x:f>
        <x:v>0</x:v>
      </x:c>
      <x:c r="E1422" s="440" t="n">
        <x:f>IF(AND(1022=$B$173,ISNUMBER(D1422)),IF(MAX(0,B1422*(1+C1422/12)-D1422)&lt;MAX(0.0000001,$E$17*0.00000000001),0,MAX(0,B1422*(1+C1422/12)-D1422)),0)</x:f>
        <x:v>0</x:v>
      </x:c>
      <x:c r="F1422" s="440" t="n">
        <x:f>IF($B$78="Cash payoff",E1422,0)</x:f>
        <x:v>0</x:v>
      </x:c>
      <x:c r="G1422" s="440" t="n">
        <x:f>IF(AND(E1422&gt;0,AND($B$78="Refinance",ISNUMBER($B$80),$B$80&gt;=0,$B$80&lt;=1,ROUND($B$81*12,0)&gt;=1,$B$81&lt;=100,SUM($B$82)&gt;=0,SUM($B$82)&lt;=1,SUM($B$83)&gt;=0)),E1422*SUM($B$82)+SUM($B$83),0)</x:f>
        <x:v>0</x:v>
      </x:c>
      <x:c r="H1422" s="440" t="n">
        <x:f>IF(ISNUMBER(D1422),IF(MAX(0,B1422*(1+C1422/12)-D1422-F1422)&lt;MAX(0.0000001,$E$17*0.00000000001),0,MAX(0,B1422*(1+C1422/12)-D1422-F1422)),IF(AND($B$171=1,I1421=1),B1422,""))</x:f>
        <x:v>0</x:v>
      </x:c>
      <x:c r="I1422" s="444" t="n">
        <x:f>IF(OR(I1421=1,AND(E1422&gt;0,$B$78&lt;&gt;"Cash payoff",NOT(AND($B$78="Refinance",ISNUMBER($B$80),$B$80&gt;=0,$B$80&lt;=1,ROUND($B$81*12,0)&gt;=1,$B$81&lt;=100,SUM($B$82)&gt;=0,SUM($B$82)&lt;=1,SUM($B$83)&gt;=0))),AND(ISNUMBER(B1422),B1422&gt;0,$B$171=1,NOT(ISNUMBER(D1422)))),1,0)</x:f>
        <x:v>0</x:v>
      </x:c>
      <x:c r="J1422" s="440" t="n">
        <x:f>IF(ISNUMBER(L1421),L1421,"")</x:f>
        <x:v>0</x:v>
      </x:c>
      <x:c r="K1422" s="440" t="n">
        <x:f>IF(AND(ISNUMBER(J1422),J1422=0),0,IF(AND($B$176=1,ISNUMBER(J1422)),MIN(J1422*(1+$B$87/12),IF($B$86=0,0,IF($B$87=0,$B$86/ROUND($B$88*12,0),$B$86*($B$87/12)/(1-(1+$B$87/12)^(-ROUND($B$88*12,0)))))),""))</x:f>
        <x:v>0</x:v>
      </x:c>
      <x:c r="L1422" s="440" t="n">
        <x:f>IF(ISNUMBER(K1422),IF(MAX(0,J1422*(1+SUM($B$87)/12)-K1422)&lt;MAX(0.0000001,$B$86*0.00000000001),0,MAX(0,J1422*(1+SUM($B$87)/12)-K1422)),"")</x:f>
        <x:v>0</x:v>
      </x:c>
      <x:c r="M1422" s="440" t="n">
        <x:f>IF(AND(ISNUMBER(D1422),ISNUMBER(K1422)),D1422+K1422,"")</x:f>
        <x:v>0</x:v>
      </x:c>
      <x:c r="N1422" s="440" t="n">
        <x:f>IF(AND(ISNUMBER(H1422),ISNUMBER(L1422)),H1422+L1422,"")</x:f>
        <x:v>0</x:v>
      </x:c>
    </x:row>
    <x:row r="1423" ht="22" customHeight="1">
      <x:c r="A1423" s="254" t="n">
        <x:f>1023</x:f>
        <x:v>1023</x:v>
      </x:c>
      <x:c r="B1423" s="440" t="n">
        <x:f>IF(ISNUMBER(H1422),H1422,"")</x:f>
        <x:v>0</x:v>
      </x:c>
      <x:c r="C1423" s="442" t="n">
        <x:f>IF(ISNUMBER(B1423),IF(AND(1023&gt;$B$173,$B$78="Refinance",ISNUMBER($B$80),$B$80&gt;=0,$B$80&lt;=1,ROUND($B$81*12,0)&gt;=1,$B$81&lt;=100,SUM($B$82)&gt;=0,SUM($B$82)&lt;=1,SUM($B$83)&gt;=0),$B$80,IF(AND($B$175&gt;0,1023&gt;$B$175,ISNUMBER($B$75)),$B$75,$B$61)),"")</x:f>
        <x:v>0.0625</x:v>
      </x:c>
      <x:c r="D1423" s="440" t="n">
        <x:f>IF(AND(ISNUMBER(B1423),B1423=0),0,IF(AND($B$171=1,I1422=0,ISNUMBER(C1423),ISNUMBER(IF(AND(1023&lt;=$B$174,1023&lt;=$B$173),B1423*C1423/12,IF(AND(1023=$B$173+1,AND(1023&gt;$B$173,$B$78="Refinance",ISNUMBER($B$80),$B$80&gt;=0,$B$80&lt;=1,ROUND($B$81*12,0)&gt;=1,$B$81&lt;=100,SUM($B$82)&gt;=0,SUM($B$82)&lt;=1,SUM($B$83)&gt;=0)),IF(B1423=0,0,IF(C1423=0,B1423/ROUND($B$81*12,0),B1423*(C1423/12)/(1-(1+C1423/12)^(-ROUND($B$81*12,0))))),IF(AND(NOT(AND(1023&gt;$B$173,$B$78="Refinance",ISNUMBER($B$80),$B$80&gt;=0,$B$80&lt;=1,ROUND($B$81*12,0)&gt;=1,$B$81&lt;=100,SUM($B$82)&gt;=0,SUM($B$82)&lt;=1,SUM($B$83)&gt;=0)),OR(1023=1,1023=$B$174+1,AND($B$175&gt;0,1023=$B$175+1))),IF(AND($B$170=1,$B$66&gt;0,OR($B$175=0,1023&lt;=$B$175)),$B$66,IF($B$172-MAX(1023-1,$B$174)&gt;0,IF(B1423=0,0,IF(C1423=0,B1423/($B$172-MAX(1023-1,$B$174)),B1423*(C1423/12)/(1-(1+C1423/12)^(-($B$172-MAX(1023-1,$B$174)))))),"")),D1422))))),IF(IF(AND(1023&lt;=$B$174,1023&lt;=$B$173),B1423*C1423/12,IF(AND(1023=$B$173+1,AND(1023&gt;$B$173,$B$78="Refinance",ISNUMBER($B$80),$B$80&gt;=0,$B$80&lt;=1,ROUND($B$81*12,0)&gt;=1,$B$81&lt;=100,SUM($B$82)&gt;=0,SUM($B$82)&lt;=1,SUM($B$83)&gt;=0)),IF(B1423=0,0,IF(C1423=0,B1423/ROUND($B$81*12,0),B1423*(C1423/12)/(1-(1+C1423/12)^(-ROUND($B$81*12,0))))),IF(AND(NOT(AND(1023&gt;$B$173,$B$78="Refinance",ISNUMBER($B$80),$B$80&gt;=0,$B$80&lt;=1,ROUND($B$81*12,0)&gt;=1,$B$81&lt;=100,SUM($B$82)&gt;=0,SUM($B$82)&lt;=1,SUM($B$83)&gt;=0)),OR(1023=1,1023=$B$174+1,AND($B$175&gt;0,1023=$B$175+1))),IF(AND($B$170=1,$B$66&gt;0,OR($B$175=0,1023&lt;=$B$175)),$B$66,IF($B$172-MAX(1023-1,$B$174)&gt;0,IF(B1423=0,0,IF(C1423=0,B1423/($B$172-MAX(1023-1,$B$174)),B1423*(C1423/12)/(1-(1+C1423/12)^(-($B$172-MAX(1023-1,$B$174)))))),"")),D1422)))+0.0000001&gt;=B1423*C1423/12,MIN(B1423*(1+C1423/12),IF(AND(1023&lt;=$B$174,1023&lt;=$B$173),B1423*C1423/12,IF(AND(1023=$B$173+1,AND(1023&gt;$B$173,$B$78="Refinance",ISNUMBER($B$80),$B$80&gt;=0,$B$80&lt;=1,ROUND($B$81*12,0)&gt;=1,$B$81&lt;=100,SUM($B$82)&gt;=0,SUM($B$82)&lt;=1,SUM($B$83)&gt;=0)),IF(B1423=0,0,IF(C1423=0,B1423/ROUND($B$81*12,0),B1423*(C1423/12)/(1-(1+C1423/12)^(-ROUND($B$81*12,0))))),IF(AND(NOT(AND(1023&gt;$B$173,$B$78="Refinance",ISNUMBER($B$80),$B$80&gt;=0,$B$80&lt;=1,ROUND($B$81*12,0)&gt;=1,$B$81&lt;=100,SUM($B$82)&gt;=0,SUM($B$82)&lt;=1,SUM($B$83)&gt;=0)),OR(1023=1,1023=$B$174+1,AND($B$175&gt;0,1023=$B$175+1))),IF(AND($B$170=1,$B$66&gt;0,OR($B$175=0,1023&lt;=$B$175)),$B$66,IF($B$172-MAX(1023-1,$B$174)&gt;0,IF(B1423=0,0,IF(C1423=0,B1423/($B$172-MAX(1023-1,$B$174)),B1423*(C1423/12)/(1-(1+C1423/12)^(-($B$172-MAX(1023-1,$B$174)))))),"")),D1422)))),""),""))</x:f>
        <x:v>0</x:v>
      </x:c>
      <x:c r="E1423" s="440" t="n">
        <x:f>IF(AND(1023=$B$173,ISNUMBER(D1423)),IF(MAX(0,B1423*(1+C1423/12)-D1423)&lt;MAX(0.0000001,$E$17*0.00000000001),0,MAX(0,B1423*(1+C1423/12)-D1423)),0)</x:f>
        <x:v>0</x:v>
      </x:c>
      <x:c r="F1423" s="440" t="n">
        <x:f>IF($B$78="Cash payoff",E1423,0)</x:f>
        <x:v>0</x:v>
      </x:c>
      <x:c r="G1423" s="440" t="n">
        <x:f>IF(AND(E1423&gt;0,AND($B$78="Refinance",ISNUMBER($B$80),$B$80&gt;=0,$B$80&lt;=1,ROUND($B$81*12,0)&gt;=1,$B$81&lt;=100,SUM($B$82)&gt;=0,SUM($B$82)&lt;=1,SUM($B$83)&gt;=0)),E1423*SUM($B$82)+SUM($B$83),0)</x:f>
        <x:v>0</x:v>
      </x:c>
      <x:c r="H1423" s="440" t="n">
        <x:f>IF(ISNUMBER(D1423),IF(MAX(0,B1423*(1+C1423/12)-D1423-F1423)&lt;MAX(0.0000001,$E$17*0.00000000001),0,MAX(0,B1423*(1+C1423/12)-D1423-F1423)),IF(AND($B$171=1,I1422=1),B1423,""))</x:f>
        <x:v>0</x:v>
      </x:c>
      <x:c r="I1423" s="444" t="n">
        <x:f>IF(OR(I1422=1,AND(E1423&gt;0,$B$78&lt;&gt;"Cash payoff",NOT(AND($B$78="Refinance",ISNUMBER($B$80),$B$80&gt;=0,$B$80&lt;=1,ROUND($B$81*12,0)&gt;=1,$B$81&lt;=100,SUM($B$82)&gt;=0,SUM($B$82)&lt;=1,SUM($B$83)&gt;=0))),AND(ISNUMBER(B1423),B1423&gt;0,$B$171=1,NOT(ISNUMBER(D1423)))),1,0)</x:f>
        <x:v>0</x:v>
      </x:c>
      <x:c r="J1423" s="440" t="n">
        <x:f>IF(ISNUMBER(L1422),L1422,"")</x:f>
        <x:v>0</x:v>
      </x:c>
      <x:c r="K1423" s="440" t="n">
        <x:f>IF(AND(ISNUMBER(J1423),J1423=0),0,IF(AND($B$176=1,ISNUMBER(J1423)),MIN(J1423*(1+$B$87/12),IF($B$86=0,0,IF($B$87=0,$B$86/ROUND($B$88*12,0),$B$86*($B$87/12)/(1-(1+$B$87/12)^(-ROUND($B$88*12,0)))))),""))</x:f>
        <x:v>0</x:v>
      </x:c>
      <x:c r="L1423" s="440" t="n">
        <x:f>IF(ISNUMBER(K1423),IF(MAX(0,J1423*(1+SUM($B$87)/12)-K1423)&lt;MAX(0.0000001,$B$86*0.00000000001),0,MAX(0,J1423*(1+SUM($B$87)/12)-K1423)),"")</x:f>
        <x:v>0</x:v>
      </x:c>
      <x:c r="M1423" s="440" t="n">
        <x:f>IF(AND(ISNUMBER(D1423),ISNUMBER(K1423)),D1423+K1423,"")</x:f>
        <x:v>0</x:v>
      </x:c>
      <x:c r="N1423" s="440" t="n">
        <x:f>IF(AND(ISNUMBER(H1423),ISNUMBER(L1423)),H1423+L1423,"")</x:f>
        <x:v>0</x:v>
      </x:c>
    </x:row>
    <x:row r="1424" ht="22" customHeight="1">
      <x:c r="A1424" s="254" t="n">
        <x:f>1024</x:f>
        <x:v>1024</x:v>
      </x:c>
      <x:c r="B1424" s="440" t="n">
        <x:f>IF(ISNUMBER(H1423),H1423,"")</x:f>
        <x:v>0</x:v>
      </x:c>
      <x:c r="C1424" s="442" t="n">
        <x:f>IF(ISNUMBER(B1424),IF(AND(1024&gt;$B$173,$B$78="Refinance",ISNUMBER($B$80),$B$80&gt;=0,$B$80&lt;=1,ROUND($B$81*12,0)&gt;=1,$B$81&lt;=100,SUM($B$82)&gt;=0,SUM($B$82)&lt;=1,SUM($B$83)&gt;=0),$B$80,IF(AND($B$175&gt;0,1024&gt;$B$175,ISNUMBER($B$75)),$B$75,$B$61)),"")</x:f>
        <x:v>0.0625</x:v>
      </x:c>
      <x:c r="D1424" s="440" t="n">
        <x:f>IF(AND(ISNUMBER(B1424),B1424=0),0,IF(AND($B$171=1,I1423=0,ISNUMBER(C1424),ISNUMBER(IF(AND(1024&lt;=$B$174,1024&lt;=$B$173),B1424*C1424/12,IF(AND(1024=$B$173+1,AND(1024&gt;$B$173,$B$78="Refinance",ISNUMBER($B$80),$B$80&gt;=0,$B$80&lt;=1,ROUND($B$81*12,0)&gt;=1,$B$81&lt;=100,SUM($B$82)&gt;=0,SUM($B$82)&lt;=1,SUM($B$83)&gt;=0)),IF(B1424=0,0,IF(C1424=0,B1424/ROUND($B$81*12,0),B1424*(C1424/12)/(1-(1+C1424/12)^(-ROUND($B$81*12,0))))),IF(AND(NOT(AND(1024&gt;$B$173,$B$78="Refinance",ISNUMBER($B$80),$B$80&gt;=0,$B$80&lt;=1,ROUND($B$81*12,0)&gt;=1,$B$81&lt;=100,SUM($B$82)&gt;=0,SUM($B$82)&lt;=1,SUM($B$83)&gt;=0)),OR(1024=1,1024=$B$174+1,AND($B$175&gt;0,1024=$B$175+1))),IF(AND($B$170=1,$B$66&gt;0,OR($B$175=0,1024&lt;=$B$175)),$B$66,IF($B$172-MAX(1024-1,$B$174)&gt;0,IF(B1424=0,0,IF(C1424=0,B1424/($B$172-MAX(1024-1,$B$174)),B1424*(C1424/12)/(1-(1+C1424/12)^(-($B$172-MAX(1024-1,$B$174)))))),"")),D1423))))),IF(IF(AND(1024&lt;=$B$174,1024&lt;=$B$173),B1424*C1424/12,IF(AND(1024=$B$173+1,AND(1024&gt;$B$173,$B$78="Refinance",ISNUMBER($B$80),$B$80&gt;=0,$B$80&lt;=1,ROUND($B$81*12,0)&gt;=1,$B$81&lt;=100,SUM($B$82)&gt;=0,SUM($B$82)&lt;=1,SUM($B$83)&gt;=0)),IF(B1424=0,0,IF(C1424=0,B1424/ROUND($B$81*12,0),B1424*(C1424/12)/(1-(1+C1424/12)^(-ROUND($B$81*12,0))))),IF(AND(NOT(AND(1024&gt;$B$173,$B$78="Refinance",ISNUMBER($B$80),$B$80&gt;=0,$B$80&lt;=1,ROUND($B$81*12,0)&gt;=1,$B$81&lt;=100,SUM($B$82)&gt;=0,SUM($B$82)&lt;=1,SUM($B$83)&gt;=0)),OR(1024=1,1024=$B$174+1,AND($B$175&gt;0,1024=$B$175+1))),IF(AND($B$170=1,$B$66&gt;0,OR($B$175=0,1024&lt;=$B$175)),$B$66,IF($B$172-MAX(1024-1,$B$174)&gt;0,IF(B1424=0,0,IF(C1424=0,B1424/($B$172-MAX(1024-1,$B$174)),B1424*(C1424/12)/(1-(1+C1424/12)^(-($B$172-MAX(1024-1,$B$174)))))),"")),D1423)))+0.0000001&gt;=B1424*C1424/12,MIN(B1424*(1+C1424/12),IF(AND(1024&lt;=$B$174,1024&lt;=$B$173),B1424*C1424/12,IF(AND(1024=$B$173+1,AND(1024&gt;$B$173,$B$78="Refinance",ISNUMBER($B$80),$B$80&gt;=0,$B$80&lt;=1,ROUND($B$81*12,0)&gt;=1,$B$81&lt;=100,SUM($B$82)&gt;=0,SUM($B$82)&lt;=1,SUM($B$83)&gt;=0)),IF(B1424=0,0,IF(C1424=0,B1424/ROUND($B$81*12,0),B1424*(C1424/12)/(1-(1+C1424/12)^(-ROUND($B$81*12,0))))),IF(AND(NOT(AND(1024&gt;$B$173,$B$78="Refinance",ISNUMBER($B$80),$B$80&gt;=0,$B$80&lt;=1,ROUND($B$81*12,0)&gt;=1,$B$81&lt;=100,SUM($B$82)&gt;=0,SUM($B$82)&lt;=1,SUM($B$83)&gt;=0)),OR(1024=1,1024=$B$174+1,AND($B$175&gt;0,1024=$B$175+1))),IF(AND($B$170=1,$B$66&gt;0,OR($B$175=0,1024&lt;=$B$175)),$B$66,IF($B$172-MAX(1024-1,$B$174)&gt;0,IF(B1424=0,0,IF(C1424=0,B1424/($B$172-MAX(1024-1,$B$174)),B1424*(C1424/12)/(1-(1+C1424/12)^(-($B$172-MAX(1024-1,$B$174)))))),"")),D1423)))),""),""))</x:f>
        <x:v>0</x:v>
      </x:c>
      <x:c r="E1424" s="440" t="n">
        <x:f>IF(AND(1024=$B$173,ISNUMBER(D1424)),IF(MAX(0,B1424*(1+C1424/12)-D1424)&lt;MAX(0.0000001,$E$17*0.00000000001),0,MAX(0,B1424*(1+C1424/12)-D1424)),0)</x:f>
        <x:v>0</x:v>
      </x:c>
      <x:c r="F1424" s="440" t="n">
        <x:f>IF($B$78="Cash payoff",E1424,0)</x:f>
        <x:v>0</x:v>
      </x:c>
      <x:c r="G1424" s="440" t="n">
        <x:f>IF(AND(E1424&gt;0,AND($B$78="Refinance",ISNUMBER($B$80),$B$80&gt;=0,$B$80&lt;=1,ROUND($B$81*12,0)&gt;=1,$B$81&lt;=100,SUM($B$82)&gt;=0,SUM($B$82)&lt;=1,SUM($B$83)&gt;=0)),E1424*SUM($B$82)+SUM($B$83),0)</x:f>
        <x:v>0</x:v>
      </x:c>
      <x:c r="H1424" s="440" t="n">
        <x:f>IF(ISNUMBER(D1424),IF(MAX(0,B1424*(1+C1424/12)-D1424-F1424)&lt;MAX(0.0000001,$E$17*0.00000000001),0,MAX(0,B1424*(1+C1424/12)-D1424-F1424)),IF(AND($B$171=1,I1423=1),B1424,""))</x:f>
        <x:v>0</x:v>
      </x:c>
      <x:c r="I1424" s="444" t="n">
        <x:f>IF(OR(I1423=1,AND(E1424&gt;0,$B$78&lt;&gt;"Cash payoff",NOT(AND($B$78="Refinance",ISNUMBER($B$80),$B$80&gt;=0,$B$80&lt;=1,ROUND($B$81*12,0)&gt;=1,$B$81&lt;=100,SUM($B$82)&gt;=0,SUM($B$82)&lt;=1,SUM($B$83)&gt;=0))),AND(ISNUMBER(B1424),B1424&gt;0,$B$171=1,NOT(ISNUMBER(D1424)))),1,0)</x:f>
        <x:v>0</x:v>
      </x:c>
      <x:c r="J1424" s="440" t="n">
        <x:f>IF(ISNUMBER(L1423),L1423,"")</x:f>
        <x:v>0</x:v>
      </x:c>
      <x:c r="K1424" s="440" t="n">
        <x:f>IF(AND(ISNUMBER(J1424),J1424=0),0,IF(AND($B$176=1,ISNUMBER(J1424)),MIN(J1424*(1+$B$87/12),IF($B$86=0,0,IF($B$87=0,$B$86/ROUND($B$88*12,0),$B$86*($B$87/12)/(1-(1+$B$87/12)^(-ROUND($B$88*12,0)))))),""))</x:f>
        <x:v>0</x:v>
      </x:c>
      <x:c r="L1424" s="440" t="n">
        <x:f>IF(ISNUMBER(K1424),IF(MAX(0,J1424*(1+SUM($B$87)/12)-K1424)&lt;MAX(0.0000001,$B$86*0.00000000001),0,MAX(0,J1424*(1+SUM($B$87)/12)-K1424)),"")</x:f>
        <x:v>0</x:v>
      </x:c>
      <x:c r="M1424" s="440" t="n">
        <x:f>IF(AND(ISNUMBER(D1424),ISNUMBER(K1424)),D1424+K1424,"")</x:f>
        <x:v>0</x:v>
      </x:c>
      <x:c r="N1424" s="440" t="n">
        <x:f>IF(AND(ISNUMBER(H1424),ISNUMBER(L1424)),H1424+L1424,"")</x:f>
        <x:v>0</x:v>
      </x:c>
    </x:row>
    <x:row r="1425" ht="22" customHeight="1">
      <x:c r="A1425" s="254" t="n">
        <x:f>1025</x:f>
        <x:v>1025</x:v>
      </x:c>
      <x:c r="B1425" s="440" t="n">
        <x:f>IF(ISNUMBER(H1424),H1424,"")</x:f>
        <x:v>0</x:v>
      </x:c>
      <x:c r="C1425" s="442" t="n">
        <x:f>IF(ISNUMBER(B1425),IF(AND(1025&gt;$B$173,$B$78="Refinance",ISNUMBER($B$80),$B$80&gt;=0,$B$80&lt;=1,ROUND($B$81*12,0)&gt;=1,$B$81&lt;=100,SUM($B$82)&gt;=0,SUM($B$82)&lt;=1,SUM($B$83)&gt;=0),$B$80,IF(AND($B$175&gt;0,1025&gt;$B$175,ISNUMBER($B$75)),$B$75,$B$61)),"")</x:f>
        <x:v>0.0625</x:v>
      </x:c>
      <x:c r="D1425" s="440" t="n">
        <x:f>IF(AND(ISNUMBER(B1425),B1425=0),0,IF(AND($B$171=1,I1424=0,ISNUMBER(C1425),ISNUMBER(IF(AND(1025&lt;=$B$174,1025&lt;=$B$173),B1425*C1425/12,IF(AND(1025=$B$173+1,AND(1025&gt;$B$173,$B$78="Refinance",ISNUMBER($B$80),$B$80&gt;=0,$B$80&lt;=1,ROUND($B$81*12,0)&gt;=1,$B$81&lt;=100,SUM($B$82)&gt;=0,SUM($B$82)&lt;=1,SUM($B$83)&gt;=0)),IF(B1425=0,0,IF(C1425=0,B1425/ROUND($B$81*12,0),B1425*(C1425/12)/(1-(1+C1425/12)^(-ROUND($B$81*12,0))))),IF(AND(NOT(AND(1025&gt;$B$173,$B$78="Refinance",ISNUMBER($B$80),$B$80&gt;=0,$B$80&lt;=1,ROUND($B$81*12,0)&gt;=1,$B$81&lt;=100,SUM($B$82)&gt;=0,SUM($B$82)&lt;=1,SUM($B$83)&gt;=0)),OR(1025=1,1025=$B$174+1,AND($B$175&gt;0,1025=$B$175+1))),IF(AND($B$170=1,$B$66&gt;0,OR($B$175=0,1025&lt;=$B$175)),$B$66,IF($B$172-MAX(1025-1,$B$174)&gt;0,IF(B1425=0,0,IF(C1425=0,B1425/($B$172-MAX(1025-1,$B$174)),B1425*(C1425/12)/(1-(1+C1425/12)^(-($B$172-MAX(1025-1,$B$174)))))),"")),D1424))))),IF(IF(AND(1025&lt;=$B$174,1025&lt;=$B$173),B1425*C1425/12,IF(AND(1025=$B$173+1,AND(1025&gt;$B$173,$B$78="Refinance",ISNUMBER($B$80),$B$80&gt;=0,$B$80&lt;=1,ROUND($B$81*12,0)&gt;=1,$B$81&lt;=100,SUM($B$82)&gt;=0,SUM($B$82)&lt;=1,SUM($B$83)&gt;=0)),IF(B1425=0,0,IF(C1425=0,B1425/ROUND($B$81*12,0),B1425*(C1425/12)/(1-(1+C1425/12)^(-ROUND($B$81*12,0))))),IF(AND(NOT(AND(1025&gt;$B$173,$B$78="Refinance",ISNUMBER($B$80),$B$80&gt;=0,$B$80&lt;=1,ROUND($B$81*12,0)&gt;=1,$B$81&lt;=100,SUM($B$82)&gt;=0,SUM($B$82)&lt;=1,SUM($B$83)&gt;=0)),OR(1025=1,1025=$B$174+1,AND($B$175&gt;0,1025=$B$175+1))),IF(AND($B$170=1,$B$66&gt;0,OR($B$175=0,1025&lt;=$B$175)),$B$66,IF($B$172-MAX(1025-1,$B$174)&gt;0,IF(B1425=0,0,IF(C1425=0,B1425/($B$172-MAX(1025-1,$B$174)),B1425*(C1425/12)/(1-(1+C1425/12)^(-($B$172-MAX(1025-1,$B$174)))))),"")),D1424)))+0.0000001&gt;=B1425*C1425/12,MIN(B1425*(1+C1425/12),IF(AND(1025&lt;=$B$174,1025&lt;=$B$173),B1425*C1425/12,IF(AND(1025=$B$173+1,AND(1025&gt;$B$173,$B$78="Refinance",ISNUMBER($B$80),$B$80&gt;=0,$B$80&lt;=1,ROUND($B$81*12,0)&gt;=1,$B$81&lt;=100,SUM($B$82)&gt;=0,SUM($B$82)&lt;=1,SUM($B$83)&gt;=0)),IF(B1425=0,0,IF(C1425=0,B1425/ROUND($B$81*12,0),B1425*(C1425/12)/(1-(1+C1425/12)^(-ROUND($B$81*12,0))))),IF(AND(NOT(AND(1025&gt;$B$173,$B$78="Refinance",ISNUMBER($B$80),$B$80&gt;=0,$B$80&lt;=1,ROUND($B$81*12,0)&gt;=1,$B$81&lt;=100,SUM($B$82)&gt;=0,SUM($B$82)&lt;=1,SUM($B$83)&gt;=0)),OR(1025=1,1025=$B$174+1,AND($B$175&gt;0,1025=$B$175+1))),IF(AND($B$170=1,$B$66&gt;0,OR($B$175=0,1025&lt;=$B$175)),$B$66,IF($B$172-MAX(1025-1,$B$174)&gt;0,IF(B1425=0,0,IF(C1425=0,B1425/($B$172-MAX(1025-1,$B$174)),B1425*(C1425/12)/(1-(1+C1425/12)^(-($B$172-MAX(1025-1,$B$174)))))),"")),D1424)))),""),""))</x:f>
        <x:v>0</x:v>
      </x:c>
      <x:c r="E1425" s="440" t="n">
        <x:f>IF(AND(1025=$B$173,ISNUMBER(D1425)),IF(MAX(0,B1425*(1+C1425/12)-D1425)&lt;MAX(0.0000001,$E$17*0.00000000001),0,MAX(0,B1425*(1+C1425/12)-D1425)),0)</x:f>
        <x:v>0</x:v>
      </x:c>
      <x:c r="F1425" s="440" t="n">
        <x:f>IF($B$78="Cash payoff",E1425,0)</x:f>
        <x:v>0</x:v>
      </x:c>
      <x:c r="G1425" s="440" t="n">
        <x:f>IF(AND(E1425&gt;0,AND($B$78="Refinance",ISNUMBER($B$80),$B$80&gt;=0,$B$80&lt;=1,ROUND($B$81*12,0)&gt;=1,$B$81&lt;=100,SUM($B$82)&gt;=0,SUM($B$82)&lt;=1,SUM($B$83)&gt;=0)),E1425*SUM($B$82)+SUM($B$83),0)</x:f>
        <x:v>0</x:v>
      </x:c>
      <x:c r="H1425" s="440" t="n">
        <x:f>IF(ISNUMBER(D1425),IF(MAX(0,B1425*(1+C1425/12)-D1425-F1425)&lt;MAX(0.0000001,$E$17*0.00000000001),0,MAX(0,B1425*(1+C1425/12)-D1425-F1425)),IF(AND($B$171=1,I1424=1),B1425,""))</x:f>
        <x:v>0</x:v>
      </x:c>
      <x:c r="I1425" s="444" t="n">
        <x:f>IF(OR(I1424=1,AND(E1425&gt;0,$B$78&lt;&gt;"Cash payoff",NOT(AND($B$78="Refinance",ISNUMBER($B$80),$B$80&gt;=0,$B$80&lt;=1,ROUND($B$81*12,0)&gt;=1,$B$81&lt;=100,SUM($B$82)&gt;=0,SUM($B$82)&lt;=1,SUM($B$83)&gt;=0))),AND(ISNUMBER(B1425),B1425&gt;0,$B$171=1,NOT(ISNUMBER(D1425)))),1,0)</x:f>
        <x:v>0</x:v>
      </x:c>
      <x:c r="J1425" s="440" t="n">
        <x:f>IF(ISNUMBER(L1424),L1424,"")</x:f>
        <x:v>0</x:v>
      </x:c>
      <x:c r="K1425" s="440" t="n">
        <x:f>IF(AND(ISNUMBER(J1425),J1425=0),0,IF(AND($B$176=1,ISNUMBER(J1425)),MIN(J1425*(1+$B$87/12),IF($B$86=0,0,IF($B$87=0,$B$86/ROUND($B$88*12,0),$B$86*($B$87/12)/(1-(1+$B$87/12)^(-ROUND($B$88*12,0)))))),""))</x:f>
        <x:v>0</x:v>
      </x:c>
      <x:c r="L1425" s="440" t="n">
        <x:f>IF(ISNUMBER(K1425),IF(MAX(0,J1425*(1+SUM($B$87)/12)-K1425)&lt;MAX(0.0000001,$B$86*0.00000000001),0,MAX(0,J1425*(1+SUM($B$87)/12)-K1425)),"")</x:f>
        <x:v>0</x:v>
      </x:c>
      <x:c r="M1425" s="440" t="n">
        <x:f>IF(AND(ISNUMBER(D1425),ISNUMBER(K1425)),D1425+K1425,"")</x:f>
        <x:v>0</x:v>
      </x:c>
      <x:c r="N1425" s="440" t="n">
        <x:f>IF(AND(ISNUMBER(H1425),ISNUMBER(L1425)),H1425+L1425,"")</x:f>
        <x:v>0</x:v>
      </x:c>
    </x:row>
    <x:row r="1426" ht="22" customHeight="1">
      <x:c r="A1426" s="254" t="n">
        <x:f>1026</x:f>
        <x:v>1026</x:v>
      </x:c>
      <x:c r="B1426" s="440" t="n">
        <x:f>IF(ISNUMBER(H1425),H1425,"")</x:f>
        <x:v>0</x:v>
      </x:c>
      <x:c r="C1426" s="442" t="n">
        <x:f>IF(ISNUMBER(B1426),IF(AND(1026&gt;$B$173,$B$78="Refinance",ISNUMBER($B$80),$B$80&gt;=0,$B$80&lt;=1,ROUND($B$81*12,0)&gt;=1,$B$81&lt;=100,SUM($B$82)&gt;=0,SUM($B$82)&lt;=1,SUM($B$83)&gt;=0),$B$80,IF(AND($B$175&gt;0,1026&gt;$B$175,ISNUMBER($B$75)),$B$75,$B$61)),"")</x:f>
        <x:v>0.0625</x:v>
      </x:c>
      <x:c r="D1426" s="440" t="n">
        <x:f>IF(AND(ISNUMBER(B1426),B1426=0),0,IF(AND($B$171=1,I1425=0,ISNUMBER(C1426),ISNUMBER(IF(AND(1026&lt;=$B$174,1026&lt;=$B$173),B1426*C1426/12,IF(AND(1026=$B$173+1,AND(1026&gt;$B$173,$B$78="Refinance",ISNUMBER($B$80),$B$80&gt;=0,$B$80&lt;=1,ROUND($B$81*12,0)&gt;=1,$B$81&lt;=100,SUM($B$82)&gt;=0,SUM($B$82)&lt;=1,SUM($B$83)&gt;=0)),IF(B1426=0,0,IF(C1426=0,B1426/ROUND($B$81*12,0),B1426*(C1426/12)/(1-(1+C1426/12)^(-ROUND($B$81*12,0))))),IF(AND(NOT(AND(1026&gt;$B$173,$B$78="Refinance",ISNUMBER($B$80),$B$80&gt;=0,$B$80&lt;=1,ROUND($B$81*12,0)&gt;=1,$B$81&lt;=100,SUM($B$82)&gt;=0,SUM($B$82)&lt;=1,SUM($B$83)&gt;=0)),OR(1026=1,1026=$B$174+1,AND($B$175&gt;0,1026=$B$175+1))),IF(AND($B$170=1,$B$66&gt;0,OR($B$175=0,1026&lt;=$B$175)),$B$66,IF($B$172-MAX(1026-1,$B$174)&gt;0,IF(B1426=0,0,IF(C1426=0,B1426/($B$172-MAX(1026-1,$B$174)),B1426*(C1426/12)/(1-(1+C1426/12)^(-($B$172-MAX(1026-1,$B$174)))))),"")),D1425))))),IF(IF(AND(1026&lt;=$B$174,1026&lt;=$B$173),B1426*C1426/12,IF(AND(1026=$B$173+1,AND(1026&gt;$B$173,$B$78="Refinance",ISNUMBER($B$80),$B$80&gt;=0,$B$80&lt;=1,ROUND($B$81*12,0)&gt;=1,$B$81&lt;=100,SUM($B$82)&gt;=0,SUM($B$82)&lt;=1,SUM($B$83)&gt;=0)),IF(B1426=0,0,IF(C1426=0,B1426/ROUND($B$81*12,0),B1426*(C1426/12)/(1-(1+C1426/12)^(-ROUND($B$81*12,0))))),IF(AND(NOT(AND(1026&gt;$B$173,$B$78="Refinance",ISNUMBER($B$80),$B$80&gt;=0,$B$80&lt;=1,ROUND($B$81*12,0)&gt;=1,$B$81&lt;=100,SUM($B$82)&gt;=0,SUM($B$82)&lt;=1,SUM($B$83)&gt;=0)),OR(1026=1,1026=$B$174+1,AND($B$175&gt;0,1026=$B$175+1))),IF(AND($B$170=1,$B$66&gt;0,OR($B$175=0,1026&lt;=$B$175)),$B$66,IF($B$172-MAX(1026-1,$B$174)&gt;0,IF(B1426=0,0,IF(C1426=0,B1426/($B$172-MAX(1026-1,$B$174)),B1426*(C1426/12)/(1-(1+C1426/12)^(-($B$172-MAX(1026-1,$B$174)))))),"")),D1425)))+0.0000001&gt;=B1426*C1426/12,MIN(B1426*(1+C1426/12),IF(AND(1026&lt;=$B$174,1026&lt;=$B$173),B1426*C1426/12,IF(AND(1026=$B$173+1,AND(1026&gt;$B$173,$B$78="Refinance",ISNUMBER($B$80),$B$80&gt;=0,$B$80&lt;=1,ROUND($B$81*12,0)&gt;=1,$B$81&lt;=100,SUM($B$82)&gt;=0,SUM($B$82)&lt;=1,SUM($B$83)&gt;=0)),IF(B1426=0,0,IF(C1426=0,B1426/ROUND($B$81*12,0),B1426*(C1426/12)/(1-(1+C1426/12)^(-ROUND($B$81*12,0))))),IF(AND(NOT(AND(1026&gt;$B$173,$B$78="Refinance",ISNUMBER($B$80),$B$80&gt;=0,$B$80&lt;=1,ROUND($B$81*12,0)&gt;=1,$B$81&lt;=100,SUM($B$82)&gt;=0,SUM($B$82)&lt;=1,SUM($B$83)&gt;=0)),OR(1026=1,1026=$B$174+1,AND($B$175&gt;0,1026=$B$175+1))),IF(AND($B$170=1,$B$66&gt;0,OR($B$175=0,1026&lt;=$B$175)),$B$66,IF($B$172-MAX(1026-1,$B$174)&gt;0,IF(B1426=0,0,IF(C1426=0,B1426/($B$172-MAX(1026-1,$B$174)),B1426*(C1426/12)/(1-(1+C1426/12)^(-($B$172-MAX(1026-1,$B$174)))))),"")),D1425)))),""),""))</x:f>
        <x:v>0</x:v>
      </x:c>
      <x:c r="E1426" s="440" t="n">
        <x:f>IF(AND(1026=$B$173,ISNUMBER(D1426)),IF(MAX(0,B1426*(1+C1426/12)-D1426)&lt;MAX(0.0000001,$E$17*0.00000000001),0,MAX(0,B1426*(1+C1426/12)-D1426)),0)</x:f>
        <x:v>0</x:v>
      </x:c>
      <x:c r="F1426" s="440" t="n">
        <x:f>IF($B$78="Cash payoff",E1426,0)</x:f>
        <x:v>0</x:v>
      </x:c>
      <x:c r="G1426" s="440" t="n">
        <x:f>IF(AND(E1426&gt;0,AND($B$78="Refinance",ISNUMBER($B$80),$B$80&gt;=0,$B$80&lt;=1,ROUND($B$81*12,0)&gt;=1,$B$81&lt;=100,SUM($B$82)&gt;=0,SUM($B$82)&lt;=1,SUM($B$83)&gt;=0)),E1426*SUM($B$82)+SUM($B$83),0)</x:f>
        <x:v>0</x:v>
      </x:c>
      <x:c r="H1426" s="440" t="n">
        <x:f>IF(ISNUMBER(D1426),IF(MAX(0,B1426*(1+C1426/12)-D1426-F1426)&lt;MAX(0.0000001,$E$17*0.00000000001),0,MAX(0,B1426*(1+C1426/12)-D1426-F1426)),IF(AND($B$171=1,I1425=1),B1426,""))</x:f>
        <x:v>0</x:v>
      </x:c>
      <x:c r="I1426" s="444" t="n">
        <x:f>IF(OR(I1425=1,AND(E1426&gt;0,$B$78&lt;&gt;"Cash payoff",NOT(AND($B$78="Refinance",ISNUMBER($B$80),$B$80&gt;=0,$B$80&lt;=1,ROUND($B$81*12,0)&gt;=1,$B$81&lt;=100,SUM($B$82)&gt;=0,SUM($B$82)&lt;=1,SUM($B$83)&gt;=0))),AND(ISNUMBER(B1426),B1426&gt;0,$B$171=1,NOT(ISNUMBER(D1426)))),1,0)</x:f>
        <x:v>0</x:v>
      </x:c>
      <x:c r="J1426" s="440" t="n">
        <x:f>IF(ISNUMBER(L1425),L1425,"")</x:f>
        <x:v>0</x:v>
      </x:c>
      <x:c r="K1426" s="440" t="n">
        <x:f>IF(AND(ISNUMBER(J1426),J1426=0),0,IF(AND($B$176=1,ISNUMBER(J1426)),MIN(J1426*(1+$B$87/12),IF($B$86=0,0,IF($B$87=0,$B$86/ROUND($B$88*12,0),$B$86*($B$87/12)/(1-(1+$B$87/12)^(-ROUND($B$88*12,0)))))),""))</x:f>
        <x:v>0</x:v>
      </x:c>
      <x:c r="L1426" s="440" t="n">
        <x:f>IF(ISNUMBER(K1426),IF(MAX(0,J1426*(1+SUM($B$87)/12)-K1426)&lt;MAX(0.0000001,$B$86*0.00000000001),0,MAX(0,J1426*(1+SUM($B$87)/12)-K1426)),"")</x:f>
        <x:v>0</x:v>
      </x:c>
      <x:c r="M1426" s="440" t="n">
        <x:f>IF(AND(ISNUMBER(D1426),ISNUMBER(K1426)),D1426+K1426,"")</x:f>
        <x:v>0</x:v>
      </x:c>
      <x:c r="N1426" s="440" t="n">
        <x:f>IF(AND(ISNUMBER(H1426),ISNUMBER(L1426)),H1426+L1426,"")</x:f>
        <x:v>0</x:v>
      </x:c>
    </x:row>
    <x:row r="1427" ht="22" customHeight="1">
      <x:c r="A1427" s="254" t="n">
        <x:f>1027</x:f>
        <x:v>1027</x:v>
      </x:c>
      <x:c r="B1427" s="440" t="n">
        <x:f>IF(ISNUMBER(H1426),H1426,"")</x:f>
        <x:v>0</x:v>
      </x:c>
      <x:c r="C1427" s="442" t="n">
        <x:f>IF(ISNUMBER(B1427),IF(AND(1027&gt;$B$173,$B$78="Refinance",ISNUMBER($B$80),$B$80&gt;=0,$B$80&lt;=1,ROUND($B$81*12,0)&gt;=1,$B$81&lt;=100,SUM($B$82)&gt;=0,SUM($B$82)&lt;=1,SUM($B$83)&gt;=0),$B$80,IF(AND($B$175&gt;0,1027&gt;$B$175,ISNUMBER($B$75)),$B$75,$B$61)),"")</x:f>
        <x:v>0.0625</x:v>
      </x:c>
      <x:c r="D1427" s="440" t="n">
        <x:f>IF(AND(ISNUMBER(B1427),B1427=0),0,IF(AND($B$171=1,I1426=0,ISNUMBER(C1427),ISNUMBER(IF(AND(1027&lt;=$B$174,1027&lt;=$B$173),B1427*C1427/12,IF(AND(1027=$B$173+1,AND(1027&gt;$B$173,$B$78="Refinance",ISNUMBER($B$80),$B$80&gt;=0,$B$80&lt;=1,ROUND($B$81*12,0)&gt;=1,$B$81&lt;=100,SUM($B$82)&gt;=0,SUM($B$82)&lt;=1,SUM($B$83)&gt;=0)),IF(B1427=0,0,IF(C1427=0,B1427/ROUND($B$81*12,0),B1427*(C1427/12)/(1-(1+C1427/12)^(-ROUND($B$81*12,0))))),IF(AND(NOT(AND(1027&gt;$B$173,$B$78="Refinance",ISNUMBER($B$80),$B$80&gt;=0,$B$80&lt;=1,ROUND($B$81*12,0)&gt;=1,$B$81&lt;=100,SUM($B$82)&gt;=0,SUM($B$82)&lt;=1,SUM($B$83)&gt;=0)),OR(1027=1,1027=$B$174+1,AND($B$175&gt;0,1027=$B$175+1))),IF(AND($B$170=1,$B$66&gt;0,OR($B$175=0,1027&lt;=$B$175)),$B$66,IF($B$172-MAX(1027-1,$B$174)&gt;0,IF(B1427=0,0,IF(C1427=0,B1427/($B$172-MAX(1027-1,$B$174)),B1427*(C1427/12)/(1-(1+C1427/12)^(-($B$172-MAX(1027-1,$B$174)))))),"")),D1426))))),IF(IF(AND(1027&lt;=$B$174,1027&lt;=$B$173),B1427*C1427/12,IF(AND(1027=$B$173+1,AND(1027&gt;$B$173,$B$78="Refinance",ISNUMBER($B$80),$B$80&gt;=0,$B$80&lt;=1,ROUND($B$81*12,0)&gt;=1,$B$81&lt;=100,SUM($B$82)&gt;=0,SUM($B$82)&lt;=1,SUM($B$83)&gt;=0)),IF(B1427=0,0,IF(C1427=0,B1427/ROUND($B$81*12,0),B1427*(C1427/12)/(1-(1+C1427/12)^(-ROUND($B$81*12,0))))),IF(AND(NOT(AND(1027&gt;$B$173,$B$78="Refinance",ISNUMBER($B$80),$B$80&gt;=0,$B$80&lt;=1,ROUND($B$81*12,0)&gt;=1,$B$81&lt;=100,SUM($B$82)&gt;=0,SUM($B$82)&lt;=1,SUM($B$83)&gt;=0)),OR(1027=1,1027=$B$174+1,AND($B$175&gt;0,1027=$B$175+1))),IF(AND($B$170=1,$B$66&gt;0,OR($B$175=0,1027&lt;=$B$175)),$B$66,IF($B$172-MAX(1027-1,$B$174)&gt;0,IF(B1427=0,0,IF(C1427=0,B1427/($B$172-MAX(1027-1,$B$174)),B1427*(C1427/12)/(1-(1+C1427/12)^(-($B$172-MAX(1027-1,$B$174)))))),"")),D1426)))+0.0000001&gt;=B1427*C1427/12,MIN(B1427*(1+C1427/12),IF(AND(1027&lt;=$B$174,1027&lt;=$B$173),B1427*C1427/12,IF(AND(1027=$B$173+1,AND(1027&gt;$B$173,$B$78="Refinance",ISNUMBER($B$80),$B$80&gt;=0,$B$80&lt;=1,ROUND($B$81*12,0)&gt;=1,$B$81&lt;=100,SUM($B$82)&gt;=0,SUM($B$82)&lt;=1,SUM($B$83)&gt;=0)),IF(B1427=0,0,IF(C1427=0,B1427/ROUND($B$81*12,0),B1427*(C1427/12)/(1-(1+C1427/12)^(-ROUND($B$81*12,0))))),IF(AND(NOT(AND(1027&gt;$B$173,$B$78="Refinance",ISNUMBER($B$80),$B$80&gt;=0,$B$80&lt;=1,ROUND($B$81*12,0)&gt;=1,$B$81&lt;=100,SUM($B$82)&gt;=0,SUM($B$82)&lt;=1,SUM($B$83)&gt;=0)),OR(1027=1,1027=$B$174+1,AND($B$175&gt;0,1027=$B$175+1))),IF(AND($B$170=1,$B$66&gt;0,OR($B$175=0,1027&lt;=$B$175)),$B$66,IF($B$172-MAX(1027-1,$B$174)&gt;0,IF(B1427=0,0,IF(C1427=0,B1427/($B$172-MAX(1027-1,$B$174)),B1427*(C1427/12)/(1-(1+C1427/12)^(-($B$172-MAX(1027-1,$B$174)))))),"")),D1426)))),""),""))</x:f>
        <x:v>0</x:v>
      </x:c>
      <x:c r="E1427" s="440" t="n">
        <x:f>IF(AND(1027=$B$173,ISNUMBER(D1427)),IF(MAX(0,B1427*(1+C1427/12)-D1427)&lt;MAX(0.0000001,$E$17*0.00000000001),0,MAX(0,B1427*(1+C1427/12)-D1427)),0)</x:f>
        <x:v>0</x:v>
      </x:c>
      <x:c r="F1427" s="440" t="n">
        <x:f>IF($B$78="Cash payoff",E1427,0)</x:f>
        <x:v>0</x:v>
      </x:c>
      <x:c r="G1427" s="440" t="n">
        <x:f>IF(AND(E1427&gt;0,AND($B$78="Refinance",ISNUMBER($B$80),$B$80&gt;=0,$B$80&lt;=1,ROUND($B$81*12,0)&gt;=1,$B$81&lt;=100,SUM($B$82)&gt;=0,SUM($B$82)&lt;=1,SUM($B$83)&gt;=0)),E1427*SUM($B$82)+SUM($B$83),0)</x:f>
        <x:v>0</x:v>
      </x:c>
      <x:c r="H1427" s="440" t="n">
        <x:f>IF(ISNUMBER(D1427),IF(MAX(0,B1427*(1+C1427/12)-D1427-F1427)&lt;MAX(0.0000001,$E$17*0.00000000001),0,MAX(0,B1427*(1+C1427/12)-D1427-F1427)),IF(AND($B$171=1,I1426=1),B1427,""))</x:f>
        <x:v>0</x:v>
      </x:c>
      <x:c r="I1427" s="444" t="n">
        <x:f>IF(OR(I1426=1,AND(E1427&gt;0,$B$78&lt;&gt;"Cash payoff",NOT(AND($B$78="Refinance",ISNUMBER($B$80),$B$80&gt;=0,$B$80&lt;=1,ROUND($B$81*12,0)&gt;=1,$B$81&lt;=100,SUM($B$82)&gt;=0,SUM($B$82)&lt;=1,SUM($B$83)&gt;=0))),AND(ISNUMBER(B1427),B1427&gt;0,$B$171=1,NOT(ISNUMBER(D1427)))),1,0)</x:f>
        <x:v>0</x:v>
      </x:c>
      <x:c r="J1427" s="440" t="n">
        <x:f>IF(ISNUMBER(L1426),L1426,"")</x:f>
        <x:v>0</x:v>
      </x:c>
      <x:c r="K1427" s="440" t="n">
        <x:f>IF(AND(ISNUMBER(J1427),J1427=0),0,IF(AND($B$176=1,ISNUMBER(J1427)),MIN(J1427*(1+$B$87/12),IF($B$86=0,0,IF($B$87=0,$B$86/ROUND($B$88*12,0),$B$86*($B$87/12)/(1-(1+$B$87/12)^(-ROUND($B$88*12,0)))))),""))</x:f>
        <x:v>0</x:v>
      </x:c>
      <x:c r="L1427" s="440" t="n">
        <x:f>IF(ISNUMBER(K1427),IF(MAX(0,J1427*(1+SUM($B$87)/12)-K1427)&lt;MAX(0.0000001,$B$86*0.00000000001),0,MAX(0,J1427*(1+SUM($B$87)/12)-K1427)),"")</x:f>
        <x:v>0</x:v>
      </x:c>
      <x:c r="M1427" s="440" t="n">
        <x:f>IF(AND(ISNUMBER(D1427),ISNUMBER(K1427)),D1427+K1427,"")</x:f>
        <x:v>0</x:v>
      </x:c>
      <x:c r="N1427" s="440" t="n">
        <x:f>IF(AND(ISNUMBER(H1427),ISNUMBER(L1427)),H1427+L1427,"")</x:f>
        <x:v>0</x:v>
      </x:c>
    </x:row>
    <x:row r="1428" ht="22" customHeight="1">
      <x:c r="A1428" s="254" t="n">
        <x:f>1028</x:f>
        <x:v>1028</x:v>
      </x:c>
      <x:c r="B1428" s="440" t="n">
        <x:f>IF(ISNUMBER(H1427),H1427,"")</x:f>
        <x:v>0</x:v>
      </x:c>
      <x:c r="C1428" s="442" t="n">
        <x:f>IF(ISNUMBER(B1428),IF(AND(1028&gt;$B$173,$B$78="Refinance",ISNUMBER($B$80),$B$80&gt;=0,$B$80&lt;=1,ROUND($B$81*12,0)&gt;=1,$B$81&lt;=100,SUM($B$82)&gt;=0,SUM($B$82)&lt;=1,SUM($B$83)&gt;=0),$B$80,IF(AND($B$175&gt;0,1028&gt;$B$175,ISNUMBER($B$75)),$B$75,$B$61)),"")</x:f>
        <x:v>0.0625</x:v>
      </x:c>
      <x:c r="D1428" s="440" t="n">
        <x:f>IF(AND(ISNUMBER(B1428),B1428=0),0,IF(AND($B$171=1,I1427=0,ISNUMBER(C1428),ISNUMBER(IF(AND(1028&lt;=$B$174,1028&lt;=$B$173),B1428*C1428/12,IF(AND(1028=$B$173+1,AND(1028&gt;$B$173,$B$78="Refinance",ISNUMBER($B$80),$B$80&gt;=0,$B$80&lt;=1,ROUND($B$81*12,0)&gt;=1,$B$81&lt;=100,SUM($B$82)&gt;=0,SUM($B$82)&lt;=1,SUM($B$83)&gt;=0)),IF(B1428=0,0,IF(C1428=0,B1428/ROUND($B$81*12,0),B1428*(C1428/12)/(1-(1+C1428/12)^(-ROUND($B$81*12,0))))),IF(AND(NOT(AND(1028&gt;$B$173,$B$78="Refinance",ISNUMBER($B$80),$B$80&gt;=0,$B$80&lt;=1,ROUND($B$81*12,0)&gt;=1,$B$81&lt;=100,SUM($B$82)&gt;=0,SUM($B$82)&lt;=1,SUM($B$83)&gt;=0)),OR(1028=1,1028=$B$174+1,AND($B$175&gt;0,1028=$B$175+1))),IF(AND($B$170=1,$B$66&gt;0,OR($B$175=0,1028&lt;=$B$175)),$B$66,IF($B$172-MAX(1028-1,$B$174)&gt;0,IF(B1428=0,0,IF(C1428=0,B1428/($B$172-MAX(1028-1,$B$174)),B1428*(C1428/12)/(1-(1+C1428/12)^(-($B$172-MAX(1028-1,$B$174)))))),"")),D1427))))),IF(IF(AND(1028&lt;=$B$174,1028&lt;=$B$173),B1428*C1428/12,IF(AND(1028=$B$173+1,AND(1028&gt;$B$173,$B$78="Refinance",ISNUMBER($B$80),$B$80&gt;=0,$B$80&lt;=1,ROUND($B$81*12,0)&gt;=1,$B$81&lt;=100,SUM($B$82)&gt;=0,SUM($B$82)&lt;=1,SUM($B$83)&gt;=0)),IF(B1428=0,0,IF(C1428=0,B1428/ROUND($B$81*12,0),B1428*(C1428/12)/(1-(1+C1428/12)^(-ROUND($B$81*12,0))))),IF(AND(NOT(AND(1028&gt;$B$173,$B$78="Refinance",ISNUMBER($B$80),$B$80&gt;=0,$B$80&lt;=1,ROUND($B$81*12,0)&gt;=1,$B$81&lt;=100,SUM($B$82)&gt;=0,SUM($B$82)&lt;=1,SUM($B$83)&gt;=0)),OR(1028=1,1028=$B$174+1,AND($B$175&gt;0,1028=$B$175+1))),IF(AND($B$170=1,$B$66&gt;0,OR($B$175=0,1028&lt;=$B$175)),$B$66,IF($B$172-MAX(1028-1,$B$174)&gt;0,IF(B1428=0,0,IF(C1428=0,B1428/($B$172-MAX(1028-1,$B$174)),B1428*(C1428/12)/(1-(1+C1428/12)^(-($B$172-MAX(1028-1,$B$174)))))),"")),D1427)))+0.0000001&gt;=B1428*C1428/12,MIN(B1428*(1+C1428/12),IF(AND(1028&lt;=$B$174,1028&lt;=$B$173),B1428*C1428/12,IF(AND(1028=$B$173+1,AND(1028&gt;$B$173,$B$78="Refinance",ISNUMBER($B$80),$B$80&gt;=0,$B$80&lt;=1,ROUND($B$81*12,0)&gt;=1,$B$81&lt;=100,SUM($B$82)&gt;=0,SUM($B$82)&lt;=1,SUM($B$83)&gt;=0)),IF(B1428=0,0,IF(C1428=0,B1428/ROUND($B$81*12,0),B1428*(C1428/12)/(1-(1+C1428/12)^(-ROUND($B$81*12,0))))),IF(AND(NOT(AND(1028&gt;$B$173,$B$78="Refinance",ISNUMBER($B$80),$B$80&gt;=0,$B$80&lt;=1,ROUND($B$81*12,0)&gt;=1,$B$81&lt;=100,SUM($B$82)&gt;=0,SUM($B$82)&lt;=1,SUM($B$83)&gt;=0)),OR(1028=1,1028=$B$174+1,AND($B$175&gt;0,1028=$B$175+1))),IF(AND($B$170=1,$B$66&gt;0,OR($B$175=0,1028&lt;=$B$175)),$B$66,IF($B$172-MAX(1028-1,$B$174)&gt;0,IF(B1428=0,0,IF(C1428=0,B1428/($B$172-MAX(1028-1,$B$174)),B1428*(C1428/12)/(1-(1+C1428/12)^(-($B$172-MAX(1028-1,$B$174)))))),"")),D1427)))),""),""))</x:f>
        <x:v>0</x:v>
      </x:c>
      <x:c r="E1428" s="440" t="n">
        <x:f>IF(AND(1028=$B$173,ISNUMBER(D1428)),IF(MAX(0,B1428*(1+C1428/12)-D1428)&lt;MAX(0.0000001,$E$17*0.00000000001),0,MAX(0,B1428*(1+C1428/12)-D1428)),0)</x:f>
        <x:v>0</x:v>
      </x:c>
      <x:c r="F1428" s="440" t="n">
        <x:f>IF($B$78="Cash payoff",E1428,0)</x:f>
        <x:v>0</x:v>
      </x:c>
      <x:c r="G1428" s="440" t="n">
        <x:f>IF(AND(E1428&gt;0,AND($B$78="Refinance",ISNUMBER($B$80),$B$80&gt;=0,$B$80&lt;=1,ROUND($B$81*12,0)&gt;=1,$B$81&lt;=100,SUM($B$82)&gt;=0,SUM($B$82)&lt;=1,SUM($B$83)&gt;=0)),E1428*SUM($B$82)+SUM($B$83),0)</x:f>
        <x:v>0</x:v>
      </x:c>
      <x:c r="H1428" s="440" t="n">
        <x:f>IF(ISNUMBER(D1428),IF(MAX(0,B1428*(1+C1428/12)-D1428-F1428)&lt;MAX(0.0000001,$E$17*0.00000000001),0,MAX(0,B1428*(1+C1428/12)-D1428-F1428)),IF(AND($B$171=1,I1427=1),B1428,""))</x:f>
        <x:v>0</x:v>
      </x:c>
      <x:c r="I1428" s="444" t="n">
        <x:f>IF(OR(I1427=1,AND(E1428&gt;0,$B$78&lt;&gt;"Cash payoff",NOT(AND($B$78="Refinance",ISNUMBER($B$80),$B$80&gt;=0,$B$80&lt;=1,ROUND($B$81*12,0)&gt;=1,$B$81&lt;=100,SUM($B$82)&gt;=0,SUM($B$82)&lt;=1,SUM($B$83)&gt;=0))),AND(ISNUMBER(B1428),B1428&gt;0,$B$171=1,NOT(ISNUMBER(D1428)))),1,0)</x:f>
        <x:v>0</x:v>
      </x:c>
      <x:c r="J1428" s="440" t="n">
        <x:f>IF(ISNUMBER(L1427),L1427,"")</x:f>
        <x:v>0</x:v>
      </x:c>
      <x:c r="K1428" s="440" t="n">
        <x:f>IF(AND(ISNUMBER(J1428),J1428=0),0,IF(AND($B$176=1,ISNUMBER(J1428)),MIN(J1428*(1+$B$87/12),IF($B$86=0,0,IF($B$87=0,$B$86/ROUND($B$88*12,0),$B$86*($B$87/12)/(1-(1+$B$87/12)^(-ROUND($B$88*12,0)))))),""))</x:f>
        <x:v>0</x:v>
      </x:c>
      <x:c r="L1428" s="440" t="n">
        <x:f>IF(ISNUMBER(K1428),IF(MAX(0,J1428*(1+SUM($B$87)/12)-K1428)&lt;MAX(0.0000001,$B$86*0.00000000001),0,MAX(0,J1428*(1+SUM($B$87)/12)-K1428)),"")</x:f>
        <x:v>0</x:v>
      </x:c>
      <x:c r="M1428" s="440" t="n">
        <x:f>IF(AND(ISNUMBER(D1428),ISNUMBER(K1428)),D1428+K1428,"")</x:f>
        <x:v>0</x:v>
      </x:c>
      <x:c r="N1428" s="440" t="n">
        <x:f>IF(AND(ISNUMBER(H1428),ISNUMBER(L1428)),H1428+L1428,"")</x:f>
        <x:v>0</x:v>
      </x:c>
    </x:row>
    <x:row r="1429" ht="22" customHeight="1">
      <x:c r="A1429" s="254" t="n">
        <x:f>1029</x:f>
        <x:v>1029</x:v>
      </x:c>
      <x:c r="B1429" s="440" t="n">
        <x:f>IF(ISNUMBER(H1428),H1428,"")</x:f>
        <x:v>0</x:v>
      </x:c>
      <x:c r="C1429" s="442" t="n">
        <x:f>IF(ISNUMBER(B1429),IF(AND(1029&gt;$B$173,$B$78="Refinance",ISNUMBER($B$80),$B$80&gt;=0,$B$80&lt;=1,ROUND($B$81*12,0)&gt;=1,$B$81&lt;=100,SUM($B$82)&gt;=0,SUM($B$82)&lt;=1,SUM($B$83)&gt;=0),$B$80,IF(AND($B$175&gt;0,1029&gt;$B$175,ISNUMBER($B$75)),$B$75,$B$61)),"")</x:f>
        <x:v>0.0625</x:v>
      </x:c>
      <x:c r="D1429" s="440" t="n">
        <x:f>IF(AND(ISNUMBER(B1429),B1429=0),0,IF(AND($B$171=1,I1428=0,ISNUMBER(C1429),ISNUMBER(IF(AND(1029&lt;=$B$174,1029&lt;=$B$173),B1429*C1429/12,IF(AND(1029=$B$173+1,AND(1029&gt;$B$173,$B$78="Refinance",ISNUMBER($B$80),$B$80&gt;=0,$B$80&lt;=1,ROUND($B$81*12,0)&gt;=1,$B$81&lt;=100,SUM($B$82)&gt;=0,SUM($B$82)&lt;=1,SUM($B$83)&gt;=0)),IF(B1429=0,0,IF(C1429=0,B1429/ROUND($B$81*12,0),B1429*(C1429/12)/(1-(1+C1429/12)^(-ROUND($B$81*12,0))))),IF(AND(NOT(AND(1029&gt;$B$173,$B$78="Refinance",ISNUMBER($B$80),$B$80&gt;=0,$B$80&lt;=1,ROUND($B$81*12,0)&gt;=1,$B$81&lt;=100,SUM($B$82)&gt;=0,SUM($B$82)&lt;=1,SUM($B$83)&gt;=0)),OR(1029=1,1029=$B$174+1,AND($B$175&gt;0,1029=$B$175+1))),IF(AND($B$170=1,$B$66&gt;0,OR($B$175=0,1029&lt;=$B$175)),$B$66,IF($B$172-MAX(1029-1,$B$174)&gt;0,IF(B1429=0,0,IF(C1429=0,B1429/($B$172-MAX(1029-1,$B$174)),B1429*(C1429/12)/(1-(1+C1429/12)^(-($B$172-MAX(1029-1,$B$174)))))),"")),D1428))))),IF(IF(AND(1029&lt;=$B$174,1029&lt;=$B$173),B1429*C1429/12,IF(AND(1029=$B$173+1,AND(1029&gt;$B$173,$B$78="Refinance",ISNUMBER($B$80),$B$80&gt;=0,$B$80&lt;=1,ROUND($B$81*12,0)&gt;=1,$B$81&lt;=100,SUM($B$82)&gt;=0,SUM($B$82)&lt;=1,SUM($B$83)&gt;=0)),IF(B1429=0,0,IF(C1429=0,B1429/ROUND($B$81*12,0),B1429*(C1429/12)/(1-(1+C1429/12)^(-ROUND($B$81*12,0))))),IF(AND(NOT(AND(1029&gt;$B$173,$B$78="Refinance",ISNUMBER($B$80),$B$80&gt;=0,$B$80&lt;=1,ROUND($B$81*12,0)&gt;=1,$B$81&lt;=100,SUM($B$82)&gt;=0,SUM($B$82)&lt;=1,SUM($B$83)&gt;=0)),OR(1029=1,1029=$B$174+1,AND($B$175&gt;0,1029=$B$175+1))),IF(AND($B$170=1,$B$66&gt;0,OR($B$175=0,1029&lt;=$B$175)),$B$66,IF($B$172-MAX(1029-1,$B$174)&gt;0,IF(B1429=0,0,IF(C1429=0,B1429/($B$172-MAX(1029-1,$B$174)),B1429*(C1429/12)/(1-(1+C1429/12)^(-($B$172-MAX(1029-1,$B$174)))))),"")),D1428)))+0.0000001&gt;=B1429*C1429/12,MIN(B1429*(1+C1429/12),IF(AND(1029&lt;=$B$174,1029&lt;=$B$173),B1429*C1429/12,IF(AND(1029=$B$173+1,AND(1029&gt;$B$173,$B$78="Refinance",ISNUMBER($B$80),$B$80&gt;=0,$B$80&lt;=1,ROUND($B$81*12,0)&gt;=1,$B$81&lt;=100,SUM($B$82)&gt;=0,SUM($B$82)&lt;=1,SUM($B$83)&gt;=0)),IF(B1429=0,0,IF(C1429=0,B1429/ROUND($B$81*12,0),B1429*(C1429/12)/(1-(1+C1429/12)^(-ROUND($B$81*12,0))))),IF(AND(NOT(AND(1029&gt;$B$173,$B$78="Refinance",ISNUMBER($B$80),$B$80&gt;=0,$B$80&lt;=1,ROUND($B$81*12,0)&gt;=1,$B$81&lt;=100,SUM($B$82)&gt;=0,SUM($B$82)&lt;=1,SUM($B$83)&gt;=0)),OR(1029=1,1029=$B$174+1,AND($B$175&gt;0,1029=$B$175+1))),IF(AND($B$170=1,$B$66&gt;0,OR($B$175=0,1029&lt;=$B$175)),$B$66,IF($B$172-MAX(1029-1,$B$174)&gt;0,IF(B1429=0,0,IF(C1429=0,B1429/($B$172-MAX(1029-1,$B$174)),B1429*(C1429/12)/(1-(1+C1429/12)^(-($B$172-MAX(1029-1,$B$174)))))),"")),D1428)))),""),""))</x:f>
        <x:v>0</x:v>
      </x:c>
      <x:c r="E1429" s="440" t="n">
        <x:f>IF(AND(1029=$B$173,ISNUMBER(D1429)),IF(MAX(0,B1429*(1+C1429/12)-D1429)&lt;MAX(0.0000001,$E$17*0.00000000001),0,MAX(0,B1429*(1+C1429/12)-D1429)),0)</x:f>
        <x:v>0</x:v>
      </x:c>
      <x:c r="F1429" s="440" t="n">
        <x:f>IF($B$78="Cash payoff",E1429,0)</x:f>
        <x:v>0</x:v>
      </x:c>
      <x:c r="G1429" s="440" t="n">
        <x:f>IF(AND(E1429&gt;0,AND($B$78="Refinance",ISNUMBER($B$80),$B$80&gt;=0,$B$80&lt;=1,ROUND($B$81*12,0)&gt;=1,$B$81&lt;=100,SUM($B$82)&gt;=0,SUM($B$82)&lt;=1,SUM($B$83)&gt;=0)),E1429*SUM($B$82)+SUM($B$83),0)</x:f>
        <x:v>0</x:v>
      </x:c>
      <x:c r="H1429" s="440" t="n">
        <x:f>IF(ISNUMBER(D1429),IF(MAX(0,B1429*(1+C1429/12)-D1429-F1429)&lt;MAX(0.0000001,$E$17*0.00000000001),0,MAX(0,B1429*(1+C1429/12)-D1429-F1429)),IF(AND($B$171=1,I1428=1),B1429,""))</x:f>
        <x:v>0</x:v>
      </x:c>
      <x:c r="I1429" s="444" t="n">
        <x:f>IF(OR(I1428=1,AND(E1429&gt;0,$B$78&lt;&gt;"Cash payoff",NOT(AND($B$78="Refinance",ISNUMBER($B$80),$B$80&gt;=0,$B$80&lt;=1,ROUND($B$81*12,0)&gt;=1,$B$81&lt;=100,SUM($B$82)&gt;=0,SUM($B$82)&lt;=1,SUM($B$83)&gt;=0))),AND(ISNUMBER(B1429),B1429&gt;0,$B$171=1,NOT(ISNUMBER(D1429)))),1,0)</x:f>
        <x:v>0</x:v>
      </x:c>
      <x:c r="J1429" s="440" t="n">
        <x:f>IF(ISNUMBER(L1428),L1428,"")</x:f>
        <x:v>0</x:v>
      </x:c>
      <x:c r="K1429" s="440" t="n">
        <x:f>IF(AND(ISNUMBER(J1429),J1429=0),0,IF(AND($B$176=1,ISNUMBER(J1429)),MIN(J1429*(1+$B$87/12),IF($B$86=0,0,IF($B$87=0,$B$86/ROUND($B$88*12,0),$B$86*($B$87/12)/(1-(1+$B$87/12)^(-ROUND($B$88*12,0)))))),""))</x:f>
        <x:v>0</x:v>
      </x:c>
      <x:c r="L1429" s="440" t="n">
        <x:f>IF(ISNUMBER(K1429),IF(MAX(0,J1429*(1+SUM($B$87)/12)-K1429)&lt;MAX(0.0000001,$B$86*0.00000000001),0,MAX(0,J1429*(1+SUM($B$87)/12)-K1429)),"")</x:f>
        <x:v>0</x:v>
      </x:c>
      <x:c r="M1429" s="440" t="n">
        <x:f>IF(AND(ISNUMBER(D1429),ISNUMBER(K1429)),D1429+K1429,"")</x:f>
        <x:v>0</x:v>
      </x:c>
      <x:c r="N1429" s="440" t="n">
        <x:f>IF(AND(ISNUMBER(H1429),ISNUMBER(L1429)),H1429+L1429,"")</x:f>
        <x:v>0</x:v>
      </x:c>
    </x:row>
    <x:row r="1430" ht="22" customHeight="1">
      <x:c r="A1430" s="254" t="n">
        <x:f>1030</x:f>
        <x:v>1030</x:v>
      </x:c>
      <x:c r="B1430" s="440" t="n">
        <x:f>IF(ISNUMBER(H1429),H1429,"")</x:f>
        <x:v>0</x:v>
      </x:c>
      <x:c r="C1430" s="442" t="n">
        <x:f>IF(ISNUMBER(B1430),IF(AND(1030&gt;$B$173,$B$78="Refinance",ISNUMBER($B$80),$B$80&gt;=0,$B$80&lt;=1,ROUND($B$81*12,0)&gt;=1,$B$81&lt;=100,SUM($B$82)&gt;=0,SUM($B$82)&lt;=1,SUM($B$83)&gt;=0),$B$80,IF(AND($B$175&gt;0,1030&gt;$B$175,ISNUMBER($B$75)),$B$75,$B$61)),"")</x:f>
        <x:v>0.0625</x:v>
      </x:c>
      <x:c r="D1430" s="440" t="n">
        <x:f>IF(AND(ISNUMBER(B1430),B1430=0),0,IF(AND($B$171=1,I1429=0,ISNUMBER(C1430),ISNUMBER(IF(AND(1030&lt;=$B$174,1030&lt;=$B$173),B1430*C1430/12,IF(AND(1030=$B$173+1,AND(1030&gt;$B$173,$B$78="Refinance",ISNUMBER($B$80),$B$80&gt;=0,$B$80&lt;=1,ROUND($B$81*12,0)&gt;=1,$B$81&lt;=100,SUM($B$82)&gt;=0,SUM($B$82)&lt;=1,SUM($B$83)&gt;=0)),IF(B1430=0,0,IF(C1430=0,B1430/ROUND($B$81*12,0),B1430*(C1430/12)/(1-(1+C1430/12)^(-ROUND($B$81*12,0))))),IF(AND(NOT(AND(1030&gt;$B$173,$B$78="Refinance",ISNUMBER($B$80),$B$80&gt;=0,$B$80&lt;=1,ROUND($B$81*12,0)&gt;=1,$B$81&lt;=100,SUM($B$82)&gt;=0,SUM($B$82)&lt;=1,SUM($B$83)&gt;=0)),OR(1030=1,1030=$B$174+1,AND($B$175&gt;0,1030=$B$175+1))),IF(AND($B$170=1,$B$66&gt;0,OR($B$175=0,1030&lt;=$B$175)),$B$66,IF($B$172-MAX(1030-1,$B$174)&gt;0,IF(B1430=0,0,IF(C1430=0,B1430/($B$172-MAX(1030-1,$B$174)),B1430*(C1430/12)/(1-(1+C1430/12)^(-($B$172-MAX(1030-1,$B$174)))))),"")),D1429))))),IF(IF(AND(1030&lt;=$B$174,1030&lt;=$B$173),B1430*C1430/12,IF(AND(1030=$B$173+1,AND(1030&gt;$B$173,$B$78="Refinance",ISNUMBER($B$80),$B$80&gt;=0,$B$80&lt;=1,ROUND($B$81*12,0)&gt;=1,$B$81&lt;=100,SUM($B$82)&gt;=0,SUM($B$82)&lt;=1,SUM($B$83)&gt;=0)),IF(B1430=0,0,IF(C1430=0,B1430/ROUND($B$81*12,0),B1430*(C1430/12)/(1-(1+C1430/12)^(-ROUND($B$81*12,0))))),IF(AND(NOT(AND(1030&gt;$B$173,$B$78="Refinance",ISNUMBER($B$80),$B$80&gt;=0,$B$80&lt;=1,ROUND($B$81*12,0)&gt;=1,$B$81&lt;=100,SUM($B$82)&gt;=0,SUM($B$82)&lt;=1,SUM($B$83)&gt;=0)),OR(1030=1,1030=$B$174+1,AND($B$175&gt;0,1030=$B$175+1))),IF(AND($B$170=1,$B$66&gt;0,OR($B$175=0,1030&lt;=$B$175)),$B$66,IF($B$172-MAX(1030-1,$B$174)&gt;0,IF(B1430=0,0,IF(C1430=0,B1430/($B$172-MAX(1030-1,$B$174)),B1430*(C1430/12)/(1-(1+C1430/12)^(-($B$172-MAX(1030-1,$B$174)))))),"")),D1429)))+0.0000001&gt;=B1430*C1430/12,MIN(B1430*(1+C1430/12),IF(AND(1030&lt;=$B$174,1030&lt;=$B$173),B1430*C1430/12,IF(AND(1030=$B$173+1,AND(1030&gt;$B$173,$B$78="Refinance",ISNUMBER($B$80),$B$80&gt;=0,$B$80&lt;=1,ROUND($B$81*12,0)&gt;=1,$B$81&lt;=100,SUM($B$82)&gt;=0,SUM($B$82)&lt;=1,SUM($B$83)&gt;=0)),IF(B1430=0,0,IF(C1430=0,B1430/ROUND($B$81*12,0),B1430*(C1430/12)/(1-(1+C1430/12)^(-ROUND($B$81*12,0))))),IF(AND(NOT(AND(1030&gt;$B$173,$B$78="Refinance",ISNUMBER($B$80),$B$80&gt;=0,$B$80&lt;=1,ROUND($B$81*12,0)&gt;=1,$B$81&lt;=100,SUM($B$82)&gt;=0,SUM($B$82)&lt;=1,SUM($B$83)&gt;=0)),OR(1030=1,1030=$B$174+1,AND($B$175&gt;0,1030=$B$175+1))),IF(AND($B$170=1,$B$66&gt;0,OR($B$175=0,1030&lt;=$B$175)),$B$66,IF($B$172-MAX(1030-1,$B$174)&gt;0,IF(B1430=0,0,IF(C1430=0,B1430/($B$172-MAX(1030-1,$B$174)),B1430*(C1430/12)/(1-(1+C1430/12)^(-($B$172-MAX(1030-1,$B$174)))))),"")),D1429)))),""),""))</x:f>
        <x:v>0</x:v>
      </x:c>
      <x:c r="E1430" s="440" t="n">
        <x:f>IF(AND(1030=$B$173,ISNUMBER(D1430)),IF(MAX(0,B1430*(1+C1430/12)-D1430)&lt;MAX(0.0000001,$E$17*0.00000000001),0,MAX(0,B1430*(1+C1430/12)-D1430)),0)</x:f>
        <x:v>0</x:v>
      </x:c>
      <x:c r="F1430" s="440" t="n">
        <x:f>IF($B$78="Cash payoff",E1430,0)</x:f>
        <x:v>0</x:v>
      </x:c>
      <x:c r="G1430" s="440" t="n">
        <x:f>IF(AND(E1430&gt;0,AND($B$78="Refinance",ISNUMBER($B$80),$B$80&gt;=0,$B$80&lt;=1,ROUND($B$81*12,0)&gt;=1,$B$81&lt;=100,SUM($B$82)&gt;=0,SUM($B$82)&lt;=1,SUM($B$83)&gt;=0)),E1430*SUM($B$82)+SUM($B$83),0)</x:f>
        <x:v>0</x:v>
      </x:c>
      <x:c r="H1430" s="440" t="n">
        <x:f>IF(ISNUMBER(D1430),IF(MAX(0,B1430*(1+C1430/12)-D1430-F1430)&lt;MAX(0.0000001,$E$17*0.00000000001),0,MAX(0,B1430*(1+C1430/12)-D1430-F1430)),IF(AND($B$171=1,I1429=1),B1430,""))</x:f>
        <x:v>0</x:v>
      </x:c>
      <x:c r="I1430" s="444" t="n">
        <x:f>IF(OR(I1429=1,AND(E1430&gt;0,$B$78&lt;&gt;"Cash payoff",NOT(AND($B$78="Refinance",ISNUMBER($B$80),$B$80&gt;=0,$B$80&lt;=1,ROUND($B$81*12,0)&gt;=1,$B$81&lt;=100,SUM($B$82)&gt;=0,SUM($B$82)&lt;=1,SUM($B$83)&gt;=0))),AND(ISNUMBER(B1430),B1430&gt;0,$B$171=1,NOT(ISNUMBER(D1430)))),1,0)</x:f>
        <x:v>0</x:v>
      </x:c>
      <x:c r="J1430" s="440" t="n">
        <x:f>IF(ISNUMBER(L1429),L1429,"")</x:f>
        <x:v>0</x:v>
      </x:c>
      <x:c r="K1430" s="440" t="n">
        <x:f>IF(AND(ISNUMBER(J1430),J1430=0),0,IF(AND($B$176=1,ISNUMBER(J1430)),MIN(J1430*(1+$B$87/12),IF($B$86=0,0,IF($B$87=0,$B$86/ROUND($B$88*12,0),$B$86*($B$87/12)/(1-(1+$B$87/12)^(-ROUND($B$88*12,0)))))),""))</x:f>
        <x:v>0</x:v>
      </x:c>
      <x:c r="L1430" s="440" t="n">
        <x:f>IF(ISNUMBER(K1430),IF(MAX(0,J1430*(1+SUM($B$87)/12)-K1430)&lt;MAX(0.0000001,$B$86*0.00000000001),0,MAX(0,J1430*(1+SUM($B$87)/12)-K1430)),"")</x:f>
        <x:v>0</x:v>
      </x:c>
      <x:c r="M1430" s="440" t="n">
        <x:f>IF(AND(ISNUMBER(D1430),ISNUMBER(K1430)),D1430+K1430,"")</x:f>
        <x:v>0</x:v>
      </x:c>
      <x:c r="N1430" s="440" t="n">
        <x:f>IF(AND(ISNUMBER(H1430),ISNUMBER(L1430)),H1430+L1430,"")</x:f>
        <x:v>0</x:v>
      </x:c>
    </x:row>
    <x:row r="1431" ht="22" customHeight="1">
      <x:c r="A1431" s="254" t="n">
        <x:f>1031</x:f>
        <x:v>1031</x:v>
      </x:c>
      <x:c r="B1431" s="440" t="n">
        <x:f>IF(ISNUMBER(H1430),H1430,"")</x:f>
        <x:v>0</x:v>
      </x:c>
      <x:c r="C1431" s="442" t="n">
        <x:f>IF(ISNUMBER(B1431),IF(AND(1031&gt;$B$173,$B$78="Refinance",ISNUMBER($B$80),$B$80&gt;=0,$B$80&lt;=1,ROUND($B$81*12,0)&gt;=1,$B$81&lt;=100,SUM($B$82)&gt;=0,SUM($B$82)&lt;=1,SUM($B$83)&gt;=0),$B$80,IF(AND($B$175&gt;0,1031&gt;$B$175,ISNUMBER($B$75)),$B$75,$B$61)),"")</x:f>
        <x:v>0.0625</x:v>
      </x:c>
      <x:c r="D1431" s="440" t="n">
        <x:f>IF(AND(ISNUMBER(B1431),B1431=0),0,IF(AND($B$171=1,I1430=0,ISNUMBER(C1431),ISNUMBER(IF(AND(1031&lt;=$B$174,1031&lt;=$B$173),B1431*C1431/12,IF(AND(1031=$B$173+1,AND(1031&gt;$B$173,$B$78="Refinance",ISNUMBER($B$80),$B$80&gt;=0,$B$80&lt;=1,ROUND($B$81*12,0)&gt;=1,$B$81&lt;=100,SUM($B$82)&gt;=0,SUM($B$82)&lt;=1,SUM($B$83)&gt;=0)),IF(B1431=0,0,IF(C1431=0,B1431/ROUND($B$81*12,0),B1431*(C1431/12)/(1-(1+C1431/12)^(-ROUND($B$81*12,0))))),IF(AND(NOT(AND(1031&gt;$B$173,$B$78="Refinance",ISNUMBER($B$80),$B$80&gt;=0,$B$80&lt;=1,ROUND($B$81*12,0)&gt;=1,$B$81&lt;=100,SUM($B$82)&gt;=0,SUM($B$82)&lt;=1,SUM($B$83)&gt;=0)),OR(1031=1,1031=$B$174+1,AND($B$175&gt;0,1031=$B$175+1))),IF(AND($B$170=1,$B$66&gt;0,OR($B$175=0,1031&lt;=$B$175)),$B$66,IF($B$172-MAX(1031-1,$B$174)&gt;0,IF(B1431=0,0,IF(C1431=0,B1431/($B$172-MAX(1031-1,$B$174)),B1431*(C1431/12)/(1-(1+C1431/12)^(-($B$172-MAX(1031-1,$B$174)))))),"")),D1430))))),IF(IF(AND(1031&lt;=$B$174,1031&lt;=$B$173),B1431*C1431/12,IF(AND(1031=$B$173+1,AND(1031&gt;$B$173,$B$78="Refinance",ISNUMBER($B$80),$B$80&gt;=0,$B$80&lt;=1,ROUND($B$81*12,0)&gt;=1,$B$81&lt;=100,SUM($B$82)&gt;=0,SUM($B$82)&lt;=1,SUM($B$83)&gt;=0)),IF(B1431=0,0,IF(C1431=0,B1431/ROUND($B$81*12,0),B1431*(C1431/12)/(1-(1+C1431/12)^(-ROUND($B$81*12,0))))),IF(AND(NOT(AND(1031&gt;$B$173,$B$78="Refinance",ISNUMBER($B$80),$B$80&gt;=0,$B$80&lt;=1,ROUND($B$81*12,0)&gt;=1,$B$81&lt;=100,SUM($B$82)&gt;=0,SUM($B$82)&lt;=1,SUM($B$83)&gt;=0)),OR(1031=1,1031=$B$174+1,AND($B$175&gt;0,1031=$B$175+1))),IF(AND($B$170=1,$B$66&gt;0,OR($B$175=0,1031&lt;=$B$175)),$B$66,IF($B$172-MAX(1031-1,$B$174)&gt;0,IF(B1431=0,0,IF(C1431=0,B1431/($B$172-MAX(1031-1,$B$174)),B1431*(C1431/12)/(1-(1+C1431/12)^(-($B$172-MAX(1031-1,$B$174)))))),"")),D1430)))+0.0000001&gt;=B1431*C1431/12,MIN(B1431*(1+C1431/12),IF(AND(1031&lt;=$B$174,1031&lt;=$B$173),B1431*C1431/12,IF(AND(1031=$B$173+1,AND(1031&gt;$B$173,$B$78="Refinance",ISNUMBER($B$80),$B$80&gt;=0,$B$80&lt;=1,ROUND($B$81*12,0)&gt;=1,$B$81&lt;=100,SUM($B$82)&gt;=0,SUM($B$82)&lt;=1,SUM($B$83)&gt;=0)),IF(B1431=0,0,IF(C1431=0,B1431/ROUND($B$81*12,0),B1431*(C1431/12)/(1-(1+C1431/12)^(-ROUND($B$81*12,0))))),IF(AND(NOT(AND(1031&gt;$B$173,$B$78="Refinance",ISNUMBER($B$80),$B$80&gt;=0,$B$80&lt;=1,ROUND($B$81*12,0)&gt;=1,$B$81&lt;=100,SUM($B$82)&gt;=0,SUM($B$82)&lt;=1,SUM($B$83)&gt;=0)),OR(1031=1,1031=$B$174+1,AND($B$175&gt;0,1031=$B$175+1))),IF(AND($B$170=1,$B$66&gt;0,OR($B$175=0,1031&lt;=$B$175)),$B$66,IF($B$172-MAX(1031-1,$B$174)&gt;0,IF(B1431=0,0,IF(C1431=0,B1431/($B$172-MAX(1031-1,$B$174)),B1431*(C1431/12)/(1-(1+C1431/12)^(-($B$172-MAX(1031-1,$B$174)))))),"")),D1430)))),""),""))</x:f>
        <x:v>0</x:v>
      </x:c>
      <x:c r="E1431" s="440" t="n">
        <x:f>IF(AND(1031=$B$173,ISNUMBER(D1431)),IF(MAX(0,B1431*(1+C1431/12)-D1431)&lt;MAX(0.0000001,$E$17*0.00000000001),0,MAX(0,B1431*(1+C1431/12)-D1431)),0)</x:f>
        <x:v>0</x:v>
      </x:c>
      <x:c r="F1431" s="440" t="n">
        <x:f>IF($B$78="Cash payoff",E1431,0)</x:f>
        <x:v>0</x:v>
      </x:c>
      <x:c r="G1431" s="440" t="n">
        <x:f>IF(AND(E1431&gt;0,AND($B$78="Refinance",ISNUMBER($B$80),$B$80&gt;=0,$B$80&lt;=1,ROUND($B$81*12,0)&gt;=1,$B$81&lt;=100,SUM($B$82)&gt;=0,SUM($B$82)&lt;=1,SUM($B$83)&gt;=0)),E1431*SUM($B$82)+SUM($B$83),0)</x:f>
        <x:v>0</x:v>
      </x:c>
      <x:c r="H1431" s="440" t="n">
        <x:f>IF(ISNUMBER(D1431),IF(MAX(0,B1431*(1+C1431/12)-D1431-F1431)&lt;MAX(0.0000001,$E$17*0.00000000001),0,MAX(0,B1431*(1+C1431/12)-D1431-F1431)),IF(AND($B$171=1,I1430=1),B1431,""))</x:f>
        <x:v>0</x:v>
      </x:c>
      <x:c r="I1431" s="444" t="n">
        <x:f>IF(OR(I1430=1,AND(E1431&gt;0,$B$78&lt;&gt;"Cash payoff",NOT(AND($B$78="Refinance",ISNUMBER($B$80),$B$80&gt;=0,$B$80&lt;=1,ROUND($B$81*12,0)&gt;=1,$B$81&lt;=100,SUM($B$82)&gt;=0,SUM($B$82)&lt;=1,SUM($B$83)&gt;=0))),AND(ISNUMBER(B1431),B1431&gt;0,$B$171=1,NOT(ISNUMBER(D1431)))),1,0)</x:f>
        <x:v>0</x:v>
      </x:c>
      <x:c r="J1431" s="440" t="n">
        <x:f>IF(ISNUMBER(L1430),L1430,"")</x:f>
        <x:v>0</x:v>
      </x:c>
      <x:c r="K1431" s="440" t="n">
        <x:f>IF(AND(ISNUMBER(J1431),J1431=0),0,IF(AND($B$176=1,ISNUMBER(J1431)),MIN(J1431*(1+$B$87/12),IF($B$86=0,0,IF($B$87=0,$B$86/ROUND($B$88*12,0),$B$86*($B$87/12)/(1-(1+$B$87/12)^(-ROUND($B$88*12,0)))))),""))</x:f>
        <x:v>0</x:v>
      </x:c>
      <x:c r="L1431" s="440" t="n">
        <x:f>IF(ISNUMBER(K1431),IF(MAX(0,J1431*(1+SUM($B$87)/12)-K1431)&lt;MAX(0.0000001,$B$86*0.00000000001),0,MAX(0,J1431*(1+SUM($B$87)/12)-K1431)),"")</x:f>
        <x:v>0</x:v>
      </x:c>
      <x:c r="M1431" s="440" t="n">
        <x:f>IF(AND(ISNUMBER(D1431),ISNUMBER(K1431)),D1431+K1431,"")</x:f>
        <x:v>0</x:v>
      </x:c>
      <x:c r="N1431" s="440" t="n">
        <x:f>IF(AND(ISNUMBER(H1431),ISNUMBER(L1431)),H1431+L1431,"")</x:f>
        <x:v>0</x:v>
      </x:c>
    </x:row>
    <x:row r="1432" ht="22" customHeight="1">
      <x:c r="A1432" s="254" t="n">
        <x:f>1032</x:f>
        <x:v>1032</x:v>
      </x:c>
      <x:c r="B1432" s="440" t="n">
        <x:f>IF(ISNUMBER(H1431),H1431,"")</x:f>
        <x:v>0</x:v>
      </x:c>
      <x:c r="C1432" s="442" t="n">
        <x:f>IF(ISNUMBER(B1432),IF(AND(1032&gt;$B$173,$B$78="Refinance",ISNUMBER($B$80),$B$80&gt;=0,$B$80&lt;=1,ROUND($B$81*12,0)&gt;=1,$B$81&lt;=100,SUM($B$82)&gt;=0,SUM($B$82)&lt;=1,SUM($B$83)&gt;=0),$B$80,IF(AND($B$175&gt;0,1032&gt;$B$175,ISNUMBER($B$75)),$B$75,$B$61)),"")</x:f>
        <x:v>0.0625</x:v>
      </x:c>
      <x:c r="D1432" s="440" t="n">
        <x:f>IF(AND(ISNUMBER(B1432),B1432=0),0,IF(AND($B$171=1,I1431=0,ISNUMBER(C1432),ISNUMBER(IF(AND(1032&lt;=$B$174,1032&lt;=$B$173),B1432*C1432/12,IF(AND(1032=$B$173+1,AND(1032&gt;$B$173,$B$78="Refinance",ISNUMBER($B$80),$B$80&gt;=0,$B$80&lt;=1,ROUND($B$81*12,0)&gt;=1,$B$81&lt;=100,SUM($B$82)&gt;=0,SUM($B$82)&lt;=1,SUM($B$83)&gt;=0)),IF(B1432=0,0,IF(C1432=0,B1432/ROUND($B$81*12,0),B1432*(C1432/12)/(1-(1+C1432/12)^(-ROUND($B$81*12,0))))),IF(AND(NOT(AND(1032&gt;$B$173,$B$78="Refinance",ISNUMBER($B$80),$B$80&gt;=0,$B$80&lt;=1,ROUND($B$81*12,0)&gt;=1,$B$81&lt;=100,SUM($B$82)&gt;=0,SUM($B$82)&lt;=1,SUM($B$83)&gt;=0)),OR(1032=1,1032=$B$174+1,AND($B$175&gt;0,1032=$B$175+1))),IF(AND($B$170=1,$B$66&gt;0,OR($B$175=0,1032&lt;=$B$175)),$B$66,IF($B$172-MAX(1032-1,$B$174)&gt;0,IF(B1432=0,0,IF(C1432=0,B1432/($B$172-MAX(1032-1,$B$174)),B1432*(C1432/12)/(1-(1+C1432/12)^(-($B$172-MAX(1032-1,$B$174)))))),"")),D1431))))),IF(IF(AND(1032&lt;=$B$174,1032&lt;=$B$173),B1432*C1432/12,IF(AND(1032=$B$173+1,AND(1032&gt;$B$173,$B$78="Refinance",ISNUMBER($B$80),$B$80&gt;=0,$B$80&lt;=1,ROUND($B$81*12,0)&gt;=1,$B$81&lt;=100,SUM($B$82)&gt;=0,SUM($B$82)&lt;=1,SUM($B$83)&gt;=0)),IF(B1432=0,0,IF(C1432=0,B1432/ROUND($B$81*12,0),B1432*(C1432/12)/(1-(1+C1432/12)^(-ROUND($B$81*12,0))))),IF(AND(NOT(AND(1032&gt;$B$173,$B$78="Refinance",ISNUMBER($B$80),$B$80&gt;=0,$B$80&lt;=1,ROUND($B$81*12,0)&gt;=1,$B$81&lt;=100,SUM($B$82)&gt;=0,SUM($B$82)&lt;=1,SUM($B$83)&gt;=0)),OR(1032=1,1032=$B$174+1,AND($B$175&gt;0,1032=$B$175+1))),IF(AND($B$170=1,$B$66&gt;0,OR($B$175=0,1032&lt;=$B$175)),$B$66,IF($B$172-MAX(1032-1,$B$174)&gt;0,IF(B1432=0,0,IF(C1432=0,B1432/($B$172-MAX(1032-1,$B$174)),B1432*(C1432/12)/(1-(1+C1432/12)^(-($B$172-MAX(1032-1,$B$174)))))),"")),D1431)))+0.0000001&gt;=B1432*C1432/12,MIN(B1432*(1+C1432/12),IF(AND(1032&lt;=$B$174,1032&lt;=$B$173),B1432*C1432/12,IF(AND(1032=$B$173+1,AND(1032&gt;$B$173,$B$78="Refinance",ISNUMBER($B$80),$B$80&gt;=0,$B$80&lt;=1,ROUND($B$81*12,0)&gt;=1,$B$81&lt;=100,SUM($B$82)&gt;=0,SUM($B$82)&lt;=1,SUM($B$83)&gt;=0)),IF(B1432=0,0,IF(C1432=0,B1432/ROUND($B$81*12,0),B1432*(C1432/12)/(1-(1+C1432/12)^(-ROUND($B$81*12,0))))),IF(AND(NOT(AND(1032&gt;$B$173,$B$78="Refinance",ISNUMBER($B$80),$B$80&gt;=0,$B$80&lt;=1,ROUND($B$81*12,0)&gt;=1,$B$81&lt;=100,SUM($B$82)&gt;=0,SUM($B$82)&lt;=1,SUM($B$83)&gt;=0)),OR(1032=1,1032=$B$174+1,AND($B$175&gt;0,1032=$B$175+1))),IF(AND($B$170=1,$B$66&gt;0,OR($B$175=0,1032&lt;=$B$175)),$B$66,IF($B$172-MAX(1032-1,$B$174)&gt;0,IF(B1432=0,0,IF(C1432=0,B1432/($B$172-MAX(1032-1,$B$174)),B1432*(C1432/12)/(1-(1+C1432/12)^(-($B$172-MAX(1032-1,$B$174)))))),"")),D1431)))),""),""))</x:f>
        <x:v>0</x:v>
      </x:c>
      <x:c r="E1432" s="440" t="n">
        <x:f>IF(AND(1032=$B$173,ISNUMBER(D1432)),IF(MAX(0,B1432*(1+C1432/12)-D1432)&lt;MAX(0.0000001,$E$17*0.00000000001),0,MAX(0,B1432*(1+C1432/12)-D1432)),0)</x:f>
        <x:v>0</x:v>
      </x:c>
      <x:c r="F1432" s="440" t="n">
        <x:f>IF($B$78="Cash payoff",E1432,0)</x:f>
        <x:v>0</x:v>
      </x:c>
      <x:c r="G1432" s="440" t="n">
        <x:f>IF(AND(E1432&gt;0,AND($B$78="Refinance",ISNUMBER($B$80),$B$80&gt;=0,$B$80&lt;=1,ROUND($B$81*12,0)&gt;=1,$B$81&lt;=100,SUM($B$82)&gt;=0,SUM($B$82)&lt;=1,SUM($B$83)&gt;=0)),E1432*SUM($B$82)+SUM($B$83),0)</x:f>
        <x:v>0</x:v>
      </x:c>
      <x:c r="H1432" s="440" t="n">
        <x:f>IF(ISNUMBER(D1432),IF(MAX(0,B1432*(1+C1432/12)-D1432-F1432)&lt;MAX(0.0000001,$E$17*0.00000000001),0,MAX(0,B1432*(1+C1432/12)-D1432-F1432)),IF(AND($B$171=1,I1431=1),B1432,""))</x:f>
        <x:v>0</x:v>
      </x:c>
      <x:c r="I1432" s="444" t="n">
        <x:f>IF(OR(I1431=1,AND(E1432&gt;0,$B$78&lt;&gt;"Cash payoff",NOT(AND($B$78="Refinance",ISNUMBER($B$80),$B$80&gt;=0,$B$80&lt;=1,ROUND($B$81*12,0)&gt;=1,$B$81&lt;=100,SUM($B$82)&gt;=0,SUM($B$82)&lt;=1,SUM($B$83)&gt;=0))),AND(ISNUMBER(B1432),B1432&gt;0,$B$171=1,NOT(ISNUMBER(D1432)))),1,0)</x:f>
        <x:v>0</x:v>
      </x:c>
      <x:c r="J1432" s="440" t="n">
        <x:f>IF(ISNUMBER(L1431),L1431,"")</x:f>
        <x:v>0</x:v>
      </x:c>
      <x:c r="K1432" s="440" t="n">
        <x:f>IF(AND(ISNUMBER(J1432),J1432=0),0,IF(AND($B$176=1,ISNUMBER(J1432)),MIN(J1432*(1+$B$87/12),IF($B$86=0,0,IF($B$87=0,$B$86/ROUND($B$88*12,0),$B$86*($B$87/12)/(1-(1+$B$87/12)^(-ROUND($B$88*12,0)))))),""))</x:f>
        <x:v>0</x:v>
      </x:c>
      <x:c r="L1432" s="440" t="n">
        <x:f>IF(ISNUMBER(K1432),IF(MAX(0,J1432*(1+SUM($B$87)/12)-K1432)&lt;MAX(0.0000001,$B$86*0.00000000001),0,MAX(0,J1432*(1+SUM($B$87)/12)-K1432)),"")</x:f>
        <x:v>0</x:v>
      </x:c>
      <x:c r="M1432" s="440" t="n">
        <x:f>IF(AND(ISNUMBER(D1432),ISNUMBER(K1432)),D1432+K1432,"")</x:f>
        <x:v>0</x:v>
      </x:c>
      <x:c r="N1432" s="440" t="n">
        <x:f>IF(AND(ISNUMBER(H1432),ISNUMBER(L1432)),H1432+L1432,"")</x:f>
        <x:v>0</x:v>
      </x:c>
    </x:row>
    <x:row r="1433" ht="22" customHeight="1">
      <x:c r="A1433" s="254" t="n">
        <x:f>1033</x:f>
        <x:v>1033</x:v>
      </x:c>
      <x:c r="B1433" s="440" t="n">
        <x:f>IF(ISNUMBER(H1432),H1432,"")</x:f>
        <x:v>0</x:v>
      </x:c>
      <x:c r="C1433" s="442" t="n">
        <x:f>IF(ISNUMBER(B1433),IF(AND(1033&gt;$B$173,$B$78="Refinance",ISNUMBER($B$80),$B$80&gt;=0,$B$80&lt;=1,ROUND($B$81*12,0)&gt;=1,$B$81&lt;=100,SUM($B$82)&gt;=0,SUM($B$82)&lt;=1,SUM($B$83)&gt;=0),$B$80,IF(AND($B$175&gt;0,1033&gt;$B$175,ISNUMBER($B$75)),$B$75,$B$61)),"")</x:f>
        <x:v>0.0625</x:v>
      </x:c>
      <x:c r="D1433" s="440" t="n">
        <x:f>IF(AND(ISNUMBER(B1433),B1433=0),0,IF(AND($B$171=1,I1432=0,ISNUMBER(C1433),ISNUMBER(IF(AND(1033&lt;=$B$174,1033&lt;=$B$173),B1433*C1433/12,IF(AND(1033=$B$173+1,AND(1033&gt;$B$173,$B$78="Refinance",ISNUMBER($B$80),$B$80&gt;=0,$B$80&lt;=1,ROUND($B$81*12,0)&gt;=1,$B$81&lt;=100,SUM($B$82)&gt;=0,SUM($B$82)&lt;=1,SUM($B$83)&gt;=0)),IF(B1433=0,0,IF(C1433=0,B1433/ROUND($B$81*12,0),B1433*(C1433/12)/(1-(1+C1433/12)^(-ROUND($B$81*12,0))))),IF(AND(NOT(AND(1033&gt;$B$173,$B$78="Refinance",ISNUMBER($B$80),$B$80&gt;=0,$B$80&lt;=1,ROUND($B$81*12,0)&gt;=1,$B$81&lt;=100,SUM($B$82)&gt;=0,SUM($B$82)&lt;=1,SUM($B$83)&gt;=0)),OR(1033=1,1033=$B$174+1,AND($B$175&gt;0,1033=$B$175+1))),IF(AND($B$170=1,$B$66&gt;0,OR($B$175=0,1033&lt;=$B$175)),$B$66,IF($B$172-MAX(1033-1,$B$174)&gt;0,IF(B1433=0,0,IF(C1433=0,B1433/($B$172-MAX(1033-1,$B$174)),B1433*(C1433/12)/(1-(1+C1433/12)^(-($B$172-MAX(1033-1,$B$174)))))),"")),D1432))))),IF(IF(AND(1033&lt;=$B$174,1033&lt;=$B$173),B1433*C1433/12,IF(AND(1033=$B$173+1,AND(1033&gt;$B$173,$B$78="Refinance",ISNUMBER($B$80),$B$80&gt;=0,$B$80&lt;=1,ROUND($B$81*12,0)&gt;=1,$B$81&lt;=100,SUM($B$82)&gt;=0,SUM($B$82)&lt;=1,SUM($B$83)&gt;=0)),IF(B1433=0,0,IF(C1433=0,B1433/ROUND($B$81*12,0),B1433*(C1433/12)/(1-(1+C1433/12)^(-ROUND($B$81*12,0))))),IF(AND(NOT(AND(1033&gt;$B$173,$B$78="Refinance",ISNUMBER($B$80),$B$80&gt;=0,$B$80&lt;=1,ROUND($B$81*12,0)&gt;=1,$B$81&lt;=100,SUM($B$82)&gt;=0,SUM($B$82)&lt;=1,SUM($B$83)&gt;=0)),OR(1033=1,1033=$B$174+1,AND($B$175&gt;0,1033=$B$175+1))),IF(AND($B$170=1,$B$66&gt;0,OR($B$175=0,1033&lt;=$B$175)),$B$66,IF($B$172-MAX(1033-1,$B$174)&gt;0,IF(B1433=0,0,IF(C1433=0,B1433/($B$172-MAX(1033-1,$B$174)),B1433*(C1433/12)/(1-(1+C1433/12)^(-($B$172-MAX(1033-1,$B$174)))))),"")),D1432)))+0.0000001&gt;=B1433*C1433/12,MIN(B1433*(1+C1433/12),IF(AND(1033&lt;=$B$174,1033&lt;=$B$173),B1433*C1433/12,IF(AND(1033=$B$173+1,AND(1033&gt;$B$173,$B$78="Refinance",ISNUMBER($B$80),$B$80&gt;=0,$B$80&lt;=1,ROUND($B$81*12,0)&gt;=1,$B$81&lt;=100,SUM($B$82)&gt;=0,SUM($B$82)&lt;=1,SUM($B$83)&gt;=0)),IF(B1433=0,0,IF(C1433=0,B1433/ROUND($B$81*12,0),B1433*(C1433/12)/(1-(1+C1433/12)^(-ROUND($B$81*12,0))))),IF(AND(NOT(AND(1033&gt;$B$173,$B$78="Refinance",ISNUMBER($B$80),$B$80&gt;=0,$B$80&lt;=1,ROUND($B$81*12,0)&gt;=1,$B$81&lt;=100,SUM($B$82)&gt;=0,SUM($B$82)&lt;=1,SUM($B$83)&gt;=0)),OR(1033=1,1033=$B$174+1,AND($B$175&gt;0,1033=$B$175+1))),IF(AND($B$170=1,$B$66&gt;0,OR($B$175=0,1033&lt;=$B$175)),$B$66,IF($B$172-MAX(1033-1,$B$174)&gt;0,IF(B1433=0,0,IF(C1433=0,B1433/($B$172-MAX(1033-1,$B$174)),B1433*(C1433/12)/(1-(1+C1433/12)^(-($B$172-MAX(1033-1,$B$174)))))),"")),D1432)))),""),""))</x:f>
        <x:v>0</x:v>
      </x:c>
      <x:c r="E1433" s="440" t="n">
        <x:f>IF(AND(1033=$B$173,ISNUMBER(D1433)),IF(MAX(0,B1433*(1+C1433/12)-D1433)&lt;MAX(0.0000001,$E$17*0.00000000001),0,MAX(0,B1433*(1+C1433/12)-D1433)),0)</x:f>
        <x:v>0</x:v>
      </x:c>
      <x:c r="F1433" s="440" t="n">
        <x:f>IF($B$78="Cash payoff",E1433,0)</x:f>
        <x:v>0</x:v>
      </x:c>
      <x:c r="G1433" s="440" t="n">
        <x:f>IF(AND(E1433&gt;0,AND($B$78="Refinance",ISNUMBER($B$80),$B$80&gt;=0,$B$80&lt;=1,ROUND($B$81*12,0)&gt;=1,$B$81&lt;=100,SUM($B$82)&gt;=0,SUM($B$82)&lt;=1,SUM($B$83)&gt;=0)),E1433*SUM($B$82)+SUM($B$83),0)</x:f>
        <x:v>0</x:v>
      </x:c>
      <x:c r="H1433" s="440" t="n">
        <x:f>IF(ISNUMBER(D1433),IF(MAX(0,B1433*(1+C1433/12)-D1433-F1433)&lt;MAX(0.0000001,$E$17*0.00000000001),0,MAX(0,B1433*(1+C1433/12)-D1433-F1433)),IF(AND($B$171=1,I1432=1),B1433,""))</x:f>
        <x:v>0</x:v>
      </x:c>
      <x:c r="I1433" s="444" t="n">
        <x:f>IF(OR(I1432=1,AND(E1433&gt;0,$B$78&lt;&gt;"Cash payoff",NOT(AND($B$78="Refinance",ISNUMBER($B$80),$B$80&gt;=0,$B$80&lt;=1,ROUND($B$81*12,0)&gt;=1,$B$81&lt;=100,SUM($B$82)&gt;=0,SUM($B$82)&lt;=1,SUM($B$83)&gt;=0))),AND(ISNUMBER(B1433),B1433&gt;0,$B$171=1,NOT(ISNUMBER(D1433)))),1,0)</x:f>
        <x:v>0</x:v>
      </x:c>
      <x:c r="J1433" s="440" t="n">
        <x:f>IF(ISNUMBER(L1432),L1432,"")</x:f>
        <x:v>0</x:v>
      </x:c>
      <x:c r="K1433" s="440" t="n">
        <x:f>IF(AND(ISNUMBER(J1433),J1433=0),0,IF(AND($B$176=1,ISNUMBER(J1433)),MIN(J1433*(1+$B$87/12),IF($B$86=0,0,IF($B$87=0,$B$86/ROUND($B$88*12,0),$B$86*($B$87/12)/(1-(1+$B$87/12)^(-ROUND($B$88*12,0)))))),""))</x:f>
        <x:v>0</x:v>
      </x:c>
      <x:c r="L1433" s="440" t="n">
        <x:f>IF(ISNUMBER(K1433),IF(MAX(0,J1433*(1+SUM($B$87)/12)-K1433)&lt;MAX(0.0000001,$B$86*0.00000000001),0,MAX(0,J1433*(1+SUM($B$87)/12)-K1433)),"")</x:f>
        <x:v>0</x:v>
      </x:c>
      <x:c r="M1433" s="440" t="n">
        <x:f>IF(AND(ISNUMBER(D1433),ISNUMBER(K1433)),D1433+K1433,"")</x:f>
        <x:v>0</x:v>
      </x:c>
      <x:c r="N1433" s="440" t="n">
        <x:f>IF(AND(ISNUMBER(H1433),ISNUMBER(L1433)),H1433+L1433,"")</x:f>
        <x:v>0</x:v>
      </x:c>
    </x:row>
    <x:row r="1434" ht="22" customHeight="1">
      <x:c r="A1434" s="254" t="n">
        <x:f>1034</x:f>
        <x:v>1034</x:v>
      </x:c>
      <x:c r="B1434" s="440" t="n">
        <x:f>IF(ISNUMBER(H1433),H1433,"")</x:f>
        <x:v>0</x:v>
      </x:c>
      <x:c r="C1434" s="442" t="n">
        <x:f>IF(ISNUMBER(B1434),IF(AND(1034&gt;$B$173,$B$78="Refinance",ISNUMBER($B$80),$B$80&gt;=0,$B$80&lt;=1,ROUND($B$81*12,0)&gt;=1,$B$81&lt;=100,SUM($B$82)&gt;=0,SUM($B$82)&lt;=1,SUM($B$83)&gt;=0),$B$80,IF(AND($B$175&gt;0,1034&gt;$B$175,ISNUMBER($B$75)),$B$75,$B$61)),"")</x:f>
        <x:v>0.0625</x:v>
      </x:c>
      <x:c r="D1434" s="440" t="n">
        <x:f>IF(AND(ISNUMBER(B1434),B1434=0),0,IF(AND($B$171=1,I1433=0,ISNUMBER(C1434),ISNUMBER(IF(AND(1034&lt;=$B$174,1034&lt;=$B$173),B1434*C1434/12,IF(AND(1034=$B$173+1,AND(1034&gt;$B$173,$B$78="Refinance",ISNUMBER($B$80),$B$80&gt;=0,$B$80&lt;=1,ROUND($B$81*12,0)&gt;=1,$B$81&lt;=100,SUM($B$82)&gt;=0,SUM($B$82)&lt;=1,SUM($B$83)&gt;=0)),IF(B1434=0,0,IF(C1434=0,B1434/ROUND($B$81*12,0),B1434*(C1434/12)/(1-(1+C1434/12)^(-ROUND($B$81*12,0))))),IF(AND(NOT(AND(1034&gt;$B$173,$B$78="Refinance",ISNUMBER($B$80),$B$80&gt;=0,$B$80&lt;=1,ROUND($B$81*12,0)&gt;=1,$B$81&lt;=100,SUM($B$82)&gt;=0,SUM($B$82)&lt;=1,SUM($B$83)&gt;=0)),OR(1034=1,1034=$B$174+1,AND($B$175&gt;0,1034=$B$175+1))),IF(AND($B$170=1,$B$66&gt;0,OR($B$175=0,1034&lt;=$B$175)),$B$66,IF($B$172-MAX(1034-1,$B$174)&gt;0,IF(B1434=0,0,IF(C1434=0,B1434/($B$172-MAX(1034-1,$B$174)),B1434*(C1434/12)/(1-(1+C1434/12)^(-($B$172-MAX(1034-1,$B$174)))))),"")),D1433))))),IF(IF(AND(1034&lt;=$B$174,1034&lt;=$B$173),B1434*C1434/12,IF(AND(1034=$B$173+1,AND(1034&gt;$B$173,$B$78="Refinance",ISNUMBER($B$80),$B$80&gt;=0,$B$80&lt;=1,ROUND($B$81*12,0)&gt;=1,$B$81&lt;=100,SUM($B$82)&gt;=0,SUM($B$82)&lt;=1,SUM($B$83)&gt;=0)),IF(B1434=0,0,IF(C1434=0,B1434/ROUND($B$81*12,0),B1434*(C1434/12)/(1-(1+C1434/12)^(-ROUND($B$81*12,0))))),IF(AND(NOT(AND(1034&gt;$B$173,$B$78="Refinance",ISNUMBER($B$80),$B$80&gt;=0,$B$80&lt;=1,ROUND($B$81*12,0)&gt;=1,$B$81&lt;=100,SUM($B$82)&gt;=0,SUM($B$82)&lt;=1,SUM($B$83)&gt;=0)),OR(1034=1,1034=$B$174+1,AND($B$175&gt;0,1034=$B$175+1))),IF(AND($B$170=1,$B$66&gt;0,OR($B$175=0,1034&lt;=$B$175)),$B$66,IF($B$172-MAX(1034-1,$B$174)&gt;0,IF(B1434=0,0,IF(C1434=0,B1434/($B$172-MAX(1034-1,$B$174)),B1434*(C1434/12)/(1-(1+C1434/12)^(-($B$172-MAX(1034-1,$B$174)))))),"")),D1433)))+0.0000001&gt;=B1434*C1434/12,MIN(B1434*(1+C1434/12),IF(AND(1034&lt;=$B$174,1034&lt;=$B$173),B1434*C1434/12,IF(AND(1034=$B$173+1,AND(1034&gt;$B$173,$B$78="Refinance",ISNUMBER($B$80),$B$80&gt;=0,$B$80&lt;=1,ROUND($B$81*12,0)&gt;=1,$B$81&lt;=100,SUM($B$82)&gt;=0,SUM($B$82)&lt;=1,SUM($B$83)&gt;=0)),IF(B1434=0,0,IF(C1434=0,B1434/ROUND($B$81*12,0),B1434*(C1434/12)/(1-(1+C1434/12)^(-ROUND($B$81*12,0))))),IF(AND(NOT(AND(1034&gt;$B$173,$B$78="Refinance",ISNUMBER($B$80),$B$80&gt;=0,$B$80&lt;=1,ROUND($B$81*12,0)&gt;=1,$B$81&lt;=100,SUM($B$82)&gt;=0,SUM($B$82)&lt;=1,SUM($B$83)&gt;=0)),OR(1034=1,1034=$B$174+1,AND($B$175&gt;0,1034=$B$175+1))),IF(AND($B$170=1,$B$66&gt;0,OR($B$175=0,1034&lt;=$B$175)),$B$66,IF($B$172-MAX(1034-1,$B$174)&gt;0,IF(B1434=0,0,IF(C1434=0,B1434/($B$172-MAX(1034-1,$B$174)),B1434*(C1434/12)/(1-(1+C1434/12)^(-($B$172-MAX(1034-1,$B$174)))))),"")),D1433)))),""),""))</x:f>
        <x:v>0</x:v>
      </x:c>
      <x:c r="E1434" s="440" t="n">
        <x:f>IF(AND(1034=$B$173,ISNUMBER(D1434)),IF(MAX(0,B1434*(1+C1434/12)-D1434)&lt;MAX(0.0000001,$E$17*0.00000000001),0,MAX(0,B1434*(1+C1434/12)-D1434)),0)</x:f>
        <x:v>0</x:v>
      </x:c>
      <x:c r="F1434" s="440" t="n">
        <x:f>IF($B$78="Cash payoff",E1434,0)</x:f>
        <x:v>0</x:v>
      </x:c>
      <x:c r="G1434" s="440" t="n">
        <x:f>IF(AND(E1434&gt;0,AND($B$78="Refinance",ISNUMBER($B$80),$B$80&gt;=0,$B$80&lt;=1,ROUND($B$81*12,0)&gt;=1,$B$81&lt;=100,SUM($B$82)&gt;=0,SUM($B$82)&lt;=1,SUM($B$83)&gt;=0)),E1434*SUM($B$82)+SUM($B$83),0)</x:f>
        <x:v>0</x:v>
      </x:c>
      <x:c r="H1434" s="440" t="n">
        <x:f>IF(ISNUMBER(D1434),IF(MAX(0,B1434*(1+C1434/12)-D1434-F1434)&lt;MAX(0.0000001,$E$17*0.00000000001),0,MAX(0,B1434*(1+C1434/12)-D1434-F1434)),IF(AND($B$171=1,I1433=1),B1434,""))</x:f>
        <x:v>0</x:v>
      </x:c>
      <x:c r="I1434" s="444" t="n">
        <x:f>IF(OR(I1433=1,AND(E1434&gt;0,$B$78&lt;&gt;"Cash payoff",NOT(AND($B$78="Refinance",ISNUMBER($B$80),$B$80&gt;=0,$B$80&lt;=1,ROUND($B$81*12,0)&gt;=1,$B$81&lt;=100,SUM($B$82)&gt;=0,SUM($B$82)&lt;=1,SUM($B$83)&gt;=0))),AND(ISNUMBER(B1434),B1434&gt;0,$B$171=1,NOT(ISNUMBER(D1434)))),1,0)</x:f>
        <x:v>0</x:v>
      </x:c>
      <x:c r="J1434" s="440" t="n">
        <x:f>IF(ISNUMBER(L1433),L1433,"")</x:f>
        <x:v>0</x:v>
      </x:c>
      <x:c r="K1434" s="440" t="n">
        <x:f>IF(AND(ISNUMBER(J1434),J1434=0),0,IF(AND($B$176=1,ISNUMBER(J1434)),MIN(J1434*(1+$B$87/12),IF($B$86=0,0,IF($B$87=0,$B$86/ROUND($B$88*12,0),$B$86*($B$87/12)/(1-(1+$B$87/12)^(-ROUND($B$88*12,0)))))),""))</x:f>
        <x:v>0</x:v>
      </x:c>
      <x:c r="L1434" s="440" t="n">
        <x:f>IF(ISNUMBER(K1434),IF(MAX(0,J1434*(1+SUM($B$87)/12)-K1434)&lt;MAX(0.0000001,$B$86*0.00000000001),0,MAX(0,J1434*(1+SUM($B$87)/12)-K1434)),"")</x:f>
        <x:v>0</x:v>
      </x:c>
      <x:c r="M1434" s="440" t="n">
        <x:f>IF(AND(ISNUMBER(D1434),ISNUMBER(K1434)),D1434+K1434,"")</x:f>
        <x:v>0</x:v>
      </x:c>
      <x:c r="N1434" s="440" t="n">
        <x:f>IF(AND(ISNUMBER(H1434),ISNUMBER(L1434)),H1434+L1434,"")</x:f>
        <x:v>0</x:v>
      </x:c>
    </x:row>
    <x:row r="1435" ht="22" customHeight="1">
      <x:c r="A1435" s="254" t="n">
        <x:f>1035</x:f>
        <x:v>1035</x:v>
      </x:c>
      <x:c r="B1435" s="440" t="n">
        <x:f>IF(ISNUMBER(H1434),H1434,"")</x:f>
        <x:v>0</x:v>
      </x:c>
      <x:c r="C1435" s="442" t="n">
        <x:f>IF(ISNUMBER(B1435),IF(AND(1035&gt;$B$173,$B$78="Refinance",ISNUMBER($B$80),$B$80&gt;=0,$B$80&lt;=1,ROUND($B$81*12,0)&gt;=1,$B$81&lt;=100,SUM($B$82)&gt;=0,SUM($B$82)&lt;=1,SUM($B$83)&gt;=0),$B$80,IF(AND($B$175&gt;0,1035&gt;$B$175,ISNUMBER($B$75)),$B$75,$B$61)),"")</x:f>
        <x:v>0.0625</x:v>
      </x:c>
      <x:c r="D1435" s="440" t="n">
        <x:f>IF(AND(ISNUMBER(B1435),B1435=0),0,IF(AND($B$171=1,I1434=0,ISNUMBER(C1435),ISNUMBER(IF(AND(1035&lt;=$B$174,1035&lt;=$B$173),B1435*C1435/12,IF(AND(1035=$B$173+1,AND(1035&gt;$B$173,$B$78="Refinance",ISNUMBER($B$80),$B$80&gt;=0,$B$80&lt;=1,ROUND($B$81*12,0)&gt;=1,$B$81&lt;=100,SUM($B$82)&gt;=0,SUM($B$82)&lt;=1,SUM($B$83)&gt;=0)),IF(B1435=0,0,IF(C1435=0,B1435/ROUND($B$81*12,0),B1435*(C1435/12)/(1-(1+C1435/12)^(-ROUND($B$81*12,0))))),IF(AND(NOT(AND(1035&gt;$B$173,$B$78="Refinance",ISNUMBER($B$80),$B$80&gt;=0,$B$80&lt;=1,ROUND($B$81*12,0)&gt;=1,$B$81&lt;=100,SUM($B$82)&gt;=0,SUM($B$82)&lt;=1,SUM($B$83)&gt;=0)),OR(1035=1,1035=$B$174+1,AND($B$175&gt;0,1035=$B$175+1))),IF(AND($B$170=1,$B$66&gt;0,OR($B$175=0,1035&lt;=$B$175)),$B$66,IF($B$172-MAX(1035-1,$B$174)&gt;0,IF(B1435=0,0,IF(C1435=0,B1435/($B$172-MAX(1035-1,$B$174)),B1435*(C1435/12)/(1-(1+C1435/12)^(-($B$172-MAX(1035-1,$B$174)))))),"")),D1434))))),IF(IF(AND(1035&lt;=$B$174,1035&lt;=$B$173),B1435*C1435/12,IF(AND(1035=$B$173+1,AND(1035&gt;$B$173,$B$78="Refinance",ISNUMBER($B$80),$B$80&gt;=0,$B$80&lt;=1,ROUND($B$81*12,0)&gt;=1,$B$81&lt;=100,SUM($B$82)&gt;=0,SUM($B$82)&lt;=1,SUM($B$83)&gt;=0)),IF(B1435=0,0,IF(C1435=0,B1435/ROUND($B$81*12,0),B1435*(C1435/12)/(1-(1+C1435/12)^(-ROUND($B$81*12,0))))),IF(AND(NOT(AND(1035&gt;$B$173,$B$78="Refinance",ISNUMBER($B$80),$B$80&gt;=0,$B$80&lt;=1,ROUND($B$81*12,0)&gt;=1,$B$81&lt;=100,SUM($B$82)&gt;=0,SUM($B$82)&lt;=1,SUM($B$83)&gt;=0)),OR(1035=1,1035=$B$174+1,AND($B$175&gt;0,1035=$B$175+1))),IF(AND($B$170=1,$B$66&gt;0,OR($B$175=0,1035&lt;=$B$175)),$B$66,IF($B$172-MAX(1035-1,$B$174)&gt;0,IF(B1435=0,0,IF(C1435=0,B1435/($B$172-MAX(1035-1,$B$174)),B1435*(C1435/12)/(1-(1+C1435/12)^(-($B$172-MAX(1035-1,$B$174)))))),"")),D1434)))+0.0000001&gt;=B1435*C1435/12,MIN(B1435*(1+C1435/12),IF(AND(1035&lt;=$B$174,1035&lt;=$B$173),B1435*C1435/12,IF(AND(1035=$B$173+1,AND(1035&gt;$B$173,$B$78="Refinance",ISNUMBER($B$80),$B$80&gt;=0,$B$80&lt;=1,ROUND($B$81*12,0)&gt;=1,$B$81&lt;=100,SUM($B$82)&gt;=0,SUM($B$82)&lt;=1,SUM($B$83)&gt;=0)),IF(B1435=0,0,IF(C1435=0,B1435/ROUND($B$81*12,0),B1435*(C1435/12)/(1-(1+C1435/12)^(-ROUND($B$81*12,0))))),IF(AND(NOT(AND(1035&gt;$B$173,$B$78="Refinance",ISNUMBER($B$80),$B$80&gt;=0,$B$80&lt;=1,ROUND($B$81*12,0)&gt;=1,$B$81&lt;=100,SUM($B$82)&gt;=0,SUM($B$82)&lt;=1,SUM($B$83)&gt;=0)),OR(1035=1,1035=$B$174+1,AND($B$175&gt;0,1035=$B$175+1))),IF(AND($B$170=1,$B$66&gt;0,OR($B$175=0,1035&lt;=$B$175)),$B$66,IF($B$172-MAX(1035-1,$B$174)&gt;0,IF(B1435=0,0,IF(C1435=0,B1435/($B$172-MAX(1035-1,$B$174)),B1435*(C1435/12)/(1-(1+C1435/12)^(-($B$172-MAX(1035-1,$B$174)))))),"")),D1434)))),""),""))</x:f>
        <x:v>0</x:v>
      </x:c>
      <x:c r="E1435" s="440" t="n">
        <x:f>IF(AND(1035=$B$173,ISNUMBER(D1435)),IF(MAX(0,B1435*(1+C1435/12)-D1435)&lt;MAX(0.0000001,$E$17*0.00000000001),0,MAX(0,B1435*(1+C1435/12)-D1435)),0)</x:f>
        <x:v>0</x:v>
      </x:c>
      <x:c r="F1435" s="440" t="n">
        <x:f>IF($B$78="Cash payoff",E1435,0)</x:f>
        <x:v>0</x:v>
      </x:c>
      <x:c r="G1435" s="440" t="n">
        <x:f>IF(AND(E1435&gt;0,AND($B$78="Refinance",ISNUMBER($B$80),$B$80&gt;=0,$B$80&lt;=1,ROUND($B$81*12,0)&gt;=1,$B$81&lt;=100,SUM($B$82)&gt;=0,SUM($B$82)&lt;=1,SUM($B$83)&gt;=0)),E1435*SUM($B$82)+SUM($B$83),0)</x:f>
        <x:v>0</x:v>
      </x:c>
      <x:c r="H1435" s="440" t="n">
        <x:f>IF(ISNUMBER(D1435),IF(MAX(0,B1435*(1+C1435/12)-D1435-F1435)&lt;MAX(0.0000001,$E$17*0.00000000001),0,MAX(0,B1435*(1+C1435/12)-D1435-F1435)),IF(AND($B$171=1,I1434=1),B1435,""))</x:f>
        <x:v>0</x:v>
      </x:c>
      <x:c r="I1435" s="444" t="n">
        <x:f>IF(OR(I1434=1,AND(E1435&gt;0,$B$78&lt;&gt;"Cash payoff",NOT(AND($B$78="Refinance",ISNUMBER($B$80),$B$80&gt;=0,$B$80&lt;=1,ROUND($B$81*12,0)&gt;=1,$B$81&lt;=100,SUM($B$82)&gt;=0,SUM($B$82)&lt;=1,SUM($B$83)&gt;=0))),AND(ISNUMBER(B1435),B1435&gt;0,$B$171=1,NOT(ISNUMBER(D1435)))),1,0)</x:f>
        <x:v>0</x:v>
      </x:c>
      <x:c r="J1435" s="440" t="n">
        <x:f>IF(ISNUMBER(L1434),L1434,"")</x:f>
        <x:v>0</x:v>
      </x:c>
      <x:c r="K1435" s="440" t="n">
        <x:f>IF(AND(ISNUMBER(J1435),J1435=0),0,IF(AND($B$176=1,ISNUMBER(J1435)),MIN(J1435*(1+$B$87/12),IF($B$86=0,0,IF($B$87=0,$B$86/ROUND($B$88*12,0),$B$86*($B$87/12)/(1-(1+$B$87/12)^(-ROUND($B$88*12,0)))))),""))</x:f>
        <x:v>0</x:v>
      </x:c>
      <x:c r="L1435" s="440" t="n">
        <x:f>IF(ISNUMBER(K1435),IF(MAX(0,J1435*(1+SUM($B$87)/12)-K1435)&lt;MAX(0.0000001,$B$86*0.00000000001),0,MAX(0,J1435*(1+SUM($B$87)/12)-K1435)),"")</x:f>
        <x:v>0</x:v>
      </x:c>
      <x:c r="M1435" s="440" t="n">
        <x:f>IF(AND(ISNUMBER(D1435),ISNUMBER(K1435)),D1435+K1435,"")</x:f>
        <x:v>0</x:v>
      </x:c>
      <x:c r="N1435" s="440" t="n">
        <x:f>IF(AND(ISNUMBER(H1435),ISNUMBER(L1435)),H1435+L1435,"")</x:f>
        <x:v>0</x:v>
      </x:c>
    </x:row>
    <x:row r="1436" ht="22" customHeight="1">
      <x:c r="A1436" s="254" t="n">
        <x:f>1036</x:f>
        <x:v>1036</x:v>
      </x:c>
      <x:c r="B1436" s="440" t="n">
        <x:f>IF(ISNUMBER(H1435),H1435,"")</x:f>
        <x:v>0</x:v>
      </x:c>
      <x:c r="C1436" s="442" t="n">
        <x:f>IF(ISNUMBER(B1436),IF(AND(1036&gt;$B$173,$B$78="Refinance",ISNUMBER($B$80),$B$80&gt;=0,$B$80&lt;=1,ROUND($B$81*12,0)&gt;=1,$B$81&lt;=100,SUM($B$82)&gt;=0,SUM($B$82)&lt;=1,SUM($B$83)&gt;=0),$B$80,IF(AND($B$175&gt;0,1036&gt;$B$175,ISNUMBER($B$75)),$B$75,$B$61)),"")</x:f>
        <x:v>0.0625</x:v>
      </x:c>
      <x:c r="D1436" s="440" t="n">
        <x:f>IF(AND(ISNUMBER(B1436),B1436=0),0,IF(AND($B$171=1,I1435=0,ISNUMBER(C1436),ISNUMBER(IF(AND(1036&lt;=$B$174,1036&lt;=$B$173),B1436*C1436/12,IF(AND(1036=$B$173+1,AND(1036&gt;$B$173,$B$78="Refinance",ISNUMBER($B$80),$B$80&gt;=0,$B$80&lt;=1,ROUND($B$81*12,0)&gt;=1,$B$81&lt;=100,SUM($B$82)&gt;=0,SUM($B$82)&lt;=1,SUM($B$83)&gt;=0)),IF(B1436=0,0,IF(C1436=0,B1436/ROUND($B$81*12,0),B1436*(C1436/12)/(1-(1+C1436/12)^(-ROUND($B$81*12,0))))),IF(AND(NOT(AND(1036&gt;$B$173,$B$78="Refinance",ISNUMBER($B$80),$B$80&gt;=0,$B$80&lt;=1,ROUND($B$81*12,0)&gt;=1,$B$81&lt;=100,SUM($B$82)&gt;=0,SUM($B$82)&lt;=1,SUM($B$83)&gt;=0)),OR(1036=1,1036=$B$174+1,AND($B$175&gt;0,1036=$B$175+1))),IF(AND($B$170=1,$B$66&gt;0,OR($B$175=0,1036&lt;=$B$175)),$B$66,IF($B$172-MAX(1036-1,$B$174)&gt;0,IF(B1436=0,0,IF(C1436=0,B1436/($B$172-MAX(1036-1,$B$174)),B1436*(C1436/12)/(1-(1+C1436/12)^(-($B$172-MAX(1036-1,$B$174)))))),"")),D1435))))),IF(IF(AND(1036&lt;=$B$174,1036&lt;=$B$173),B1436*C1436/12,IF(AND(1036=$B$173+1,AND(1036&gt;$B$173,$B$78="Refinance",ISNUMBER($B$80),$B$80&gt;=0,$B$80&lt;=1,ROUND($B$81*12,0)&gt;=1,$B$81&lt;=100,SUM($B$82)&gt;=0,SUM($B$82)&lt;=1,SUM($B$83)&gt;=0)),IF(B1436=0,0,IF(C1436=0,B1436/ROUND($B$81*12,0),B1436*(C1436/12)/(1-(1+C1436/12)^(-ROUND($B$81*12,0))))),IF(AND(NOT(AND(1036&gt;$B$173,$B$78="Refinance",ISNUMBER($B$80),$B$80&gt;=0,$B$80&lt;=1,ROUND($B$81*12,0)&gt;=1,$B$81&lt;=100,SUM($B$82)&gt;=0,SUM($B$82)&lt;=1,SUM($B$83)&gt;=0)),OR(1036=1,1036=$B$174+1,AND($B$175&gt;0,1036=$B$175+1))),IF(AND($B$170=1,$B$66&gt;0,OR($B$175=0,1036&lt;=$B$175)),$B$66,IF($B$172-MAX(1036-1,$B$174)&gt;0,IF(B1436=0,0,IF(C1436=0,B1436/($B$172-MAX(1036-1,$B$174)),B1436*(C1436/12)/(1-(1+C1436/12)^(-($B$172-MAX(1036-1,$B$174)))))),"")),D1435)))+0.0000001&gt;=B1436*C1436/12,MIN(B1436*(1+C1436/12),IF(AND(1036&lt;=$B$174,1036&lt;=$B$173),B1436*C1436/12,IF(AND(1036=$B$173+1,AND(1036&gt;$B$173,$B$78="Refinance",ISNUMBER($B$80),$B$80&gt;=0,$B$80&lt;=1,ROUND($B$81*12,0)&gt;=1,$B$81&lt;=100,SUM($B$82)&gt;=0,SUM($B$82)&lt;=1,SUM($B$83)&gt;=0)),IF(B1436=0,0,IF(C1436=0,B1436/ROUND($B$81*12,0),B1436*(C1436/12)/(1-(1+C1436/12)^(-ROUND($B$81*12,0))))),IF(AND(NOT(AND(1036&gt;$B$173,$B$78="Refinance",ISNUMBER($B$80),$B$80&gt;=0,$B$80&lt;=1,ROUND($B$81*12,0)&gt;=1,$B$81&lt;=100,SUM($B$82)&gt;=0,SUM($B$82)&lt;=1,SUM($B$83)&gt;=0)),OR(1036=1,1036=$B$174+1,AND($B$175&gt;0,1036=$B$175+1))),IF(AND($B$170=1,$B$66&gt;0,OR($B$175=0,1036&lt;=$B$175)),$B$66,IF($B$172-MAX(1036-1,$B$174)&gt;0,IF(B1436=0,0,IF(C1436=0,B1436/($B$172-MAX(1036-1,$B$174)),B1436*(C1436/12)/(1-(1+C1436/12)^(-($B$172-MAX(1036-1,$B$174)))))),"")),D1435)))),""),""))</x:f>
        <x:v>0</x:v>
      </x:c>
      <x:c r="E1436" s="440" t="n">
        <x:f>IF(AND(1036=$B$173,ISNUMBER(D1436)),IF(MAX(0,B1436*(1+C1436/12)-D1436)&lt;MAX(0.0000001,$E$17*0.00000000001),0,MAX(0,B1436*(1+C1436/12)-D1436)),0)</x:f>
        <x:v>0</x:v>
      </x:c>
      <x:c r="F1436" s="440" t="n">
        <x:f>IF($B$78="Cash payoff",E1436,0)</x:f>
        <x:v>0</x:v>
      </x:c>
      <x:c r="G1436" s="440" t="n">
        <x:f>IF(AND(E1436&gt;0,AND($B$78="Refinance",ISNUMBER($B$80),$B$80&gt;=0,$B$80&lt;=1,ROUND($B$81*12,0)&gt;=1,$B$81&lt;=100,SUM($B$82)&gt;=0,SUM($B$82)&lt;=1,SUM($B$83)&gt;=0)),E1436*SUM($B$82)+SUM($B$83),0)</x:f>
        <x:v>0</x:v>
      </x:c>
      <x:c r="H1436" s="440" t="n">
        <x:f>IF(ISNUMBER(D1436),IF(MAX(0,B1436*(1+C1436/12)-D1436-F1436)&lt;MAX(0.0000001,$E$17*0.00000000001),0,MAX(0,B1436*(1+C1436/12)-D1436-F1436)),IF(AND($B$171=1,I1435=1),B1436,""))</x:f>
        <x:v>0</x:v>
      </x:c>
      <x:c r="I1436" s="444" t="n">
        <x:f>IF(OR(I1435=1,AND(E1436&gt;0,$B$78&lt;&gt;"Cash payoff",NOT(AND($B$78="Refinance",ISNUMBER($B$80),$B$80&gt;=0,$B$80&lt;=1,ROUND($B$81*12,0)&gt;=1,$B$81&lt;=100,SUM($B$82)&gt;=0,SUM($B$82)&lt;=1,SUM($B$83)&gt;=0))),AND(ISNUMBER(B1436),B1436&gt;0,$B$171=1,NOT(ISNUMBER(D1436)))),1,0)</x:f>
        <x:v>0</x:v>
      </x:c>
      <x:c r="J1436" s="440" t="n">
        <x:f>IF(ISNUMBER(L1435),L1435,"")</x:f>
        <x:v>0</x:v>
      </x:c>
      <x:c r="K1436" s="440" t="n">
        <x:f>IF(AND(ISNUMBER(J1436),J1436=0),0,IF(AND($B$176=1,ISNUMBER(J1436)),MIN(J1436*(1+$B$87/12),IF($B$86=0,0,IF($B$87=0,$B$86/ROUND($B$88*12,0),$B$86*($B$87/12)/(1-(1+$B$87/12)^(-ROUND($B$88*12,0)))))),""))</x:f>
        <x:v>0</x:v>
      </x:c>
      <x:c r="L1436" s="440" t="n">
        <x:f>IF(ISNUMBER(K1436),IF(MAX(0,J1436*(1+SUM($B$87)/12)-K1436)&lt;MAX(0.0000001,$B$86*0.00000000001),0,MAX(0,J1436*(1+SUM($B$87)/12)-K1436)),"")</x:f>
        <x:v>0</x:v>
      </x:c>
      <x:c r="M1436" s="440" t="n">
        <x:f>IF(AND(ISNUMBER(D1436),ISNUMBER(K1436)),D1436+K1436,"")</x:f>
        <x:v>0</x:v>
      </x:c>
      <x:c r="N1436" s="440" t="n">
        <x:f>IF(AND(ISNUMBER(H1436),ISNUMBER(L1436)),H1436+L1436,"")</x:f>
        <x:v>0</x:v>
      </x:c>
    </x:row>
    <x:row r="1437" ht="22" customHeight="1">
      <x:c r="A1437" s="254" t="n">
        <x:f>1037</x:f>
        <x:v>1037</x:v>
      </x:c>
      <x:c r="B1437" s="440" t="n">
        <x:f>IF(ISNUMBER(H1436),H1436,"")</x:f>
        <x:v>0</x:v>
      </x:c>
      <x:c r="C1437" s="442" t="n">
        <x:f>IF(ISNUMBER(B1437),IF(AND(1037&gt;$B$173,$B$78="Refinance",ISNUMBER($B$80),$B$80&gt;=0,$B$80&lt;=1,ROUND($B$81*12,0)&gt;=1,$B$81&lt;=100,SUM($B$82)&gt;=0,SUM($B$82)&lt;=1,SUM($B$83)&gt;=0),$B$80,IF(AND($B$175&gt;0,1037&gt;$B$175,ISNUMBER($B$75)),$B$75,$B$61)),"")</x:f>
        <x:v>0.0625</x:v>
      </x:c>
      <x:c r="D1437" s="440" t="n">
        <x:f>IF(AND(ISNUMBER(B1437),B1437=0),0,IF(AND($B$171=1,I1436=0,ISNUMBER(C1437),ISNUMBER(IF(AND(1037&lt;=$B$174,1037&lt;=$B$173),B1437*C1437/12,IF(AND(1037=$B$173+1,AND(1037&gt;$B$173,$B$78="Refinance",ISNUMBER($B$80),$B$80&gt;=0,$B$80&lt;=1,ROUND($B$81*12,0)&gt;=1,$B$81&lt;=100,SUM($B$82)&gt;=0,SUM($B$82)&lt;=1,SUM($B$83)&gt;=0)),IF(B1437=0,0,IF(C1437=0,B1437/ROUND($B$81*12,0),B1437*(C1437/12)/(1-(1+C1437/12)^(-ROUND($B$81*12,0))))),IF(AND(NOT(AND(1037&gt;$B$173,$B$78="Refinance",ISNUMBER($B$80),$B$80&gt;=0,$B$80&lt;=1,ROUND($B$81*12,0)&gt;=1,$B$81&lt;=100,SUM($B$82)&gt;=0,SUM($B$82)&lt;=1,SUM($B$83)&gt;=0)),OR(1037=1,1037=$B$174+1,AND($B$175&gt;0,1037=$B$175+1))),IF(AND($B$170=1,$B$66&gt;0,OR($B$175=0,1037&lt;=$B$175)),$B$66,IF($B$172-MAX(1037-1,$B$174)&gt;0,IF(B1437=0,0,IF(C1437=0,B1437/($B$172-MAX(1037-1,$B$174)),B1437*(C1437/12)/(1-(1+C1437/12)^(-($B$172-MAX(1037-1,$B$174)))))),"")),D1436))))),IF(IF(AND(1037&lt;=$B$174,1037&lt;=$B$173),B1437*C1437/12,IF(AND(1037=$B$173+1,AND(1037&gt;$B$173,$B$78="Refinance",ISNUMBER($B$80),$B$80&gt;=0,$B$80&lt;=1,ROUND($B$81*12,0)&gt;=1,$B$81&lt;=100,SUM($B$82)&gt;=0,SUM($B$82)&lt;=1,SUM($B$83)&gt;=0)),IF(B1437=0,0,IF(C1437=0,B1437/ROUND($B$81*12,0),B1437*(C1437/12)/(1-(1+C1437/12)^(-ROUND($B$81*12,0))))),IF(AND(NOT(AND(1037&gt;$B$173,$B$78="Refinance",ISNUMBER($B$80),$B$80&gt;=0,$B$80&lt;=1,ROUND($B$81*12,0)&gt;=1,$B$81&lt;=100,SUM($B$82)&gt;=0,SUM($B$82)&lt;=1,SUM($B$83)&gt;=0)),OR(1037=1,1037=$B$174+1,AND($B$175&gt;0,1037=$B$175+1))),IF(AND($B$170=1,$B$66&gt;0,OR($B$175=0,1037&lt;=$B$175)),$B$66,IF($B$172-MAX(1037-1,$B$174)&gt;0,IF(B1437=0,0,IF(C1437=0,B1437/($B$172-MAX(1037-1,$B$174)),B1437*(C1437/12)/(1-(1+C1437/12)^(-($B$172-MAX(1037-1,$B$174)))))),"")),D1436)))+0.0000001&gt;=B1437*C1437/12,MIN(B1437*(1+C1437/12),IF(AND(1037&lt;=$B$174,1037&lt;=$B$173),B1437*C1437/12,IF(AND(1037=$B$173+1,AND(1037&gt;$B$173,$B$78="Refinance",ISNUMBER($B$80),$B$80&gt;=0,$B$80&lt;=1,ROUND($B$81*12,0)&gt;=1,$B$81&lt;=100,SUM($B$82)&gt;=0,SUM($B$82)&lt;=1,SUM($B$83)&gt;=0)),IF(B1437=0,0,IF(C1437=0,B1437/ROUND($B$81*12,0),B1437*(C1437/12)/(1-(1+C1437/12)^(-ROUND($B$81*12,0))))),IF(AND(NOT(AND(1037&gt;$B$173,$B$78="Refinance",ISNUMBER($B$80),$B$80&gt;=0,$B$80&lt;=1,ROUND($B$81*12,0)&gt;=1,$B$81&lt;=100,SUM($B$82)&gt;=0,SUM($B$82)&lt;=1,SUM($B$83)&gt;=0)),OR(1037=1,1037=$B$174+1,AND($B$175&gt;0,1037=$B$175+1))),IF(AND($B$170=1,$B$66&gt;0,OR($B$175=0,1037&lt;=$B$175)),$B$66,IF($B$172-MAX(1037-1,$B$174)&gt;0,IF(B1437=0,0,IF(C1437=0,B1437/($B$172-MAX(1037-1,$B$174)),B1437*(C1437/12)/(1-(1+C1437/12)^(-($B$172-MAX(1037-1,$B$174)))))),"")),D1436)))),""),""))</x:f>
        <x:v>0</x:v>
      </x:c>
      <x:c r="E1437" s="440" t="n">
        <x:f>IF(AND(1037=$B$173,ISNUMBER(D1437)),IF(MAX(0,B1437*(1+C1437/12)-D1437)&lt;MAX(0.0000001,$E$17*0.00000000001),0,MAX(0,B1437*(1+C1437/12)-D1437)),0)</x:f>
        <x:v>0</x:v>
      </x:c>
      <x:c r="F1437" s="440" t="n">
        <x:f>IF($B$78="Cash payoff",E1437,0)</x:f>
        <x:v>0</x:v>
      </x:c>
      <x:c r="G1437" s="440" t="n">
        <x:f>IF(AND(E1437&gt;0,AND($B$78="Refinance",ISNUMBER($B$80),$B$80&gt;=0,$B$80&lt;=1,ROUND($B$81*12,0)&gt;=1,$B$81&lt;=100,SUM($B$82)&gt;=0,SUM($B$82)&lt;=1,SUM($B$83)&gt;=0)),E1437*SUM($B$82)+SUM($B$83),0)</x:f>
        <x:v>0</x:v>
      </x:c>
      <x:c r="H1437" s="440" t="n">
        <x:f>IF(ISNUMBER(D1437),IF(MAX(0,B1437*(1+C1437/12)-D1437-F1437)&lt;MAX(0.0000001,$E$17*0.00000000001),0,MAX(0,B1437*(1+C1437/12)-D1437-F1437)),IF(AND($B$171=1,I1436=1),B1437,""))</x:f>
        <x:v>0</x:v>
      </x:c>
      <x:c r="I1437" s="444" t="n">
        <x:f>IF(OR(I1436=1,AND(E1437&gt;0,$B$78&lt;&gt;"Cash payoff",NOT(AND($B$78="Refinance",ISNUMBER($B$80),$B$80&gt;=0,$B$80&lt;=1,ROUND($B$81*12,0)&gt;=1,$B$81&lt;=100,SUM($B$82)&gt;=0,SUM($B$82)&lt;=1,SUM($B$83)&gt;=0))),AND(ISNUMBER(B1437),B1437&gt;0,$B$171=1,NOT(ISNUMBER(D1437)))),1,0)</x:f>
        <x:v>0</x:v>
      </x:c>
      <x:c r="J1437" s="440" t="n">
        <x:f>IF(ISNUMBER(L1436),L1436,"")</x:f>
        <x:v>0</x:v>
      </x:c>
      <x:c r="K1437" s="440" t="n">
        <x:f>IF(AND(ISNUMBER(J1437),J1437=0),0,IF(AND($B$176=1,ISNUMBER(J1437)),MIN(J1437*(1+$B$87/12),IF($B$86=0,0,IF($B$87=0,$B$86/ROUND($B$88*12,0),$B$86*($B$87/12)/(1-(1+$B$87/12)^(-ROUND($B$88*12,0)))))),""))</x:f>
        <x:v>0</x:v>
      </x:c>
      <x:c r="L1437" s="440" t="n">
        <x:f>IF(ISNUMBER(K1437),IF(MAX(0,J1437*(1+SUM($B$87)/12)-K1437)&lt;MAX(0.0000001,$B$86*0.00000000001),0,MAX(0,J1437*(1+SUM($B$87)/12)-K1437)),"")</x:f>
        <x:v>0</x:v>
      </x:c>
      <x:c r="M1437" s="440" t="n">
        <x:f>IF(AND(ISNUMBER(D1437),ISNUMBER(K1437)),D1437+K1437,"")</x:f>
        <x:v>0</x:v>
      </x:c>
      <x:c r="N1437" s="440" t="n">
        <x:f>IF(AND(ISNUMBER(H1437),ISNUMBER(L1437)),H1437+L1437,"")</x:f>
        <x:v>0</x:v>
      </x:c>
    </x:row>
    <x:row r="1438" ht="22" customHeight="1">
      <x:c r="A1438" s="254" t="n">
        <x:f>1038</x:f>
        <x:v>1038</x:v>
      </x:c>
      <x:c r="B1438" s="440" t="n">
        <x:f>IF(ISNUMBER(H1437),H1437,"")</x:f>
        <x:v>0</x:v>
      </x:c>
      <x:c r="C1438" s="442" t="n">
        <x:f>IF(ISNUMBER(B1438),IF(AND(1038&gt;$B$173,$B$78="Refinance",ISNUMBER($B$80),$B$80&gt;=0,$B$80&lt;=1,ROUND($B$81*12,0)&gt;=1,$B$81&lt;=100,SUM($B$82)&gt;=0,SUM($B$82)&lt;=1,SUM($B$83)&gt;=0),$B$80,IF(AND($B$175&gt;0,1038&gt;$B$175,ISNUMBER($B$75)),$B$75,$B$61)),"")</x:f>
        <x:v>0.0625</x:v>
      </x:c>
      <x:c r="D1438" s="440" t="n">
        <x:f>IF(AND(ISNUMBER(B1438),B1438=0),0,IF(AND($B$171=1,I1437=0,ISNUMBER(C1438),ISNUMBER(IF(AND(1038&lt;=$B$174,1038&lt;=$B$173),B1438*C1438/12,IF(AND(1038=$B$173+1,AND(1038&gt;$B$173,$B$78="Refinance",ISNUMBER($B$80),$B$80&gt;=0,$B$80&lt;=1,ROUND($B$81*12,0)&gt;=1,$B$81&lt;=100,SUM($B$82)&gt;=0,SUM($B$82)&lt;=1,SUM($B$83)&gt;=0)),IF(B1438=0,0,IF(C1438=0,B1438/ROUND($B$81*12,0),B1438*(C1438/12)/(1-(1+C1438/12)^(-ROUND($B$81*12,0))))),IF(AND(NOT(AND(1038&gt;$B$173,$B$78="Refinance",ISNUMBER($B$80),$B$80&gt;=0,$B$80&lt;=1,ROUND($B$81*12,0)&gt;=1,$B$81&lt;=100,SUM($B$82)&gt;=0,SUM($B$82)&lt;=1,SUM($B$83)&gt;=0)),OR(1038=1,1038=$B$174+1,AND($B$175&gt;0,1038=$B$175+1))),IF(AND($B$170=1,$B$66&gt;0,OR($B$175=0,1038&lt;=$B$175)),$B$66,IF($B$172-MAX(1038-1,$B$174)&gt;0,IF(B1438=0,0,IF(C1438=0,B1438/($B$172-MAX(1038-1,$B$174)),B1438*(C1438/12)/(1-(1+C1438/12)^(-($B$172-MAX(1038-1,$B$174)))))),"")),D1437))))),IF(IF(AND(1038&lt;=$B$174,1038&lt;=$B$173),B1438*C1438/12,IF(AND(1038=$B$173+1,AND(1038&gt;$B$173,$B$78="Refinance",ISNUMBER($B$80),$B$80&gt;=0,$B$80&lt;=1,ROUND($B$81*12,0)&gt;=1,$B$81&lt;=100,SUM($B$82)&gt;=0,SUM($B$82)&lt;=1,SUM($B$83)&gt;=0)),IF(B1438=0,0,IF(C1438=0,B1438/ROUND($B$81*12,0),B1438*(C1438/12)/(1-(1+C1438/12)^(-ROUND($B$81*12,0))))),IF(AND(NOT(AND(1038&gt;$B$173,$B$78="Refinance",ISNUMBER($B$80),$B$80&gt;=0,$B$80&lt;=1,ROUND($B$81*12,0)&gt;=1,$B$81&lt;=100,SUM($B$82)&gt;=0,SUM($B$82)&lt;=1,SUM($B$83)&gt;=0)),OR(1038=1,1038=$B$174+1,AND($B$175&gt;0,1038=$B$175+1))),IF(AND($B$170=1,$B$66&gt;0,OR($B$175=0,1038&lt;=$B$175)),$B$66,IF($B$172-MAX(1038-1,$B$174)&gt;0,IF(B1438=0,0,IF(C1438=0,B1438/($B$172-MAX(1038-1,$B$174)),B1438*(C1438/12)/(1-(1+C1438/12)^(-($B$172-MAX(1038-1,$B$174)))))),"")),D1437)))+0.0000001&gt;=B1438*C1438/12,MIN(B1438*(1+C1438/12),IF(AND(1038&lt;=$B$174,1038&lt;=$B$173),B1438*C1438/12,IF(AND(1038=$B$173+1,AND(1038&gt;$B$173,$B$78="Refinance",ISNUMBER($B$80),$B$80&gt;=0,$B$80&lt;=1,ROUND($B$81*12,0)&gt;=1,$B$81&lt;=100,SUM($B$82)&gt;=0,SUM($B$82)&lt;=1,SUM($B$83)&gt;=0)),IF(B1438=0,0,IF(C1438=0,B1438/ROUND($B$81*12,0),B1438*(C1438/12)/(1-(1+C1438/12)^(-ROUND($B$81*12,0))))),IF(AND(NOT(AND(1038&gt;$B$173,$B$78="Refinance",ISNUMBER($B$80),$B$80&gt;=0,$B$80&lt;=1,ROUND($B$81*12,0)&gt;=1,$B$81&lt;=100,SUM($B$82)&gt;=0,SUM($B$82)&lt;=1,SUM($B$83)&gt;=0)),OR(1038=1,1038=$B$174+1,AND($B$175&gt;0,1038=$B$175+1))),IF(AND($B$170=1,$B$66&gt;0,OR($B$175=0,1038&lt;=$B$175)),$B$66,IF($B$172-MAX(1038-1,$B$174)&gt;0,IF(B1438=0,0,IF(C1438=0,B1438/($B$172-MAX(1038-1,$B$174)),B1438*(C1438/12)/(1-(1+C1438/12)^(-($B$172-MAX(1038-1,$B$174)))))),"")),D1437)))),""),""))</x:f>
        <x:v>0</x:v>
      </x:c>
      <x:c r="E1438" s="440" t="n">
        <x:f>IF(AND(1038=$B$173,ISNUMBER(D1438)),IF(MAX(0,B1438*(1+C1438/12)-D1438)&lt;MAX(0.0000001,$E$17*0.00000000001),0,MAX(0,B1438*(1+C1438/12)-D1438)),0)</x:f>
        <x:v>0</x:v>
      </x:c>
      <x:c r="F1438" s="440" t="n">
        <x:f>IF($B$78="Cash payoff",E1438,0)</x:f>
        <x:v>0</x:v>
      </x:c>
      <x:c r="G1438" s="440" t="n">
        <x:f>IF(AND(E1438&gt;0,AND($B$78="Refinance",ISNUMBER($B$80),$B$80&gt;=0,$B$80&lt;=1,ROUND($B$81*12,0)&gt;=1,$B$81&lt;=100,SUM($B$82)&gt;=0,SUM($B$82)&lt;=1,SUM($B$83)&gt;=0)),E1438*SUM($B$82)+SUM($B$83),0)</x:f>
        <x:v>0</x:v>
      </x:c>
      <x:c r="H1438" s="440" t="n">
        <x:f>IF(ISNUMBER(D1438),IF(MAX(0,B1438*(1+C1438/12)-D1438-F1438)&lt;MAX(0.0000001,$E$17*0.00000000001),0,MAX(0,B1438*(1+C1438/12)-D1438-F1438)),IF(AND($B$171=1,I1437=1),B1438,""))</x:f>
        <x:v>0</x:v>
      </x:c>
      <x:c r="I1438" s="444" t="n">
        <x:f>IF(OR(I1437=1,AND(E1438&gt;0,$B$78&lt;&gt;"Cash payoff",NOT(AND($B$78="Refinance",ISNUMBER($B$80),$B$80&gt;=0,$B$80&lt;=1,ROUND($B$81*12,0)&gt;=1,$B$81&lt;=100,SUM($B$82)&gt;=0,SUM($B$82)&lt;=1,SUM($B$83)&gt;=0))),AND(ISNUMBER(B1438),B1438&gt;0,$B$171=1,NOT(ISNUMBER(D1438)))),1,0)</x:f>
        <x:v>0</x:v>
      </x:c>
      <x:c r="J1438" s="440" t="n">
        <x:f>IF(ISNUMBER(L1437),L1437,"")</x:f>
        <x:v>0</x:v>
      </x:c>
      <x:c r="K1438" s="440" t="n">
        <x:f>IF(AND(ISNUMBER(J1438),J1438=0),0,IF(AND($B$176=1,ISNUMBER(J1438)),MIN(J1438*(1+$B$87/12),IF($B$86=0,0,IF($B$87=0,$B$86/ROUND($B$88*12,0),$B$86*($B$87/12)/(1-(1+$B$87/12)^(-ROUND($B$88*12,0)))))),""))</x:f>
        <x:v>0</x:v>
      </x:c>
      <x:c r="L1438" s="440" t="n">
        <x:f>IF(ISNUMBER(K1438),IF(MAX(0,J1438*(1+SUM($B$87)/12)-K1438)&lt;MAX(0.0000001,$B$86*0.00000000001),0,MAX(0,J1438*(1+SUM($B$87)/12)-K1438)),"")</x:f>
        <x:v>0</x:v>
      </x:c>
      <x:c r="M1438" s="440" t="n">
        <x:f>IF(AND(ISNUMBER(D1438),ISNUMBER(K1438)),D1438+K1438,"")</x:f>
        <x:v>0</x:v>
      </x:c>
      <x:c r="N1438" s="440" t="n">
        <x:f>IF(AND(ISNUMBER(H1438),ISNUMBER(L1438)),H1438+L1438,"")</x:f>
        <x:v>0</x:v>
      </x:c>
    </x:row>
    <x:row r="1439" ht="22" customHeight="1">
      <x:c r="A1439" s="254" t="n">
        <x:f>1039</x:f>
        <x:v>1039</x:v>
      </x:c>
      <x:c r="B1439" s="440" t="n">
        <x:f>IF(ISNUMBER(H1438),H1438,"")</x:f>
        <x:v>0</x:v>
      </x:c>
      <x:c r="C1439" s="442" t="n">
        <x:f>IF(ISNUMBER(B1439),IF(AND(1039&gt;$B$173,$B$78="Refinance",ISNUMBER($B$80),$B$80&gt;=0,$B$80&lt;=1,ROUND($B$81*12,0)&gt;=1,$B$81&lt;=100,SUM($B$82)&gt;=0,SUM($B$82)&lt;=1,SUM($B$83)&gt;=0),$B$80,IF(AND($B$175&gt;0,1039&gt;$B$175,ISNUMBER($B$75)),$B$75,$B$61)),"")</x:f>
        <x:v>0.0625</x:v>
      </x:c>
      <x:c r="D1439" s="440" t="n">
        <x:f>IF(AND(ISNUMBER(B1439),B1439=0),0,IF(AND($B$171=1,I1438=0,ISNUMBER(C1439),ISNUMBER(IF(AND(1039&lt;=$B$174,1039&lt;=$B$173),B1439*C1439/12,IF(AND(1039=$B$173+1,AND(1039&gt;$B$173,$B$78="Refinance",ISNUMBER($B$80),$B$80&gt;=0,$B$80&lt;=1,ROUND($B$81*12,0)&gt;=1,$B$81&lt;=100,SUM($B$82)&gt;=0,SUM($B$82)&lt;=1,SUM($B$83)&gt;=0)),IF(B1439=0,0,IF(C1439=0,B1439/ROUND($B$81*12,0),B1439*(C1439/12)/(1-(1+C1439/12)^(-ROUND($B$81*12,0))))),IF(AND(NOT(AND(1039&gt;$B$173,$B$78="Refinance",ISNUMBER($B$80),$B$80&gt;=0,$B$80&lt;=1,ROUND($B$81*12,0)&gt;=1,$B$81&lt;=100,SUM($B$82)&gt;=0,SUM($B$82)&lt;=1,SUM($B$83)&gt;=0)),OR(1039=1,1039=$B$174+1,AND($B$175&gt;0,1039=$B$175+1))),IF(AND($B$170=1,$B$66&gt;0,OR($B$175=0,1039&lt;=$B$175)),$B$66,IF($B$172-MAX(1039-1,$B$174)&gt;0,IF(B1439=0,0,IF(C1439=0,B1439/($B$172-MAX(1039-1,$B$174)),B1439*(C1439/12)/(1-(1+C1439/12)^(-($B$172-MAX(1039-1,$B$174)))))),"")),D1438))))),IF(IF(AND(1039&lt;=$B$174,1039&lt;=$B$173),B1439*C1439/12,IF(AND(1039=$B$173+1,AND(1039&gt;$B$173,$B$78="Refinance",ISNUMBER($B$80),$B$80&gt;=0,$B$80&lt;=1,ROUND($B$81*12,0)&gt;=1,$B$81&lt;=100,SUM($B$82)&gt;=0,SUM($B$82)&lt;=1,SUM($B$83)&gt;=0)),IF(B1439=0,0,IF(C1439=0,B1439/ROUND($B$81*12,0),B1439*(C1439/12)/(1-(1+C1439/12)^(-ROUND($B$81*12,0))))),IF(AND(NOT(AND(1039&gt;$B$173,$B$78="Refinance",ISNUMBER($B$80),$B$80&gt;=0,$B$80&lt;=1,ROUND($B$81*12,0)&gt;=1,$B$81&lt;=100,SUM($B$82)&gt;=0,SUM($B$82)&lt;=1,SUM($B$83)&gt;=0)),OR(1039=1,1039=$B$174+1,AND($B$175&gt;0,1039=$B$175+1))),IF(AND($B$170=1,$B$66&gt;0,OR($B$175=0,1039&lt;=$B$175)),$B$66,IF($B$172-MAX(1039-1,$B$174)&gt;0,IF(B1439=0,0,IF(C1439=0,B1439/($B$172-MAX(1039-1,$B$174)),B1439*(C1439/12)/(1-(1+C1439/12)^(-($B$172-MAX(1039-1,$B$174)))))),"")),D1438)))+0.0000001&gt;=B1439*C1439/12,MIN(B1439*(1+C1439/12),IF(AND(1039&lt;=$B$174,1039&lt;=$B$173),B1439*C1439/12,IF(AND(1039=$B$173+1,AND(1039&gt;$B$173,$B$78="Refinance",ISNUMBER($B$80),$B$80&gt;=0,$B$80&lt;=1,ROUND($B$81*12,0)&gt;=1,$B$81&lt;=100,SUM($B$82)&gt;=0,SUM($B$82)&lt;=1,SUM($B$83)&gt;=0)),IF(B1439=0,0,IF(C1439=0,B1439/ROUND($B$81*12,0),B1439*(C1439/12)/(1-(1+C1439/12)^(-ROUND($B$81*12,0))))),IF(AND(NOT(AND(1039&gt;$B$173,$B$78="Refinance",ISNUMBER($B$80),$B$80&gt;=0,$B$80&lt;=1,ROUND($B$81*12,0)&gt;=1,$B$81&lt;=100,SUM($B$82)&gt;=0,SUM($B$82)&lt;=1,SUM($B$83)&gt;=0)),OR(1039=1,1039=$B$174+1,AND($B$175&gt;0,1039=$B$175+1))),IF(AND($B$170=1,$B$66&gt;0,OR($B$175=0,1039&lt;=$B$175)),$B$66,IF($B$172-MAX(1039-1,$B$174)&gt;0,IF(B1439=0,0,IF(C1439=0,B1439/($B$172-MAX(1039-1,$B$174)),B1439*(C1439/12)/(1-(1+C1439/12)^(-($B$172-MAX(1039-1,$B$174)))))),"")),D1438)))),""),""))</x:f>
        <x:v>0</x:v>
      </x:c>
      <x:c r="E1439" s="440" t="n">
        <x:f>IF(AND(1039=$B$173,ISNUMBER(D1439)),IF(MAX(0,B1439*(1+C1439/12)-D1439)&lt;MAX(0.0000001,$E$17*0.00000000001),0,MAX(0,B1439*(1+C1439/12)-D1439)),0)</x:f>
        <x:v>0</x:v>
      </x:c>
      <x:c r="F1439" s="440" t="n">
        <x:f>IF($B$78="Cash payoff",E1439,0)</x:f>
        <x:v>0</x:v>
      </x:c>
      <x:c r="G1439" s="440" t="n">
        <x:f>IF(AND(E1439&gt;0,AND($B$78="Refinance",ISNUMBER($B$80),$B$80&gt;=0,$B$80&lt;=1,ROUND($B$81*12,0)&gt;=1,$B$81&lt;=100,SUM($B$82)&gt;=0,SUM($B$82)&lt;=1,SUM($B$83)&gt;=0)),E1439*SUM($B$82)+SUM($B$83),0)</x:f>
        <x:v>0</x:v>
      </x:c>
      <x:c r="H1439" s="440" t="n">
        <x:f>IF(ISNUMBER(D1439),IF(MAX(0,B1439*(1+C1439/12)-D1439-F1439)&lt;MAX(0.0000001,$E$17*0.00000000001),0,MAX(0,B1439*(1+C1439/12)-D1439-F1439)),IF(AND($B$171=1,I1438=1),B1439,""))</x:f>
        <x:v>0</x:v>
      </x:c>
      <x:c r="I1439" s="444" t="n">
        <x:f>IF(OR(I1438=1,AND(E1439&gt;0,$B$78&lt;&gt;"Cash payoff",NOT(AND($B$78="Refinance",ISNUMBER($B$80),$B$80&gt;=0,$B$80&lt;=1,ROUND($B$81*12,0)&gt;=1,$B$81&lt;=100,SUM($B$82)&gt;=0,SUM($B$82)&lt;=1,SUM($B$83)&gt;=0))),AND(ISNUMBER(B1439),B1439&gt;0,$B$171=1,NOT(ISNUMBER(D1439)))),1,0)</x:f>
        <x:v>0</x:v>
      </x:c>
      <x:c r="J1439" s="440" t="n">
        <x:f>IF(ISNUMBER(L1438),L1438,"")</x:f>
        <x:v>0</x:v>
      </x:c>
      <x:c r="K1439" s="440" t="n">
        <x:f>IF(AND(ISNUMBER(J1439),J1439=0),0,IF(AND($B$176=1,ISNUMBER(J1439)),MIN(J1439*(1+$B$87/12),IF($B$86=0,0,IF($B$87=0,$B$86/ROUND($B$88*12,0),$B$86*($B$87/12)/(1-(1+$B$87/12)^(-ROUND($B$88*12,0)))))),""))</x:f>
        <x:v>0</x:v>
      </x:c>
      <x:c r="L1439" s="440" t="n">
        <x:f>IF(ISNUMBER(K1439),IF(MAX(0,J1439*(1+SUM($B$87)/12)-K1439)&lt;MAX(0.0000001,$B$86*0.00000000001),0,MAX(0,J1439*(1+SUM($B$87)/12)-K1439)),"")</x:f>
        <x:v>0</x:v>
      </x:c>
      <x:c r="M1439" s="440" t="n">
        <x:f>IF(AND(ISNUMBER(D1439),ISNUMBER(K1439)),D1439+K1439,"")</x:f>
        <x:v>0</x:v>
      </x:c>
      <x:c r="N1439" s="440" t="n">
        <x:f>IF(AND(ISNUMBER(H1439),ISNUMBER(L1439)),H1439+L1439,"")</x:f>
        <x:v>0</x:v>
      </x:c>
    </x:row>
    <x:row r="1440" ht="22" customHeight="1">
      <x:c r="A1440" s="254" t="n">
        <x:f>1040</x:f>
        <x:v>1040</x:v>
      </x:c>
      <x:c r="B1440" s="440" t="n">
        <x:f>IF(ISNUMBER(H1439),H1439,"")</x:f>
        <x:v>0</x:v>
      </x:c>
      <x:c r="C1440" s="442" t="n">
        <x:f>IF(ISNUMBER(B1440),IF(AND(1040&gt;$B$173,$B$78="Refinance",ISNUMBER($B$80),$B$80&gt;=0,$B$80&lt;=1,ROUND($B$81*12,0)&gt;=1,$B$81&lt;=100,SUM($B$82)&gt;=0,SUM($B$82)&lt;=1,SUM($B$83)&gt;=0),$B$80,IF(AND($B$175&gt;0,1040&gt;$B$175,ISNUMBER($B$75)),$B$75,$B$61)),"")</x:f>
        <x:v>0.0625</x:v>
      </x:c>
      <x:c r="D1440" s="440" t="n">
        <x:f>IF(AND(ISNUMBER(B1440),B1440=0),0,IF(AND($B$171=1,I1439=0,ISNUMBER(C1440),ISNUMBER(IF(AND(1040&lt;=$B$174,1040&lt;=$B$173),B1440*C1440/12,IF(AND(1040=$B$173+1,AND(1040&gt;$B$173,$B$78="Refinance",ISNUMBER($B$80),$B$80&gt;=0,$B$80&lt;=1,ROUND($B$81*12,0)&gt;=1,$B$81&lt;=100,SUM($B$82)&gt;=0,SUM($B$82)&lt;=1,SUM($B$83)&gt;=0)),IF(B1440=0,0,IF(C1440=0,B1440/ROUND($B$81*12,0),B1440*(C1440/12)/(1-(1+C1440/12)^(-ROUND($B$81*12,0))))),IF(AND(NOT(AND(1040&gt;$B$173,$B$78="Refinance",ISNUMBER($B$80),$B$80&gt;=0,$B$80&lt;=1,ROUND($B$81*12,0)&gt;=1,$B$81&lt;=100,SUM($B$82)&gt;=0,SUM($B$82)&lt;=1,SUM($B$83)&gt;=0)),OR(1040=1,1040=$B$174+1,AND($B$175&gt;0,1040=$B$175+1))),IF(AND($B$170=1,$B$66&gt;0,OR($B$175=0,1040&lt;=$B$175)),$B$66,IF($B$172-MAX(1040-1,$B$174)&gt;0,IF(B1440=0,0,IF(C1440=0,B1440/($B$172-MAX(1040-1,$B$174)),B1440*(C1440/12)/(1-(1+C1440/12)^(-($B$172-MAX(1040-1,$B$174)))))),"")),D1439))))),IF(IF(AND(1040&lt;=$B$174,1040&lt;=$B$173),B1440*C1440/12,IF(AND(1040=$B$173+1,AND(1040&gt;$B$173,$B$78="Refinance",ISNUMBER($B$80),$B$80&gt;=0,$B$80&lt;=1,ROUND($B$81*12,0)&gt;=1,$B$81&lt;=100,SUM($B$82)&gt;=0,SUM($B$82)&lt;=1,SUM($B$83)&gt;=0)),IF(B1440=0,0,IF(C1440=0,B1440/ROUND($B$81*12,0),B1440*(C1440/12)/(1-(1+C1440/12)^(-ROUND($B$81*12,0))))),IF(AND(NOT(AND(1040&gt;$B$173,$B$78="Refinance",ISNUMBER($B$80),$B$80&gt;=0,$B$80&lt;=1,ROUND($B$81*12,0)&gt;=1,$B$81&lt;=100,SUM($B$82)&gt;=0,SUM($B$82)&lt;=1,SUM($B$83)&gt;=0)),OR(1040=1,1040=$B$174+1,AND($B$175&gt;0,1040=$B$175+1))),IF(AND($B$170=1,$B$66&gt;0,OR($B$175=0,1040&lt;=$B$175)),$B$66,IF($B$172-MAX(1040-1,$B$174)&gt;0,IF(B1440=0,0,IF(C1440=0,B1440/($B$172-MAX(1040-1,$B$174)),B1440*(C1440/12)/(1-(1+C1440/12)^(-($B$172-MAX(1040-1,$B$174)))))),"")),D1439)))+0.0000001&gt;=B1440*C1440/12,MIN(B1440*(1+C1440/12),IF(AND(1040&lt;=$B$174,1040&lt;=$B$173),B1440*C1440/12,IF(AND(1040=$B$173+1,AND(1040&gt;$B$173,$B$78="Refinance",ISNUMBER($B$80),$B$80&gt;=0,$B$80&lt;=1,ROUND($B$81*12,0)&gt;=1,$B$81&lt;=100,SUM($B$82)&gt;=0,SUM($B$82)&lt;=1,SUM($B$83)&gt;=0)),IF(B1440=0,0,IF(C1440=0,B1440/ROUND($B$81*12,0),B1440*(C1440/12)/(1-(1+C1440/12)^(-ROUND($B$81*12,0))))),IF(AND(NOT(AND(1040&gt;$B$173,$B$78="Refinance",ISNUMBER($B$80),$B$80&gt;=0,$B$80&lt;=1,ROUND($B$81*12,0)&gt;=1,$B$81&lt;=100,SUM($B$82)&gt;=0,SUM($B$82)&lt;=1,SUM($B$83)&gt;=0)),OR(1040=1,1040=$B$174+1,AND($B$175&gt;0,1040=$B$175+1))),IF(AND($B$170=1,$B$66&gt;0,OR($B$175=0,1040&lt;=$B$175)),$B$66,IF($B$172-MAX(1040-1,$B$174)&gt;0,IF(B1440=0,0,IF(C1440=0,B1440/($B$172-MAX(1040-1,$B$174)),B1440*(C1440/12)/(1-(1+C1440/12)^(-($B$172-MAX(1040-1,$B$174)))))),"")),D1439)))),""),""))</x:f>
        <x:v>0</x:v>
      </x:c>
      <x:c r="E1440" s="440" t="n">
        <x:f>IF(AND(1040=$B$173,ISNUMBER(D1440)),IF(MAX(0,B1440*(1+C1440/12)-D1440)&lt;MAX(0.0000001,$E$17*0.00000000001),0,MAX(0,B1440*(1+C1440/12)-D1440)),0)</x:f>
        <x:v>0</x:v>
      </x:c>
      <x:c r="F1440" s="440" t="n">
        <x:f>IF($B$78="Cash payoff",E1440,0)</x:f>
        <x:v>0</x:v>
      </x:c>
      <x:c r="G1440" s="440" t="n">
        <x:f>IF(AND(E1440&gt;0,AND($B$78="Refinance",ISNUMBER($B$80),$B$80&gt;=0,$B$80&lt;=1,ROUND($B$81*12,0)&gt;=1,$B$81&lt;=100,SUM($B$82)&gt;=0,SUM($B$82)&lt;=1,SUM($B$83)&gt;=0)),E1440*SUM($B$82)+SUM($B$83),0)</x:f>
        <x:v>0</x:v>
      </x:c>
      <x:c r="H1440" s="440" t="n">
        <x:f>IF(ISNUMBER(D1440),IF(MAX(0,B1440*(1+C1440/12)-D1440-F1440)&lt;MAX(0.0000001,$E$17*0.00000000001),0,MAX(0,B1440*(1+C1440/12)-D1440-F1440)),IF(AND($B$171=1,I1439=1),B1440,""))</x:f>
        <x:v>0</x:v>
      </x:c>
      <x:c r="I1440" s="444" t="n">
        <x:f>IF(OR(I1439=1,AND(E1440&gt;0,$B$78&lt;&gt;"Cash payoff",NOT(AND($B$78="Refinance",ISNUMBER($B$80),$B$80&gt;=0,$B$80&lt;=1,ROUND($B$81*12,0)&gt;=1,$B$81&lt;=100,SUM($B$82)&gt;=0,SUM($B$82)&lt;=1,SUM($B$83)&gt;=0))),AND(ISNUMBER(B1440),B1440&gt;0,$B$171=1,NOT(ISNUMBER(D1440)))),1,0)</x:f>
        <x:v>0</x:v>
      </x:c>
      <x:c r="J1440" s="440" t="n">
        <x:f>IF(ISNUMBER(L1439),L1439,"")</x:f>
        <x:v>0</x:v>
      </x:c>
      <x:c r="K1440" s="440" t="n">
        <x:f>IF(AND(ISNUMBER(J1440),J1440=0),0,IF(AND($B$176=1,ISNUMBER(J1440)),MIN(J1440*(1+$B$87/12),IF($B$86=0,0,IF($B$87=0,$B$86/ROUND($B$88*12,0),$B$86*($B$87/12)/(1-(1+$B$87/12)^(-ROUND($B$88*12,0)))))),""))</x:f>
        <x:v>0</x:v>
      </x:c>
      <x:c r="L1440" s="440" t="n">
        <x:f>IF(ISNUMBER(K1440),IF(MAX(0,J1440*(1+SUM($B$87)/12)-K1440)&lt;MAX(0.0000001,$B$86*0.00000000001),0,MAX(0,J1440*(1+SUM($B$87)/12)-K1440)),"")</x:f>
        <x:v>0</x:v>
      </x:c>
      <x:c r="M1440" s="440" t="n">
        <x:f>IF(AND(ISNUMBER(D1440),ISNUMBER(K1440)),D1440+K1440,"")</x:f>
        <x:v>0</x:v>
      </x:c>
      <x:c r="N1440" s="440" t="n">
        <x:f>IF(AND(ISNUMBER(H1440),ISNUMBER(L1440)),H1440+L1440,"")</x:f>
        <x:v>0</x:v>
      </x:c>
    </x:row>
    <x:row r="1441" ht="22" customHeight="1">
      <x:c r="A1441" s="254" t="n">
        <x:f>1041</x:f>
        <x:v>1041</x:v>
      </x:c>
      <x:c r="B1441" s="440" t="n">
        <x:f>IF(ISNUMBER(H1440),H1440,"")</x:f>
        <x:v>0</x:v>
      </x:c>
      <x:c r="C1441" s="442" t="n">
        <x:f>IF(ISNUMBER(B1441),IF(AND(1041&gt;$B$173,$B$78="Refinance",ISNUMBER($B$80),$B$80&gt;=0,$B$80&lt;=1,ROUND($B$81*12,0)&gt;=1,$B$81&lt;=100,SUM($B$82)&gt;=0,SUM($B$82)&lt;=1,SUM($B$83)&gt;=0),$B$80,IF(AND($B$175&gt;0,1041&gt;$B$175,ISNUMBER($B$75)),$B$75,$B$61)),"")</x:f>
        <x:v>0.0625</x:v>
      </x:c>
      <x:c r="D1441" s="440" t="n">
        <x:f>IF(AND(ISNUMBER(B1441),B1441=0),0,IF(AND($B$171=1,I1440=0,ISNUMBER(C1441),ISNUMBER(IF(AND(1041&lt;=$B$174,1041&lt;=$B$173),B1441*C1441/12,IF(AND(1041=$B$173+1,AND(1041&gt;$B$173,$B$78="Refinance",ISNUMBER($B$80),$B$80&gt;=0,$B$80&lt;=1,ROUND($B$81*12,0)&gt;=1,$B$81&lt;=100,SUM($B$82)&gt;=0,SUM($B$82)&lt;=1,SUM($B$83)&gt;=0)),IF(B1441=0,0,IF(C1441=0,B1441/ROUND($B$81*12,0),B1441*(C1441/12)/(1-(1+C1441/12)^(-ROUND($B$81*12,0))))),IF(AND(NOT(AND(1041&gt;$B$173,$B$78="Refinance",ISNUMBER($B$80),$B$80&gt;=0,$B$80&lt;=1,ROUND($B$81*12,0)&gt;=1,$B$81&lt;=100,SUM($B$82)&gt;=0,SUM($B$82)&lt;=1,SUM($B$83)&gt;=0)),OR(1041=1,1041=$B$174+1,AND($B$175&gt;0,1041=$B$175+1))),IF(AND($B$170=1,$B$66&gt;0,OR($B$175=0,1041&lt;=$B$175)),$B$66,IF($B$172-MAX(1041-1,$B$174)&gt;0,IF(B1441=0,0,IF(C1441=0,B1441/($B$172-MAX(1041-1,$B$174)),B1441*(C1441/12)/(1-(1+C1441/12)^(-($B$172-MAX(1041-1,$B$174)))))),"")),D1440))))),IF(IF(AND(1041&lt;=$B$174,1041&lt;=$B$173),B1441*C1441/12,IF(AND(1041=$B$173+1,AND(1041&gt;$B$173,$B$78="Refinance",ISNUMBER($B$80),$B$80&gt;=0,$B$80&lt;=1,ROUND($B$81*12,0)&gt;=1,$B$81&lt;=100,SUM($B$82)&gt;=0,SUM($B$82)&lt;=1,SUM($B$83)&gt;=0)),IF(B1441=0,0,IF(C1441=0,B1441/ROUND($B$81*12,0),B1441*(C1441/12)/(1-(1+C1441/12)^(-ROUND($B$81*12,0))))),IF(AND(NOT(AND(1041&gt;$B$173,$B$78="Refinance",ISNUMBER($B$80),$B$80&gt;=0,$B$80&lt;=1,ROUND($B$81*12,0)&gt;=1,$B$81&lt;=100,SUM($B$82)&gt;=0,SUM($B$82)&lt;=1,SUM($B$83)&gt;=0)),OR(1041=1,1041=$B$174+1,AND($B$175&gt;0,1041=$B$175+1))),IF(AND($B$170=1,$B$66&gt;0,OR($B$175=0,1041&lt;=$B$175)),$B$66,IF($B$172-MAX(1041-1,$B$174)&gt;0,IF(B1441=0,0,IF(C1441=0,B1441/($B$172-MAX(1041-1,$B$174)),B1441*(C1441/12)/(1-(1+C1441/12)^(-($B$172-MAX(1041-1,$B$174)))))),"")),D1440)))+0.0000001&gt;=B1441*C1441/12,MIN(B1441*(1+C1441/12),IF(AND(1041&lt;=$B$174,1041&lt;=$B$173),B1441*C1441/12,IF(AND(1041=$B$173+1,AND(1041&gt;$B$173,$B$78="Refinance",ISNUMBER($B$80),$B$80&gt;=0,$B$80&lt;=1,ROUND($B$81*12,0)&gt;=1,$B$81&lt;=100,SUM($B$82)&gt;=0,SUM($B$82)&lt;=1,SUM($B$83)&gt;=0)),IF(B1441=0,0,IF(C1441=0,B1441/ROUND($B$81*12,0),B1441*(C1441/12)/(1-(1+C1441/12)^(-ROUND($B$81*12,0))))),IF(AND(NOT(AND(1041&gt;$B$173,$B$78="Refinance",ISNUMBER($B$80),$B$80&gt;=0,$B$80&lt;=1,ROUND($B$81*12,0)&gt;=1,$B$81&lt;=100,SUM($B$82)&gt;=0,SUM($B$82)&lt;=1,SUM($B$83)&gt;=0)),OR(1041=1,1041=$B$174+1,AND($B$175&gt;0,1041=$B$175+1))),IF(AND($B$170=1,$B$66&gt;0,OR($B$175=0,1041&lt;=$B$175)),$B$66,IF($B$172-MAX(1041-1,$B$174)&gt;0,IF(B1441=0,0,IF(C1441=0,B1441/($B$172-MAX(1041-1,$B$174)),B1441*(C1441/12)/(1-(1+C1441/12)^(-($B$172-MAX(1041-1,$B$174)))))),"")),D1440)))),""),""))</x:f>
        <x:v>0</x:v>
      </x:c>
      <x:c r="E1441" s="440" t="n">
        <x:f>IF(AND(1041=$B$173,ISNUMBER(D1441)),IF(MAX(0,B1441*(1+C1441/12)-D1441)&lt;MAX(0.0000001,$E$17*0.00000000001),0,MAX(0,B1441*(1+C1441/12)-D1441)),0)</x:f>
        <x:v>0</x:v>
      </x:c>
      <x:c r="F1441" s="440" t="n">
        <x:f>IF($B$78="Cash payoff",E1441,0)</x:f>
        <x:v>0</x:v>
      </x:c>
      <x:c r="G1441" s="440" t="n">
        <x:f>IF(AND(E1441&gt;0,AND($B$78="Refinance",ISNUMBER($B$80),$B$80&gt;=0,$B$80&lt;=1,ROUND($B$81*12,0)&gt;=1,$B$81&lt;=100,SUM($B$82)&gt;=0,SUM($B$82)&lt;=1,SUM($B$83)&gt;=0)),E1441*SUM($B$82)+SUM($B$83),0)</x:f>
        <x:v>0</x:v>
      </x:c>
      <x:c r="H1441" s="440" t="n">
        <x:f>IF(ISNUMBER(D1441),IF(MAX(0,B1441*(1+C1441/12)-D1441-F1441)&lt;MAX(0.0000001,$E$17*0.00000000001),0,MAX(0,B1441*(1+C1441/12)-D1441-F1441)),IF(AND($B$171=1,I1440=1),B1441,""))</x:f>
        <x:v>0</x:v>
      </x:c>
      <x:c r="I1441" s="444" t="n">
        <x:f>IF(OR(I1440=1,AND(E1441&gt;0,$B$78&lt;&gt;"Cash payoff",NOT(AND($B$78="Refinance",ISNUMBER($B$80),$B$80&gt;=0,$B$80&lt;=1,ROUND($B$81*12,0)&gt;=1,$B$81&lt;=100,SUM($B$82)&gt;=0,SUM($B$82)&lt;=1,SUM($B$83)&gt;=0))),AND(ISNUMBER(B1441),B1441&gt;0,$B$171=1,NOT(ISNUMBER(D1441)))),1,0)</x:f>
        <x:v>0</x:v>
      </x:c>
      <x:c r="J1441" s="440" t="n">
        <x:f>IF(ISNUMBER(L1440),L1440,"")</x:f>
        <x:v>0</x:v>
      </x:c>
      <x:c r="K1441" s="440" t="n">
        <x:f>IF(AND(ISNUMBER(J1441),J1441=0),0,IF(AND($B$176=1,ISNUMBER(J1441)),MIN(J1441*(1+$B$87/12),IF($B$86=0,0,IF($B$87=0,$B$86/ROUND($B$88*12,0),$B$86*($B$87/12)/(1-(1+$B$87/12)^(-ROUND($B$88*12,0)))))),""))</x:f>
        <x:v>0</x:v>
      </x:c>
      <x:c r="L1441" s="440" t="n">
        <x:f>IF(ISNUMBER(K1441),IF(MAX(0,J1441*(1+SUM($B$87)/12)-K1441)&lt;MAX(0.0000001,$B$86*0.00000000001),0,MAX(0,J1441*(1+SUM($B$87)/12)-K1441)),"")</x:f>
        <x:v>0</x:v>
      </x:c>
      <x:c r="M1441" s="440" t="n">
        <x:f>IF(AND(ISNUMBER(D1441),ISNUMBER(K1441)),D1441+K1441,"")</x:f>
        <x:v>0</x:v>
      </x:c>
      <x:c r="N1441" s="440" t="n">
        <x:f>IF(AND(ISNUMBER(H1441),ISNUMBER(L1441)),H1441+L1441,"")</x:f>
        <x:v>0</x:v>
      </x:c>
    </x:row>
    <x:row r="1442" ht="22" customHeight="1">
      <x:c r="A1442" s="254" t="n">
        <x:f>1042</x:f>
        <x:v>1042</x:v>
      </x:c>
      <x:c r="B1442" s="440" t="n">
        <x:f>IF(ISNUMBER(H1441),H1441,"")</x:f>
        <x:v>0</x:v>
      </x:c>
      <x:c r="C1442" s="442" t="n">
        <x:f>IF(ISNUMBER(B1442),IF(AND(1042&gt;$B$173,$B$78="Refinance",ISNUMBER($B$80),$B$80&gt;=0,$B$80&lt;=1,ROUND($B$81*12,0)&gt;=1,$B$81&lt;=100,SUM($B$82)&gt;=0,SUM($B$82)&lt;=1,SUM($B$83)&gt;=0),$B$80,IF(AND($B$175&gt;0,1042&gt;$B$175,ISNUMBER($B$75)),$B$75,$B$61)),"")</x:f>
        <x:v>0.0625</x:v>
      </x:c>
      <x:c r="D1442" s="440" t="n">
        <x:f>IF(AND(ISNUMBER(B1442),B1442=0),0,IF(AND($B$171=1,I1441=0,ISNUMBER(C1442),ISNUMBER(IF(AND(1042&lt;=$B$174,1042&lt;=$B$173),B1442*C1442/12,IF(AND(1042=$B$173+1,AND(1042&gt;$B$173,$B$78="Refinance",ISNUMBER($B$80),$B$80&gt;=0,$B$80&lt;=1,ROUND($B$81*12,0)&gt;=1,$B$81&lt;=100,SUM($B$82)&gt;=0,SUM($B$82)&lt;=1,SUM($B$83)&gt;=0)),IF(B1442=0,0,IF(C1442=0,B1442/ROUND($B$81*12,0),B1442*(C1442/12)/(1-(1+C1442/12)^(-ROUND($B$81*12,0))))),IF(AND(NOT(AND(1042&gt;$B$173,$B$78="Refinance",ISNUMBER($B$80),$B$80&gt;=0,$B$80&lt;=1,ROUND($B$81*12,0)&gt;=1,$B$81&lt;=100,SUM($B$82)&gt;=0,SUM($B$82)&lt;=1,SUM($B$83)&gt;=0)),OR(1042=1,1042=$B$174+1,AND($B$175&gt;0,1042=$B$175+1))),IF(AND($B$170=1,$B$66&gt;0,OR($B$175=0,1042&lt;=$B$175)),$B$66,IF($B$172-MAX(1042-1,$B$174)&gt;0,IF(B1442=0,0,IF(C1442=0,B1442/($B$172-MAX(1042-1,$B$174)),B1442*(C1442/12)/(1-(1+C1442/12)^(-($B$172-MAX(1042-1,$B$174)))))),"")),D1441))))),IF(IF(AND(1042&lt;=$B$174,1042&lt;=$B$173),B1442*C1442/12,IF(AND(1042=$B$173+1,AND(1042&gt;$B$173,$B$78="Refinance",ISNUMBER($B$80),$B$80&gt;=0,$B$80&lt;=1,ROUND($B$81*12,0)&gt;=1,$B$81&lt;=100,SUM($B$82)&gt;=0,SUM($B$82)&lt;=1,SUM($B$83)&gt;=0)),IF(B1442=0,0,IF(C1442=0,B1442/ROUND($B$81*12,0),B1442*(C1442/12)/(1-(1+C1442/12)^(-ROUND($B$81*12,0))))),IF(AND(NOT(AND(1042&gt;$B$173,$B$78="Refinance",ISNUMBER($B$80),$B$80&gt;=0,$B$80&lt;=1,ROUND($B$81*12,0)&gt;=1,$B$81&lt;=100,SUM($B$82)&gt;=0,SUM($B$82)&lt;=1,SUM($B$83)&gt;=0)),OR(1042=1,1042=$B$174+1,AND($B$175&gt;0,1042=$B$175+1))),IF(AND($B$170=1,$B$66&gt;0,OR($B$175=0,1042&lt;=$B$175)),$B$66,IF($B$172-MAX(1042-1,$B$174)&gt;0,IF(B1442=0,0,IF(C1442=0,B1442/($B$172-MAX(1042-1,$B$174)),B1442*(C1442/12)/(1-(1+C1442/12)^(-($B$172-MAX(1042-1,$B$174)))))),"")),D1441)))+0.0000001&gt;=B1442*C1442/12,MIN(B1442*(1+C1442/12),IF(AND(1042&lt;=$B$174,1042&lt;=$B$173),B1442*C1442/12,IF(AND(1042=$B$173+1,AND(1042&gt;$B$173,$B$78="Refinance",ISNUMBER($B$80),$B$80&gt;=0,$B$80&lt;=1,ROUND($B$81*12,0)&gt;=1,$B$81&lt;=100,SUM($B$82)&gt;=0,SUM($B$82)&lt;=1,SUM($B$83)&gt;=0)),IF(B1442=0,0,IF(C1442=0,B1442/ROUND($B$81*12,0),B1442*(C1442/12)/(1-(1+C1442/12)^(-ROUND($B$81*12,0))))),IF(AND(NOT(AND(1042&gt;$B$173,$B$78="Refinance",ISNUMBER($B$80),$B$80&gt;=0,$B$80&lt;=1,ROUND($B$81*12,0)&gt;=1,$B$81&lt;=100,SUM($B$82)&gt;=0,SUM($B$82)&lt;=1,SUM($B$83)&gt;=0)),OR(1042=1,1042=$B$174+1,AND($B$175&gt;0,1042=$B$175+1))),IF(AND($B$170=1,$B$66&gt;0,OR($B$175=0,1042&lt;=$B$175)),$B$66,IF($B$172-MAX(1042-1,$B$174)&gt;0,IF(B1442=0,0,IF(C1442=0,B1442/($B$172-MAX(1042-1,$B$174)),B1442*(C1442/12)/(1-(1+C1442/12)^(-($B$172-MAX(1042-1,$B$174)))))),"")),D1441)))),""),""))</x:f>
        <x:v>0</x:v>
      </x:c>
      <x:c r="E1442" s="440" t="n">
        <x:f>IF(AND(1042=$B$173,ISNUMBER(D1442)),IF(MAX(0,B1442*(1+C1442/12)-D1442)&lt;MAX(0.0000001,$E$17*0.00000000001),0,MAX(0,B1442*(1+C1442/12)-D1442)),0)</x:f>
        <x:v>0</x:v>
      </x:c>
      <x:c r="F1442" s="440" t="n">
        <x:f>IF($B$78="Cash payoff",E1442,0)</x:f>
        <x:v>0</x:v>
      </x:c>
      <x:c r="G1442" s="440" t="n">
        <x:f>IF(AND(E1442&gt;0,AND($B$78="Refinance",ISNUMBER($B$80),$B$80&gt;=0,$B$80&lt;=1,ROUND($B$81*12,0)&gt;=1,$B$81&lt;=100,SUM($B$82)&gt;=0,SUM($B$82)&lt;=1,SUM($B$83)&gt;=0)),E1442*SUM($B$82)+SUM($B$83),0)</x:f>
        <x:v>0</x:v>
      </x:c>
      <x:c r="H1442" s="440" t="n">
        <x:f>IF(ISNUMBER(D1442),IF(MAX(0,B1442*(1+C1442/12)-D1442-F1442)&lt;MAX(0.0000001,$E$17*0.00000000001),0,MAX(0,B1442*(1+C1442/12)-D1442-F1442)),IF(AND($B$171=1,I1441=1),B1442,""))</x:f>
        <x:v>0</x:v>
      </x:c>
      <x:c r="I1442" s="444" t="n">
        <x:f>IF(OR(I1441=1,AND(E1442&gt;0,$B$78&lt;&gt;"Cash payoff",NOT(AND($B$78="Refinance",ISNUMBER($B$80),$B$80&gt;=0,$B$80&lt;=1,ROUND($B$81*12,0)&gt;=1,$B$81&lt;=100,SUM($B$82)&gt;=0,SUM($B$82)&lt;=1,SUM($B$83)&gt;=0))),AND(ISNUMBER(B1442),B1442&gt;0,$B$171=1,NOT(ISNUMBER(D1442)))),1,0)</x:f>
        <x:v>0</x:v>
      </x:c>
      <x:c r="J1442" s="440" t="n">
        <x:f>IF(ISNUMBER(L1441),L1441,"")</x:f>
        <x:v>0</x:v>
      </x:c>
      <x:c r="K1442" s="440" t="n">
        <x:f>IF(AND(ISNUMBER(J1442),J1442=0),0,IF(AND($B$176=1,ISNUMBER(J1442)),MIN(J1442*(1+$B$87/12),IF($B$86=0,0,IF($B$87=0,$B$86/ROUND($B$88*12,0),$B$86*($B$87/12)/(1-(1+$B$87/12)^(-ROUND($B$88*12,0)))))),""))</x:f>
        <x:v>0</x:v>
      </x:c>
      <x:c r="L1442" s="440" t="n">
        <x:f>IF(ISNUMBER(K1442),IF(MAX(0,J1442*(1+SUM($B$87)/12)-K1442)&lt;MAX(0.0000001,$B$86*0.00000000001),0,MAX(0,J1442*(1+SUM($B$87)/12)-K1442)),"")</x:f>
        <x:v>0</x:v>
      </x:c>
      <x:c r="M1442" s="440" t="n">
        <x:f>IF(AND(ISNUMBER(D1442),ISNUMBER(K1442)),D1442+K1442,"")</x:f>
        <x:v>0</x:v>
      </x:c>
      <x:c r="N1442" s="440" t="n">
        <x:f>IF(AND(ISNUMBER(H1442),ISNUMBER(L1442)),H1442+L1442,"")</x:f>
        <x:v>0</x:v>
      </x:c>
    </x:row>
    <x:row r="1443" ht="22" customHeight="1">
      <x:c r="A1443" s="254" t="n">
        <x:f>1043</x:f>
        <x:v>1043</x:v>
      </x:c>
      <x:c r="B1443" s="440" t="n">
        <x:f>IF(ISNUMBER(H1442),H1442,"")</x:f>
        <x:v>0</x:v>
      </x:c>
      <x:c r="C1443" s="442" t="n">
        <x:f>IF(ISNUMBER(B1443),IF(AND(1043&gt;$B$173,$B$78="Refinance",ISNUMBER($B$80),$B$80&gt;=0,$B$80&lt;=1,ROUND($B$81*12,0)&gt;=1,$B$81&lt;=100,SUM($B$82)&gt;=0,SUM($B$82)&lt;=1,SUM($B$83)&gt;=0),$B$80,IF(AND($B$175&gt;0,1043&gt;$B$175,ISNUMBER($B$75)),$B$75,$B$61)),"")</x:f>
        <x:v>0.0625</x:v>
      </x:c>
      <x:c r="D1443" s="440" t="n">
        <x:f>IF(AND(ISNUMBER(B1443),B1443=0),0,IF(AND($B$171=1,I1442=0,ISNUMBER(C1443),ISNUMBER(IF(AND(1043&lt;=$B$174,1043&lt;=$B$173),B1443*C1443/12,IF(AND(1043=$B$173+1,AND(1043&gt;$B$173,$B$78="Refinance",ISNUMBER($B$80),$B$80&gt;=0,$B$80&lt;=1,ROUND($B$81*12,0)&gt;=1,$B$81&lt;=100,SUM($B$82)&gt;=0,SUM($B$82)&lt;=1,SUM($B$83)&gt;=0)),IF(B1443=0,0,IF(C1443=0,B1443/ROUND($B$81*12,0),B1443*(C1443/12)/(1-(1+C1443/12)^(-ROUND($B$81*12,0))))),IF(AND(NOT(AND(1043&gt;$B$173,$B$78="Refinance",ISNUMBER($B$80),$B$80&gt;=0,$B$80&lt;=1,ROUND($B$81*12,0)&gt;=1,$B$81&lt;=100,SUM($B$82)&gt;=0,SUM($B$82)&lt;=1,SUM($B$83)&gt;=0)),OR(1043=1,1043=$B$174+1,AND($B$175&gt;0,1043=$B$175+1))),IF(AND($B$170=1,$B$66&gt;0,OR($B$175=0,1043&lt;=$B$175)),$B$66,IF($B$172-MAX(1043-1,$B$174)&gt;0,IF(B1443=0,0,IF(C1443=0,B1443/($B$172-MAX(1043-1,$B$174)),B1443*(C1443/12)/(1-(1+C1443/12)^(-($B$172-MAX(1043-1,$B$174)))))),"")),D1442))))),IF(IF(AND(1043&lt;=$B$174,1043&lt;=$B$173),B1443*C1443/12,IF(AND(1043=$B$173+1,AND(1043&gt;$B$173,$B$78="Refinance",ISNUMBER($B$80),$B$80&gt;=0,$B$80&lt;=1,ROUND($B$81*12,0)&gt;=1,$B$81&lt;=100,SUM($B$82)&gt;=0,SUM($B$82)&lt;=1,SUM($B$83)&gt;=0)),IF(B1443=0,0,IF(C1443=0,B1443/ROUND($B$81*12,0),B1443*(C1443/12)/(1-(1+C1443/12)^(-ROUND($B$81*12,0))))),IF(AND(NOT(AND(1043&gt;$B$173,$B$78="Refinance",ISNUMBER($B$80),$B$80&gt;=0,$B$80&lt;=1,ROUND($B$81*12,0)&gt;=1,$B$81&lt;=100,SUM($B$82)&gt;=0,SUM($B$82)&lt;=1,SUM($B$83)&gt;=0)),OR(1043=1,1043=$B$174+1,AND($B$175&gt;0,1043=$B$175+1))),IF(AND($B$170=1,$B$66&gt;0,OR($B$175=0,1043&lt;=$B$175)),$B$66,IF($B$172-MAX(1043-1,$B$174)&gt;0,IF(B1443=0,0,IF(C1443=0,B1443/($B$172-MAX(1043-1,$B$174)),B1443*(C1443/12)/(1-(1+C1443/12)^(-($B$172-MAX(1043-1,$B$174)))))),"")),D1442)))+0.0000001&gt;=B1443*C1443/12,MIN(B1443*(1+C1443/12),IF(AND(1043&lt;=$B$174,1043&lt;=$B$173),B1443*C1443/12,IF(AND(1043=$B$173+1,AND(1043&gt;$B$173,$B$78="Refinance",ISNUMBER($B$80),$B$80&gt;=0,$B$80&lt;=1,ROUND($B$81*12,0)&gt;=1,$B$81&lt;=100,SUM($B$82)&gt;=0,SUM($B$82)&lt;=1,SUM($B$83)&gt;=0)),IF(B1443=0,0,IF(C1443=0,B1443/ROUND($B$81*12,0),B1443*(C1443/12)/(1-(1+C1443/12)^(-ROUND($B$81*12,0))))),IF(AND(NOT(AND(1043&gt;$B$173,$B$78="Refinance",ISNUMBER($B$80),$B$80&gt;=0,$B$80&lt;=1,ROUND($B$81*12,0)&gt;=1,$B$81&lt;=100,SUM($B$82)&gt;=0,SUM($B$82)&lt;=1,SUM($B$83)&gt;=0)),OR(1043=1,1043=$B$174+1,AND($B$175&gt;0,1043=$B$175+1))),IF(AND($B$170=1,$B$66&gt;0,OR($B$175=0,1043&lt;=$B$175)),$B$66,IF($B$172-MAX(1043-1,$B$174)&gt;0,IF(B1443=0,0,IF(C1443=0,B1443/($B$172-MAX(1043-1,$B$174)),B1443*(C1443/12)/(1-(1+C1443/12)^(-($B$172-MAX(1043-1,$B$174)))))),"")),D1442)))),""),""))</x:f>
        <x:v>0</x:v>
      </x:c>
      <x:c r="E1443" s="440" t="n">
        <x:f>IF(AND(1043=$B$173,ISNUMBER(D1443)),IF(MAX(0,B1443*(1+C1443/12)-D1443)&lt;MAX(0.0000001,$E$17*0.00000000001),0,MAX(0,B1443*(1+C1443/12)-D1443)),0)</x:f>
        <x:v>0</x:v>
      </x:c>
      <x:c r="F1443" s="440" t="n">
        <x:f>IF($B$78="Cash payoff",E1443,0)</x:f>
        <x:v>0</x:v>
      </x:c>
      <x:c r="G1443" s="440" t="n">
        <x:f>IF(AND(E1443&gt;0,AND($B$78="Refinance",ISNUMBER($B$80),$B$80&gt;=0,$B$80&lt;=1,ROUND($B$81*12,0)&gt;=1,$B$81&lt;=100,SUM($B$82)&gt;=0,SUM($B$82)&lt;=1,SUM($B$83)&gt;=0)),E1443*SUM($B$82)+SUM($B$83),0)</x:f>
        <x:v>0</x:v>
      </x:c>
      <x:c r="H1443" s="440" t="n">
        <x:f>IF(ISNUMBER(D1443),IF(MAX(0,B1443*(1+C1443/12)-D1443-F1443)&lt;MAX(0.0000001,$E$17*0.00000000001),0,MAX(0,B1443*(1+C1443/12)-D1443-F1443)),IF(AND($B$171=1,I1442=1),B1443,""))</x:f>
        <x:v>0</x:v>
      </x:c>
      <x:c r="I1443" s="444" t="n">
        <x:f>IF(OR(I1442=1,AND(E1443&gt;0,$B$78&lt;&gt;"Cash payoff",NOT(AND($B$78="Refinance",ISNUMBER($B$80),$B$80&gt;=0,$B$80&lt;=1,ROUND($B$81*12,0)&gt;=1,$B$81&lt;=100,SUM($B$82)&gt;=0,SUM($B$82)&lt;=1,SUM($B$83)&gt;=0))),AND(ISNUMBER(B1443),B1443&gt;0,$B$171=1,NOT(ISNUMBER(D1443)))),1,0)</x:f>
        <x:v>0</x:v>
      </x:c>
      <x:c r="J1443" s="440" t="n">
        <x:f>IF(ISNUMBER(L1442),L1442,"")</x:f>
        <x:v>0</x:v>
      </x:c>
      <x:c r="K1443" s="440" t="n">
        <x:f>IF(AND(ISNUMBER(J1443),J1443=0),0,IF(AND($B$176=1,ISNUMBER(J1443)),MIN(J1443*(1+$B$87/12),IF($B$86=0,0,IF($B$87=0,$B$86/ROUND($B$88*12,0),$B$86*($B$87/12)/(1-(1+$B$87/12)^(-ROUND($B$88*12,0)))))),""))</x:f>
        <x:v>0</x:v>
      </x:c>
      <x:c r="L1443" s="440" t="n">
        <x:f>IF(ISNUMBER(K1443),IF(MAX(0,J1443*(1+SUM($B$87)/12)-K1443)&lt;MAX(0.0000001,$B$86*0.00000000001),0,MAX(0,J1443*(1+SUM($B$87)/12)-K1443)),"")</x:f>
        <x:v>0</x:v>
      </x:c>
      <x:c r="M1443" s="440" t="n">
        <x:f>IF(AND(ISNUMBER(D1443),ISNUMBER(K1443)),D1443+K1443,"")</x:f>
        <x:v>0</x:v>
      </x:c>
      <x:c r="N1443" s="440" t="n">
        <x:f>IF(AND(ISNUMBER(H1443),ISNUMBER(L1443)),H1443+L1443,"")</x:f>
        <x:v>0</x:v>
      </x:c>
    </x:row>
    <x:row r="1444" ht="22" customHeight="1">
      <x:c r="A1444" s="254" t="n">
        <x:f>1044</x:f>
        <x:v>1044</x:v>
      </x:c>
      <x:c r="B1444" s="440" t="n">
        <x:f>IF(ISNUMBER(H1443),H1443,"")</x:f>
        <x:v>0</x:v>
      </x:c>
      <x:c r="C1444" s="442" t="n">
        <x:f>IF(ISNUMBER(B1444),IF(AND(1044&gt;$B$173,$B$78="Refinance",ISNUMBER($B$80),$B$80&gt;=0,$B$80&lt;=1,ROUND($B$81*12,0)&gt;=1,$B$81&lt;=100,SUM($B$82)&gt;=0,SUM($B$82)&lt;=1,SUM($B$83)&gt;=0),$B$80,IF(AND($B$175&gt;0,1044&gt;$B$175,ISNUMBER($B$75)),$B$75,$B$61)),"")</x:f>
        <x:v>0.0625</x:v>
      </x:c>
      <x:c r="D1444" s="440" t="n">
        <x:f>IF(AND(ISNUMBER(B1444),B1444=0),0,IF(AND($B$171=1,I1443=0,ISNUMBER(C1444),ISNUMBER(IF(AND(1044&lt;=$B$174,1044&lt;=$B$173),B1444*C1444/12,IF(AND(1044=$B$173+1,AND(1044&gt;$B$173,$B$78="Refinance",ISNUMBER($B$80),$B$80&gt;=0,$B$80&lt;=1,ROUND($B$81*12,0)&gt;=1,$B$81&lt;=100,SUM($B$82)&gt;=0,SUM($B$82)&lt;=1,SUM($B$83)&gt;=0)),IF(B1444=0,0,IF(C1444=0,B1444/ROUND($B$81*12,0),B1444*(C1444/12)/(1-(1+C1444/12)^(-ROUND($B$81*12,0))))),IF(AND(NOT(AND(1044&gt;$B$173,$B$78="Refinance",ISNUMBER($B$80),$B$80&gt;=0,$B$80&lt;=1,ROUND($B$81*12,0)&gt;=1,$B$81&lt;=100,SUM($B$82)&gt;=0,SUM($B$82)&lt;=1,SUM($B$83)&gt;=0)),OR(1044=1,1044=$B$174+1,AND($B$175&gt;0,1044=$B$175+1))),IF(AND($B$170=1,$B$66&gt;0,OR($B$175=0,1044&lt;=$B$175)),$B$66,IF($B$172-MAX(1044-1,$B$174)&gt;0,IF(B1444=0,0,IF(C1444=0,B1444/($B$172-MAX(1044-1,$B$174)),B1444*(C1444/12)/(1-(1+C1444/12)^(-($B$172-MAX(1044-1,$B$174)))))),"")),D1443))))),IF(IF(AND(1044&lt;=$B$174,1044&lt;=$B$173),B1444*C1444/12,IF(AND(1044=$B$173+1,AND(1044&gt;$B$173,$B$78="Refinance",ISNUMBER($B$80),$B$80&gt;=0,$B$80&lt;=1,ROUND($B$81*12,0)&gt;=1,$B$81&lt;=100,SUM($B$82)&gt;=0,SUM($B$82)&lt;=1,SUM($B$83)&gt;=0)),IF(B1444=0,0,IF(C1444=0,B1444/ROUND($B$81*12,0),B1444*(C1444/12)/(1-(1+C1444/12)^(-ROUND($B$81*12,0))))),IF(AND(NOT(AND(1044&gt;$B$173,$B$78="Refinance",ISNUMBER($B$80),$B$80&gt;=0,$B$80&lt;=1,ROUND($B$81*12,0)&gt;=1,$B$81&lt;=100,SUM($B$82)&gt;=0,SUM($B$82)&lt;=1,SUM($B$83)&gt;=0)),OR(1044=1,1044=$B$174+1,AND($B$175&gt;0,1044=$B$175+1))),IF(AND($B$170=1,$B$66&gt;0,OR($B$175=0,1044&lt;=$B$175)),$B$66,IF($B$172-MAX(1044-1,$B$174)&gt;0,IF(B1444=0,0,IF(C1444=0,B1444/($B$172-MAX(1044-1,$B$174)),B1444*(C1444/12)/(1-(1+C1444/12)^(-($B$172-MAX(1044-1,$B$174)))))),"")),D1443)))+0.0000001&gt;=B1444*C1444/12,MIN(B1444*(1+C1444/12),IF(AND(1044&lt;=$B$174,1044&lt;=$B$173),B1444*C1444/12,IF(AND(1044=$B$173+1,AND(1044&gt;$B$173,$B$78="Refinance",ISNUMBER($B$80),$B$80&gt;=0,$B$80&lt;=1,ROUND($B$81*12,0)&gt;=1,$B$81&lt;=100,SUM($B$82)&gt;=0,SUM($B$82)&lt;=1,SUM($B$83)&gt;=0)),IF(B1444=0,0,IF(C1444=0,B1444/ROUND($B$81*12,0),B1444*(C1444/12)/(1-(1+C1444/12)^(-ROUND($B$81*12,0))))),IF(AND(NOT(AND(1044&gt;$B$173,$B$78="Refinance",ISNUMBER($B$80),$B$80&gt;=0,$B$80&lt;=1,ROUND($B$81*12,0)&gt;=1,$B$81&lt;=100,SUM($B$82)&gt;=0,SUM($B$82)&lt;=1,SUM($B$83)&gt;=0)),OR(1044=1,1044=$B$174+1,AND($B$175&gt;0,1044=$B$175+1))),IF(AND($B$170=1,$B$66&gt;0,OR($B$175=0,1044&lt;=$B$175)),$B$66,IF($B$172-MAX(1044-1,$B$174)&gt;0,IF(B1444=0,0,IF(C1444=0,B1444/($B$172-MAX(1044-1,$B$174)),B1444*(C1444/12)/(1-(1+C1444/12)^(-($B$172-MAX(1044-1,$B$174)))))),"")),D1443)))),""),""))</x:f>
        <x:v>0</x:v>
      </x:c>
      <x:c r="E1444" s="440" t="n">
        <x:f>IF(AND(1044=$B$173,ISNUMBER(D1444)),IF(MAX(0,B1444*(1+C1444/12)-D1444)&lt;MAX(0.0000001,$E$17*0.00000000001),0,MAX(0,B1444*(1+C1444/12)-D1444)),0)</x:f>
        <x:v>0</x:v>
      </x:c>
      <x:c r="F1444" s="440" t="n">
        <x:f>IF($B$78="Cash payoff",E1444,0)</x:f>
        <x:v>0</x:v>
      </x:c>
      <x:c r="G1444" s="440" t="n">
        <x:f>IF(AND(E1444&gt;0,AND($B$78="Refinance",ISNUMBER($B$80),$B$80&gt;=0,$B$80&lt;=1,ROUND($B$81*12,0)&gt;=1,$B$81&lt;=100,SUM($B$82)&gt;=0,SUM($B$82)&lt;=1,SUM($B$83)&gt;=0)),E1444*SUM($B$82)+SUM($B$83),0)</x:f>
        <x:v>0</x:v>
      </x:c>
      <x:c r="H1444" s="440" t="n">
        <x:f>IF(ISNUMBER(D1444),IF(MAX(0,B1444*(1+C1444/12)-D1444-F1444)&lt;MAX(0.0000001,$E$17*0.00000000001),0,MAX(0,B1444*(1+C1444/12)-D1444-F1444)),IF(AND($B$171=1,I1443=1),B1444,""))</x:f>
        <x:v>0</x:v>
      </x:c>
      <x:c r="I1444" s="444" t="n">
        <x:f>IF(OR(I1443=1,AND(E1444&gt;0,$B$78&lt;&gt;"Cash payoff",NOT(AND($B$78="Refinance",ISNUMBER($B$80),$B$80&gt;=0,$B$80&lt;=1,ROUND($B$81*12,0)&gt;=1,$B$81&lt;=100,SUM($B$82)&gt;=0,SUM($B$82)&lt;=1,SUM($B$83)&gt;=0))),AND(ISNUMBER(B1444),B1444&gt;0,$B$171=1,NOT(ISNUMBER(D1444)))),1,0)</x:f>
        <x:v>0</x:v>
      </x:c>
      <x:c r="J1444" s="440" t="n">
        <x:f>IF(ISNUMBER(L1443),L1443,"")</x:f>
        <x:v>0</x:v>
      </x:c>
      <x:c r="K1444" s="440" t="n">
        <x:f>IF(AND(ISNUMBER(J1444),J1444=0),0,IF(AND($B$176=1,ISNUMBER(J1444)),MIN(J1444*(1+$B$87/12),IF($B$86=0,0,IF($B$87=0,$B$86/ROUND($B$88*12,0),$B$86*($B$87/12)/(1-(1+$B$87/12)^(-ROUND($B$88*12,0)))))),""))</x:f>
        <x:v>0</x:v>
      </x:c>
      <x:c r="L1444" s="440" t="n">
        <x:f>IF(ISNUMBER(K1444),IF(MAX(0,J1444*(1+SUM($B$87)/12)-K1444)&lt;MAX(0.0000001,$B$86*0.00000000001),0,MAX(0,J1444*(1+SUM($B$87)/12)-K1444)),"")</x:f>
        <x:v>0</x:v>
      </x:c>
      <x:c r="M1444" s="440" t="n">
        <x:f>IF(AND(ISNUMBER(D1444),ISNUMBER(K1444)),D1444+K1444,"")</x:f>
        <x:v>0</x:v>
      </x:c>
      <x:c r="N1444" s="440" t="n">
        <x:f>IF(AND(ISNUMBER(H1444),ISNUMBER(L1444)),H1444+L1444,"")</x:f>
        <x:v>0</x:v>
      </x:c>
    </x:row>
    <x:row r="1445" ht="22" customHeight="1">
      <x:c r="A1445" s="254" t="n">
        <x:f>1045</x:f>
        <x:v>1045</x:v>
      </x:c>
      <x:c r="B1445" s="440" t="n">
        <x:f>IF(ISNUMBER(H1444),H1444,"")</x:f>
        <x:v>0</x:v>
      </x:c>
      <x:c r="C1445" s="442" t="n">
        <x:f>IF(ISNUMBER(B1445),IF(AND(1045&gt;$B$173,$B$78="Refinance",ISNUMBER($B$80),$B$80&gt;=0,$B$80&lt;=1,ROUND($B$81*12,0)&gt;=1,$B$81&lt;=100,SUM($B$82)&gt;=0,SUM($B$82)&lt;=1,SUM($B$83)&gt;=0),$B$80,IF(AND($B$175&gt;0,1045&gt;$B$175,ISNUMBER($B$75)),$B$75,$B$61)),"")</x:f>
        <x:v>0.0625</x:v>
      </x:c>
      <x:c r="D1445" s="440" t="n">
        <x:f>IF(AND(ISNUMBER(B1445),B1445=0),0,IF(AND($B$171=1,I1444=0,ISNUMBER(C1445),ISNUMBER(IF(AND(1045&lt;=$B$174,1045&lt;=$B$173),B1445*C1445/12,IF(AND(1045=$B$173+1,AND(1045&gt;$B$173,$B$78="Refinance",ISNUMBER($B$80),$B$80&gt;=0,$B$80&lt;=1,ROUND($B$81*12,0)&gt;=1,$B$81&lt;=100,SUM($B$82)&gt;=0,SUM($B$82)&lt;=1,SUM($B$83)&gt;=0)),IF(B1445=0,0,IF(C1445=0,B1445/ROUND($B$81*12,0),B1445*(C1445/12)/(1-(1+C1445/12)^(-ROUND($B$81*12,0))))),IF(AND(NOT(AND(1045&gt;$B$173,$B$78="Refinance",ISNUMBER($B$80),$B$80&gt;=0,$B$80&lt;=1,ROUND($B$81*12,0)&gt;=1,$B$81&lt;=100,SUM($B$82)&gt;=0,SUM($B$82)&lt;=1,SUM($B$83)&gt;=0)),OR(1045=1,1045=$B$174+1,AND($B$175&gt;0,1045=$B$175+1))),IF(AND($B$170=1,$B$66&gt;0,OR($B$175=0,1045&lt;=$B$175)),$B$66,IF($B$172-MAX(1045-1,$B$174)&gt;0,IF(B1445=0,0,IF(C1445=0,B1445/($B$172-MAX(1045-1,$B$174)),B1445*(C1445/12)/(1-(1+C1445/12)^(-($B$172-MAX(1045-1,$B$174)))))),"")),D1444))))),IF(IF(AND(1045&lt;=$B$174,1045&lt;=$B$173),B1445*C1445/12,IF(AND(1045=$B$173+1,AND(1045&gt;$B$173,$B$78="Refinance",ISNUMBER($B$80),$B$80&gt;=0,$B$80&lt;=1,ROUND($B$81*12,0)&gt;=1,$B$81&lt;=100,SUM($B$82)&gt;=0,SUM($B$82)&lt;=1,SUM($B$83)&gt;=0)),IF(B1445=0,0,IF(C1445=0,B1445/ROUND($B$81*12,0),B1445*(C1445/12)/(1-(1+C1445/12)^(-ROUND($B$81*12,0))))),IF(AND(NOT(AND(1045&gt;$B$173,$B$78="Refinance",ISNUMBER($B$80),$B$80&gt;=0,$B$80&lt;=1,ROUND($B$81*12,0)&gt;=1,$B$81&lt;=100,SUM($B$82)&gt;=0,SUM($B$82)&lt;=1,SUM($B$83)&gt;=0)),OR(1045=1,1045=$B$174+1,AND($B$175&gt;0,1045=$B$175+1))),IF(AND($B$170=1,$B$66&gt;0,OR($B$175=0,1045&lt;=$B$175)),$B$66,IF($B$172-MAX(1045-1,$B$174)&gt;0,IF(B1445=0,0,IF(C1445=0,B1445/($B$172-MAX(1045-1,$B$174)),B1445*(C1445/12)/(1-(1+C1445/12)^(-($B$172-MAX(1045-1,$B$174)))))),"")),D1444)))+0.0000001&gt;=B1445*C1445/12,MIN(B1445*(1+C1445/12),IF(AND(1045&lt;=$B$174,1045&lt;=$B$173),B1445*C1445/12,IF(AND(1045=$B$173+1,AND(1045&gt;$B$173,$B$78="Refinance",ISNUMBER($B$80),$B$80&gt;=0,$B$80&lt;=1,ROUND($B$81*12,0)&gt;=1,$B$81&lt;=100,SUM($B$82)&gt;=0,SUM($B$82)&lt;=1,SUM($B$83)&gt;=0)),IF(B1445=0,0,IF(C1445=0,B1445/ROUND($B$81*12,0),B1445*(C1445/12)/(1-(1+C1445/12)^(-ROUND($B$81*12,0))))),IF(AND(NOT(AND(1045&gt;$B$173,$B$78="Refinance",ISNUMBER($B$80),$B$80&gt;=0,$B$80&lt;=1,ROUND($B$81*12,0)&gt;=1,$B$81&lt;=100,SUM($B$82)&gt;=0,SUM($B$82)&lt;=1,SUM($B$83)&gt;=0)),OR(1045=1,1045=$B$174+1,AND($B$175&gt;0,1045=$B$175+1))),IF(AND($B$170=1,$B$66&gt;0,OR($B$175=0,1045&lt;=$B$175)),$B$66,IF($B$172-MAX(1045-1,$B$174)&gt;0,IF(B1445=0,0,IF(C1445=0,B1445/($B$172-MAX(1045-1,$B$174)),B1445*(C1445/12)/(1-(1+C1445/12)^(-($B$172-MAX(1045-1,$B$174)))))),"")),D1444)))),""),""))</x:f>
        <x:v>0</x:v>
      </x:c>
      <x:c r="E1445" s="440" t="n">
        <x:f>IF(AND(1045=$B$173,ISNUMBER(D1445)),IF(MAX(0,B1445*(1+C1445/12)-D1445)&lt;MAX(0.0000001,$E$17*0.00000000001),0,MAX(0,B1445*(1+C1445/12)-D1445)),0)</x:f>
        <x:v>0</x:v>
      </x:c>
      <x:c r="F1445" s="440" t="n">
        <x:f>IF($B$78="Cash payoff",E1445,0)</x:f>
        <x:v>0</x:v>
      </x:c>
      <x:c r="G1445" s="440" t="n">
        <x:f>IF(AND(E1445&gt;0,AND($B$78="Refinance",ISNUMBER($B$80),$B$80&gt;=0,$B$80&lt;=1,ROUND($B$81*12,0)&gt;=1,$B$81&lt;=100,SUM($B$82)&gt;=0,SUM($B$82)&lt;=1,SUM($B$83)&gt;=0)),E1445*SUM($B$82)+SUM($B$83),0)</x:f>
        <x:v>0</x:v>
      </x:c>
      <x:c r="H1445" s="440" t="n">
        <x:f>IF(ISNUMBER(D1445),IF(MAX(0,B1445*(1+C1445/12)-D1445-F1445)&lt;MAX(0.0000001,$E$17*0.00000000001),0,MAX(0,B1445*(1+C1445/12)-D1445-F1445)),IF(AND($B$171=1,I1444=1),B1445,""))</x:f>
        <x:v>0</x:v>
      </x:c>
      <x:c r="I1445" s="444" t="n">
        <x:f>IF(OR(I1444=1,AND(E1445&gt;0,$B$78&lt;&gt;"Cash payoff",NOT(AND($B$78="Refinance",ISNUMBER($B$80),$B$80&gt;=0,$B$80&lt;=1,ROUND($B$81*12,0)&gt;=1,$B$81&lt;=100,SUM($B$82)&gt;=0,SUM($B$82)&lt;=1,SUM($B$83)&gt;=0))),AND(ISNUMBER(B1445),B1445&gt;0,$B$171=1,NOT(ISNUMBER(D1445)))),1,0)</x:f>
        <x:v>0</x:v>
      </x:c>
      <x:c r="J1445" s="440" t="n">
        <x:f>IF(ISNUMBER(L1444),L1444,"")</x:f>
        <x:v>0</x:v>
      </x:c>
      <x:c r="K1445" s="440" t="n">
        <x:f>IF(AND(ISNUMBER(J1445),J1445=0),0,IF(AND($B$176=1,ISNUMBER(J1445)),MIN(J1445*(1+$B$87/12),IF($B$86=0,0,IF($B$87=0,$B$86/ROUND($B$88*12,0),$B$86*($B$87/12)/(1-(1+$B$87/12)^(-ROUND($B$88*12,0)))))),""))</x:f>
        <x:v>0</x:v>
      </x:c>
      <x:c r="L1445" s="440" t="n">
        <x:f>IF(ISNUMBER(K1445),IF(MAX(0,J1445*(1+SUM($B$87)/12)-K1445)&lt;MAX(0.0000001,$B$86*0.00000000001),0,MAX(0,J1445*(1+SUM($B$87)/12)-K1445)),"")</x:f>
        <x:v>0</x:v>
      </x:c>
      <x:c r="M1445" s="440" t="n">
        <x:f>IF(AND(ISNUMBER(D1445),ISNUMBER(K1445)),D1445+K1445,"")</x:f>
        <x:v>0</x:v>
      </x:c>
      <x:c r="N1445" s="440" t="n">
        <x:f>IF(AND(ISNUMBER(H1445),ISNUMBER(L1445)),H1445+L1445,"")</x:f>
        <x:v>0</x:v>
      </x:c>
    </x:row>
    <x:row r="1446" ht="22" customHeight="1">
      <x:c r="A1446" s="254" t="n">
        <x:f>1046</x:f>
        <x:v>1046</x:v>
      </x:c>
      <x:c r="B1446" s="440" t="n">
        <x:f>IF(ISNUMBER(H1445),H1445,"")</x:f>
        <x:v>0</x:v>
      </x:c>
      <x:c r="C1446" s="442" t="n">
        <x:f>IF(ISNUMBER(B1446),IF(AND(1046&gt;$B$173,$B$78="Refinance",ISNUMBER($B$80),$B$80&gt;=0,$B$80&lt;=1,ROUND($B$81*12,0)&gt;=1,$B$81&lt;=100,SUM($B$82)&gt;=0,SUM($B$82)&lt;=1,SUM($B$83)&gt;=0),$B$80,IF(AND($B$175&gt;0,1046&gt;$B$175,ISNUMBER($B$75)),$B$75,$B$61)),"")</x:f>
        <x:v>0.0625</x:v>
      </x:c>
      <x:c r="D1446" s="440" t="n">
        <x:f>IF(AND(ISNUMBER(B1446),B1446=0),0,IF(AND($B$171=1,I1445=0,ISNUMBER(C1446),ISNUMBER(IF(AND(1046&lt;=$B$174,1046&lt;=$B$173),B1446*C1446/12,IF(AND(1046=$B$173+1,AND(1046&gt;$B$173,$B$78="Refinance",ISNUMBER($B$80),$B$80&gt;=0,$B$80&lt;=1,ROUND($B$81*12,0)&gt;=1,$B$81&lt;=100,SUM($B$82)&gt;=0,SUM($B$82)&lt;=1,SUM($B$83)&gt;=0)),IF(B1446=0,0,IF(C1446=0,B1446/ROUND($B$81*12,0),B1446*(C1446/12)/(1-(1+C1446/12)^(-ROUND($B$81*12,0))))),IF(AND(NOT(AND(1046&gt;$B$173,$B$78="Refinance",ISNUMBER($B$80),$B$80&gt;=0,$B$80&lt;=1,ROUND($B$81*12,0)&gt;=1,$B$81&lt;=100,SUM($B$82)&gt;=0,SUM($B$82)&lt;=1,SUM($B$83)&gt;=0)),OR(1046=1,1046=$B$174+1,AND($B$175&gt;0,1046=$B$175+1))),IF(AND($B$170=1,$B$66&gt;0,OR($B$175=0,1046&lt;=$B$175)),$B$66,IF($B$172-MAX(1046-1,$B$174)&gt;0,IF(B1446=0,0,IF(C1446=0,B1446/($B$172-MAX(1046-1,$B$174)),B1446*(C1446/12)/(1-(1+C1446/12)^(-($B$172-MAX(1046-1,$B$174)))))),"")),D1445))))),IF(IF(AND(1046&lt;=$B$174,1046&lt;=$B$173),B1446*C1446/12,IF(AND(1046=$B$173+1,AND(1046&gt;$B$173,$B$78="Refinance",ISNUMBER($B$80),$B$80&gt;=0,$B$80&lt;=1,ROUND($B$81*12,0)&gt;=1,$B$81&lt;=100,SUM($B$82)&gt;=0,SUM($B$82)&lt;=1,SUM($B$83)&gt;=0)),IF(B1446=0,0,IF(C1446=0,B1446/ROUND($B$81*12,0),B1446*(C1446/12)/(1-(1+C1446/12)^(-ROUND($B$81*12,0))))),IF(AND(NOT(AND(1046&gt;$B$173,$B$78="Refinance",ISNUMBER($B$80),$B$80&gt;=0,$B$80&lt;=1,ROUND($B$81*12,0)&gt;=1,$B$81&lt;=100,SUM($B$82)&gt;=0,SUM($B$82)&lt;=1,SUM($B$83)&gt;=0)),OR(1046=1,1046=$B$174+1,AND($B$175&gt;0,1046=$B$175+1))),IF(AND($B$170=1,$B$66&gt;0,OR($B$175=0,1046&lt;=$B$175)),$B$66,IF($B$172-MAX(1046-1,$B$174)&gt;0,IF(B1446=0,0,IF(C1446=0,B1446/($B$172-MAX(1046-1,$B$174)),B1446*(C1446/12)/(1-(1+C1446/12)^(-($B$172-MAX(1046-1,$B$174)))))),"")),D1445)))+0.0000001&gt;=B1446*C1446/12,MIN(B1446*(1+C1446/12),IF(AND(1046&lt;=$B$174,1046&lt;=$B$173),B1446*C1446/12,IF(AND(1046=$B$173+1,AND(1046&gt;$B$173,$B$78="Refinance",ISNUMBER($B$80),$B$80&gt;=0,$B$80&lt;=1,ROUND($B$81*12,0)&gt;=1,$B$81&lt;=100,SUM($B$82)&gt;=0,SUM($B$82)&lt;=1,SUM($B$83)&gt;=0)),IF(B1446=0,0,IF(C1446=0,B1446/ROUND($B$81*12,0),B1446*(C1446/12)/(1-(1+C1446/12)^(-ROUND($B$81*12,0))))),IF(AND(NOT(AND(1046&gt;$B$173,$B$78="Refinance",ISNUMBER($B$80),$B$80&gt;=0,$B$80&lt;=1,ROUND($B$81*12,0)&gt;=1,$B$81&lt;=100,SUM($B$82)&gt;=0,SUM($B$82)&lt;=1,SUM($B$83)&gt;=0)),OR(1046=1,1046=$B$174+1,AND($B$175&gt;0,1046=$B$175+1))),IF(AND($B$170=1,$B$66&gt;0,OR($B$175=0,1046&lt;=$B$175)),$B$66,IF($B$172-MAX(1046-1,$B$174)&gt;0,IF(B1446=0,0,IF(C1446=0,B1446/($B$172-MAX(1046-1,$B$174)),B1446*(C1446/12)/(1-(1+C1446/12)^(-($B$172-MAX(1046-1,$B$174)))))),"")),D1445)))),""),""))</x:f>
        <x:v>0</x:v>
      </x:c>
      <x:c r="E1446" s="440" t="n">
        <x:f>IF(AND(1046=$B$173,ISNUMBER(D1446)),IF(MAX(0,B1446*(1+C1446/12)-D1446)&lt;MAX(0.0000001,$E$17*0.00000000001),0,MAX(0,B1446*(1+C1446/12)-D1446)),0)</x:f>
        <x:v>0</x:v>
      </x:c>
      <x:c r="F1446" s="440" t="n">
        <x:f>IF($B$78="Cash payoff",E1446,0)</x:f>
        <x:v>0</x:v>
      </x:c>
      <x:c r="G1446" s="440" t="n">
        <x:f>IF(AND(E1446&gt;0,AND($B$78="Refinance",ISNUMBER($B$80),$B$80&gt;=0,$B$80&lt;=1,ROUND($B$81*12,0)&gt;=1,$B$81&lt;=100,SUM($B$82)&gt;=0,SUM($B$82)&lt;=1,SUM($B$83)&gt;=0)),E1446*SUM($B$82)+SUM($B$83),0)</x:f>
        <x:v>0</x:v>
      </x:c>
      <x:c r="H1446" s="440" t="n">
        <x:f>IF(ISNUMBER(D1446),IF(MAX(0,B1446*(1+C1446/12)-D1446-F1446)&lt;MAX(0.0000001,$E$17*0.00000000001),0,MAX(0,B1446*(1+C1446/12)-D1446-F1446)),IF(AND($B$171=1,I1445=1),B1446,""))</x:f>
        <x:v>0</x:v>
      </x:c>
      <x:c r="I1446" s="444" t="n">
        <x:f>IF(OR(I1445=1,AND(E1446&gt;0,$B$78&lt;&gt;"Cash payoff",NOT(AND($B$78="Refinance",ISNUMBER($B$80),$B$80&gt;=0,$B$80&lt;=1,ROUND($B$81*12,0)&gt;=1,$B$81&lt;=100,SUM($B$82)&gt;=0,SUM($B$82)&lt;=1,SUM($B$83)&gt;=0))),AND(ISNUMBER(B1446),B1446&gt;0,$B$171=1,NOT(ISNUMBER(D1446)))),1,0)</x:f>
        <x:v>0</x:v>
      </x:c>
      <x:c r="J1446" s="440" t="n">
        <x:f>IF(ISNUMBER(L1445),L1445,"")</x:f>
        <x:v>0</x:v>
      </x:c>
      <x:c r="K1446" s="440" t="n">
        <x:f>IF(AND(ISNUMBER(J1446),J1446=0),0,IF(AND($B$176=1,ISNUMBER(J1446)),MIN(J1446*(1+$B$87/12),IF($B$86=0,0,IF($B$87=0,$B$86/ROUND($B$88*12,0),$B$86*($B$87/12)/(1-(1+$B$87/12)^(-ROUND($B$88*12,0)))))),""))</x:f>
        <x:v>0</x:v>
      </x:c>
      <x:c r="L1446" s="440" t="n">
        <x:f>IF(ISNUMBER(K1446),IF(MAX(0,J1446*(1+SUM($B$87)/12)-K1446)&lt;MAX(0.0000001,$B$86*0.00000000001),0,MAX(0,J1446*(1+SUM($B$87)/12)-K1446)),"")</x:f>
        <x:v>0</x:v>
      </x:c>
      <x:c r="M1446" s="440" t="n">
        <x:f>IF(AND(ISNUMBER(D1446),ISNUMBER(K1446)),D1446+K1446,"")</x:f>
        <x:v>0</x:v>
      </x:c>
      <x:c r="N1446" s="440" t="n">
        <x:f>IF(AND(ISNUMBER(H1446),ISNUMBER(L1446)),H1446+L1446,"")</x:f>
        <x:v>0</x:v>
      </x:c>
    </x:row>
    <x:row r="1447" ht="22" customHeight="1">
      <x:c r="A1447" s="254" t="n">
        <x:f>1047</x:f>
        <x:v>1047</x:v>
      </x:c>
      <x:c r="B1447" s="440" t="n">
        <x:f>IF(ISNUMBER(H1446),H1446,"")</x:f>
        <x:v>0</x:v>
      </x:c>
      <x:c r="C1447" s="442" t="n">
        <x:f>IF(ISNUMBER(B1447),IF(AND(1047&gt;$B$173,$B$78="Refinance",ISNUMBER($B$80),$B$80&gt;=0,$B$80&lt;=1,ROUND($B$81*12,0)&gt;=1,$B$81&lt;=100,SUM($B$82)&gt;=0,SUM($B$82)&lt;=1,SUM($B$83)&gt;=0),$B$80,IF(AND($B$175&gt;0,1047&gt;$B$175,ISNUMBER($B$75)),$B$75,$B$61)),"")</x:f>
        <x:v>0.0625</x:v>
      </x:c>
      <x:c r="D1447" s="440" t="n">
        <x:f>IF(AND(ISNUMBER(B1447),B1447=0),0,IF(AND($B$171=1,I1446=0,ISNUMBER(C1447),ISNUMBER(IF(AND(1047&lt;=$B$174,1047&lt;=$B$173),B1447*C1447/12,IF(AND(1047=$B$173+1,AND(1047&gt;$B$173,$B$78="Refinance",ISNUMBER($B$80),$B$80&gt;=0,$B$80&lt;=1,ROUND($B$81*12,0)&gt;=1,$B$81&lt;=100,SUM($B$82)&gt;=0,SUM($B$82)&lt;=1,SUM($B$83)&gt;=0)),IF(B1447=0,0,IF(C1447=0,B1447/ROUND($B$81*12,0),B1447*(C1447/12)/(1-(1+C1447/12)^(-ROUND($B$81*12,0))))),IF(AND(NOT(AND(1047&gt;$B$173,$B$78="Refinance",ISNUMBER($B$80),$B$80&gt;=0,$B$80&lt;=1,ROUND($B$81*12,0)&gt;=1,$B$81&lt;=100,SUM($B$82)&gt;=0,SUM($B$82)&lt;=1,SUM($B$83)&gt;=0)),OR(1047=1,1047=$B$174+1,AND($B$175&gt;0,1047=$B$175+1))),IF(AND($B$170=1,$B$66&gt;0,OR($B$175=0,1047&lt;=$B$175)),$B$66,IF($B$172-MAX(1047-1,$B$174)&gt;0,IF(B1447=0,0,IF(C1447=0,B1447/($B$172-MAX(1047-1,$B$174)),B1447*(C1447/12)/(1-(1+C1447/12)^(-($B$172-MAX(1047-1,$B$174)))))),"")),D1446))))),IF(IF(AND(1047&lt;=$B$174,1047&lt;=$B$173),B1447*C1447/12,IF(AND(1047=$B$173+1,AND(1047&gt;$B$173,$B$78="Refinance",ISNUMBER($B$80),$B$80&gt;=0,$B$80&lt;=1,ROUND($B$81*12,0)&gt;=1,$B$81&lt;=100,SUM($B$82)&gt;=0,SUM($B$82)&lt;=1,SUM($B$83)&gt;=0)),IF(B1447=0,0,IF(C1447=0,B1447/ROUND($B$81*12,0),B1447*(C1447/12)/(1-(1+C1447/12)^(-ROUND($B$81*12,0))))),IF(AND(NOT(AND(1047&gt;$B$173,$B$78="Refinance",ISNUMBER($B$80),$B$80&gt;=0,$B$80&lt;=1,ROUND($B$81*12,0)&gt;=1,$B$81&lt;=100,SUM($B$82)&gt;=0,SUM($B$82)&lt;=1,SUM($B$83)&gt;=0)),OR(1047=1,1047=$B$174+1,AND($B$175&gt;0,1047=$B$175+1))),IF(AND($B$170=1,$B$66&gt;0,OR($B$175=0,1047&lt;=$B$175)),$B$66,IF($B$172-MAX(1047-1,$B$174)&gt;0,IF(B1447=0,0,IF(C1447=0,B1447/($B$172-MAX(1047-1,$B$174)),B1447*(C1447/12)/(1-(1+C1447/12)^(-($B$172-MAX(1047-1,$B$174)))))),"")),D1446)))+0.0000001&gt;=B1447*C1447/12,MIN(B1447*(1+C1447/12),IF(AND(1047&lt;=$B$174,1047&lt;=$B$173),B1447*C1447/12,IF(AND(1047=$B$173+1,AND(1047&gt;$B$173,$B$78="Refinance",ISNUMBER($B$80),$B$80&gt;=0,$B$80&lt;=1,ROUND($B$81*12,0)&gt;=1,$B$81&lt;=100,SUM($B$82)&gt;=0,SUM($B$82)&lt;=1,SUM($B$83)&gt;=0)),IF(B1447=0,0,IF(C1447=0,B1447/ROUND($B$81*12,0),B1447*(C1447/12)/(1-(1+C1447/12)^(-ROUND($B$81*12,0))))),IF(AND(NOT(AND(1047&gt;$B$173,$B$78="Refinance",ISNUMBER($B$80),$B$80&gt;=0,$B$80&lt;=1,ROUND($B$81*12,0)&gt;=1,$B$81&lt;=100,SUM($B$82)&gt;=0,SUM($B$82)&lt;=1,SUM($B$83)&gt;=0)),OR(1047=1,1047=$B$174+1,AND($B$175&gt;0,1047=$B$175+1))),IF(AND($B$170=1,$B$66&gt;0,OR($B$175=0,1047&lt;=$B$175)),$B$66,IF($B$172-MAX(1047-1,$B$174)&gt;0,IF(B1447=0,0,IF(C1447=0,B1447/($B$172-MAX(1047-1,$B$174)),B1447*(C1447/12)/(1-(1+C1447/12)^(-($B$172-MAX(1047-1,$B$174)))))),"")),D1446)))),""),""))</x:f>
        <x:v>0</x:v>
      </x:c>
      <x:c r="E1447" s="440" t="n">
        <x:f>IF(AND(1047=$B$173,ISNUMBER(D1447)),IF(MAX(0,B1447*(1+C1447/12)-D1447)&lt;MAX(0.0000001,$E$17*0.00000000001),0,MAX(0,B1447*(1+C1447/12)-D1447)),0)</x:f>
        <x:v>0</x:v>
      </x:c>
      <x:c r="F1447" s="440" t="n">
        <x:f>IF($B$78="Cash payoff",E1447,0)</x:f>
        <x:v>0</x:v>
      </x:c>
      <x:c r="G1447" s="440" t="n">
        <x:f>IF(AND(E1447&gt;0,AND($B$78="Refinance",ISNUMBER($B$80),$B$80&gt;=0,$B$80&lt;=1,ROUND($B$81*12,0)&gt;=1,$B$81&lt;=100,SUM($B$82)&gt;=0,SUM($B$82)&lt;=1,SUM($B$83)&gt;=0)),E1447*SUM($B$82)+SUM($B$83),0)</x:f>
        <x:v>0</x:v>
      </x:c>
      <x:c r="H1447" s="440" t="n">
        <x:f>IF(ISNUMBER(D1447),IF(MAX(0,B1447*(1+C1447/12)-D1447-F1447)&lt;MAX(0.0000001,$E$17*0.00000000001),0,MAX(0,B1447*(1+C1447/12)-D1447-F1447)),IF(AND($B$171=1,I1446=1),B1447,""))</x:f>
        <x:v>0</x:v>
      </x:c>
      <x:c r="I1447" s="444" t="n">
        <x:f>IF(OR(I1446=1,AND(E1447&gt;0,$B$78&lt;&gt;"Cash payoff",NOT(AND($B$78="Refinance",ISNUMBER($B$80),$B$80&gt;=0,$B$80&lt;=1,ROUND($B$81*12,0)&gt;=1,$B$81&lt;=100,SUM($B$82)&gt;=0,SUM($B$82)&lt;=1,SUM($B$83)&gt;=0))),AND(ISNUMBER(B1447),B1447&gt;0,$B$171=1,NOT(ISNUMBER(D1447)))),1,0)</x:f>
        <x:v>0</x:v>
      </x:c>
      <x:c r="J1447" s="440" t="n">
        <x:f>IF(ISNUMBER(L1446),L1446,"")</x:f>
        <x:v>0</x:v>
      </x:c>
      <x:c r="K1447" s="440" t="n">
        <x:f>IF(AND(ISNUMBER(J1447),J1447=0),0,IF(AND($B$176=1,ISNUMBER(J1447)),MIN(J1447*(1+$B$87/12),IF($B$86=0,0,IF($B$87=0,$B$86/ROUND($B$88*12,0),$B$86*($B$87/12)/(1-(1+$B$87/12)^(-ROUND($B$88*12,0)))))),""))</x:f>
        <x:v>0</x:v>
      </x:c>
      <x:c r="L1447" s="440" t="n">
        <x:f>IF(ISNUMBER(K1447),IF(MAX(0,J1447*(1+SUM($B$87)/12)-K1447)&lt;MAX(0.0000001,$B$86*0.00000000001),0,MAX(0,J1447*(1+SUM($B$87)/12)-K1447)),"")</x:f>
        <x:v>0</x:v>
      </x:c>
      <x:c r="M1447" s="440" t="n">
        <x:f>IF(AND(ISNUMBER(D1447),ISNUMBER(K1447)),D1447+K1447,"")</x:f>
        <x:v>0</x:v>
      </x:c>
      <x:c r="N1447" s="440" t="n">
        <x:f>IF(AND(ISNUMBER(H1447),ISNUMBER(L1447)),H1447+L1447,"")</x:f>
        <x:v>0</x:v>
      </x:c>
    </x:row>
    <x:row r="1448" ht="22" customHeight="1">
      <x:c r="A1448" s="254" t="n">
        <x:f>1048</x:f>
        <x:v>1048</x:v>
      </x:c>
      <x:c r="B1448" s="440" t="n">
        <x:f>IF(ISNUMBER(H1447),H1447,"")</x:f>
        <x:v>0</x:v>
      </x:c>
      <x:c r="C1448" s="442" t="n">
        <x:f>IF(ISNUMBER(B1448),IF(AND(1048&gt;$B$173,$B$78="Refinance",ISNUMBER($B$80),$B$80&gt;=0,$B$80&lt;=1,ROUND($B$81*12,0)&gt;=1,$B$81&lt;=100,SUM($B$82)&gt;=0,SUM($B$82)&lt;=1,SUM($B$83)&gt;=0),$B$80,IF(AND($B$175&gt;0,1048&gt;$B$175,ISNUMBER($B$75)),$B$75,$B$61)),"")</x:f>
        <x:v>0.0625</x:v>
      </x:c>
      <x:c r="D1448" s="440" t="n">
        <x:f>IF(AND(ISNUMBER(B1448),B1448=0),0,IF(AND($B$171=1,I1447=0,ISNUMBER(C1448),ISNUMBER(IF(AND(1048&lt;=$B$174,1048&lt;=$B$173),B1448*C1448/12,IF(AND(1048=$B$173+1,AND(1048&gt;$B$173,$B$78="Refinance",ISNUMBER($B$80),$B$80&gt;=0,$B$80&lt;=1,ROUND($B$81*12,0)&gt;=1,$B$81&lt;=100,SUM($B$82)&gt;=0,SUM($B$82)&lt;=1,SUM($B$83)&gt;=0)),IF(B1448=0,0,IF(C1448=0,B1448/ROUND($B$81*12,0),B1448*(C1448/12)/(1-(1+C1448/12)^(-ROUND($B$81*12,0))))),IF(AND(NOT(AND(1048&gt;$B$173,$B$78="Refinance",ISNUMBER($B$80),$B$80&gt;=0,$B$80&lt;=1,ROUND($B$81*12,0)&gt;=1,$B$81&lt;=100,SUM($B$82)&gt;=0,SUM($B$82)&lt;=1,SUM($B$83)&gt;=0)),OR(1048=1,1048=$B$174+1,AND($B$175&gt;0,1048=$B$175+1))),IF(AND($B$170=1,$B$66&gt;0,OR($B$175=0,1048&lt;=$B$175)),$B$66,IF($B$172-MAX(1048-1,$B$174)&gt;0,IF(B1448=0,0,IF(C1448=0,B1448/($B$172-MAX(1048-1,$B$174)),B1448*(C1448/12)/(1-(1+C1448/12)^(-($B$172-MAX(1048-1,$B$174)))))),"")),D1447))))),IF(IF(AND(1048&lt;=$B$174,1048&lt;=$B$173),B1448*C1448/12,IF(AND(1048=$B$173+1,AND(1048&gt;$B$173,$B$78="Refinance",ISNUMBER($B$80),$B$80&gt;=0,$B$80&lt;=1,ROUND($B$81*12,0)&gt;=1,$B$81&lt;=100,SUM($B$82)&gt;=0,SUM($B$82)&lt;=1,SUM($B$83)&gt;=0)),IF(B1448=0,0,IF(C1448=0,B1448/ROUND($B$81*12,0),B1448*(C1448/12)/(1-(1+C1448/12)^(-ROUND($B$81*12,0))))),IF(AND(NOT(AND(1048&gt;$B$173,$B$78="Refinance",ISNUMBER($B$80),$B$80&gt;=0,$B$80&lt;=1,ROUND($B$81*12,0)&gt;=1,$B$81&lt;=100,SUM($B$82)&gt;=0,SUM($B$82)&lt;=1,SUM($B$83)&gt;=0)),OR(1048=1,1048=$B$174+1,AND($B$175&gt;0,1048=$B$175+1))),IF(AND($B$170=1,$B$66&gt;0,OR($B$175=0,1048&lt;=$B$175)),$B$66,IF($B$172-MAX(1048-1,$B$174)&gt;0,IF(B1448=0,0,IF(C1448=0,B1448/($B$172-MAX(1048-1,$B$174)),B1448*(C1448/12)/(1-(1+C1448/12)^(-($B$172-MAX(1048-1,$B$174)))))),"")),D1447)))+0.0000001&gt;=B1448*C1448/12,MIN(B1448*(1+C1448/12),IF(AND(1048&lt;=$B$174,1048&lt;=$B$173),B1448*C1448/12,IF(AND(1048=$B$173+1,AND(1048&gt;$B$173,$B$78="Refinance",ISNUMBER($B$80),$B$80&gt;=0,$B$80&lt;=1,ROUND($B$81*12,0)&gt;=1,$B$81&lt;=100,SUM($B$82)&gt;=0,SUM($B$82)&lt;=1,SUM($B$83)&gt;=0)),IF(B1448=0,0,IF(C1448=0,B1448/ROUND($B$81*12,0),B1448*(C1448/12)/(1-(1+C1448/12)^(-ROUND($B$81*12,0))))),IF(AND(NOT(AND(1048&gt;$B$173,$B$78="Refinance",ISNUMBER($B$80),$B$80&gt;=0,$B$80&lt;=1,ROUND($B$81*12,0)&gt;=1,$B$81&lt;=100,SUM($B$82)&gt;=0,SUM($B$82)&lt;=1,SUM($B$83)&gt;=0)),OR(1048=1,1048=$B$174+1,AND($B$175&gt;0,1048=$B$175+1))),IF(AND($B$170=1,$B$66&gt;0,OR($B$175=0,1048&lt;=$B$175)),$B$66,IF($B$172-MAX(1048-1,$B$174)&gt;0,IF(B1448=0,0,IF(C1448=0,B1448/($B$172-MAX(1048-1,$B$174)),B1448*(C1448/12)/(1-(1+C1448/12)^(-($B$172-MAX(1048-1,$B$174)))))),"")),D1447)))),""),""))</x:f>
        <x:v>0</x:v>
      </x:c>
      <x:c r="E1448" s="440" t="n">
        <x:f>IF(AND(1048=$B$173,ISNUMBER(D1448)),IF(MAX(0,B1448*(1+C1448/12)-D1448)&lt;MAX(0.0000001,$E$17*0.00000000001),0,MAX(0,B1448*(1+C1448/12)-D1448)),0)</x:f>
        <x:v>0</x:v>
      </x:c>
      <x:c r="F1448" s="440" t="n">
        <x:f>IF($B$78="Cash payoff",E1448,0)</x:f>
        <x:v>0</x:v>
      </x:c>
      <x:c r="G1448" s="440" t="n">
        <x:f>IF(AND(E1448&gt;0,AND($B$78="Refinance",ISNUMBER($B$80),$B$80&gt;=0,$B$80&lt;=1,ROUND($B$81*12,0)&gt;=1,$B$81&lt;=100,SUM($B$82)&gt;=0,SUM($B$82)&lt;=1,SUM($B$83)&gt;=0)),E1448*SUM($B$82)+SUM($B$83),0)</x:f>
        <x:v>0</x:v>
      </x:c>
      <x:c r="H1448" s="440" t="n">
        <x:f>IF(ISNUMBER(D1448),IF(MAX(0,B1448*(1+C1448/12)-D1448-F1448)&lt;MAX(0.0000001,$E$17*0.00000000001),0,MAX(0,B1448*(1+C1448/12)-D1448-F1448)),IF(AND($B$171=1,I1447=1),B1448,""))</x:f>
        <x:v>0</x:v>
      </x:c>
      <x:c r="I1448" s="444" t="n">
        <x:f>IF(OR(I1447=1,AND(E1448&gt;0,$B$78&lt;&gt;"Cash payoff",NOT(AND($B$78="Refinance",ISNUMBER($B$80),$B$80&gt;=0,$B$80&lt;=1,ROUND($B$81*12,0)&gt;=1,$B$81&lt;=100,SUM($B$82)&gt;=0,SUM($B$82)&lt;=1,SUM($B$83)&gt;=0))),AND(ISNUMBER(B1448),B1448&gt;0,$B$171=1,NOT(ISNUMBER(D1448)))),1,0)</x:f>
        <x:v>0</x:v>
      </x:c>
      <x:c r="J1448" s="440" t="n">
        <x:f>IF(ISNUMBER(L1447),L1447,"")</x:f>
        <x:v>0</x:v>
      </x:c>
      <x:c r="K1448" s="440" t="n">
        <x:f>IF(AND(ISNUMBER(J1448),J1448=0),0,IF(AND($B$176=1,ISNUMBER(J1448)),MIN(J1448*(1+$B$87/12),IF($B$86=0,0,IF($B$87=0,$B$86/ROUND($B$88*12,0),$B$86*($B$87/12)/(1-(1+$B$87/12)^(-ROUND($B$88*12,0)))))),""))</x:f>
        <x:v>0</x:v>
      </x:c>
      <x:c r="L1448" s="440" t="n">
        <x:f>IF(ISNUMBER(K1448),IF(MAX(0,J1448*(1+SUM($B$87)/12)-K1448)&lt;MAX(0.0000001,$B$86*0.00000000001),0,MAX(0,J1448*(1+SUM($B$87)/12)-K1448)),"")</x:f>
        <x:v>0</x:v>
      </x:c>
      <x:c r="M1448" s="440" t="n">
        <x:f>IF(AND(ISNUMBER(D1448),ISNUMBER(K1448)),D1448+K1448,"")</x:f>
        <x:v>0</x:v>
      </x:c>
      <x:c r="N1448" s="440" t="n">
        <x:f>IF(AND(ISNUMBER(H1448),ISNUMBER(L1448)),H1448+L1448,"")</x:f>
        <x:v>0</x:v>
      </x:c>
    </x:row>
    <x:row r="1449" ht="22" customHeight="1">
      <x:c r="A1449" s="254" t="n">
        <x:f>1049</x:f>
        <x:v>1049</x:v>
      </x:c>
      <x:c r="B1449" s="440" t="n">
        <x:f>IF(ISNUMBER(H1448),H1448,"")</x:f>
        <x:v>0</x:v>
      </x:c>
      <x:c r="C1449" s="442" t="n">
        <x:f>IF(ISNUMBER(B1449),IF(AND(1049&gt;$B$173,$B$78="Refinance",ISNUMBER($B$80),$B$80&gt;=0,$B$80&lt;=1,ROUND($B$81*12,0)&gt;=1,$B$81&lt;=100,SUM($B$82)&gt;=0,SUM($B$82)&lt;=1,SUM($B$83)&gt;=0),$B$80,IF(AND($B$175&gt;0,1049&gt;$B$175,ISNUMBER($B$75)),$B$75,$B$61)),"")</x:f>
        <x:v>0.0625</x:v>
      </x:c>
      <x:c r="D1449" s="440" t="n">
        <x:f>IF(AND(ISNUMBER(B1449),B1449=0),0,IF(AND($B$171=1,I1448=0,ISNUMBER(C1449),ISNUMBER(IF(AND(1049&lt;=$B$174,1049&lt;=$B$173),B1449*C1449/12,IF(AND(1049=$B$173+1,AND(1049&gt;$B$173,$B$78="Refinance",ISNUMBER($B$80),$B$80&gt;=0,$B$80&lt;=1,ROUND($B$81*12,0)&gt;=1,$B$81&lt;=100,SUM($B$82)&gt;=0,SUM($B$82)&lt;=1,SUM($B$83)&gt;=0)),IF(B1449=0,0,IF(C1449=0,B1449/ROUND($B$81*12,0),B1449*(C1449/12)/(1-(1+C1449/12)^(-ROUND($B$81*12,0))))),IF(AND(NOT(AND(1049&gt;$B$173,$B$78="Refinance",ISNUMBER($B$80),$B$80&gt;=0,$B$80&lt;=1,ROUND($B$81*12,0)&gt;=1,$B$81&lt;=100,SUM($B$82)&gt;=0,SUM($B$82)&lt;=1,SUM($B$83)&gt;=0)),OR(1049=1,1049=$B$174+1,AND($B$175&gt;0,1049=$B$175+1))),IF(AND($B$170=1,$B$66&gt;0,OR($B$175=0,1049&lt;=$B$175)),$B$66,IF($B$172-MAX(1049-1,$B$174)&gt;0,IF(B1449=0,0,IF(C1449=0,B1449/($B$172-MAX(1049-1,$B$174)),B1449*(C1449/12)/(1-(1+C1449/12)^(-($B$172-MAX(1049-1,$B$174)))))),"")),D1448))))),IF(IF(AND(1049&lt;=$B$174,1049&lt;=$B$173),B1449*C1449/12,IF(AND(1049=$B$173+1,AND(1049&gt;$B$173,$B$78="Refinance",ISNUMBER($B$80),$B$80&gt;=0,$B$80&lt;=1,ROUND($B$81*12,0)&gt;=1,$B$81&lt;=100,SUM($B$82)&gt;=0,SUM($B$82)&lt;=1,SUM($B$83)&gt;=0)),IF(B1449=0,0,IF(C1449=0,B1449/ROUND($B$81*12,0),B1449*(C1449/12)/(1-(1+C1449/12)^(-ROUND($B$81*12,0))))),IF(AND(NOT(AND(1049&gt;$B$173,$B$78="Refinance",ISNUMBER($B$80),$B$80&gt;=0,$B$80&lt;=1,ROUND($B$81*12,0)&gt;=1,$B$81&lt;=100,SUM($B$82)&gt;=0,SUM($B$82)&lt;=1,SUM($B$83)&gt;=0)),OR(1049=1,1049=$B$174+1,AND($B$175&gt;0,1049=$B$175+1))),IF(AND($B$170=1,$B$66&gt;0,OR($B$175=0,1049&lt;=$B$175)),$B$66,IF($B$172-MAX(1049-1,$B$174)&gt;0,IF(B1449=0,0,IF(C1449=0,B1449/($B$172-MAX(1049-1,$B$174)),B1449*(C1449/12)/(1-(1+C1449/12)^(-($B$172-MAX(1049-1,$B$174)))))),"")),D1448)))+0.0000001&gt;=B1449*C1449/12,MIN(B1449*(1+C1449/12),IF(AND(1049&lt;=$B$174,1049&lt;=$B$173),B1449*C1449/12,IF(AND(1049=$B$173+1,AND(1049&gt;$B$173,$B$78="Refinance",ISNUMBER($B$80),$B$80&gt;=0,$B$80&lt;=1,ROUND($B$81*12,0)&gt;=1,$B$81&lt;=100,SUM($B$82)&gt;=0,SUM($B$82)&lt;=1,SUM($B$83)&gt;=0)),IF(B1449=0,0,IF(C1449=0,B1449/ROUND($B$81*12,0),B1449*(C1449/12)/(1-(1+C1449/12)^(-ROUND($B$81*12,0))))),IF(AND(NOT(AND(1049&gt;$B$173,$B$78="Refinance",ISNUMBER($B$80),$B$80&gt;=0,$B$80&lt;=1,ROUND($B$81*12,0)&gt;=1,$B$81&lt;=100,SUM($B$82)&gt;=0,SUM($B$82)&lt;=1,SUM($B$83)&gt;=0)),OR(1049=1,1049=$B$174+1,AND($B$175&gt;0,1049=$B$175+1))),IF(AND($B$170=1,$B$66&gt;0,OR($B$175=0,1049&lt;=$B$175)),$B$66,IF($B$172-MAX(1049-1,$B$174)&gt;0,IF(B1449=0,0,IF(C1449=0,B1449/($B$172-MAX(1049-1,$B$174)),B1449*(C1449/12)/(1-(1+C1449/12)^(-($B$172-MAX(1049-1,$B$174)))))),"")),D1448)))),""),""))</x:f>
        <x:v>0</x:v>
      </x:c>
      <x:c r="E1449" s="440" t="n">
        <x:f>IF(AND(1049=$B$173,ISNUMBER(D1449)),IF(MAX(0,B1449*(1+C1449/12)-D1449)&lt;MAX(0.0000001,$E$17*0.00000000001),0,MAX(0,B1449*(1+C1449/12)-D1449)),0)</x:f>
        <x:v>0</x:v>
      </x:c>
      <x:c r="F1449" s="440" t="n">
        <x:f>IF($B$78="Cash payoff",E1449,0)</x:f>
        <x:v>0</x:v>
      </x:c>
      <x:c r="G1449" s="440" t="n">
        <x:f>IF(AND(E1449&gt;0,AND($B$78="Refinance",ISNUMBER($B$80),$B$80&gt;=0,$B$80&lt;=1,ROUND($B$81*12,0)&gt;=1,$B$81&lt;=100,SUM($B$82)&gt;=0,SUM($B$82)&lt;=1,SUM($B$83)&gt;=0)),E1449*SUM($B$82)+SUM($B$83),0)</x:f>
        <x:v>0</x:v>
      </x:c>
      <x:c r="H1449" s="440" t="n">
        <x:f>IF(ISNUMBER(D1449),IF(MAX(0,B1449*(1+C1449/12)-D1449-F1449)&lt;MAX(0.0000001,$E$17*0.00000000001),0,MAX(0,B1449*(1+C1449/12)-D1449-F1449)),IF(AND($B$171=1,I1448=1),B1449,""))</x:f>
        <x:v>0</x:v>
      </x:c>
      <x:c r="I1449" s="444" t="n">
        <x:f>IF(OR(I1448=1,AND(E1449&gt;0,$B$78&lt;&gt;"Cash payoff",NOT(AND($B$78="Refinance",ISNUMBER($B$80),$B$80&gt;=0,$B$80&lt;=1,ROUND($B$81*12,0)&gt;=1,$B$81&lt;=100,SUM($B$82)&gt;=0,SUM($B$82)&lt;=1,SUM($B$83)&gt;=0))),AND(ISNUMBER(B1449),B1449&gt;0,$B$171=1,NOT(ISNUMBER(D1449)))),1,0)</x:f>
        <x:v>0</x:v>
      </x:c>
      <x:c r="J1449" s="440" t="n">
        <x:f>IF(ISNUMBER(L1448),L1448,"")</x:f>
        <x:v>0</x:v>
      </x:c>
      <x:c r="K1449" s="440" t="n">
        <x:f>IF(AND(ISNUMBER(J1449),J1449=0),0,IF(AND($B$176=1,ISNUMBER(J1449)),MIN(J1449*(1+$B$87/12),IF($B$86=0,0,IF($B$87=0,$B$86/ROUND($B$88*12,0),$B$86*($B$87/12)/(1-(1+$B$87/12)^(-ROUND($B$88*12,0)))))),""))</x:f>
        <x:v>0</x:v>
      </x:c>
      <x:c r="L1449" s="440" t="n">
        <x:f>IF(ISNUMBER(K1449),IF(MAX(0,J1449*(1+SUM($B$87)/12)-K1449)&lt;MAX(0.0000001,$B$86*0.00000000001),0,MAX(0,J1449*(1+SUM($B$87)/12)-K1449)),"")</x:f>
        <x:v>0</x:v>
      </x:c>
      <x:c r="M1449" s="440" t="n">
        <x:f>IF(AND(ISNUMBER(D1449),ISNUMBER(K1449)),D1449+K1449,"")</x:f>
        <x:v>0</x:v>
      </x:c>
      <x:c r="N1449" s="440" t="n">
        <x:f>IF(AND(ISNUMBER(H1449),ISNUMBER(L1449)),H1449+L1449,"")</x:f>
        <x:v>0</x:v>
      </x:c>
    </x:row>
    <x:row r="1450" ht="22" customHeight="1">
      <x:c r="A1450" s="254" t="n">
        <x:f>1050</x:f>
        <x:v>1050</x:v>
      </x:c>
      <x:c r="B1450" s="440" t="n">
        <x:f>IF(ISNUMBER(H1449),H1449,"")</x:f>
        <x:v>0</x:v>
      </x:c>
      <x:c r="C1450" s="442" t="n">
        <x:f>IF(ISNUMBER(B1450),IF(AND(1050&gt;$B$173,$B$78="Refinance",ISNUMBER($B$80),$B$80&gt;=0,$B$80&lt;=1,ROUND($B$81*12,0)&gt;=1,$B$81&lt;=100,SUM($B$82)&gt;=0,SUM($B$82)&lt;=1,SUM($B$83)&gt;=0),$B$80,IF(AND($B$175&gt;0,1050&gt;$B$175,ISNUMBER($B$75)),$B$75,$B$61)),"")</x:f>
        <x:v>0.0625</x:v>
      </x:c>
      <x:c r="D1450" s="440" t="n">
        <x:f>IF(AND(ISNUMBER(B1450),B1450=0),0,IF(AND($B$171=1,I1449=0,ISNUMBER(C1450),ISNUMBER(IF(AND(1050&lt;=$B$174,1050&lt;=$B$173),B1450*C1450/12,IF(AND(1050=$B$173+1,AND(1050&gt;$B$173,$B$78="Refinance",ISNUMBER($B$80),$B$80&gt;=0,$B$80&lt;=1,ROUND($B$81*12,0)&gt;=1,$B$81&lt;=100,SUM($B$82)&gt;=0,SUM($B$82)&lt;=1,SUM($B$83)&gt;=0)),IF(B1450=0,0,IF(C1450=0,B1450/ROUND($B$81*12,0),B1450*(C1450/12)/(1-(1+C1450/12)^(-ROUND($B$81*12,0))))),IF(AND(NOT(AND(1050&gt;$B$173,$B$78="Refinance",ISNUMBER($B$80),$B$80&gt;=0,$B$80&lt;=1,ROUND($B$81*12,0)&gt;=1,$B$81&lt;=100,SUM($B$82)&gt;=0,SUM($B$82)&lt;=1,SUM($B$83)&gt;=0)),OR(1050=1,1050=$B$174+1,AND($B$175&gt;0,1050=$B$175+1))),IF(AND($B$170=1,$B$66&gt;0,OR($B$175=0,1050&lt;=$B$175)),$B$66,IF($B$172-MAX(1050-1,$B$174)&gt;0,IF(B1450=0,0,IF(C1450=0,B1450/($B$172-MAX(1050-1,$B$174)),B1450*(C1450/12)/(1-(1+C1450/12)^(-($B$172-MAX(1050-1,$B$174)))))),"")),D1449))))),IF(IF(AND(1050&lt;=$B$174,1050&lt;=$B$173),B1450*C1450/12,IF(AND(1050=$B$173+1,AND(1050&gt;$B$173,$B$78="Refinance",ISNUMBER($B$80),$B$80&gt;=0,$B$80&lt;=1,ROUND($B$81*12,0)&gt;=1,$B$81&lt;=100,SUM($B$82)&gt;=0,SUM($B$82)&lt;=1,SUM($B$83)&gt;=0)),IF(B1450=0,0,IF(C1450=0,B1450/ROUND($B$81*12,0),B1450*(C1450/12)/(1-(1+C1450/12)^(-ROUND($B$81*12,0))))),IF(AND(NOT(AND(1050&gt;$B$173,$B$78="Refinance",ISNUMBER($B$80),$B$80&gt;=0,$B$80&lt;=1,ROUND($B$81*12,0)&gt;=1,$B$81&lt;=100,SUM($B$82)&gt;=0,SUM($B$82)&lt;=1,SUM($B$83)&gt;=0)),OR(1050=1,1050=$B$174+1,AND($B$175&gt;0,1050=$B$175+1))),IF(AND($B$170=1,$B$66&gt;0,OR($B$175=0,1050&lt;=$B$175)),$B$66,IF($B$172-MAX(1050-1,$B$174)&gt;0,IF(B1450=0,0,IF(C1450=0,B1450/($B$172-MAX(1050-1,$B$174)),B1450*(C1450/12)/(1-(1+C1450/12)^(-($B$172-MAX(1050-1,$B$174)))))),"")),D1449)))+0.0000001&gt;=B1450*C1450/12,MIN(B1450*(1+C1450/12),IF(AND(1050&lt;=$B$174,1050&lt;=$B$173),B1450*C1450/12,IF(AND(1050=$B$173+1,AND(1050&gt;$B$173,$B$78="Refinance",ISNUMBER($B$80),$B$80&gt;=0,$B$80&lt;=1,ROUND($B$81*12,0)&gt;=1,$B$81&lt;=100,SUM($B$82)&gt;=0,SUM($B$82)&lt;=1,SUM($B$83)&gt;=0)),IF(B1450=0,0,IF(C1450=0,B1450/ROUND($B$81*12,0),B1450*(C1450/12)/(1-(1+C1450/12)^(-ROUND($B$81*12,0))))),IF(AND(NOT(AND(1050&gt;$B$173,$B$78="Refinance",ISNUMBER($B$80),$B$80&gt;=0,$B$80&lt;=1,ROUND($B$81*12,0)&gt;=1,$B$81&lt;=100,SUM($B$82)&gt;=0,SUM($B$82)&lt;=1,SUM($B$83)&gt;=0)),OR(1050=1,1050=$B$174+1,AND($B$175&gt;0,1050=$B$175+1))),IF(AND($B$170=1,$B$66&gt;0,OR($B$175=0,1050&lt;=$B$175)),$B$66,IF($B$172-MAX(1050-1,$B$174)&gt;0,IF(B1450=0,0,IF(C1450=0,B1450/($B$172-MAX(1050-1,$B$174)),B1450*(C1450/12)/(1-(1+C1450/12)^(-($B$172-MAX(1050-1,$B$174)))))),"")),D1449)))),""),""))</x:f>
        <x:v>0</x:v>
      </x:c>
      <x:c r="E1450" s="440" t="n">
        <x:f>IF(AND(1050=$B$173,ISNUMBER(D1450)),IF(MAX(0,B1450*(1+C1450/12)-D1450)&lt;MAX(0.0000001,$E$17*0.00000000001),0,MAX(0,B1450*(1+C1450/12)-D1450)),0)</x:f>
        <x:v>0</x:v>
      </x:c>
      <x:c r="F1450" s="440" t="n">
        <x:f>IF($B$78="Cash payoff",E1450,0)</x:f>
        <x:v>0</x:v>
      </x:c>
      <x:c r="G1450" s="440" t="n">
        <x:f>IF(AND(E1450&gt;0,AND($B$78="Refinance",ISNUMBER($B$80),$B$80&gt;=0,$B$80&lt;=1,ROUND($B$81*12,0)&gt;=1,$B$81&lt;=100,SUM($B$82)&gt;=0,SUM($B$82)&lt;=1,SUM($B$83)&gt;=0)),E1450*SUM($B$82)+SUM($B$83),0)</x:f>
        <x:v>0</x:v>
      </x:c>
      <x:c r="H1450" s="440" t="n">
        <x:f>IF(ISNUMBER(D1450),IF(MAX(0,B1450*(1+C1450/12)-D1450-F1450)&lt;MAX(0.0000001,$E$17*0.00000000001),0,MAX(0,B1450*(1+C1450/12)-D1450-F1450)),IF(AND($B$171=1,I1449=1),B1450,""))</x:f>
        <x:v>0</x:v>
      </x:c>
      <x:c r="I1450" s="444" t="n">
        <x:f>IF(OR(I1449=1,AND(E1450&gt;0,$B$78&lt;&gt;"Cash payoff",NOT(AND($B$78="Refinance",ISNUMBER($B$80),$B$80&gt;=0,$B$80&lt;=1,ROUND($B$81*12,0)&gt;=1,$B$81&lt;=100,SUM($B$82)&gt;=0,SUM($B$82)&lt;=1,SUM($B$83)&gt;=0))),AND(ISNUMBER(B1450),B1450&gt;0,$B$171=1,NOT(ISNUMBER(D1450)))),1,0)</x:f>
        <x:v>0</x:v>
      </x:c>
      <x:c r="J1450" s="440" t="n">
        <x:f>IF(ISNUMBER(L1449),L1449,"")</x:f>
        <x:v>0</x:v>
      </x:c>
      <x:c r="K1450" s="440" t="n">
        <x:f>IF(AND(ISNUMBER(J1450),J1450=0),0,IF(AND($B$176=1,ISNUMBER(J1450)),MIN(J1450*(1+$B$87/12),IF($B$86=0,0,IF($B$87=0,$B$86/ROUND($B$88*12,0),$B$86*($B$87/12)/(1-(1+$B$87/12)^(-ROUND($B$88*12,0)))))),""))</x:f>
        <x:v>0</x:v>
      </x:c>
      <x:c r="L1450" s="440" t="n">
        <x:f>IF(ISNUMBER(K1450),IF(MAX(0,J1450*(1+SUM($B$87)/12)-K1450)&lt;MAX(0.0000001,$B$86*0.00000000001),0,MAX(0,J1450*(1+SUM($B$87)/12)-K1450)),"")</x:f>
        <x:v>0</x:v>
      </x:c>
      <x:c r="M1450" s="440" t="n">
        <x:f>IF(AND(ISNUMBER(D1450),ISNUMBER(K1450)),D1450+K1450,"")</x:f>
        <x:v>0</x:v>
      </x:c>
      <x:c r="N1450" s="440" t="n">
        <x:f>IF(AND(ISNUMBER(H1450),ISNUMBER(L1450)),H1450+L1450,"")</x:f>
        <x:v>0</x:v>
      </x:c>
    </x:row>
    <x:row r="1451" ht="22" customHeight="1">
      <x:c r="A1451" s="254" t="n">
        <x:f>1051</x:f>
        <x:v>1051</x:v>
      </x:c>
      <x:c r="B1451" s="440" t="n">
        <x:f>IF(ISNUMBER(H1450),H1450,"")</x:f>
        <x:v>0</x:v>
      </x:c>
      <x:c r="C1451" s="442" t="n">
        <x:f>IF(ISNUMBER(B1451),IF(AND(1051&gt;$B$173,$B$78="Refinance",ISNUMBER($B$80),$B$80&gt;=0,$B$80&lt;=1,ROUND($B$81*12,0)&gt;=1,$B$81&lt;=100,SUM($B$82)&gt;=0,SUM($B$82)&lt;=1,SUM($B$83)&gt;=0),$B$80,IF(AND($B$175&gt;0,1051&gt;$B$175,ISNUMBER($B$75)),$B$75,$B$61)),"")</x:f>
        <x:v>0.0625</x:v>
      </x:c>
      <x:c r="D1451" s="440" t="n">
        <x:f>IF(AND(ISNUMBER(B1451),B1451=0),0,IF(AND($B$171=1,I1450=0,ISNUMBER(C1451),ISNUMBER(IF(AND(1051&lt;=$B$174,1051&lt;=$B$173),B1451*C1451/12,IF(AND(1051=$B$173+1,AND(1051&gt;$B$173,$B$78="Refinance",ISNUMBER($B$80),$B$80&gt;=0,$B$80&lt;=1,ROUND($B$81*12,0)&gt;=1,$B$81&lt;=100,SUM($B$82)&gt;=0,SUM($B$82)&lt;=1,SUM($B$83)&gt;=0)),IF(B1451=0,0,IF(C1451=0,B1451/ROUND($B$81*12,0),B1451*(C1451/12)/(1-(1+C1451/12)^(-ROUND($B$81*12,0))))),IF(AND(NOT(AND(1051&gt;$B$173,$B$78="Refinance",ISNUMBER($B$80),$B$80&gt;=0,$B$80&lt;=1,ROUND($B$81*12,0)&gt;=1,$B$81&lt;=100,SUM($B$82)&gt;=0,SUM($B$82)&lt;=1,SUM($B$83)&gt;=0)),OR(1051=1,1051=$B$174+1,AND($B$175&gt;0,1051=$B$175+1))),IF(AND($B$170=1,$B$66&gt;0,OR($B$175=0,1051&lt;=$B$175)),$B$66,IF($B$172-MAX(1051-1,$B$174)&gt;0,IF(B1451=0,0,IF(C1451=0,B1451/($B$172-MAX(1051-1,$B$174)),B1451*(C1451/12)/(1-(1+C1451/12)^(-($B$172-MAX(1051-1,$B$174)))))),"")),D1450))))),IF(IF(AND(1051&lt;=$B$174,1051&lt;=$B$173),B1451*C1451/12,IF(AND(1051=$B$173+1,AND(1051&gt;$B$173,$B$78="Refinance",ISNUMBER($B$80),$B$80&gt;=0,$B$80&lt;=1,ROUND($B$81*12,0)&gt;=1,$B$81&lt;=100,SUM($B$82)&gt;=0,SUM($B$82)&lt;=1,SUM($B$83)&gt;=0)),IF(B1451=0,0,IF(C1451=0,B1451/ROUND($B$81*12,0),B1451*(C1451/12)/(1-(1+C1451/12)^(-ROUND($B$81*12,0))))),IF(AND(NOT(AND(1051&gt;$B$173,$B$78="Refinance",ISNUMBER($B$80),$B$80&gt;=0,$B$80&lt;=1,ROUND($B$81*12,0)&gt;=1,$B$81&lt;=100,SUM($B$82)&gt;=0,SUM($B$82)&lt;=1,SUM($B$83)&gt;=0)),OR(1051=1,1051=$B$174+1,AND($B$175&gt;0,1051=$B$175+1))),IF(AND($B$170=1,$B$66&gt;0,OR($B$175=0,1051&lt;=$B$175)),$B$66,IF($B$172-MAX(1051-1,$B$174)&gt;0,IF(B1451=0,0,IF(C1451=0,B1451/($B$172-MAX(1051-1,$B$174)),B1451*(C1451/12)/(1-(1+C1451/12)^(-($B$172-MAX(1051-1,$B$174)))))),"")),D1450)))+0.0000001&gt;=B1451*C1451/12,MIN(B1451*(1+C1451/12),IF(AND(1051&lt;=$B$174,1051&lt;=$B$173),B1451*C1451/12,IF(AND(1051=$B$173+1,AND(1051&gt;$B$173,$B$78="Refinance",ISNUMBER($B$80),$B$80&gt;=0,$B$80&lt;=1,ROUND($B$81*12,0)&gt;=1,$B$81&lt;=100,SUM($B$82)&gt;=0,SUM($B$82)&lt;=1,SUM($B$83)&gt;=0)),IF(B1451=0,0,IF(C1451=0,B1451/ROUND($B$81*12,0),B1451*(C1451/12)/(1-(1+C1451/12)^(-ROUND($B$81*12,0))))),IF(AND(NOT(AND(1051&gt;$B$173,$B$78="Refinance",ISNUMBER($B$80),$B$80&gt;=0,$B$80&lt;=1,ROUND($B$81*12,0)&gt;=1,$B$81&lt;=100,SUM($B$82)&gt;=0,SUM($B$82)&lt;=1,SUM($B$83)&gt;=0)),OR(1051=1,1051=$B$174+1,AND($B$175&gt;0,1051=$B$175+1))),IF(AND($B$170=1,$B$66&gt;0,OR($B$175=0,1051&lt;=$B$175)),$B$66,IF($B$172-MAX(1051-1,$B$174)&gt;0,IF(B1451=0,0,IF(C1451=0,B1451/($B$172-MAX(1051-1,$B$174)),B1451*(C1451/12)/(1-(1+C1451/12)^(-($B$172-MAX(1051-1,$B$174)))))),"")),D1450)))),""),""))</x:f>
        <x:v>0</x:v>
      </x:c>
      <x:c r="E1451" s="440" t="n">
        <x:f>IF(AND(1051=$B$173,ISNUMBER(D1451)),IF(MAX(0,B1451*(1+C1451/12)-D1451)&lt;MAX(0.0000001,$E$17*0.00000000001),0,MAX(0,B1451*(1+C1451/12)-D1451)),0)</x:f>
        <x:v>0</x:v>
      </x:c>
      <x:c r="F1451" s="440" t="n">
        <x:f>IF($B$78="Cash payoff",E1451,0)</x:f>
        <x:v>0</x:v>
      </x:c>
      <x:c r="G1451" s="440" t="n">
        <x:f>IF(AND(E1451&gt;0,AND($B$78="Refinance",ISNUMBER($B$80),$B$80&gt;=0,$B$80&lt;=1,ROUND($B$81*12,0)&gt;=1,$B$81&lt;=100,SUM($B$82)&gt;=0,SUM($B$82)&lt;=1,SUM($B$83)&gt;=0)),E1451*SUM($B$82)+SUM($B$83),0)</x:f>
        <x:v>0</x:v>
      </x:c>
      <x:c r="H1451" s="440" t="n">
        <x:f>IF(ISNUMBER(D1451),IF(MAX(0,B1451*(1+C1451/12)-D1451-F1451)&lt;MAX(0.0000001,$E$17*0.00000000001),0,MAX(0,B1451*(1+C1451/12)-D1451-F1451)),IF(AND($B$171=1,I1450=1),B1451,""))</x:f>
        <x:v>0</x:v>
      </x:c>
      <x:c r="I1451" s="444" t="n">
        <x:f>IF(OR(I1450=1,AND(E1451&gt;0,$B$78&lt;&gt;"Cash payoff",NOT(AND($B$78="Refinance",ISNUMBER($B$80),$B$80&gt;=0,$B$80&lt;=1,ROUND($B$81*12,0)&gt;=1,$B$81&lt;=100,SUM($B$82)&gt;=0,SUM($B$82)&lt;=1,SUM($B$83)&gt;=0))),AND(ISNUMBER(B1451),B1451&gt;0,$B$171=1,NOT(ISNUMBER(D1451)))),1,0)</x:f>
        <x:v>0</x:v>
      </x:c>
      <x:c r="J1451" s="440" t="n">
        <x:f>IF(ISNUMBER(L1450),L1450,"")</x:f>
        <x:v>0</x:v>
      </x:c>
      <x:c r="K1451" s="440" t="n">
        <x:f>IF(AND(ISNUMBER(J1451),J1451=0),0,IF(AND($B$176=1,ISNUMBER(J1451)),MIN(J1451*(1+$B$87/12),IF($B$86=0,0,IF($B$87=0,$B$86/ROUND($B$88*12,0),$B$86*($B$87/12)/(1-(1+$B$87/12)^(-ROUND($B$88*12,0)))))),""))</x:f>
        <x:v>0</x:v>
      </x:c>
      <x:c r="L1451" s="440" t="n">
        <x:f>IF(ISNUMBER(K1451),IF(MAX(0,J1451*(1+SUM($B$87)/12)-K1451)&lt;MAX(0.0000001,$B$86*0.00000000001),0,MAX(0,J1451*(1+SUM($B$87)/12)-K1451)),"")</x:f>
        <x:v>0</x:v>
      </x:c>
      <x:c r="M1451" s="440" t="n">
        <x:f>IF(AND(ISNUMBER(D1451),ISNUMBER(K1451)),D1451+K1451,"")</x:f>
        <x:v>0</x:v>
      </x:c>
      <x:c r="N1451" s="440" t="n">
        <x:f>IF(AND(ISNUMBER(H1451),ISNUMBER(L1451)),H1451+L1451,"")</x:f>
        <x:v>0</x:v>
      </x:c>
    </x:row>
    <x:row r="1452" ht="22" customHeight="1">
      <x:c r="A1452" s="254" t="n">
        <x:f>1052</x:f>
        <x:v>1052</x:v>
      </x:c>
      <x:c r="B1452" s="440" t="n">
        <x:f>IF(ISNUMBER(H1451),H1451,"")</x:f>
        <x:v>0</x:v>
      </x:c>
      <x:c r="C1452" s="442" t="n">
        <x:f>IF(ISNUMBER(B1452),IF(AND(1052&gt;$B$173,$B$78="Refinance",ISNUMBER($B$80),$B$80&gt;=0,$B$80&lt;=1,ROUND($B$81*12,0)&gt;=1,$B$81&lt;=100,SUM($B$82)&gt;=0,SUM($B$82)&lt;=1,SUM($B$83)&gt;=0),$B$80,IF(AND($B$175&gt;0,1052&gt;$B$175,ISNUMBER($B$75)),$B$75,$B$61)),"")</x:f>
        <x:v>0.0625</x:v>
      </x:c>
      <x:c r="D1452" s="440" t="n">
        <x:f>IF(AND(ISNUMBER(B1452),B1452=0),0,IF(AND($B$171=1,I1451=0,ISNUMBER(C1452),ISNUMBER(IF(AND(1052&lt;=$B$174,1052&lt;=$B$173),B1452*C1452/12,IF(AND(1052=$B$173+1,AND(1052&gt;$B$173,$B$78="Refinance",ISNUMBER($B$80),$B$80&gt;=0,$B$80&lt;=1,ROUND($B$81*12,0)&gt;=1,$B$81&lt;=100,SUM($B$82)&gt;=0,SUM($B$82)&lt;=1,SUM($B$83)&gt;=0)),IF(B1452=0,0,IF(C1452=0,B1452/ROUND($B$81*12,0),B1452*(C1452/12)/(1-(1+C1452/12)^(-ROUND($B$81*12,0))))),IF(AND(NOT(AND(1052&gt;$B$173,$B$78="Refinance",ISNUMBER($B$80),$B$80&gt;=0,$B$80&lt;=1,ROUND($B$81*12,0)&gt;=1,$B$81&lt;=100,SUM($B$82)&gt;=0,SUM($B$82)&lt;=1,SUM($B$83)&gt;=0)),OR(1052=1,1052=$B$174+1,AND($B$175&gt;0,1052=$B$175+1))),IF(AND($B$170=1,$B$66&gt;0,OR($B$175=0,1052&lt;=$B$175)),$B$66,IF($B$172-MAX(1052-1,$B$174)&gt;0,IF(B1452=0,0,IF(C1452=0,B1452/($B$172-MAX(1052-1,$B$174)),B1452*(C1452/12)/(1-(1+C1452/12)^(-($B$172-MAX(1052-1,$B$174)))))),"")),D1451))))),IF(IF(AND(1052&lt;=$B$174,1052&lt;=$B$173),B1452*C1452/12,IF(AND(1052=$B$173+1,AND(1052&gt;$B$173,$B$78="Refinance",ISNUMBER($B$80),$B$80&gt;=0,$B$80&lt;=1,ROUND($B$81*12,0)&gt;=1,$B$81&lt;=100,SUM($B$82)&gt;=0,SUM($B$82)&lt;=1,SUM($B$83)&gt;=0)),IF(B1452=0,0,IF(C1452=0,B1452/ROUND($B$81*12,0),B1452*(C1452/12)/(1-(1+C1452/12)^(-ROUND($B$81*12,0))))),IF(AND(NOT(AND(1052&gt;$B$173,$B$78="Refinance",ISNUMBER($B$80),$B$80&gt;=0,$B$80&lt;=1,ROUND($B$81*12,0)&gt;=1,$B$81&lt;=100,SUM($B$82)&gt;=0,SUM($B$82)&lt;=1,SUM($B$83)&gt;=0)),OR(1052=1,1052=$B$174+1,AND($B$175&gt;0,1052=$B$175+1))),IF(AND($B$170=1,$B$66&gt;0,OR($B$175=0,1052&lt;=$B$175)),$B$66,IF($B$172-MAX(1052-1,$B$174)&gt;0,IF(B1452=0,0,IF(C1452=0,B1452/($B$172-MAX(1052-1,$B$174)),B1452*(C1452/12)/(1-(1+C1452/12)^(-($B$172-MAX(1052-1,$B$174)))))),"")),D1451)))+0.0000001&gt;=B1452*C1452/12,MIN(B1452*(1+C1452/12),IF(AND(1052&lt;=$B$174,1052&lt;=$B$173),B1452*C1452/12,IF(AND(1052=$B$173+1,AND(1052&gt;$B$173,$B$78="Refinance",ISNUMBER($B$80),$B$80&gt;=0,$B$80&lt;=1,ROUND($B$81*12,0)&gt;=1,$B$81&lt;=100,SUM($B$82)&gt;=0,SUM($B$82)&lt;=1,SUM($B$83)&gt;=0)),IF(B1452=0,0,IF(C1452=0,B1452/ROUND($B$81*12,0),B1452*(C1452/12)/(1-(1+C1452/12)^(-ROUND($B$81*12,0))))),IF(AND(NOT(AND(1052&gt;$B$173,$B$78="Refinance",ISNUMBER($B$80),$B$80&gt;=0,$B$80&lt;=1,ROUND($B$81*12,0)&gt;=1,$B$81&lt;=100,SUM($B$82)&gt;=0,SUM($B$82)&lt;=1,SUM($B$83)&gt;=0)),OR(1052=1,1052=$B$174+1,AND($B$175&gt;0,1052=$B$175+1))),IF(AND($B$170=1,$B$66&gt;0,OR($B$175=0,1052&lt;=$B$175)),$B$66,IF($B$172-MAX(1052-1,$B$174)&gt;0,IF(B1452=0,0,IF(C1452=0,B1452/($B$172-MAX(1052-1,$B$174)),B1452*(C1452/12)/(1-(1+C1452/12)^(-($B$172-MAX(1052-1,$B$174)))))),"")),D1451)))),""),""))</x:f>
        <x:v>0</x:v>
      </x:c>
      <x:c r="E1452" s="440" t="n">
        <x:f>IF(AND(1052=$B$173,ISNUMBER(D1452)),IF(MAX(0,B1452*(1+C1452/12)-D1452)&lt;MAX(0.0000001,$E$17*0.00000000001),0,MAX(0,B1452*(1+C1452/12)-D1452)),0)</x:f>
        <x:v>0</x:v>
      </x:c>
      <x:c r="F1452" s="440" t="n">
        <x:f>IF($B$78="Cash payoff",E1452,0)</x:f>
        <x:v>0</x:v>
      </x:c>
      <x:c r="G1452" s="440" t="n">
        <x:f>IF(AND(E1452&gt;0,AND($B$78="Refinance",ISNUMBER($B$80),$B$80&gt;=0,$B$80&lt;=1,ROUND($B$81*12,0)&gt;=1,$B$81&lt;=100,SUM($B$82)&gt;=0,SUM($B$82)&lt;=1,SUM($B$83)&gt;=0)),E1452*SUM($B$82)+SUM($B$83),0)</x:f>
        <x:v>0</x:v>
      </x:c>
      <x:c r="H1452" s="440" t="n">
        <x:f>IF(ISNUMBER(D1452),IF(MAX(0,B1452*(1+C1452/12)-D1452-F1452)&lt;MAX(0.0000001,$E$17*0.00000000001),0,MAX(0,B1452*(1+C1452/12)-D1452-F1452)),IF(AND($B$171=1,I1451=1),B1452,""))</x:f>
        <x:v>0</x:v>
      </x:c>
      <x:c r="I1452" s="444" t="n">
        <x:f>IF(OR(I1451=1,AND(E1452&gt;0,$B$78&lt;&gt;"Cash payoff",NOT(AND($B$78="Refinance",ISNUMBER($B$80),$B$80&gt;=0,$B$80&lt;=1,ROUND($B$81*12,0)&gt;=1,$B$81&lt;=100,SUM($B$82)&gt;=0,SUM($B$82)&lt;=1,SUM($B$83)&gt;=0))),AND(ISNUMBER(B1452),B1452&gt;0,$B$171=1,NOT(ISNUMBER(D1452)))),1,0)</x:f>
        <x:v>0</x:v>
      </x:c>
      <x:c r="J1452" s="440" t="n">
        <x:f>IF(ISNUMBER(L1451),L1451,"")</x:f>
        <x:v>0</x:v>
      </x:c>
      <x:c r="K1452" s="440" t="n">
        <x:f>IF(AND(ISNUMBER(J1452),J1452=0),0,IF(AND($B$176=1,ISNUMBER(J1452)),MIN(J1452*(1+$B$87/12),IF($B$86=0,0,IF($B$87=0,$B$86/ROUND($B$88*12,0),$B$86*($B$87/12)/(1-(1+$B$87/12)^(-ROUND($B$88*12,0)))))),""))</x:f>
        <x:v>0</x:v>
      </x:c>
      <x:c r="L1452" s="440" t="n">
        <x:f>IF(ISNUMBER(K1452),IF(MAX(0,J1452*(1+SUM($B$87)/12)-K1452)&lt;MAX(0.0000001,$B$86*0.00000000001),0,MAX(0,J1452*(1+SUM($B$87)/12)-K1452)),"")</x:f>
        <x:v>0</x:v>
      </x:c>
      <x:c r="M1452" s="440" t="n">
        <x:f>IF(AND(ISNUMBER(D1452),ISNUMBER(K1452)),D1452+K1452,"")</x:f>
        <x:v>0</x:v>
      </x:c>
      <x:c r="N1452" s="440" t="n">
        <x:f>IF(AND(ISNUMBER(H1452),ISNUMBER(L1452)),H1452+L1452,"")</x:f>
        <x:v>0</x:v>
      </x:c>
    </x:row>
    <x:row r="1453" ht="22" customHeight="1">
      <x:c r="A1453" s="254" t="n">
        <x:f>1053</x:f>
        <x:v>1053</x:v>
      </x:c>
      <x:c r="B1453" s="440" t="n">
        <x:f>IF(ISNUMBER(H1452),H1452,"")</x:f>
        <x:v>0</x:v>
      </x:c>
      <x:c r="C1453" s="442" t="n">
        <x:f>IF(ISNUMBER(B1453),IF(AND(1053&gt;$B$173,$B$78="Refinance",ISNUMBER($B$80),$B$80&gt;=0,$B$80&lt;=1,ROUND($B$81*12,0)&gt;=1,$B$81&lt;=100,SUM($B$82)&gt;=0,SUM($B$82)&lt;=1,SUM($B$83)&gt;=0),$B$80,IF(AND($B$175&gt;0,1053&gt;$B$175,ISNUMBER($B$75)),$B$75,$B$61)),"")</x:f>
        <x:v>0.0625</x:v>
      </x:c>
      <x:c r="D1453" s="440" t="n">
        <x:f>IF(AND(ISNUMBER(B1453),B1453=0),0,IF(AND($B$171=1,I1452=0,ISNUMBER(C1453),ISNUMBER(IF(AND(1053&lt;=$B$174,1053&lt;=$B$173),B1453*C1453/12,IF(AND(1053=$B$173+1,AND(1053&gt;$B$173,$B$78="Refinance",ISNUMBER($B$80),$B$80&gt;=0,$B$80&lt;=1,ROUND($B$81*12,0)&gt;=1,$B$81&lt;=100,SUM($B$82)&gt;=0,SUM($B$82)&lt;=1,SUM($B$83)&gt;=0)),IF(B1453=0,0,IF(C1453=0,B1453/ROUND($B$81*12,0),B1453*(C1453/12)/(1-(1+C1453/12)^(-ROUND($B$81*12,0))))),IF(AND(NOT(AND(1053&gt;$B$173,$B$78="Refinance",ISNUMBER($B$80),$B$80&gt;=0,$B$80&lt;=1,ROUND($B$81*12,0)&gt;=1,$B$81&lt;=100,SUM($B$82)&gt;=0,SUM($B$82)&lt;=1,SUM($B$83)&gt;=0)),OR(1053=1,1053=$B$174+1,AND($B$175&gt;0,1053=$B$175+1))),IF(AND($B$170=1,$B$66&gt;0,OR($B$175=0,1053&lt;=$B$175)),$B$66,IF($B$172-MAX(1053-1,$B$174)&gt;0,IF(B1453=0,0,IF(C1453=0,B1453/($B$172-MAX(1053-1,$B$174)),B1453*(C1453/12)/(1-(1+C1453/12)^(-($B$172-MAX(1053-1,$B$174)))))),"")),D1452))))),IF(IF(AND(1053&lt;=$B$174,1053&lt;=$B$173),B1453*C1453/12,IF(AND(1053=$B$173+1,AND(1053&gt;$B$173,$B$78="Refinance",ISNUMBER($B$80),$B$80&gt;=0,$B$80&lt;=1,ROUND($B$81*12,0)&gt;=1,$B$81&lt;=100,SUM($B$82)&gt;=0,SUM($B$82)&lt;=1,SUM($B$83)&gt;=0)),IF(B1453=0,0,IF(C1453=0,B1453/ROUND($B$81*12,0),B1453*(C1453/12)/(1-(1+C1453/12)^(-ROUND($B$81*12,0))))),IF(AND(NOT(AND(1053&gt;$B$173,$B$78="Refinance",ISNUMBER($B$80),$B$80&gt;=0,$B$80&lt;=1,ROUND($B$81*12,0)&gt;=1,$B$81&lt;=100,SUM($B$82)&gt;=0,SUM($B$82)&lt;=1,SUM($B$83)&gt;=0)),OR(1053=1,1053=$B$174+1,AND($B$175&gt;0,1053=$B$175+1))),IF(AND($B$170=1,$B$66&gt;0,OR($B$175=0,1053&lt;=$B$175)),$B$66,IF($B$172-MAX(1053-1,$B$174)&gt;0,IF(B1453=0,0,IF(C1453=0,B1453/($B$172-MAX(1053-1,$B$174)),B1453*(C1453/12)/(1-(1+C1453/12)^(-($B$172-MAX(1053-1,$B$174)))))),"")),D1452)))+0.0000001&gt;=B1453*C1453/12,MIN(B1453*(1+C1453/12),IF(AND(1053&lt;=$B$174,1053&lt;=$B$173),B1453*C1453/12,IF(AND(1053=$B$173+1,AND(1053&gt;$B$173,$B$78="Refinance",ISNUMBER($B$80),$B$80&gt;=0,$B$80&lt;=1,ROUND($B$81*12,0)&gt;=1,$B$81&lt;=100,SUM($B$82)&gt;=0,SUM($B$82)&lt;=1,SUM($B$83)&gt;=0)),IF(B1453=0,0,IF(C1453=0,B1453/ROUND($B$81*12,0),B1453*(C1453/12)/(1-(1+C1453/12)^(-ROUND($B$81*12,0))))),IF(AND(NOT(AND(1053&gt;$B$173,$B$78="Refinance",ISNUMBER($B$80),$B$80&gt;=0,$B$80&lt;=1,ROUND($B$81*12,0)&gt;=1,$B$81&lt;=100,SUM($B$82)&gt;=0,SUM($B$82)&lt;=1,SUM($B$83)&gt;=0)),OR(1053=1,1053=$B$174+1,AND($B$175&gt;0,1053=$B$175+1))),IF(AND($B$170=1,$B$66&gt;0,OR($B$175=0,1053&lt;=$B$175)),$B$66,IF($B$172-MAX(1053-1,$B$174)&gt;0,IF(B1453=0,0,IF(C1453=0,B1453/($B$172-MAX(1053-1,$B$174)),B1453*(C1453/12)/(1-(1+C1453/12)^(-($B$172-MAX(1053-1,$B$174)))))),"")),D1452)))),""),""))</x:f>
        <x:v>0</x:v>
      </x:c>
      <x:c r="E1453" s="440" t="n">
        <x:f>IF(AND(1053=$B$173,ISNUMBER(D1453)),IF(MAX(0,B1453*(1+C1453/12)-D1453)&lt;MAX(0.0000001,$E$17*0.00000000001),0,MAX(0,B1453*(1+C1453/12)-D1453)),0)</x:f>
        <x:v>0</x:v>
      </x:c>
      <x:c r="F1453" s="440" t="n">
        <x:f>IF($B$78="Cash payoff",E1453,0)</x:f>
        <x:v>0</x:v>
      </x:c>
      <x:c r="G1453" s="440" t="n">
        <x:f>IF(AND(E1453&gt;0,AND($B$78="Refinance",ISNUMBER($B$80),$B$80&gt;=0,$B$80&lt;=1,ROUND($B$81*12,0)&gt;=1,$B$81&lt;=100,SUM($B$82)&gt;=0,SUM($B$82)&lt;=1,SUM($B$83)&gt;=0)),E1453*SUM($B$82)+SUM($B$83),0)</x:f>
        <x:v>0</x:v>
      </x:c>
      <x:c r="H1453" s="440" t="n">
        <x:f>IF(ISNUMBER(D1453),IF(MAX(0,B1453*(1+C1453/12)-D1453-F1453)&lt;MAX(0.0000001,$E$17*0.00000000001),0,MAX(0,B1453*(1+C1453/12)-D1453-F1453)),IF(AND($B$171=1,I1452=1),B1453,""))</x:f>
        <x:v>0</x:v>
      </x:c>
      <x:c r="I1453" s="444" t="n">
        <x:f>IF(OR(I1452=1,AND(E1453&gt;0,$B$78&lt;&gt;"Cash payoff",NOT(AND($B$78="Refinance",ISNUMBER($B$80),$B$80&gt;=0,$B$80&lt;=1,ROUND($B$81*12,0)&gt;=1,$B$81&lt;=100,SUM($B$82)&gt;=0,SUM($B$82)&lt;=1,SUM($B$83)&gt;=0))),AND(ISNUMBER(B1453),B1453&gt;0,$B$171=1,NOT(ISNUMBER(D1453)))),1,0)</x:f>
        <x:v>0</x:v>
      </x:c>
      <x:c r="J1453" s="440" t="n">
        <x:f>IF(ISNUMBER(L1452),L1452,"")</x:f>
        <x:v>0</x:v>
      </x:c>
      <x:c r="K1453" s="440" t="n">
        <x:f>IF(AND(ISNUMBER(J1453),J1453=0),0,IF(AND($B$176=1,ISNUMBER(J1453)),MIN(J1453*(1+$B$87/12),IF($B$86=0,0,IF($B$87=0,$B$86/ROUND($B$88*12,0),$B$86*($B$87/12)/(1-(1+$B$87/12)^(-ROUND($B$88*12,0)))))),""))</x:f>
        <x:v>0</x:v>
      </x:c>
      <x:c r="L1453" s="440" t="n">
        <x:f>IF(ISNUMBER(K1453),IF(MAX(0,J1453*(1+SUM($B$87)/12)-K1453)&lt;MAX(0.0000001,$B$86*0.00000000001),0,MAX(0,J1453*(1+SUM($B$87)/12)-K1453)),"")</x:f>
        <x:v>0</x:v>
      </x:c>
      <x:c r="M1453" s="440" t="n">
        <x:f>IF(AND(ISNUMBER(D1453),ISNUMBER(K1453)),D1453+K1453,"")</x:f>
        <x:v>0</x:v>
      </x:c>
      <x:c r="N1453" s="440" t="n">
        <x:f>IF(AND(ISNUMBER(H1453),ISNUMBER(L1453)),H1453+L1453,"")</x:f>
        <x:v>0</x:v>
      </x:c>
    </x:row>
    <x:row r="1454" ht="22" customHeight="1">
      <x:c r="A1454" s="254" t="n">
        <x:f>1054</x:f>
        <x:v>1054</x:v>
      </x:c>
      <x:c r="B1454" s="440" t="n">
        <x:f>IF(ISNUMBER(H1453),H1453,"")</x:f>
        <x:v>0</x:v>
      </x:c>
      <x:c r="C1454" s="442" t="n">
        <x:f>IF(ISNUMBER(B1454),IF(AND(1054&gt;$B$173,$B$78="Refinance",ISNUMBER($B$80),$B$80&gt;=0,$B$80&lt;=1,ROUND($B$81*12,0)&gt;=1,$B$81&lt;=100,SUM($B$82)&gt;=0,SUM($B$82)&lt;=1,SUM($B$83)&gt;=0),$B$80,IF(AND($B$175&gt;0,1054&gt;$B$175,ISNUMBER($B$75)),$B$75,$B$61)),"")</x:f>
        <x:v>0.0625</x:v>
      </x:c>
      <x:c r="D1454" s="440" t="n">
        <x:f>IF(AND(ISNUMBER(B1454),B1454=0),0,IF(AND($B$171=1,I1453=0,ISNUMBER(C1454),ISNUMBER(IF(AND(1054&lt;=$B$174,1054&lt;=$B$173),B1454*C1454/12,IF(AND(1054=$B$173+1,AND(1054&gt;$B$173,$B$78="Refinance",ISNUMBER($B$80),$B$80&gt;=0,$B$80&lt;=1,ROUND($B$81*12,0)&gt;=1,$B$81&lt;=100,SUM($B$82)&gt;=0,SUM($B$82)&lt;=1,SUM($B$83)&gt;=0)),IF(B1454=0,0,IF(C1454=0,B1454/ROUND($B$81*12,0),B1454*(C1454/12)/(1-(1+C1454/12)^(-ROUND($B$81*12,0))))),IF(AND(NOT(AND(1054&gt;$B$173,$B$78="Refinance",ISNUMBER($B$80),$B$80&gt;=0,$B$80&lt;=1,ROUND($B$81*12,0)&gt;=1,$B$81&lt;=100,SUM($B$82)&gt;=0,SUM($B$82)&lt;=1,SUM($B$83)&gt;=0)),OR(1054=1,1054=$B$174+1,AND($B$175&gt;0,1054=$B$175+1))),IF(AND($B$170=1,$B$66&gt;0,OR($B$175=0,1054&lt;=$B$175)),$B$66,IF($B$172-MAX(1054-1,$B$174)&gt;0,IF(B1454=0,0,IF(C1454=0,B1454/($B$172-MAX(1054-1,$B$174)),B1454*(C1454/12)/(1-(1+C1454/12)^(-($B$172-MAX(1054-1,$B$174)))))),"")),D1453))))),IF(IF(AND(1054&lt;=$B$174,1054&lt;=$B$173),B1454*C1454/12,IF(AND(1054=$B$173+1,AND(1054&gt;$B$173,$B$78="Refinance",ISNUMBER($B$80),$B$80&gt;=0,$B$80&lt;=1,ROUND($B$81*12,0)&gt;=1,$B$81&lt;=100,SUM($B$82)&gt;=0,SUM($B$82)&lt;=1,SUM($B$83)&gt;=0)),IF(B1454=0,0,IF(C1454=0,B1454/ROUND($B$81*12,0),B1454*(C1454/12)/(1-(1+C1454/12)^(-ROUND($B$81*12,0))))),IF(AND(NOT(AND(1054&gt;$B$173,$B$78="Refinance",ISNUMBER($B$80),$B$80&gt;=0,$B$80&lt;=1,ROUND($B$81*12,0)&gt;=1,$B$81&lt;=100,SUM($B$82)&gt;=0,SUM($B$82)&lt;=1,SUM($B$83)&gt;=0)),OR(1054=1,1054=$B$174+1,AND($B$175&gt;0,1054=$B$175+1))),IF(AND($B$170=1,$B$66&gt;0,OR($B$175=0,1054&lt;=$B$175)),$B$66,IF($B$172-MAX(1054-1,$B$174)&gt;0,IF(B1454=0,0,IF(C1454=0,B1454/($B$172-MAX(1054-1,$B$174)),B1454*(C1454/12)/(1-(1+C1454/12)^(-($B$172-MAX(1054-1,$B$174)))))),"")),D1453)))+0.0000001&gt;=B1454*C1454/12,MIN(B1454*(1+C1454/12),IF(AND(1054&lt;=$B$174,1054&lt;=$B$173),B1454*C1454/12,IF(AND(1054=$B$173+1,AND(1054&gt;$B$173,$B$78="Refinance",ISNUMBER($B$80),$B$80&gt;=0,$B$80&lt;=1,ROUND($B$81*12,0)&gt;=1,$B$81&lt;=100,SUM($B$82)&gt;=0,SUM($B$82)&lt;=1,SUM($B$83)&gt;=0)),IF(B1454=0,0,IF(C1454=0,B1454/ROUND($B$81*12,0),B1454*(C1454/12)/(1-(1+C1454/12)^(-ROUND($B$81*12,0))))),IF(AND(NOT(AND(1054&gt;$B$173,$B$78="Refinance",ISNUMBER($B$80),$B$80&gt;=0,$B$80&lt;=1,ROUND($B$81*12,0)&gt;=1,$B$81&lt;=100,SUM($B$82)&gt;=0,SUM($B$82)&lt;=1,SUM($B$83)&gt;=0)),OR(1054=1,1054=$B$174+1,AND($B$175&gt;0,1054=$B$175+1))),IF(AND($B$170=1,$B$66&gt;0,OR($B$175=0,1054&lt;=$B$175)),$B$66,IF($B$172-MAX(1054-1,$B$174)&gt;0,IF(B1454=0,0,IF(C1454=0,B1454/($B$172-MAX(1054-1,$B$174)),B1454*(C1454/12)/(1-(1+C1454/12)^(-($B$172-MAX(1054-1,$B$174)))))),"")),D1453)))),""),""))</x:f>
        <x:v>0</x:v>
      </x:c>
      <x:c r="E1454" s="440" t="n">
        <x:f>IF(AND(1054=$B$173,ISNUMBER(D1454)),IF(MAX(0,B1454*(1+C1454/12)-D1454)&lt;MAX(0.0000001,$E$17*0.00000000001),0,MAX(0,B1454*(1+C1454/12)-D1454)),0)</x:f>
        <x:v>0</x:v>
      </x:c>
      <x:c r="F1454" s="440" t="n">
        <x:f>IF($B$78="Cash payoff",E1454,0)</x:f>
        <x:v>0</x:v>
      </x:c>
      <x:c r="G1454" s="440" t="n">
        <x:f>IF(AND(E1454&gt;0,AND($B$78="Refinance",ISNUMBER($B$80),$B$80&gt;=0,$B$80&lt;=1,ROUND($B$81*12,0)&gt;=1,$B$81&lt;=100,SUM($B$82)&gt;=0,SUM($B$82)&lt;=1,SUM($B$83)&gt;=0)),E1454*SUM($B$82)+SUM($B$83),0)</x:f>
        <x:v>0</x:v>
      </x:c>
      <x:c r="H1454" s="440" t="n">
        <x:f>IF(ISNUMBER(D1454),IF(MAX(0,B1454*(1+C1454/12)-D1454-F1454)&lt;MAX(0.0000001,$E$17*0.00000000001),0,MAX(0,B1454*(1+C1454/12)-D1454-F1454)),IF(AND($B$171=1,I1453=1),B1454,""))</x:f>
        <x:v>0</x:v>
      </x:c>
      <x:c r="I1454" s="444" t="n">
        <x:f>IF(OR(I1453=1,AND(E1454&gt;0,$B$78&lt;&gt;"Cash payoff",NOT(AND($B$78="Refinance",ISNUMBER($B$80),$B$80&gt;=0,$B$80&lt;=1,ROUND($B$81*12,0)&gt;=1,$B$81&lt;=100,SUM($B$82)&gt;=0,SUM($B$82)&lt;=1,SUM($B$83)&gt;=0))),AND(ISNUMBER(B1454),B1454&gt;0,$B$171=1,NOT(ISNUMBER(D1454)))),1,0)</x:f>
        <x:v>0</x:v>
      </x:c>
      <x:c r="J1454" s="440" t="n">
        <x:f>IF(ISNUMBER(L1453),L1453,"")</x:f>
        <x:v>0</x:v>
      </x:c>
      <x:c r="K1454" s="440" t="n">
        <x:f>IF(AND(ISNUMBER(J1454),J1454=0),0,IF(AND($B$176=1,ISNUMBER(J1454)),MIN(J1454*(1+$B$87/12),IF($B$86=0,0,IF($B$87=0,$B$86/ROUND($B$88*12,0),$B$86*($B$87/12)/(1-(1+$B$87/12)^(-ROUND($B$88*12,0)))))),""))</x:f>
        <x:v>0</x:v>
      </x:c>
      <x:c r="L1454" s="440" t="n">
        <x:f>IF(ISNUMBER(K1454),IF(MAX(0,J1454*(1+SUM($B$87)/12)-K1454)&lt;MAX(0.0000001,$B$86*0.00000000001),0,MAX(0,J1454*(1+SUM($B$87)/12)-K1454)),"")</x:f>
        <x:v>0</x:v>
      </x:c>
      <x:c r="M1454" s="440" t="n">
        <x:f>IF(AND(ISNUMBER(D1454),ISNUMBER(K1454)),D1454+K1454,"")</x:f>
        <x:v>0</x:v>
      </x:c>
      <x:c r="N1454" s="440" t="n">
        <x:f>IF(AND(ISNUMBER(H1454),ISNUMBER(L1454)),H1454+L1454,"")</x:f>
        <x:v>0</x:v>
      </x:c>
    </x:row>
    <x:row r="1455" ht="22" customHeight="1">
      <x:c r="A1455" s="254" t="n">
        <x:f>1055</x:f>
        <x:v>1055</x:v>
      </x:c>
      <x:c r="B1455" s="440" t="n">
        <x:f>IF(ISNUMBER(H1454),H1454,"")</x:f>
        <x:v>0</x:v>
      </x:c>
      <x:c r="C1455" s="442" t="n">
        <x:f>IF(ISNUMBER(B1455),IF(AND(1055&gt;$B$173,$B$78="Refinance",ISNUMBER($B$80),$B$80&gt;=0,$B$80&lt;=1,ROUND($B$81*12,0)&gt;=1,$B$81&lt;=100,SUM($B$82)&gt;=0,SUM($B$82)&lt;=1,SUM($B$83)&gt;=0),$B$80,IF(AND($B$175&gt;0,1055&gt;$B$175,ISNUMBER($B$75)),$B$75,$B$61)),"")</x:f>
        <x:v>0.0625</x:v>
      </x:c>
      <x:c r="D1455" s="440" t="n">
        <x:f>IF(AND(ISNUMBER(B1455),B1455=0),0,IF(AND($B$171=1,I1454=0,ISNUMBER(C1455),ISNUMBER(IF(AND(1055&lt;=$B$174,1055&lt;=$B$173),B1455*C1455/12,IF(AND(1055=$B$173+1,AND(1055&gt;$B$173,$B$78="Refinance",ISNUMBER($B$80),$B$80&gt;=0,$B$80&lt;=1,ROUND($B$81*12,0)&gt;=1,$B$81&lt;=100,SUM($B$82)&gt;=0,SUM($B$82)&lt;=1,SUM($B$83)&gt;=0)),IF(B1455=0,0,IF(C1455=0,B1455/ROUND($B$81*12,0),B1455*(C1455/12)/(1-(1+C1455/12)^(-ROUND($B$81*12,0))))),IF(AND(NOT(AND(1055&gt;$B$173,$B$78="Refinance",ISNUMBER($B$80),$B$80&gt;=0,$B$80&lt;=1,ROUND($B$81*12,0)&gt;=1,$B$81&lt;=100,SUM($B$82)&gt;=0,SUM($B$82)&lt;=1,SUM($B$83)&gt;=0)),OR(1055=1,1055=$B$174+1,AND($B$175&gt;0,1055=$B$175+1))),IF(AND($B$170=1,$B$66&gt;0,OR($B$175=0,1055&lt;=$B$175)),$B$66,IF($B$172-MAX(1055-1,$B$174)&gt;0,IF(B1455=0,0,IF(C1455=0,B1455/($B$172-MAX(1055-1,$B$174)),B1455*(C1455/12)/(1-(1+C1455/12)^(-($B$172-MAX(1055-1,$B$174)))))),"")),D1454))))),IF(IF(AND(1055&lt;=$B$174,1055&lt;=$B$173),B1455*C1455/12,IF(AND(1055=$B$173+1,AND(1055&gt;$B$173,$B$78="Refinance",ISNUMBER($B$80),$B$80&gt;=0,$B$80&lt;=1,ROUND($B$81*12,0)&gt;=1,$B$81&lt;=100,SUM($B$82)&gt;=0,SUM($B$82)&lt;=1,SUM($B$83)&gt;=0)),IF(B1455=0,0,IF(C1455=0,B1455/ROUND($B$81*12,0),B1455*(C1455/12)/(1-(1+C1455/12)^(-ROUND($B$81*12,0))))),IF(AND(NOT(AND(1055&gt;$B$173,$B$78="Refinance",ISNUMBER($B$80),$B$80&gt;=0,$B$80&lt;=1,ROUND($B$81*12,0)&gt;=1,$B$81&lt;=100,SUM($B$82)&gt;=0,SUM($B$82)&lt;=1,SUM($B$83)&gt;=0)),OR(1055=1,1055=$B$174+1,AND($B$175&gt;0,1055=$B$175+1))),IF(AND($B$170=1,$B$66&gt;0,OR($B$175=0,1055&lt;=$B$175)),$B$66,IF($B$172-MAX(1055-1,$B$174)&gt;0,IF(B1455=0,0,IF(C1455=0,B1455/($B$172-MAX(1055-1,$B$174)),B1455*(C1455/12)/(1-(1+C1455/12)^(-($B$172-MAX(1055-1,$B$174)))))),"")),D1454)))+0.0000001&gt;=B1455*C1455/12,MIN(B1455*(1+C1455/12),IF(AND(1055&lt;=$B$174,1055&lt;=$B$173),B1455*C1455/12,IF(AND(1055=$B$173+1,AND(1055&gt;$B$173,$B$78="Refinance",ISNUMBER($B$80),$B$80&gt;=0,$B$80&lt;=1,ROUND($B$81*12,0)&gt;=1,$B$81&lt;=100,SUM($B$82)&gt;=0,SUM($B$82)&lt;=1,SUM($B$83)&gt;=0)),IF(B1455=0,0,IF(C1455=0,B1455/ROUND($B$81*12,0),B1455*(C1455/12)/(1-(1+C1455/12)^(-ROUND($B$81*12,0))))),IF(AND(NOT(AND(1055&gt;$B$173,$B$78="Refinance",ISNUMBER($B$80),$B$80&gt;=0,$B$80&lt;=1,ROUND($B$81*12,0)&gt;=1,$B$81&lt;=100,SUM($B$82)&gt;=0,SUM($B$82)&lt;=1,SUM($B$83)&gt;=0)),OR(1055=1,1055=$B$174+1,AND($B$175&gt;0,1055=$B$175+1))),IF(AND($B$170=1,$B$66&gt;0,OR($B$175=0,1055&lt;=$B$175)),$B$66,IF($B$172-MAX(1055-1,$B$174)&gt;0,IF(B1455=0,0,IF(C1455=0,B1455/($B$172-MAX(1055-1,$B$174)),B1455*(C1455/12)/(1-(1+C1455/12)^(-($B$172-MAX(1055-1,$B$174)))))),"")),D1454)))),""),""))</x:f>
        <x:v>0</x:v>
      </x:c>
      <x:c r="E1455" s="440" t="n">
        <x:f>IF(AND(1055=$B$173,ISNUMBER(D1455)),IF(MAX(0,B1455*(1+C1455/12)-D1455)&lt;MAX(0.0000001,$E$17*0.00000000001),0,MAX(0,B1455*(1+C1455/12)-D1455)),0)</x:f>
        <x:v>0</x:v>
      </x:c>
      <x:c r="F1455" s="440" t="n">
        <x:f>IF($B$78="Cash payoff",E1455,0)</x:f>
        <x:v>0</x:v>
      </x:c>
      <x:c r="G1455" s="440" t="n">
        <x:f>IF(AND(E1455&gt;0,AND($B$78="Refinance",ISNUMBER($B$80),$B$80&gt;=0,$B$80&lt;=1,ROUND($B$81*12,0)&gt;=1,$B$81&lt;=100,SUM($B$82)&gt;=0,SUM($B$82)&lt;=1,SUM($B$83)&gt;=0)),E1455*SUM($B$82)+SUM($B$83),0)</x:f>
        <x:v>0</x:v>
      </x:c>
      <x:c r="H1455" s="440" t="n">
        <x:f>IF(ISNUMBER(D1455),IF(MAX(0,B1455*(1+C1455/12)-D1455-F1455)&lt;MAX(0.0000001,$E$17*0.00000000001),0,MAX(0,B1455*(1+C1455/12)-D1455-F1455)),IF(AND($B$171=1,I1454=1),B1455,""))</x:f>
        <x:v>0</x:v>
      </x:c>
      <x:c r="I1455" s="444" t="n">
        <x:f>IF(OR(I1454=1,AND(E1455&gt;0,$B$78&lt;&gt;"Cash payoff",NOT(AND($B$78="Refinance",ISNUMBER($B$80),$B$80&gt;=0,$B$80&lt;=1,ROUND($B$81*12,0)&gt;=1,$B$81&lt;=100,SUM($B$82)&gt;=0,SUM($B$82)&lt;=1,SUM($B$83)&gt;=0))),AND(ISNUMBER(B1455),B1455&gt;0,$B$171=1,NOT(ISNUMBER(D1455)))),1,0)</x:f>
        <x:v>0</x:v>
      </x:c>
      <x:c r="J1455" s="440" t="n">
        <x:f>IF(ISNUMBER(L1454),L1454,"")</x:f>
        <x:v>0</x:v>
      </x:c>
      <x:c r="K1455" s="440" t="n">
        <x:f>IF(AND(ISNUMBER(J1455),J1455=0),0,IF(AND($B$176=1,ISNUMBER(J1455)),MIN(J1455*(1+$B$87/12),IF($B$86=0,0,IF($B$87=0,$B$86/ROUND($B$88*12,0),$B$86*($B$87/12)/(1-(1+$B$87/12)^(-ROUND($B$88*12,0)))))),""))</x:f>
        <x:v>0</x:v>
      </x:c>
      <x:c r="L1455" s="440" t="n">
        <x:f>IF(ISNUMBER(K1455),IF(MAX(0,J1455*(1+SUM($B$87)/12)-K1455)&lt;MAX(0.0000001,$B$86*0.00000000001),0,MAX(0,J1455*(1+SUM($B$87)/12)-K1455)),"")</x:f>
        <x:v>0</x:v>
      </x:c>
      <x:c r="M1455" s="440" t="n">
        <x:f>IF(AND(ISNUMBER(D1455),ISNUMBER(K1455)),D1455+K1455,"")</x:f>
        <x:v>0</x:v>
      </x:c>
      <x:c r="N1455" s="440" t="n">
        <x:f>IF(AND(ISNUMBER(H1455),ISNUMBER(L1455)),H1455+L1455,"")</x:f>
        <x:v>0</x:v>
      </x:c>
    </x:row>
    <x:row r="1456" ht="22" customHeight="1">
      <x:c r="A1456" s="254" t="n">
        <x:f>1056</x:f>
        <x:v>1056</x:v>
      </x:c>
      <x:c r="B1456" s="440" t="n">
        <x:f>IF(ISNUMBER(H1455),H1455,"")</x:f>
        <x:v>0</x:v>
      </x:c>
      <x:c r="C1456" s="442" t="n">
        <x:f>IF(ISNUMBER(B1456),IF(AND(1056&gt;$B$173,$B$78="Refinance",ISNUMBER($B$80),$B$80&gt;=0,$B$80&lt;=1,ROUND($B$81*12,0)&gt;=1,$B$81&lt;=100,SUM($B$82)&gt;=0,SUM($B$82)&lt;=1,SUM($B$83)&gt;=0),$B$80,IF(AND($B$175&gt;0,1056&gt;$B$175,ISNUMBER($B$75)),$B$75,$B$61)),"")</x:f>
        <x:v>0.0625</x:v>
      </x:c>
      <x:c r="D1456" s="440" t="n">
        <x:f>IF(AND(ISNUMBER(B1456),B1456=0),0,IF(AND($B$171=1,I1455=0,ISNUMBER(C1456),ISNUMBER(IF(AND(1056&lt;=$B$174,1056&lt;=$B$173),B1456*C1456/12,IF(AND(1056=$B$173+1,AND(1056&gt;$B$173,$B$78="Refinance",ISNUMBER($B$80),$B$80&gt;=0,$B$80&lt;=1,ROUND($B$81*12,0)&gt;=1,$B$81&lt;=100,SUM($B$82)&gt;=0,SUM($B$82)&lt;=1,SUM($B$83)&gt;=0)),IF(B1456=0,0,IF(C1456=0,B1456/ROUND($B$81*12,0),B1456*(C1456/12)/(1-(1+C1456/12)^(-ROUND($B$81*12,0))))),IF(AND(NOT(AND(1056&gt;$B$173,$B$78="Refinance",ISNUMBER($B$80),$B$80&gt;=0,$B$80&lt;=1,ROUND($B$81*12,0)&gt;=1,$B$81&lt;=100,SUM($B$82)&gt;=0,SUM($B$82)&lt;=1,SUM($B$83)&gt;=0)),OR(1056=1,1056=$B$174+1,AND($B$175&gt;0,1056=$B$175+1))),IF(AND($B$170=1,$B$66&gt;0,OR($B$175=0,1056&lt;=$B$175)),$B$66,IF($B$172-MAX(1056-1,$B$174)&gt;0,IF(B1456=0,0,IF(C1456=0,B1456/($B$172-MAX(1056-1,$B$174)),B1456*(C1456/12)/(1-(1+C1456/12)^(-($B$172-MAX(1056-1,$B$174)))))),"")),D1455))))),IF(IF(AND(1056&lt;=$B$174,1056&lt;=$B$173),B1456*C1456/12,IF(AND(1056=$B$173+1,AND(1056&gt;$B$173,$B$78="Refinance",ISNUMBER($B$80),$B$80&gt;=0,$B$80&lt;=1,ROUND($B$81*12,0)&gt;=1,$B$81&lt;=100,SUM($B$82)&gt;=0,SUM($B$82)&lt;=1,SUM($B$83)&gt;=0)),IF(B1456=0,0,IF(C1456=0,B1456/ROUND($B$81*12,0),B1456*(C1456/12)/(1-(1+C1456/12)^(-ROUND($B$81*12,0))))),IF(AND(NOT(AND(1056&gt;$B$173,$B$78="Refinance",ISNUMBER($B$80),$B$80&gt;=0,$B$80&lt;=1,ROUND($B$81*12,0)&gt;=1,$B$81&lt;=100,SUM($B$82)&gt;=0,SUM($B$82)&lt;=1,SUM($B$83)&gt;=0)),OR(1056=1,1056=$B$174+1,AND($B$175&gt;0,1056=$B$175+1))),IF(AND($B$170=1,$B$66&gt;0,OR($B$175=0,1056&lt;=$B$175)),$B$66,IF($B$172-MAX(1056-1,$B$174)&gt;0,IF(B1456=0,0,IF(C1456=0,B1456/($B$172-MAX(1056-1,$B$174)),B1456*(C1456/12)/(1-(1+C1456/12)^(-($B$172-MAX(1056-1,$B$174)))))),"")),D1455)))+0.0000001&gt;=B1456*C1456/12,MIN(B1456*(1+C1456/12),IF(AND(1056&lt;=$B$174,1056&lt;=$B$173),B1456*C1456/12,IF(AND(1056=$B$173+1,AND(1056&gt;$B$173,$B$78="Refinance",ISNUMBER($B$80),$B$80&gt;=0,$B$80&lt;=1,ROUND($B$81*12,0)&gt;=1,$B$81&lt;=100,SUM($B$82)&gt;=0,SUM($B$82)&lt;=1,SUM($B$83)&gt;=0)),IF(B1456=0,0,IF(C1456=0,B1456/ROUND($B$81*12,0),B1456*(C1456/12)/(1-(1+C1456/12)^(-ROUND($B$81*12,0))))),IF(AND(NOT(AND(1056&gt;$B$173,$B$78="Refinance",ISNUMBER($B$80),$B$80&gt;=0,$B$80&lt;=1,ROUND($B$81*12,0)&gt;=1,$B$81&lt;=100,SUM($B$82)&gt;=0,SUM($B$82)&lt;=1,SUM($B$83)&gt;=0)),OR(1056=1,1056=$B$174+1,AND($B$175&gt;0,1056=$B$175+1))),IF(AND($B$170=1,$B$66&gt;0,OR($B$175=0,1056&lt;=$B$175)),$B$66,IF($B$172-MAX(1056-1,$B$174)&gt;0,IF(B1456=0,0,IF(C1456=0,B1456/($B$172-MAX(1056-1,$B$174)),B1456*(C1456/12)/(1-(1+C1456/12)^(-($B$172-MAX(1056-1,$B$174)))))),"")),D1455)))),""),""))</x:f>
        <x:v>0</x:v>
      </x:c>
      <x:c r="E1456" s="440" t="n">
        <x:f>IF(AND(1056=$B$173,ISNUMBER(D1456)),IF(MAX(0,B1456*(1+C1456/12)-D1456)&lt;MAX(0.0000001,$E$17*0.00000000001),0,MAX(0,B1456*(1+C1456/12)-D1456)),0)</x:f>
        <x:v>0</x:v>
      </x:c>
      <x:c r="F1456" s="440" t="n">
        <x:f>IF($B$78="Cash payoff",E1456,0)</x:f>
        <x:v>0</x:v>
      </x:c>
      <x:c r="G1456" s="440" t="n">
        <x:f>IF(AND(E1456&gt;0,AND($B$78="Refinance",ISNUMBER($B$80),$B$80&gt;=0,$B$80&lt;=1,ROUND($B$81*12,0)&gt;=1,$B$81&lt;=100,SUM($B$82)&gt;=0,SUM($B$82)&lt;=1,SUM($B$83)&gt;=0)),E1456*SUM($B$82)+SUM($B$83),0)</x:f>
        <x:v>0</x:v>
      </x:c>
      <x:c r="H1456" s="440" t="n">
        <x:f>IF(ISNUMBER(D1456),IF(MAX(0,B1456*(1+C1456/12)-D1456-F1456)&lt;MAX(0.0000001,$E$17*0.00000000001),0,MAX(0,B1456*(1+C1456/12)-D1456-F1456)),IF(AND($B$171=1,I1455=1),B1456,""))</x:f>
        <x:v>0</x:v>
      </x:c>
      <x:c r="I1456" s="444" t="n">
        <x:f>IF(OR(I1455=1,AND(E1456&gt;0,$B$78&lt;&gt;"Cash payoff",NOT(AND($B$78="Refinance",ISNUMBER($B$80),$B$80&gt;=0,$B$80&lt;=1,ROUND($B$81*12,0)&gt;=1,$B$81&lt;=100,SUM($B$82)&gt;=0,SUM($B$82)&lt;=1,SUM($B$83)&gt;=0))),AND(ISNUMBER(B1456),B1456&gt;0,$B$171=1,NOT(ISNUMBER(D1456)))),1,0)</x:f>
        <x:v>0</x:v>
      </x:c>
      <x:c r="J1456" s="440" t="n">
        <x:f>IF(ISNUMBER(L1455),L1455,"")</x:f>
        <x:v>0</x:v>
      </x:c>
      <x:c r="K1456" s="440" t="n">
        <x:f>IF(AND(ISNUMBER(J1456),J1456=0),0,IF(AND($B$176=1,ISNUMBER(J1456)),MIN(J1456*(1+$B$87/12),IF($B$86=0,0,IF($B$87=0,$B$86/ROUND($B$88*12,0),$B$86*($B$87/12)/(1-(1+$B$87/12)^(-ROUND($B$88*12,0)))))),""))</x:f>
        <x:v>0</x:v>
      </x:c>
      <x:c r="L1456" s="440" t="n">
        <x:f>IF(ISNUMBER(K1456),IF(MAX(0,J1456*(1+SUM($B$87)/12)-K1456)&lt;MAX(0.0000001,$B$86*0.00000000001),0,MAX(0,J1456*(1+SUM($B$87)/12)-K1456)),"")</x:f>
        <x:v>0</x:v>
      </x:c>
      <x:c r="M1456" s="440" t="n">
        <x:f>IF(AND(ISNUMBER(D1456),ISNUMBER(K1456)),D1456+K1456,"")</x:f>
        <x:v>0</x:v>
      </x:c>
      <x:c r="N1456" s="440" t="n">
        <x:f>IF(AND(ISNUMBER(H1456),ISNUMBER(L1456)),H1456+L1456,"")</x:f>
        <x:v>0</x:v>
      </x:c>
    </x:row>
    <x:row r="1457" ht="22" customHeight="1">
      <x:c r="A1457" s="254" t="n">
        <x:f>1057</x:f>
        <x:v>1057</x:v>
      </x:c>
      <x:c r="B1457" s="440" t="n">
        <x:f>IF(ISNUMBER(H1456),H1456,"")</x:f>
        <x:v>0</x:v>
      </x:c>
      <x:c r="C1457" s="442" t="n">
        <x:f>IF(ISNUMBER(B1457),IF(AND(1057&gt;$B$173,$B$78="Refinance",ISNUMBER($B$80),$B$80&gt;=0,$B$80&lt;=1,ROUND($B$81*12,0)&gt;=1,$B$81&lt;=100,SUM($B$82)&gt;=0,SUM($B$82)&lt;=1,SUM($B$83)&gt;=0),$B$80,IF(AND($B$175&gt;0,1057&gt;$B$175,ISNUMBER($B$75)),$B$75,$B$61)),"")</x:f>
        <x:v>0.0625</x:v>
      </x:c>
      <x:c r="D1457" s="440" t="n">
        <x:f>IF(AND(ISNUMBER(B1457),B1457=0),0,IF(AND($B$171=1,I1456=0,ISNUMBER(C1457),ISNUMBER(IF(AND(1057&lt;=$B$174,1057&lt;=$B$173),B1457*C1457/12,IF(AND(1057=$B$173+1,AND(1057&gt;$B$173,$B$78="Refinance",ISNUMBER($B$80),$B$80&gt;=0,$B$80&lt;=1,ROUND($B$81*12,0)&gt;=1,$B$81&lt;=100,SUM($B$82)&gt;=0,SUM($B$82)&lt;=1,SUM($B$83)&gt;=0)),IF(B1457=0,0,IF(C1457=0,B1457/ROUND($B$81*12,0),B1457*(C1457/12)/(1-(1+C1457/12)^(-ROUND($B$81*12,0))))),IF(AND(NOT(AND(1057&gt;$B$173,$B$78="Refinance",ISNUMBER($B$80),$B$80&gt;=0,$B$80&lt;=1,ROUND($B$81*12,0)&gt;=1,$B$81&lt;=100,SUM($B$82)&gt;=0,SUM($B$82)&lt;=1,SUM($B$83)&gt;=0)),OR(1057=1,1057=$B$174+1,AND($B$175&gt;0,1057=$B$175+1))),IF(AND($B$170=1,$B$66&gt;0,OR($B$175=0,1057&lt;=$B$175)),$B$66,IF($B$172-MAX(1057-1,$B$174)&gt;0,IF(B1457=0,0,IF(C1457=0,B1457/($B$172-MAX(1057-1,$B$174)),B1457*(C1457/12)/(1-(1+C1457/12)^(-($B$172-MAX(1057-1,$B$174)))))),"")),D1456))))),IF(IF(AND(1057&lt;=$B$174,1057&lt;=$B$173),B1457*C1457/12,IF(AND(1057=$B$173+1,AND(1057&gt;$B$173,$B$78="Refinance",ISNUMBER($B$80),$B$80&gt;=0,$B$80&lt;=1,ROUND($B$81*12,0)&gt;=1,$B$81&lt;=100,SUM($B$82)&gt;=0,SUM($B$82)&lt;=1,SUM($B$83)&gt;=0)),IF(B1457=0,0,IF(C1457=0,B1457/ROUND($B$81*12,0),B1457*(C1457/12)/(1-(1+C1457/12)^(-ROUND($B$81*12,0))))),IF(AND(NOT(AND(1057&gt;$B$173,$B$78="Refinance",ISNUMBER($B$80),$B$80&gt;=0,$B$80&lt;=1,ROUND($B$81*12,0)&gt;=1,$B$81&lt;=100,SUM($B$82)&gt;=0,SUM($B$82)&lt;=1,SUM($B$83)&gt;=0)),OR(1057=1,1057=$B$174+1,AND($B$175&gt;0,1057=$B$175+1))),IF(AND($B$170=1,$B$66&gt;0,OR($B$175=0,1057&lt;=$B$175)),$B$66,IF($B$172-MAX(1057-1,$B$174)&gt;0,IF(B1457=0,0,IF(C1457=0,B1457/($B$172-MAX(1057-1,$B$174)),B1457*(C1457/12)/(1-(1+C1457/12)^(-($B$172-MAX(1057-1,$B$174)))))),"")),D1456)))+0.0000001&gt;=B1457*C1457/12,MIN(B1457*(1+C1457/12),IF(AND(1057&lt;=$B$174,1057&lt;=$B$173),B1457*C1457/12,IF(AND(1057=$B$173+1,AND(1057&gt;$B$173,$B$78="Refinance",ISNUMBER($B$80),$B$80&gt;=0,$B$80&lt;=1,ROUND($B$81*12,0)&gt;=1,$B$81&lt;=100,SUM($B$82)&gt;=0,SUM($B$82)&lt;=1,SUM($B$83)&gt;=0)),IF(B1457=0,0,IF(C1457=0,B1457/ROUND($B$81*12,0),B1457*(C1457/12)/(1-(1+C1457/12)^(-ROUND($B$81*12,0))))),IF(AND(NOT(AND(1057&gt;$B$173,$B$78="Refinance",ISNUMBER($B$80),$B$80&gt;=0,$B$80&lt;=1,ROUND($B$81*12,0)&gt;=1,$B$81&lt;=100,SUM($B$82)&gt;=0,SUM($B$82)&lt;=1,SUM($B$83)&gt;=0)),OR(1057=1,1057=$B$174+1,AND($B$175&gt;0,1057=$B$175+1))),IF(AND($B$170=1,$B$66&gt;0,OR($B$175=0,1057&lt;=$B$175)),$B$66,IF($B$172-MAX(1057-1,$B$174)&gt;0,IF(B1457=0,0,IF(C1457=0,B1457/($B$172-MAX(1057-1,$B$174)),B1457*(C1457/12)/(1-(1+C1457/12)^(-($B$172-MAX(1057-1,$B$174)))))),"")),D1456)))),""),""))</x:f>
        <x:v>0</x:v>
      </x:c>
      <x:c r="E1457" s="440" t="n">
        <x:f>IF(AND(1057=$B$173,ISNUMBER(D1457)),IF(MAX(0,B1457*(1+C1457/12)-D1457)&lt;MAX(0.0000001,$E$17*0.00000000001),0,MAX(0,B1457*(1+C1457/12)-D1457)),0)</x:f>
        <x:v>0</x:v>
      </x:c>
      <x:c r="F1457" s="440" t="n">
        <x:f>IF($B$78="Cash payoff",E1457,0)</x:f>
        <x:v>0</x:v>
      </x:c>
      <x:c r="G1457" s="440" t="n">
        <x:f>IF(AND(E1457&gt;0,AND($B$78="Refinance",ISNUMBER($B$80),$B$80&gt;=0,$B$80&lt;=1,ROUND($B$81*12,0)&gt;=1,$B$81&lt;=100,SUM($B$82)&gt;=0,SUM($B$82)&lt;=1,SUM($B$83)&gt;=0)),E1457*SUM($B$82)+SUM($B$83),0)</x:f>
        <x:v>0</x:v>
      </x:c>
      <x:c r="H1457" s="440" t="n">
        <x:f>IF(ISNUMBER(D1457),IF(MAX(0,B1457*(1+C1457/12)-D1457-F1457)&lt;MAX(0.0000001,$E$17*0.00000000001),0,MAX(0,B1457*(1+C1457/12)-D1457-F1457)),IF(AND($B$171=1,I1456=1),B1457,""))</x:f>
        <x:v>0</x:v>
      </x:c>
      <x:c r="I1457" s="444" t="n">
        <x:f>IF(OR(I1456=1,AND(E1457&gt;0,$B$78&lt;&gt;"Cash payoff",NOT(AND($B$78="Refinance",ISNUMBER($B$80),$B$80&gt;=0,$B$80&lt;=1,ROUND($B$81*12,0)&gt;=1,$B$81&lt;=100,SUM($B$82)&gt;=0,SUM($B$82)&lt;=1,SUM($B$83)&gt;=0))),AND(ISNUMBER(B1457),B1457&gt;0,$B$171=1,NOT(ISNUMBER(D1457)))),1,0)</x:f>
        <x:v>0</x:v>
      </x:c>
      <x:c r="J1457" s="440" t="n">
        <x:f>IF(ISNUMBER(L1456),L1456,"")</x:f>
        <x:v>0</x:v>
      </x:c>
      <x:c r="K1457" s="440" t="n">
        <x:f>IF(AND(ISNUMBER(J1457),J1457=0),0,IF(AND($B$176=1,ISNUMBER(J1457)),MIN(J1457*(1+$B$87/12),IF($B$86=0,0,IF($B$87=0,$B$86/ROUND($B$88*12,0),$B$86*($B$87/12)/(1-(1+$B$87/12)^(-ROUND($B$88*12,0)))))),""))</x:f>
        <x:v>0</x:v>
      </x:c>
      <x:c r="L1457" s="440" t="n">
        <x:f>IF(ISNUMBER(K1457),IF(MAX(0,J1457*(1+SUM($B$87)/12)-K1457)&lt;MAX(0.0000001,$B$86*0.00000000001),0,MAX(0,J1457*(1+SUM($B$87)/12)-K1457)),"")</x:f>
        <x:v>0</x:v>
      </x:c>
      <x:c r="M1457" s="440" t="n">
        <x:f>IF(AND(ISNUMBER(D1457),ISNUMBER(K1457)),D1457+K1457,"")</x:f>
        <x:v>0</x:v>
      </x:c>
      <x:c r="N1457" s="440" t="n">
        <x:f>IF(AND(ISNUMBER(H1457),ISNUMBER(L1457)),H1457+L1457,"")</x:f>
        <x:v>0</x:v>
      </x:c>
    </x:row>
    <x:row r="1458" ht="22" customHeight="1">
      <x:c r="A1458" s="254" t="n">
        <x:f>1058</x:f>
        <x:v>1058</x:v>
      </x:c>
      <x:c r="B1458" s="440" t="n">
        <x:f>IF(ISNUMBER(H1457),H1457,"")</x:f>
        <x:v>0</x:v>
      </x:c>
      <x:c r="C1458" s="442" t="n">
        <x:f>IF(ISNUMBER(B1458),IF(AND(1058&gt;$B$173,$B$78="Refinance",ISNUMBER($B$80),$B$80&gt;=0,$B$80&lt;=1,ROUND($B$81*12,0)&gt;=1,$B$81&lt;=100,SUM($B$82)&gt;=0,SUM($B$82)&lt;=1,SUM($B$83)&gt;=0),$B$80,IF(AND($B$175&gt;0,1058&gt;$B$175,ISNUMBER($B$75)),$B$75,$B$61)),"")</x:f>
        <x:v>0.0625</x:v>
      </x:c>
      <x:c r="D1458" s="440" t="n">
        <x:f>IF(AND(ISNUMBER(B1458),B1458=0),0,IF(AND($B$171=1,I1457=0,ISNUMBER(C1458),ISNUMBER(IF(AND(1058&lt;=$B$174,1058&lt;=$B$173),B1458*C1458/12,IF(AND(1058=$B$173+1,AND(1058&gt;$B$173,$B$78="Refinance",ISNUMBER($B$80),$B$80&gt;=0,$B$80&lt;=1,ROUND($B$81*12,0)&gt;=1,$B$81&lt;=100,SUM($B$82)&gt;=0,SUM($B$82)&lt;=1,SUM($B$83)&gt;=0)),IF(B1458=0,0,IF(C1458=0,B1458/ROUND($B$81*12,0),B1458*(C1458/12)/(1-(1+C1458/12)^(-ROUND($B$81*12,0))))),IF(AND(NOT(AND(1058&gt;$B$173,$B$78="Refinance",ISNUMBER($B$80),$B$80&gt;=0,$B$80&lt;=1,ROUND($B$81*12,0)&gt;=1,$B$81&lt;=100,SUM($B$82)&gt;=0,SUM($B$82)&lt;=1,SUM($B$83)&gt;=0)),OR(1058=1,1058=$B$174+1,AND($B$175&gt;0,1058=$B$175+1))),IF(AND($B$170=1,$B$66&gt;0,OR($B$175=0,1058&lt;=$B$175)),$B$66,IF($B$172-MAX(1058-1,$B$174)&gt;0,IF(B1458=0,0,IF(C1458=0,B1458/($B$172-MAX(1058-1,$B$174)),B1458*(C1458/12)/(1-(1+C1458/12)^(-($B$172-MAX(1058-1,$B$174)))))),"")),D1457))))),IF(IF(AND(1058&lt;=$B$174,1058&lt;=$B$173),B1458*C1458/12,IF(AND(1058=$B$173+1,AND(1058&gt;$B$173,$B$78="Refinance",ISNUMBER($B$80),$B$80&gt;=0,$B$80&lt;=1,ROUND($B$81*12,0)&gt;=1,$B$81&lt;=100,SUM($B$82)&gt;=0,SUM($B$82)&lt;=1,SUM($B$83)&gt;=0)),IF(B1458=0,0,IF(C1458=0,B1458/ROUND($B$81*12,0),B1458*(C1458/12)/(1-(1+C1458/12)^(-ROUND($B$81*12,0))))),IF(AND(NOT(AND(1058&gt;$B$173,$B$78="Refinance",ISNUMBER($B$80),$B$80&gt;=0,$B$80&lt;=1,ROUND($B$81*12,0)&gt;=1,$B$81&lt;=100,SUM($B$82)&gt;=0,SUM($B$82)&lt;=1,SUM($B$83)&gt;=0)),OR(1058=1,1058=$B$174+1,AND($B$175&gt;0,1058=$B$175+1))),IF(AND($B$170=1,$B$66&gt;0,OR($B$175=0,1058&lt;=$B$175)),$B$66,IF($B$172-MAX(1058-1,$B$174)&gt;0,IF(B1458=0,0,IF(C1458=0,B1458/($B$172-MAX(1058-1,$B$174)),B1458*(C1458/12)/(1-(1+C1458/12)^(-($B$172-MAX(1058-1,$B$174)))))),"")),D1457)))+0.0000001&gt;=B1458*C1458/12,MIN(B1458*(1+C1458/12),IF(AND(1058&lt;=$B$174,1058&lt;=$B$173),B1458*C1458/12,IF(AND(1058=$B$173+1,AND(1058&gt;$B$173,$B$78="Refinance",ISNUMBER($B$80),$B$80&gt;=0,$B$80&lt;=1,ROUND($B$81*12,0)&gt;=1,$B$81&lt;=100,SUM($B$82)&gt;=0,SUM($B$82)&lt;=1,SUM($B$83)&gt;=0)),IF(B1458=0,0,IF(C1458=0,B1458/ROUND($B$81*12,0),B1458*(C1458/12)/(1-(1+C1458/12)^(-ROUND($B$81*12,0))))),IF(AND(NOT(AND(1058&gt;$B$173,$B$78="Refinance",ISNUMBER($B$80),$B$80&gt;=0,$B$80&lt;=1,ROUND($B$81*12,0)&gt;=1,$B$81&lt;=100,SUM($B$82)&gt;=0,SUM($B$82)&lt;=1,SUM($B$83)&gt;=0)),OR(1058=1,1058=$B$174+1,AND($B$175&gt;0,1058=$B$175+1))),IF(AND($B$170=1,$B$66&gt;0,OR($B$175=0,1058&lt;=$B$175)),$B$66,IF($B$172-MAX(1058-1,$B$174)&gt;0,IF(B1458=0,0,IF(C1458=0,B1458/($B$172-MAX(1058-1,$B$174)),B1458*(C1458/12)/(1-(1+C1458/12)^(-($B$172-MAX(1058-1,$B$174)))))),"")),D1457)))),""),""))</x:f>
        <x:v>0</x:v>
      </x:c>
      <x:c r="E1458" s="440" t="n">
        <x:f>IF(AND(1058=$B$173,ISNUMBER(D1458)),IF(MAX(0,B1458*(1+C1458/12)-D1458)&lt;MAX(0.0000001,$E$17*0.00000000001),0,MAX(0,B1458*(1+C1458/12)-D1458)),0)</x:f>
        <x:v>0</x:v>
      </x:c>
      <x:c r="F1458" s="440" t="n">
        <x:f>IF($B$78="Cash payoff",E1458,0)</x:f>
        <x:v>0</x:v>
      </x:c>
      <x:c r="G1458" s="440" t="n">
        <x:f>IF(AND(E1458&gt;0,AND($B$78="Refinance",ISNUMBER($B$80),$B$80&gt;=0,$B$80&lt;=1,ROUND($B$81*12,0)&gt;=1,$B$81&lt;=100,SUM($B$82)&gt;=0,SUM($B$82)&lt;=1,SUM($B$83)&gt;=0)),E1458*SUM($B$82)+SUM($B$83),0)</x:f>
        <x:v>0</x:v>
      </x:c>
      <x:c r="H1458" s="440" t="n">
        <x:f>IF(ISNUMBER(D1458),IF(MAX(0,B1458*(1+C1458/12)-D1458-F1458)&lt;MAX(0.0000001,$E$17*0.00000000001),0,MAX(0,B1458*(1+C1458/12)-D1458-F1458)),IF(AND($B$171=1,I1457=1),B1458,""))</x:f>
        <x:v>0</x:v>
      </x:c>
      <x:c r="I1458" s="444" t="n">
        <x:f>IF(OR(I1457=1,AND(E1458&gt;0,$B$78&lt;&gt;"Cash payoff",NOT(AND($B$78="Refinance",ISNUMBER($B$80),$B$80&gt;=0,$B$80&lt;=1,ROUND($B$81*12,0)&gt;=1,$B$81&lt;=100,SUM($B$82)&gt;=0,SUM($B$82)&lt;=1,SUM($B$83)&gt;=0))),AND(ISNUMBER(B1458),B1458&gt;0,$B$171=1,NOT(ISNUMBER(D1458)))),1,0)</x:f>
        <x:v>0</x:v>
      </x:c>
      <x:c r="J1458" s="440" t="n">
        <x:f>IF(ISNUMBER(L1457),L1457,"")</x:f>
        <x:v>0</x:v>
      </x:c>
      <x:c r="K1458" s="440" t="n">
        <x:f>IF(AND(ISNUMBER(J1458),J1458=0),0,IF(AND($B$176=1,ISNUMBER(J1458)),MIN(J1458*(1+$B$87/12),IF($B$86=0,0,IF($B$87=0,$B$86/ROUND($B$88*12,0),$B$86*($B$87/12)/(1-(1+$B$87/12)^(-ROUND($B$88*12,0)))))),""))</x:f>
        <x:v>0</x:v>
      </x:c>
      <x:c r="L1458" s="440" t="n">
        <x:f>IF(ISNUMBER(K1458),IF(MAX(0,J1458*(1+SUM($B$87)/12)-K1458)&lt;MAX(0.0000001,$B$86*0.00000000001),0,MAX(0,J1458*(1+SUM($B$87)/12)-K1458)),"")</x:f>
        <x:v>0</x:v>
      </x:c>
      <x:c r="M1458" s="440" t="n">
        <x:f>IF(AND(ISNUMBER(D1458),ISNUMBER(K1458)),D1458+K1458,"")</x:f>
        <x:v>0</x:v>
      </x:c>
      <x:c r="N1458" s="440" t="n">
        <x:f>IF(AND(ISNUMBER(H1458),ISNUMBER(L1458)),H1458+L1458,"")</x:f>
        <x:v>0</x:v>
      </x:c>
    </x:row>
    <x:row r="1459" ht="22" customHeight="1">
      <x:c r="A1459" s="254" t="n">
        <x:f>1059</x:f>
        <x:v>1059</x:v>
      </x:c>
      <x:c r="B1459" s="440" t="n">
        <x:f>IF(ISNUMBER(H1458),H1458,"")</x:f>
        <x:v>0</x:v>
      </x:c>
      <x:c r="C1459" s="442" t="n">
        <x:f>IF(ISNUMBER(B1459),IF(AND(1059&gt;$B$173,$B$78="Refinance",ISNUMBER($B$80),$B$80&gt;=0,$B$80&lt;=1,ROUND($B$81*12,0)&gt;=1,$B$81&lt;=100,SUM($B$82)&gt;=0,SUM($B$82)&lt;=1,SUM($B$83)&gt;=0),$B$80,IF(AND($B$175&gt;0,1059&gt;$B$175,ISNUMBER($B$75)),$B$75,$B$61)),"")</x:f>
        <x:v>0.0625</x:v>
      </x:c>
      <x:c r="D1459" s="440" t="n">
        <x:f>IF(AND(ISNUMBER(B1459),B1459=0),0,IF(AND($B$171=1,I1458=0,ISNUMBER(C1459),ISNUMBER(IF(AND(1059&lt;=$B$174,1059&lt;=$B$173),B1459*C1459/12,IF(AND(1059=$B$173+1,AND(1059&gt;$B$173,$B$78="Refinance",ISNUMBER($B$80),$B$80&gt;=0,$B$80&lt;=1,ROUND($B$81*12,0)&gt;=1,$B$81&lt;=100,SUM($B$82)&gt;=0,SUM($B$82)&lt;=1,SUM($B$83)&gt;=0)),IF(B1459=0,0,IF(C1459=0,B1459/ROUND($B$81*12,0),B1459*(C1459/12)/(1-(1+C1459/12)^(-ROUND($B$81*12,0))))),IF(AND(NOT(AND(1059&gt;$B$173,$B$78="Refinance",ISNUMBER($B$80),$B$80&gt;=0,$B$80&lt;=1,ROUND($B$81*12,0)&gt;=1,$B$81&lt;=100,SUM($B$82)&gt;=0,SUM($B$82)&lt;=1,SUM($B$83)&gt;=0)),OR(1059=1,1059=$B$174+1,AND($B$175&gt;0,1059=$B$175+1))),IF(AND($B$170=1,$B$66&gt;0,OR($B$175=0,1059&lt;=$B$175)),$B$66,IF($B$172-MAX(1059-1,$B$174)&gt;0,IF(B1459=0,0,IF(C1459=0,B1459/($B$172-MAX(1059-1,$B$174)),B1459*(C1459/12)/(1-(1+C1459/12)^(-($B$172-MAX(1059-1,$B$174)))))),"")),D1458))))),IF(IF(AND(1059&lt;=$B$174,1059&lt;=$B$173),B1459*C1459/12,IF(AND(1059=$B$173+1,AND(1059&gt;$B$173,$B$78="Refinance",ISNUMBER($B$80),$B$80&gt;=0,$B$80&lt;=1,ROUND($B$81*12,0)&gt;=1,$B$81&lt;=100,SUM($B$82)&gt;=0,SUM($B$82)&lt;=1,SUM($B$83)&gt;=0)),IF(B1459=0,0,IF(C1459=0,B1459/ROUND($B$81*12,0),B1459*(C1459/12)/(1-(1+C1459/12)^(-ROUND($B$81*12,0))))),IF(AND(NOT(AND(1059&gt;$B$173,$B$78="Refinance",ISNUMBER($B$80),$B$80&gt;=0,$B$80&lt;=1,ROUND($B$81*12,0)&gt;=1,$B$81&lt;=100,SUM($B$82)&gt;=0,SUM($B$82)&lt;=1,SUM($B$83)&gt;=0)),OR(1059=1,1059=$B$174+1,AND($B$175&gt;0,1059=$B$175+1))),IF(AND($B$170=1,$B$66&gt;0,OR($B$175=0,1059&lt;=$B$175)),$B$66,IF($B$172-MAX(1059-1,$B$174)&gt;0,IF(B1459=0,0,IF(C1459=0,B1459/($B$172-MAX(1059-1,$B$174)),B1459*(C1459/12)/(1-(1+C1459/12)^(-($B$172-MAX(1059-1,$B$174)))))),"")),D1458)))+0.0000001&gt;=B1459*C1459/12,MIN(B1459*(1+C1459/12),IF(AND(1059&lt;=$B$174,1059&lt;=$B$173),B1459*C1459/12,IF(AND(1059=$B$173+1,AND(1059&gt;$B$173,$B$78="Refinance",ISNUMBER($B$80),$B$80&gt;=0,$B$80&lt;=1,ROUND($B$81*12,0)&gt;=1,$B$81&lt;=100,SUM($B$82)&gt;=0,SUM($B$82)&lt;=1,SUM($B$83)&gt;=0)),IF(B1459=0,0,IF(C1459=0,B1459/ROUND($B$81*12,0),B1459*(C1459/12)/(1-(1+C1459/12)^(-ROUND($B$81*12,0))))),IF(AND(NOT(AND(1059&gt;$B$173,$B$78="Refinance",ISNUMBER($B$80),$B$80&gt;=0,$B$80&lt;=1,ROUND($B$81*12,0)&gt;=1,$B$81&lt;=100,SUM($B$82)&gt;=0,SUM($B$82)&lt;=1,SUM($B$83)&gt;=0)),OR(1059=1,1059=$B$174+1,AND($B$175&gt;0,1059=$B$175+1))),IF(AND($B$170=1,$B$66&gt;0,OR($B$175=0,1059&lt;=$B$175)),$B$66,IF($B$172-MAX(1059-1,$B$174)&gt;0,IF(B1459=0,0,IF(C1459=0,B1459/($B$172-MAX(1059-1,$B$174)),B1459*(C1459/12)/(1-(1+C1459/12)^(-($B$172-MAX(1059-1,$B$174)))))),"")),D1458)))),""),""))</x:f>
        <x:v>0</x:v>
      </x:c>
      <x:c r="E1459" s="440" t="n">
        <x:f>IF(AND(1059=$B$173,ISNUMBER(D1459)),IF(MAX(0,B1459*(1+C1459/12)-D1459)&lt;MAX(0.0000001,$E$17*0.00000000001),0,MAX(0,B1459*(1+C1459/12)-D1459)),0)</x:f>
        <x:v>0</x:v>
      </x:c>
      <x:c r="F1459" s="440" t="n">
        <x:f>IF($B$78="Cash payoff",E1459,0)</x:f>
        <x:v>0</x:v>
      </x:c>
      <x:c r="G1459" s="440" t="n">
        <x:f>IF(AND(E1459&gt;0,AND($B$78="Refinance",ISNUMBER($B$80),$B$80&gt;=0,$B$80&lt;=1,ROUND($B$81*12,0)&gt;=1,$B$81&lt;=100,SUM($B$82)&gt;=0,SUM($B$82)&lt;=1,SUM($B$83)&gt;=0)),E1459*SUM($B$82)+SUM($B$83),0)</x:f>
        <x:v>0</x:v>
      </x:c>
      <x:c r="H1459" s="440" t="n">
        <x:f>IF(ISNUMBER(D1459),IF(MAX(0,B1459*(1+C1459/12)-D1459-F1459)&lt;MAX(0.0000001,$E$17*0.00000000001),0,MAX(0,B1459*(1+C1459/12)-D1459-F1459)),IF(AND($B$171=1,I1458=1),B1459,""))</x:f>
        <x:v>0</x:v>
      </x:c>
      <x:c r="I1459" s="444" t="n">
        <x:f>IF(OR(I1458=1,AND(E1459&gt;0,$B$78&lt;&gt;"Cash payoff",NOT(AND($B$78="Refinance",ISNUMBER($B$80),$B$80&gt;=0,$B$80&lt;=1,ROUND($B$81*12,0)&gt;=1,$B$81&lt;=100,SUM($B$82)&gt;=0,SUM($B$82)&lt;=1,SUM($B$83)&gt;=0))),AND(ISNUMBER(B1459),B1459&gt;0,$B$171=1,NOT(ISNUMBER(D1459)))),1,0)</x:f>
        <x:v>0</x:v>
      </x:c>
      <x:c r="J1459" s="440" t="n">
        <x:f>IF(ISNUMBER(L1458),L1458,"")</x:f>
        <x:v>0</x:v>
      </x:c>
      <x:c r="K1459" s="440" t="n">
        <x:f>IF(AND(ISNUMBER(J1459),J1459=0),0,IF(AND($B$176=1,ISNUMBER(J1459)),MIN(J1459*(1+$B$87/12),IF($B$86=0,0,IF($B$87=0,$B$86/ROUND($B$88*12,0),$B$86*($B$87/12)/(1-(1+$B$87/12)^(-ROUND($B$88*12,0)))))),""))</x:f>
        <x:v>0</x:v>
      </x:c>
      <x:c r="L1459" s="440" t="n">
        <x:f>IF(ISNUMBER(K1459),IF(MAX(0,J1459*(1+SUM($B$87)/12)-K1459)&lt;MAX(0.0000001,$B$86*0.00000000001),0,MAX(0,J1459*(1+SUM($B$87)/12)-K1459)),"")</x:f>
        <x:v>0</x:v>
      </x:c>
      <x:c r="M1459" s="440" t="n">
        <x:f>IF(AND(ISNUMBER(D1459),ISNUMBER(K1459)),D1459+K1459,"")</x:f>
        <x:v>0</x:v>
      </x:c>
      <x:c r="N1459" s="440" t="n">
        <x:f>IF(AND(ISNUMBER(H1459),ISNUMBER(L1459)),H1459+L1459,"")</x:f>
        <x:v>0</x:v>
      </x:c>
    </x:row>
    <x:row r="1460" ht="22" customHeight="1">
      <x:c r="A1460" s="254" t="n">
        <x:f>1060</x:f>
        <x:v>1060</x:v>
      </x:c>
      <x:c r="B1460" s="440" t="n">
        <x:f>IF(ISNUMBER(H1459),H1459,"")</x:f>
        <x:v>0</x:v>
      </x:c>
      <x:c r="C1460" s="442" t="n">
        <x:f>IF(ISNUMBER(B1460),IF(AND(1060&gt;$B$173,$B$78="Refinance",ISNUMBER($B$80),$B$80&gt;=0,$B$80&lt;=1,ROUND($B$81*12,0)&gt;=1,$B$81&lt;=100,SUM($B$82)&gt;=0,SUM($B$82)&lt;=1,SUM($B$83)&gt;=0),$B$80,IF(AND($B$175&gt;0,1060&gt;$B$175,ISNUMBER($B$75)),$B$75,$B$61)),"")</x:f>
        <x:v>0.0625</x:v>
      </x:c>
      <x:c r="D1460" s="440" t="n">
        <x:f>IF(AND(ISNUMBER(B1460),B1460=0),0,IF(AND($B$171=1,I1459=0,ISNUMBER(C1460),ISNUMBER(IF(AND(1060&lt;=$B$174,1060&lt;=$B$173),B1460*C1460/12,IF(AND(1060=$B$173+1,AND(1060&gt;$B$173,$B$78="Refinance",ISNUMBER($B$80),$B$80&gt;=0,$B$80&lt;=1,ROUND($B$81*12,0)&gt;=1,$B$81&lt;=100,SUM($B$82)&gt;=0,SUM($B$82)&lt;=1,SUM($B$83)&gt;=0)),IF(B1460=0,0,IF(C1460=0,B1460/ROUND($B$81*12,0),B1460*(C1460/12)/(1-(1+C1460/12)^(-ROUND($B$81*12,0))))),IF(AND(NOT(AND(1060&gt;$B$173,$B$78="Refinance",ISNUMBER($B$80),$B$80&gt;=0,$B$80&lt;=1,ROUND($B$81*12,0)&gt;=1,$B$81&lt;=100,SUM($B$82)&gt;=0,SUM($B$82)&lt;=1,SUM($B$83)&gt;=0)),OR(1060=1,1060=$B$174+1,AND($B$175&gt;0,1060=$B$175+1))),IF(AND($B$170=1,$B$66&gt;0,OR($B$175=0,1060&lt;=$B$175)),$B$66,IF($B$172-MAX(1060-1,$B$174)&gt;0,IF(B1460=0,0,IF(C1460=0,B1460/($B$172-MAX(1060-1,$B$174)),B1460*(C1460/12)/(1-(1+C1460/12)^(-($B$172-MAX(1060-1,$B$174)))))),"")),D1459))))),IF(IF(AND(1060&lt;=$B$174,1060&lt;=$B$173),B1460*C1460/12,IF(AND(1060=$B$173+1,AND(1060&gt;$B$173,$B$78="Refinance",ISNUMBER($B$80),$B$80&gt;=0,$B$80&lt;=1,ROUND($B$81*12,0)&gt;=1,$B$81&lt;=100,SUM($B$82)&gt;=0,SUM($B$82)&lt;=1,SUM($B$83)&gt;=0)),IF(B1460=0,0,IF(C1460=0,B1460/ROUND($B$81*12,0),B1460*(C1460/12)/(1-(1+C1460/12)^(-ROUND($B$81*12,0))))),IF(AND(NOT(AND(1060&gt;$B$173,$B$78="Refinance",ISNUMBER($B$80),$B$80&gt;=0,$B$80&lt;=1,ROUND($B$81*12,0)&gt;=1,$B$81&lt;=100,SUM($B$82)&gt;=0,SUM($B$82)&lt;=1,SUM($B$83)&gt;=0)),OR(1060=1,1060=$B$174+1,AND($B$175&gt;0,1060=$B$175+1))),IF(AND($B$170=1,$B$66&gt;0,OR($B$175=0,1060&lt;=$B$175)),$B$66,IF($B$172-MAX(1060-1,$B$174)&gt;0,IF(B1460=0,0,IF(C1460=0,B1460/($B$172-MAX(1060-1,$B$174)),B1460*(C1460/12)/(1-(1+C1460/12)^(-($B$172-MAX(1060-1,$B$174)))))),"")),D1459)))+0.0000001&gt;=B1460*C1460/12,MIN(B1460*(1+C1460/12),IF(AND(1060&lt;=$B$174,1060&lt;=$B$173),B1460*C1460/12,IF(AND(1060=$B$173+1,AND(1060&gt;$B$173,$B$78="Refinance",ISNUMBER($B$80),$B$80&gt;=0,$B$80&lt;=1,ROUND($B$81*12,0)&gt;=1,$B$81&lt;=100,SUM($B$82)&gt;=0,SUM($B$82)&lt;=1,SUM($B$83)&gt;=0)),IF(B1460=0,0,IF(C1460=0,B1460/ROUND($B$81*12,0),B1460*(C1460/12)/(1-(1+C1460/12)^(-ROUND($B$81*12,0))))),IF(AND(NOT(AND(1060&gt;$B$173,$B$78="Refinance",ISNUMBER($B$80),$B$80&gt;=0,$B$80&lt;=1,ROUND($B$81*12,0)&gt;=1,$B$81&lt;=100,SUM($B$82)&gt;=0,SUM($B$82)&lt;=1,SUM($B$83)&gt;=0)),OR(1060=1,1060=$B$174+1,AND($B$175&gt;0,1060=$B$175+1))),IF(AND($B$170=1,$B$66&gt;0,OR($B$175=0,1060&lt;=$B$175)),$B$66,IF($B$172-MAX(1060-1,$B$174)&gt;0,IF(B1460=0,0,IF(C1460=0,B1460/($B$172-MAX(1060-1,$B$174)),B1460*(C1460/12)/(1-(1+C1460/12)^(-($B$172-MAX(1060-1,$B$174)))))),"")),D1459)))),""),""))</x:f>
        <x:v>0</x:v>
      </x:c>
      <x:c r="E1460" s="440" t="n">
        <x:f>IF(AND(1060=$B$173,ISNUMBER(D1460)),IF(MAX(0,B1460*(1+C1460/12)-D1460)&lt;MAX(0.0000001,$E$17*0.00000000001),0,MAX(0,B1460*(1+C1460/12)-D1460)),0)</x:f>
        <x:v>0</x:v>
      </x:c>
      <x:c r="F1460" s="440" t="n">
        <x:f>IF($B$78="Cash payoff",E1460,0)</x:f>
        <x:v>0</x:v>
      </x:c>
      <x:c r="G1460" s="440" t="n">
        <x:f>IF(AND(E1460&gt;0,AND($B$78="Refinance",ISNUMBER($B$80),$B$80&gt;=0,$B$80&lt;=1,ROUND($B$81*12,0)&gt;=1,$B$81&lt;=100,SUM($B$82)&gt;=0,SUM($B$82)&lt;=1,SUM($B$83)&gt;=0)),E1460*SUM($B$82)+SUM($B$83),0)</x:f>
        <x:v>0</x:v>
      </x:c>
      <x:c r="H1460" s="440" t="n">
        <x:f>IF(ISNUMBER(D1460),IF(MAX(0,B1460*(1+C1460/12)-D1460-F1460)&lt;MAX(0.0000001,$E$17*0.00000000001),0,MAX(0,B1460*(1+C1460/12)-D1460-F1460)),IF(AND($B$171=1,I1459=1),B1460,""))</x:f>
        <x:v>0</x:v>
      </x:c>
      <x:c r="I1460" s="444" t="n">
        <x:f>IF(OR(I1459=1,AND(E1460&gt;0,$B$78&lt;&gt;"Cash payoff",NOT(AND($B$78="Refinance",ISNUMBER($B$80),$B$80&gt;=0,$B$80&lt;=1,ROUND($B$81*12,0)&gt;=1,$B$81&lt;=100,SUM($B$82)&gt;=0,SUM($B$82)&lt;=1,SUM($B$83)&gt;=0))),AND(ISNUMBER(B1460),B1460&gt;0,$B$171=1,NOT(ISNUMBER(D1460)))),1,0)</x:f>
        <x:v>0</x:v>
      </x:c>
      <x:c r="J1460" s="440" t="n">
        <x:f>IF(ISNUMBER(L1459),L1459,"")</x:f>
        <x:v>0</x:v>
      </x:c>
      <x:c r="K1460" s="440" t="n">
        <x:f>IF(AND(ISNUMBER(J1460),J1460=0),0,IF(AND($B$176=1,ISNUMBER(J1460)),MIN(J1460*(1+$B$87/12),IF($B$86=0,0,IF($B$87=0,$B$86/ROUND($B$88*12,0),$B$86*($B$87/12)/(1-(1+$B$87/12)^(-ROUND($B$88*12,0)))))),""))</x:f>
        <x:v>0</x:v>
      </x:c>
      <x:c r="L1460" s="440" t="n">
        <x:f>IF(ISNUMBER(K1460),IF(MAX(0,J1460*(1+SUM($B$87)/12)-K1460)&lt;MAX(0.0000001,$B$86*0.00000000001),0,MAX(0,J1460*(1+SUM($B$87)/12)-K1460)),"")</x:f>
        <x:v>0</x:v>
      </x:c>
      <x:c r="M1460" s="440" t="n">
        <x:f>IF(AND(ISNUMBER(D1460),ISNUMBER(K1460)),D1460+K1460,"")</x:f>
        <x:v>0</x:v>
      </x:c>
      <x:c r="N1460" s="440" t="n">
        <x:f>IF(AND(ISNUMBER(H1460),ISNUMBER(L1460)),H1460+L1460,"")</x:f>
        <x:v>0</x:v>
      </x:c>
    </x:row>
    <x:row r="1461" ht="22" customHeight="1">
      <x:c r="A1461" s="254" t="n">
        <x:f>1061</x:f>
        <x:v>1061</x:v>
      </x:c>
      <x:c r="B1461" s="440" t="n">
        <x:f>IF(ISNUMBER(H1460),H1460,"")</x:f>
        <x:v>0</x:v>
      </x:c>
      <x:c r="C1461" s="442" t="n">
        <x:f>IF(ISNUMBER(B1461),IF(AND(1061&gt;$B$173,$B$78="Refinance",ISNUMBER($B$80),$B$80&gt;=0,$B$80&lt;=1,ROUND($B$81*12,0)&gt;=1,$B$81&lt;=100,SUM($B$82)&gt;=0,SUM($B$82)&lt;=1,SUM($B$83)&gt;=0),$B$80,IF(AND($B$175&gt;0,1061&gt;$B$175,ISNUMBER($B$75)),$B$75,$B$61)),"")</x:f>
        <x:v>0.0625</x:v>
      </x:c>
      <x:c r="D1461" s="440" t="n">
        <x:f>IF(AND(ISNUMBER(B1461),B1461=0),0,IF(AND($B$171=1,I1460=0,ISNUMBER(C1461),ISNUMBER(IF(AND(1061&lt;=$B$174,1061&lt;=$B$173),B1461*C1461/12,IF(AND(1061=$B$173+1,AND(1061&gt;$B$173,$B$78="Refinance",ISNUMBER($B$80),$B$80&gt;=0,$B$80&lt;=1,ROUND($B$81*12,0)&gt;=1,$B$81&lt;=100,SUM($B$82)&gt;=0,SUM($B$82)&lt;=1,SUM($B$83)&gt;=0)),IF(B1461=0,0,IF(C1461=0,B1461/ROUND($B$81*12,0),B1461*(C1461/12)/(1-(1+C1461/12)^(-ROUND($B$81*12,0))))),IF(AND(NOT(AND(1061&gt;$B$173,$B$78="Refinance",ISNUMBER($B$80),$B$80&gt;=0,$B$80&lt;=1,ROUND($B$81*12,0)&gt;=1,$B$81&lt;=100,SUM($B$82)&gt;=0,SUM($B$82)&lt;=1,SUM($B$83)&gt;=0)),OR(1061=1,1061=$B$174+1,AND($B$175&gt;0,1061=$B$175+1))),IF(AND($B$170=1,$B$66&gt;0,OR($B$175=0,1061&lt;=$B$175)),$B$66,IF($B$172-MAX(1061-1,$B$174)&gt;0,IF(B1461=0,0,IF(C1461=0,B1461/($B$172-MAX(1061-1,$B$174)),B1461*(C1461/12)/(1-(1+C1461/12)^(-($B$172-MAX(1061-1,$B$174)))))),"")),D1460))))),IF(IF(AND(1061&lt;=$B$174,1061&lt;=$B$173),B1461*C1461/12,IF(AND(1061=$B$173+1,AND(1061&gt;$B$173,$B$78="Refinance",ISNUMBER($B$80),$B$80&gt;=0,$B$80&lt;=1,ROUND($B$81*12,0)&gt;=1,$B$81&lt;=100,SUM($B$82)&gt;=0,SUM($B$82)&lt;=1,SUM($B$83)&gt;=0)),IF(B1461=0,0,IF(C1461=0,B1461/ROUND($B$81*12,0),B1461*(C1461/12)/(1-(1+C1461/12)^(-ROUND($B$81*12,0))))),IF(AND(NOT(AND(1061&gt;$B$173,$B$78="Refinance",ISNUMBER($B$80),$B$80&gt;=0,$B$80&lt;=1,ROUND($B$81*12,0)&gt;=1,$B$81&lt;=100,SUM($B$82)&gt;=0,SUM($B$82)&lt;=1,SUM($B$83)&gt;=0)),OR(1061=1,1061=$B$174+1,AND($B$175&gt;0,1061=$B$175+1))),IF(AND($B$170=1,$B$66&gt;0,OR($B$175=0,1061&lt;=$B$175)),$B$66,IF($B$172-MAX(1061-1,$B$174)&gt;0,IF(B1461=0,0,IF(C1461=0,B1461/($B$172-MAX(1061-1,$B$174)),B1461*(C1461/12)/(1-(1+C1461/12)^(-($B$172-MAX(1061-1,$B$174)))))),"")),D1460)))+0.0000001&gt;=B1461*C1461/12,MIN(B1461*(1+C1461/12),IF(AND(1061&lt;=$B$174,1061&lt;=$B$173),B1461*C1461/12,IF(AND(1061=$B$173+1,AND(1061&gt;$B$173,$B$78="Refinance",ISNUMBER($B$80),$B$80&gt;=0,$B$80&lt;=1,ROUND($B$81*12,0)&gt;=1,$B$81&lt;=100,SUM($B$82)&gt;=0,SUM($B$82)&lt;=1,SUM($B$83)&gt;=0)),IF(B1461=0,0,IF(C1461=0,B1461/ROUND($B$81*12,0),B1461*(C1461/12)/(1-(1+C1461/12)^(-ROUND($B$81*12,0))))),IF(AND(NOT(AND(1061&gt;$B$173,$B$78="Refinance",ISNUMBER($B$80),$B$80&gt;=0,$B$80&lt;=1,ROUND($B$81*12,0)&gt;=1,$B$81&lt;=100,SUM($B$82)&gt;=0,SUM($B$82)&lt;=1,SUM($B$83)&gt;=0)),OR(1061=1,1061=$B$174+1,AND($B$175&gt;0,1061=$B$175+1))),IF(AND($B$170=1,$B$66&gt;0,OR($B$175=0,1061&lt;=$B$175)),$B$66,IF($B$172-MAX(1061-1,$B$174)&gt;0,IF(B1461=0,0,IF(C1461=0,B1461/($B$172-MAX(1061-1,$B$174)),B1461*(C1461/12)/(1-(1+C1461/12)^(-($B$172-MAX(1061-1,$B$174)))))),"")),D1460)))),""),""))</x:f>
        <x:v>0</x:v>
      </x:c>
      <x:c r="E1461" s="440" t="n">
        <x:f>IF(AND(1061=$B$173,ISNUMBER(D1461)),IF(MAX(0,B1461*(1+C1461/12)-D1461)&lt;MAX(0.0000001,$E$17*0.00000000001),0,MAX(0,B1461*(1+C1461/12)-D1461)),0)</x:f>
        <x:v>0</x:v>
      </x:c>
      <x:c r="F1461" s="440" t="n">
        <x:f>IF($B$78="Cash payoff",E1461,0)</x:f>
        <x:v>0</x:v>
      </x:c>
      <x:c r="G1461" s="440" t="n">
        <x:f>IF(AND(E1461&gt;0,AND($B$78="Refinance",ISNUMBER($B$80),$B$80&gt;=0,$B$80&lt;=1,ROUND($B$81*12,0)&gt;=1,$B$81&lt;=100,SUM($B$82)&gt;=0,SUM($B$82)&lt;=1,SUM($B$83)&gt;=0)),E1461*SUM($B$82)+SUM($B$83),0)</x:f>
        <x:v>0</x:v>
      </x:c>
      <x:c r="H1461" s="440" t="n">
        <x:f>IF(ISNUMBER(D1461),IF(MAX(0,B1461*(1+C1461/12)-D1461-F1461)&lt;MAX(0.0000001,$E$17*0.00000000001),0,MAX(0,B1461*(1+C1461/12)-D1461-F1461)),IF(AND($B$171=1,I1460=1),B1461,""))</x:f>
        <x:v>0</x:v>
      </x:c>
      <x:c r="I1461" s="444" t="n">
        <x:f>IF(OR(I1460=1,AND(E1461&gt;0,$B$78&lt;&gt;"Cash payoff",NOT(AND($B$78="Refinance",ISNUMBER($B$80),$B$80&gt;=0,$B$80&lt;=1,ROUND($B$81*12,0)&gt;=1,$B$81&lt;=100,SUM($B$82)&gt;=0,SUM($B$82)&lt;=1,SUM($B$83)&gt;=0))),AND(ISNUMBER(B1461),B1461&gt;0,$B$171=1,NOT(ISNUMBER(D1461)))),1,0)</x:f>
        <x:v>0</x:v>
      </x:c>
      <x:c r="J1461" s="440" t="n">
        <x:f>IF(ISNUMBER(L1460),L1460,"")</x:f>
        <x:v>0</x:v>
      </x:c>
      <x:c r="K1461" s="440" t="n">
        <x:f>IF(AND(ISNUMBER(J1461),J1461=0),0,IF(AND($B$176=1,ISNUMBER(J1461)),MIN(J1461*(1+$B$87/12),IF($B$86=0,0,IF($B$87=0,$B$86/ROUND($B$88*12,0),$B$86*($B$87/12)/(1-(1+$B$87/12)^(-ROUND($B$88*12,0)))))),""))</x:f>
        <x:v>0</x:v>
      </x:c>
      <x:c r="L1461" s="440" t="n">
        <x:f>IF(ISNUMBER(K1461),IF(MAX(0,J1461*(1+SUM($B$87)/12)-K1461)&lt;MAX(0.0000001,$B$86*0.00000000001),0,MAX(0,J1461*(1+SUM($B$87)/12)-K1461)),"")</x:f>
        <x:v>0</x:v>
      </x:c>
      <x:c r="M1461" s="440" t="n">
        <x:f>IF(AND(ISNUMBER(D1461),ISNUMBER(K1461)),D1461+K1461,"")</x:f>
        <x:v>0</x:v>
      </x:c>
      <x:c r="N1461" s="440" t="n">
        <x:f>IF(AND(ISNUMBER(H1461),ISNUMBER(L1461)),H1461+L1461,"")</x:f>
        <x:v>0</x:v>
      </x:c>
    </x:row>
    <x:row r="1462" ht="22" customHeight="1">
      <x:c r="A1462" s="254" t="n">
        <x:f>1062</x:f>
        <x:v>1062</x:v>
      </x:c>
      <x:c r="B1462" s="440" t="n">
        <x:f>IF(ISNUMBER(H1461),H1461,"")</x:f>
        <x:v>0</x:v>
      </x:c>
      <x:c r="C1462" s="442" t="n">
        <x:f>IF(ISNUMBER(B1462),IF(AND(1062&gt;$B$173,$B$78="Refinance",ISNUMBER($B$80),$B$80&gt;=0,$B$80&lt;=1,ROUND($B$81*12,0)&gt;=1,$B$81&lt;=100,SUM($B$82)&gt;=0,SUM($B$82)&lt;=1,SUM($B$83)&gt;=0),$B$80,IF(AND($B$175&gt;0,1062&gt;$B$175,ISNUMBER($B$75)),$B$75,$B$61)),"")</x:f>
        <x:v>0.0625</x:v>
      </x:c>
      <x:c r="D1462" s="440" t="n">
        <x:f>IF(AND(ISNUMBER(B1462),B1462=0),0,IF(AND($B$171=1,I1461=0,ISNUMBER(C1462),ISNUMBER(IF(AND(1062&lt;=$B$174,1062&lt;=$B$173),B1462*C1462/12,IF(AND(1062=$B$173+1,AND(1062&gt;$B$173,$B$78="Refinance",ISNUMBER($B$80),$B$80&gt;=0,$B$80&lt;=1,ROUND($B$81*12,0)&gt;=1,$B$81&lt;=100,SUM($B$82)&gt;=0,SUM($B$82)&lt;=1,SUM($B$83)&gt;=0)),IF(B1462=0,0,IF(C1462=0,B1462/ROUND($B$81*12,0),B1462*(C1462/12)/(1-(1+C1462/12)^(-ROUND($B$81*12,0))))),IF(AND(NOT(AND(1062&gt;$B$173,$B$78="Refinance",ISNUMBER($B$80),$B$80&gt;=0,$B$80&lt;=1,ROUND($B$81*12,0)&gt;=1,$B$81&lt;=100,SUM($B$82)&gt;=0,SUM($B$82)&lt;=1,SUM($B$83)&gt;=0)),OR(1062=1,1062=$B$174+1,AND($B$175&gt;0,1062=$B$175+1))),IF(AND($B$170=1,$B$66&gt;0,OR($B$175=0,1062&lt;=$B$175)),$B$66,IF($B$172-MAX(1062-1,$B$174)&gt;0,IF(B1462=0,0,IF(C1462=0,B1462/($B$172-MAX(1062-1,$B$174)),B1462*(C1462/12)/(1-(1+C1462/12)^(-($B$172-MAX(1062-1,$B$174)))))),"")),D1461))))),IF(IF(AND(1062&lt;=$B$174,1062&lt;=$B$173),B1462*C1462/12,IF(AND(1062=$B$173+1,AND(1062&gt;$B$173,$B$78="Refinance",ISNUMBER($B$80),$B$80&gt;=0,$B$80&lt;=1,ROUND($B$81*12,0)&gt;=1,$B$81&lt;=100,SUM($B$82)&gt;=0,SUM($B$82)&lt;=1,SUM($B$83)&gt;=0)),IF(B1462=0,0,IF(C1462=0,B1462/ROUND($B$81*12,0),B1462*(C1462/12)/(1-(1+C1462/12)^(-ROUND($B$81*12,0))))),IF(AND(NOT(AND(1062&gt;$B$173,$B$78="Refinance",ISNUMBER($B$80),$B$80&gt;=0,$B$80&lt;=1,ROUND($B$81*12,0)&gt;=1,$B$81&lt;=100,SUM($B$82)&gt;=0,SUM($B$82)&lt;=1,SUM($B$83)&gt;=0)),OR(1062=1,1062=$B$174+1,AND($B$175&gt;0,1062=$B$175+1))),IF(AND($B$170=1,$B$66&gt;0,OR($B$175=0,1062&lt;=$B$175)),$B$66,IF($B$172-MAX(1062-1,$B$174)&gt;0,IF(B1462=0,0,IF(C1462=0,B1462/($B$172-MAX(1062-1,$B$174)),B1462*(C1462/12)/(1-(1+C1462/12)^(-($B$172-MAX(1062-1,$B$174)))))),"")),D1461)))+0.0000001&gt;=B1462*C1462/12,MIN(B1462*(1+C1462/12),IF(AND(1062&lt;=$B$174,1062&lt;=$B$173),B1462*C1462/12,IF(AND(1062=$B$173+1,AND(1062&gt;$B$173,$B$78="Refinance",ISNUMBER($B$80),$B$80&gt;=0,$B$80&lt;=1,ROUND($B$81*12,0)&gt;=1,$B$81&lt;=100,SUM($B$82)&gt;=0,SUM($B$82)&lt;=1,SUM($B$83)&gt;=0)),IF(B1462=0,0,IF(C1462=0,B1462/ROUND($B$81*12,0),B1462*(C1462/12)/(1-(1+C1462/12)^(-ROUND($B$81*12,0))))),IF(AND(NOT(AND(1062&gt;$B$173,$B$78="Refinance",ISNUMBER($B$80),$B$80&gt;=0,$B$80&lt;=1,ROUND($B$81*12,0)&gt;=1,$B$81&lt;=100,SUM($B$82)&gt;=0,SUM($B$82)&lt;=1,SUM($B$83)&gt;=0)),OR(1062=1,1062=$B$174+1,AND($B$175&gt;0,1062=$B$175+1))),IF(AND($B$170=1,$B$66&gt;0,OR($B$175=0,1062&lt;=$B$175)),$B$66,IF($B$172-MAX(1062-1,$B$174)&gt;0,IF(B1462=0,0,IF(C1462=0,B1462/($B$172-MAX(1062-1,$B$174)),B1462*(C1462/12)/(1-(1+C1462/12)^(-($B$172-MAX(1062-1,$B$174)))))),"")),D1461)))),""),""))</x:f>
        <x:v>0</x:v>
      </x:c>
      <x:c r="E1462" s="440" t="n">
        <x:f>IF(AND(1062=$B$173,ISNUMBER(D1462)),IF(MAX(0,B1462*(1+C1462/12)-D1462)&lt;MAX(0.0000001,$E$17*0.00000000001),0,MAX(0,B1462*(1+C1462/12)-D1462)),0)</x:f>
        <x:v>0</x:v>
      </x:c>
      <x:c r="F1462" s="440" t="n">
        <x:f>IF($B$78="Cash payoff",E1462,0)</x:f>
        <x:v>0</x:v>
      </x:c>
      <x:c r="G1462" s="440" t="n">
        <x:f>IF(AND(E1462&gt;0,AND($B$78="Refinance",ISNUMBER($B$80),$B$80&gt;=0,$B$80&lt;=1,ROUND($B$81*12,0)&gt;=1,$B$81&lt;=100,SUM($B$82)&gt;=0,SUM($B$82)&lt;=1,SUM($B$83)&gt;=0)),E1462*SUM($B$82)+SUM($B$83),0)</x:f>
        <x:v>0</x:v>
      </x:c>
      <x:c r="H1462" s="440" t="n">
        <x:f>IF(ISNUMBER(D1462),IF(MAX(0,B1462*(1+C1462/12)-D1462-F1462)&lt;MAX(0.0000001,$E$17*0.00000000001),0,MAX(0,B1462*(1+C1462/12)-D1462-F1462)),IF(AND($B$171=1,I1461=1),B1462,""))</x:f>
        <x:v>0</x:v>
      </x:c>
      <x:c r="I1462" s="444" t="n">
        <x:f>IF(OR(I1461=1,AND(E1462&gt;0,$B$78&lt;&gt;"Cash payoff",NOT(AND($B$78="Refinance",ISNUMBER($B$80),$B$80&gt;=0,$B$80&lt;=1,ROUND($B$81*12,0)&gt;=1,$B$81&lt;=100,SUM($B$82)&gt;=0,SUM($B$82)&lt;=1,SUM($B$83)&gt;=0))),AND(ISNUMBER(B1462),B1462&gt;0,$B$171=1,NOT(ISNUMBER(D1462)))),1,0)</x:f>
        <x:v>0</x:v>
      </x:c>
      <x:c r="J1462" s="440" t="n">
        <x:f>IF(ISNUMBER(L1461),L1461,"")</x:f>
        <x:v>0</x:v>
      </x:c>
      <x:c r="K1462" s="440" t="n">
        <x:f>IF(AND(ISNUMBER(J1462),J1462=0),0,IF(AND($B$176=1,ISNUMBER(J1462)),MIN(J1462*(1+$B$87/12),IF($B$86=0,0,IF($B$87=0,$B$86/ROUND($B$88*12,0),$B$86*($B$87/12)/(1-(1+$B$87/12)^(-ROUND($B$88*12,0)))))),""))</x:f>
        <x:v>0</x:v>
      </x:c>
      <x:c r="L1462" s="440" t="n">
        <x:f>IF(ISNUMBER(K1462),IF(MAX(0,J1462*(1+SUM($B$87)/12)-K1462)&lt;MAX(0.0000001,$B$86*0.00000000001),0,MAX(0,J1462*(1+SUM($B$87)/12)-K1462)),"")</x:f>
        <x:v>0</x:v>
      </x:c>
      <x:c r="M1462" s="440" t="n">
        <x:f>IF(AND(ISNUMBER(D1462),ISNUMBER(K1462)),D1462+K1462,"")</x:f>
        <x:v>0</x:v>
      </x:c>
      <x:c r="N1462" s="440" t="n">
        <x:f>IF(AND(ISNUMBER(H1462),ISNUMBER(L1462)),H1462+L1462,"")</x:f>
        <x:v>0</x:v>
      </x:c>
    </x:row>
    <x:row r="1463" ht="22" customHeight="1">
      <x:c r="A1463" s="254" t="n">
        <x:f>1063</x:f>
        <x:v>1063</x:v>
      </x:c>
      <x:c r="B1463" s="440" t="n">
        <x:f>IF(ISNUMBER(H1462),H1462,"")</x:f>
        <x:v>0</x:v>
      </x:c>
      <x:c r="C1463" s="442" t="n">
        <x:f>IF(ISNUMBER(B1463),IF(AND(1063&gt;$B$173,$B$78="Refinance",ISNUMBER($B$80),$B$80&gt;=0,$B$80&lt;=1,ROUND($B$81*12,0)&gt;=1,$B$81&lt;=100,SUM($B$82)&gt;=0,SUM($B$82)&lt;=1,SUM($B$83)&gt;=0),$B$80,IF(AND($B$175&gt;0,1063&gt;$B$175,ISNUMBER($B$75)),$B$75,$B$61)),"")</x:f>
        <x:v>0.0625</x:v>
      </x:c>
      <x:c r="D1463" s="440" t="n">
        <x:f>IF(AND(ISNUMBER(B1463),B1463=0),0,IF(AND($B$171=1,I1462=0,ISNUMBER(C1463),ISNUMBER(IF(AND(1063&lt;=$B$174,1063&lt;=$B$173),B1463*C1463/12,IF(AND(1063=$B$173+1,AND(1063&gt;$B$173,$B$78="Refinance",ISNUMBER($B$80),$B$80&gt;=0,$B$80&lt;=1,ROUND($B$81*12,0)&gt;=1,$B$81&lt;=100,SUM($B$82)&gt;=0,SUM($B$82)&lt;=1,SUM($B$83)&gt;=0)),IF(B1463=0,0,IF(C1463=0,B1463/ROUND($B$81*12,0),B1463*(C1463/12)/(1-(1+C1463/12)^(-ROUND($B$81*12,0))))),IF(AND(NOT(AND(1063&gt;$B$173,$B$78="Refinance",ISNUMBER($B$80),$B$80&gt;=0,$B$80&lt;=1,ROUND($B$81*12,0)&gt;=1,$B$81&lt;=100,SUM($B$82)&gt;=0,SUM($B$82)&lt;=1,SUM($B$83)&gt;=0)),OR(1063=1,1063=$B$174+1,AND($B$175&gt;0,1063=$B$175+1))),IF(AND($B$170=1,$B$66&gt;0,OR($B$175=0,1063&lt;=$B$175)),$B$66,IF($B$172-MAX(1063-1,$B$174)&gt;0,IF(B1463=0,0,IF(C1463=0,B1463/($B$172-MAX(1063-1,$B$174)),B1463*(C1463/12)/(1-(1+C1463/12)^(-($B$172-MAX(1063-1,$B$174)))))),"")),D1462))))),IF(IF(AND(1063&lt;=$B$174,1063&lt;=$B$173),B1463*C1463/12,IF(AND(1063=$B$173+1,AND(1063&gt;$B$173,$B$78="Refinance",ISNUMBER($B$80),$B$80&gt;=0,$B$80&lt;=1,ROUND($B$81*12,0)&gt;=1,$B$81&lt;=100,SUM($B$82)&gt;=0,SUM($B$82)&lt;=1,SUM($B$83)&gt;=0)),IF(B1463=0,0,IF(C1463=0,B1463/ROUND($B$81*12,0),B1463*(C1463/12)/(1-(1+C1463/12)^(-ROUND($B$81*12,0))))),IF(AND(NOT(AND(1063&gt;$B$173,$B$78="Refinance",ISNUMBER($B$80),$B$80&gt;=0,$B$80&lt;=1,ROUND($B$81*12,0)&gt;=1,$B$81&lt;=100,SUM($B$82)&gt;=0,SUM($B$82)&lt;=1,SUM($B$83)&gt;=0)),OR(1063=1,1063=$B$174+1,AND($B$175&gt;0,1063=$B$175+1))),IF(AND($B$170=1,$B$66&gt;0,OR($B$175=0,1063&lt;=$B$175)),$B$66,IF($B$172-MAX(1063-1,$B$174)&gt;0,IF(B1463=0,0,IF(C1463=0,B1463/($B$172-MAX(1063-1,$B$174)),B1463*(C1463/12)/(1-(1+C1463/12)^(-($B$172-MAX(1063-1,$B$174)))))),"")),D1462)))+0.0000001&gt;=B1463*C1463/12,MIN(B1463*(1+C1463/12),IF(AND(1063&lt;=$B$174,1063&lt;=$B$173),B1463*C1463/12,IF(AND(1063=$B$173+1,AND(1063&gt;$B$173,$B$78="Refinance",ISNUMBER($B$80),$B$80&gt;=0,$B$80&lt;=1,ROUND($B$81*12,0)&gt;=1,$B$81&lt;=100,SUM($B$82)&gt;=0,SUM($B$82)&lt;=1,SUM($B$83)&gt;=0)),IF(B1463=0,0,IF(C1463=0,B1463/ROUND($B$81*12,0),B1463*(C1463/12)/(1-(1+C1463/12)^(-ROUND($B$81*12,0))))),IF(AND(NOT(AND(1063&gt;$B$173,$B$78="Refinance",ISNUMBER($B$80),$B$80&gt;=0,$B$80&lt;=1,ROUND($B$81*12,0)&gt;=1,$B$81&lt;=100,SUM($B$82)&gt;=0,SUM($B$82)&lt;=1,SUM($B$83)&gt;=0)),OR(1063=1,1063=$B$174+1,AND($B$175&gt;0,1063=$B$175+1))),IF(AND($B$170=1,$B$66&gt;0,OR($B$175=0,1063&lt;=$B$175)),$B$66,IF($B$172-MAX(1063-1,$B$174)&gt;0,IF(B1463=0,0,IF(C1463=0,B1463/($B$172-MAX(1063-1,$B$174)),B1463*(C1463/12)/(1-(1+C1463/12)^(-($B$172-MAX(1063-1,$B$174)))))),"")),D1462)))),""),""))</x:f>
        <x:v>0</x:v>
      </x:c>
      <x:c r="E1463" s="440" t="n">
        <x:f>IF(AND(1063=$B$173,ISNUMBER(D1463)),IF(MAX(0,B1463*(1+C1463/12)-D1463)&lt;MAX(0.0000001,$E$17*0.00000000001),0,MAX(0,B1463*(1+C1463/12)-D1463)),0)</x:f>
        <x:v>0</x:v>
      </x:c>
      <x:c r="F1463" s="440" t="n">
        <x:f>IF($B$78="Cash payoff",E1463,0)</x:f>
        <x:v>0</x:v>
      </x:c>
      <x:c r="G1463" s="440" t="n">
        <x:f>IF(AND(E1463&gt;0,AND($B$78="Refinance",ISNUMBER($B$80),$B$80&gt;=0,$B$80&lt;=1,ROUND($B$81*12,0)&gt;=1,$B$81&lt;=100,SUM($B$82)&gt;=0,SUM($B$82)&lt;=1,SUM($B$83)&gt;=0)),E1463*SUM($B$82)+SUM($B$83),0)</x:f>
        <x:v>0</x:v>
      </x:c>
      <x:c r="H1463" s="440" t="n">
        <x:f>IF(ISNUMBER(D1463),IF(MAX(0,B1463*(1+C1463/12)-D1463-F1463)&lt;MAX(0.0000001,$E$17*0.00000000001),0,MAX(0,B1463*(1+C1463/12)-D1463-F1463)),IF(AND($B$171=1,I1462=1),B1463,""))</x:f>
        <x:v>0</x:v>
      </x:c>
      <x:c r="I1463" s="444" t="n">
        <x:f>IF(OR(I1462=1,AND(E1463&gt;0,$B$78&lt;&gt;"Cash payoff",NOT(AND($B$78="Refinance",ISNUMBER($B$80),$B$80&gt;=0,$B$80&lt;=1,ROUND($B$81*12,0)&gt;=1,$B$81&lt;=100,SUM($B$82)&gt;=0,SUM($B$82)&lt;=1,SUM($B$83)&gt;=0))),AND(ISNUMBER(B1463),B1463&gt;0,$B$171=1,NOT(ISNUMBER(D1463)))),1,0)</x:f>
        <x:v>0</x:v>
      </x:c>
      <x:c r="J1463" s="440" t="n">
        <x:f>IF(ISNUMBER(L1462),L1462,"")</x:f>
        <x:v>0</x:v>
      </x:c>
      <x:c r="K1463" s="440" t="n">
        <x:f>IF(AND(ISNUMBER(J1463),J1463=0),0,IF(AND($B$176=1,ISNUMBER(J1463)),MIN(J1463*(1+$B$87/12),IF($B$86=0,0,IF($B$87=0,$B$86/ROUND($B$88*12,0),$B$86*($B$87/12)/(1-(1+$B$87/12)^(-ROUND($B$88*12,0)))))),""))</x:f>
        <x:v>0</x:v>
      </x:c>
      <x:c r="L1463" s="440" t="n">
        <x:f>IF(ISNUMBER(K1463),IF(MAX(0,J1463*(1+SUM($B$87)/12)-K1463)&lt;MAX(0.0000001,$B$86*0.00000000001),0,MAX(0,J1463*(1+SUM($B$87)/12)-K1463)),"")</x:f>
        <x:v>0</x:v>
      </x:c>
      <x:c r="M1463" s="440" t="n">
        <x:f>IF(AND(ISNUMBER(D1463),ISNUMBER(K1463)),D1463+K1463,"")</x:f>
        <x:v>0</x:v>
      </x:c>
      <x:c r="N1463" s="440" t="n">
        <x:f>IF(AND(ISNUMBER(H1463),ISNUMBER(L1463)),H1463+L1463,"")</x:f>
        <x:v>0</x:v>
      </x:c>
    </x:row>
    <x:row r="1464" ht="22" customHeight="1">
      <x:c r="A1464" s="254" t="n">
        <x:f>1064</x:f>
        <x:v>1064</x:v>
      </x:c>
      <x:c r="B1464" s="440" t="n">
        <x:f>IF(ISNUMBER(H1463),H1463,"")</x:f>
        <x:v>0</x:v>
      </x:c>
      <x:c r="C1464" s="442" t="n">
        <x:f>IF(ISNUMBER(B1464),IF(AND(1064&gt;$B$173,$B$78="Refinance",ISNUMBER($B$80),$B$80&gt;=0,$B$80&lt;=1,ROUND($B$81*12,0)&gt;=1,$B$81&lt;=100,SUM($B$82)&gt;=0,SUM($B$82)&lt;=1,SUM($B$83)&gt;=0),$B$80,IF(AND($B$175&gt;0,1064&gt;$B$175,ISNUMBER($B$75)),$B$75,$B$61)),"")</x:f>
        <x:v>0.0625</x:v>
      </x:c>
      <x:c r="D1464" s="440" t="n">
        <x:f>IF(AND(ISNUMBER(B1464),B1464=0),0,IF(AND($B$171=1,I1463=0,ISNUMBER(C1464),ISNUMBER(IF(AND(1064&lt;=$B$174,1064&lt;=$B$173),B1464*C1464/12,IF(AND(1064=$B$173+1,AND(1064&gt;$B$173,$B$78="Refinance",ISNUMBER($B$80),$B$80&gt;=0,$B$80&lt;=1,ROUND($B$81*12,0)&gt;=1,$B$81&lt;=100,SUM($B$82)&gt;=0,SUM($B$82)&lt;=1,SUM($B$83)&gt;=0)),IF(B1464=0,0,IF(C1464=0,B1464/ROUND($B$81*12,0),B1464*(C1464/12)/(1-(1+C1464/12)^(-ROUND($B$81*12,0))))),IF(AND(NOT(AND(1064&gt;$B$173,$B$78="Refinance",ISNUMBER($B$80),$B$80&gt;=0,$B$80&lt;=1,ROUND($B$81*12,0)&gt;=1,$B$81&lt;=100,SUM($B$82)&gt;=0,SUM($B$82)&lt;=1,SUM($B$83)&gt;=0)),OR(1064=1,1064=$B$174+1,AND($B$175&gt;0,1064=$B$175+1))),IF(AND($B$170=1,$B$66&gt;0,OR($B$175=0,1064&lt;=$B$175)),$B$66,IF($B$172-MAX(1064-1,$B$174)&gt;0,IF(B1464=0,0,IF(C1464=0,B1464/($B$172-MAX(1064-1,$B$174)),B1464*(C1464/12)/(1-(1+C1464/12)^(-($B$172-MAX(1064-1,$B$174)))))),"")),D1463))))),IF(IF(AND(1064&lt;=$B$174,1064&lt;=$B$173),B1464*C1464/12,IF(AND(1064=$B$173+1,AND(1064&gt;$B$173,$B$78="Refinance",ISNUMBER($B$80),$B$80&gt;=0,$B$80&lt;=1,ROUND($B$81*12,0)&gt;=1,$B$81&lt;=100,SUM($B$82)&gt;=0,SUM($B$82)&lt;=1,SUM($B$83)&gt;=0)),IF(B1464=0,0,IF(C1464=0,B1464/ROUND($B$81*12,0),B1464*(C1464/12)/(1-(1+C1464/12)^(-ROUND($B$81*12,0))))),IF(AND(NOT(AND(1064&gt;$B$173,$B$78="Refinance",ISNUMBER($B$80),$B$80&gt;=0,$B$80&lt;=1,ROUND($B$81*12,0)&gt;=1,$B$81&lt;=100,SUM($B$82)&gt;=0,SUM($B$82)&lt;=1,SUM($B$83)&gt;=0)),OR(1064=1,1064=$B$174+1,AND($B$175&gt;0,1064=$B$175+1))),IF(AND($B$170=1,$B$66&gt;0,OR($B$175=0,1064&lt;=$B$175)),$B$66,IF($B$172-MAX(1064-1,$B$174)&gt;0,IF(B1464=0,0,IF(C1464=0,B1464/($B$172-MAX(1064-1,$B$174)),B1464*(C1464/12)/(1-(1+C1464/12)^(-($B$172-MAX(1064-1,$B$174)))))),"")),D1463)))+0.0000001&gt;=B1464*C1464/12,MIN(B1464*(1+C1464/12),IF(AND(1064&lt;=$B$174,1064&lt;=$B$173),B1464*C1464/12,IF(AND(1064=$B$173+1,AND(1064&gt;$B$173,$B$78="Refinance",ISNUMBER($B$80),$B$80&gt;=0,$B$80&lt;=1,ROUND($B$81*12,0)&gt;=1,$B$81&lt;=100,SUM($B$82)&gt;=0,SUM($B$82)&lt;=1,SUM($B$83)&gt;=0)),IF(B1464=0,0,IF(C1464=0,B1464/ROUND($B$81*12,0),B1464*(C1464/12)/(1-(1+C1464/12)^(-ROUND($B$81*12,0))))),IF(AND(NOT(AND(1064&gt;$B$173,$B$78="Refinance",ISNUMBER($B$80),$B$80&gt;=0,$B$80&lt;=1,ROUND($B$81*12,0)&gt;=1,$B$81&lt;=100,SUM($B$82)&gt;=0,SUM($B$82)&lt;=1,SUM($B$83)&gt;=0)),OR(1064=1,1064=$B$174+1,AND($B$175&gt;0,1064=$B$175+1))),IF(AND($B$170=1,$B$66&gt;0,OR($B$175=0,1064&lt;=$B$175)),$B$66,IF($B$172-MAX(1064-1,$B$174)&gt;0,IF(B1464=0,0,IF(C1464=0,B1464/($B$172-MAX(1064-1,$B$174)),B1464*(C1464/12)/(1-(1+C1464/12)^(-($B$172-MAX(1064-1,$B$174)))))),"")),D1463)))),""),""))</x:f>
        <x:v>0</x:v>
      </x:c>
      <x:c r="E1464" s="440" t="n">
        <x:f>IF(AND(1064=$B$173,ISNUMBER(D1464)),IF(MAX(0,B1464*(1+C1464/12)-D1464)&lt;MAX(0.0000001,$E$17*0.00000000001),0,MAX(0,B1464*(1+C1464/12)-D1464)),0)</x:f>
        <x:v>0</x:v>
      </x:c>
      <x:c r="F1464" s="440" t="n">
        <x:f>IF($B$78="Cash payoff",E1464,0)</x:f>
        <x:v>0</x:v>
      </x:c>
      <x:c r="G1464" s="440" t="n">
        <x:f>IF(AND(E1464&gt;0,AND($B$78="Refinance",ISNUMBER($B$80),$B$80&gt;=0,$B$80&lt;=1,ROUND($B$81*12,0)&gt;=1,$B$81&lt;=100,SUM($B$82)&gt;=0,SUM($B$82)&lt;=1,SUM($B$83)&gt;=0)),E1464*SUM($B$82)+SUM($B$83),0)</x:f>
        <x:v>0</x:v>
      </x:c>
      <x:c r="H1464" s="440" t="n">
        <x:f>IF(ISNUMBER(D1464),IF(MAX(0,B1464*(1+C1464/12)-D1464-F1464)&lt;MAX(0.0000001,$E$17*0.00000000001),0,MAX(0,B1464*(1+C1464/12)-D1464-F1464)),IF(AND($B$171=1,I1463=1),B1464,""))</x:f>
        <x:v>0</x:v>
      </x:c>
      <x:c r="I1464" s="444" t="n">
        <x:f>IF(OR(I1463=1,AND(E1464&gt;0,$B$78&lt;&gt;"Cash payoff",NOT(AND($B$78="Refinance",ISNUMBER($B$80),$B$80&gt;=0,$B$80&lt;=1,ROUND($B$81*12,0)&gt;=1,$B$81&lt;=100,SUM($B$82)&gt;=0,SUM($B$82)&lt;=1,SUM($B$83)&gt;=0))),AND(ISNUMBER(B1464),B1464&gt;0,$B$171=1,NOT(ISNUMBER(D1464)))),1,0)</x:f>
        <x:v>0</x:v>
      </x:c>
      <x:c r="J1464" s="440" t="n">
        <x:f>IF(ISNUMBER(L1463),L1463,"")</x:f>
        <x:v>0</x:v>
      </x:c>
      <x:c r="K1464" s="440" t="n">
        <x:f>IF(AND(ISNUMBER(J1464),J1464=0),0,IF(AND($B$176=1,ISNUMBER(J1464)),MIN(J1464*(1+$B$87/12),IF($B$86=0,0,IF($B$87=0,$B$86/ROUND($B$88*12,0),$B$86*($B$87/12)/(1-(1+$B$87/12)^(-ROUND($B$88*12,0)))))),""))</x:f>
        <x:v>0</x:v>
      </x:c>
      <x:c r="L1464" s="440" t="n">
        <x:f>IF(ISNUMBER(K1464),IF(MAX(0,J1464*(1+SUM($B$87)/12)-K1464)&lt;MAX(0.0000001,$B$86*0.00000000001),0,MAX(0,J1464*(1+SUM($B$87)/12)-K1464)),"")</x:f>
        <x:v>0</x:v>
      </x:c>
      <x:c r="M1464" s="440" t="n">
        <x:f>IF(AND(ISNUMBER(D1464),ISNUMBER(K1464)),D1464+K1464,"")</x:f>
        <x:v>0</x:v>
      </x:c>
      <x:c r="N1464" s="440" t="n">
        <x:f>IF(AND(ISNUMBER(H1464),ISNUMBER(L1464)),H1464+L1464,"")</x:f>
        <x:v>0</x:v>
      </x:c>
    </x:row>
    <x:row r="1465" ht="22" customHeight="1">
      <x:c r="A1465" s="254" t="n">
        <x:f>1065</x:f>
        <x:v>1065</x:v>
      </x:c>
      <x:c r="B1465" s="440" t="n">
        <x:f>IF(ISNUMBER(H1464),H1464,"")</x:f>
        <x:v>0</x:v>
      </x:c>
      <x:c r="C1465" s="442" t="n">
        <x:f>IF(ISNUMBER(B1465),IF(AND(1065&gt;$B$173,$B$78="Refinance",ISNUMBER($B$80),$B$80&gt;=0,$B$80&lt;=1,ROUND($B$81*12,0)&gt;=1,$B$81&lt;=100,SUM($B$82)&gt;=0,SUM($B$82)&lt;=1,SUM($B$83)&gt;=0),$B$80,IF(AND($B$175&gt;0,1065&gt;$B$175,ISNUMBER($B$75)),$B$75,$B$61)),"")</x:f>
        <x:v>0.0625</x:v>
      </x:c>
      <x:c r="D1465" s="440" t="n">
        <x:f>IF(AND(ISNUMBER(B1465),B1465=0),0,IF(AND($B$171=1,I1464=0,ISNUMBER(C1465),ISNUMBER(IF(AND(1065&lt;=$B$174,1065&lt;=$B$173),B1465*C1465/12,IF(AND(1065=$B$173+1,AND(1065&gt;$B$173,$B$78="Refinance",ISNUMBER($B$80),$B$80&gt;=0,$B$80&lt;=1,ROUND($B$81*12,0)&gt;=1,$B$81&lt;=100,SUM($B$82)&gt;=0,SUM($B$82)&lt;=1,SUM($B$83)&gt;=0)),IF(B1465=0,0,IF(C1465=0,B1465/ROUND($B$81*12,0),B1465*(C1465/12)/(1-(1+C1465/12)^(-ROUND($B$81*12,0))))),IF(AND(NOT(AND(1065&gt;$B$173,$B$78="Refinance",ISNUMBER($B$80),$B$80&gt;=0,$B$80&lt;=1,ROUND($B$81*12,0)&gt;=1,$B$81&lt;=100,SUM($B$82)&gt;=0,SUM($B$82)&lt;=1,SUM($B$83)&gt;=0)),OR(1065=1,1065=$B$174+1,AND($B$175&gt;0,1065=$B$175+1))),IF(AND($B$170=1,$B$66&gt;0,OR($B$175=0,1065&lt;=$B$175)),$B$66,IF($B$172-MAX(1065-1,$B$174)&gt;0,IF(B1465=0,0,IF(C1465=0,B1465/($B$172-MAX(1065-1,$B$174)),B1465*(C1465/12)/(1-(1+C1465/12)^(-($B$172-MAX(1065-1,$B$174)))))),"")),D1464))))),IF(IF(AND(1065&lt;=$B$174,1065&lt;=$B$173),B1465*C1465/12,IF(AND(1065=$B$173+1,AND(1065&gt;$B$173,$B$78="Refinance",ISNUMBER($B$80),$B$80&gt;=0,$B$80&lt;=1,ROUND($B$81*12,0)&gt;=1,$B$81&lt;=100,SUM($B$82)&gt;=0,SUM($B$82)&lt;=1,SUM($B$83)&gt;=0)),IF(B1465=0,0,IF(C1465=0,B1465/ROUND($B$81*12,0),B1465*(C1465/12)/(1-(1+C1465/12)^(-ROUND($B$81*12,0))))),IF(AND(NOT(AND(1065&gt;$B$173,$B$78="Refinance",ISNUMBER($B$80),$B$80&gt;=0,$B$80&lt;=1,ROUND($B$81*12,0)&gt;=1,$B$81&lt;=100,SUM($B$82)&gt;=0,SUM($B$82)&lt;=1,SUM($B$83)&gt;=0)),OR(1065=1,1065=$B$174+1,AND($B$175&gt;0,1065=$B$175+1))),IF(AND($B$170=1,$B$66&gt;0,OR($B$175=0,1065&lt;=$B$175)),$B$66,IF($B$172-MAX(1065-1,$B$174)&gt;0,IF(B1465=0,0,IF(C1465=0,B1465/($B$172-MAX(1065-1,$B$174)),B1465*(C1465/12)/(1-(1+C1465/12)^(-($B$172-MAX(1065-1,$B$174)))))),"")),D1464)))+0.0000001&gt;=B1465*C1465/12,MIN(B1465*(1+C1465/12),IF(AND(1065&lt;=$B$174,1065&lt;=$B$173),B1465*C1465/12,IF(AND(1065=$B$173+1,AND(1065&gt;$B$173,$B$78="Refinance",ISNUMBER($B$80),$B$80&gt;=0,$B$80&lt;=1,ROUND($B$81*12,0)&gt;=1,$B$81&lt;=100,SUM($B$82)&gt;=0,SUM($B$82)&lt;=1,SUM($B$83)&gt;=0)),IF(B1465=0,0,IF(C1465=0,B1465/ROUND($B$81*12,0),B1465*(C1465/12)/(1-(1+C1465/12)^(-ROUND($B$81*12,0))))),IF(AND(NOT(AND(1065&gt;$B$173,$B$78="Refinance",ISNUMBER($B$80),$B$80&gt;=0,$B$80&lt;=1,ROUND($B$81*12,0)&gt;=1,$B$81&lt;=100,SUM($B$82)&gt;=0,SUM($B$82)&lt;=1,SUM($B$83)&gt;=0)),OR(1065=1,1065=$B$174+1,AND($B$175&gt;0,1065=$B$175+1))),IF(AND($B$170=1,$B$66&gt;0,OR($B$175=0,1065&lt;=$B$175)),$B$66,IF($B$172-MAX(1065-1,$B$174)&gt;0,IF(B1465=0,0,IF(C1465=0,B1465/($B$172-MAX(1065-1,$B$174)),B1465*(C1465/12)/(1-(1+C1465/12)^(-($B$172-MAX(1065-1,$B$174)))))),"")),D1464)))),""),""))</x:f>
        <x:v>0</x:v>
      </x:c>
      <x:c r="E1465" s="440" t="n">
        <x:f>IF(AND(1065=$B$173,ISNUMBER(D1465)),IF(MAX(0,B1465*(1+C1465/12)-D1465)&lt;MAX(0.0000001,$E$17*0.00000000001),0,MAX(0,B1465*(1+C1465/12)-D1465)),0)</x:f>
        <x:v>0</x:v>
      </x:c>
      <x:c r="F1465" s="440" t="n">
        <x:f>IF($B$78="Cash payoff",E1465,0)</x:f>
        <x:v>0</x:v>
      </x:c>
      <x:c r="G1465" s="440" t="n">
        <x:f>IF(AND(E1465&gt;0,AND($B$78="Refinance",ISNUMBER($B$80),$B$80&gt;=0,$B$80&lt;=1,ROUND($B$81*12,0)&gt;=1,$B$81&lt;=100,SUM($B$82)&gt;=0,SUM($B$82)&lt;=1,SUM($B$83)&gt;=0)),E1465*SUM($B$82)+SUM($B$83),0)</x:f>
        <x:v>0</x:v>
      </x:c>
      <x:c r="H1465" s="440" t="n">
        <x:f>IF(ISNUMBER(D1465),IF(MAX(0,B1465*(1+C1465/12)-D1465-F1465)&lt;MAX(0.0000001,$E$17*0.00000000001),0,MAX(0,B1465*(1+C1465/12)-D1465-F1465)),IF(AND($B$171=1,I1464=1),B1465,""))</x:f>
        <x:v>0</x:v>
      </x:c>
      <x:c r="I1465" s="444" t="n">
        <x:f>IF(OR(I1464=1,AND(E1465&gt;0,$B$78&lt;&gt;"Cash payoff",NOT(AND($B$78="Refinance",ISNUMBER($B$80),$B$80&gt;=0,$B$80&lt;=1,ROUND($B$81*12,0)&gt;=1,$B$81&lt;=100,SUM($B$82)&gt;=0,SUM($B$82)&lt;=1,SUM($B$83)&gt;=0))),AND(ISNUMBER(B1465),B1465&gt;0,$B$171=1,NOT(ISNUMBER(D1465)))),1,0)</x:f>
        <x:v>0</x:v>
      </x:c>
      <x:c r="J1465" s="440" t="n">
        <x:f>IF(ISNUMBER(L1464),L1464,"")</x:f>
        <x:v>0</x:v>
      </x:c>
      <x:c r="K1465" s="440" t="n">
        <x:f>IF(AND(ISNUMBER(J1465),J1465=0),0,IF(AND($B$176=1,ISNUMBER(J1465)),MIN(J1465*(1+$B$87/12),IF($B$86=0,0,IF($B$87=0,$B$86/ROUND($B$88*12,0),$B$86*($B$87/12)/(1-(1+$B$87/12)^(-ROUND($B$88*12,0)))))),""))</x:f>
        <x:v>0</x:v>
      </x:c>
      <x:c r="L1465" s="440" t="n">
        <x:f>IF(ISNUMBER(K1465),IF(MAX(0,J1465*(1+SUM($B$87)/12)-K1465)&lt;MAX(0.0000001,$B$86*0.00000000001),0,MAX(0,J1465*(1+SUM($B$87)/12)-K1465)),"")</x:f>
        <x:v>0</x:v>
      </x:c>
      <x:c r="M1465" s="440" t="n">
        <x:f>IF(AND(ISNUMBER(D1465),ISNUMBER(K1465)),D1465+K1465,"")</x:f>
        <x:v>0</x:v>
      </x:c>
      <x:c r="N1465" s="440" t="n">
        <x:f>IF(AND(ISNUMBER(H1465),ISNUMBER(L1465)),H1465+L1465,"")</x:f>
        <x:v>0</x:v>
      </x:c>
    </x:row>
    <x:row r="1466" ht="22" customHeight="1">
      <x:c r="A1466" s="254" t="n">
        <x:f>1066</x:f>
        <x:v>1066</x:v>
      </x:c>
      <x:c r="B1466" s="440" t="n">
        <x:f>IF(ISNUMBER(H1465),H1465,"")</x:f>
        <x:v>0</x:v>
      </x:c>
      <x:c r="C1466" s="442" t="n">
        <x:f>IF(ISNUMBER(B1466),IF(AND(1066&gt;$B$173,$B$78="Refinance",ISNUMBER($B$80),$B$80&gt;=0,$B$80&lt;=1,ROUND($B$81*12,0)&gt;=1,$B$81&lt;=100,SUM($B$82)&gt;=0,SUM($B$82)&lt;=1,SUM($B$83)&gt;=0),$B$80,IF(AND($B$175&gt;0,1066&gt;$B$175,ISNUMBER($B$75)),$B$75,$B$61)),"")</x:f>
        <x:v>0.0625</x:v>
      </x:c>
      <x:c r="D1466" s="440" t="n">
        <x:f>IF(AND(ISNUMBER(B1466),B1466=0),0,IF(AND($B$171=1,I1465=0,ISNUMBER(C1466),ISNUMBER(IF(AND(1066&lt;=$B$174,1066&lt;=$B$173),B1466*C1466/12,IF(AND(1066=$B$173+1,AND(1066&gt;$B$173,$B$78="Refinance",ISNUMBER($B$80),$B$80&gt;=0,$B$80&lt;=1,ROUND($B$81*12,0)&gt;=1,$B$81&lt;=100,SUM($B$82)&gt;=0,SUM($B$82)&lt;=1,SUM($B$83)&gt;=0)),IF(B1466=0,0,IF(C1466=0,B1466/ROUND($B$81*12,0),B1466*(C1466/12)/(1-(1+C1466/12)^(-ROUND($B$81*12,0))))),IF(AND(NOT(AND(1066&gt;$B$173,$B$78="Refinance",ISNUMBER($B$80),$B$80&gt;=0,$B$80&lt;=1,ROUND($B$81*12,0)&gt;=1,$B$81&lt;=100,SUM($B$82)&gt;=0,SUM($B$82)&lt;=1,SUM($B$83)&gt;=0)),OR(1066=1,1066=$B$174+1,AND($B$175&gt;0,1066=$B$175+1))),IF(AND($B$170=1,$B$66&gt;0,OR($B$175=0,1066&lt;=$B$175)),$B$66,IF($B$172-MAX(1066-1,$B$174)&gt;0,IF(B1466=0,0,IF(C1466=0,B1466/($B$172-MAX(1066-1,$B$174)),B1466*(C1466/12)/(1-(1+C1466/12)^(-($B$172-MAX(1066-1,$B$174)))))),"")),D1465))))),IF(IF(AND(1066&lt;=$B$174,1066&lt;=$B$173),B1466*C1466/12,IF(AND(1066=$B$173+1,AND(1066&gt;$B$173,$B$78="Refinance",ISNUMBER($B$80),$B$80&gt;=0,$B$80&lt;=1,ROUND($B$81*12,0)&gt;=1,$B$81&lt;=100,SUM($B$82)&gt;=0,SUM($B$82)&lt;=1,SUM($B$83)&gt;=0)),IF(B1466=0,0,IF(C1466=0,B1466/ROUND($B$81*12,0),B1466*(C1466/12)/(1-(1+C1466/12)^(-ROUND($B$81*12,0))))),IF(AND(NOT(AND(1066&gt;$B$173,$B$78="Refinance",ISNUMBER($B$80),$B$80&gt;=0,$B$80&lt;=1,ROUND($B$81*12,0)&gt;=1,$B$81&lt;=100,SUM($B$82)&gt;=0,SUM($B$82)&lt;=1,SUM($B$83)&gt;=0)),OR(1066=1,1066=$B$174+1,AND($B$175&gt;0,1066=$B$175+1))),IF(AND($B$170=1,$B$66&gt;0,OR($B$175=0,1066&lt;=$B$175)),$B$66,IF($B$172-MAX(1066-1,$B$174)&gt;0,IF(B1466=0,0,IF(C1466=0,B1466/($B$172-MAX(1066-1,$B$174)),B1466*(C1466/12)/(1-(1+C1466/12)^(-($B$172-MAX(1066-1,$B$174)))))),"")),D1465)))+0.0000001&gt;=B1466*C1466/12,MIN(B1466*(1+C1466/12),IF(AND(1066&lt;=$B$174,1066&lt;=$B$173),B1466*C1466/12,IF(AND(1066=$B$173+1,AND(1066&gt;$B$173,$B$78="Refinance",ISNUMBER($B$80),$B$80&gt;=0,$B$80&lt;=1,ROUND($B$81*12,0)&gt;=1,$B$81&lt;=100,SUM($B$82)&gt;=0,SUM($B$82)&lt;=1,SUM($B$83)&gt;=0)),IF(B1466=0,0,IF(C1466=0,B1466/ROUND($B$81*12,0),B1466*(C1466/12)/(1-(1+C1466/12)^(-ROUND($B$81*12,0))))),IF(AND(NOT(AND(1066&gt;$B$173,$B$78="Refinance",ISNUMBER($B$80),$B$80&gt;=0,$B$80&lt;=1,ROUND($B$81*12,0)&gt;=1,$B$81&lt;=100,SUM($B$82)&gt;=0,SUM($B$82)&lt;=1,SUM($B$83)&gt;=0)),OR(1066=1,1066=$B$174+1,AND($B$175&gt;0,1066=$B$175+1))),IF(AND($B$170=1,$B$66&gt;0,OR($B$175=0,1066&lt;=$B$175)),$B$66,IF($B$172-MAX(1066-1,$B$174)&gt;0,IF(B1466=0,0,IF(C1466=0,B1466/($B$172-MAX(1066-1,$B$174)),B1466*(C1466/12)/(1-(1+C1466/12)^(-($B$172-MAX(1066-1,$B$174)))))),"")),D1465)))),""),""))</x:f>
        <x:v>0</x:v>
      </x:c>
      <x:c r="E1466" s="440" t="n">
        <x:f>IF(AND(1066=$B$173,ISNUMBER(D1466)),IF(MAX(0,B1466*(1+C1466/12)-D1466)&lt;MAX(0.0000001,$E$17*0.00000000001),0,MAX(0,B1466*(1+C1466/12)-D1466)),0)</x:f>
        <x:v>0</x:v>
      </x:c>
      <x:c r="F1466" s="440" t="n">
        <x:f>IF($B$78="Cash payoff",E1466,0)</x:f>
        <x:v>0</x:v>
      </x:c>
      <x:c r="G1466" s="440" t="n">
        <x:f>IF(AND(E1466&gt;0,AND($B$78="Refinance",ISNUMBER($B$80),$B$80&gt;=0,$B$80&lt;=1,ROUND($B$81*12,0)&gt;=1,$B$81&lt;=100,SUM($B$82)&gt;=0,SUM($B$82)&lt;=1,SUM($B$83)&gt;=0)),E1466*SUM($B$82)+SUM($B$83),0)</x:f>
        <x:v>0</x:v>
      </x:c>
      <x:c r="H1466" s="440" t="n">
        <x:f>IF(ISNUMBER(D1466),IF(MAX(0,B1466*(1+C1466/12)-D1466-F1466)&lt;MAX(0.0000001,$E$17*0.00000000001),0,MAX(0,B1466*(1+C1466/12)-D1466-F1466)),IF(AND($B$171=1,I1465=1),B1466,""))</x:f>
        <x:v>0</x:v>
      </x:c>
      <x:c r="I1466" s="444" t="n">
        <x:f>IF(OR(I1465=1,AND(E1466&gt;0,$B$78&lt;&gt;"Cash payoff",NOT(AND($B$78="Refinance",ISNUMBER($B$80),$B$80&gt;=0,$B$80&lt;=1,ROUND($B$81*12,0)&gt;=1,$B$81&lt;=100,SUM($B$82)&gt;=0,SUM($B$82)&lt;=1,SUM($B$83)&gt;=0))),AND(ISNUMBER(B1466),B1466&gt;0,$B$171=1,NOT(ISNUMBER(D1466)))),1,0)</x:f>
        <x:v>0</x:v>
      </x:c>
      <x:c r="J1466" s="440" t="n">
        <x:f>IF(ISNUMBER(L1465),L1465,"")</x:f>
        <x:v>0</x:v>
      </x:c>
      <x:c r="K1466" s="440" t="n">
        <x:f>IF(AND(ISNUMBER(J1466),J1466=0),0,IF(AND($B$176=1,ISNUMBER(J1466)),MIN(J1466*(1+$B$87/12),IF($B$86=0,0,IF($B$87=0,$B$86/ROUND($B$88*12,0),$B$86*($B$87/12)/(1-(1+$B$87/12)^(-ROUND($B$88*12,0)))))),""))</x:f>
        <x:v>0</x:v>
      </x:c>
      <x:c r="L1466" s="440" t="n">
        <x:f>IF(ISNUMBER(K1466),IF(MAX(0,J1466*(1+SUM($B$87)/12)-K1466)&lt;MAX(0.0000001,$B$86*0.00000000001),0,MAX(0,J1466*(1+SUM($B$87)/12)-K1466)),"")</x:f>
        <x:v>0</x:v>
      </x:c>
      <x:c r="M1466" s="440" t="n">
        <x:f>IF(AND(ISNUMBER(D1466),ISNUMBER(K1466)),D1466+K1466,"")</x:f>
        <x:v>0</x:v>
      </x:c>
      <x:c r="N1466" s="440" t="n">
        <x:f>IF(AND(ISNUMBER(H1466),ISNUMBER(L1466)),H1466+L1466,"")</x:f>
        <x:v>0</x:v>
      </x:c>
    </x:row>
    <x:row r="1467" ht="22" customHeight="1">
      <x:c r="A1467" s="254" t="n">
        <x:f>1067</x:f>
        <x:v>1067</x:v>
      </x:c>
      <x:c r="B1467" s="440" t="n">
        <x:f>IF(ISNUMBER(H1466),H1466,"")</x:f>
        <x:v>0</x:v>
      </x:c>
      <x:c r="C1467" s="442" t="n">
        <x:f>IF(ISNUMBER(B1467),IF(AND(1067&gt;$B$173,$B$78="Refinance",ISNUMBER($B$80),$B$80&gt;=0,$B$80&lt;=1,ROUND($B$81*12,0)&gt;=1,$B$81&lt;=100,SUM($B$82)&gt;=0,SUM($B$82)&lt;=1,SUM($B$83)&gt;=0),$B$80,IF(AND($B$175&gt;0,1067&gt;$B$175,ISNUMBER($B$75)),$B$75,$B$61)),"")</x:f>
        <x:v>0.0625</x:v>
      </x:c>
      <x:c r="D1467" s="440" t="n">
        <x:f>IF(AND(ISNUMBER(B1467),B1467=0),0,IF(AND($B$171=1,I1466=0,ISNUMBER(C1467),ISNUMBER(IF(AND(1067&lt;=$B$174,1067&lt;=$B$173),B1467*C1467/12,IF(AND(1067=$B$173+1,AND(1067&gt;$B$173,$B$78="Refinance",ISNUMBER($B$80),$B$80&gt;=0,$B$80&lt;=1,ROUND($B$81*12,0)&gt;=1,$B$81&lt;=100,SUM($B$82)&gt;=0,SUM($B$82)&lt;=1,SUM($B$83)&gt;=0)),IF(B1467=0,0,IF(C1467=0,B1467/ROUND($B$81*12,0),B1467*(C1467/12)/(1-(1+C1467/12)^(-ROUND($B$81*12,0))))),IF(AND(NOT(AND(1067&gt;$B$173,$B$78="Refinance",ISNUMBER($B$80),$B$80&gt;=0,$B$80&lt;=1,ROUND($B$81*12,0)&gt;=1,$B$81&lt;=100,SUM($B$82)&gt;=0,SUM($B$82)&lt;=1,SUM($B$83)&gt;=0)),OR(1067=1,1067=$B$174+1,AND($B$175&gt;0,1067=$B$175+1))),IF(AND($B$170=1,$B$66&gt;0,OR($B$175=0,1067&lt;=$B$175)),$B$66,IF($B$172-MAX(1067-1,$B$174)&gt;0,IF(B1467=0,0,IF(C1467=0,B1467/($B$172-MAX(1067-1,$B$174)),B1467*(C1467/12)/(1-(1+C1467/12)^(-($B$172-MAX(1067-1,$B$174)))))),"")),D1466))))),IF(IF(AND(1067&lt;=$B$174,1067&lt;=$B$173),B1467*C1467/12,IF(AND(1067=$B$173+1,AND(1067&gt;$B$173,$B$78="Refinance",ISNUMBER($B$80),$B$80&gt;=0,$B$80&lt;=1,ROUND($B$81*12,0)&gt;=1,$B$81&lt;=100,SUM($B$82)&gt;=0,SUM($B$82)&lt;=1,SUM($B$83)&gt;=0)),IF(B1467=0,0,IF(C1467=0,B1467/ROUND($B$81*12,0),B1467*(C1467/12)/(1-(1+C1467/12)^(-ROUND($B$81*12,0))))),IF(AND(NOT(AND(1067&gt;$B$173,$B$78="Refinance",ISNUMBER($B$80),$B$80&gt;=0,$B$80&lt;=1,ROUND($B$81*12,0)&gt;=1,$B$81&lt;=100,SUM($B$82)&gt;=0,SUM($B$82)&lt;=1,SUM($B$83)&gt;=0)),OR(1067=1,1067=$B$174+1,AND($B$175&gt;0,1067=$B$175+1))),IF(AND($B$170=1,$B$66&gt;0,OR($B$175=0,1067&lt;=$B$175)),$B$66,IF($B$172-MAX(1067-1,$B$174)&gt;0,IF(B1467=0,0,IF(C1467=0,B1467/($B$172-MAX(1067-1,$B$174)),B1467*(C1467/12)/(1-(1+C1467/12)^(-($B$172-MAX(1067-1,$B$174)))))),"")),D1466)))+0.0000001&gt;=B1467*C1467/12,MIN(B1467*(1+C1467/12),IF(AND(1067&lt;=$B$174,1067&lt;=$B$173),B1467*C1467/12,IF(AND(1067=$B$173+1,AND(1067&gt;$B$173,$B$78="Refinance",ISNUMBER($B$80),$B$80&gt;=0,$B$80&lt;=1,ROUND($B$81*12,0)&gt;=1,$B$81&lt;=100,SUM($B$82)&gt;=0,SUM($B$82)&lt;=1,SUM($B$83)&gt;=0)),IF(B1467=0,0,IF(C1467=0,B1467/ROUND($B$81*12,0),B1467*(C1467/12)/(1-(1+C1467/12)^(-ROUND($B$81*12,0))))),IF(AND(NOT(AND(1067&gt;$B$173,$B$78="Refinance",ISNUMBER($B$80),$B$80&gt;=0,$B$80&lt;=1,ROUND($B$81*12,0)&gt;=1,$B$81&lt;=100,SUM($B$82)&gt;=0,SUM($B$82)&lt;=1,SUM($B$83)&gt;=0)),OR(1067=1,1067=$B$174+1,AND($B$175&gt;0,1067=$B$175+1))),IF(AND($B$170=1,$B$66&gt;0,OR($B$175=0,1067&lt;=$B$175)),$B$66,IF($B$172-MAX(1067-1,$B$174)&gt;0,IF(B1467=0,0,IF(C1467=0,B1467/($B$172-MAX(1067-1,$B$174)),B1467*(C1467/12)/(1-(1+C1467/12)^(-($B$172-MAX(1067-1,$B$174)))))),"")),D1466)))),""),""))</x:f>
        <x:v>0</x:v>
      </x:c>
      <x:c r="E1467" s="440" t="n">
        <x:f>IF(AND(1067=$B$173,ISNUMBER(D1467)),IF(MAX(0,B1467*(1+C1467/12)-D1467)&lt;MAX(0.0000001,$E$17*0.00000000001),0,MAX(0,B1467*(1+C1467/12)-D1467)),0)</x:f>
        <x:v>0</x:v>
      </x:c>
      <x:c r="F1467" s="440" t="n">
        <x:f>IF($B$78="Cash payoff",E1467,0)</x:f>
        <x:v>0</x:v>
      </x:c>
      <x:c r="G1467" s="440" t="n">
        <x:f>IF(AND(E1467&gt;0,AND($B$78="Refinance",ISNUMBER($B$80),$B$80&gt;=0,$B$80&lt;=1,ROUND($B$81*12,0)&gt;=1,$B$81&lt;=100,SUM($B$82)&gt;=0,SUM($B$82)&lt;=1,SUM($B$83)&gt;=0)),E1467*SUM($B$82)+SUM($B$83),0)</x:f>
        <x:v>0</x:v>
      </x:c>
      <x:c r="H1467" s="440" t="n">
        <x:f>IF(ISNUMBER(D1467),IF(MAX(0,B1467*(1+C1467/12)-D1467-F1467)&lt;MAX(0.0000001,$E$17*0.00000000001),0,MAX(0,B1467*(1+C1467/12)-D1467-F1467)),IF(AND($B$171=1,I1466=1),B1467,""))</x:f>
        <x:v>0</x:v>
      </x:c>
      <x:c r="I1467" s="444" t="n">
        <x:f>IF(OR(I1466=1,AND(E1467&gt;0,$B$78&lt;&gt;"Cash payoff",NOT(AND($B$78="Refinance",ISNUMBER($B$80),$B$80&gt;=0,$B$80&lt;=1,ROUND($B$81*12,0)&gt;=1,$B$81&lt;=100,SUM($B$82)&gt;=0,SUM($B$82)&lt;=1,SUM($B$83)&gt;=0))),AND(ISNUMBER(B1467),B1467&gt;0,$B$171=1,NOT(ISNUMBER(D1467)))),1,0)</x:f>
        <x:v>0</x:v>
      </x:c>
      <x:c r="J1467" s="440" t="n">
        <x:f>IF(ISNUMBER(L1466),L1466,"")</x:f>
        <x:v>0</x:v>
      </x:c>
      <x:c r="K1467" s="440" t="n">
        <x:f>IF(AND(ISNUMBER(J1467),J1467=0),0,IF(AND($B$176=1,ISNUMBER(J1467)),MIN(J1467*(1+$B$87/12),IF($B$86=0,0,IF($B$87=0,$B$86/ROUND($B$88*12,0),$B$86*($B$87/12)/(1-(1+$B$87/12)^(-ROUND($B$88*12,0)))))),""))</x:f>
        <x:v>0</x:v>
      </x:c>
      <x:c r="L1467" s="440" t="n">
        <x:f>IF(ISNUMBER(K1467),IF(MAX(0,J1467*(1+SUM($B$87)/12)-K1467)&lt;MAX(0.0000001,$B$86*0.00000000001),0,MAX(0,J1467*(1+SUM($B$87)/12)-K1467)),"")</x:f>
        <x:v>0</x:v>
      </x:c>
      <x:c r="M1467" s="440" t="n">
        <x:f>IF(AND(ISNUMBER(D1467),ISNUMBER(K1467)),D1467+K1467,"")</x:f>
        <x:v>0</x:v>
      </x:c>
      <x:c r="N1467" s="440" t="n">
        <x:f>IF(AND(ISNUMBER(H1467),ISNUMBER(L1467)),H1467+L1467,"")</x:f>
        <x:v>0</x:v>
      </x:c>
    </x:row>
    <x:row r="1468" ht="22" customHeight="1">
      <x:c r="A1468" s="254" t="n">
        <x:f>1068</x:f>
        <x:v>1068</x:v>
      </x:c>
      <x:c r="B1468" s="440" t="n">
        <x:f>IF(ISNUMBER(H1467),H1467,"")</x:f>
        <x:v>0</x:v>
      </x:c>
      <x:c r="C1468" s="442" t="n">
        <x:f>IF(ISNUMBER(B1468),IF(AND(1068&gt;$B$173,$B$78="Refinance",ISNUMBER($B$80),$B$80&gt;=0,$B$80&lt;=1,ROUND($B$81*12,0)&gt;=1,$B$81&lt;=100,SUM($B$82)&gt;=0,SUM($B$82)&lt;=1,SUM($B$83)&gt;=0),$B$80,IF(AND($B$175&gt;0,1068&gt;$B$175,ISNUMBER($B$75)),$B$75,$B$61)),"")</x:f>
        <x:v>0.0625</x:v>
      </x:c>
      <x:c r="D1468" s="440" t="n">
        <x:f>IF(AND(ISNUMBER(B1468),B1468=0),0,IF(AND($B$171=1,I1467=0,ISNUMBER(C1468),ISNUMBER(IF(AND(1068&lt;=$B$174,1068&lt;=$B$173),B1468*C1468/12,IF(AND(1068=$B$173+1,AND(1068&gt;$B$173,$B$78="Refinance",ISNUMBER($B$80),$B$80&gt;=0,$B$80&lt;=1,ROUND($B$81*12,0)&gt;=1,$B$81&lt;=100,SUM($B$82)&gt;=0,SUM($B$82)&lt;=1,SUM($B$83)&gt;=0)),IF(B1468=0,0,IF(C1468=0,B1468/ROUND($B$81*12,0),B1468*(C1468/12)/(1-(1+C1468/12)^(-ROUND($B$81*12,0))))),IF(AND(NOT(AND(1068&gt;$B$173,$B$78="Refinance",ISNUMBER($B$80),$B$80&gt;=0,$B$80&lt;=1,ROUND($B$81*12,0)&gt;=1,$B$81&lt;=100,SUM($B$82)&gt;=0,SUM($B$82)&lt;=1,SUM($B$83)&gt;=0)),OR(1068=1,1068=$B$174+1,AND($B$175&gt;0,1068=$B$175+1))),IF(AND($B$170=1,$B$66&gt;0,OR($B$175=0,1068&lt;=$B$175)),$B$66,IF($B$172-MAX(1068-1,$B$174)&gt;0,IF(B1468=0,0,IF(C1468=0,B1468/($B$172-MAX(1068-1,$B$174)),B1468*(C1468/12)/(1-(1+C1468/12)^(-($B$172-MAX(1068-1,$B$174)))))),"")),D1467))))),IF(IF(AND(1068&lt;=$B$174,1068&lt;=$B$173),B1468*C1468/12,IF(AND(1068=$B$173+1,AND(1068&gt;$B$173,$B$78="Refinance",ISNUMBER($B$80),$B$80&gt;=0,$B$80&lt;=1,ROUND($B$81*12,0)&gt;=1,$B$81&lt;=100,SUM($B$82)&gt;=0,SUM($B$82)&lt;=1,SUM($B$83)&gt;=0)),IF(B1468=0,0,IF(C1468=0,B1468/ROUND($B$81*12,0),B1468*(C1468/12)/(1-(1+C1468/12)^(-ROUND($B$81*12,0))))),IF(AND(NOT(AND(1068&gt;$B$173,$B$78="Refinance",ISNUMBER($B$80),$B$80&gt;=0,$B$80&lt;=1,ROUND($B$81*12,0)&gt;=1,$B$81&lt;=100,SUM($B$82)&gt;=0,SUM($B$82)&lt;=1,SUM($B$83)&gt;=0)),OR(1068=1,1068=$B$174+1,AND($B$175&gt;0,1068=$B$175+1))),IF(AND($B$170=1,$B$66&gt;0,OR($B$175=0,1068&lt;=$B$175)),$B$66,IF($B$172-MAX(1068-1,$B$174)&gt;0,IF(B1468=0,0,IF(C1468=0,B1468/($B$172-MAX(1068-1,$B$174)),B1468*(C1468/12)/(1-(1+C1468/12)^(-($B$172-MAX(1068-1,$B$174)))))),"")),D1467)))+0.0000001&gt;=B1468*C1468/12,MIN(B1468*(1+C1468/12),IF(AND(1068&lt;=$B$174,1068&lt;=$B$173),B1468*C1468/12,IF(AND(1068=$B$173+1,AND(1068&gt;$B$173,$B$78="Refinance",ISNUMBER($B$80),$B$80&gt;=0,$B$80&lt;=1,ROUND($B$81*12,0)&gt;=1,$B$81&lt;=100,SUM($B$82)&gt;=0,SUM($B$82)&lt;=1,SUM($B$83)&gt;=0)),IF(B1468=0,0,IF(C1468=0,B1468/ROUND($B$81*12,0),B1468*(C1468/12)/(1-(1+C1468/12)^(-ROUND($B$81*12,0))))),IF(AND(NOT(AND(1068&gt;$B$173,$B$78="Refinance",ISNUMBER($B$80),$B$80&gt;=0,$B$80&lt;=1,ROUND($B$81*12,0)&gt;=1,$B$81&lt;=100,SUM($B$82)&gt;=0,SUM($B$82)&lt;=1,SUM($B$83)&gt;=0)),OR(1068=1,1068=$B$174+1,AND($B$175&gt;0,1068=$B$175+1))),IF(AND($B$170=1,$B$66&gt;0,OR($B$175=0,1068&lt;=$B$175)),$B$66,IF($B$172-MAX(1068-1,$B$174)&gt;0,IF(B1468=0,0,IF(C1468=0,B1468/($B$172-MAX(1068-1,$B$174)),B1468*(C1468/12)/(1-(1+C1468/12)^(-($B$172-MAX(1068-1,$B$174)))))),"")),D1467)))),""),""))</x:f>
        <x:v>0</x:v>
      </x:c>
      <x:c r="E1468" s="440" t="n">
        <x:f>IF(AND(1068=$B$173,ISNUMBER(D1468)),IF(MAX(0,B1468*(1+C1468/12)-D1468)&lt;MAX(0.0000001,$E$17*0.00000000001),0,MAX(0,B1468*(1+C1468/12)-D1468)),0)</x:f>
        <x:v>0</x:v>
      </x:c>
      <x:c r="F1468" s="440" t="n">
        <x:f>IF($B$78="Cash payoff",E1468,0)</x:f>
        <x:v>0</x:v>
      </x:c>
      <x:c r="G1468" s="440" t="n">
        <x:f>IF(AND(E1468&gt;0,AND($B$78="Refinance",ISNUMBER($B$80),$B$80&gt;=0,$B$80&lt;=1,ROUND($B$81*12,0)&gt;=1,$B$81&lt;=100,SUM($B$82)&gt;=0,SUM($B$82)&lt;=1,SUM($B$83)&gt;=0)),E1468*SUM($B$82)+SUM($B$83),0)</x:f>
        <x:v>0</x:v>
      </x:c>
      <x:c r="H1468" s="440" t="n">
        <x:f>IF(ISNUMBER(D1468),IF(MAX(0,B1468*(1+C1468/12)-D1468-F1468)&lt;MAX(0.0000001,$E$17*0.00000000001),0,MAX(0,B1468*(1+C1468/12)-D1468-F1468)),IF(AND($B$171=1,I1467=1),B1468,""))</x:f>
        <x:v>0</x:v>
      </x:c>
      <x:c r="I1468" s="444" t="n">
        <x:f>IF(OR(I1467=1,AND(E1468&gt;0,$B$78&lt;&gt;"Cash payoff",NOT(AND($B$78="Refinance",ISNUMBER($B$80),$B$80&gt;=0,$B$80&lt;=1,ROUND($B$81*12,0)&gt;=1,$B$81&lt;=100,SUM($B$82)&gt;=0,SUM($B$82)&lt;=1,SUM($B$83)&gt;=0))),AND(ISNUMBER(B1468),B1468&gt;0,$B$171=1,NOT(ISNUMBER(D1468)))),1,0)</x:f>
        <x:v>0</x:v>
      </x:c>
      <x:c r="J1468" s="440" t="n">
        <x:f>IF(ISNUMBER(L1467),L1467,"")</x:f>
        <x:v>0</x:v>
      </x:c>
      <x:c r="K1468" s="440" t="n">
        <x:f>IF(AND(ISNUMBER(J1468),J1468=0),0,IF(AND($B$176=1,ISNUMBER(J1468)),MIN(J1468*(1+$B$87/12),IF($B$86=0,0,IF($B$87=0,$B$86/ROUND($B$88*12,0),$B$86*($B$87/12)/(1-(1+$B$87/12)^(-ROUND($B$88*12,0)))))),""))</x:f>
        <x:v>0</x:v>
      </x:c>
      <x:c r="L1468" s="440" t="n">
        <x:f>IF(ISNUMBER(K1468),IF(MAX(0,J1468*(1+SUM($B$87)/12)-K1468)&lt;MAX(0.0000001,$B$86*0.00000000001),0,MAX(0,J1468*(1+SUM($B$87)/12)-K1468)),"")</x:f>
        <x:v>0</x:v>
      </x:c>
      <x:c r="M1468" s="440" t="n">
        <x:f>IF(AND(ISNUMBER(D1468),ISNUMBER(K1468)),D1468+K1468,"")</x:f>
        <x:v>0</x:v>
      </x:c>
      <x:c r="N1468" s="440" t="n">
        <x:f>IF(AND(ISNUMBER(H1468),ISNUMBER(L1468)),H1468+L1468,"")</x:f>
        <x:v>0</x:v>
      </x:c>
    </x:row>
    <x:row r="1469" ht="22" customHeight="1">
      <x:c r="A1469" s="254" t="n">
        <x:f>1069</x:f>
        <x:v>1069</x:v>
      </x:c>
      <x:c r="B1469" s="440" t="n">
        <x:f>IF(ISNUMBER(H1468),H1468,"")</x:f>
        <x:v>0</x:v>
      </x:c>
      <x:c r="C1469" s="442" t="n">
        <x:f>IF(ISNUMBER(B1469),IF(AND(1069&gt;$B$173,$B$78="Refinance",ISNUMBER($B$80),$B$80&gt;=0,$B$80&lt;=1,ROUND($B$81*12,0)&gt;=1,$B$81&lt;=100,SUM($B$82)&gt;=0,SUM($B$82)&lt;=1,SUM($B$83)&gt;=0),$B$80,IF(AND($B$175&gt;0,1069&gt;$B$175,ISNUMBER($B$75)),$B$75,$B$61)),"")</x:f>
        <x:v>0.0625</x:v>
      </x:c>
      <x:c r="D1469" s="440" t="n">
        <x:f>IF(AND(ISNUMBER(B1469),B1469=0),0,IF(AND($B$171=1,I1468=0,ISNUMBER(C1469),ISNUMBER(IF(AND(1069&lt;=$B$174,1069&lt;=$B$173),B1469*C1469/12,IF(AND(1069=$B$173+1,AND(1069&gt;$B$173,$B$78="Refinance",ISNUMBER($B$80),$B$80&gt;=0,$B$80&lt;=1,ROUND($B$81*12,0)&gt;=1,$B$81&lt;=100,SUM($B$82)&gt;=0,SUM($B$82)&lt;=1,SUM($B$83)&gt;=0)),IF(B1469=0,0,IF(C1469=0,B1469/ROUND($B$81*12,0),B1469*(C1469/12)/(1-(1+C1469/12)^(-ROUND($B$81*12,0))))),IF(AND(NOT(AND(1069&gt;$B$173,$B$78="Refinance",ISNUMBER($B$80),$B$80&gt;=0,$B$80&lt;=1,ROUND($B$81*12,0)&gt;=1,$B$81&lt;=100,SUM($B$82)&gt;=0,SUM($B$82)&lt;=1,SUM($B$83)&gt;=0)),OR(1069=1,1069=$B$174+1,AND($B$175&gt;0,1069=$B$175+1))),IF(AND($B$170=1,$B$66&gt;0,OR($B$175=0,1069&lt;=$B$175)),$B$66,IF($B$172-MAX(1069-1,$B$174)&gt;0,IF(B1469=0,0,IF(C1469=0,B1469/($B$172-MAX(1069-1,$B$174)),B1469*(C1469/12)/(1-(1+C1469/12)^(-($B$172-MAX(1069-1,$B$174)))))),"")),D1468))))),IF(IF(AND(1069&lt;=$B$174,1069&lt;=$B$173),B1469*C1469/12,IF(AND(1069=$B$173+1,AND(1069&gt;$B$173,$B$78="Refinance",ISNUMBER($B$80),$B$80&gt;=0,$B$80&lt;=1,ROUND($B$81*12,0)&gt;=1,$B$81&lt;=100,SUM($B$82)&gt;=0,SUM($B$82)&lt;=1,SUM($B$83)&gt;=0)),IF(B1469=0,0,IF(C1469=0,B1469/ROUND($B$81*12,0),B1469*(C1469/12)/(1-(1+C1469/12)^(-ROUND($B$81*12,0))))),IF(AND(NOT(AND(1069&gt;$B$173,$B$78="Refinance",ISNUMBER($B$80),$B$80&gt;=0,$B$80&lt;=1,ROUND($B$81*12,0)&gt;=1,$B$81&lt;=100,SUM($B$82)&gt;=0,SUM($B$82)&lt;=1,SUM($B$83)&gt;=0)),OR(1069=1,1069=$B$174+1,AND($B$175&gt;0,1069=$B$175+1))),IF(AND($B$170=1,$B$66&gt;0,OR($B$175=0,1069&lt;=$B$175)),$B$66,IF($B$172-MAX(1069-1,$B$174)&gt;0,IF(B1469=0,0,IF(C1469=0,B1469/($B$172-MAX(1069-1,$B$174)),B1469*(C1469/12)/(1-(1+C1469/12)^(-($B$172-MAX(1069-1,$B$174)))))),"")),D1468)))+0.0000001&gt;=B1469*C1469/12,MIN(B1469*(1+C1469/12),IF(AND(1069&lt;=$B$174,1069&lt;=$B$173),B1469*C1469/12,IF(AND(1069=$B$173+1,AND(1069&gt;$B$173,$B$78="Refinance",ISNUMBER($B$80),$B$80&gt;=0,$B$80&lt;=1,ROUND($B$81*12,0)&gt;=1,$B$81&lt;=100,SUM($B$82)&gt;=0,SUM($B$82)&lt;=1,SUM($B$83)&gt;=0)),IF(B1469=0,0,IF(C1469=0,B1469/ROUND($B$81*12,0),B1469*(C1469/12)/(1-(1+C1469/12)^(-ROUND($B$81*12,0))))),IF(AND(NOT(AND(1069&gt;$B$173,$B$78="Refinance",ISNUMBER($B$80),$B$80&gt;=0,$B$80&lt;=1,ROUND($B$81*12,0)&gt;=1,$B$81&lt;=100,SUM($B$82)&gt;=0,SUM($B$82)&lt;=1,SUM($B$83)&gt;=0)),OR(1069=1,1069=$B$174+1,AND($B$175&gt;0,1069=$B$175+1))),IF(AND($B$170=1,$B$66&gt;0,OR($B$175=0,1069&lt;=$B$175)),$B$66,IF($B$172-MAX(1069-1,$B$174)&gt;0,IF(B1469=0,0,IF(C1469=0,B1469/($B$172-MAX(1069-1,$B$174)),B1469*(C1469/12)/(1-(1+C1469/12)^(-($B$172-MAX(1069-1,$B$174)))))),"")),D1468)))),""),""))</x:f>
        <x:v>0</x:v>
      </x:c>
      <x:c r="E1469" s="440" t="n">
        <x:f>IF(AND(1069=$B$173,ISNUMBER(D1469)),IF(MAX(0,B1469*(1+C1469/12)-D1469)&lt;MAX(0.0000001,$E$17*0.00000000001),0,MAX(0,B1469*(1+C1469/12)-D1469)),0)</x:f>
        <x:v>0</x:v>
      </x:c>
      <x:c r="F1469" s="440" t="n">
        <x:f>IF($B$78="Cash payoff",E1469,0)</x:f>
        <x:v>0</x:v>
      </x:c>
      <x:c r="G1469" s="440" t="n">
        <x:f>IF(AND(E1469&gt;0,AND($B$78="Refinance",ISNUMBER($B$80),$B$80&gt;=0,$B$80&lt;=1,ROUND($B$81*12,0)&gt;=1,$B$81&lt;=100,SUM($B$82)&gt;=0,SUM($B$82)&lt;=1,SUM($B$83)&gt;=0)),E1469*SUM($B$82)+SUM($B$83),0)</x:f>
        <x:v>0</x:v>
      </x:c>
      <x:c r="H1469" s="440" t="n">
        <x:f>IF(ISNUMBER(D1469),IF(MAX(0,B1469*(1+C1469/12)-D1469-F1469)&lt;MAX(0.0000001,$E$17*0.00000000001),0,MAX(0,B1469*(1+C1469/12)-D1469-F1469)),IF(AND($B$171=1,I1468=1),B1469,""))</x:f>
        <x:v>0</x:v>
      </x:c>
      <x:c r="I1469" s="444" t="n">
        <x:f>IF(OR(I1468=1,AND(E1469&gt;0,$B$78&lt;&gt;"Cash payoff",NOT(AND($B$78="Refinance",ISNUMBER($B$80),$B$80&gt;=0,$B$80&lt;=1,ROUND($B$81*12,0)&gt;=1,$B$81&lt;=100,SUM($B$82)&gt;=0,SUM($B$82)&lt;=1,SUM($B$83)&gt;=0))),AND(ISNUMBER(B1469),B1469&gt;0,$B$171=1,NOT(ISNUMBER(D1469)))),1,0)</x:f>
        <x:v>0</x:v>
      </x:c>
      <x:c r="J1469" s="440" t="n">
        <x:f>IF(ISNUMBER(L1468),L1468,"")</x:f>
        <x:v>0</x:v>
      </x:c>
      <x:c r="K1469" s="440" t="n">
        <x:f>IF(AND(ISNUMBER(J1469),J1469=0),0,IF(AND($B$176=1,ISNUMBER(J1469)),MIN(J1469*(1+$B$87/12),IF($B$86=0,0,IF($B$87=0,$B$86/ROUND($B$88*12,0),$B$86*($B$87/12)/(1-(1+$B$87/12)^(-ROUND($B$88*12,0)))))),""))</x:f>
        <x:v>0</x:v>
      </x:c>
      <x:c r="L1469" s="440" t="n">
        <x:f>IF(ISNUMBER(K1469),IF(MAX(0,J1469*(1+SUM($B$87)/12)-K1469)&lt;MAX(0.0000001,$B$86*0.00000000001),0,MAX(0,J1469*(1+SUM($B$87)/12)-K1469)),"")</x:f>
        <x:v>0</x:v>
      </x:c>
      <x:c r="M1469" s="440" t="n">
        <x:f>IF(AND(ISNUMBER(D1469),ISNUMBER(K1469)),D1469+K1469,"")</x:f>
        <x:v>0</x:v>
      </x:c>
      <x:c r="N1469" s="440" t="n">
        <x:f>IF(AND(ISNUMBER(H1469),ISNUMBER(L1469)),H1469+L1469,"")</x:f>
        <x:v>0</x:v>
      </x:c>
    </x:row>
    <x:row r="1470" ht="22" customHeight="1">
      <x:c r="A1470" s="254" t="n">
        <x:f>1070</x:f>
        <x:v>1070</x:v>
      </x:c>
      <x:c r="B1470" s="440" t="n">
        <x:f>IF(ISNUMBER(H1469),H1469,"")</x:f>
        <x:v>0</x:v>
      </x:c>
      <x:c r="C1470" s="442" t="n">
        <x:f>IF(ISNUMBER(B1470),IF(AND(1070&gt;$B$173,$B$78="Refinance",ISNUMBER($B$80),$B$80&gt;=0,$B$80&lt;=1,ROUND($B$81*12,0)&gt;=1,$B$81&lt;=100,SUM($B$82)&gt;=0,SUM($B$82)&lt;=1,SUM($B$83)&gt;=0),$B$80,IF(AND($B$175&gt;0,1070&gt;$B$175,ISNUMBER($B$75)),$B$75,$B$61)),"")</x:f>
        <x:v>0.0625</x:v>
      </x:c>
      <x:c r="D1470" s="440" t="n">
        <x:f>IF(AND(ISNUMBER(B1470),B1470=0),0,IF(AND($B$171=1,I1469=0,ISNUMBER(C1470),ISNUMBER(IF(AND(1070&lt;=$B$174,1070&lt;=$B$173),B1470*C1470/12,IF(AND(1070=$B$173+1,AND(1070&gt;$B$173,$B$78="Refinance",ISNUMBER($B$80),$B$80&gt;=0,$B$80&lt;=1,ROUND($B$81*12,0)&gt;=1,$B$81&lt;=100,SUM($B$82)&gt;=0,SUM($B$82)&lt;=1,SUM($B$83)&gt;=0)),IF(B1470=0,0,IF(C1470=0,B1470/ROUND($B$81*12,0),B1470*(C1470/12)/(1-(1+C1470/12)^(-ROUND($B$81*12,0))))),IF(AND(NOT(AND(1070&gt;$B$173,$B$78="Refinance",ISNUMBER($B$80),$B$80&gt;=0,$B$80&lt;=1,ROUND($B$81*12,0)&gt;=1,$B$81&lt;=100,SUM($B$82)&gt;=0,SUM($B$82)&lt;=1,SUM($B$83)&gt;=0)),OR(1070=1,1070=$B$174+1,AND($B$175&gt;0,1070=$B$175+1))),IF(AND($B$170=1,$B$66&gt;0,OR($B$175=0,1070&lt;=$B$175)),$B$66,IF($B$172-MAX(1070-1,$B$174)&gt;0,IF(B1470=0,0,IF(C1470=0,B1470/($B$172-MAX(1070-1,$B$174)),B1470*(C1470/12)/(1-(1+C1470/12)^(-($B$172-MAX(1070-1,$B$174)))))),"")),D1469))))),IF(IF(AND(1070&lt;=$B$174,1070&lt;=$B$173),B1470*C1470/12,IF(AND(1070=$B$173+1,AND(1070&gt;$B$173,$B$78="Refinance",ISNUMBER($B$80),$B$80&gt;=0,$B$80&lt;=1,ROUND($B$81*12,0)&gt;=1,$B$81&lt;=100,SUM($B$82)&gt;=0,SUM($B$82)&lt;=1,SUM($B$83)&gt;=0)),IF(B1470=0,0,IF(C1470=0,B1470/ROUND($B$81*12,0),B1470*(C1470/12)/(1-(1+C1470/12)^(-ROUND($B$81*12,0))))),IF(AND(NOT(AND(1070&gt;$B$173,$B$78="Refinance",ISNUMBER($B$80),$B$80&gt;=0,$B$80&lt;=1,ROUND($B$81*12,0)&gt;=1,$B$81&lt;=100,SUM($B$82)&gt;=0,SUM($B$82)&lt;=1,SUM($B$83)&gt;=0)),OR(1070=1,1070=$B$174+1,AND($B$175&gt;0,1070=$B$175+1))),IF(AND($B$170=1,$B$66&gt;0,OR($B$175=0,1070&lt;=$B$175)),$B$66,IF($B$172-MAX(1070-1,$B$174)&gt;0,IF(B1470=0,0,IF(C1470=0,B1470/($B$172-MAX(1070-1,$B$174)),B1470*(C1470/12)/(1-(1+C1470/12)^(-($B$172-MAX(1070-1,$B$174)))))),"")),D1469)))+0.0000001&gt;=B1470*C1470/12,MIN(B1470*(1+C1470/12),IF(AND(1070&lt;=$B$174,1070&lt;=$B$173),B1470*C1470/12,IF(AND(1070=$B$173+1,AND(1070&gt;$B$173,$B$78="Refinance",ISNUMBER($B$80),$B$80&gt;=0,$B$80&lt;=1,ROUND($B$81*12,0)&gt;=1,$B$81&lt;=100,SUM($B$82)&gt;=0,SUM($B$82)&lt;=1,SUM($B$83)&gt;=0)),IF(B1470=0,0,IF(C1470=0,B1470/ROUND($B$81*12,0),B1470*(C1470/12)/(1-(1+C1470/12)^(-ROUND($B$81*12,0))))),IF(AND(NOT(AND(1070&gt;$B$173,$B$78="Refinance",ISNUMBER($B$80),$B$80&gt;=0,$B$80&lt;=1,ROUND($B$81*12,0)&gt;=1,$B$81&lt;=100,SUM($B$82)&gt;=0,SUM($B$82)&lt;=1,SUM($B$83)&gt;=0)),OR(1070=1,1070=$B$174+1,AND($B$175&gt;0,1070=$B$175+1))),IF(AND($B$170=1,$B$66&gt;0,OR($B$175=0,1070&lt;=$B$175)),$B$66,IF($B$172-MAX(1070-1,$B$174)&gt;0,IF(B1470=0,0,IF(C1470=0,B1470/($B$172-MAX(1070-1,$B$174)),B1470*(C1470/12)/(1-(1+C1470/12)^(-($B$172-MAX(1070-1,$B$174)))))),"")),D1469)))),""),""))</x:f>
        <x:v>0</x:v>
      </x:c>
      <x:c r="E1470" s="440" t="n">
        <x:f>IF(AND(1070=$B$173,ISNUMBER(D1470)),IF(MAX(0,B1470*(1+C1470/12)-D1470)&lt;MAX(0.0000001,$E$17*0.00000000001),0,MAX(0,B1470*(1+C1470/12)-D1470)),0)</x:f>
        <x:v>0</x:v>
      </x:c>
      <x:c r="F1470" s="440" t="n">
        <x:f>IF($B$78="Cash payoff",E1470,0)</x:f>
        <x:v>0</x:v>
      </x:c>
      <x:c r="G1470" s="440" t="n">
        <x:f>IF(AND(E1470&gt;0,AND($B$78="Refinance",ISNUMBER($B$80),$B$80&gt;=0,$B$80&lt;=1,ROUND($B$81*12,0)&gt;=1,$B$81&lt;=100,SUM($B$82)&gt;=0,SUM($B$82)&lt;=1,SUM($B$83)&gt;=0)),E1470*SUM($B$82)+SUM($B$83),0)</x:f>
        <x:v>0</x:v>
      </x:c>
      <x:c r="H1470" s="440" t="n">
        <x:f>IF(ISNUMBER(D1470),IF(MAX(0,B1470*(1+C1470/12)-D1470-F1470)&lt;MAX(0.0000001,$E$17*0.00000000001),0,MAX(0,B1470*(1+C1470/12)-D1470-F1470)),IF(AND($B$171=1,I1469=1),B1470,""))</x:f>
        <x:v>0</x:v>
      </x:c>
      <x:c r="I1470" s="444" t="n">
        <x:f>IF(OR(I1469=1,AND(E1470&gt;0,$B$78&lt;&gt;"Cash payoff",NOT(AND($B$78="Refinance",ISNUMBER($B$80),$B$80&gt;=0,$B$80&lt;=1,ROUND($B$81*12,0)&gt;=1,$B$81&lt;=100,SUM($B$82)&gt;=0,SUM($B$82)&lt;=1,SUM($B$83)&gt;=0))),AND(ISNUMBER(B1470),B1470&gt;0,$B$171=1,NOT(ISNUMBER(D1470)))),1,0)</x:f>
        <x:v>0</x:v>
      </x:c>
      <x:c r="J1470" s="440" t="n">
        <x:f>IF(ISNUMBER(L1469),L1469,"")</x:f>
        <x:v>0</x:v>
      </x:c>
      <x:c r="K1470" s="440" t="n">
        <x:f>IF(AND(ISNUMBER(J1470),J1470=0),0,IF(AND($B$176=1,ISNUMBER(J1470)),MIN(J1470*(1+$B$87/12),IF($B$86=0,0,IF($B$87=0,$B$86/ROUND($B$88*12,0),$B$86*($B$87/12)/(1-(1+$B$87/12)^(-ROUND($B$88*12,0)))))),""))</x:f>
        <x:v>0</x:v>
      </x:c>
      <x:c r="L1470" s="440" t="n">
        <x:f>IF(ISNUMBER(K1470),IF(MAX(0,J1470*(1+SUM($B$87)/12)-K1470)&lt;MAX(0.0000001,$B$86*0.00000000001),0,MAX(0,J1470*(1+SUM($B$87)/12)-K1470)),"")</x:f>
        <x:v>0</x:v>
      </x:c>
      <x:c r="M1470" s="440" t="n">
        <x:f>IF(AND(ISNUMBER(D1470),ISNUMBER(K1470)),D1470+K1470,"")</x:f>
        <x:v>0</x:v>
      </x:c>
      <x:c r="N1470" s="440" t="n">
        <x:f>IF(AND(ISNUMBER(H1470),ISNUMBER(L1470)),H1470+L1470,"")</x:f>
        <x:v>0</x:v>
      </x:c>
    </x:row>
    <x:row r="1471" ht="22" customHeight="1">
      <x:c r="A1471" s="254" t="n">
        <x:f>1071</x:f>
        <x:v>1071</x:v>
      </x:c>
      <x:c r="B1471" s="440" t="n">
        <x:f>IF(ISNUMBER(H1470),H1470,"")</x:f>
        <x:v>0</x:v>
      </x:c>
      <x:c r="C1471" s="442" t="n">
        <x:f>IF(ISNUMBER(B1471),IF(AND(1071&gt;$B$173,$B$78="Refinance",ISNUMBER($B$80),$B$80&gt;=0,$B$80&lt;=1,ROUND($B$81*12,0)&gt;=1,$B$81&lt;=100,SUM($B$82)&gt;=0,SUM($B$82)&lt;=1,SUM($B$83)&gt;=0),$B$80,IF(AND($B$175&gt;0,1071&gt;$B$175,ISNUMBER($B$75)),$B$75,$B$61)),"")</x:f>
        <x:v>0.0625</x:v>
      </x:c>
      <x:c r="D1471" s="440" t="n">
        <x:f>IF(AND(ISNUMBER(B1471),B1471=0),0,IF(AND($B$171=1,I1470=0,ISNUMBER(C1471),ISNUMBER(IF(AND(1071&lt;=$B$174,1071&lt;=$B$173),B1471*C1471/12,IF(AND(1071=$B$173+1,AND(1071&gt;$B$173,$B$78="Refinance",ISNUMBER($B$80),$B$80&gt;=0,$B$80&lt;=1,ROUND($B$81*12,0)&gt;=1,$B$81&lt;=100,SUM($B$82)&gt;=0,SUM($B$82)&lt;=1,SUM($B$83)&gt;=0)),IF(B1471=0,0,IF(C1471=0,B1471/ROUND($B$81*12,0),B1471*(C1471/12)/(1-(1+C1471/12)^(-ROUND($B$81*12,0))))),IF(AND(NOT(AND(1071&gt;$B$173,$B$78="Refinance",ISNUMBER($B$80),$B$80&gt;=0,$B$80&lt;=1,ROUND($B$81*12,0)&gt;=1,$B$81&lt;=100,SUM($B$82)&gt;=0,SUM($B$82)&lt;=1,SUM($B$83)&gt;=0)),OR(1071=1,1071=$B$174+1,AND($B$175&gt;0,1071=$B$175+1))),IF(AND($B$170=1,$B$66&gt;0,OR($B$175=0,1071&lt;=$B$175)),$B$66,IF($B$172-MAX(1071-1,$B$174)&gt;0,IF(B1471=0,0,IF(C1471=0,B1471/($B$172-MAX(1071-1,$B$174)),B1471*(C1471/12)/(1-(1+C1471/12)^(-($B$172-MAX(1071-1,$B$174)))))),"")),D1470))))),IF(IF(AND(1071&lt;=$B$174,1071&lt;=$B$173),B1471*C1471/12,IF(AND(1071=$B$173+1,AND(1071&gt;$B$173,$B$78="Refinance",ISNUMBER($B$80),$B$80&gt;=0,$B$80&lt;=1,ROUND($B$81*12,0)&gt;=1,$B$81&lt;=100,SUM($B$82)&gt;=0,SUM($B$82)&lt;=1,SUM($B$83)&gt;=0)),IF(B1471=0,0,IF(C1471=0,B1471/ROUND($B$81*12,0),B1471*(C1471/12)/(1-(1+C1471/12)^(-ROUND($B$81*12,0))))),IF(AND(NOT(AND(1071&gt;$B$173,$B$78="Refinance",ISNUMBER($B$80),$B$80&gt;=0,$B$80&lt;=1,ROUND($B$81*12,0)&gt;=1,$B$81&lt;=100,SUM($B$82)&gt;=0,SUM($B$82)&lt;=1,SUM($B$83)&gt;=0)),OR(1071=1,1071=$B$174+1,AND($B$175&gt;0,1071=$B$175+1))),IF(AND($B$170=1,$B$66&gt;0,OR($B$175=0,1071&lt;=$B$175)),$B$66,IF($B$172-MAX(1071-1,$B$174)&gt;0,IF(B1471=0,0,IF(C1471=0,B1471/($B$172-MAX(1071-1,$B$174)),B1471*(C1471/12)/(1-(1+C1471/12)^(-($B$172-MAX(1071-1,$B$174)))))),"")),D1470)))+0.0000001&gt;=B1471*C1471/12,MIN(B1471*(1+C1471/12),IF(AND(1071&lt;=$B$174,1071&lt;=$B$173),B1471*C1471/12,IF(AND(1071=$B$173+1,AND(1071&gt;$B$173,$B$78="Refinance",ISNUMBER($B$80),$B$80&gt;=0,$B$80&lt;=1,ROUND($B$81*12,0)&gt;=1,$B$81&lt;=100,SUM($B$82)&gt;=0,SUM($B$82)&lt;=1,SUM($B$83)&gt;=0)),IF(B1471=0,0,IF(C1471=0,B1471/ROUND($B$81*12,0),B1471*(C1471/12)/(1-(1+C1471/12)^(-ROUND($B$81*12,0))))),IF(AND(NOT(AND(1071&gt;$B$173,$B$78="Refinance",ISNUMBER($B$80),$B$80&gt;=0,$B$80&lt;=1,ROUND($B$81*12,0)&gt;=1,$B$81&lt;=100,SUM($B$82)&gt;=0,SUM($B$82)&lt;=1,SUM($B$83)&gt;=0)),OR(1071=1,1071=$B$174+1,AND($B$175&gt;0,1071=$B$175+1))),IF(AND($B$170=1,$B$66&gt;0,OR($B$175=0,1071&lt;=$B$175)),$B$66,IF($B$172-MAX(1071-1,$B$174)&gt;0,IF(B1471=0,0,IF(C1471=0,B1471/($B$172-MAX(1071-1,$B$174)),B1471*(C1471/12)/(1-(1+C1471/12)^(-($B$172-MAX(1071-1,$B$174)))))),"")),D1470)))),""),""))</x:f>
        <x:v>0</x:v>
      </x:c>
      <x:c r="E1471" s="440" t="n">
        <x:f>IF(AND(1071=$B$173,ISNUMBER(D1471)),IF(MAX(0,B1471*(1+C1471/12)-D1471)&lt;MAX(0.0000001,$E$17*0.00000000001),0,MAX(0,B1471*(1+C1471/12)-D1471)),0)</x:f>
        <x:v>0</x:v>
      </x:c>
      <x:c r="F1471" s="440" t="n">
        <x:f>IF($B$78="Cash payoff",E1471,0)</x:f>
        <x:v>0</x:v>
      </x:c>
      <x:c r="G1471" s="440" t="n">
        <x:f>IF(AND(E1471&gt;0,AND($B$78="Refinance",ISNUMBER($B$80),$B$80&gt;=0,$B$80&lt;=1,ROUND($B$81*12,0)&gt;=1,$B$81&lt;=100,SUM($B$82)&gt;=0,SUM($B$82)&lt;=1,SUM($B$83)&gt;=0)),E1471*SUM($B$82)+SUM($B$83),0)</x:f>
        <x:v>0</x:v>
      </x:c>
      <x:c r="H1471" s="440" t="n">
        <x:f>IF(ISNUMBER(D1471),IF(MAX(0,B1471*(1+C1471/12)-D1471-F1471)&lt;MAX(0.0000001,$E$17*0.00000000001),0,MAX(0,B1471*(1+C1471/12)-D1471-F1471)),IF(AND($B$171=1,I1470=1),B1471,""))</x:f>
        <x:v>0</x:v>
      </x:c>
      <x:c r="I1471" s="444" t="n">
        <x:f>IF(OR(I1470=1,AND(E1471&gt;0,$B$78&lt;&gt;"Cash payoff",NOT(AND($B$78="Refinance",ISNUMBER($B$80),$B$80&gt;=0,$B$80&lt;=1,ROUND($B$81*12,0)&gt;=1,$B$81&lt;=100,SUM($B$82)&gt;=0,SUM($B$82)&lt;=1,SUM($B$83)&gt;=0))),AND(ISNUMBER(B1471),B1471&gt;0,$B$171=1,NOT(ISNUMBER(D1471)))),1,0)</x:f>
        <x:v>0</x:v>
      </x:c>
      <x:c r="J1471" s="440" t="n">
        <x:f>IF(ISNUMBER(L1470),L1470,"")</x:f>
        <x:v>0</x:v>
      </x:c>
      <x:c r="K1471" s="440" t="n">
        <x:f>IF(AND(ISNUMBER(J1471),J1471=0),0,IF(AND($B$176=1,ISNUMBER(J1471)),MIN(J1471*(1+$B$87/12),IF($B$86=0,0,IF($B$87=0,$B$86/ROUND($B$88*12,0),$B$86*($B$87/12)/(1-(1+$B$87/12)^(-ROUND($B$88*12,0)))))),""))</x:f>
        <x:v>0</x:v>
      </x:c>
      <x:c r="L1471" s="440" t="n">
        <x:f>IF(ISNUMBER(K1471),IF(MAX(0,J1471*(1+SUM($B$87)/12)-K1471)&lt;MAX(0.0000001,$B$86*0.00000000001),0,MAX(0,J1471*(1+SUM($B$87)/12)-K1471)),"")</x:f>
        <x:v>0</x:v>
      </x:c>
      <x:c r="M1471" s="440" t="n">
        <x:f>IF(AND(ISNUMBER(D1471),ISNUMBER(K1471)),D1471+K1471,"")</x:f>
        <x:v>0</x:v>
      </x:c>
      <x:c r="N1471" s="440" t="n">
        <x:f>IF(AND(ISNUMBER(H1471),ISNUMBER(L1471)),H1471+L1471,"")</x:f>
        <x:v>0</x:v>
      </x:c>
    </x:row>
    <x:row r="1472" ht="22" customHeight="1">
      <x:c r="A1472" s="254" t="n">
        <x:f>1072</x:f>
        <x:v>1072</x:v>
      </x:c>
      <x:c r="B1472" s="440" t="n">
        <x:f>IF(ISNUMBER(H1471),H1471,"")</x:f>
        <x:v>0</x:v>
      </x:c>
      <x:c r="C1472" s="442" t="n">
        <x:f>IF(ISNUMBER(B1472),IF(AND(1072&gt;$B$173,$B$78="Refinance",ISNUMBER($B$80),$B$80&gt;=0,$B$80&lt;=1,ROUND($B$81*12,0)&gt;=1,$B$81&lt;=100,SUM($B$82)&gt;=0,SUM($B$82)&lt;=1,SUM($B$83)&gt;=0),$B$80,IF(AND($B$175&gt;0,1072&gt;$B$175,ISNUMBER($B$75)),$B$75,$B$61)),"")</x:f>
        <x:v>0.0625</x:v>
      </x:c>
      <x:c r="D1472" s="440" t="n">
        <x:f>IF(AND(ISNUMBER(B1472),B1472=0),0,IF(AND($B$171=1,I1471=0,ISNUMBER(C1472),ISNUMBER(IF(AND(1072&lt;=$B$174,1072&lt;=$B$173),B1472*C1472/12,IF(AND(1072=$B$173+1,AND(1072&gt;$B$173,$B$78="Refinance",ISNUMBER($B$80),$B$80&gt;=0,$B$80&lt;=1,ROUND($B$81*12,0)&gt;=1,$B$81&lt;=100,SUM($B$82)&gt;=0,SUM($B$82)&lt;=1,SUM($B$83)&gt;=0)),IF(B1472=0,0,IF(C1472=0,B1472/ROUND($B$81*12,0),B1472*(C1472/12)/(1-(1+C1472/12)^(-ROUND($B$81*12,0))))),IF(AND(NOT(AND(1072&gt;$B$173,$B$78="Refinance",ISNUMBER($B$80),$B$80&gt;=0,$B$80&lt;=1,ROUND($B$81*12,0)&gt;=1,$B$81&lt;=100,SUM($B$82)&gt;=0,SUM($B$82)&lt;=1,SUM($B$83)&gt;=0)),OR(1072=1,1072=$B$174+1,AND($B$175&gt;0,1072=$B$175+1))),IF(AND($B$170=1,$B$66&gt;0,OR($B$175=0,1072&lt;=$B$175)),$B$66,IF($B$172-MAX(1072-1,$B$174)&gt;0,IF(B1472=0,0,IF(C1472=0,B1472/($B$172-MAX(1072-1,$B$174)),B1472*(C1472/12)/(1-(1+C1472/12)^(-($B$172-MAX(1072-1,$B$174)))))),"")),D1471))))),IF(IF(AND(1072&lt;=$B$174,1072&lt;=$B$173),B1472*C1472/12,IF(AND(1072=$B$173+1,AND(1072&gt;$B$173,$B$78="Refinance",ISNUMBER($B$80),$B$80&gt;=0,$B$80&lt;=1,ROUND($B$81*12,0)&gt;=1,$B$81&lt;=100,SUM($B$82)&gt;=0,SUM($B$82)&lt;=1,SUM($B$83)&gt;=0)),IF(B1472=0,0,IF(C1472=0,B1472/ROUND($B$81*12,0),B1472*(C1472/12)/(1-(1+C1472/12)^(-ROUND($B$81*12,0))))),IF(AND(NOT(AND(1072&gt;$B$173,$B$78="Refinance",ISNUMBER($B$80),$B$80&gt;=0,$B$80&lt;=1,ROUND($B$81*12,0)&gt;=1,$B$81&lt;=100,SUM($B$82)&gt;=0,SUM($B$82)&lt;=1,SUM($B$83)&gt;=0)),OR(1072=1,1072=$B$174+1,AND($B$175&gt;0,1072=$B$175+1))),IF(AND($B$170=1,$B$66&gt;0,OR($B$175=0,1072&lt;=$B$175)),$B$66,IF($B$172-MAX(1072-1,$B$174)&gt;0,IF(B1472=0,0,IF(C1472=0,B1472/($B$172-MAX(1072-1,$B$174)),B1472*(C1472/12)/(1-(1+C1472/12)^(-($B$172-MAX(1072-1,$B$174)))))),"")),D1471)))+0.0000001&gt;=B1472*C1472/12,MIN(B1472*(1+C1472/12),IF(AND(1072&lt;=$B$174,1072&lt;=$B$173),B1472*C1472/12,IF(AND(1072=$B$173+1,AND(1072&gt;$B$173,$B$78="Refinance",ISNUMBER($B$80),$B$80&gt;=0,$B$80&lt;=1,ROUND($B$81*12,0)&gt;=1,$B$81&lt;=100,SUM($B$82)&gt;=0,SUM($B$82)&lt;=1,SUM($B$83)&gt;=0)),IF(B1472=0,0,IF(C1472=0,B1472/ROUND($B$81*12,0),B1472*(C1472/12)/(1-(1+C1472/12)^(-ROUND($B$81*12,0))))),IF(AND(NOT(AND(1072&gt;$B$173,$B$78="Refinance",ISNUMBER($B$80),$B$80&gt;=0,$B$80&lt;=1,ROUND($B$81*12,0)&gt;=1,$B$81&lt;=100,SUM($B$82)&gt;=0,SUM($B$82)&lt;=1,SUM($B$83)&gt;=0)),OR(1072=1,1072=$B$174+1,AND($B$175&gt;0,1072=$B$175+1))),IF(AND($B$170=1,$B$66&gt;0,OR($B$175=0,1072&lt;=$B$175)),$B$66,IF($B$172-MAX(1072-1,$B$174)&gt;0,IF(B1472=0,0,IF(C1472=0,B1472/($B$172-MAX(1072-1,$B$174)),B1472*(C1472/12)/(1-(1+C1472/12)^(-($B$172-MAX(1072-1,$B$174)))))),"")),D1471)))),""),""))</x:f>
        <x:v>0</x:v>
      </x:c>
      <x:c r="E1472" s="440" t="n">
        <x:f>IF(AND(1072=$B$173,ISNUMBER(D1472)),IF(MAX(0,B1472*(1+C1472/12)-D1472)&lt;MAX(0.0000001,$E$17*0.00000000001),0,MAX(0,B1472*(1+C1472/12)-D1472)),0)</x:f>
        <x:v>0</x:v>
      </x:c>
      <x:c r="F1472" s="440" t="n">
        <x:f>IF($B$78="Cash payoff",E1472,0)</x:f>
        <x:v>0</x:v>
      </x:c>
      <x:c r="G1472" s="440" t="n">
        <x:f>IF(AND(E1472&gt;0,AND($B$78="Refinance",ISNUMBER($B$80),$B$80&gt;=0,$B$80&lt;=1,ROUND($B$81*12,0)&gt;=1,$B$81&lt;=100,SUM($B$82)&gt;=0,SUM($B$82)&lt;=1,SUM($B$83)&gt;=0)),E1472*SUM($B$82)+SUM($B$83),0)</x:f>
        <x:v>0</x:v>
      </x:c>
      <x:c r="H1472" s="440" t="n">
        <x:f>IF(ISNUMBER(D1472),IF(MAX(0,B1472*(1+C1472/12)-D1472-F1472)&lt;MAX(0.0000001,$E$17*0.00000000001),0,MAX(0,B1472*(1+C1472/12)-D1472-F1472)),IF(AND($B$171=1,I1471=1),B1472,""))</x:f>
        <x:v>0</x:v>
      </x:c>
      <x:c r="I1472" s="444" t="n">
        <x:f>IF(OR(I1471=1,AND(E1472&gt;0,$B$78&lt;&gt;"Cash payoff",NOT(AND($B$78="Refinance",ISNUMBER($B$80),$B$80&gt;=0,$B$80&lt;=1,ROUND($B$81*12,0)&gt;=1,$B$81&lt;=100,SUM($B$82)&gt;=0,SUM($B$82)&lt;=1,SUM($B$83)&gt;=0))),AND(ISNUMBER(B1472),B1472&gt;0,$B$171=1,NOT(ISNUMBER(D1472)))),1,0)</x:f>
        <x:v>0</x:v>
      </x:c>
      <x:c r="J1472" s="440" t="n">
        <x:f>IF(ISNUMBER(L1471),L1471,"")</x:f>
        <x:v>0</x:v>
      </x:c>
      <x:c r="K1472" s="440" t="n">
        <x:f>IF(AND(ISNUMBER(J1472),J1472=0),0,IF(AND($B$176=1,ISNUMBER(J1472)),MIN(J1472*(1+$B$87/12),IF($B$86=0,0,IF($B$87=0,$B$86/ROUND($B$88*12,0),$B$86*($B$87/12)/(1-(1+$B$87/12)^(-ROUND($B$88*12,0)))))),""))</x:f>
        <x:v>0</x:v>
      </x:c>
      <x:c r="L1472" s="440" t="n">
        <x:f>IF(ISNUMBER(K1472),IF(MAX(0,J1472*(1+SUM($B$87)/12)-K1472)&lt;MAX(0.0000001,$B$86*0.00000000001),0,MAX(0,J1472*(1+SUM($B$87)/12)-K1472)),"")</x:f>
        <x:v>0</x:v>
      </x:c>
      <x:c r="M1472" s="440" t="n">
        <x:f>IF(AND(ISNUMBER(D1472),ISNUMBER(K1472)),D1472+K1472,"")</x:f>
        <x:v>0</x:v>
      </x:c>
      <x:c r="N1472" s="440" t="n">
        <x:f>IF(AND(ISNUMBER(H1472),ISNUMBER(L1472)),H1472+L1472,"")</x:f>
        <x:v>0</x:v>
      </x:c>
    </x:row>
    <x:row r="1473" ht="22" customHeight="1">
      <x:c r="A1473" s="254" t="n">
        <x:f>1073</x:f>
        <x:v>1073</x:v>
      </x:c>
      <x:c r="B1473" s="440" t="n">
        <x:f>IF(ISNUMBER(H1472),H1472,"")</x:f>
        <x:v>0</x:v>
      </x:c>
      <x:c r="C1473" s="442" t="n">
        <x:f>IF(ISNUMBER(B1473),IF(AND(1073&gt;$B$173,$B$78="Refinance",ISNUMBER($B$80),$B$80&gt;=0,$B$80&lt;=1,ROUND($B$81*12,0)&gt;=1,$B$81&lt;=100,SUM($B$82)&gt;=0,SUM($B$82)&lt;=1,SUM($B$83)&gt;=0),$B$80,IF(AND($B$175&gt;0,1073&gt;$B$175,ISNUMBER($B$75)),$B$75,$B$61)),"")</x:f>
        <x:v>0.0625</x:v>
      </x:c>
      <x:c r="D1473" s="440" t="n">
        <x:f>IF(AND(ISNUMBER(B1473),B1473=0),0,IF(AND($B$171=1,I1472=0,ISNUMBER(C1473),ISNUMBER(IF(AND(1073&lt;=$B$174,1073&lt;=$B$173),B1473*C1473/12,IF(AND(1073=$B$173+1,AND(1073&gt;$B$173,$B$78="Refinance",ISNUMBER($B$80),$B$80&gt;=0,$B$80&lt;=1,ROUND($B$81*12,0)&gt;=1,$B$81&lt;=100,SUM($B$82)&gt;=0,SUM($B$82)&lt;=1,SUM($B$83)&gt;=0)),IF(B1473=0,0,IF(C1473=0,B1473/ROUND($B$81*12,0),B1473*(C1473/12)/(1-(1+C1473/12)^(-ROUND($B$81*12,0))))),IF(AND(NOT(AND(1073&gt;$B$173,$B$78="Refinance",ISNUMBER($B$80),$B$80&gt;=0,$B$80&lt;=1,ROUND($B$81*12,0)&gt;=1,$B$81&lt;=100,SUM($B$82)&gt;=0,SUM($B$82)&lt;=1,SUM($B$83)&gt;=0)),OR(1073=1,1073=$B$174+1,AND($B$175&gt;0,1073=$B$175+1))),IF(AND($B$170=1,$B$66&gt;0,OR($B$175=0,1073&lt;=$B$175)),$B$66,IF($B$172-MAX(1073-1,$B$174)&gt;0,IF(B1473=0,0,IF(C1473=0,B1473/($B$172-MAX(1073-1,$B$174)),B1473*(C1473/12)/(1-(1+C1473/12)^(-($B$172-MAX(1073-1,$B$174)))))),"")),D1472))))),IF(IF(AND(1073&lt;=$B$174,1073&lt;=$B$173),B1473*C1473/12,IF(AND(1073=$B$173+1,AND(1073&gt;$B$173,$B$78="Refinance",ISNUMBER($B$80),$B$80&gt;=0,$B$80&lt;=1,ROUND($B$81*12,0)&gt;=1,$B$81&lt;=100,SUM($B$82)&gt;=0,SUM($B$82)&lt;=1,SUM($B$83)&gt;=0)),IF(B1473=0,0,IF(C1473=0,B1473/ROUND($B$81*12,0),B1473*(C1473/12)/(1-(1+C1473/12)^(-ROUND($B$81*12,0))))),IF(AND(NOT(AND(1073&gt;$B$173,$B$78="Refinance",ISNUMBER($B$80),$B$80&gt;=0,$B$80&lt;=1,ROUND($B$81*12,0)&gt;=1,$B$81&lt;=100,SUM($B$82)&gt;=0,SUM($B$82)&lt;=1,SUM($B$83)&gt;=0)),OR(1073=1,1073=$B$174+1,AND($B$175&gt;0,1073=$B$175+1))),IF(AND($B$170=1,$B$66&gt;0,OR($B$175=0,1073&lt;=$B$175)),$B$66,IF($B$172-MAX(1073-1,$B$174)&gt;0,IF(B1473=0,0,IF(C1473=0,B1473/($B$172-MAX(1073-1,$B$174)),B1473*(C1473/12)/(1-(1+C1473/12)^(-($B$172-MAX(1073-1,$B$174)))))),"")),D1472)))+0.0000001&gt;=B1473*C1473/12,MIN(B1473*(1+C1473/12),IF(AND(1073&lt;=$B$174,1073&lt;=$B$173),B1473*C1473/12,IF(AND(1073=$B$173+1,AND(1073&gt;$B$173,$B$78="Refinance",ISNUMBER($B$80),$B$80&gt;=0,$B$80&lt;=1,ROUND($B$81*12,0)&gt;=1,$B$81&lt;=100,SUM($B$82)&gt;=0,SUM($B$82)&lt;=1,SUM($B$83)&gt;=0)),IF(B1473=0,0,IF(C1473=0,B1473/ROUND($B$81*12,0),B1473*(C1473/12)/(1-(1+C1473/12)^(-ROUND($B$81*12,0))))),IF(AND(NOT(AND(1073&gt;$B$173,$B$78="Refinance",ISNUMBER($B$80),$B$80&gt;=0,$B$80&lt;=1,ROUND($B$81*12,0)&gt;=1,$B$81&lt;=100,SUM($B$82)&gt;=0,SUM($B$82)&lt;=1,SUM($B$83)&gt;=0)),OR(1073=1,1073=$B$174+1,AND($B$175&gt;0,1073=$B$175+1))),IF(AND($B$170=1,$B$66&gt;0,OR($B$175=0,1073&lt;=$B$175)),$B$66,IF($B$172-MAX(1073-1,$B$174)&gt;0,IF(B1473=0,0,IF(C1473=0,B1473/($B$172-MAX(1073-1,$B$174)),B1473*(C1473/12)/(1-(1+C1473/12)^(-($B$172-MAX(1073-1,$B$174)))))),"")),D1472)))),""),""))</x:f>
        <x:v>0</x:v>
      </x:c>
      <x:c r="E1473" s="440" t="n">
        <x:f>IF(AND(1073=$B$173,ISNUMBER(D1473)),IF(MAX(0,B1473*(1+C1473/12)-D1473)&lt;MAX(0.0000001,$E$17*0.00000000001),0,MAX(0,B1473*(1+C1473/12)-D1473)),0)</x:f>
        <x:v>0</x:v>
      </x:c>
      <x:c r="F1473" s="440" t="n">
        <x:f>IF($B$78="Cash payoff",E1473,0)</x:f>
        <x:v>0</x:v>
      </x:c>
      <x:c r="G1473" s="440" t="n">
        <x:f>IF(AND(E1473&gt;0,AND($B$78="Refinance",ISNUMBER($B$80),$B$80&gt;=0,$B$80&lt;=1,ROUND($B$81*12,0)&gt;=1,$B$81&lt;=100,SUM($B$82)&gt;=0,SUM($B$82)&lt;=1,SUM($B$83)&gt;=0)),E1473*SUM($B$82)+SUM($B$83),0)</x:f>
        <x:v>0</x:v>
      </x:c>
      <x:c r="H1473" s="440" t="n">
        <x:f>IF(ISNUMBER(D1473),IF(MAX(0,B1473*(1+C1473/12)-D1473-F1473)&lt;MAX(0.0000001,$E$17*0.00000000001),0,MAX(0,B1473*(1+C1473/12)-D1473-F1473)),IF(AND($B$171=1,I1472=1),B1473,""))</x:f>
        <x:v>0</x:v>
      </x:c>
      <x:c r="I1473" s="444" t="n">
        <x:f>IF(OR(I1472=1,AND(E1473&gt;0,$B$78&lt;&gt;"Cash payoff",NOT(AND($B$78="Refinance",ISNUMBER($B$80),$B$80&gt;=0,$B$80&lt;=1,ROUND($B$81*12,0)&gt;=1,$B$81&lt;=100,SUM($B$82)&gt;=0,SUM($B$82)&lt;=1,SUM($B$83)&gt;=0))),AND(ISNUMBER(B1473),B1473&gt;0,$B$171=1,NOT(ISNUMBER(D1473)))),1,0)</x:f>
        <x:v>0</x:v>
      </x:c>
      <x:c r="J1473" s="440" t="n">
        <x:f>IF(ISNUMBER(L1472),L1472,"")</x:f>
        <x:v>0</x:v>
      </x:c>
      <x:c r="K1473" s="440" t="n">
        <x:f>IF(AND(ISNUMBER(J1473),J1473=0),0,IF(AND($B$176=1,ISNUMBER(J1473)),MIN(J1473*(1+$B$87/12),IF($B$86=0,0,IF($B$87=0,$B$86/ROUND($B$88*12,0),$B$86*($B$87/12)/(1-(1+$B$87/12)^(-ROUND($B$88*12,0)))))),""))</x:f>
        <x:v>0</x:v>
      </x:c>
      <x:c r="L1473" s="440" t="n">
        <x:f>IF(ISNUMBER(K1473),IF(MAX(0,J1473*(1+SUM($B$87)/12)-K1473)&lt;MAX(0.0000001,$B$86*0.00000000001),0,MAX(0,J1473*(1+SUM($B$87)/12)-K1473)),"")</x:f>
        <x:v>0</x:v>
      </x:c>
      <x:c r="M1473" s="440" t="n">
        <x:f>IF(AND(ISNUMBER(D1473),ISNUMBER(K1473)),D1473+K1473,"")</x:f>
        <x:v>0</x:v>
      </x:c>
      <x:c r="N1473" s="440" t="n">
        <x:f>IF(AND(ISNUMBER(H1473),ISNUMBER(L1473)),H1473+L1473,"")</x:f>
        <x:v>0</x:v>
      </x:c>
    </x:row>
    <x:row r="1474" ht="22" customHeight="1">
      <x:c r="A1474" s="254" t="n">
        <x:f>1074</x:f>
        <x:v>1074</x:v>
      </x:c>
      <x:c r="B1474" s="440" t="n">
        <x:f>IF(ISNUMBER(H1473),H1473,"")</x:f>
        <x:v>0</x:v>
      </x:c>
      <x:c r="C1474" s="442" t="n">
        <x:f>IF(ISNUMBER(B1474),IF(AND(1074&gt;$B$173,$B$78="Refinance",ISNUMBER($B$80),$B$80&gt;=0,$B$80&lt;=1,ROUND($B$81*12,0)&gt;=1,$B$81&lt;=100,SUM($B$82)&gt;=0,SUM($B$82)&lt;=1,SUM($B$83)&gt;=0),$B$80,IF(AND($B$175&gt;0,1074&gt;$B$175,ISNUMBER($B$75)),$B$75,$B$61)),"")</x:f>
        <x:v>0.0625</x:v>
      </x:c>
      <x:c r="D1474" s="440" t="n">
        <x:f>IF(AND(ISNUMBER(B1474),B1474=0),0,IF(AND($B$171=1,I1473=0,ISNUMBER(C1474),ISNUMBER(IF(AND(1074&lt;=$B$174,1074&lt;=$B$173),B1474*C1474/12,IF(AND(1074=$B$173+1,AND(1074&gt;$B$173,$B$78="Refinance",ISNUMBER($B$80),$B$80&gt;=0,$B$80&lt;=1,ROUND($B$81*12,0)&gt;=1,$B$81&lt;=100,SUM($B$82)&gt;=0,SUM($B$82)&lt;=1,SUM($B$83)&gt;=0)),IF(B1474=0,0,IF(C1474=0,B1474/ROUND($B$81*12,0),B1474*(C1474/12)/(1-(1+C1474/12)^(-ROUND($B$81*12,0))))),IF(AND(NOT(AND(1074&gt;$B$173,$B$78="Refinance",ISNUMBER($B$80),$B$80&gt;=0,$B$80&lt;=1,ROUND($B$81*12,0)&gt;=1,$B$81&lt;=100,SUM($B$82)&gt;=0,SUM($B$82)&lt;=1,SUM($B$83)&gt;=0)),OR(1074=1,1074=$B$174+1,AND($B$175&gt;0,1074=$B$175+1))),IF(AND($B$170=1,$B$66&gt;0,OR($B$175=0,1074&lt;=$B$175)),$B$66,IF($B$172-MAX(1074-1,$B$174)&gt;0,IF(B1474=0,0,IF(C1474=0,B1474/($B$172-MAX(1074-1,$B$174)),B1474*(C1474/12)/(1-(1+C1474/12)^(-($B$172-MAX(1074-1,$B$174)))))),"")),D1473))))),IF(IF(AND(1074&lt;=$B$174,1074&lt;=$B$173),B1474*C1474/12,IF(AND(1074=$B$173+1,AND(1074&gt;$B$173,$B$78="Refinance",ISNUMBER($B$80),$B$80&gt;=0,$B$80&lt;=1,ROUND($B$81*12,0)&gt;=1,$B$81&lt;=100,SUM($B$82)&gt;=0,SUM($B$82)&lt;=1,SUM($B$83)&gt;=0)),IF(B1474=0,0,IF(C1474=0,B1474/ROUND($B$81*12,0),B1474*(C1474/12)/(1-(1+C1474/12)^(-ROUND($B$81*12,0))))),IF(AND(NOT(AND(1074&gt;$B$173,$B$78="Refinance",ISNUMBER($B$80),$B$80&gt;=0,$B$80&lt;=1,ROUND($B$81*12,0)&gt;=1,$B$81&lt;=100,SUM($B$82)&gt;=0,SUM($B$82)&lt;=1,SUM($B$83)&gt;=0)),OR(1074=1,1074=$B$174+1,AND($B$175&gt;0,1074=$B$175+1))),IF(AND($B$170=1,$B$66&gt;0,OR($B$175=0,1074&lt;=$B$175)),$B$66,IF($B$172-MAX(1074-1,$B$174)&gt;0,IF(B1474=0,0,IF(C1474=0,B1474/($B$172-MAX(1074-1,$B$174)),B1474*(C1474/12)/(1-(1+C1474/12)^(-($B$172-MAX(1074-1,$B$174)))))),"")),D1473)))+0.0000001&gt;=B1474*C1474/12,MIN(B1474*(1+C1474/12),IF(AND(1074&lt;=$B$174,1074&lt;=$B$173),B1474*C1474/12,IF(AND(1074=$B$173+1,AND(1074&gt;$B$173,$B$78="Refinance",ISNUMBER($B$80),$B$80&gt;=0,$B$80&lt;=1,ROUND($B$81*12,0)&gt;=1,$B$81&lt;=100,SUM($B$82)&gt;=0,SUM($B$82)&lt;=1,SUM($B$83)&gt;=0)),IF(B1474=0,0,IF(C1474=0,B1474/ROUND($B$81*12,0),B1474*(C1474/12)/(1-(1+C1474/12)^(-ROUND($B$81*12,0))))),IF(AND(NOT(AND(1074&gt;$B$173,$B$78="Refinance",ISNUMBER($B$80),$B$80&gt;=0,$B$80&lt;=1,ROUND($B$81*12,0)&gt;=1,$B$81&lt;=100,SUM($B$82)&gt;=0,SUM($B$82)&lt;=1,SUM($B$83)&gt;=0)),OR(1074=1,1074=$B$174+1,AND($B$175&gt;0,1074=$B$175+1))),IF(AND($B$170=1,$B$66&gt;0,OR($B$175=0,1074&lt;=$B$175)),$B$66,IF($B$172-MAX(1074-1,$B$174)&gt;0,IF(B1474=0,0,IF(C1474=0,B1474/($B$172-MAX(1074-1,$B$174)),B1474*(C1474/12)/(1-(1+C1474/12)^(-($B$172-MAX(1074-1,$B$174)))))),"")),D1473)))),""),""))</x:f>
        <x:v>0</x:v>
      </x:c>
      <x:c r="E1474" s="440" t="n">
        <x:f>IF(AND(1074=$B$173,ISNUMBER(D1474)),IF(MAX(0,B1474*(1+C1474/12)-D1474)&lt;MAX(0.0000001,$E$17*0.00000000001),0,MAX(0,B1474*(1+C1474/12)-D1474)),0)</x:f>
        <x:v>0</x:v>
      </x:c>
      <x:c r="F1474" s="440" t="n">
        <x:f>IF($B$78="Cash payoff",E1474,0)</x:f>
        <x:v>0</x:v>
      </x:c>
      <x:c r="G1474" s="440" t="n">
        <x:f>IF(AND(E1474&gt;0,AND($B$78="Refinance",ISNUMBER($B$80),$B$80&gt;=0,$B$80&lt;=1,ROUND($B$81*12,0)&gt;=1,$B$81&lt;=100,SUM($B$82)&gt;=0,SUM($B$82)&lt;=1,SUM($B$83)&gt;=0)),E1474*SUM($B$82)+SUM($B$83),0)</x:f>
        <x:v>0</x:v>
      </x:c>
      <x:c r="H1474" s="440" t="n">
        <x:f>IF(ISNUMBER(D1474),IF(MAX(0,B1474*(1+C1474/12)-D1474-F1474)&lt;MAX(0.0000001,$E$17*0.00000000001),0,MAX(0,B1474*(1+C1474/12)-D1474-F1474)),IF(AND($B$171=1,I1473=1),B1474,""))</x:f>
        <x:v>0</x:v>
      </x:c>
      <x:c r="I1474" s="444" t="n">
        <x:f>IF(OR(I1473=1,AND(E1474&gt;0,$B$78&lt;&gt;"Cash payoff",NOT(AND($B$78="Refinance",ISNUMBER($B$80),$B$80&gt;=0,$B$80&lt;=1,ROUND($B$81*12,0)&gt;=1,$B$81&lt;=100,SUM($B$82)&gt;=0,SUM($B$82)&lt;=1,SUM($B$83)&gt;=0))),AND(ISNUMBER(B1474),B1474&gt;0,$B$171=1,NOT(ISNUMBER(D1474)))),1,0)</x:f>
        <x:v>0</x:v>
      </x:c>
      <x:c r="J1474" s="440" t="n">
        <x:f>IF(ISNUMBER(L1473),L1473,"")</x:f>
        <x:v>0</x:v>
      </x:c>
      <x:c r="K1474" s="440" t="n">
        <x:f>IF(AND(ISNUMBER(J1474),J1474=0),0,IF(AND($B$176=1,ISNUMBER(J1474)),MIN(J1474*(1+$B$87/12),IF($B$86=0,0,IF($B$87=0,$B$86/ROUND($B$88*12,0),$B$86*($B$87/12)/(1-(1+$B$87/12)^(-ROUND($B$88*12,0)))))),""))</x:f>
        <x:v>0</x:v>
      </x:c>
      <x:c r="L1474" s="440" t="n">
        <x:f>IF(ISNUMBER(K1474),IF(MAX(0,J1474*(1+SUM($B$87)/12)-K1474)&lt;MAX(0.0000001,$B$86*0.00000000001),0,MAX(0,J1474*(1+SUM($B$87)/12)-K1474)),"")</x:f>
        <x:v>0</x:v>
      </x:c>
      <x:c r="M1474" s="440" t="n">
        <x:f>IF(AND(ISNUMBER(D1474),ISNUMBER(K1474)),D1474+K1474,"")</x:f>
        <x:v>0</x:v>
      </x:c>
      <x:c r="N1474" s="440" t="n">
        <x:f>IF(AND(ISNUMBER(H1474),ISNUMBER(L1474)),H1474+L1474,"")</x:f>
        <x:v>0</x:v>
      </x:c>
    </x:row>
    <x:row r="1475" ht="22" customHeight="1">
      <x:c r="A1475" s="254" t="n">
        <x:f>1075</x:f>
        <x:v>1075</x:v>
      </x:c>
      <x:c r="B1475" s="440" t="n">
        <x:f>IF(ISNUMBER(H1474),H1474,"")</x:f>
        <x:v>0</x:v>
      </x:c>
      <x:c r="C1475" s="442" t="n">
        <x:f>IF(ISNUMBER(B1475),IF(AND(1075&gt;$B$173,$B$78="Refinance",ISNUMBER($B$80),$B$80&gt;=0,$B$80&lt;=1,ROUND($B$81*12,0)&gt;=1,$B$81&lt;=100,SUM($B$82)&gt;=0,SUM($B$82)&lt;=1,SUM($B$83)&gt;=0),$B$80,IF(AND($B$175&gt;0,1075&gt;$B$175,ISNUMBER($B$75)),$B$75,$B$61)),"")</x:f>
        <x:v>0.0625</x:v>
      </x:c>
      <x:c r="D1475" s="440" t="n">
        <x:f>IF(AND(ISNUMBER(B1475),B1475=0),0,IF(AND($B$171=1,I1474=0,ISNUMBER(C1475),ISNUMBER(IF(AND(1075&lt;=$B$174,1075&lt;=$B$173),B1475*C1475/12,IF(AND(1075=$B$173+1,AND(1075&gt;$B$173,$B$78="Refinance",ISNUMBER($B$80),$B$80&gt;=0,$B$80&lt;=1,ROUND($B$81*12,0)&gt;=1,$B$81&lt;=100,SUM($B$82)&gt;=0,SUM($B$82)&lt;=1,SUM($B$83)&gt;=0)),IF(B1475=0,0,IF(C1475=0,B1475/ROUND($B$81*12,0),B1475*(C1475/12)/(1-(1+C1475/12)^(-ROUND($B$81*12,0))))),IF(AND(NOT(AND(1075&gt;$B$173,$B$78="Refinance",ISNUMBER($B$80),$B$80&gt;=0,$B$80&lt;=1,ROUND($B$81*12,0)&gt;=1,$B$81&lt;=100,SUM($B$82)&gt;=0,SUM($B$82)&lt;=1,SUM($B$83)&gt;=0)),OR(1075=1,1075=$B$174+1,AND($B$175&gt;0,1075=$B$175+1))),IF(AND($B$170=1,$B$66&gt;0,OR($B$175=0,1075&lt;=$B$175)),$B$66,IF($B$172-MAX(1075-1,$B$174)&gt;0,IF(B1475=0,0,IF(C1475=0,B1475/($B$172-MAX(1075-1,$B$174)),B1475*(C1475/12)/(1-(1+C1475/12)^(-($B$172-MAX(1075-1,$B$174)))))),"")),D1474))))),IF(IF(AND(1075&lt;=$B$174,1075&lt;=$B$173),B1475*C1475/12,IF(AND(1075=$B$173+1,AND(1075&gt;$B$173,$B$78="Refinance",ISNUMBER($B$80),$B$80&gt;=0,$B$80&lt;=1,ROUND($B$81*12,0)&gt;=1,$B$81&lt;=100,SUM($B$82)&gt;=0,SUM($B$82)&lt;=1,SUM($B$83)&gt;=0)),IF(B1475=0,0,IF(C1475=0,B1475/ROUND($B$81*12,0),B1475*(C1475/12)/(1-(1+C1475/12)^(-ROUND($B$81*12,0))))),IF(AND(NOT(AND(1075&gt;$B$173,$B$78="Refinance",ISNUMBER($B$80),$B$80&gt;=0,$B$80&lt;=1,ROUND($B$81*12,0)&gt;=1,$B$81&lt;=100,SUM($B$82)&gt;=0,SUM($B$82)&lt;=1,SUM($B$83)&gt;=0)),OR(1075=1,1075=$B$174+1,AND($B$175&gt;0,1075=$B$175+1))),IF(AND($B$170=1,$B$66&gt;0,OR($B$175=0,1075&lt;=$B$175)),$B$66,IF($B$172-MAX(1075-1,$B$174)&gt;0,IF(B1475=0,0,IF(C1475=0,B1475/($B$172-MAX(1075-1,$B$174)),B1475*(C1475/12)/(1-(1+C1475/12)^(-($B$172-MAX(1075-1,$B$174)))))),"")),D1474)))+0.0000001&gt;=B1475*C1475/12,MIN(B1475*(1+C1475/12),IF(AND(1075&lt;=$B$174,1075&lt;=$B$173),B1475*C1475/12,IF(AND(1075=$B$173+1,AND(1075&gt;$B$173,$B$78="Refinance",ISNUMBER($B$80),$B$80&gt;=0,$B$80&lt;=1,ROUND($B$81*12,0)&gt;=1,$B$81&lt;=100,SUM($B$82)&gt;=0,SUM($B$82)&lt;=1,SUM($B$83)&gt;=0)),IF(B1475=0,0,IF(C1475=0,B1475/ROUND($B$81*12,0),B1475*(C1475/12)/(1-(1+C1475/12)^(-ROUND($B$81*12,0))))),IF(AND(NOT(AND(1075&gt;$B$173,$B$78="Refinance",ISNUMBER($B$80),$B$80&gt;=0,$B$80&lt;=1,ROUND($B$81*12,0)&gt;=1,$B$81&lt;=100,SUM($B$82)&gt;=0,SUM($B$82)&lt;=1,SUM($B$83)&gt;=0)),OR(1075=1,1075=$B$174+1,AND($B$175&gt;0,1075=$B$175+1))),IF(AND($B$170=1,$B$66&gt;0,OR($B$175=0,1075&lt;=$B$175)),$B$66,IF($B$172-MAX(1075-1,$B$174)&gt;0,IF(B1475=0,0,IF(C1475=0,B1475/($B$172-MAX(1075-1,$B$174)),B1475*(C1475/12)/(1-(1+C1475/12)^(-($B$172-MAX(1075-1,$B$174)))))),"")),D1474)))),""),""))</x:f>
        <x:v>0</x:v>
      </x:c>
      <x:c r="E1475" s="440" t="n">
        <x:f>IF(AND(1075=$B$173,ISNUMBER(D1475)),IF(MAX(0,B1475*(1+C1475/12)-D1475)&lt;MAX(0.0000001,$E$17*0.00000000001),0,MAX(0,B1475*(1+C1475/12)-D1475)),0)</x:f>
        <x:v>0</x:v>
      </x:c>
      <x:c r="F1475" s="440" t="n">
        <x:f>IF($B$78="Cash payoff",E1475,0)</x:f>
        <x:v>0</x:v>
      </x:c>
      <x:c r="G1475" s="440" t="n">
        <x:f>IF(AND(E1475&gt;0,AND($B$78="Refinance",ISNUMBER($B$80),$B$80&gt;=0,$B$80&lt;=1,ROUND($B$81*12,0)&gt;=1,$B$81&lt;=100,SUM($B$82)&gt;=0,SUM($B$82)&lt;=1,SUM($B$83)&gt;=0)),E1475*SUM($B$82)+SUM($B$83),0)</x:f>
        <x:v>0</x:v>
      </x:c>
      <x:c r="H1475" s="440" t="n">
        <x:f>IF(ISNUMBER(D1475),IF(MAX(0,B1475*(1+C1475/12)-D1475-F1475)&lt;MAX(0.0000001,$E$17*0.00000000001),0,MAX(0,B1475*(1+C1475/12)-D1475-F1475)),IF(AND($B$171=1,I1474=1),B1475,""))</x:f>
        <x:v>0</x:v>
      </x:c>
      <x:c r="I1475" s="444" t="n">
        <x:f>IF(OR(I1474=1,AND(E1475&gt;0,$B$78&lt;&gt;"Cash payoff",NOT(AND($B$78="Refinance",ISNUMBER($B$80),$B$80&gt;=0,$B$80&lt;=1,ROUND($B$81*12,0)&gt;=1,$B$81&lt;=100,SUM($B$82)&gt;=0,SUM($B$82)&lt;=1,SUM($B$83)&gt;=0))),AND(ISNUMBER(B1475),B1475&gt;0,$B$171=1,NOT(ISNUMBER(D1475)))),1,0)</x:f>
        <x:v>0</x:v>
      </x:c>
      <x:c r="J1475" s="440" t="n">
        <x:f>IF(ISNUMBER(L1474),L1474,"")</x:f>
        <x:v>0</x:v>
      </x:c>
      <x:c r="K1475" s="440" t="n">
        <x:f>IF(AND(ISNUMBER(J1475),J1475=0),0,IF(AND($B$176=1,ISNUMBER(J1475)),MIN(J1475*(1+$B$87/12),IF($B$86=0,0,IF($B$87=0,$B$86/ROUND($B$88*12,0),$B$86*($B$87/12)/(1-(1+$B$87/12)^(-ROUND($B$88*12,0)))))),""))</x:f>
        <x:v>0</x:v>
      </x:c>
      <x:c r="L1475" s="440" t="n">
        <x:f>IF(ISNUMBER(K1475),IF(MAX(0,J1475*(1+SUM($B$87)/12)-K1475)&lt;MAX(0.0000001,$B$86*0.00000000001),0,MAX(0,J1475*(1+SUM($B$87)/12)-K1475)),"")</x:f>
        <x:v>0</x:v>
      </x:c>
      <x:c r="M1475" s="440" t="n">
        <x:f>IF(AND(ISNUMBER(D1475),ISNUMBER(K1475)),D1475+K1475,"")</x:f>
        <x:v>0</x:v>
      </x:c>
      <x:c r="N1475" s="440" t="n">
        <x:f>IF(AND(ISNUMBER(H1475),ISNUMBER(L1475)),H1475+L1475,"")</x:f>
        <x:v>0</x:v>
      </x:c>
    </x:row>
    <x:row r="1476" ht="22" customHeight="1">
      <x:c r="A1476" s="254" t="n">
        <x:f>1076</x:f>
        <x:v>1076</x:v>
      </x:c>
      <x:c r="B1476" s="440" t="n">
        <x:f>IF(ISNUMBER(H1475),H1475,"")</x:f>
        <x:v>0</x:v>
      </x:c>
      <x:c r="C1476" s="442" t="n">
        <x:f>IF(ISNUMBER(B1476),IF(AND(1076&gt;$B$173,$B$78="Refinance",ISNUMBER($B$80),$B$80&gt;=0,$B$80&lt;=1,ROUND($B$81*12,0)&gt;=1,$B$81&lt;=100,SUM($B$82)&gt;=0,SUM($B$82)&lt;=1,SUM($B$83)&gt;=0),$B$80,IF(AND($B$175&gt;0,1076&gt;$B$175,ISNUMBER($B$75)),$B$75,$B$61)),"")</x:f>
        <x:v>0.0625</x:v>
      </x:c>
      <x:c r="D1476" s="440" t="n">
        <x:f>IF(AND(ISNUMBER(B1476),B1476=0),0,IF(AND($B$171=1,I1475=0,ISNUMBER(C1476),ISNUMBER(IF(AND(1076&lt;=$B$174,1076&lt;=$B$173),B1476*C1476/12,IF(AND(1076=$B$173+1,AND(1076&gt;$B$173,$B$78="Refinance",ISNUMBER($B$80),$B$80&gt;=0,$B$80&lt;=1,ROUND($B$81*12,0)&gt;=1,$B$81&lt;=100,SUM($B$82)&gt;=0,SUM($B$82)&lt;=1,SUM($B$83)&gt;=0)),IF(B1476=0,0,IF(C1476=0,B1476/ROUND($B$81*12,0),B1476*(C1476/12)/(1-(1+C1476/12)^(-ROUND($B$81*12,0))))),IF(AND(NOT(AND(1076&gt;$B$173,$B$78="Refinance",ISNUMBER($B$80),$B$80&gt;=0,$B$80&lt;=1,ROUND($B$81*12,0)&gt;=1,$B$81&lt;=100,SUM($B$82)&gt;=0,SUM($B$82)&lt;=1,SUM($B$83)&gt;=0)),OR(1076=1,1076=$B$174+1,AND($B$175&gt;0,1076=$B$175+1))),IF(AND($B$170=1,$B$66&gt;0,OR($B$175=0,1076&lt;=$B$175)),$B$66,IF($B$172-MAX(1076-1,$B$174)&gt;0,IF(B1476=0,0,IF(C1476=0,B1476/($B$172-MAX(1076-1,$B$174)),B1476*(C1476/12)/(1-(1+C1476/12)^(-($B$172-MAX(1076-1,$B$174)))))),"")),D1475))))),IF(IF(AND(1076&lt;=$B$174,1076&lt;=$B$173),B1476*C1476/12,IF(AND(1076=$B$173+1,AND(1076&gt;$B$173,$B$78="Refinance",ISNUMBER($B$80),$B$80&gt;=0,$B$80&lt;=1,ROUND($B$81*12,0)&gt;=1,$B$81&lt;=100,SUM($B$82)&gt;=0,SUM($B$82)&lt;=1,SUM($B$83)&gt;=0)),IF(B1476=0,0,IF(C1476=0,B1476/ROUND($B$81*12,0),B1476*(C1476/12)/(1-(1+C1476/12)^(-ROUND($B$81*12,0))))),IF(AND(NOT(AND(1076&gt;$B$173,$B$78="Refinance",ISNUMBER($B$80),$B$80&gt;=0,$B$80&lt;=1,ROUND($B$81*12,0)&gt;=1,$B$81&lt;=100,SUM($B$82)&gt;=0,SUM($B$82)&lt;=1,SUM($B$83)&gt;=0)),OR(1076=1,1076=$B$174+1,AND($B$175&gt;0,1076=$B$175+1))),IF(AND($B$170=1,$B$66&gt;0,OR($B$175=0,1076&lt;=$B$175)),$B$66,IF($B$172-MAX(1076-1,$B$174)&gt;0,IF(B1476=0,0,IF(C1476=0,B1476/($B$172-MAX(1076-1,$B$174)),B1476*(C1476/12)/(1-(1+C1476/12)^(-($B$172-MAX(1076-1,$B$174)))))),"")),D1475)))+0.0000001&gt;=B1476*C1476/12,MIN(B1476*(1+C1476/12),IF(AND(1076&lt;=$B$174,1076&lt;=$B$173),B1476*C1476/12,IF(AND(1076=$B$173+1,AND(1076&gt;$B$173,$B$78="Refinance",ISNUMBER($B$80),$B$80&gt;=0,$B$80&lt;=1,ROUND($B$81*12,0)&gt;=1,$B$81&lt;=100,SUM($B$82)&gt;=0,SUM($B$82)&lt;=1,SUM($B$83)&gt;=0)),IF(B1476=0,0,IF(C1476=0,B1476/ROUND($B$81*12,0),B1476*(C1476/12)/(1-(1+C1476/12)^(-ROUND($B$81*12,0))))),IF(AND(NOT(AND(1076&gt;$B$173,$B$78="Refinance",ISNUMBER($B$80),$B$80&gt;=0,$B$80&lt;=1,ROUND($B$81*12,0)&gt;=1,$B$81&lt;=100,SUM($B$82)&gt;=0,SUM($B$82)&lt;=1,SUM($B$83)&gt;=0)),OR(1076=1,1076=$B$174+1,AND($B$175&gt;0,1076=$B$175+1))),IF(AND($B$170=1,$B$66&gt;0,OR($B$175=0,1076&lt;=$B$175)),$B$66,IF($B$172-MAX(1076-1,$B$174)&gt;0,IF(B1476=0,0,IF(C1476=0,B1476/($B$172-MAX(1076-1,$B$174)),B1476*(C1476/12)/(1-(1+C1476/12)^(-($B$172-MAX(1076-1,$B$174)))))),"")),D1475)))),""),""))</x:f>
        <x:v>0</x:v>
      </x:c>
      <x:c r="E1476" s="440" t="n">
        <x:f>IF(AND(1076=$B$173,ISNUMBER(D1476)),IF(MAX(0,B1476*(1+C1476/12)-D1476)&lt;MAX(0.0000001,$E$17*0.00000000001),0,MAX(0,B1476*(1+C1476/12)-D1476)),0)</x:f>
        <x:v>0</x:v>
      </x:c>
      <x:c r="F1476" s="440" t="n">
        <x:f>IF($B$78="Cash payoff",E1476,0)</x:f>
        <x:v>0</x:v>
      </x:c>
      <x:c r="G1476" s="440" t="n">
        <x:f>IF(AND(E1476&gt;0,AND($B$78="Refinance",ISNUMBER($B$80),$B$80&gt;=0,$B$80&lt;=1,ROUND($B$81*12,0)&gt;=1,$B$81&lt;=100,SUM($B$82)&gt;=0,SUM($B$82)&lt;=1,SUM($B$83)&gt;=0)),E1476*SUM($B$82)+SUM($B$83),0)</x:f>
        <x:v>0</x:v>
      </x:c>
      <x:c r="H1476" s="440" t="n">
        <x:f>IF(ISNUMBER(D1476),IF(MAX(0,B1476*(1+C1476/12)-D1476-F1476)&lt;MAX(0.0000001,$E$17*0.00000000001),0,MAX(0,B1476*(1+C1476/12)-D1476-F1476)),IF(AND($B$171=1,I1475=1),B1476,""))</x:f>
        <x:v>0</x:v>
      </x:c>
      <x:c r="I1476" s="444" t="n">
        <x:f>IF(OR(I1475=1,AND(E1476&gt;0,$B$78&lt;&gt;"Cash payoff",NOT(AND($B$78="Refinance",ISNUMBER($B$80),$B$80&gt;=0,$B$80&lt;=1,ROUND($B$81*12,0)&gt;=1,$B$81&lt;=100,SUM($B$82)&gt;=0,SUM($B$82)&lt;=1,SUM($B$83)&gt;=0))),AND(ISNUMBER(B1476),B1476&gt;0,$B$171=1,NOT(ISNUMBER(D1476)))),1,0)</x:f>
        <x:v>0</x:v>
      </x:c>
      <x:c r="J1476" s="440" t="n">
        <x:f>IF(ISNUMBER(L1475),L1475,"")</x:f>
        <x:v>0</x:v>
      </x:c>
      <x:c r="K1476" s="440" t="n">
        <x:f>IF(AND(ISNUMBER(J1476),J1476=0),0,IF(AND($B$176=1,ISNUMBER(J1476)),MIN(J1476*(1+$B$87/12),IF($B$86=0,0,IF($B$87=0,$B$86/ROUND($B$88*12,0),$B$86*($B$87/12)/(1-(1+$B$87/12)^(-ROUND($B$88*12,0)))))),""))</x:f>
        <x:v>0</x:v>
      </x:c>
      <x:c r="L1476" s="440" t="n">
        <x:f>IF(ISNUMBER(K1476),IF(MAX(0,J1476*(1+SUM($B$87)/12)-K1476)&lt;MAX(0.0000001,$B$86*0.00000000001),0,MAX(0,J1476*(1+SUM($B$87)/12)-K1476)),"")</x:f>
        <x:v>0</x:v>
      </x:c>
      <x:c r="M1476" s="440" t="n">
        <x:f>IF(AND(ISNUMBER(D1476),ISNUMBER(K1476)),D1476+K1476,"")</x:f>
        <x:v>0</x:v>
      </x:c>
      <x:c r="N1476" s="440" t="n">
        <x:f>IF(AND(ISNUMBER(H1476),ISNUMBER(L1476)),H1476+L1476,"")</x:f>
        <x:v>0</x:v>
      </x:c>
    </x:row>
    <x:row r="1477" ht="22" customHeight="1">
      <x:c r="A1477" s="254" t="n">
        <x:f>1077</x:f>
        <x:v>1077</x:v>
      </x:c>
      <x:c r="B1477" s="440" t="n">
        <x:f>IF(ISNUMBER(H1476),H1476,"")</x:f>
        <x:v>0</x:v>
      </x:c>
      <x:c r="C1477" s="442" t="n">
        <x:f>IF(ISNUMBER(B1477),IF(AND(1077&gt;$B$173,$B$78="Refinance",ISNUMBER($B$80),$B$80&gt;=0,$B$80&lt;=1,ROUND($B$81*12,0)&gt;=1,$B$81&lt;=100,SUM($B$82)&gt;=0,SUM($B$82)&lt;=1,SUM($B$83)&gt;=0),$B$80,IF(AND($B$175&gt;0,1077&gt;$B$175,ISNUMBER($B$75)),$B$75,$B$61)),"")</x:f>
        <x:v>0.0625</x:v>
      </x:c>
      <x:c r="D1477" s="440" t="n">
        <x:f>IF(AND(ISNUMBER(B1477),B1477=0),0,IF(AND($B$171=1,I1476=0,ISNUMBER(C1477),ISNUMBER(IF(AND(1077&lt;=$B$174,1077&lt;=$B$173),B1477*C1477/12,IF(AND(1077=$B$173+1,AND(1077&gt;$B$173,$B$78="Refinance",ISNUMBER($B$80),$B$80&gt;=0,$B$80&lt;=1,ROUND($B$81*12,0)&gt;=1,$B$81&lt;=100,SUM($B$82)&gt;=0,SUM($B$82)&lt;=1,SUM($B$83)&gt;=0)),IF(B1477=0,0,IF(C1477=0,B1477/ROUND($B$81*12,0),B1477*(C1477/12)/(1-(1+C1477/12)^(-ROUND($B$81*12,0))))),IF(AND(NOT(AND(1077&gt;$B$173,$B$78="Refinance",ISNUMBER($B$80),$B$80&gt;=0,$B$80&lt;=1,ROUND($B$81*12,0)&gt;=1,$B$81&lt;=100,SUM($B$82)&gt;=0,SUM($B$82)&lt;=1,SUM($B$83)&gt;=0)),OR(1077=1,1077=$B$174+1,AND($B$175&gt;0,1077=$B$175+1))),IF(AND($B$170=1,$B$66&gt;0,OR($B$175=0,1077&lt;=$B$175)),$B$66,IF($B$172-MAX(1077-1,$B$174)&gt;0,IF(B1477=0,0,IF(C1477=0,B1477/($B$172-MAX(1077-1,$B$174)),B1477*(C1477/12)/(1-(1+C1477/12)^(-($B$172-MAX(1077-1,$B$174)))))),"")),D1476))))),IF(IF(AND(1077&lt;=$B$174,1077&lt;=$B$173),B1477*C1477/12,IF(AND(1077=$B$173+1,AND(1077&gt;$B$173,$B$78="Refinance",ISNUMBER($B$80),$B$80&gt;=0,$B$80&lt;=1,ROUND($B$81*12,0)&gt;=1,$B$81&lt;=100,SUM($B$82)&gt;=0,SUM($B$82)&lt;=1,SUM($B$83)&gt;=0)),IF(B1477=0,0,IF(C1477=0,B1477/ROUND($B$81*12,0),B1477*(C1477/12)/(1-(1+C1477/12)^(-ROUND($B$81*12,0))))),IF(AND(NOT(AND(1077&gt;$B$173,$B$78="Refinance",ISNUMBER($B$80),$B$80&gt;=0,$B$80&lt;=1,ROUND($B$81*12,0)&gt;=1,$B$81&lt;=100,SUM($B$82)&gt;=0,SUM($B$82)&lt;=1,SUM($B$83)&gt;=0)),OR(1077=1,1077=$B$174+1,AND($B$175&gt;0,1077=$B$175+1))),IF(AND($B$170=1,$B$66&gt;0,OR($B$175=0,1077&lt;=$B$175)),$B$66,IF($B$172-MAX(1077-1,$B$174)&gt;0,IF(B1477=0,0,IF(C1477=0,B1477/($B$172-MAX(1077-1,$B$174)),B1477*(C1477/12)/(1-(1+C1477/12)^(-($B$172-MAX(1077-1,$B$174)))))),"")),D1476)))+0.0000001&gt;=B1477*C1477/12,MIN(B1477*(1+C1477/12),IF(AND(1077&lt;=$B$174,1077&lt;=$B$173),B1477*C1477/12,IF(AND(1077=$B$173+1,AND(1077&gt;$B$173,$B$78="Refinance",ISNUMBER($B$80),$B$80&gt;=0,$B$80&lt;=1,ROUND($B$81*12,0)&gt;=1,$B$81&lt;=100,SUM($B$82)&gt;=0,SUM($B$82)&lt;=1,SUM($B$83)&gt;=0)),IF(B1477=0,0,IF(C1477=0,B1477/ROUND($B$81*12,0),B1477*(C1477/12)/(1-(1+C1477/12)^(-ROUND($B$81*12,0))))),IF(AND(NOT(AND(1077&gt;$B$173,$B$78="Refinance",ISNUMBER($B$80),$B$80&gt;=0,$B$80&lt;=1,ROUND($B$81*12,0)&gt;=1,$B$81&lt;=100,SUM($B$82)&gt;=0,SUM($B$82)&lt;=1,SUM($B$83)&gt;=0)),OR(1077=1,1077=$B$174+1,AND($B$175&gt;0,1077=$B$175+1))),IF(AND($B$170=1,$B$66&gt;0,OR($B$175=0,1077&lt;=$B$175)),$B$66,IF($B$172-MAX(1077-1,$B$174)&gt;0,IF(B1477=0,0,IF(C1477=0,B1477/($B$172-MAX(1077-1,$B$174)),B1477*(C1477/12)/(1-(1+C1477/12)^(-($B$172-MAX(1077-1,$B$174)))))),"")),D1476)))),""),""))</x:f>
        <x:v>0</x:v>
      </x:c>
      <x:c r="E1477" s="440" t="n">
        <x:f>IF(AND(1077=$B$173,ISNUMBER(D1477)),IF(MAX(0,B1477*(1+C1477/12)-D1477)&lt;MAX(0.0000001,$E$17*0.00000000001),0,MAX(0,B1477*(1+C1477/12)-D1477)),0)</x:f>
        <x:v>0</x:v>
      </x:c>
      <x:c r="F1477" s="440" t="n">
        <x:f>IF($B$78="Cash payoff",E1477,0)</x:f>
        <x:v>0</x:v>
      </x:c>
      <x:c r="G1477" s="440" t="n">
        <x:f>IF(AND(E1477&gt;0,AND($B$78="Refinance",ISNUMBER($B$80),$B$80&gt;=0,$B$80&lt;=1,ROUND($B$81*12,0)&gt;=1,$B$81&lt;=100,SUM($B$82)&gt;=0,SUM($B$82)&lt;=1,SUM($B$83)&gt;=0)),E1477*SUM($B$82)+SUM($B$83),0)</x:f>
        <x:v>0</x:v>
      </x:c>
      <x:c r="H1477" s="440" t="n">
        <x:f>IF(ISNUMBER(D1477),IF(MAX(0,B1477*(1+C1477/12)-D1477-F1477)&lt;MAX(0.0000001,$E$17*0.00000000001),0,MAX(0,B1477*(1+C1477/12)-D1477-F1477)),IF(AND($B$171=1,I1476=1),B1477,""))</x:f>
        <x:v>0</x:v>
      </x:c>
      <x:c r="I1477" s="444" t="n">
        <x:f>IF(OR(I1476=1,AND(E1477&gt;0,$B$78&lt;&gt;"Cash payoff",NOT(AND($B$78="Refinance",ISNUMBER($B$80),$B$80&gt;=0,$B$80&lt;=1,ROUND($B$81*12,0)&gt;=1,$B$81&lt;=100,SUM($B$82)&gt;=0,SUM($B$82)&lt;=1,SUM($B$83)&gt;=0))),AND(ISNUMBER(B1477),B1477&gt;0,$B$171=1,NOT(ISNUMBER(D1477)))),1,0)</x:f>
        <x:v>0</x:v>
      </x:c>
      <x:c r="J1477" s="440" t="n">
        <x:f>IF(ISNUMBER(L1476),L1476,"")</x:f>
        <x:v>0</x:v>
      </x:c>
      <x:c r="K1477" s="440" t="n">
        <x:f>IF(AND(ISNUMBER(J1477),J1477=0),0,IF(AND($B$176=1,ISNUMBER(J1477)),MIN(J1477*(1+$B$87/12),IF($B$86=0,0,IF($B$87=0,$B$86/ROUND($B$88*12,0),$B$86*($B$87/12)/(1-(1+$B$87/12)^(-ROUND($B$88*12,0)))))),""))</x:f>
        <x:v>0</x:v>
      </x:c>
      <x:c r="L1477" s="440" t="n">
        <x:f>IF(ISNUMBER(K1477),IF(MAX(0,J1477*(1+SUM($B$87)/12)-K1477)&lt;MAX(0.0000001,$B$86*0.00000000001),0,MAX(0,J1477*(1+SUM($B$87)/12)-K1477)),"")</x:f>
        <x:v>0</x:v>
      </x:c>
      <x:c r="M1477" s="440" t="n">
        <x:f>IF(AND(ISNUMBER(D1477),ISNUMBER(K1477)),D1477+K1477,"")</x:f>
        <x:v>0</x:v>
      </x:c>
      <x:c r="N1477" s="440" t="n">
        <x:f>IF(AND(ISNUMBER(H1477),ISNUMBER(L1477)),H1477+L1477,"")</x:f>
        <x:v>0</x:v>
      </x:c>
    </x:row>
    <x:row r="1478" ht="22" customHeight="1">
      <x:c r="A1478" s="254" t="n">
        <x:f>1078</x:f>
        <x:v>1078</x:v>
      </x:c>
      <x:c r="B1478" s="440" t="n">
        <x:f>IF(ISNUMBER(H1477),H1477,"")</x:f>
        <x:v>0</x:v>
      </x:c>
      <x:c r="C1478" s="442" t="n">
        <x:f>IF(ISNUMBER(B1478),IF(AND(1078&gt;$B$173,$B$78="Refinance",ISNUMBER($B$80),$B$80&gt;=0,$B$80&lt;=1,ROUND($B$81*12,0)&gt;=1,$B$81&lt;=100,SUM($B$82)&gt;=0,SUM($B$82)&lt;=1,SUM($B$83)&gt;=0),$B$80,IF(AND($B$175&gt;0,1078&gt;$B$175,ISNUMBER($B$75)),$B$75,$B$61)),"")</x:f>
        <x:v>0.0625</x:v>
      </x:c>
      <x:c r="D1478" s="440" t="n">
        <x:f>IF(AND(ISNUMBER(B1478),B1478=0),0,IF(AND($B$171=1,I1477=0,ISNUMBER(C1478),ISNUMBER(IF(AND(1078&lt;=$B$174,1078&lt;=$B$173),B1478*C1478/12,IF(AND(1078=$B$173+1,AND(1078&gt;$B$173,$B$78="Refinance",ISNUMBER($B$80),$B$80&gt;=0,$B$80&lt;=1,ROUND($B$81*12,0)&gt;=1,$B$81&lt;=100,SUM($B$82)&gt;=0,SUM($B$82)&lt;=1,SUM($B$83)&gt;=0)),IF(B1478=0,0,IF(C1478=0,B1478/ROUND($B$81*12,0),B1478*(C1478/12)/(1-(1+C1478/12)^(-ROUND($B$81*12,0))))),IF(AND(NOT(AND(1078&gt;$B$173,$B$78="Refinance",ISNUMBER($B$80),$B$80&gt;=0,$B$80&lt;=1,ROUND($B$81*12,0)&gt;=1,$B$81&lt;=100,SUM($B$82)&gt;=0,SUM($B$82)&lt;=1,SUM($B$83)&gt;=0)),OR(1078=1,1078=$B$174+1,AND($B$175&gt;0,1078=$B$175+1))),IF(AND($B$170=1,$B$66&gt;0,OR($B$175=0,1078&lt;=$B$175)),$B$66,IF($B$172-MAX(1078-1,$B$174)&gt;0,IF(B1478=0,0,IF(C1478=0,B1478/($B$172-MAX(1078-1,$B$174)),B1478*(C1478/12)/(1-(1+C1478/12)^(-($B$172-MAX(1078-1,$B$174)))))),"")),D1477))))),IF(IF(AND(1078&lt;=$B$174,1078&lt;=$B$173),B1478*C1478/12,IF(AND(1078=$B$173+1,AND(1078&gt;$B$173,$B$78="Refinance",ISNUMBER($B$80),$B$80&gt;=0,$B$80&lt;=1,ROUND($B$81*12,0)&gt;=1,$B$81&lt;=100,SUM($B$82)&gt;=0,SUM($B$82)&lt;=1,SUM($B$83)&gt;=0)),IF(B1478=0,0,IF(C1478=0,B1478/ROUND($B$81*12,0),B1478*(C1478/12)/(1-(1+C1478/12)^(-ROUND($B$81*12,0))))),IF(AND(NOT(AND(1078&gt;$B$173,$B$78="Refinance",ISNUMBER($B$80),$B$80&gt;=0,$B$80&lt;=1,ROUND($B$81*12,0)&gt;=1,$B$81&lt;=100,SUM($B$82)&gt;=0,SUM($B$82)&lt;=1,SUM($B$83)&gt;=0)),OR(1078=1,1078=$B$174+1,AND($B$175&gt;0,1078=$B$175+1))),IF(AND($B$170=1,$B$66&gt;0,OR($B$175=0,1078&lt;=$B$175)),$B$66,IF($B$172-MAX(1078-1,$B$174)&gt;0,IF(B1478=0,0,IF(C1478=0,B1478/($B$172-MAX(1078-1,$B$174)),B1478*(C1478/12)/(1-(1+C1478/12)^(-($B$172-MAX(1078-1,$B$174)))))),"")),D1477)))+0.0000001&gt;=B1478*C1478/12,MIN(B1478*(1+C1478/12),IF(AND(1078&lt;=$B$174,1078&lt;=$B$173),B1478*C1478/12,IF(AND(1078=$B$173+1,AND(1078&gt;$B$173,$B$78="Refinance",ISNUMBER($B$80),$B$80&gt;=0,$B$80&lt;=1,ROUND($B$81*12,0)&gt;=1,$B$81&lt;=100,SUM($B$82)&gt;=0,SUM($B$82)&lt;=1,SUM($B$83)&gt;=0)),IF(B1478=0,0,IF(C1478=0,B1478/ROUND($B$81*12,0),B1478*(C1478/12)/(1-(1+C1478/12)^(-ROUND($B$81*12,0))))),IF(AND(NOT(AND(1078&gt;$B$173,$B$78="Refinance",ISNUMBER($B$80),$B$80&gt;=0,$B$80&lt;=1,ROUND($B$81*12,0)&gt;=1,$B$81&lt;=100,SUM($B$82)&gt;=0,SUM($B$82)&lt;=1,SUM($B$83)&gt;=0)),OR(1078=1,1078=$B$174+1,AND($B$175&gt;0,1078=$B$175+1))),IF(AND($B$170=1,$B$66&gt;0,OR($B$175=0,1078&lt;=$B$175)),$B$66,IF($B$172-MAX(1078-1,$B$174)&gt;0,IF(B1478=0,0,IF(C1478=0,B1478/($B$172-MAX(1078-1,$B$174)),B1478*(C1478/12)/(1-(1+C1478/12)^(-($B$172-MAX(1078-1,$B$174)))))),"")),D1477)))),""),""))</x:f>
        <x:v>0</x:v>
      </x:c>
      <x:c r="E1478" s="440" t="n">
        <x:f>IF(AND(1078=$B$173,ISNUMBER(D1478)),IF(MAX(0,B1478*(1+C1478/12)-D1478)&lt;MAX(0.0000001,$E$17*0.00000000001),0,MAX(0,B1478*(1+C1478/12)-D1478)),0)</x:f>
        <x:v>0</x:v>
      </x:c>
      <x:c r="F1478" s="440" t="n">
        <x:f>IF($B$78="Cash payoff",E1478,0)</x:f>
        <x:v>0</x:v>
      </x:c>
      <x:c r="G1478" s="440" t="n">
        <x:f>IF(AND(E1478&gt;0,AND($B$78="Refinance",ISNUMBER($B$80),$B$80&gt;=0,$B$80&lt;=1,ROUND($B$81*12,0)&gt;=1,$B$81&lt;=100,SUM($B$82)&gt;=0,SUM($B$82)&lt;=1,SUM($B$83)&gt;=0)),E1478*SUM($B$82)+SUM($B$83),0)</x:f>
        <x:v>0</x:v>
      </x:c>
      <x:c r="H1478" s="440" t="n">
        <x:f>IF(ISNUMBER(D1478),IF(MAX(0,B1478*(1+C1478/12)-D1478-F1478)&lt;MAX(0.0000001,$E$17*0.00000000001),0,MAX(0,B1478*(1+C1478/12)-D1478-F1478)),IF(AND($B$171=1,I1477=1),B1478,""))</x:f>
        <x:v>0</x:v>
      </x:c>
      <x:c r="I1478" s="444" t="n">
        <x:f>IF(OR(I1477=1,AND(E1478&gt;0,$B$78&lt;&gt;"Cash payoff",NOT(AND($B$78="Refinance",ISNUMBER($B$80),$B$80&gt;=0,$B$80&lt;=1,ROUND($B$81*12,0)&gt;=1,$B$81&lt;=100,SUM($B$82)&gt;=0,SUM($B$82)&lt;=1,SUM($B$83)&gt;=0))),AND(ISNUMBER(B1478),B1478&gt;0,$B$171=1,NOT(ISNUMBER(D1478)))),1,0)</x:f>
        <x:v>0</x:v>
      </x:c>
      <x:c r="J1478" s="440" t="n">
        <x:f>IF(ISNUMBER(L1477),L1477,"")</x:f>
        <x:v>0</x:v>
      </x:c>
      <x:c r="K1478" s="440" t="n">
        <x:f>IF(AND(ISNUMBER(J1478),J1478=0),0,IF(AND($B$176=1,ISNUMBER(J1478)),MIN(J1478*(1+$B$87/12),IF($B$86=0,0,IF($B$87=0,$B$86/ROUND($B$88*12,0),$B$86*($B$87/12)/(1-(1+$B$87/12)^(-ROUND($B$88*12,0)))))),""))</x:f>
        <x:v>0</x:v>
      </x:c>
      <x:c r="L1478" s="440" t="n">
        <x:f>IF(ISNUMBER(K1478),IF(MAX(0,J1478*(1+SUM($B$87)/12)-K1478)&lt;MAX(0.0000001,$B$86*0.00000000001),0,MAX(0,J1478*(1+SUM($B$87)/12)-K1478)),"")</x:f>
        <x:v>0</x:v>
      </x:c>
      <x:c r="M1478" s="440" t="n">
        <x:f>IF(AND(ISNUMBER(D1478),ISNUMBER(K1478)),D1478+K1478,"")</x:f>
        <x:v>0</x:v>
      </x:c>
      <x:c r="N1478" s="440" t="n">
        <x:f>IF(AND(ISNUMBER(H1478),ISNUMBER(L1478)),H1478+L1478,"")</x:f>
        <x:v>0</x:v>
      </x:c>
    </x:row>
    <x:row r="1479" ht="22" customHeight="1">
      <x:c r="A1479" s="254" t="n">
        <x:f>1079</x:f>
        <x:v>1079</x:v>
      </x:c>
      <x:c r="B1479" s="440" t="n">
        <x:f>IF(ISNUMBER(H1478),H1478,"")</x:f>
        <x:v>0</x:v>
      </x:c>
      <x:c r="C1479" s="442" t="n">
        <x:f>IF(ISNUMBER(B1479),IF(AND(1079&gt;$B$173,$B$78="Refinance",ISNUMBER($B$80),$B$80&gt;=0,$B$80&lt;=1,ROUND($B$81*12,0)&gt;=1,$B$81&lt;=100,SUM($B$82)&gt;=0,SUM($B$82)&lt;=1,SUM($B$83)&gt;=0),$B$80,IF(AND($B$175&gt;0,1079&gt;$B$175,ISNUMBER($B$75)),$B$75,$B$61)),"")</x:f>
        <x:v>0.0625</x:v>
      </x:c>
      <x:c r="D1479" s="440" t="n">
        <x:f>IF(AND(ISNUMBER(B1479),B1479=0),0,IF(AND($B$171=1,I1478=0,ISNUMBER(C1479),ISNUMBER(IF(AND(1079&lt;=$B$174,1079&lt;=$B$173),B1479*C1479/12,IF(AND(1079=$B$173+1,AND(1079&gt;$B$173,$B$78="Refinance",ISNUMBER($B$80),$B$80&gt;=0,$B$80&lt;=1,ROUND($B$81*12,0)&gt;=1,$B$81&lt;=100,SUM($B$82)&gt;=0,SUM($B$82)&lt;=1,SUM($B$83)&gt;=0)),IF(B1479=0,0,IF(C1479=0,B1479/ROUND($B$81*12,0),B1479*(C1479/12)/(1-(1+C1479/12)^(-ROUND($B$81*12,0))))),IF(AND(NOT(AND(1079&gt;$B$173,$B$78="Refinance",ISNUMBER($B$80),$B$80&gt;=0,$B$80&lt;=1,ROUND($B$81*12,0)&gt;=1,$B$81&lt;=100,SUM($B$82)&gt;=0,SUM($B$82)&lt;=1,SUM($B$83)&gt;=0)),OR(1079=1,1079=$B$174+1,AND($B$175&gt;0,1079=$B$175+1))),IF(AND($B$170=1,$B$66&gt;0,OR($B$175=0,1079&lt;=$B$175)),$B$66,IF($B$172-MAX(1079-1,$B$174)&gt;0,IF(B1479=0,0,IF(C1479=0,B1479/($B$172-MAX(1079-1,$B$174)),B1479*(C1479/12)/(1-(1+C1479/12)^(-($B$172-MAX(1079-1,$B$174)))))),"")),D1478))))),IF(IF(AND(1079&lt;=$B$174,1079&lt;=$B$173),B1479*C1479/12,IF(AND(1079=$B$173+1,AND(1079&gt;$B$173,$B$78="Refinance",ISNUMBER($B$80),$B$80&gt;=0,$B$80&lt;=1,ROUND($B$81*12,0)&gt;=1,$B$81&lt;=100,SUM($B$82)&gt;=0,SUM($B$82)&lt;=1,SUM($B$83)&gt;=0)),IF(B1479=0,0,IF(C1479=0,B1479/ROUND($B$81*12,0),B1479*(C1479/12)/(1-(1+C1479/12)^(-ROUND($B$81*12,0))))),IF(AND(NOT(AND(1079&gt;$B$173,$B$78="Refinance",ISNUMBER($B$80),$B$80&gt;=0,$B$80&lt;=1,ROUND($B$81*12,0)&gt;=1,$B$81&lt;=100,SUM($B$82)&gt;=0,SUM($B$82)&lt;=1,SUM($B$83)&gt;=0)),OR(1079=1,1079=$B$174+1,AND($B$175&gt;0,1079=$B$175+1))),IF(AND($B$170=1,$B$66&gt;0,OR($B$175=0,1079&lt;=$B$175)),$B$66,IF($B$172-MAX(1079-1,$B$174)&gt;0,IF(B1479=0,0,IF(C1479=0,B1479/($B$172-MAX(1079-1,$B$174)),B1479*(C1479/12)/(1-(1+C1479/12)^(-($B$172-MAX(1079-1,$B$174)))))),"")),D1478)))+0.0000001&gt;=B1479*C1479/12,MIN(B1479*(1+C1479/12),IF(AND(1079&lt;=$B$174,1079&lt;=$B$173),B1479*C1479/12,IF(AND(1079=$B$173+1,AND(1079&gt;$B$173,$B$78="Refinance",ISNUMBER($B$80),$B$80&gt;=0,$B$80&lt;=1,ROUND($B$81*12,0)&gt;=1,$B$81&lt;=100,SUM($B$82)&gt;=0,SUM($B$82)&lt;=1,SUM($B$83)&gt;=0)),IF(B1479=0,0,IF(C1479=0,B1479/ROUND($B$81*12,0),B1479*(C1479/12)/(1-(1+C1479/12)^(-ROUND($B$81*12,0))))),IF(AND(NOT(AND(1079&gt;$B$173,$B$78="Refinance",ISNUMBER($B$80),$B$80&gt;=0,$B$80&lt;=1,ROUND($B$81*12,0)&gt;=1,$B$81&lt;=100,SUM($B$82)&gt;=0,SUM($B$82)&lt;=1,SUM($B$83)&gt;=0)),OR(1079=1,1079=$B$174+1,AND($B$175&gt;0,1079=$B$175+1))),IF(AND($B$170=1,$B$66&gt;0,OR($B$175=0,1079&lt;=$B$175)),$B$66,IF($B$172-MAX(1079-1,$B$174)&gt;0,IF(B1479=0,0,IF(C1479=0,B1479/($B$172-MAX(1079-1,$B$174)),B1479*(C1479/12)/(1-(1+C1479/12)^(-($B$172-MAX(1079-1,$B$174)))))),"")),D1478)))),""),""))</x:f>
        <x:v>0</x:v>
      </x:c>
      <x:c r="E1479" s="440" t="n">
        <x:f>IF(AND(1079=$B$173,ISNUMBER(D1479)),IF(MAX(0,B1479*(1+C1479/12)-D1479)&lt;MAX(0.0000001,$E$17*0.00000000001),0,MAX(0,B1479*(1+C1479/12)-D1479)),0)</x:f>
        <x:v>0</x:v>
      </x:c>
      <x:c r="F1479" s="440" t="n">
        <x:f>IF($B$78="Cash payoff",E1479,0)</x:f>
        <x:v>0</x:v>
      </x:c>
      <x:c r="G1479" s="440" t="n">
        <x:f>IF(AND(E1479&gt;0,AND($B$78="Refinance",ISNUMBER($B$80),$B$80&gt;=0,$B$80&lt;=1,ROUND($B$81*12,0)&gt;=1,$B$81&lt;=100,SUM($B$82)&gt;=0,SUM($B$82)&lt;=1,SUM($B$83)&gt;=0)),E1479*SUM($B$82)+SUM($B$83),0)</x:f>
        <x:v>0</x:v>
      </x:c>
      <x:c r="H1479" s="440" t="n">
        <x:f>IF(ISNUMBER(D1479),IF(MAX(0,B1479*(1+C1479/12)-D1479-F1479)&lt;MAX(0.0000001,$E$17*0.00000000001),0,MAX(0,B1479*(1+C1479/12)-D1479-F1479)),IF(AND($B$171=1,I1478=1),B1479,""))</x:f>
        <x:v>0</x:v>
      </x:c>
      <x:c r="I1479" s="444" t="n">
        <x:f>IF(OR(I1478=1,AND(E1479&gt;0,$B$78&lt;&gt;"Cash payoff",NOT(AND($B$78="Refinance",ISNUMBER($B$80),$B$80&gt;=0,$B$80&lt;=1,ROUND($B$81*12,0)&gt;=1,$B$81&lt;=100,SUM($B$82)&gt;=0,SUM($B$82)&lt;=1,SUM($B$83)&gt;=0))),AND(ISNUMBER(B1479),B1479&gt;0,$B$171=1,NOT(ISNUMBER(D1479)))),1,0)</x:f>
        <x:v>0</x:v>
      </x:c>
      <x:c r="J1479" s="440" t="n">
        <x:f>IF(ISNUMBER(L1478),L1478,"")</x:f>
        <x:v>0</x:v>
      </x:c>
      <x:c r="K1479" s="440" t="n">
        <x:f>IF(AND(ISNUMBER(J1479),J1479=0),0,IF(AND($B$176=1,ISNUMBER(J1479)),MIN(J1479*(1+$B$87/12),IF($B$86=0,0,IF($B$87=0,$B$86/ROUND($B$88*12,0),$B$86*($B$87/12)/(1-(1+$B$87/12)^(-ROUND($B$88*12,0)))))),""))</x:f>
        <x:v>0</x:v>
      </x:c>
      <x:c r="L1479" s="440" t="n">
        <x:f>IF(ISNUMBER(K1479),IF(MAX(0,J1479*(1+SUM($B$87)/12)-K1479)&lt;MAX(0.0000001,$B$86*0.00000000001),0,MAX(0,J1479*(1+SUM($B$87)/12)-K1479)),"")</x:f>
        <x:v>0</x:v>
      </x:c>
      <x:c r="M1479" s="440" t="n">
        <x:f>IF(AND(ISNUMBER(D1479),ISNUMBER(K1479)),D1479+K1479,"")</x:f>
        <x:v>0</x:v>
      </x:c>
      <x:c r="N1479" s="440" t="n">
        <x:f>IF(AND(ISNUMBER(H1479),ISNUMBER(L1479)),H1479+L1479,"")</x:f>
        <x:v>0</x:v>
      </x:c>
    </x:row>
    <x:row r="1480" ht="22" customHeight="1">
      <x:c r="A1480" s="254" t="n">
        <x:f>1080</x:f>
        <x:v>1080</x:v>
      </x:c>
      <x:c r="B1480" s="440" t="n">
        <x:f>IF(ISNUMBER(H1479),H1479,"")</x:f>
        <x:v>0</x:v>
      </x:c>
      <x:c r="C1480" s="442" t="n">
        <x:f>IF(ISNUMBER(B1480),IF(AND(1080&gt;$B$173,$B$78="Refinance",ISNUMBER($B$80),$B$80&gt;=0,$B$80&lt;=1,ROUND($B$81*12,0)&gt;=1,$B$81&lt;=100,SUM($B$82)&gt;=0,SUM($B$82)&lt;=1,SUM($B$83)&gt;=0),$B$80,IF(AND($B$175&gt;0,1080&gt;$B$175,ISNUMBER($B$75)),$B$75,$B$61)),"")</x:f>
        <x:v>0.0625</x:v>
      </x:c>
      <x:c r="D1480" s="440" t="n">
        <x:f>IF(AND(ISNUMBER(B1480),B1480=0),0,IF(AND($B$171=1,I1479=0,ISNUMBER(C1480),ISNUMBER(IF(AND(1080&lt;=$B$174,1080&lt;=$B$173),B1480*C1480/12,IF(AND(1080=$B$173+1,AND(1080&gt;$B$173,$B$78="Refinance",ISNUMBER($B$80),$B$80&gt;=0,$B$80&lt;=1,ROUND($B$81*12,0)&gt;=1,$B$81&lt;=100,SUM($B$82)&gt;=0,SUM($B$82)&lt;=1,SUM($B$83)&gt;=0)),IF(B1480=0,0,IF(C1480=0,B1480/ROUND($B$81*12,0),B1480*(C1480/12)/(1-(1+C1480/12)^(-ROUND($B$81*12,0))))),IF(AND(NOT(AND(1080&gt;$B$173,$B$78="Refinance",ISNUMBER($B$80),$B$80&gt;=0,$B$80&lt;=1,ROUND($B$81*12,0)&gt;=1,$B$81&lt;=100,SUM($B$82)&gt;=0,SUM($B$82)&lt;=1,SUM($B$83)&gt;=0)),OR(1080=1,1080=$B$174+1,AND($B$175&gt;0,1080=$B$175+1))),IF(AND($B$170=1,$B$66&gt;0,OR($B$175=0,1080&lt;=$B$175)),$B$66,IF($B$172-MAX(1080-1,$B$174)&gt;0,IF(B1480=0,0,IF(C1480=0,B1480/($B$172-MAX(1080-1,$B$174)),B1480*(C1480/12)/(1-(1+C1480/12)^(-($B$172-MAX(1080-1,$B$174)))))),"")),D1479))))),IF(IF(AND(1080&lt;=$B$174,1080&lt;=$B$173),B1480*C1480/12,IF(AND(1080=$B$173+1,AND(1080&gt;$B$173,$B$78="Refinance",ISNUMBER($B$80),$B$80&gt;=0,$B$80&lt;=1,ROUND($B$81*12,0)&gt;=1,$B$81&lt;=100,SUM($B$82)&gt;=0,SUM($B$82)&lt;=1,SUM($B$83)&gt;=0)),IF(B1480=0,0,IF(C1480=0,B1480/ROUND($B$81*12,0),B1480*(C1480/12)/(1-(1+C1480/12)^(-ROUND($B$81*12,0))))),IF(AND(NOT(AND(1080&gt;$B$173,$B$78="Refinance",ISNUMBER($B$80),$B$80&gt;=0,$B$80&lt;=1,ROUND($B$81*12,0)&gt;=1,$B$81&lt;=100,SUM($B$82)&gt;=0,SUM($B$82)&lt;=1,SUM($B$83)&gt;=0)),OR(1080=1,1080=$B$174+1,AND($B$175&gt;0,1080=$B$175+1))),IF(AND($B$170=1,$B$66&gt;0,OR($B$175=0,1080&lt;=$B$175)),$B$66,IF($B$172-MAX(1080-1,$B$174)&gt;0,IF(B1480=0,0,IF(C1480=0,B1480/($B$172-MAX(1080-1,$B$174)),B1480*(C1480/12)/(1-(1+C1480/12)^(-($B$172-MAX(1080-1,$B$174)))))),"")),D1479)))+0.0000001&gt;=B1480*C1480/12,MIN(B1480*(1+C1480/12),IF(AND(1080&lt;=$B$174,1080&lt;=$B$173),B1480*C1480/12,IF(AND(1080=$B$173+1,AND(1080&gt;$B$173,$B$78="Refinance",ISNUMBER($B$80),$B$80&gt;=0,$B$80&lt;=1,ROUND($B$81*12,0)&gt;=1,$B$81&lt;=100,SUM($B$82)&gt;=0,SUM($B$82)&lt;=1,SUM($B$83)&gt;=0)),IF(B1480=0,0,IF(C1480=0,B1480/ROUND($B$81*12,0),B1480*(C1480/12)/(1-(1+C1480/12)^(-ROUND($B$81*12,0))))),IF(AND(NOT(AND(1080&gt;$B$173,$B$78="Refinance",ISNUMBER($B$80),$B$80&gt;=0,$B$80&lt;=1,ROUND($B$81*12,0)&gt;=1,$B$81&lt;=100,SUM($B$82)&gt;=0,SUM($B$82)&lt;=1,SUM($B$83)&gt;=0)),OR(1080=1,1080=$B$174+1,AND($B$175&gt;0,1080=$B$175+1))),IF(AND($B$170=1,$B$66&gt;0,OR($B$175=0,1080&lt;=$B$175)),$B$66,IF($B$172-MAX(1080-1,$B$174)&gt;0,IF(B1480=0,0,IF(C1480=0,B1480/($B$172-MAX(1080-1,$B$174)),B1480*(C1480/12)/(1-(1+C1480/12)^(-($B$172-MAX(1080-1,$B$174)))))),"")),D1479)))),""),""))</x:f>
        <x:v>0</x:v>
      </x:c>
      <x:c r="E1480" s="440" t="n">
        <x:f>IF(AND(1080=$B$173,ISNUMBER(D1480)),IF(MAX(0,B1480*(1+C1480/12)-D1480)&lt;MAX(0.0000001,$E$17*0.00000000001),0,MAX(0,B1480*(1+C1480/12)-D1480)),0)</x:f>
        <x:v>0</x:v>
      </x:c>
      <x:c r="F1480" s="440" t="n">
        <x:f>IF($B$78="Cash payoff",E1480,0)</x:f>
        <x:v>0</x:v>
      </x:c>
      <x:c r="G1480" s="440" t="n">
        <x:f>IF(AND(E1480&gt;0,AND($B$78="Refinance",ISNUMBER($B$80),$B$80&gt;=0,$B$80&lt;=1,ROUND($B$81*12,0)&gt;=1,$B$81&lt;=100,SUM($B$82)&gt;=0,SUM($B$82)&lt;=1,SUM($B$83)&gt;=0)),E1480*SUM($B$82)+SUM($B$83),0)</x:f>
        <x:v>0</x:v>
      </x:c>
      <x:c r="H1480" s="440" t="n">
        <x:f>IF(ISNUMBER(D1480),IF(MAX(0,B1480*(1+C1480/12)-D1480-F1480)&lt;MAX(0.0000001,$E$17*0.00000000001),0,MAX(0,B1480*(1+C1480/12)-D1480-F1480)),IF(AND($B$171=1,I1479=1),B1480,""))</x:f>
        <x:v>0</x:v>
      </x:c>
      <x:c r="I1480" s="444" t="n">
        <x:f>IF(OR(I1479=1,AND(E1480&gt;0,$B$78&lt;&gt;"Cash payoff",NOT(AND($B$78="Refinance",ISNUMBER($B$80),$B$80&gt;=0,$B$80&lt;=1,ROUND($B$81*12,0)&gt;=1,$B$81&lt;=100,SUM($B$82)&gt;=0,SUM($B$82)&lt;=1,SUM($B$83)&gt;=0))),AND(ISNUMBER(B1480),B1480&gt;0,$B$171=1,NOT(ISNUMBER(D1480)))),1,0)</x:f>
        <x:v>0</x:v>
      </x:c>
      <x:c r="J1480" s="440" t="n">
        <x:f>IF(ISNUMBER(L1479),L1479,"")</x:f>
        <x:v>0</x:v>
      </x:c>
      <x:c r="K1480" s="440" t="n">
        <x:f>IF(AND(ISNUMBER(J1480),J1480=0),0,IF(AND($B$176=1,ISNUMBER(J1480)),MIN(J1480*(1+$B$87/12),IF($B$86=0,0,IF($B$87=0,$B$86/ROUND($B$88*12,0),$B$86*($B$87/12)/(1-(1+$B$87/12)^(-ROUND($B$88*12,0)))))),""))</x:f>
        <x:v>0</x:v>
      </x:c>
      <x:c r="L1480" s="440" t="n">
        <x:f>IF(ISNUMBER(K1480),IF(MAX(0,J1480*(1+SUM($B$87)/12)-K1480)&lt;MAX(0.0000001,$B$86*0.00000000001),0,MAX(0,J1480*(1+SUM($B$87)/12)-K1480)),"")</x:f>
        <x:v>0</x:v>
      </x:c>
      <x:c r="M1480" s="440" t="n">
        <x:f>IF(AND(ISNUMBER(D1480),ISNUMBER(K1480)),D1480+K1480,"")</x:f>
        <x:v>0</x:v>
      </x:c>
      <x:c r="N1480" s="440" t="n">
        <x:f>IF(AND(ISNUMBER(H1480),ISNUMBER(L1480)),H1480+L1480,"")</x:f>
        <x:v>0</x:v>
      </x:c>
    </x:row>
    <x:row r="1481" ht="22" customHeight="1">
      <x:c r="A1481" s="254" t="n">
        <x:f>1081</x:f>
        <x:v>1081</x:v>
      </x:c>
      <x:c r="B1481" s="440" t="n">
        <x:f>IF(ISNUMBER(H1480),H1480,"")</x:f>
        <x:v>0</x:v>
      </x:c>
      <x:c r="C1481" s="442" t="n">
        <x:f>IF(ISNUMBER(B1481),IF(AND(1081&gt;$B$173,$B$78="Refinance",ISNUMBER($B$80),$B$80&gt;=0,$B$80&lt;=1,ROUND($B$81*12,0)&gt;=1,$B$81&lt;=100,SUM($B$82)&gt;=0,SUM($B$82)&lt;=1,SUM($B$83)&gt;=0),$B$80,IF(AND($B$175&gt;0,1081&gt;$B$175,ISNUMBER($B$75)),$B$75,$B$61)),"")</x:f>
        <x:v>0.0625</x:v>
      </x:c>
      <x:c r="D1481" s="440" t="n">
        <x:f>IF(AND(ISNUMBER(B1481),B1481=0),0,IF(AND($B$171=1,I1480=0,ISNUMBER(C1481),ISNUMBER(IF(AND(1081&lt;=$B$174,1081&lt;=$B$173),B1481*C1481/12,IF(AND(1081=$B$173+1,AND(1081&gt;$B$173,$B$78="Refinance",ISNUMBER($B$80),$B$80&gt;=0,$B$80&lt;=1,ROUND($B$81*12,0)&gt;=1,$B$81&lt;=100,SUM($B$82)&gt;=0,SUM($B$82)&lt;=1,SUM($B$83)&gt;=0)),IF(B1481=0,0,IF(C1481=0,B1481/ROUND($B$81*12,0),B1481*(C1481/12)/(1-(1+C1481/12)^(-ROUND($B$81*12,0))))),IF(AND(NOT(AND(1081&gt;$B$173,$B$78="Refinance",ISNUMBER($B$80),$B$80&gt;=0,$B$80&lt;=1,ROUND($B$81*12,0)&gt;=1,$B$81&lt;=100,SUM($B$82)&gt;=0,SUM($B$82)&lt;=1,SUM($B$83)&gt;=0)),OR(1081=1,1081=$B$174+1,AND($B$175&gt;0,1081=$B$175+1))),IF(AND($B$170=1,$B$66&gt;0,OR($B$175=0,1081&lt;=$B$175)),$B$66,IF($B$172-MAX(1081-1,$B$174)&gt;0,IF(B1481=0,0,IF(C1481=0,B1481/($B$172-MAX(1081-1,$B$174)),B1481*(C1481/12)/(1-(1+C1481/12)^(-($B$172-MAX(1081-1,$B$174)))))),"")),D1480))))),IF(IF(AND(1081&lt;=$B$174,1081&lt;=$B$173),B1481*C1481/12,IF(AND(1081=$B$173+1,AND(1081&gt;$B$173,$B$78="Refinance",ISNUMBER($B$80),$B$80&gt;=0,$B$80&lt;=1,ROUND($B$81*12,0)&gt;=1,$B$81&lt;=100,SUM($B$82)&gt;=0,SUM($B$82)&lt;=1,SUM($B$83)&gt;=0)),IF(B1481=0,0,IF(C1481=0,B1481/ROUND($B$81*12,0),B1481*(C1481/12)/(1-(1+C1481/12)^(-ROUND($B$81*12,0))))),IF(AND(NOT(AND(1081&gt;$B$173,$B$78="Refinance",ISNUMBER($B$80),$B$80&gt;=0,$B$80&lt;=1,ROUND($B$81*12,0)&gt;=1,$B$81&lt;=100,SUM($B$82)&gt;=0,SUM($B$82)&lt;=1,SUM($B$83)&gt;=0)),OR(1081=1,1081=$B$174+1,AND($B$175&gt;0,1081=$B$175+1))),IF(AND($B$170=1,$B$66&gt;0,OR($B$175=0,1081&lt;=$B$175)),$B$66,IF($B$172-MAX(1081-1,$B$174)&gt;0,IF(B1481=0,0,IF(C1481=0,B1481/($B$172-MAX(1081-1,$B$174)),B1481*(C1481/12)/(1-(1+C1481/12)^(-($B$172-MAX(1081-1,$B$174)))))),"")),D1480)))+0.0000001&gt;=B1481*C1481/12,MIN(B1481*(1+C1481/12),IF(AND(1081&lt;=$B$174,1081&lt;=$B$173),B1481*C1481/12,IF(AND(1081=$B$173+1,AND(1081&gt;$B$173,$B$78="Refinance",ISNUMBER($B$80),$B$80&gt;=0,$B$80&lt;=1,ROUND($B$81*12,0)&gt;=1,$B$81&lt;=100,SUM($B$82)&gt;=0,SUM($B$82)&lt;=1,SUM($B$83)&gt;=0)),IF(B1481=0,0,IF(C1481=0,B1481/ROUND($B$81*12,0),B1481*(C1481/12)/(1-(1+C1481/12)^(-ROUND($B$81*12,0))))),IF(AND(NOT(AND(1081&gt;$B$173,$B$78="Refinance",ISNUMBER($B$80),$B$80&gt;=0,$B$80&lt;=1,ROUND($B$81*12,0)&gt;=1,$B$81&lt;=100,SUM($B$82)&gt;=0,SUM($B$82)&lt;=1,SUM($B$83)&gt;=0)),OR(1081=1,1081=$B$174+1,AND($B$175&gt;0,1081=$B$175+1))),IF(AND($B$170=1,$B$66&gt;0,OR($B$175=0,1081&lt;=$B$175)),$B$66,IF($B$172-MAX(1081-1,$B$174)&gt;0,IF(B1481=0,0,IF(C1481=0,B1481/($B$172-MAX(1081-1,$B$174)),B1481*(C1481/12)/(1-(1+C1481/12)^(-($B$172-MAX(1081-1,$B$174)))))),"")),D1480)))),""),""))</x:f>
        <x:v>0</x:v>
      </x:c>
      <x:c r="E1481" s="440" t="n">
        <x:f>IF(AND(1081=$B$173,ISNUMBER(D1481)),IF(MAX(0,B1481*(1+C1481/12)-D1481)&lt;MAX(0.0000001,$E$17*0.00000000001),0,MAX(0,B1481*(1+C1481/12)-D1481)),0)</x:f>
        <x:v>0</x:v>
      </x:c>
      <x:c r="F1481" s="440" t="n">
        <x:f>IF($B$78="Cash payoff",E1481,0)</x:f>
        <x:v>0</x:v>
      </x:c>
      <x:c r="G1481" s="440" t="n">
        <x:f>IF(AND(E1481&gt;0,AND($B$78="Refinance",ISNUMBER($B$80),$B$80&gt;=0,$B$80&lt;=1,ROUND($B$81*12,0)&gt;=1,$B$81&lt;=100,SUM($B$82)&gt;=0,SUM($B$82)&lt;=1,SUM($B$83)&gt;=0)),E1481*SUM($B$82)+SUM($B$83),0)</x:f>
        <x:v>0</x:v>
      </x:c>
      <x:c r="H1481" s="440" t="n">
        <x:f>IF(ISNUMBER(D1481),IF(MAX(0,B1481*(1+C1481/12)-D1481-F1481)&lt;MAX(0.0000001,$E$17*0.00000000001),0,MAX(0,B1481*(1+C1481/12)-D1481-F1481)),IF(AND($B$171=1,I1480=1),B1481,""))</x:f>
        <x:v>0</x:v>
      </x:c>
      <x:c r="I1481" s="444" t="n">
        <x:f>IF(OR(I1480=1,AND(E1481&gt;0,$B$78&lt;&gt;"Cash payoff",NOT(AND($B$78="Refinance",ISNUMBER($B$80),$B$80&gt;=0,$B$80&lt;=1,ROUND($B$81*12,0)&gt;=1,$B$81&lt;=100,SUM($B$82)&gt;=0,SUM($B$82)&lt;=1,SUM($B$83)&gt;=0))),AND(ISNUMBER(B1481),B1481&gt;0,$B$171=1,NOT(ISNUMBER(D1481)))),1,0)</x:f>
        <x:v>0</x:v>
      </x:c>
      <x:c r="J1481" s="440" t="n">
        <x:f>IF(ISNUMBER(L1480),L1480,"")</x:f>
        <x:v>0</x:v>
      </x:c>
      <x:c r="K1481" s="440" t="n">
        <x:f>IF(AND(ISNUMBER(J1481),J1481=0),0,IF(AND($B$176=1,ISNUMBER(J1481)),MIN(J1481*(1+$B$87/12),IF($B$86=0,0,IF($B$87=0,$B$86/ROUND($B$88*12,0),$B$86*($B$87/12)/(1-(1+$B$87/12)^(-ROUND($B$88*12,0)))))),""))</x:f>
        <x:v>0</x:v>
      </x:c>
      <x:c r="L1481" s="440" t="n">
        <x:f>IF(ISNUMBER(K1481),IF(MAX(0,J1481*(1+SUM($B$87)/12)-K1481)&lt;MAX(0.0000001,$B$86*0.00000000001),0,MAX(0,J1481*(1+SUM($B$87)/12)-K1481)),"")</x:f>
        <x:v>0</x:v>
      </x:c>
      <x:c r="M1481" s="440" t="n">
        <x:f>IF(AND(ISNUMBER(D1481),ISNUMBER(K1481)),D1481+K1481,"")</x:f>
        <x:v>0</x:v>
      </x:c>
      <x:c r="N1481" s="440" t="n">
        <x:f>IF(AND(ISNUMBER(H1481),ISNUMBER(L1481)),H1481+L1481,"")</x:f>
        <x:v>0</x:v>
      </x:c>
    </x:row>
    <x:row r="1482" ht="22" customHeight="1">
      <x:c r="A1482" s="254" t="n">
        <x:f>1082</x:f>
        <x:v>1082</x:v>
      </x:c>
      <x:c r="B1482" s="440" t="n">
        <x:f>IF(ISNUMBER(H1481),H1481,"")</x:f>
        <x:v>0</x:v>
      </x:c>
      <x:c r="C1482" s="442" t="n">
        <x:f>IF(ISNUMBER(B1482),IF(AND(1082&gt;$B$173,$B$78="Refinance",ISNUMBER($B$80),$B$80&gt;=0,$B$80&lt;=1,ROUND($B$81*12,0)&gt;=1,$B$81&lt;=100,SUM($B$82)&gt;=0,SUM($B$82)&lt;=1,SUM($B$83)&gt;=0),$B$80,IF(AND($B$175&gt;0,1082&gt;$B$175,ISNUMBER($B$75)),$B$75,$B$61)),"")</x:f>
        <x:v>0.0625</x:v>
      </x:c>
      <x:c r="D1482" s="440" t="n">
        <x:f>IF(AND(ISNUMBER(B1482),B1482=0),0,IF(AND($B$171=1,I1481=0,ISNUMBER(C1482),ISNUMBER(IF(AND(1082&lt;=$B$174,1082&lt;=$B$173),B1482*C1482/12,IF(AND(1082=$B$173+1,AND(1082&gt;$B$173,$B$78="Refinance",ISNUMBER($B$80),$B$80&gt;=0,$B$80&lt;=1,ROUND($B$81*12,0)&gt;=1,$B$81&lt;=100,SUM($B$82)&gt;=0,SUM($B$82)&lt;=1,SUM($B$83)&gt;=0)),IF(B1482=0,0,IF(C1482=0,B1482/ROUND($B$81*12,0),B1482*(C1482/12)/(1-(1+C1482/12)^(-ROUND($B$81*12,0))))),IF(AND(NOT(AND(1082&gt;$B$173,$B$78="Refinance",ISNUMBER($B$80),$B$80&gt;=0,$B$80&lt;=1,ROUND($B$81*12,0)&gt;=1,$B$81&lt;=100,SUM($B$82)&gt;=0,SUM($B$82)&lt;=1,SUM($B$83)&gt;=0)),OR(1082=1,1082=$B$174+1,AND($B$175&gt;0,1082=$B$175+1))),IF(AND($B$170=1,$B$66&gt;0,OR($B$175=0,1082&lt;=$B$175)),$B$66,IF($B$172-MAX(1082-1,$B$174)&gt;0,IF(B1482=0,0,IF(C1482=0,B1482/($B$172-MAX(1082-1,$B$174)),B1482*(C1482/12)/(1-(1+C1482/12)^(-($B$172-MAX(1082-1,$B$174)))))),"")),D1481))))),IF(IF(AND(1082&lt;=$B$174,1082&lt;=$B$173),B1482*C1482/12,IF(AND(1082=$B$173+1,AND(1082&gt;$B$173,$B$78="Refinance",ISNUMBER($B$80),$B$80&gt;=0,$B$80&lt;=1,ROUND($B$81*12,0)&gt;=1,$B$81&lt;=100,SUM($B$82)&gt;=0,SUM($B$82)&lt;=1,SUM($B$83)&gt;=0)),IF(B1482=0,0,IF(C1482=0,B1482/ROUND($B$81*12,0),B1482*(C1482/12)/(1-(1+C1482/12)^(-ROUND($B$81*12,0))))),IF(AND(NOT(AND(1082&gt;$B$173,$B$78="Refinance",ISNUMBER($B$80),$B$80&gt;=0,$B$80&lt;=1,ROUND($B$81*12,0)&gt;=1,$B$81&lt;=100,SUM($B$82)&gt;=0,SUM($B$82)&lt;=1,SUM($B$83)&gt;=0)),OR(1082=1,1082=$B$174+1,AND($B$175&gt;0,1082=$B$175+1))),IF(AND($B$170=1,$B$66&gt;0,OR($B$175=0,1082&lt;=$B$175)),$B$66,IF($B$172-MAX(1082-1,$B$174)&gt;0,IF(B1482=0,0,IF(C1482=0,B1482/($B$172-MAX(1082-1,$B$174)),B1482*(C1482/12)/(1-(1+C1482/12)^(-($B$172-MAX(1082-1,$B$174)))))),"")),D1481)))+0.0000001&gt;=B1482*C1482/12,MIN(B1482*(1+C1482/12),IF(AND(1082&lt;=$B$174,1082&lt;=$B$173),B1482*C1482/12,IF(AND(1082=$B$173+1,AND(1082&gt;$B$173,$B$78="Refinance",ISNUMBER($B$80),$B$80&gt;=0,$B$80&lt;=1,ROUND($B$81*12,0)&gt;=1,$B$81&lt;=100,SUM($B$82)&gt;=0,SUM($B$82)&lt;=1,SUM($B$83)&gt;=0)),IF(B1482=0,0,IF(C1482=0,B1482/ROUND($B$81*12,0),B1482*(C1482/12)/(1-(1+C1482/12)^(-ROUND($B$81*12,0))))),IF(AND(NOT(AND(1082&gt;$B$173,$B$78="Refinance",ISNUMBER($B$80),$B$80&gt;=0,$B$80&lt;=1,ROUND($B$81*12,0)&gt;=1,$B$81&lt;=100,SUM($B$82)&gt;=0,SUM($B$82)&lt;=1,SUM($B$83)&gt;=0)),OR(1082=1,1082=$B$174+1,AND($B$175&gt;0,1082=$B$175+1))),IF(AND($B$170=1,$B$66&gt;0,OR($B$175=0,1082&lt;=$B$175)),$B$66,IF($B$172-MAX(1082-1,$B$174)&gt;0,IF(B1482=0,0,IF(C1482=0,B1482/($B$172-MAX(1082-1,$B$174)),B1482*(C1482/12)/(1-(1+C1482/12)^(-($B$172-MAX(1082-1,$B$174)))))),"")),D1481)))),""),""))</x:f>
        <x:v>0</x:v>
      </x:c>
      <x:c r="E1482" s="440" t="n">
        <x:f>IF(AND(1082=$B$173,ISNUMBER(D1482)),IF(MAX(0,B1482*(1+C1482/12)-D1482)&lt;MAX(0.0000001,$E$17*0.00000000001),0,MAX(0,B1482*(1+C1482/12)-D1482)),0)</x:f>
        <x:v>0</x:v>
      </x:c>
      <x:c r="F1482" s="440" t="n">
        <x:f>IF($B$78="Cash payoff",E1482,0)</x:f>
        <x:v>0</x:v>
      </x:c>
      <x:c r="G1482" s="440" t="n">
        <x:f>IF(AND(E1482&gt;0,AND($B$78="Refinance",ISNUMBER($B$80),$B$80&gt;=0,$B$80&lt;=1,ROUND($B$81*12,0)&gt;=1,$B$81&lt;=100,SUM($B$82)&gt;=0,SUM($B$82)&lt;=1,SUM($B$83)&gt;=0)),E1482*SUM($B$82)+SUM($B$83),0)</x:f>
        <x:v>0</x:v>
      </x:c>
      <x:c r="H1482" s="440" t="n">
        <x:f>IF(ISNUMBER(D1482),IF(MAX(0,B1482*(1+C1482/12)-D1482-F1482)&lt;MAX(0.0000001,$E$17*0.00000000001),0,MAX(0,B1482*(1+C1482/12)-D1482-F1482)),IF(AND($B$171=1,I1481=1),B1482,""))</x:f>
        <x:v>0</x:v>
      </x:c>
      <x:c r="I1482" s="444" t="n">
        <x:f>IF(OR(I1481=1,AND(E1482&gt;0,$B$78&lt;&gt;"Cash payoff",NOT(AND($B$78="Refinance",ISNUMBER($B$80),$B$80&gt;=0,$B$80&lt;=1,ROUND($B$81*12,0)&gt;=1,$B$81&lt;=100,SUM($B$82)&gt;=0,SUM($B$82)&lt;=1,SUM($B$83)&gt;=0))),AND(ISNUMBER(B1482),B1482&gt;0,$B$171=1,NOT(ISNUMBER(D1482)))),1,0)</x:f>
        <x:v>0</x:v>
      </x:c>
      <x:c r="J1482" s="440" t="n">
        <x:f>IF(ISNUMBER(L1481),L1481,"")</x:f>
        <x:v>0</x:v>
      </x:c>
      <x:c r="K1482" s="440" t="n">
        <x:f>IF(AND(ISNUMBER(J1482),J1482=0),0,IF(AND($B$176=1,ISNUMBER(J1482)),MIN(J1482*(1+$B$87/12),IF($B$86=0,0,IF($B$87=0,$B$86/ROUND($B$88*12,0),$B$86*($B$87/12)/(1-(1+$B$87/12)^(-ROUND($B$88*12,0)))))),""))</x:f>
        <x:v>0</x:v>
      </x:c>
      <x:c r="L1482" s="440" t="n">
        <x:f>IF(ISNUMBER(K1482),IF(MAX(0,J1482*(1+SUM($B$87)/12)-K1482)&lt;MAX(0.0000001,$B$86*0.00000000001),0,MAX(0,J1482*(1+SUM($B$87)/12)-K1482)),"")</x:f>
        <x:v>0</x:v>
      </x:c>
      <x:c r="M1482" s="440" t="n">
        <x:f>IF(AND(ISNUMBER(D1482),ISNUMBER(K1482)),D1482+K1482,"")</x:f>
        <x:v>0</x:v>
      </x:c>
      <x:c r="N1482" s="440" t="n">
        <x:f>IF(AND(ISNUMBER(H1482),ISNUMBER(L1482)),H1482+L1482,"")</x:f>
        <x:v>0</x:v>
      </x:c>
    </x:row>
    <x:row r="1483" ht="22" customHeight="1">
      <x:c r="A1483" s="254" t="n">
        <x:f>1083</x:f>
        <x:v>1083</x:v>
      </x:c>
      <x:c r="B1483" s="440" t="n">
        <x:f>IF(ISNUMBER(H1482),H1482,"")</x:f>
        <x:v>0</x:v>
      </x:c>
      <x:c r="C1483" s="442" t="n">
        <x:f>IF(ISNUMBER(B1483),IF(AND(1083&gt;$B$173,$B$78="Refinance",ISNUMBER($B$80),$B$80&gt;=0,$B$80&lt;=1,ROUND($B$81*12,0)&gt;=1,$B$81&lt;=100,SUM($B$82)&gt;=0,SUM($B$82)&lt;=1,SUM($B$83)&gt;=0),$B$80,IF(AND($B$175&gt;0,1083&gt;$B$175,ISNUMBER($B$75)),$B$75,$B$61)),"")</x:f>
        <x:v>0.0625</x:v>
      </x:c>
      <x:c r="D1483" s="440" t="n">
        <x:f>IF(AND(ISNUMBER(B1483),B1483=0),0,IF(AND($B$171=1,I1482=0,ISNUMBER(C1483),ISNUMBER(IF(AND(1083&lt;=$B$174,1083&lt;=$B$173),B1483*C1483/12,IF(AND(1083=$B$173+1,AND(1083&gt;$B$173,$B$78="Refinance",ISNUMBER($B$80),$B$80&gt;=0,$B$80&lt;=1,ROUND($B$81*12,0)&gt;=1,$B$81&lt;=100,SUM($B$82)&gt;=0,SUM($B$82)&lt;=1,SUM($B$83)&gt;=0)),IF(B1483=0,0,IF(C1483=0,B1483/ROUND($B$81*12,0),B1483*(C1483/12)/(1-(1+C1483/12)^(-ROUND($B$81*12,0))))),IF(AND(NOT(AND(1083&gt;$B$173,$B$78="Refinance",ISNUMBER($B$80),$B$80&gt;=0,$B$80&lt;=1,ROUND($B$81*12,0)&gt;=1,$B$81&lt;=100,SUM($B$82)&gt;=0,SUM($B$82)&lt;=1,SUM($B$83)&gt;=0)),OR(1083=1,1083=$B$174+1,AND($B$175&gt;0,1083=$B$175+1))),IF(AND($B$170=1,$B$66&gt;0,OR($B$175=0,1083&lt;=$B$175)),$B$66,IF($B$172-MAX(1083-1,$B$174)&gt;0,IF(B1483=0,0,IF(C1483=0,B1483/($B$172-MAX(1083-1,$B$174)),B1483*(C1483/12)/(1-(1+C1483/12)^(-($B$172-MAX(1083-1,$B$174)))))),"")),D1482))))),IF(IF(AND(1083&lt;=$B$174,1083&lt;=$B$173),B1483*C1483/12,IF(AND(1083=$B$173+1,AND(1083&gt;$B$173,$B$78="Refinance",ISNUMBER($B$80),$B$80&gt;=0,$B$80&lt;=1,ROUND($B$81*12,0)&gt;=1,$B$81&lt;=100,SUM($B$82)&gt;=0,SUM($B$82)&lt;=1,SUM($B$83)&gt;=0)),IF(B1483=0,0,IF(C1483=0,B1483/ROUND($B$81*12,0),B1483*(C1483/12)/(1-(1+C1483/12)^(-ROUND($B$81*12,0))))),IF(AND(NOT(AND(1083&gt;$B$173,$B$78="Refinance",ISNUMBER($B$80),$B$80&gt;=0,$B$80&lt;=1,ROUND($B$81*12,0)&gt;=1,$B$81&lt;=100,SUM($B$82)&gt;=0,SUM($B$82)&lt;=1,SUM($B$83)&gt;=0)),OR(1083=1,1083=$B$174+1,AND($B$175&gt;0,1083=$B$175+1))),IF(AND($B$170=1,$B$66&gt;0,OR($B$175=0,1083&lt;=$B$175)),$B$66,IF($B$172-MAX(1083-1,$B$174)&gt;0,IF(B1483=0,0,IF(C1483=0,B1483/($B$172-MAX(1083-1,$B$174)),B1483*(C1483/12)/(1-(1+C1483/12)^(-($B$172-MAX(1083-1,$B$174)))))),"")),D1482)))+0.0000001&gt;=B1483*C1483/12,MIN(B1483*(1+C1483/12),IF(AND(1083&lt;=$B$174,1083&lt;=$B$173),B1483*C1483/12,IF(AND(1083=$B$173+1,AND(1083&gt;$B$173,$B$78="Refinance",ISNUMBER($B$80),$B$80&gt;=0,$B$80&lt;=1,ROUND($B$81*12,0)&gt;=1,$B$81&lt;=100,SUM($B$82)&gt;=0,SUM($B$82)&lt;=1,SUM($B$83)&gt;=0)),IF(B1483=0,0,IF(C1483=0,B1483/ROUND($B$81*12,0),B1483*(C1483/12)/(1-(1+C1483/12)^(-ROUND($B$81*12,0))))),IF(AND(NOT(AND(1083&gt;$B$173,$B$78="Refinance",ISNUMBER($B$80),$B$80&gt;=0,$B$80&lt;=1,ROUND($B$81*12,0)&gt;=1,$B$81&lt;=100,SUM($B$82)&gt;=0,SUM($B$82)&lt;=1,SUM($B$83)&gt;=0)),OR(1083=1,1083=$B$174+1,AND($B$175&gt;0,1083=$B$175+1))),IF(AND($B$170=1,$B$66&gt;0,OR($B$175=0,1083&lt;=$B$175)),$B$66,IF($B$172-MAX(1083-1,$B$174)&gt;0,IF(B1483=0,0,IF(C1483=0,B1483/($B$172-MAX(1083-1,$B$174)),B1483*(C1483/12)/(1-(1+C1483/12)^(-($B$172-MAX(1083-1,$B$174)))))),"")),D1482)))),""),""))</x:f>
        <x:v>0</x:v>
      </x:c>
      <x:c r="E1483" s="440" t="n">
        <x:f>IF(AND(1083=$B$173,ISNUMBER(D1483)),IF(MAX(0,B1483*(1+C1483/12)-D1483)&lt;MAX(0.0000001,$E$17*0.00000000001),0,MAX(0,B1483*(1+C1483/12)-D1483)),0)</x:f>
        <x:v>0</x:v>
      </x:c>
      <x:c r="F1483" s="440" t="n">
        <x:f>IF($B$78="Cash payoff",E1483,0)</x:f>
        <x:v>0</x:v>
      </x:c>
      <x:c r="G1483" s="440" t="n">
        <x:f>IF(AND(E1483&gt;0,AND($B$78="Refinance",ISNUMBER($B$80),$B$80&gt;=0,$B$80&lt;=1,ROUND($B$81*12,0)&gt;=1,$B$81&lt;=100,SUM($B$82)&gt;=0,SUM($B$82)&lt;=1,SUM($B$83)&gt;=0)),E1483*SUM($B$82)+SUM($B$83),0)</x:f>
        <x:v>0</x:v>
      </x:c>
      <x:c r="H1483" s="440" t="n">
        <x:f>IF(ISNUMBER(D1483),IF(MAX(0,B1483*(1+C1483/12)-D1483-F1483)&lt;MAX(0.0000001,$E$17*0.00000000001),0,MAX(0,B1483*(1+C1483/12)-D1483-F1483)),IF(AND($B$171=1,I1482=1),B1483,""))</x:f>
        <x:v>0</x:v>
      </x:c>
      <x:c r="I1483" s="444" t="n">
        <x:f>IF(OR(I1482=1,AND(E1483&gt;0,$B$78&lt;&gt;"Cash payoff",NOT(AND($B$78="Refinance",ISNUMBER($B$80),$B$80&gt;=0,$B$80&lt;=1,ROUND($B$81*12,0)&gt;=1,$B$81&lt;=100,SUM($B$82)&gt;=0,SUM($B$82)&lt;=1,SUM($B$83)&gt;=0))),AND(ISNUMBER(B1483),B1483&gt;0,$B$171=1,NOT(ISNUMBER(D1483)))),1,0)</x:f>
        <x:v>0</x:v>
      </x:c>
      <x:c r="J1483" s="440" t="n">
        <x:f>IF(ISNUMBER(L1482),L1482,"")</x:f>
        <x:v>0</x:v>
      </x:c>
      <x:c r="K1483" s="440" t="n">
        <x:f>IF(AND(ISNUMBER(J1483),J1483=0),0,IF(AND($B$176=1,ISNUMBER(J1483)),MIN(J1483*(1+$B$87/12),IF($B$86=0,0,IF($B$87=0,$B$86/ROUND($B$88*12,0),$B$86*($B$87/12)/(1-(1+$B$87/12)^(-ROUND($B$88*12,0)))))),""))</x:f>
        <x:v>0</x:v>
      </x:c>
      <x:c r="L1483" s="440" t="n">
        <x:f>IF(ISNUMBER(K1483),IF(MAX(0,J1483*(1+SUM($B$87)/12)-K1483)&lt;MAX(0.0000001,$B$86*0.00000000001),0,MAX(0,J1483*(1+SUM($B$87)/12)-K1483)),"")</x:f>
        <x:v>0</x:v>
      </x:c>
      <x:c r="M1483" s="440" t="n">
        <x:f>IF(AND(ISNUMBER(D1483),ISNUMBER(K1483)),D1483+K1483,"")</x:f>
        <x:v>0</x:v>
      </x:c>
      <x:c r="N1483" s="440" t="n">
        <x:f>IF(AND(ISNUMBER(H1483),ISNUMBER(L1483)),H1483+L1483,"")</x:f>
        <x:v>0</x:v>
      </x:c>
    </x:row>
    <x:row r="1484" ht="22" customHeight="1">
      <x:c r="A1484" s="254" t="n">
        <x:f>1084</x:f>
        <x:v>1084</x:v>
      </x:c>
      <x:c r="B1484" s="440" t="n">
        <x:f>IF(ISNUMBER(H1483),H1483,"")</x:f>
        <x:v>0</x:v>
      </x:c>
      <x:c r="C1484" s="442" t="n">
        <x:f>IF(ISNUMBER(B1484),IF(AND(1084&gt;$B$173,$B$78="Refinance",ISNUMBER($B$80),$B$80&gt;=0,$B$80&lt;=1,ROUND($B$81*12,0)&gt;=1,$B$81&lt;=100,SUM($B$82)&gt;=0,SUM($B$82)&lt;=1,SUM($B$83)&gt;=0),$B$80,IF(AND($B$175&gt;0,1084&gt;$B$175,ISNUMBER($B$75)),$B$75,$B$61)),"")</x:f>
        <x:v>0.0625</x:v>
      </x:c>
      <x:c r="D1484" s="440" t="n">
        <x:f>IF(AND(ISNUMBER(B1484),B1484=0),0,IF(AND($B$171=1,I1483=0,ISNUMBER(C1484),ISNUMBER(IF(AND(1084&lt;=$B$174,1084&lt;=$B$173),B1484*C1484/12,IF(AND(1084=$B$173+1,AND(1084&gt;$B$173,$B$78="Refinance",ISNUMBER($B$80),$B$80&gt;=0,$B$80&lt;=1,ROUND($B$81*12,0)&gt;=1,$B$81&lt;=100,SUM($B$82)&gt;=0,SUM($B$82)&lt;=1,SUM($B$83)&gt;=0)),IF(B1484=0,0,IF(C1484=0,B1484/ROUND($B$81*12,0),B1484*(C1484/12)/(1-(1+C1484/12)^(-ROUND($B$81*12,0))))),IF(AND(NOT(AND(1084&gt;$B$173,$B$78="Refinance",ISNUMBER($B$80),$B$80&gt;=0,$B$80&lt;=1,ROUND($B$81*12,0)&gt;=1,$B$81&lt;=100,SUM($B$82)&gt;=0,SUM($B$82)&lt;=1,SUM($B$83)&gt;=0)),OR(1084=1,1084=$B$174+1,AND($B$175&gt;0,1084=$B$175+1))),IF(AND($B$170=1,$B$66&gt;0,OR($B$175=0,1084&lt;=$B$175)),$B$66,IF($B$172-MAX(1084-1,$B$174)&gt;0,IF(B1484=0,0,IF(C1484=0,B1484/($B$172-MAX(1084-1,$B$174)),B1484*(C1484/12)/(1-(1+C1484/12)^(-($B$172-MAX(1084-1,$B$174)))))),"")),D1483))))),IF(IF(AND(1084&lt;=$B$174,1084&lt;=$B$173),B1484*C1484/12,IF(AND(1084=$B$173+1,AND(1084&gt;$B$173,$B$78="Refinance",ISNUMBER($B$80),$B$80&gt;=0,$B$80&lt;=1,ROUND($B$81*12,0)&gt;=1,$B$81&lt;=100,SUM($B$82)&gt;=0,SUM($B$82)&lt;=1,SUM($B$83)&gt;=0)),IF(B1484=0,0,IF(C1484=0,B1484/ROUND($B$81*12,0),B1484*(C1484/12)/(1-(1+C1484/12)^(-ROUND($B$81*12,0))))),IF(AND(NOT(AND(1084&gt;$B$173,$B$78="Refinance",ISNUMBER($B$80),$B$80&gt;=0,$B$80&lt;=1,ROUND($B$81*12,0)&gt;=1,$B$81&lt;=100,SUM($B$82)&gt;=0,SUM($B$82)&lt;=1,SUM($B$83)&gt;=0)),OR(1084=1,1084=$B$174+1,AND($B$175&gt;0,1084=$B$175+1))),IF(AND($B$170=1,$B$66&gt;0,OR($B$175=0,1084&lt;=$B$175)),$B$66,IF($B$172-MAX(1084-1,$B$174)&gt;0,IF(B1484=0,0,IF(C1484=0,B1484/($B$172-MAX(1084-1,$B$174)),B1484*(C1484/12)/(1-(1+C1484/12)^(-($B$172-MAX(1084-1,$B$174)))))),"")),D1483)))+0.0000001&gt;=B1484*C1484/12,MIN(B1484*(1+C1484/12),IF(AND(1084&lt;=$B$174,1084&lt;=$B$173),B1484*C1484/12,IF(AND(1084=$B$173+1,AND(1084&gt;$B$173,$B$78="Refinance",ISNUMBER($B$80),$B$80&gt;=0,$B$80&lt;=1,ROUND($B$81*12,0)&gt;=1,$B$81&lt;=100,SUM($B$82)&gt;=0,SUM($B$82)&lt;=1,SUM($B$83)&gt;=0)),IF(B1484=0,0,IF(C1484=0,B1484/ROUND($B$81*12,0),B1484*(C1484/12)/(1-(1+C1484/12)^(-ROUND($B$81*12,0))))),IF(AND(NOT(AND(1084&gt;$B$173,$B$78="Refinance",ISNUMBER($B$80),$B$80&gt;=0,$B$80&lt;=1,ROUND($B$81*12,0)&gt;=1,$B$81&lt;=100,SUM($B$82)&gt;=0,SUM($B$82)&lt;=1,SUM($B$83)&gt;=0)),OR(1084=1,1084=$B$174+1,AND($B$175&gt;0,1084=$B$175+1))),IF(AND($B$170=1,$B$66&gt;0,OR($B$175=0,1084&lt;=$B$175)),$B$66,IF($B$172-MAX(1084-1,$B$174)&gt;0,IF(B1484=0,0,IF(C1484=0,B1484/($B$172-MAX(1084-1,$B$174)),B1484*(C1484/12)/(1-(1+C1484/12)^(-($B$172-MAX(1084-1,$B$174)))))),"")),D1483)))),""),""))</x:f>
        <x:v>0</x:v>
      </x:c>
      <x:c r="E1484" s="440" t="n">
        <x:f>IF(AND(1084=$B$173,ISNUMBER(D1484)),IF(MAX(0,B1484*(1+C1484/12)-D1484)&lt;MAX(0.0000001,$E$17*0.00000000001),0,MAX(0,B1484*(1+C1484/12)-D1484)),0)</x:f>
        <x:v>0</x:v>
      </x:c>
      <x:c r="F1484" s="440" t="n">
        <x:f>IF($B$78="Cash payoff",E1484,0)</x:f>
        <x:v>0</x:v>
      </x:c>
      <x:c r="G1484" s="440" t="n">
        <x:f>IF(AND(E1484&gt;0,AND($B$78="Refinance",ISNUMBER($B$80),$B$80&gt;=0,$B$80&lt;=1,ROUND($B$81*12,0)&gt;=1,$B$81&lt;=100,SUM($B$82)&gt;=0,SUM($B$82)&lt;=1,SUM($B$83)&gt;=0)),E1484*SUM($B$82)+SUM($B$83),0)</x:f>
        <x:v>0</x:v>
      </x:c>
      <x:c r="H1484" s="440" t="n">
        <x:f>IF(ISNUMBER(D1484),IF(MAX(0,B1484*(1+C1484/12)-D1484-F1484)&lt;MAX(0.0000001,$E$17*0.00000000001),0,MAX(0,B1484*(1+C1484/12)-D1484-F1484)),IF(AND($B$171=1,I1483=1),B1484,""))</x:f>
        <x:v>0</x:v>
      </x:c>
      <x:c r="I1484" s="444" t="n">
        <x:f>IF(OR(I1483=1,AND(E1484&gt;0,$B$78&lt;&gt;"Cash payoff",NOT(AND($B$78="Refinance",ISNUMBER($B$80),$B$80&gt;=0,$B$80&lt;=1,ROUND($B$81*12,0)&gt;=1,$B$81&lt;=100,SUM($B$82)&gt;=0,SUM($B$82)&lt;=1,SUM($B$83)&gt;=0))),AND(ISNUMBER(B1484),B1484&gt;0,$B$171=1,NOT(ISNUMBER(D1484)))),1,0)</x:f>
        <x:v>0</x:v>
      </x:c>
      <x:c r="J1484" s="440" t="n">
        <x:f>IF(ISNUMBER(L1483),L1483,"")</x:f>
        <x:v>0</x:v>
      </x:c>
      <x:c r="K1484" s="440" t="n">
        <x:f>IF(AND(ISNUMBER(J1484),J1484=0),0,IF(AND($B$176=1,ISNUMBER(J1484)),MIN(J1484*(1+$B$87/12),IF($B$86=0,0,IF($B$87=0,$B$86/ROUND($B$88*12,0),$B$86*($B$87/12)/(1-(1+$B$87/12)^(-ROUND($B$88*12,0)))))),""))</x:f>
        <x:v>0</x:v>
      </x:c>
      <x:c r="L1484" s="440" t="n">
        <x:f>IF(ISNUMBER(K1484),IF(MAX(0,J1484*(1+SUM($B$87)/12)-K1484)&lt;MAX(0.0000001,$B$86*0.00000000001),0,MAX(0,J1484*(1+SUM($B$87)/12)-K1484)),"")</x:f>
        <x:v>0</x:v>
      </x:c>
      <x:c r="M1484" s="440" t="n">
        <x:f>IF(AND(ISNUMBER(D1484),ISNUMBER(K1484)),D1484+K1484,"")</x:f>
        <x:v>0</x:v>
      </x:c>
      <x:c r="N1484" s="440" t="n">
        <x:f>IF(AND(ISNUMBER(H1484),ISNUMBER(L1484)),H1484+L1484,"")</x:f>
        <x:v>0</x:v>
      </x:c>
    </x:row>
    <x:row r="1485" ht="22" customHeight="1">
      <x:c r="A1485" s="254" t="n">
        <x:f>1085</x:f>
        <x:v>1085</x:v>
      </x:c>
      <x:c r="B1485" s="440" t="n">
        <x:f>IF(ISNUMBER(H1484),H1484,"")</x:f>
        <x:v>0</x:v>
      </x:c>
      <x:c r="C1485" s="442" t="n">
        <x:f>IF(ISNUMBER(B1485),IF(AND(1085&gt;$B$173,$B$78="Refinance",ISNUMBER($B$80),$B$80&gt;=0,$B$80&lt;=1,ROUND($B$81*12,0)&gt;=1,$B$81&lt;=100,SUM($B$82)&gt;=0,SUM($B$82)&lt;=1,SUM($B$83)&gt;=0),$B$80,IF(AND($B$175&gt;0,1085&gt;$B$175,ISNUMBER($B$75)),$B$75,$B$61)),"")</x:f>
        <x:v>0.0625</x:v>
      </x:c>
      <x:c r="D1485" s="440" t="n">
        <x:f>IF(AND(ISNUMBER(B1485),B1485=0),0,IF(AND($B$171=1,I1484=0,ISNUMBER(C1485),ISNUMBER(IF(AND(1085&lt;=$B$174,1085&lt;=$B$173),B1485*C1485/12,IF(AND(1085=$B$173+1,AND(1085&gt;$B$173,$B$78="Refinance",ISNUMBER($B$80),$B$80&gt;=0,$B$80&lt;=1,ROUND($B$81*12,0)&gt;=1,$B$81&lt;=100,SUM($B$82)&gt;=0,SUM($B$82)&lt;=1,SUM($B$83)&gt;=0)),IF(B1485=0,0,IF(C1485=0,B1485/ROUND($B$81*12,0),B1485*(C1485/12)/(1-(1+C1485/12)^(-ROUND($B$81*12,0))))),IF(AND(NOT(AND(1085&gt;$B$173,$B$78="Refinance",ISNUMBER($B$80),$B$80&gt;=0,$B$80&lt;=1,ROUND($B$81*12,0)&gt;=1,$B$81&lt;=100,SUM($B$82)&gt;=0,SUM($B$82)&lt;=1,SUM($B$83)&gt;=0)),OR(1085=1,1085=$B$174+1,AND($B$175&gt;0,1085=$B$175+1))),IF(AND($B$170=1,$B$66&gt;0,OR($B$175=0,1085&lt;=$B$175)),$B$66,IF($B$172-MAX(1085-1,$B$174)&gt;0,IF(B1485=0,0,IF(C1485=0,B1485/($B$172-MAX(1085-1,$B$174)),B1485*(C1485/12)/(1-(1+C1485/12)^(-($B$172-MAX(1085-1,$B$174)))))),"")),D1484))))),IF(IF(AND(1085&lt;=$B$174,1085&lt;=$B$173),B1485*C1485/12,IF(AND(1085=$B$173+1,AND(1085&gt;$B$173,$B$78="Refinance",ISNUMBER($B$80),$B$80&gt;=0,$B$80&lt;=1,ROUND($B$81*12,0)&gt;=1,$B$81&lt;=100,SUM($B$82)&gt;=0,SUM($B$82)&lt;=1,SUM($B$83)&gt;=0)),IF(B1485=0,0,IF(C1485=0,B1485/ROUND($B$81*12,0),B1485*(C1485/12)/(1-(1+C1485/12)^(-ROUND($B$81*12,0))))),IF(AND(NOT(AND(1085&gt;$B$173,$B$78="Refinance",ISNUMBER($B$80),$B$80&gt;=0,$B$80&lt;=1,ROUND($B$81*12,0)&gt;=1,$B$81&lt;=100,SUM($B$82)&gt;=0,SUM($B$82)&lt;=1,SUM($B$83)&gt;=0)),OR(1085=1,1085=$B$174+1,AND($B$175&gt;0,1085=$B$175+1))),IF(AND($B$170=1,$B$66&gt;0,OR($B$175=0,1085&lt;=$B$175)),$B$66,IF($B$172-MAX(1085-1,$B$174)&gt;0,IF(B1485=0,0,IF(C1485=0,B1485/($B$172-MAX(1085-1,$B$174)),B1485*(C1485/12)/(1-(1+C1485/12)^(-($B$172-MAX(1085-1,$B$174)))))),"")),D1484)))+0.0000001&gt;=B1485*C1485/12,MIN(B1485*(1+C1485/12),IF(AND(1085&lt;=$B$174,1085&lt;=$B$173),B1485*C1485/12,IF(AND(1085=$B$173+1,AND(1085&gt;$B$173,$B$78="Refinance",ISNUMBER($B$80),$B$80&gt;=0,$B$80&lt;=1,ROUND($B$81*12,0)&gt;=1,$B$81&lt;=100,SUM($B$82)&gt;=0,SUM($B$82)&lt;=1,SUM($B$83)&gt;=0)),IF(B1485=0,0,IF(C1485=0,B1485/ROUND($B$81*12,0),B1485*(C1485/12)/(1-(1+C1485/12)^(-ROUND($B$81*12,0))))),IF(AND(NOT(AND(1085&gt;$B$173,$B$78="Refinance",ISNUMBER($B$80),$B$80&gt;=0,$B$80&lt;=1,ROUND($B$81*12,0)&gt;=1,$B$81&lt;=100,SUM($B$82)&gt;=0,SUM($B$82)&lt;=1,SUM($B$83)&gt;=0)),OR(1085=1,1085=$B$174+1,AND($B$175&gt;0,1085=$B$175+1))),IF(AND($B$170=1,$B$66&gt;0,OR($B$175=0,1085&lt;=$B$175)),$B$66,IF($B$172-MAX(1085-1,$B$174)&gt;0,IF(B1485=0,0,IF(C1485=0,B1485/($B$172-MAX(1085-1,$B$174)),B1485*(C1485/12)/(1-(1+C1485/12)^(-($B$172-MAX(1085-1,$B$174)))))),"")),D1484)))),""),""))</x:f>
        <x:v>0</x:v>
      </x:c>
      <x:c r="E1485" s="440" t="n">
        <x:f>IF(AND(1085=$B$173,ISNUMBER(D1485)),IF(MAX(0,B1485*(1+C1485/12)-D1485)&lt;MAX(0.0000001,$E$17*0.00000000001),0,MAX(0,B1485*(1+C1485/12)-D1485)),0)</x:f>
        <x:v>0</x:v>
      </x:c>
      <x:c r="F1485" s="440" t="n">
        <x:f>IF($B$78="Cash payoff",E1485,0)</x:f>
        <x:v>0</x:v>
      </x:c>
      <x:c r="G1485" s="440" t="n">
        <x:f>IF(AND(E1485&gt;0,AND($B$78="Refinance",ISNUMBER($B$80),$B$80&gt;=0,$B$80&lt;=1,ROUND($B$81*12,0)&gt;=1,$B$81&lt;=100,SUM($B$82)&gt;=0,SUM($B$82)&lt;=1,SUM($B$83)&gt;=0)),E1485*SUM($B$82)+SUM($B$83),0)</x:f>
        <x:v>0</x:v>
      </x:c>
      <x:c r="H1485" s="440" t="n">
        <x:f>IF(ISNUMBER(D1485),IF(MAX(0,B1485*(1+C1485/12)-D1485-F1485)&lt;MAX(0.0000001,$E$17*0.00000000001),0,MAX(0,B1485*(1+C1485/12)-D1485-F1485)),IF(AND($B$171=1,I1484=1),B1485,""))</x:f>
        <x:v>0</x:v>
      </x:c>
      <x:c r="I1485" s="444" t="n">
        <x:f>IF(OR(I1484=1,AND(E1485&gt;0,$B$78&lt;&gt;"Cash payoff",NOT(AND($B$78="Refinance",ISNUMBER($B$80),$B$80&gt;=0,$B$80&lt;=1,ROUND($B$81*12,0)&gt;=1,$B$81&lt;=100,SUM($B$82)&gt;=0,SUM($B$82)&lt;=1,SUM($B$83)&gt;=0))),AND(ISNUMBER(B1485),B1485&gt;0,$B$171=1,NOT(ISNUMBER(D1485)))),1,0)</x:f>
        <x:v>0</x:v>
      </x:c>
      <x:c r="J1485" s="440" t="n">
        <x:f>IF(ISNUMBER(L1484),L1484,"")</x:f>
        <x:v>0</x:v>
      </x:c>
      <x:c r="K1485" s="440" t="n">
        <x:f>IF(AND(ISNUMBER(J1485),J1485=0),0,IF(AND($B$176=1,ISNUMBER(J1485)),MIN(J1485*(1+$B$87/12),IF($B$86=0,0,IF($B$87=0,$B$86/ROUND($B$88*12,0),$B$86*($B$87/12)/(1-(1+$B$87/12)^(-ROUND($B$88*12,0)))))),""))</x:f>
        <x:v>0</x:v>
      </x:c>
      <x:c r="L1485" s="440" t="n">
        <x:f>IF(ISNUMBER(K1485),IF(MAX(0,J1485*(1+SUM($B$87)/12)-K1485)&lt;MAX(0.0000001,$B$86*0.00000000001),0,MAX(0,J1485*(1+SUM($B$87)/12)-K1485)),"")</x:f>
        <x:v>0</x:v>
      </x:c>
      <x:c r="M1485" s="440" t="n">
        <x:f>IF(AND(ISNUMBER(D1485),ISNUMBER(K1485)),D1485+K1485,"")</x:f>
        <x:v>0</x:v>
      </x:c>
      <x:c r="N1485" s="440" t="n">
        <x:f>IF(AND(ISNUMBER(H1485),ISNUMBER(L1485)),H1485+L1485,"")</x:f>
        <x:v>0</x:v>
      </x:c>
    </x:row>
    <x:row r="1486" ht="22" customHeight="1">
      <x:c r="A1486" s="254" t="n">
        <x:f>1086</x:f>
        <x:v>1086</x:v>
      </x:c>
      <x:c r="B1486" s="440" t="n">
        <x:f>IF(ISNUMBER(H1485),H1485,"")</x:f>
        <x:v>0</x:v>
      </x:c>
      <x:c r="C1486" s="442" t="n">
        <x:f>IF(ISNUMBER(B1486),IF(AND(1086&gt;$B$173,$B$78="Refinance",ISNUMBER($B$80),$B$80&gt;=0,$B$80&lt;=1,ROUND($B$81*12,0)&gt;=1,$B$81&lt;=100,SUM($B$82)&gt;=0,SUM($B$82)&lt;=1,SUM($B$83)&gt;=0),$B$80,IF(AND($B$175&gt;0,1086&gt;$B$175,ISNUMBER($B$75)),$B$75,$B$61)),"")</x:f>
        <x:v>0.0625</x:v>
      </x:c>
      <x:c r="D1486" s="440" t="n">
        <x:f>IF(AND(ISNUMBER(B1486),B1486=0),0,IF(AND($B$171=1,I1485=0,ISNUMBER(C1486),ISNUMBER(IF(AND(1086&lt;=$B$174,1086&lt;=$B$173),B1486*C1486/12,IF(AND(1086=$B$173+1,AND(1086&gt;$B$173,$B$78="Refinance",ISNUMBER($B$80),$B$80&gt;=0,$B$80&lt;=1,ROUND($B$81*12,0)&gt;=1,$B$81&lt;=100,SUM($B$82)&gt;=0,SUM($B$82)&lt;=1,SUM($B$83)&gt;=0)),IF(B1486=0,0,IF(C1486=0,B1486/ROUND($B$81*12,0),B1486*(C1486/12)/(1-(1+C1486/12)^(-ROUND($B$81*12,0))))),IF(AND(NOT(AND(1086&gt;$B$173,$B$78="Refinance",ISNUMBER($B$80),$B$80&gt;=0,$B$80&lt;=1,ROUND($B$81*12,0)&gt;=1,$B$81&lt;=100,SUM($B$82)&gt;=0,SUM($B$82)&lt;=1,SUM($B$83)&gt;=0)),OR(1086=1,1086=$B$174+1,AND($B$175&gt;0,1086=$B$175+1))),IF(AND($B$170=1,$B$66&gt;0,OR($B$175=0,1086&lt;=$B$175)),$B$66,IF($B$172-MAX(1086-1,$B$174)&gt;0,IF(B1486=0,0,IF(C1486=0,B1486/($B$172-MAX(1086-1,$B$174)),B1486*(C1486/12)/(1-(1+C1486/12)^(-($B$172-MAX(1086-1,$B$174)))))),"")),D1485))))),IF(IF(AND(1086&lt;=$B$174,1086&lt;=$B$173),B1486*C1486/12,IF(AND(1086=$B$173+1,AND(1086&gt;$B$173,$B$78="Refinance",ISNUMBER($B$80),$B$80&gt;=0,$B$80&lt;=1,ROUND($B$81*12,0)&gt;=1,$B$81&lt;=100,SUM($B$82)&gt;=0,SUM($B$82)&lt;=1,SUM($B$83)&gt;=0)),IF(B1486=0,0,IF(C1486=0,B1486/ROUND($B$81*12,0),B1486*(C1486/12)/(1-(1+C1486/12)^(-ROUND($B$81*12,0))))),IF(AND(NOT(AND(1086&gt;$B$173,$B$78="Refinance",ISNUMBER($B$80),$B$80&gt;=0,$B$80&lt;=1,ROUND($B$81*12,0)&gt;=1,$B$81&lt;=100,SUM($B$82)&gt;=0,SUM($B$82)&lt;=1,SUM($B$83)&gt;=0)),OR(1086=1,1086=$B$174+1,AND($B$175&gt;0,1086=$B$175+1))),IF(AND($B$170=1,$B$66&gt;0,OR($B$175=0,1086&lt;=$B$175)),$B$66,IF($B$172-MAX(1086-1,$B$174)&gt;0,IF(B1486=0,0,IF(C1486=0,B1486/($B$172-MAX(1086-1,$B$174)),B1486*(C1486/12)/(1-(1+C1486/12)^(-($B$172-MAX(1086-1,$B$174)))))),"")),D1485)))+0.0000001&gt;=B1486*C1486/12,MIN(B1486*(1+C1486/12),IF(AND(1086&lt;=$B$174,1086&lt;=$B$173),B1486*C1486/12,IF(AND(1086=$B$173+1,AND(1086&gt;$B$173,$B$78="Refinance",ISNUMBER($B$80),$B$80&gt;=0,$B$80&lt;=1,ROUND($B$81*12,0)&gt;=1,$B$81&lt;=100,SUM($B$82)&gt;=0,SUM($B$82)&lt;=1,SUM($B$83)&gt;=0)),IF(B1486=0,0,IF(C1486=0,B1486/ROUND($B$81*12,0),B1486*(C1486/12)/(1-(1+C1486/12)^(-ROUND($B$81*12,0))))),IF(AND(NOT(AND(1086&gt;$B$173,$B$78="Refinance",ISNUMBER($B$80),$B$80&gt;=0,$B$80&lt;=1,ROUND($B$81*12,0)&gt;=1,$B$81&lt;=100,SUM($B$82)&gt;=0,SUM($B$82)&lt;=1,SUM($B$83)&gt;=0)),OR(1086=1,1086=$B$174+1,AND($B$175&gt;0,1086=$B$175+1))),IF(AND($B$170=1,$B$66&gt;0,OR($B$175=0,1086&lt;=$B$175)),$B$66,IF($B$172-MAX(1086-1,$B$174)&gt;0,IF(B1486=0,0,IF(C1486=0,B1486/($B$172-MAX(1086-1,$B$174)),B1486*(C1486/12)/(1-(1+C1486/12)^(-($B$172-MAX(1086-1,$B$174)))))),"")),D1485)))),""),""))</x:f>
        <x:v>0</x:v>
      </x:c>
      <x:c r="E1486" s="440" t="n">
        <x:f>IF(AND(1086=$B$173,ISNUMBER(D1486)),IF(MAX(0,B1486*(1+C1486/12)-D1486)&lt;MAX(0.0000001,$E$17*0.00000000001),0,MAX(0,B1486*(1+C1486/12)-D1486)),0)</x:f>
        <x:v>0</x:v>
      </x:c>
      <x:c r="F1486" s="440" t="n">
        <x:f>IF($B$78="Cash payoff",E1486,0)</x:f>
        <x:v>0</x:v>
      </x:c>
      <x:c r="G1486" s="440" t="n">
        <x:f>IF(AND(E1486&gt;0,AND($B$78="Refinance",ISNUMBER($B$80),$B$80&gt;=0,$B$80&lt;=1,ROUND($B$81*12,0)&gt;=1,$B$81&lt;=100,SUM($B$82)&gt;=0,SUM($B$82)&lt;=1,SUM($B$83)&gt;=0)),E1486*SUM($B$82)+SUM($B$83),0)</x:f>
        <x:v>0</x:v>
      </x:c>
      <x:c r="H1486" s="440" t="n">
        <x:f>IF(ISNUMBER(D1486),IF(MAX(0,B1486*(1+C1486/12)-D1486-F1486)&lt;MAX(0.0000001,$E$17*0.00000000001),0,MAX(0,B1486*(1+C1486/12)-D1486-F1486)),IF(AND($B$171=1,I1485=1),B1486,""))</x:f>
        <x:v>0</x:v>
      </x:c>
      <x:c r="I1486" s="444" t="n">
        <x:f>IF(OR(I1485=1,AND(E1486&gt;0,$B$78&lt;&gt;"Cash payoff",NOT(AND($B$78="Refinance",ISNUMBER($B$80),$B$80&gt;=0,$B$80&lt;=1,ROUND($B$81*12,0)&gt;=1,$B$81&lt;=100,SUM($B$82)&gt;=0,SUM($B$82)&lt;=1,SUM($B$83)&gt;=0))),AND(ISNUMBER(B1486),B1486&gt;0,$B$171=1,NOT(ISNUMBER(D1486)))),1,0)</x:f>
        <x:v>0</x:v>
      </x:c>
      <x:c r="J1486" s="440" t="n">
        <x:f>IF(ISNUMBER(L1485),L1485,"")</x:f>
        <x:v>0</x:v>
      </x:c>
      <x:c r="K1486" s="440" t="n">
        <x:f>IF(AND(ISNUMBER(J1486),J1486=0),0,IF(AND($B$176=1,ISNUMBER(J1486)),MIN(J1486*(1+$B$87/12),IF($B$86=0,0,IF($B$87=0,$B$86/ROUND($B$88*12,0),$B$86*($B$87/12)/(1-(1+$B$87/12)^(-ROUND($B$88*12,0)))))),""))</x:f>
        <x:v>0</x:v>
      </x:c>
      <x:c r="L1486" s="440" t="n">
        <x:f>IF(ISNUMBER(K1486),IF(MAX(0,J1486*(1+SUM($B$87)/12)-K1486)&lt;MAX(0.0000001,$B$86*0.00000000001),0,MAX(0,J1486*(1+SUM($B$87)/12)-K1486)),"")</x:f>
        <x:v>0</x:v>
      </x:c>
      <x:c r="M1486" s="440" t="n">
        <x:f>IF(AND(ISNUMBER(D1486),ISNUMBER(K1486)),D1486+K1486,"")</x:f>
        <x:v>0</x:v>
      </x:c>
      <x:c r="N1486" s="440" t="n">
        <x:f>IF(AND(ISNUMBER(H1486),ISNUMBER(L1486)),H1486+L1486,"")</x:f>
        <x:v>0</x:v>
      </x:c>
    </x:row>
    <x:row r="1487" ht="22" customHeight="1">
      <x:c r="A1487" s="254" t="n">
        <x:f>1087</x:f>
        <x:v>1087</x:v>
      </x:c>
      <x:c r="B1487" s="440" t="n">
        <x:f>IF(ISNUMBER(H1486),H1486,"")</x:f>
        <x:v>0</x:v>
      </x:c>
      <x:c r="C1487" s="442" t="n">
        <x:f>IF(ISNUMBER(B1487),IF(AND(1087&gt;$B$173,$B$78="Refinance",ISNUMBER($B$80),$B$80&gt;=0,$B$80&lt;=1,ROUND($B$81*12,0)&gt;=1,$B$81&lt;=100,SUM($B$82)&gt;=0,SUM($B$82)&lt;=1,SUM($B$83)&gt;=0),$B$80,IF(AND($B$175&gt;0,1087&gt;$B$175,ISNUMBER($B$75)),$B$75,$B$61)),"")</x:f>
        <x:v>0.0625</x:v>
      </x:c>
      <x:c r="D1487" s="440" t="n">
        <x:f>IF(AND(ISNUMBER(B1487),B1487=0),0,IF(AND($B$171=1,I1486=0,ISNUMBER(C1487),ISNUMBER(IF(AND(1087&lt;=$B$174,1087&lt;=$B$173),B1487*C1487/12,IF(AND(1087=$B$173+1,AND(1087&gt;$B$173,$B$78="Refinance",ISNUMBER($B$80),$B$80&gt;=0,$B$80&lt;=1,ROUND($B$81*12,0)&gt;=1,$B$81&lt;=100,SUM($B$82)&gt;=0,SUM($B$82)&lt;=1,SUM($B$83)&gt;=0)),IF(B1487=0,0,IF(C1487=0,B1487/ROUND($B$81*12,0),B1487*(C1487/12)/(1-(1+C1487/12)^(-ROUND($B$81*12,0))))),IF(AND(NOT(AND(1087&gt;$B$173,$B$78="Refinance",ISNUMBER($B$80),$B$80&gt;=0,$B$80&lt;=1,ROUND($B$81*12,0)&gt;=1,$B$81&lt;=100,SUM($B$82)&gt;=0,SUM($B$82)&lt;=1,SUM($B$83)&gt;=0)),OR(1087=1,1087=$B$174+1,AND($B$175&gt;0,1087=$B$175+1))),IF(AND($B$170=1,$B$66&gt;0,OR($B$175=0,1087&lt;=$B$175)),$B$66,IF($B$172-MAX(1087-1,$B$174)&gt;0,IF(B1487=0,0,IF(C1487=0,B1487/($B$172-MAX(1087-1,$B$174)),B1487*(C1487/12)/(1-(1+C1487/12)^(-($B$172-MAX(1087-1,$B$174)))))),"")),D1486))))),IF(IF(AND(1087&lt;=$B$174,1087&lt;=$B$173),B1487*C1487/12,IF(AND(1087=$B$173+1,AND(1087&gt;$B$173,$B$78="Refinance",ISNUMBER($B$80),$B$80&gt;=0,$B$80&lt;=1,ROUND($B$81*12,0)&gt;=1,$B$81&lt;=100,SUM($B$82)&gt;=0,SUM($B$82)&lt;=1,SUM($B$83)&gt;=0)),IF(B1487=0,0,IF(C1487=0,B1487/ROUND($B$81*12,0),B1487*(C1487/12)/(1-(1+C1487/12)^(-ROUND($B$81*12,0))))),IF(AND(NOT(AND(1087&gt;$B$173,$B$78="Refinance",ISNUMBER($B$80),$B$80&gt;=0,$B$80&lt;=1,ROUND($B$81*12,0)&gt;=1,$B$81&lt;=100,SUM($B$82)&gt;=0,SUM($B$82)&lt;=1,SUM($B$83)&gt;=0)),OR(1087=1,1087=$B$174+1,AND($B$175&gt;0,1087=$B$175+1))),IF(AND($B$170=1,$B$66&gt;0,OR($B$175=0,1087&lt;=$B$175)),$B$66,IF($B$172-MAX(1087-1,$B$174)&gt;0,IF(B1487=0,0,IF(C1487=0,B1487/($B$172-MAX(1087-1,$B$174)),B1487*(C1487/12)/(1-(1+C1487/12)^(-($B$172-MAX(1087-1,$B$174)))))),"")),D1486)))+0.0000001&gt;=B1487*C1487/12,MIN(B1487*(1+C1487/12),IF(AND(1087&lt;=$B$174,1087&lt;=$B$173),B1487*C1487/12,IF(AND(1087=$B$173+1,AND(1087&gt;$B$173,$B$78="Refinance",ISNUMBER($B$80),$B$80&gt;=0,$B$80&lt;=1,ROUND($B$81*12,0)&gt;=1,$B$81&lt;=100,SUM($B$82)&gt;=0,SUM($B$82)&lt;=1,SUM($B$83)&gt;=0)),IF(B1487=0,0,IF(C1487=0,B1487/ROUND($B$81*12,0),B1487*(C1487/12)/(1-(1+C1487/12)^(-ROUND($B$81*12,0))))),IF(AND(NOT(AND(1087&gt;$B$173,$B$78="Refinance",ISNUMBER($B$80),$B$80&gt;=0,$B$80&lt;=1,ROUND($B$81*12,0)&gt;=1,$B$81&lt;=100,SUM($B$82)&gt;=0,SUM($B$82)&lt;=1,SUM($B$83)&gt;=0)),OR(1087=1,1087=$B$174+1,AND($B$175&gt;0,1087=$B$175+1))),IF(AND($B$170=1,$B$66&gt;0,OR($B$175=0,1087&lt;=$B$175)),$B$66,IF($B$172-MAX(1087-1,$B$174)&gt;0,IF(B1487=0,0,IF(C1487=0,B1487/($B$172-MAX(1087-1,$B$174)),B1487*(C1487/12)/(1-(1+C1487/12)^(-($B$172-MAX(1087-1,$B$174)))))),"")),D1486)))),""),""))</x:f>
        <x:v>0</x:v>
      </x:c>
      <x:c r="E1487" s="440" t="n">
        <x:f>IF(AND(1087=$B$173,ISNUMBER(D1487)),IF(MAX(0,B1487*(1+C1487/12)-D1487)&lt;MAX(0.0000001,$E$17*0.00000000001),0,MAX(0,B1487*(1+C1487/12)-D1487)),0)</x:f>
        <x:v>0</x:v>
      </x:c>
      <x:c r="F1487" s="440" t="n">
        <x:f>IF($B$78="Cash payoff",E1487,0)</x:f>
        <x:v>0</x:v>
      </x:c>
      <x:c r="G1487" s="440" t="n">
        <x:f>IF(AND(E1487&gt;0,AND($B$78="Refinance",ISNUMBER($B$80),$B$80&gt;=0,$B$80&lt;=1,ROUND($B$81*12,0)&gt;=1,$B$81&lt;=100,SUM($B$82)&gt;=0,SUM($B$82)&lt;=1,SUM($B$83)&gt;=0)),E1487*SUM($B$82)+SUM($B$83),0)</x:f>
        <x:v>0</x:v>
      </x:c>
      <x:c r="H1487" s="440" t="n">
        <x:f>IF(ISNUMBER(D1487),IF(MAX(0,B1487*(1+C1487/12)-D1487-F1487)&lt;MAX(0.0000001,$E$17*0.00000000001),0,MAX(0,B1487*(1+C1487/12)-D1487-F1487)),IF(AND($B$171=1,I1486=1),B1487,""))</x:f>
        <x:v>0</x:v>
      </x:c>
      <x:c r="I1487" s="444" t="n">
        <x:f>IF(OR(I1486=1,AND(E1487&gt;0,$B$78&lt;&gt;"Cash payoff",NOT(AND($B$78="Refinance",ISNUMBER($B$80),$B$80&gt;=0,$B$80&lt;=1,ROUND($B$81*12,0)&gt;=1,$B$81&lt;=100,SUM($B$82)&gt;=0,SUM($B$82)&lt;=1,SUM($B$83)&gt;=0))),AND(ISNUMBER(B1487),B1487&gt;0,$B$171=1,NOT(ISNUMBER(D1487)))),1,0)</x:f>
        <x:v>0</x:v>
      </x:c>
      <x:c r="J1487" s="440" t="n">
        <x:f>IF(ISNUMBER(L1486),L1486,"")</x:f>
        <x:v>0</x:v>
      </x:c>
      <x:c r="K1487" s="440" t="n">
        <x:f>IF(AND(ISNUMBER(J1487),J1487=0),0,IF(AND($B$176=1,ISNUMBER(J1487)),MIN(J1487*(1+$B$87/12),IF($B$86=0,0,IF($B$87=0,$B$86/ROUND($B$88*12,0),$B$86*($B$87/12)/(1-(1+$B$87/12)^(-ROUND($B$88*12,0)))))),""))</x:f>
        <x:v>0</x:v>
      </x:c>
      <x:c r="L1487" s="440" t="n">
        <x:f>IF(ISNUMBER(K1487),IF(MAX(0,J1487*(1+SUM($B$87)/12)-K1487)&lt;MAX(0.0000001,$B$86*0.00000000001),0,MAX(0,J1487*(1+SUM($B$87)/12)-K1487)),"")</x:f>
        <x:v>0</x:v>
      </x:c>
      <x:c r="M1487" s="440" t="n">
        <x:f>IF(AND(ISNUMBER(D1487),ISNUMBER(K1487)),D1487+K1487,"")</x:f>
        <x:v>0</x:v>
      </x:c>
      <x:c r="N1487" s="440" t="n">
        <x:f>IF(AND(ISNUMBER(H1487),ISNUMBER(L1487)),H1487+L1487,"")</x:f>
        <x:v>0</x:v>
      </x:c>
    </x:row>
    <x:row r="1488" ht="22" customHeight="1">
      <x:c r="A1488" s="254" t="n">
        <x:f>1088</x:f>
        <x:v>1088</x:v>
      </x:c>
      <x:c r="B1488" s="440" t="n">
        <x:f>IF(ISNUMBER(H1487),H1487,"")</x:f>
        <x:v>0</x:v>
      </x:c>
      <x:c r="C1488" s="442" t="n">
        <x:f>IF(ISNUMBER(B1488),IF(AND(1088&gt;$B$173,$B$78="Refinance",ISNUMBER($B$80),$B$80&gt;=0,$B$80&lt;=1,ROUND($B$81*12,0)&gt;=1,$B$81&lt;=100,SUM($B$82)&gt;=0,SUM($B$82)&lt;=1,SUM($B$83)&gt;=0),$B$80,IF(AND($B$175&gt;0,1088&gt;$B$175,ISNUMBER($B$75)),$B$75,$B$61)),"")</x:f>
        <x:v>0.0625</x:v>
      </x:c>
      <x:c r="D1488" s="440" t="n">
        <x:f>IF(AND(ISNUMBER(B1488),B1488=0),0,IF(AND($B$171=1,I1487=0,ISNUMBER(C1488),ISNUMBER(IF(AND(1088&lt;=$B$174,1088&lt;=$B$173),B1488*C1488/12,IF(AND(1088=$B$173+1,AND(1088&gt;$B$173,$B$78="Refinance",ISNUMBER($B$80),$B$80&gt;=0,$B$80&lt;=1,ROUND($B$81*12,0)&gt;=1,$B$81&lt;=100,SUM($B$82)&gt;=0,SUM($B$82)&lt;=1,SUM($B$83)&gt;=0)),IF(B1488=0,0,IF(C1488=0,B1488/ROUND($B$81*12,0),B1488*(C1488/12)/(1-(1+C1488/12)^(-ROUND($B$81*12,0))))),IF(AND(NOT(AND(1088&gt;$B$173,$B$78="Refinance",ISNUMBER($B$80),$B$80&gt;=0,$B$80&lt;=1,ROUND($B$81*12,0)&gt;=1,$B$81&lt;=100,SUM($B$82)&gt;=0,SUM($B$82)&lt;=1,SUM($B$83)&gt;=0)),OR(1088=1,1088=$B$174+1,AND($B$175&gt;0,1088=$B$175+1))),IF(AND($B$170=1,$B$66&gt;0,OR($B$175=0,1088&lt;=$B$175)),$B$66,IF($B$172-MAX(1088-1,$B$174)&gt;0,IF(B1488=0,0,IF(C1488=0,B1488/($B$172-MAX(1088-1,$B$174)),B1488*(C1488/12)/(1-(1+C1488/12)^(-($B$172-MAX(1088-1,$B$174)))))),"")),D1487))))),IF(IF(AND(1088&lt;=$B$174,1088&lt;=$B$173),B1488*C1488/12,IF(AND(1088=$B$173+1,AND(1088&gt;$B$173,$B$78="Refinance",ISNUMBER($B$80),$B$80&gt;=0,$B$80&lt;=1,ROUND($B$81*12,0)&gt;=1,$B$81&lt;=100,SUM($B$82)&gt;=0,SUM($B$82)&lt;=1,SUM($B$83)&gt;=0)),IF(B1488=0,0,IF(C1488=0,B1488/ROUND($B$81*12,0),B1488*(C1488/12)/(1-(1+C1488/12)^(-ROUND($B$81*12,0))))),IF(AND(NOT(AND(1088&gt;$B$173,$B$78="Refinance",ISNUMBER($B$80),$B$80&gt;=0,$B$80&lt;=1,ROUND($B$81*12,0)&gt;=1,$B$81&lt;=100,SUM($B$82)&gt;=0,SUM($B$82)&lt;=1,SUM($B$83)&gt;=0)),OR(1088=1,1088=$B$174+1,AND($B$175&gt;0,1088=$B$175+1))),IF(AND($B$170=1,$B$66&gt;0,OR($B$175=0,1088&lt;=$B$175)),$B$66,IF($B$172-MAX(1088-1,$B$174)&gt;0,IF(B1488=0,0,IF(C1488=0,B1488/($B$172-MAX(1088-1,$B$174)),B1488*(C1488/12)/(1-(1+C1488/12)^(-($B$172-MAX(1088-1,$B$174)))))),"")),D1487)))+0.0000001&gt;=B1488*C1488/12,MIN(B1488*(1+C1488/12),IF(AND(1088&lt;=$B$174,1088&lt;=$B$173),B1488*C1488/12,IF(AND(1088=$B$173+1,AND(1088&gt;$B$173,$B$78="Refinance",ISNUMBER($B$80),$B$80&gt;=0,$B$80&lt;=1,ROUND($B$81*12,0)&gt;=1,$B$81&lt;=100,SUM($B$82)&gt;=0,SUM($B$82)&lt;=1,SUM($B$83)&gt;=0)),IF(B1488=0,0,IF(C1488=0,B1488/ROUND($B$81*12,0),B1488*(C1488/12)/(1-(1+C1488/12)^(-ROUND($B$81*12,0))))),IF(AND(NOT(AND(1088&gt;$B$173,$B$78="Refinance",ISNUMBER($B$80),$B$80&gt;=0,$B$80&lt;=1,ROUND($B$81*12,0)&gt;=1,$B$81&lt;=100,SUM($B$82)&gt;=0,SUM($B$82)&lt;=1,SUM($B$83)&gt;=0)),OR(1088=1,1088=$B$174+1,AND($B$175&gt;0,1088=$B$175+1))),IF(AND($B$170=1,$B$66&gt;0,OR($B$175=0,1088&lt;=$B$175)),$B$66,IF($B$172-MAX(1088-1,$B$174)&gt;0,IF(B1488=0,0,IF(C1488=0,B1488/($B$172-MAX(1088-1,$B$174)),B1488*(C1488/12)/(1-(1+C1488/12)^(-($B$172-MAX(1088-1,$B$174)))))),"")),D1487)))),""),""))</x:f>
        <x:v>0</x:v>
      </x:c>
      <x:c r="E1488" s="440" t="n">
        <x:f>IF(AND(1088=$B$173,ISNUMBER(D1488)),IF(MAX(0,B1488*(1+C1488/12)-D1488)&lt;MAX(0.0000001,$E$17*0.00000000001),0,MAX(0,B1488*(1+C1488/12)-D1488)),0)</x:f>
        <x:v>0</x:v>
      </x:c>
      <x:c r="F1488" s="440" t="n">
        <x:f>IF($B$78="Cash payoff",E1488,0)</x:f>
        <x:v>0</x:v>
      </x:c>
      <x:c r="G1488" s="440" t="n">
        <x:f>IF(AND(E1488&gt;0,AND($B$78="Refinance",ISNUMBER($B$80),$B$80&gt;=0,$B$80&lt;=1,ROUND($B$81*12,0)&gt;=1,$B$81&lt;=100,SUM($B$82)&gt;=0,SUM($B$82)&lt;=1,SUM($B$83)&gt;=0)),E1488*SUM($B$82)+SUM($B$83),0)</x:f>
        <x:v>0</x:v>
      </x:c>
      <x:c r="H1488" s="440" t="n">
        <x:f>IF(ISNUMBER(D1488),IF(MAX(0,B1488*(1+C1488/12)-D1488-F1488)&lt;MAX(0.0000001,$E$17*0.00000000001),0,MAX(0,B1488*(1+C1488/12)-D1488-F1488)),IF(AND($B$171=1,I1487=1),B1488,""))</x:f>
        <x:v>0</x:v>
      </x:c>
      <x:c r="I1488" s="444" t="n">
        <x:f>IF(OR(I1487=1,AND(E1488&gt;0,$B$78&lt;&gt;"Cash payoff",NOT(AND($B$78="Refinance",ISNUMBER($B$80),$B$80&gt;=0,$B$80&lt;=1,ROUND($B$81*12,0)&gt;=1,$B$81&lt;=100,SUM($B$82)&gt;=0,SUM($B$82)&lt;=1,SUM($B$83)&gt;=0))),AND(ISNUMBER(B1488),B1488&gt;0,$B$171=1,NOT(ISNUMBER(D1488)))),1,0)</x:f>
        <x:v>0</x:v>
      </x:c>
      <x:c r="J1488" s="440" t="n">
        <x:f>IF(ISNUMBER(L1487),L1487,"")</x:f>
        <x:v>0</x:v>
      </x:c>
      <x:c r="K1488" s="440" t="n">
        <x:f>IF(AND(ISNUMBER(J1488),J1488=0),0,IF(AND($B$176=1,ISNUMBER(J1488)),MIN(J1488*(1+$B$87/12),IF($B$86=0,0,IF($B$87=0,$B$86/ROUND($B$88*12,0),$B$86*($B$87/12)/(1-(1+$B$87/12)^(-ROUND($B$88*12,0)))))),""))</x:f>
        <x:v>0</x:v>
      </x:c>
      <x:c r="L1488" s="440" t="n">
        <x:f>IF(ISNUMBER(K1488),IF(MAX(0,J1488*(1+SUM($B$87)/12)-K1488)&lt;MAX(0.0000001,$B$86*0.00000000001),0,MAX(0,J1488*(1+SUM($B$87)/12)-K1488)),"")</x:f>
        <x:v>0</x:v>
      </x:c>
      <x:c r="M1488" s="440" t="n">
        <x:f>IF(AND(ISNUMBER(D1488),ISNUMBER(K1488)),D1488+K1488,"")</x:f>
        <x:v>0</x:v>
      </x:c>
      <x:c r="N1488" s="440" t="n">
        <x:f>IF(AND(ISNUMBER(H1488),ISNUMBER(L1488)),H1488+L1488,"")</x:f>
        <x:v>0</x:v>
      </x:c>
    </x:row>
    <x:row r="1489" ht="22" customHeight="1">
      <x:c r="A1489" s="254" t="n">
        <x:f>1089</x:f>
        <x:v>1089</x:v>
      </x:c>
      <x:c r="B1489" s="440" t="n">
        <x:f>IF(ISNUMBER(H1488),H1488,"")</x:f>
        <x:v>0</x:v>
      </x:c>
      <x:c r="C1489" s="442" t="n">
        <x:f>IF(ISNUMBER(B1489),IF(AND(1089&gt;$B$173,$B$78="Refinance",ISNUMBER($B$80),$B$80&gt;=0,$B$80&lt;=1,ROUND($B$81*12,0)&gt;=1,$B$81&lt;=100,SUM($B$82)&gt;=0,SUM($B$82)&lt;=1,SUM($B$83)&gt;=0),$B$80,IF(AND($B$175&gt;0,1089&gt;$B$175,ISNUMBER($B$75)),$B$75,$B$61)),"")</x:f>
        <x:v>0.0625</x:v>
      </x:c>
      <x:c r="D1489" s="440" t="n">
        <x:f>IF(AND(ISNUMBER(B1489),B1489=0),0,IF(AND($B$171=1,I1488=0,ISNUMBER(C1489),ISNUMBER(IF(AND(1089&lt;=$B$174,1089&lt;=$B$173),B1489*C1489/12,IF(AND(1089=$B$173+1,AND(1089&gt;$B$173,$B$78="Refinance",ISNUMBER($B$80),$B$80&gt;=0,$B$80&lt;=1,ROUND($B$81*12,0)&gt;=1,$B$81&lt;=100,SUM($B$82)&gt;=0,SUM($B$82)&lt;=1,SUM($B$83)&gt;=0)),IF(B1489=0,0,IF(C1489=0,B1489/ROUND($B$81*12,0),B1489*(C1489/12)/(1-(1+C1489/12)^(-ROUND($B$81*12,0))))),IF(AND(NOT(AND(1089&gt;$B$173,$B$78="Refinance",ISNUMBER($B$80),$B$80&gt;=0,$B$80&lt;=1,ROUND($B$81*12,0)&gt;=1,$B$81&lt;=100,SUM($B$82)&gt;=0,SUM($B$82)&lt;=1,SUM($B$83)&gt;=0)),OR(1089=1,1089=$B$174+1,AND($B$175&gt;0,1089=$B$175+1))),IF(AND($B$170=1,$B$66&gt;0,OR($B$175=0,1089&lt;=$B$175)),$B$66,IF($B$172-MAX(1089-1,$B$174)&gt;0,IF(B1489=0,0,IF(C1489=0,B1489/($B$172-MAX(1089-1,$B$174)),B1489*(C1489/12)/(1-(1+C1489/12)^(-($B$172-MAX(1089-1,$B$174)))))),"")),D1488))))),IF(IF(AND(1089&lt;=$B$174,1089&lt;=$B$173),B1489*C1489/12,IF(AND(1089=$B$173+1,AND(1089&gt;$B$173,$B$78="Refinance",ISNUMBER($B$80),$B$80&gt;=0,$B$80&lt;=1,ROUND($B$81*12,0)&gt;=1,$B$81&lt;=100,SUM($B$82)&gt;=0,SUM($B$82)&lt;=1,SUM($B$83)&gt;=0)),IF(B1489=0,0,IF(C1489=0,B1489/ROUND($B$81*12,0),B1489*(C1489/12)/(1-(1+C1489/12)^(-ROUND($B$81*12,0))))),IF(AND(NOT(AND(1089&gt;$B$173,$B$78="Refinance",ISNUMBER($B$80),$B$80&gt;=0,$B$80&lt;=1,ROUND($B$81*12,0)&gt;=1,$B$81&lt;=100,SUM($B$82)&gt;=0,SUM($B$82)&lt;=1,SUM($B$83)&gt;=0)),OR(1089=1,1089=$B$174+1,AND($B$175&gt;0,1089=$B$175+1))),IF(AND($B$170=1,$B$66&gt;0,OR($B$175=0,1089&lt;=$B$175)),$B$66,IF($B$172-MAX(1089-1,$B$174)&gt;0,IF(B1489=0,0,IF(C1489=0,B1489/($B$172-MAX(1089-1,$B$174)),B1489*(C1489/12)/(1-(1+C1489/12)^(-($B$172-MAX(1089-1,$B$174)))))),"")),D1488)))+0.0000001&gt;=B1489*C1489/12,MIN(B1489*(1+C1489/12),IF(AND(1089&lt;=$B$174,1089&lt;=$B$173),B1489*C1489/12,IF(AND(1089=$B$173+1,AND(1089&gt;$B$173,$B$78="Refinance",ISNUMBER($B$80),$B$80&gt;=0,$B$80&lt;=1,ROUND($B$81*12,0)&gt;=1,$B$81&lt;=100,SUM($B$82)&gt;=0,SUM($B$82)&lt;=1,SUM($B$83)&gt;=0)),IF(B1489=0,0,IF(C1489=0,B1489/ROUND($B$81*12,0),B1489*(C1489/12)/(1-(1+C1489/12)^(-ROUND($B$81*12,0))))),IF(AND(NOT(AND(1089&gt;$B$173,$B$78="Refinance",ISNUMBER($B$80),$B$80&gt;=0,$B$80&lt;=1,ROUND($B$81*12,0)&gt;=1,$B$81&lt;=100,SUM($B$82)&gt;=0,SUM($B$82)&lt;=1,SUM($B$83)&gt;=0)),OR(1089=1,1089=$B$174+1,AND($B$175&gt;0,1089=$B$175+1))),IF(AND($B$170=1,$B$66&gt;0,OR($B$175=0,1089&lt;=$B$175)),$B$66,IF($B$172-MAX(1089-1,$B$174)&gt;0,IF(B1489=0,0,IF(C1489=0,B1489/($B$172-MAX(1089-1,$B$174)),B1489*(C1489/12)/(1-(1+C1489/12)^(-($B$172-MAX(1089-1,$B$174)))))),"")),D1488)))),""),""))</x:f>
        <x:v>0</x:v>
      </x:c>
      <x:c r="E1489" s="440" t="n">
        <x:f>IF(AND(1089=$B$173,ISNUMBER(D1489)),IF(MAX(0,B1489*(1+C1489/12)-D1489)&lt;MAX(0.0000001,$E$17*0.00000000001),0,MAX(0,B1489*(1+C1489/12)-D1489)),0)</x:f>
        <x:v>0</x:v>
      </x:c>
      <x:c r="F1489" s="440" t="n">
        <x:f>IF($B$78="Cash payoff",E1489,0)</x:f>
        <x:v>0</x:v>
      </x:c>
      <x:c r="G1489" s="440" t="n">
        <x:f>IF(AND(E1489&gt;0,AND($B$78="Refinance",ISNUMBER($B$80),$B$80&gt;=0,$B$80&lt;=1,ROUND($B$81*12,0)&gt;=1,$B$81&lt;=100,SUM($B$82)&gt;=0,SUM($B$82)&lt;=1,SUM($B$83)&gt;=0)),E1489*SUM($B$82)+SUM($B$83),0)</x:f>
        <x:v>0</x:v>
      </x:c>
      <x:c r="H1489" s="440" t="n">
        <x:f>IF(ISNUMBER(D1489),IF(MAX(0,B1489*(1+C1489/12)-D1489-F1489)&lt;MAX(0.0000001,$E$17*0.00000000001),0,MAX(0,B1489*(1+C1489/12)-D1489-F1489)),IF(AND($B$171=1,I1488=1),B1489,""))</x:f>
        <x:v>0</x:v>
      </x:c>
      <x:c r="I1489" s="444" t="n">
        <x:f>IF(OR(I1488=1,AND(E1489&gt;0,$B$78&lt;&gt;"Cash payoff",NOT(AND($B$78="Refinance",ISNUMBER($B$80),$B$80&gt;=0,$B$80&lt;=1,ROUND($B$81*12,0)&gt;=1,$B$81&lt;=100,SUM($B$82)&gt;=0,SUM($B$82)&lt;=1,SUM($B$83)&gt;=0))),AND(ISNUMBER(B1489),B1489&gt;0,$B$171=1,NOT(ISNUMBER(D1489)))),1,0)</x:f>
        <x:v>0</x:v>
      </x:c>
      <x:c r="J1489" s="440" t="n">
        <x:f>IF(ISNUMBER(L1488),L1488,"")</x:f>
        <x:v>0</x:v>
      </x:c>
      <x:c r="K1489" s="440" t="n">
        <x:f>IF(AND(ISNUMBER(J1489),J1489=0),0,IF(AND($B$176=1,ISNUMBER(J1489)),MIN(J1489*(1+$B$87/12),IF($B$86=0,0,IF($B$87=0,$B$86/ROUND($B$88*12,0),$B$86*($B$87/12)/(1-(1+$B$87/12)^(-ROUND($B$88*12,0)))))),""))</x:f>
        <x:v>0</x:v>
      </x:c>
      <x:c r="L1489" s="440" t="n">
        <x:f>IF(ISNUMBER(K1489),IF(MAX(0,J1489*(1+SUM($B$87)/12)-K1489)&lt;MAX(0.0000001,$B$86*0.00000000001),0,MAX(0,J1489*(1+SUM($B$87)/12)-K1489)),"")</x:f>
        <x:v>0</x:v>
      </x:c>
      <x:c r="M1489" s="440" t="n">
        <x:f>IF(AND(ISNUMBER(D1489),ISNUMBER(K1489)),D1489+K1489,"")</x:f>
        <x:v>0</x:v>
      </x:c>
      <x:c r="N1489" s="440" t="n">
        <x:f>IF(AND(ISNUMBER(H1489),ISNUMBER(L1489)),H1489+L1489,"")</x:f>
        <x:v>0</x:v>
      </x:c>
    </x:row>
    <x:row r="1490" ht="22" customHeight="1">
      <x:c r="A1490" s="254" t="n">
        <x:f>1090</x:f>
        <x:v>1090</x:v>
      </x:c>
      <x:c r="B1490" s="440" t="n">
        <x:f>IF(ISNUMBER(H1489),H1489,"")</x:f>
        <x:v>0</x:v>
      </x:c>
      <x:c r="C1490" s="442" t="n">
        <x:f>IF(ISNUMBER(B1490),IF(AND(1090&gt;$B$173,$B$78="Refinance",ISNUMBER($B$80),$B$80&gt;=0,$B$80&lt;=1,ROUND($B$81*12,0)&gt;=1,$B$81&lt;=100,SUM($B$82)&gt;=0,SUM($B$82)&lt;=1,SUM($B$83)&gt;=0),$B$80,IF(AND($B$175&gt;0,1090&gt;$B$175,ISNUMBER($B$75)),$B$75,$B$61)),"")</x:f>
        <x:v>0.0625</x:v>
      </x:c>
      <x:c r="D1490" s="440" t="n">
        <x:f>IF(AND(ISNUMBER(B1490),B1490=0),0,IF(AND($B$171=1,I1489=0,ISNUMBER(C1490),ISNUMBER(IF(AND(1090&lt;=$B$174,1090&lt;=$B$173),B1490*C1490/12,IF(AND(1090=$B$173+1,AND(1090&gt;$B$173,$B$78="Refinance",ISNUMBER($B$80),$B$80&gt;=0,$B$80&lt;=1,ROUND($B$81*12,0)&gt;=1,$B$81&lt;=100,SUM($B$82)&gt;=0,SUM($B$82)&lt;=1,SUM($B$83)&gt;=0)),IF(B1490=0,0,IF(C1490=0,B1490/ROUND($B$81*12,0),B1490*(C1490/12)/(1-(1+C1490/12)^(-ROUND($B$81*12,0))))),IF(AND(NOT(AND(1090&gt;$B$173,$B$78="Refinance",ISNUMBER($B$80),$B$80&gt;=0,$B$80&lt;=1,ROUND($B$81*12,0)&gt;=1,$B$81&lt;=100,SUM($B$82)&gt;=0,SUM($B$82)&lt;=1,SUM($B$83)&gt;=0)),OR(1090=1,1090=$B$174+1,AND($B$175&gt;0,1090=$B$175+1))),IF(AND($B$170=1,$B$66&gt;0,OR($B$175=0,1090&lt;=$B$175)),$B$66,IF($B$172-MAX(1090-1,$B$174)&gt;0,IF(B1490=0,0,IF(C1490=0,B1490/($B$172-MAX(1090-1,$B$174)),B1490*(C1490/12)/(1-(1+C1490/12)^(-($B$172-MAX(1090-1,$B$174)))))),"")),D1489))))),IF(IF(AND(1090&lt;=$B$174,1090&lt;=$B$173),B1490*C1490/12,IF(AND(1090=$B$173+1,AND(1090&gt;$B$173,$B$78="Refinance",ISNUMBER($B$80),$B$80&gt;=0,$B$80&lt;=1,ROUND($B$81*12,0)&gt;=1,$B$81&lt;=100,SUM($B$82)&gt;=0,SUM($B$82)&lt;=1,SUM($B$83)&gt;=0)),IF(B1490=0,0,IF(C1490=0,B1490/ROUND($B$81*12,0),B1490*(C1490/12)/(1-(1+C1490/12)^(-ROUND($B$81*12,0))))),IF(AND(NOT(AND(1090&gt;$B$173,$B$78="Refinance",ISNUMBER($B$80),$B$80&gt;=0,$B$80&lt;=1,ROUND($B$81*12,0)&gt;=1,$B$81&lt;=100,SUM($B$82)&gt;=0,SUM($B$82)&lt;=1,SUM($B$83)&gt;=0)),OR(1090=1,1090=$B$174+1,AND($B$175&gt;0,1090=$B$175+1))),IF(AND($B$170=1,$B$66&gt;0,OR($B$175=0,1090&lt;=$B$175)),$B$66,IF($B$172-MAX(1090-1,$B$174)&gt;0,IF(B1490=0,0,IF(C1490=0,B1490/($B$172-MAX(1090-1,$B$174)),B1490*(C1490/12)/(1-(1+C1490/12)^(-($B$172-MAX(1090-1,$B$174)))))),"")),D1489)))+0.0000001&gt;=B1490*C1490/12,MIN(B1490*(1+C1490/12),IF(AND(1090&lt;=$B$174,1090&lt;=$B$173),B1490*C1490/12,IF(AND(1090=$B$173+1,AND(1090&gt;$B$173,$B$78="Refinance",ISNUMBER($B$80),$B$80&gt;=0,$B$80&lt;=1,ROUND($B$81*12,0)&gt;=1,$B$81&lt;=100,SUM($B$82)&gt;=0,SUM($B$82)&lt;=1,SUM($B$83)&gt;=0)),IF(B1490=0,0,IF(C1490=0,B1490/ROUND($B$81*12,0),B1490*(C1490/12)/(1-(1+C1490/12)^(-ROUND($B$81*12,0))))),IF(AND(NOT(AND(1090&gt;$B$173,$B$78="Refinance",ISNUMBER($B$80),$B$80&gt;=0,$B$80&lt;=1,ROUND($B$81*12,0)&gt;=1,$B$81&lt;=100,SUM($B$82)&gt;=0,SUM($B$82)&lt;=1,SUM($B$83)&gt;=0)),OR(1090=1,1090=$B$174+1,AND($B$175&gt;0,1090=$B$175+1))),IF(AND($B$170=1,$B$66&gt;0,OR($B$175=0,1090&lt;=$B$175)),$B$66,IF($B$172-MAX(1090-1,$B$174)&gt;0,IF(B1490=0,0,IF(C1490=0,B1490/($B$172-MAX(1090-1,$B$174)),B1490*(C1490/12)/(1-(1+C1490/12)^(-($B$172-MAX(1090-1,$B$174)))))),"")),D1489)))),""),""))</x:f>
        <x:v>0</x:v>
      </x:c>
      <x:c r="E1490" s="440" t="n">
        <x:f>IF(AND(1090=$B$173,ISNUMBER(D1490)),IF(MAX(0,B1490*(1+C1490/12)-D1490)&lt;MAX(0.0000001,$E$17*0.00000000001),0,MAX(0,B1490*(1+C1490/12)-D1490)),0)</x:f>
        <x:v>0</x:v>
      </x:c>
      <x:c r="F1490" s="440" t="n">
        <x:f>IF($B$78="Cash payoff",E1490,0)</x:f>
        <x:v>0</x:v>
      </x:c>
      <x:c r="G1490" s="440" t="n">
        <x:f>IF(AND(E1490&gt;0,AND($B$78="Refinance",ISNUMBER($B$80),$B$80&gt;=0,$B$80&lt;=1,ROUND($B$81*12,0)&gt;=1,$B$81&lt;=100,SUM($B$82)&gt;=0,SUM($B$82)&lt;=1,SUM($B$83)&gt;=0)),E1490*SUM($B$82)+SUM($B$83),0)</x:f>
        <x:v>0</x:v>
      </x:c>
      <x:c r="H1490" s="440" t="n">
        <x:f>IF(ISNUMBER(D1490),IF(MAX(0,B1490*(1+C1490/12)-D1490-F1490)&lt;MAX(0.0000001,$E$17*0.00000000001),0,MAX(0,B1490*(1+C1490/12)-D1490-F1490)),IF(AND($B$171=1,I1489=1),B1490,""))</x:f>
        <x:v>0</x:v>
      </x:c>
      <x:c r="I1490" s="444" t="n">
        <x:f>IF(OR(I1489=1,AND(E1490&gt;0,$B$78&lt;&gt;"Cash payoff",NOT(AND($B$78="Refinance",ISNUMBER($B$80),$B$80&gt;=0,$B$80&lt;=1,ROUND($B$81*12,0)&gt;=1,$B$81&lt;=100,SUM($B$82)&gt;=0,SUM($B$82)&lt;=1,SUM($B$83)&gt;=0))),AND(ISNUMBER(B1490),B1490&gt;0,$B$171=1,NOT(ISNUMBER(D1490)))),1,0)</x:f>
        <x:v>0</x:v>
      </x:c>
      <x:c r="J1490" s="440" t="n">
        <x:f>IF(ISNUMBER(L1489),L1489,"")</x:f>
        <x:v>0</x:v>
      </x:c>
      <x:c r="K1490" s="440" t="n">
        <x:f>IF(AND(ISNUMBER(J1490),J1490=0),0,IF(AND($B$176=1,ISNUMBER(J1490)),MIN(J1490*(1+$B$87/12),IF($B$86=0,0,IF($B$87=0,$B$86/ROUND($B$88*12,0),$B$86*($B$87/12)/(1-(1+$B$87/12)^(-ROUND($B$88*12,0)))))),""))</x:f>
        <x:v>0</x:v>
      </x:c>
      <x:c r="L1490" s="440" t="n">
        <x:f>IF(ISNUMBER(K1490),IF(MAX(0,J1490*(1+SUM($B$87)/12)-K1490)&lt;MAX(0.0000001,$B$86*0.00000000001),0,MAX(0,J1490*(1+SUM($B$87)/12)-K1490)),"")</x:f>
        <x:v>0</x:v>
      </x:c>
      <x:c r="M1490" s="440" t="n">
        <x:f>IF(AND(ISNUMBER(D1490),ISNUMBER(K1490)),D1490+K1490,"")</x:f>
        <x:v>0</x:v>
      </x:c>
      <x:c r="N1490" s="440" t="n">
        <x:f>IF(AND(ISNUMBER(H1490),ISNUMBER(L1490)),H1490+L1490,"")</x:f>
        <x:v>0</x:v>
      </x:c>
    </x:row>
    <x:row r="1491" ht="22" customHeight="1">
      <x:c r="A1491" s="254" t="n">
        <x:f>1091</x:f>
        <x:v>1091</x:v>
      </x:c>
      <x:c r="B1491" s="440" t="n">
        <x:f>IF(ISNUMBER(H1490),H1490,"")</x:f>
        <x:v>0</x:v>
      </x:c>
      <x:c r="C1491" s="442" t="n">
        <x:f>IF(ISNUMBER(B1491),IF(AND(1091&gt;$B$173,$B$78="Refinance",ISNUMBER($B$80),$B$80&gt;=0,$B$80&lt;=1,ROUND($B$81*12,0)&gt;=1,$B$81&lt;=100,SUM($B$82)&gt;=0,SUM($B$82)&lt;=1,SUM($B$83)&gt;=0),$B$80,IF(AND($B$175&gt;0,1091&gt;$B$175,ISNUMBER($B$75)),$B$75,$B$61)),"")</x:f>
        <x:v>0.0625</x:v>
      </x:c>
      <x:c r="D1491" s="440" t="n">
        <x:f>IF(AND(ISNUMBER(B1491),B1491=0),0,IF(AND($B$171=1,I1490=0,ISNUMBER(C1491),ISNUMBER(IF(AND(1091&lt;=$B$174,1091&lt;=$B$173),B1491*C1491/12,IF(AND(1091=$B$173+1,AND(1091&gt;$B$173,$B$78="Refinance",ISNUMBER($B$80),$B$80&gt;=0,$B$80&lt;=1,ROUND($B$81*12,0)&gt;=1,$B$81&lt;=100,SUM($B$82)&gt;=0,SUM($B$82)&lt;=1,SUM($B$83)&gt;=0)),IF(B1491=0,0,IF(C1491=0,B1491/ROUND($B$81*12,0),B1491*(C1491/12)/(1-(1+C1491/12)^(-ROUND($B$81*12,0))))),IF(AND(NOT(AND(1091&gt;$B$173,$B$78="Refinance",ISNUMBER($B$80),$B$80&gt;=0,$B$80&lt;=1,ROUND($B$81*12,0)&gt;=1,$B$81&lt;=100,SUM($B$82)&gt;=0,SUM($B$82)&lt;=1,SUM($B$83)&gt;=0)),OR(1091=1,1091=$B$174+1,AND($B$175&gt;0,1091=$B$175+1))),IF(AND($B$170=1,$B$66&gt;0,OR($B$175=0,1091&lt;=$B$175)),$B$66,IF($B$172-MAX(1091-1,$B$174)&gt;0,IF(B1491=0,0,IF(C1491=0,B1491/($B$172-MAX(1091-1,$B$174)),B1491*(C1491/12)/(1-(1+C1491/12)^(-($B$172-MAX(1091-1,$B$174)))))),"")),D1490))))),IF(IF(AND(1091&lt;=$B$174,1091&lt;=$B$173),B1491*C1491/12,IF(AND(1091=$B$173+1,AND(1091&gt;$B$173,$B$78="Refinance",ISNUMBER($B$80),$B$80&gt;=0,$B$80&lt;=1,ROUND($B$81*12,0)&gt;=1,$B$81&lt;=100,SUM($B$82)&gt;=0,SUM($B$82)&lt;=1,SUM($B$83)&gt;=0)),IF(B1491=0,0,IF(C1491=0,B1491/ROUND($B$81*12,0),B1491*(C1491/12)/(1-(1+C1491/12)^(-ROUND($B$81*12,0))))),IF(AND(NOT(AND(1091&gt;$B$173,$B$78="Refinance",ISNUMBER($B$80),$B$80&gt;=0,$B$80&lt;=1,ROUND($B$81*12,0)&gt;=1,$B$81&lt;=100,SUM($B$82)&gt;=0,SUM($B$82)&lt;=1,SUM($B$83)&gt;=0)),OR(1091=1,1091=$B$174+1,AND($B$175&gt;0,1091=$B$175+1))),IF(AND($B$170=1,$B$66&gt;0,OR($B$175=0,1091&lt;=$B$175)),$B$66,IF($B$172-MAX(1091-1,$B$174)&gt;0,IF(B1491=0,0,IF(C1491=0,B1491/($B$172-MAX(1091-1,$B$174)),B1491*(C1491/12)/(1-(1+C1491/12)^(-($B$172-MAX(1091-1,$B$174)))))),"")),D1490)))+0.0000001&gt;=B1491*C1491/12,MIN(B1491*(1+C1491/12),IF(AND(1091&lt;=$B$174,1091&lt;=$B$173),B1491*C1491/12,IF(AND(1091=$B$173+1,AND(1091&gt;$B$173,$B$78="Refinance",ISNUMBER($B$80),$B$80&gt;=0,$B$80&lt;=1,ROUND($B$81*12,0)&gt;=1,$B$81&lt;=100,SUM($B$82)&gt;=0,SUM($B$82)&lt;=1,SUM($B$83)&gt;=0)),IF(B1491=0,0,IF(C1491=0,B1491/ROUND($B$81*12,0),B1491*(C1491/12)/(1-(1+C1491/12)^(-ROUND($B$81*12,0))))),IF(AND(NOT(AND(1091&gt;$B$173,$B$78="Refinance",ISNUMBER($B$80),$B$80&gt;=0,$B$80&lt;=1,ROUND($B$81*12,0)&gt;=1,$B$81&lt;=100,SUM($B$82)&gt;=0,SUM($B$82)&lt;=1,SUM($B$83)&gt;=0)),OR(1091=1,1091=$B$174+1,AND($B$175&gt;0,1091=$B$175+1))),IF(AND($B$170=1,$B$66&gt;0,OR($B$175=0,1091&lt;=$B$175)),$B$66,IF($B$172-MAX(1091-1,$B$174)&gt;0,IF(B1491=0,0,IF(C1491=0,B1491/($B$172-MAX(1091-1,$B$174)),B1491*(C1491/12)/(1-(1+C1491/12)^(-($B$172-MAX(1091-1,$B$174)))))),"")),D1490)))),""),""))</x:f>
        <x:v>0</x:v>
      </x:c>
      <x:c r="E1491" s="440" t="n">
        <x:f>IF(AND(1091=$B$173,ISNUMBER(D1491)),IF(MAX(0,B1491*(1+C1491/12)-D1491)&lt;MAX(0.0000001,$E$17*0.00000000001),0,MAX(0,B1491*(1+C1491/12)-D1491)),0)</x:f>
        <x:v>0</x:v>
      </x:c>
      <x:c r="F1491" s="440" t="n">
        <x:f>IF($B$78="Cash payoff",E1491,0)</x:f>
        <x:v>0</x:v>
      </x:c>
      <x:c r="G1491" s="440" t="n">
        <x:f>IF(AND(E1491&gt;0,AND($B$78="Refinance",ISNUMBER($B$80),$B$80&gt;=0,$B$80&lt;=1,ROUND($B$81*12,0)&gt;=1,$B$81&lt;=100,SUM($B$82)&gt;=0,SUM($B$82)&lt;=1,SUM($B$83)&gt;=0)),E1491*SUM($B$82)+SUM($B$83),0)</x:f>
        <x:v>0</x:v>
      </x:c>
      <x:c r="H1491" s="440" t="n">
        <x:f>IF(ISNUMBER(D1491),IF(MAX(0,B1491*(1+C1491/12)-D1491-F1491)&lt;MAX(0.0000001,$E$17*0.00000000001),0,MAX(0,B1491*(1+C1491/12)-D1491-F1491)),IF(AND($B$171=1,I1490=1),B1491,""))</x:f>
        <x:v>0</x:v>
      </x:c>
      <x:c r="I1491" s="444" t="n">
        <x:f>IF(OR(I1490=1,AND(E1491&gt;0,$B$78&lt;&gt;"Cash payoff",NOT(AND($B$78="Refinance",ISNUMBER($B$80),$B$80&gt;=0,$B$80&lt;=1,ROUND($B$81*12,0)&gt;=1,$B$81&lt;=100,SUM($B$82)&gt;=0,SUM($B$82)&lt;=1,SUM($B$83)&gt;=0))),AND(ISNUMBER(B1491),B1491&gt;0,$B$171=1,NOT(ISNUMBER(D1491)))),1,0)</x:f>
        <x:v>0</x:v>
      </x:c>
      <x:c r="J1491" s="440" t="n">
        <x:f>IF(ISNUMBER(L1490),L1490,"")</x:f>
        <x:v>0</x:v>
      </x:c>
      <x:c r="K1491" s="440" t="n">
        <x:f>IF(AND(ISNUMBER(J1491),J1491=0),0,IF(AND($B$176=1,ISNUMBER(J1491)),MIN(J1491*(1+$B$87/12),IF($B$86=0,0,IF($B$87=0,$B$86/ROUND($B$88*12,0),$B$86*($B$87/12)/(1-(1+$B$87/12)^(-ROUND($B$88*12,0)))))),""))</x:f>
        <x:v>0</x:v>
      </x:c>
      <x:c r="L1491" s="440" t="n">
        <x:f>IF(ISNUMBER(K1491),IF(MAX(0,J1491*(1+SUM($B$87)/12)-K1491)&lt;MAX(0.0000001,$B$86*0.00000000001),0,MAX(0,J1491*(1+SUM($B$87)/12)-K1491)),"")</x:f>
        <x:v>0</x:v>
      </x:c>
      <x:c r="M1491" s="440" t="n">
        <x:f>IF(AND(ISNUMBER(D1491),ISNUMBER(K1491)),D1491+K1491,"")</x:f>
        <x:v>0</x:v>
      </x:c>
      <x:c r="N1491" s="440" t="n">
        <x:f>IF(AND(ISNUMBER(H1491),ISNUMBER(L1491)),H1491+L1491,"")</x:f>
        <x:v>0</x:v>
      </x:c>
    </x:row>
    <x:row r="1492" ht="22" customHeight="1">
      <x:c r="A1492" s="254" t="n">
        <x:f>1092</x:f>
        <x:v>1092</x:v>
      </x:c>
      <x:c r="B1492" s="440" t="n">
        <x:f>IF(ISNUMBER(H1491),H1491,"")</x:f>
        <x:v>0</x:v>
      </x:c>
      <x:c r="C1492" s="442" t="n">
        <x:f>IF(ISNUMBER(B1492),IF(AND(1092&gt;$B$173,$B$78="Refinance",ISNUMBER($B$80),$B$80&gt;=0,$B$80&lt;=1,ROUND($B$81*12,0)&gt;=1,$B$81&lt;=100,SUM($B$82)&gt;=0,SUM($B$82)&lt;=1,SUM($B$83)&gt;=0),$B$80,IF(AND($B$175&gt;0,1092&gt;$B$175,ISNUMBER($B$75)),$B$75,$B$61)),"")</x:f>
        <x:v>0.0625</x:v>
      </x:c>
      <x:c r="D1492" s="440" t="n">
        <x:f>IF(AND(ISNUMBER(B1492),B1492=0),0,IF(AND($B$171=1,I1491=0,ISNUMBER(C1492),ISNUMBER(IF(AND(1092&lt;=$B$174,1092&lt;=$B$173),B1492*C1492/12,IF(AND(1092=$B$173+1,AND(1092&gt;$B$173,$B$78="Refinance",ISNUMBER($B$80),$B$80&gt;=0,$B$80&lt;=1,ROUND($B$81*12,0)&gt;=1,$B$81&lt;=100,SUM($B$82)&gt;=0,SUM($B$82)&lt;=1,SUM($B$83)&gt;=0)),IF(B1492=0,0,IF(C1492=0,B1492/ROUND($B$81*12,0),B1492*(C1492/12)/(1-(1+C1492/12)^(-ROUND($B$81*12,0))))),IF(AND(NOT(AND(1092&gt;$B$173,$B$78="Refinance",ISNUMBER($B$80),$B$80&gt;=0,$B$80&lt;=1,ROUND($B$81*12,0)&gt;=1,$B$81&lt;=100,SUM($B$82)&gt;=0,SUM($B$82)&lt;=1,SUM($B$83)&gt;=0)),OR(1092=1,1092=$B$174+1,AND($B$175&gt;0,1092=$B$175+1))),IF(AND($B$170=1,$B$66&gt;0,OR($B$175=0,1092&lt;=$B$175)),$B$66,IF($B$172-MAX(1092-1,$B$174)&gt;0,IF(B1492=0,0,IF(C1492=0,B1492/($B$172-MAX(1092-1,$B$174)),B1492*(C1492/12)/(1-(1+C1492/12)^(-($B$172-MAX(1092-1,$B$174)))))),"")),D1491))))),IF(IF(AND(1092&lt;=$B$174,1092&lt;=$B$173),B1492*C1492/12,IF(AND(1092=$B$173+1,AND(1092&gt;$B$173,$B$78="Refinance",ISNUMBER($B$80),$B$80&gt;=0,$B$80&lt;=1,ROUND($B$81*12,0)&gt;=1,$B$81&lt;=100,SUM($B$82)&gt;=0,SUM($B$82)&lt;=1,SUM($B$83)&gt;=0)),IF(B1492=0,0,IF(C1492=0,B1492/ROUND($B$81*12,0),B1492*(C1492/12)/(1-(1+C1492/12)^(-ROUND($B$81*12,0))))),IF(AND(NOT(AND(1092&gt;$B$173,$B$78="Refinance",ISNUMBER($B$80),$B$80&gt;=0,$B$80&lt;=1,ROUND($B$81*12,0)&gt;=1,$B$81&lt;=100,SUM($B$82)&gt;=0,SUM($B$82)&lt;=1,SUM($B$83)&gt;=0)),OR(1092=1,1092=$B$174+1,AND($B$175&gt;0,1092=$B$175+1))),IF(AND($B$170=1,$B$66&gt;0,OR($B$175=0,1092&lt;=$B$175)),$B$66,IF($B$172-MAX(1092-1,$B$174)&gt;0,IF(B1492=0,0,IF(C1492=0,B1492/($B$172-MAX(1092-1,$B$174)),B1492*(C1492/12)/(1-(1+C1492/12)^(-($B$172-MAX(1092-1,$B$174)))))),"")),D1491)))+0.0000001&gt;=B1492*C1492/12,MIN(B1492*(1+C1492/12),IF(AND(1092&lt;=$B$174,1092&lt;=$B$173),B1492*C1492/12,IF(AND(1092=$B$173+1,AND(1092&gt;$B$173,$B$78="Refinance",ISNUMBER($B$80),$B$80&gt;=0,$B$80&lt;=1,ROUND($B$81*12,0)&gt;=1,$B$81&lt;=100,SUM($B$82)&gt;=0,SUM($B$82)&lt;=1,SUM($B$83)&gt;=0)),IF(B1492=0,0,IF(C1492=0,B1492/ROUND($B$81*12,0),B1492*(C1492/12)/(1-(1+C1492/12)^(-ROUND($B$81*12,0))))),IF(AND(NOT(AND(1092&gt;$B$173,$B$78="Refinance",ISNUMBER($B$80),$B$80&gt;=0,$B$80&lt;=1,ROUND($B$81*12,0)&gt;=1,$B$81&lt;=100,SUM($B$82)&gt;=0,SUM($B$82)&lt;=1,SUM($B$83)&gt;=0)),OR(1092=1,1092=$B$174+1,AND($B$175&gt;0,1092=$B$175+1))),IF(AND($B$170=1,$B$66&gt;0,OR($B$175=0,1092&lt;=$B$175)),$B$66,IF($B$172-MAX(1092-1,$B$174)&gt;0,IF(B1492=0,0,IF(C1492=0,B1492/($B$172-MAX(1092-1,$B$174)),B1492*(C1492/12)/(1-(1+C1492/12)^(-($B$172-MAX(1092-1,$B$174)))))),"")),D1491)))),""),""))</x:f>
        <x:v>0</x:v>
      </x:c>
      <x:c r="E1492" s="440" t="n">
        <x:f>IF(AND(1092=$B$173,ISNUMBER(D1492)),IF(MAX(0,B1492*(1+C1492/12)-D1492)&lt;MAX(0.0000001,$E$17*0.00000000001),0,MAX(0,B1492*(1+C1492/12)-D1492)),0)</x:f>
        <x:v>0</x:v>
      </x:c>
      <x:c r="F1492" s="440" t="n">
        <x:f>IF($B$78="Cash payoff",E1492,0)</x:f>
        <x:v>0</x:v>
      </x:c>
      <x:c r="G1492" s="440" t="n">
        <x:f>IF(AND(E1492&gt;0,AND($B$78="Refinance",ISNUMBER($B$80),$B$80&gt;=0,$B$80&lt;=1,ROUND($B$81*12,0)&gt;=1,$B$81&lt;=100,SUM($B$82)&gt;=0,SUM($B$82)&lt;=1,SUM($B$83)&gt;=0)),E1492*SUM($B$82)+SUM($B$83),0)</x:f>
        <x:v>0</x:v>
      </x:c>
      <x:c r="H1492" s="440" t="n">
        <x:f>IF(ISNUMBER(D1492),IF(MAX(0,B1492*(1+C1492/12)-D1492-F1492)&lt;MAX(0.0000001,$E$17*0.00000000001),0,MAX(0,B1492*(1+C1492/12)-D1492-F1492)),IF(AND($B$171=1,I1491=1),B1492,""))</x:f>
        <x:v>0</x:v>
      </x:c>
      <x:c r="I1492" s="444" t="n">
        <x:f>IF(OR(I1491=1,AND(E1492&gt;0,$B$78&lt;&gt;"Cash payoff",NOT(AND($B$78="Refinance",ISNUMBER($B$80),$B$80&gt;=0,$B$80&lt;=1,ROUND($B$81*12,0)&gt;=1,$B$81&lt;=100,SUM($B$82)&gt;=0,SUM($B$82)&lt;=1,SUM($B$83)&gt;=0))),AND(ISNUMBER(B1492),B1492&gt;0,$B$171=1,NOT(ISNUMBER(D1492)))),1,0)</x:f>
        <x:v>0</x:v>
      </x:c>
      <x:c r="J1492" s="440" t="n">
        <x:f>IF(ISNUMBER(L1491),L1491,"")</x:f>
        <x:v>0</x:v>
      </x:c>
      <x:c r="K1492" s="440" t="n">
        <x:f>IF(AND(ISNUMBER(J1492),J1492=0),0,IF(AND($B$176=1,ISNUMBER(J1492)),MIN(J1492*(1+$B$87/12),IF($B$86=0,0,IF($B$87=0,$B$86/ROUND($B$88*12,0),$B$86*($B$87/12)/(1-(1+$B$87/12)^(-ROUND($B$88*12,0)))))),""))</x:f>
        <x:v>0</x:v>
      </x:c>
      <x:c r="L1492" s="440" t="n">
        <x:f>IF(ISNUMBER(K1492),IF(MAX(0,J1492*(1+SUM($B$87)/12)-K1492)&lt;MAX(0.0000001,$B$86*0.00000000001),0,MAX(0,J1492*(1+SUM($B$87)/12)-K1492)),"")</x:f>
        <x:v>0</x:v>
      </x:c>
      <x:c r="M1492" s="440" t="n">
        <x:f>IF(AND(ISNUMBER(D1492),ISNUMBER(K1492)),D1492+K1492,"")</x:f>
        <x:v>0</x:v>
      </x:c>
      <x:c r="N1492" s="440" t="n">
        <x:f>IF(AND(ISNUMBER(H1492),ISNUMBER(L1492)),H1492+L1492,"")</x:f>
        <x:v>0</x:v>
      </x:c>
    </x:row>
    <x:row r="1493" ht="22" customHeight="1">
      <x:c r="A1493" s="254" t="n">
        <x:f>1093</x:f>
        <x:v>1093</x:v>
      </x:c>
      <x:c r="B1493" s="440" t="n">
        <x:f>IF(ISNUMBER(H1492),H1492,"")</x:f>
        <x:v>0</x:v>
      </x:c>
      <x:c r="C1493" s="442" t="n">
        <x:f>IF(ISNUMBER(B1493),IF(AND(1093&gt;$B$173,$B$78="Refinance",ISNUMBER($B$80),$B$80&gt;=0,$B$80&lt;=1,ROUND($B$81*12,0)&gt;=1,$B$81&lt;=100,SUM($B$82)&gt;=0,SUM($B$82)&lt;=1,SUM($B$83)&gt;=0),$B$80,IF(AND($B$175&gt;0,1093&gt;$B$175,ISNUMBER($B$75)),$B$75,$B$61)),"")</x:f>
        <x:v>0.0625</x:v>
      </x:c>
      <x:c r="D1493" s="440" t="n">
        <x:f>IF(AND(ISNUMBER(B1493),B1493=0),0,IF(AND($B$171=1,I1492=0,ISNUMBER(C1493),ISNUMBER(IF(AND(1093&lt;=$B$174,1093&lt;=$B$173),B1493*C1493/12,IF(AND(1093=$B$173+1,AND(1093&gt;$B$173,$B$78="Refinance",ISNUMBER($B$80),$B$80&gt;=0,$B$80&lt;=1,ROUND($B$81*12,0)&gt;=1,$B$81&lt;=100,SUM($B$82)&gt;=0,SUM($B$82)&lt;=1,SUM($B$83)&gt;=0)),IF(B1493=0,0,IF(C1493=0,B1493/ROUND($B$81*12,0),B1493*(C1493/12)/(1-(1+C1493/12)^(-ROUND($B$81*12,0))))),IF(AND(NOT(AND(1093&gt;$B$173,$B$78="Refinance",ISNUMBER($B$80),$B$80&gt;=0,$B$80&lt;=1,ROUND($B$81*12,0)&gt;=1,$B$81&lt;=100,SUM($B$82)&gt;=0,SUM($B$82)&lt;=1,SUM($B$83)&gt;=0)),OR(1093=1,1093=$B$174+1,AND($B$175&gt;0,1093=$B$175+1))),IF(AND($B$170=1,$B$66&gt;0,OR($B$175=0,1093&lt;=$B$175)),$B$66,IF($B$172-MAX(1093-1,$B$174)&gt;0,IF(B1493=0,0,IF(C1493=0,B1493/($B$172-MAX(1093-1,$B$174)),B1493*(C1493/12)/(1-(1+C1493/12)^(-($B$172-MAX(1093-1,$B$174)))))),"")),D1492))))),IF(IF(AND(1093&lt;=$B$174,1093&lt;=$B$173),B1493*C1493/12,IF(AND(1093=$B$173+1,AND(1093&gt;$B$173,$B$78="Refinance",ISNUMBER($B$80),$B$80&gt;=0,$B$80&lt;=1,ROUND($B$81*12,0)&gt;=1,$B$81&lt;=100,SUM($B$82)&gt;=0,SUM($B$82)&lt;=1,SUM($B$83)&gt;=0)),IF(B1493=0,0,IF(C1493=0,B1493/ROUND($B$81*12,0),B1493*(C1493/12)/(1-(1+C1493/12)^(-ROUND($B$81*12,0))))),IF(AND(NOT(AND(1093&gt;$B$173,$B$78="Refinance",ISNUMBER($B$80),$B$80&gt;=0,$B$80&lt;=1,ROUND($B$81*12,0)&gt;=1,$B$81&lt;=100,SUM($B$82)&gt;=0,SUM($B$82)&lt;=1,SUM($B$83)&gt;=0)),OR(1093=1,1093=$B$174+1,AND($B$175&gt;0,1093=$B$175+1))),IF(AND($B$170=1,$B$66&gt;0,OR($B$175=0,1093&lt;=$B$175)),$B$66,IF($B$172-MAX(1093-1,$B$174)&gt;0,IF(B1493=0,0,IF(C1493=0,B1493/($B$172-MAX(1093-1,$B$174)),B1493*(C1493/12)/(1-(1+C1493/12)^(-($B$172-MAX(1093-1,$B$174)))))),"")),D1492)))+0.0000001&gt;=B1493*C1493/12,MIN(B1493*(1+C1493/12),IF(AND(1093&lt;=$B$174,1093&lt;=$B$173),B1493*C1493/12,IF(AND(1093=$B$173+1,AND(1093&gt;$B$173,$B$78="Refinance",ISNUMBER($B$80),$B$80&gt;=0,$B$80&lt;=1,ROUND($B$81*12,0)&gt;=1,$B$81&lt;=100,SUM($B$82)&gt;=0,SUM($B$82)&lt;=1,SUM($B$83)&gt;=0)),IF(B1493=0,0,IF(C1493=0,B1493/ROUND($B$81*12,0),B1493*(C1493/12)/(1-(1+C1493/12)^(-ROUND($B$81*12,0))))),IF(AND(NOT(AND(1093&gt;$B$173,$B$78="Refinance",ISNUMBER($B$80),$B$80&gt;=0,$B$80&lt;=1,ROUND($B$81*12,0)&gt;=1,$B$81&lt;=100,SUM($B$82)&gt;=0,SUM($B$82)&lt;=1,SUM($B$83)&gt;=0)),OR(1093=1,1093=$B$174+1,AND($B$175&gt;0,1093=$B$175+1))),IF(AND($B$170=1,$B$66&gt;0,OR($B$175=0,1093&lt;=$B$175)),$B$66,IF($B$172-MAX(1093-1,$B$174)&gt;0,IF(B1493=0,0,IF(C1493=0,B1493/($B$172-MAX(1093-1,$B$174)),B1493*(C1493/12)/(1-(1+C1493/12)^(-($B$172-MAX(1093-1,$B$174)))))),"")),D1492)))),""),""))</x:f>
        <x:v>0</x:v>
      </x:c>
      <x:c r="E1493" s="440" t="n">
        <x:f>IF(AND(1093=$B$173,ISNUMBER(D1493)),IF(MAX(0,B1493*(1+C1493/12)-D1493)&lt;MAX(0.0000001,$E$17*0.00000000001),0,MAX(0,B1493*(1+C1493/12)-D1493)),0)</x:f>
        <x:v>0</x:v>
      </x:c>
      <x:c r="F1493" s="440" t="n">
        <x:f>IF($B$78="Cash payoff",E1493,0)</x:f>
        <x:v>0</x:v>
      </x:c>
      <x:c r="G1493" s="440" t="n">
        <x:f>IF(AND(E1493&gt;0,AND($B$78="Refinance",ISNUMBER($B$80),$B$80&gt;=0,$B$80&lt;=1,ROUND($B$81*12,0)&gt;=1,$B$81&lt;=100,SUM($B$82)&gt;=0,SUM($B$82)&lt;=1,SUM($B$83)&gt;=0)),E1493*SUM($B$82)+SUM($B$83),0)</x:f>
        <x:v>0</x:v>
      </x:c>
      <x:c r="H1493" s="440" t="n">
        <x:f>IF(ISNUMBER(D1493),IF(MAX(0,B1493*(1+C1493/12)-D1493-F1493)&lt;MAX(0.0000001,$E$17*0.00000000001),0,MAX(0,B1493*(1+C1493/12)-D1493-F1493)),IF(AND($B$171=1,I1492=1),B1493,""))</x:f>
        <x:v>0</x:v>
      </x:c>
      <x:c r="I1493" s="444" t="n">
        <x:f>IF(OR(I1492=1,AND(E1493&gt;0,$B$78&lt;&gt;"Cash payoff",NOT(AND($B$78="Refinance",ISNUMBER($B$80),$B$80&gt;=0,$B$80&lt;=1,ROUND($B$81*12,0)&gt;=1,$B$81&lt;=100,SUM($B$82)&gt;=0,SUM($B$82)&lt;=1,SUM($B$83)&gt;=0))),AND(ISNUMBER(B1493),B1493&gt;0,$B$171=1,NOT(ISNUMBER(D1493)))),1,0)</x:f>
        <x:v>0</x:v>
      </x:c>
      <x:c r="J1493" s="440" t="n">
        <x:f>IF(ISNUMBER(L1492),L1492,"")</x:f>
        <x:v>0</x:v>
      </x:c>
      <x:c r="K1493" s="440" t="n">
        <x:f>IF(AND(ISNUMBER(J1493),J1493=0),0,IF(AND($B$176=1,ISNUMBER(J1493)),MIN(J1493*(1+$B$87/12),IF($B$86=0,0,IF($B$87=0,$B$86/ROUND($B$88*12,0),$B$86*($B$87/12)/(1-(1+$B$87/12)^(-ROUND($B$88*12,0)))))),""))</x:f>
        <x:v>0</x:v>
      </x:c>
      <x:c r="L1493" s="440" t="n">
        <x:f>IF(ISNUMBER(K1493),IF(MAX(0,J1493*(1+SUM($B$87)/12)-K1493)&lt;MAX(0.0000001,$B$86*0.00000000001),0,MAX(0,J1493*(1+SUM($B$87)/12)-K1493)),"")</x:f>
        <x:v>0</x:v>
      </x:c>
      <x:c r="M1493" s="440" t="n">
        <x:f>IF(AND(ISNUMBER(D1493),ISNUMBER(K1493)),D1493+K1493,"")</x:f>
        <x:v>0</x:v>
      </x:c>
      <x:c r="N1493" s="440" t="n">
        <x:f>IF(AND(ISNUMBER(H1493),ISNUMBER(L1493)),H1493+L1493,"")</x:f>
        <x:v>0</x:v>
      </x:c>
    </x:row>
    <x:row r="1494" ht="22" customHeight="1">
      <x:c r="A1494" s="254" t="n">
        <x:f>1094</x:f>
        <x:v>1094</x:v>
      </x:c>
      <x:c r="B1494" s="440" t="n">
        <x:f>IF(ISNUMBER(H1493),H1493,"")</x:f>
        <x:v>0</x:v>
      </x:c>
      <x:c r="C1494" s="442" t="n">
        <x:f>IF(ISNUMBER(B1494),IF(AND(1094&gt;$B$173,$B$78="Refinance",ISNUMBER($B$80),$B$80&gt;=0,$B$80&lt;=1,ROUND($B$81*12,0)&gt;=1,$B$81&lt;=100,SUM($B$82)&gt;=0,SUM($B$82)&lt;=1,SUM($B$83)&gt;=0),$B$80,IF(AND($B$175&gt;0,1094&gt;$B$175,ISNUMBER($B$75)),$B$75,$B$61)),"")</x:f>
        <x:v>0.0625</x:v>
      </x:c>
      <x:c r="D1494" s="440" t="n">
        <x:f>IF(AND(ISNUMBER(B1494),B1494=0),0,IF(AND($B$171=1,I1493=0,ISNUMBER(C1494),ISNUMBER(IF(AND(1094&lt;=$B$174,1094&lt;=$B$173),B1494*C1494/12,IF(AND(1094=$B$173+1,AND(1094&gt;$B$173,$B$78="Refinance",ISNUMBER($B$80),$B$80&gt;=0,$B$80&lt;=1,ROUND($B$81*12,0)&gt;=1,$B$81&lt;=100,SUM($B$82)&gt;=0,SUM($B$82)&lt;=1,SUM($B$83)&gt;=0)),IF(B1494=0,0,IF(C1494=0,B1494/ROUND($B$81*12,0),B1494*(C1494/12)/(1-(1+C1494/12)^(-ROUND($B$81*12,0))))),IF(AND(NOT(AND(1094&gt;$B$173,$B$78="Refinance",ISNUMBER($B$80),$B$80&gt;=0,$B$80&lt;=1,ROUND($B$81*12,0)&gt;=1,$B$81&lt;=100,SUM($B$82)&gt;=0,SUM($B$82)&lt;=1,SUM($B$83)&gt;=0)),OR(1094=1,1094=$B$174+1,AND($B$175&gt;0,1094=$B$175+1))),IF(AND($B$170=1,$B$66&gt;0,OR($B$175=0,1094&lt;=$B$175)),$B$66,IF($B$172-MAX(1094-1,$B$174)&gt;0,IF(B1494=0,0,IF(C1494=0,B1494/($B$172-MAX(1094-1,$B$174)),B1494*(C1494/12)/(1-(1+C1494/12)^(-($B$172-MAX(1094-1,$B$174)))))),"")),D1493))))),IF(IF(AND(1094&lt;=$B$174,1094&lt;=$B$173),B1494*C1494/12,IF(AND(1094=$B$173+1,AND(1094&gt;$B$173,$B$78="Refinance",ISNUMBER($B$80),$B$80&gt;=0,$B$80&lt;=1,ROUND($B$81*12,0)&gt;=1,$B$81&lt;=100,SUM($B$82)&gt;=0,SUM($B$82)&lt;=1,SUM($B$83)&gt;=0)),IF(B1494=0,0,IF(C1494=0,B1494/ROUND($B$81*12,0),B1494*(C1494/12)/(1-(1+C1494/12)^(-ROUND($B$81*12,0))))),IF(AND(NOT(AND(1094&gt;$B$173,$B$78="Refinance",ISNUMBER($B$80),$B$80&gt;=0,$B$80&lt;=1,ROUND($B$81*12,0)&gt;=1,$B$81&lt;=100,SUM($B$82)&gt;=0,SUM($B$82)&lt;=1,SUM($B$83)&gt;=0)),OR(1094=1,1094=$B$174+1,AND($B$175&gt;0,1094=$B$175+1))),IF(AND($B$170=1,$B$66&gt;0,OR($B$175=0,1094&lt;=$B$175)),$B$66,IF($B$172-MAX(1094-1,$B$174)&gt;0,IF(B1494=0,0,IF(C1494=0,B1494/($B$172-MAX(1094-1,$B$174)),B1494*(C1494/12)/(1-(1+C1494/12)^(-($B$172-MAX(1094-1,$B$174)))))),"")),D1493)))+0.0000001&gt;=B1494*C1494/12,MIN(B1494*(1+C1494/12),IF(AND(1094&lt;=$B$174,1094&lt;=$B$173),B1494*C1494/12,IF(AND(1094=$B$173+1,AND(1094&gt;$B$173,$B$78="Refinance",ISNUMBER($B$80),$B$80&gt;=0,$B$80&lt;=1,ROUND($B$81*12,0)&gt;=1,$B$81&lt;=100,SUM($B$82)&gt;=0,SUM($B$82)&lt;=1,SUM($B$83)&gt;=0)),IF(B1494=0,0,IF(C1494=0,B1494/ROUND($B$81*12,0),B1494*(C1494/12)/(1-(1+C1494/12)^(-ROUND($B$81*12,0))))),IF(AND(NOT(AND(1094&gt;$B$173,$B$78="Refinance",ISNUMBER($B$80),$B$80&gt;=0,$B$80&lt;=1,ROUND($B$81*12,0)&gt;=1,$B$81&lt;=100,SUM($B$82)&gt;=0,SUM($B$82)&lt;=1,SUM($B$83)&gt;=0)),OR(1094=1,1094=$B$174+1,AND($B$175&gt;0,1094=$B$175+1))),IF(AND($B$170=1,$B$66&gt;0,OR($B$175=0,1094&lt;=$B$175)),$B$66,IF($B$172-MAX(1094-1,$B$174)&gt;0,IF(B1494=0,0,IF(C1494=0,B1494/($B$172-MAX(1094-1,$B$174)),B1494*(C1494/12)/(1-(1+C1494/12)^(-($B$172-MAX(1094-1,$B$174)))))),"")),D1493)))),""),""))</x:f>
        <x:v>0</x:v>
      </x:c>
      <x:c r="E1494" s="440" t="n">
        <x:f>IF(AND(1094=$B$173,ISNUMBER(D1494)),IF(MAX(0,B1494*(1+C1494/12)-D1494)&lt;MAX(0.0000001,$E$17*0.00000000001),0,MAX(0,B1494*(1+C1494/12)-D1494)),0)</x:f>
        <x:v>0</x:v>
      </x:c>
      <x:c r="F1494" s="440" t="n">
        <x:f>IF($B$78="Cash payoff",E1494,0)</x:f>
        <x:v>0</x:v>
      </x:c>
      <x:c r="G1494" s="440" t="n">
        <x:f>IF(AND(E1494&gt;0,AND($B$78="Refinance",ISNUMBER($B$80),$B$80&gt;=0,$B$80&lt;=1,ROUND($B$81*12,0)&gt;=1,$B$81&lt;=100,SUM($B$82)&gt;=0,SUM($B$82)&lt;=1,SUM($B$83)&gt;=0)),E1494*SUM($B$82)+SUM($B$83),0)</x:f>
        <x:v>0</x:v>
      </x:c>
      <x:c r="H1494" s="440" t="n">
        <x:f>IF(ISNUMBER(D1494),IF(MAX(0,B1494*(1+C1494/12)-D1494-F1494)&lt;MAX(0.0000001,$E$17*0.00000000001),0,MAX(0,B1494*(1+C1494/12)-D1494-F1494)),IF(AND($B$171=1,I1493=1),B1494,""))</x:f>
        <x:v>0</x:v>
      </x:c>
      <x:c r="I1494" s="444" t="n">
        <x:f>IF(OR(I1493=1,AND(E1494&gt;0,$B$78&lt;&gt;"Cash payoff",NOT(AND($B$78="Refinance",ISNUMBER($B$80),$B$80&gt;=0,$B$80&lt;=1,ROUND($B$81*12,0)&gt;=1,$B$81&lt;=100,SUM($B$82)&gt;=0,SUM($B$82)&lt;=1,SUM($B$83)&gt;=0))),AND(ISNUMBER(B1494),B1494&gt;0,$B$171=1,NOT(ISNUMBER(D1494)))),1,0)</x:f>
        <x:v>0</x:v>
      </x:c>
      <x:c r="J1494" s="440" t="n">
        <x:f>IF(ISNUMBER(L1493),L1493,"")</x:f>
        <x:v>0</x:v>
      </x:c>
      <x:c r="K1494" s="440" t="n">
        <x:f>IF(AND(ISNUMBER(J1494),J1494=0),0,IF(AND($B$176=1,ISNUMBER(J1494)),MIN(J1494*(1+$B$87/12),IF($B$86=0,0,IF($B$87=0,$B$86/ROUND($B$88*12,0),$B$86*($B$87/12)/(1-(1+$B$87/12)^(-ROUND($B$88*12,0)))))),""))</x:f>
        <x:v>0</x:v>
      </x:c>
      <x:c r="L1494" s="440" t="n">
        <x:f>IF(ISNUMBER(K1494),IF(MAX(0,J1494*(1+SUM($B$87)/12)-K1494)&lt;MAX(0.0000001,$B$86*0.00000000001),0,MAX(0,J1494*(1+SUM($B$87)/12)-K1494)),"")</x:f>
        <x:v>0</x:v>
      </x:c>
      <x:c r="M1494" s="440" t="n">
        <x:f>IF(AND(ISNUMBER(D1494),ISNUMBER(K1494)),D1494+K1494,"")</x:f>
        <x:v>0</x:v>
      </x:c>
      <x:c r="N1494" s="440" t="n">
        <x:f>IF(AND(ISNUMBER(H1494),ISNUMBER(L1494)),H1494+L1494,"")</x:f>
        <x:v>0</x:v>
      </x:c>
    </x:row>
    <x:row r="1495" ht="22" customHeight="1">
      <x:c r="A1495" s="254" t="n">
        <x:f>1095</x:f>
        <x:v>1095</x:v>
      </x:c>
      <x:c r="B1495" s="440" t="n">
        <x:f>IF(ISNUMBER(H1494),H1494,"")</x:f>
        <x:v>0</x:v>
      </x:c>
      <x:c r="C1495" s="442" t="n">
        <x:f>IF(ISNUMBER(B1495),IF(AND(1095&gt;$B$173,$B$78="Refinance",ISNUMBER($B$80),$B$80&gt;=0,$B$80&lt;=1,ROUND($B$81*12,0)&gt;=1,$B$81&lt;=100,SUM($B$82)&gt;=0,SUM($B$82)&lt;=1,SUM($B$83)&gt;=0),$B$80,IF(AND($B$175&gt;0,1095&gt;$B$175,ISNUMBER($B$75)),$B$75,$B$61)),"")</x:f>
        <x:v>0.0625</x:v>
      </x:c>
      <x:c r="D1495" s="440" t="n">
        <x:f>IF(AND(ISNUMBER(B1495),B1495=0),0,IF(AND($B$171=1,I1494=0,ISNUMBER(C1495),ISNUMBER(IF(AND(1095&lt;=$B$174,1095&lt;=$B$173),B1495*C1495/12,IF(AND(1095=$B$173+1,AND(1095&gt;$B$173,$B$78="Refinance",ISNUMBER($B$80),$B$80&gt;=0,$B$80&lt;=1,ROUND($B$81*12,0)&gt;=1,$B$81&lt;=100,SUM($B$82)&gt;=0,SUM($B$82)&lt;=1,SUM($B$83)&gt;=0)),IF(B1495=0,0,IF(C1495=0,B1495/ROUND($B$81*12,0),B1495*(C1495/12)/(1-(1+C1495/12)^(-ROUND($B$81*12,0))))),IF(AND(NOT(AND(1095&gt;$B$173,$B$78="Refinance",ISNUMBER($B$80),$B$80&gt;=0,$B$80&lt;=1,ROUND($B$81*12,0)&gt;=1,$B$81&lt;=100,SUM($B$82)&gt;=0,SUM($B$82)&lt;=1,SUM($B$83)&gt;=0)),OR(1095=1,1095=$B$174+1,AND($B$175&gt;0,1095=$B$175+1))),IF(AND($B$170=1,$B$66&gt;0,OR($B$175=0,1095&lt;=$B$175)),$B$66,IF($B$172-MAX(1095-1,$B$174)&gt;0,IF(B1495=0,0,IF(C1495=0,B1495/($B$172-MAX(1095-1,$B$174)),B1495*(C1495/12)/(1-(1+C1495/12)^(-($B$172-MAX(1095-1,$B$174)))))),"")),D1494))))),IF(IF(AND(1095&lt;=$B$174,1095&lt;=$B$173),B1495*C1495/12,IF(AND(1095=$B$173+1,AND(1095&gt;$B$173,$B$78="Refinance",ISNUMBER($B$80),$B$80&gt;=0,$B$80&lt;=1,ROUND($B$81*12,0)&gt;=1,$B$81&lt;=100,SUM($B$82)&gt;=0,SUM($B$82)&lt;=1,SUM($B$83)&gt;=0)),IF(B1495=0,0,IF(C1495=0,B1495/ROUND($B$81*12,0),B1495*(C1495/12)/(1-(1+C1495/12)^(-ROUND($B$81*12,0))))),IF(AND(NOT(AND(1095&gt;$B$173,$B$78="Refinance",ISNUMBER($B$80),$B$80&gt;=0,$B$80&lt;=1,ROUND($B$81*12,0)&gt;=1,$B$81&lt;=100,SUM($B$82)&gt;=0,SUM($B$82)&lt;=1,SUM($B$83)&gt;=0)),OR(1095=1,1095=$B$174+1,AND($B$175&gt;0,1095=$B$175+1))),IF(AND($B$170=1,$B$66&gt;0,OR($B$175=0,1095&lt;=$B$175)),$B$66,IF($B$172-MAX(1095-1,$B$174)&gt;0,IF(B1495=0,0,IF(C1495=0,B1495/($B$172-MAX(1095-1,$B$174)),B1495*(C1495/12)/(1-(1+C1495/12)^(-($B$172-MAX(1095-1,$B$174)))))),"")),D1494)))+0.0000001&gt;=B1495*C1495/12,MIN(B1495*(1+C1495/12),IF(AND(1095&lt;=$B$174,1095&lt;=$B$173),B1495*C1495/12,IF(AND(1095=$B$173+1,AND(1095&gt;$B$173,$B$78="Refinance",ISNUMBER($B$80),$B$80&gt;=0,$B$80&lt;=1,ROUND($B$81*12,0)&gt;=1,$B$81&lt;=100,SUM($B$82)&gt;=0,SUM($B$82)&lt;=1,SUM($B$83)&gt;=0)),IF(B1495=0,0,IF(C1495=0,B1495/ROUND($B$81*12,0),B1495*(C1495/12)/(1-(1+C1495/12)^(-ROUND($B$81*12,0))))),IF(AND(NOT(AND(1095&gt;$B$173,$B$78="Refinance",ISNUMBER($B$80),$B$80&gt;=0,$B$80&lt;=1,ROUND($B$81*12,0)&gt;=1,$B$81&lt;=100,SUM($B$82)&gt;=0,SUM($B$82)&lt;=1,SUM($B$83)&gt;=0)),OR(1095=1,1095=$B$174+1,AND($B$175&gt;0,1095=$B$175+1))),IF(AND($B$170=1,$B$66&gt;0,OR($B$175=0,1095&lt;=$B$175)),$B$66,IF($B$172-MAX(1095-1,$B$174)&gt;0,IF(B1495=0,0,IF(C1495=0,B1495/($B$172-MAX(1095-1,$B$174)),B1495*(C1495/12)/(1-(1+C1495/12)^(-($B$172-MAX(1095-1,$B$174)))))),"")),D1494)))),""),""))</x:f>
        <x:v>0</x:v>
      </x:c>
      <x:c r="E1495" s="440" t="n">
        <x:f>IF(AND(1095=$B$173,ISNUMBER(D1495)),IF(MAX(0,B1495*(1+C1495/12)-D1495)&lt;MAX(0.0000001,$E$17*0.00000000001),0,MAX(0,B1495*(1+C1495/12)-D1495)),0)</x:f>
        <x:v>0</x:v>
      </x:c>
      <x:c r="F1495" s="440" t="n">
        <x:f>IF($B$78="Cash payoff",E1495,0)</x:f>
        <x:v>0</x:v>
      </x:c>
      <x:c r="G1495" s="440" t="n">
        <x:f>IF(AND(E1495&gt;0,AND($B$78="Refinance",ISNUMBER($B$80),$B$80&gt;=0,$B$80&lt;=1,ROUND($B$81*12,0)&gt;=1,$B$81&lt;=100,SUM($B$82)&gt;=0,SUM($B$82)&lt;=1,SUM($B$83)&gt;=0)),E1495*SUM($B$82)+SUM($B$83),0)</x:f>
        <x:v>0</x:v>
      </x:c>
      <x:c r="H1495" s="440" t="n">
        <x:f>IF(ISNUMBER(D1495),IF(MAX(0,B1495*(1+C1495/12)-D1495-F1495)&lt;MAX(0.0000001,$E$17*0.00000000001),0,MAX(0,B1495*(1+C1495/12)-D1495-F1495)),IF(AND($B$171=1,I1494=1),B1495,""))</x:f>
        <x:v>0</x:v>
      </x:c>
      <x:c r="I1495" s="444" t="n">
        <x:f>IF(OR(I1494=1,AND(E1495&gt;0,$B$78&lt;&gt;"Cash payoff",NOT(AND($B$78="Refinance",ISNUMBER($B$80),$B$80&gt;=0,$B$80&lt;=1,ROUND($B$81*12,0)&gt;=1,$B$81&lt;=100,SUM($B$82)&gt;=0,SUM($B$82)&lt;=1,SUM($B$83)&gt;=0))),AND(ISNUMBER(B1495),B1495&gt;0,$B$171=1,NOT(ISNUMBER(D1495)))),1,0)</x:f>
        <x:v>0</x:v>
      </x:c>
      <x:c r="J1495" s="440" t="n">
        <x:f>IF(ISNUMBER(L1494),L1494,"")</x:f>
        <x:v>0</x:v>
      </x:c>
      <x:c r="K1495" s="440" t="n">
        <x:f>IF(AND(ISNUMBER(J1495),J1495=0),0,IF(AND($B$176=1,ISNUMBER(J1495)),MIN(J1495*(1+$B$87/12),IF($B$86=0,0,IF($B$87=0,$B$86/ROUND($B$88*12,0),$B$86*($B$87/12)/(1-(1+$B$87/12)^(-ROUND($B$88*12,0)))))),""))</x:f>
        <x:v>0</x:v>
      </x:c>
      <x:c r="L1495" s="440" t="n">
        <x:f>IF(ISNUMBER(K1495),IF(MAX(0,J1495*(1+SUM($B$87)/12)-K1495)&lt;MAX(0.0000001,$B$86*0.00000000001),0,MAX(0,J1495*(1+SUM($B$87)/12)-K1495)),"")</x:f>
        <x:v>0</x:v>
      </x:c>
      <x:c r="M1495" s="440" t="n">
        <x:f>IF(AND(ISNUMBER(D1495),ISNUMBER(K1495)),D1495+K1495,"")</x:f>
        <x:v>0</x:v>
      </x:c>
      <x:c r="N1495" s="440" t="n">
        <x:f>IF(AND(ISNUMBER(H1495),ISNUMBER(L1495)),H1495+L1495,"")</x:f>
        <x:v>0</x:v>
      </x:c>
    </x:row>
    <x:row r="1496" ht="22" customHeight="1">
      <x:c r="A1496" s="254" t="n">
        <x:f>1096</x:f>
        <x:v>1096</x:v>
      </x:c>
      <x:c r="B1496" s="440" t="n">
        <x:f>IF(ISNUMBER(H1495),H1495,"")</x:f>
        <x:v>0</x:v>
      </x:c>
      <x:c r="C1496" s="442" t="n">
        <x:f>IF(ISNUMBER(B1496),IF(AND(1096&gt;$B$173,$B$78="Refinance",ISNUMBER($B$80),$B$80&gt;=0,$B$80&lt;=1,ROUND($B$81*12,0)&gt;=1,$B$81&lt;=100,SUM($B$82)&gt;=0,SUM($B$82)&lt;=1,SUM($B$83)&gt;=0),$B$80,IF(AND($B$175&gt;0,1096&gt;$B$175,ISNUMBER($B$75)),$B$75,$B$61)),"")</x:f>
        <x:v>0.0625</x:v>
      </x:c>
      <x:c r="D1496" s="440" t="n">
        <x:f>IF(AND(ISNUMBER(B1496),B1496=0),0,IF(AND($B$171=1,I1495=0,ISNUMBER(C1496),ISNUMBER(IF(AND(1096&lt;=$B$174,1096&lt;=$B$173),B1496*C1496/12,IF(AND(1096=$B$173+1,AND(1096&gt;$B$173,$B$78="Refinance",ISNUMBER($B$80),$B$80&gt;=0,$B$80&lt;=1,ROUND($B$81*12,0)&gt;=1,$B$81&lt;=100,SUM($B$82)&gt;=0,SUM($B$82)&lt;=1,SUM($B$83)&gt;=0)),IF(B1496=0,0,IF(C1496=0,B1496/ROUND($B$81*12,0),B1496*(C1496/12)/(1-(1+C1496/12)^(-ROUND($B$81*12,0))))),IF(AND(NOT(AND(1096&gt;$B$173,$B$78="Refinance",ISNUMBER($B$80),$B$80&gt;=0,$B$80&lt;=1,ROUND($B$81*12,0)&gt;=1,$B$81&lt;=100,SUM($B$82)&gt;=0,SUM($B$82)&lt;=1,SUM($B$83)&gt;=0)),OR(1096=1,1096=$B$174+1,AND($B$175&gt;0,1096=$B$175+1))),IF(AND($B$170=1,$B$66&gt;0,OR($B$175=0,1096&lt;=$B$175)),$B$66,IF($B$172-MAX(1096-1,$B$174)&gt;0,IF(B1496=0,0,IF(C1496=0,B1496/($B$172-MAX(1096-1,$B$174)),B1496*(C1496/12)/(1-(1+C1496/12)^(-($B$172-MAX(1096-1,$B$174)))))),"")),D1495))))),IF(IF(AND(1096&lt;=$B$174,1096&lt;=$B$173),B1496*C1496/12,IF(AND(1096=$B$173+1,AND(1096&gt;$B$173,$B$78="Refinance",ISNUMBER($B$80),$B$80&gt;=0,$B$80&lt;=1,ROUND($B$81*12,0)&gt;=1,$B$81&lt;=100,SUM($B$82)&gt;=0,SUM($B$82)&lt;=1,SUM($B$83)&gt;=0)),IF(B1496=0,0,IF(C1496=0,B1496/ROUND($B$81*12,0),B1496*(C1496/12)/(1-(1+C1496/12)^(-ROUND($B$81*12,0))))),IF(AND(NOT(AND(1096&gt;$B$173,$B$78="Refinance",ISNUMBER($B$80),$B$80&gt;=0,$B$80&lt;=1,ROUND($B$81*12,0)&gt;=1,$B$81&lt;=100,SUM($B$82)&gt;=0,SUM($B$82)&lt;=1,SUM($B$83)&gt;=0)),OR(1096=1,1096=$B$174+1,AND($B$175&gt;0,1096=$B$175+1))),IF(AND($B$170=1,$B$66&gt;0,OR($B$175=0,1096&lt;=$B$175)),$B$66,IF($B$172-MAX(1096-1,$B$174)&gt;0,IF(B1496=0,0,IF(C1496=0,B1496/($B$172-MAX(1096-1,$B$174)),B1496*(C1496/12)/(1-(1+C1496/12)^(-($B$172-MAX(1096-1,$B$174)))))),"")),D1495)))+0.0000001&gt;=B1496*C1496/12,MIN(B1496*(1+C1496/12),IF(AND(1096&lt;=$B$174,1096&lt;=$B$173),B1496*C1496/12,IF(AND(1096=$B$173+1,AND(1096&gt;$B$173,$B$78="Refinance",ISNUMBER($B$80),$B$80&gt;=0,$B$80&lt;=1,ROUND($B$81*12,0)&gt;=1,$B$81&lt;=100,SUM($B$82)&gt;=0,SUM($B$82)&lt;=1,SUM($B$83)&gt;=0)),IF(B1496=0,0,IF(C1496=0,B1496/ROUND($B$81*12,0),B1496*(C1496/12)/(1-(1+C1496/12)^(-ROUND($B$81*12,0))))),IF(AND(NOT(AND(1096&gt;$B$173,$B$78="Refinance",ISNUMBER($B$80),$B$80&gt;=0,$B$80&lt;=1,ROUND($B$81*12,0)&gt;=1,$B$81&lt;=100,SUM($B$82)&gt;=0,SUM($B$82)&lt;=1,SUM($B$83)&gt;=0)),OR(1096=1,1096=$B$174+1,AND($B$175&gt;0,1096=$B$175+1))),IF(AND($B$170=1,$B$66&gt;0,OR($B$175=0,1096&lt;=$B$175)),$B$66,IF($B$172-MAX(1096-1,$B$174)&gt;0,IF(B1496=0,0,IF(C1496=0,B1496/($B$172-MAX(1096-1,$B$174)),B1496*(C1496/12)/(1-(1+C1496/12)^(-($B$172-MAX(1096-1,$B$174)))))),"")),D1495)))),""),""))</x:f>
        <x:v>0</x:v>
      </x:c>
      <x:c r="E1496" s="440" t="n">
        <x:f>IF(AND(1096=$B$173,ISNUMBER(D1496)),IF(MAX(0,B1496*(1+C1496/12)-D1496)&lt;MAX(0.0000001,$E$17*0.00000000001),0,MAX(0,B1496*(1+C1496/12)-D1496)),0)</x:f>
        <x:v>0</x:v>
      </x:c>
      <x:c r="F1496" s="440" t="n">
        <x:f>IF($B$78="Cash payoff",E1496,0)</x:f>
        <x:v>0</x:v>
      </x:c>
      <x:c r="G1496" s="440" t="n">
        <x:f>IF(AND(E1496&gt;0,AND($B$78="Refinance",ISNUMBER($B$80),$B$80&gt;=0,$B$80&lt;=1,ROUND($B$81*12,0)&gt;=1,$B$81&lt;=100,SUM($B$82)&gt;=0,SUM($B$82)&lt;=1,SUM($B$83)&gt;=0)),E1496*SUM($B$82)+SUM($B$83),0)</x:f>
        <x:v>0</x:v>
      </x:c>
      <x:c r="H1496" s="440" t="n">
        <x:f>IF(ISNUMBER(D1496),IF(MAX(0,B1496*(1+C1496/12)-D1496-F1496)&lt;MAX(0.0000001,$E$17*0.00000000001),0,MAX(0,B1496*(1+C1496/12)-D1496-F1496)),IF(AND($B$171=1,I1495=1),B1496,""))</x:f>
        <x:v>0</x:v>
      </x:c>
      <x:c r="I1496" s="444" t="n">
        <x:f>IF(OR(I1495=1,AND(E1496&gt;0,$B$78&lt;&gt;"Cash payoff",NOT(AND($B$78="Refinance",ISNUMBER($B$80),$B$80&gt;=0,$B$80&lt;=1,ROUND($B$81*12,0)&gt;=1,$B$81&lt;=100,SUM($B$82)&gt;=0,SUM($B$82)&lt;=1,SUM($B$83)&gt;=0))),AND(ISNUMBER(B1496),B1496&gt;0,$B$171=1,NOT(ISNUMBER(D1496)))),1,0)</x:f>
        <x:v>0</x:v>
      </x:c>
      <x:c r="J1496" s="440" t="n">
        <x:f>IF(ISNUMBER(L1495),L1495,"")</x:f>
        <x:v>0</x:v>
      </x:c>
      <x:c r="K1496" s="440" t="n">
        <x:f>IF(AND(ISNUMBER(J1496),J1496=0),0,IF(AND($B$176=1,ISNUMBER(J1496)),MIN(J1496*(1+$B$87/12),IF($B$86=0,0,IF($B$87=0,$B$86/ROUND($B$88*12,0),$B$86*($B$87/12)/(1-(1+$B$87/12)^(-ROUND($B$88*12,0)))))),""))</x:f>
        <x:v>0</x:v>
      </x:c>
      <x:c r="L1496" s="440" t="n">
        <x:f>IF(ISNUMBER(K1496),IF(MAX(0,J1496*(1+SUM($B$87)/12)-K1496)&lt;MAX(0.0000001,$B$86*0.00000000001),0,MAX(0,J1496*(1+SUM($B$87)/12)-K1496)),"")</x:f>
        <x:v>0</x:v>
      </x:c>
      <x:c r="M1496" s="440" t="n">
        <x:f>IF(AND(ISNUMBER(D1496),ISNUMBER(K1496)),D1496+K1496,"")</x:f>
        <x:v>0</x:v>
      </x:c>
      <x:c r="N1496" s="440" t="n">
        <x:f>IF(AND(ISNUMBER(H1496),ISNUMBER(L1496)),H1496+L1496,"")</x:f>
        <x:v>0</x:v>
      </x:c>
    </x:row>
    <x:row r="1497" ht="22" customHeight="1">
      <x:c r="A1497" s="254" t="n">
        <x:f>1097</x:f>
        <x:v>1097</x:v>
      </x:c>
      <x:c r="B1497" s="440" t="n">
        <x:f>IF(ISNUMBER(H1496),H1496,"")</x:f>
        <x:v>0</x:v>
      </x:c>
      <x:c r="C1497" s="442" t="n">
        <x:f>IF(ISNUMBER(B1497),IF(AND(1097&gt;$B$173,$B$78="Refinance",ISNUMBER($B$80),$B$80&gt;=0,$B$80&lt;=1,ROUND($B$81*12,0)&gt;=1,$B$81&lt;=100,SUM($B$82)&gt;=0,SUM($B$82)&lt;=1,SUM($B$83)&gt;=0),$B$80,IF(AND($B$175&gt;0,1097&gt;$B$175,ISNUMBER($B$75)),$B$75,$B$61)),"")</x:f>
        <x:v>0.0625</x:v>
      </x:c>
      <x:c r="D1497" s="440" t="n">
        <x:f>IF(AND(ISNUMBER(B1497),B1497=0),0,IF(AND($B$171=1,I1496=0,ISNUMBER(C1497),ISNUMBER(IF(AND(1097&lt;=$B$174,1097&lt;=$B$173),B1497*C1497/12,IF(AND(1097=$B$173+1,AND(1097&gt;$B$173,$B$78="Refinance",ISNUMBER($B$80),$B$80&gt;=0,$B$80&lt;=1,ROUND($B$81*12,0)&gt;=1,$B$81&lt;=100,SUM($B$82)&gt;=0,SUM($B$82)&lt;=1,SUM($B$83)&gt;=0)),IF(B1497=0,0,IF(C1497=0,B1497/ROUND($B$81*12,0),B1497*(C1497/12)/(1-(1+C1497/12)^(-ROUND($B$81*12,0))))),IF(AND(NOT(AND(1097&gt;$B$173,$B$78="Refinance",ISNUMBER($B$80),$B$80&gt;=0,$B$80&lt;=1,ROUND($B$81*12,0)&gt;=1,$B$81&lt;=100,SUM($B$82)&gt;=0,SUM($B$82)&lt;=1,SUM($B$83)&gt;=0)),OR(1097=1,1097=$B$174+1,AND($B$175&gt;0,1097=$B$175+1))),IF(AND($B$170=1,$B$66&gt;0,OR($B$175=0,1097&lt;=$B$175)),$B$66,IF($B$172-MAX(1097-1,$B$174)&gt;0,IF(B1497=0,0,IF(C1497=0,B1497/($B$172-MAX(1097-1,$B$174)),B1497*(C1497/12)/(1-(1+C1497/12)^(-($B$172-MAX(1097-1,$B$174)))))),"")),D1496))))),IF(IF(AND(1097&lt;=$B$174,1097&lt;=$B$173),B1497*C1497/12,IF(AND(1097=$B$173+1,AND(1097&gt;$B$173,$B$78="Refinance",ISNUMBER($B$80),$B$80&gt;=0,$B$80&lt;=1,ROUND($B$81*12,0)&gt;=1,$B$81&lt;=100,SUM($B$82)&gt;=0,SUM($B$82)&lt;=1,SUM($B$83)&gt;=0)),IF(B1497=0,0,IF(C1497=0,B1497/ROUND($B$81*12,0),B1497*(C1497/12)/(1-(1+C1497/12)^(-ROUND($B$81*12,0))))),IF(AND(NOT(AND(1097&gt;$B$173,$B$78="Refinance",ISNUMBER($B$80),$B$80&gt;=0,$B$80&lt;=1,ROUND($B$81*12,0)&gt;=1,$B$81&lt;=100,SUM($B$82)&gt;=0,SUM($B$82)&lt;=1,SUM($B$83)&gt;=0)),OR(1097=1,1097=$B$174+1,AND($B$175&gt;0,1097=$B$175+1))),IF(AND($B$170=1,$B$66&gt;0,OR($B$175=0,1097&lt;=$B$175)),$B$66,IF($B$172-MAX(1097-1,$B$174)&gt;0,IF(B1497=0,0,IF(C1497=0,B1497/($B$172-MAX(1097-1,$B$174)),B1497*(C1497/12)/(1-(1+C1497/12)^(-($B$172-MAX(1097-1,$B$174)))))),"")),D1496)))+0.0000001&gt;=B1497*C1497/12,MIN(B1497*(1+C1497/12),IF(AND(1097&lt;=$B$174,1097&lt;=$B$173),B1497*C1497/12,IF(AND(1097=$B$173+1,AND(1097&gt;$B$173,$B$78="Refinance",ISNUMBER($B$80),$B$80&gt;=0,$B$80&lt;=1,ROUND($B$81*12,0)&gt;=1,$B$81&lt;=100,SUM($B$82)&gt;=0,SUM($B$82)&lt;=1,SUM($B$83)&gt;=0)),IF(B1497=0,0,IF(C1497=0,B1497/ROUND($B$81*12,0),B1497*(C1497/12)/(1-(1+C1497/12)^(-ROUND($B$81*12,0))))),IF(AND(NOT(AND(1097&gt;$B$173,$B$78="Refinance",ISNUMBER($B$80),$B$80&gt;=0,$B$80&lt;=1,ROUND($B$81*12,0)&gt;=1,$B$81&lt;=100,SUM($B$82)&gt;=0,SUM($B$82)&lt;=1,SUM($B$83)&gt;=0)),OR(1097=1,1097=$B$174+1,AND($B$175&gt;0,1097=$B$175+1))),IF(AND($B$170=1,$B$66&gt;0,OR($B$175=0,1097&lt;=$B$175)),$B$66,IF($B$172-MAX(1097-1,$B$174)&gt;0,IF(B1497=0,0,IF(C1497=0,B1497/($B$172-MAX(1097-1,$B$174)),B1497*(C1497/12)/(1-(1+C1497/12)^(-($B$172-MAX(1097-1,$B$174)))))),"")),D1496)))),""),""))</x:f>
        <x:v>0</x:v>
      </x:c>
      <x:c r="E1497" s="440" t="n">
        <x:f>IF(AND(1097=$B$173,ISNUMBER(D1497)),IF(MAX(0,B1497*(1+C1497/12)-D1497)&lt;MAX(0.0000001,$E$17*0.00000000001),0,MAX(0,B1497*(1+C1497/12)-D1497)),0)</x:f>
        <x:v>0</x:v>
      </x:c>
      <x:c r="F1497" s="440" t="n">
        <x:f>IF($B$78="Cash payoff",E1497,0)</x:f>
        <x:v>0</x:v>
      </x:c>
      <x:c r="G1497" s="440" t="n">
        <x:f>IF(AND(E1497&gt;0,AND($B$78="Refinance",ISNUMBER($B$80),$B$80&gt;=0,$B$80&lt;=1,ROUND($B$81*12,0)&gt;=1,$B$81&lt;=100,SUM($B$82)&gt;=0,SUM($B$82)&lt;=1,SUM($B$83)&gt;=0)),E1497*SUM($B$82)+SUM($B$83),0)</x:f>
        <x:v>0</x:v>
      </x:c>
      <x:c r="H1497" s="440" t="n">
        <x:f>IF(ISNUMBER(D1497),IF(MAX(0,B1497*(1+C1497/12)-D1497-F1497)&lt;MAX(0.0000001,$E$17*0.00000000001),0,MAX(0,B1497*(1+C1497/12)-D1497-F1497)),IF(AND($B$171=1,I1496=1),B1497,""))</x:f>
        <x:v>0</x:v>
      </x:c>
      <x:c r="I1497" s="444" t="n">
        <x:f>IF(OR(I1496=1,AND(E1497&gt;0,$B$78&lt;&gt;"Cash payoff",NOT(AND($B$78="Refinance",ISNUMBER($B$80),$B$80&gt;=0,$B$80&lt;=1,ROUND($B$81*12,0)&gt;=1,$B$81&lt;=100,SUM($B$82)&gt;=0,SUM($B$82)&lt;=1,SUM($B$83)&gt;=0))),AND(ISNUMBER(B1497),B1497&gt;0,$B$171=1,NOT(ISNUMBER(D1497)))),1,0)</x:f>
        <x:v>0</x:v>
      </x:c>
      <x:c r="J1497" s="440" t="n">
        <x:f>IF(ISNUMBER(L1496),L1496,"")</x:f>
        <x:v>0</x:v>
      </x:c>
      <x:c r="K1497" s="440" t="n">
        <x:f>IF(AND(ISNUMBER(J1497),J1497=0),0,IF(AND($B$176=1,ISNUMBER(J1497)),MIN(J1497*(1+$B$87/12),IF($B$86=0,0,IF($B$87=0,$B$86/ROUND($B$88*12,0),$B$86*($B$87/12)/(1-(1+$B$87/12)^(-ROUND($B$88*12,0)))))),""))</x:f>
        <x:v>0</x:v>
      </x:c>
      <x:c r="L1497" s="440" t="n">
        <x:f>IF(ISNUMBER(K1497),IF(MAX(0,J1497*(1+SUM($B$87)/12)-K1497)&lt;MAX(0.0000001,$B$86*0.00000000001),0,MAX(0,J1497*(1+SUM($B$87)/12)-K1497)),"")</x:f>
        <x:v>0</x:v>
      </x:c>
      <x:c r="M1497" s="440" t="n">
        <x:f>IF(AND(ISNUMBER(D1497),ISNUMBER(K1497)),D1497+K1497,"")</x:f>
        <x:v>0</x:v>
      </x:c>
      <x:c r="N1497" s="440" t="n">
        <x:f>IF(AND(ISNUMBER(H1497),ISNUMBER(L1497)),H1497+L1497,"")</x:f>
        <x:v>0</x:v>
      </x:c>
    </x:row>
    <x:row r="1498" ht="22" customHeight="1">
      <x:c r="A1498" s="254" t="n">
        <x:f>1098</x:f>
        <x:v>1098</x:v>
      </x:c>
      <x:c r="B1498" s="440" t="n">
        <x:f>IF(ISNUMBER(H1497),H1497,"")</x:f>
        <x:v>0</x:v>
      </x:c>
      <x:c r="C1498" s="442" t="n">
        <x:f>IF(ISNUMBER(B1498),IF(AND(1098&gt;$B$173,$B$78="Refinance",ISNUMBER($B$80),$B$80&gt;=0,$B$80&lt;=1,ROUND($B$81*12,0)&gt;=1,$B$81&lt;=100,SUM($B$82)&gt;=0,SUM($B$82)&lt;=1,SUM($B$83)&gt;=0),$B$80,IF(AND($B$175&gt;0,1098&gt;$B$175,ISNUMBER($B$75)),$B$75,$B$61)),"")</x:f>
        <x:v>0.0625</x:v>
      </x:c>
      <x:c r="D1498" s="440" t="n">
        <x:f>IF(AND(ISNUMBER(B1498),B1498=0),0,IF(AND($B$171=1,I1497=0,ISNUMBER(C1498),ISNUMBER(IF(AND(1098&lt;=$B$174,1098&lt;=$B$173),B1498*C1498/12,IF(AND(1098=$B$173+1,AND(1098&gt;$B$173,$B$78="Refinance",ISNUMBER($B$80),$B$80&gt;=0,$B$80&lt;=1,ROUND($B$81*12,0)&gt;=1,$B$81&lt;=100,SUM($B$82)&gt;=0,SUM($B$82)&lt;=1,SUM($B$83)&gt;=0)),IF(B1498=0,0,IF(C1498=0,B1498/ROUND($B$81*12,0),B1498*(C1498/12)/(1-(1+C1498/12)^(-ROUND($B$81*12,0))))),IF(AND(NOT(AND(1098&gt;$B$173,$B$78="Refinance",ISNUMBER($B$80),$B$80&gt;=0,$B$80&lt;=1,ROUND($B$81*12,0)&gt;=1,$B$81&lt;=100,SUM($B$82)&gt;=0,SUM($B$82)&lt;=1,SUM($B$83)&gt;=0)),OR(1098=1,1098=$B$174+1,AND($B$175&gt;0,1098=$B$175+1))),IF(AND($B$170=1,$B$66&gt;0,OR($B$175=0,1098&lt;=$B$175)),$B$66,IF($B$172-MAX(1098-1,$B$174)&gt;0,IF(B1498=0,0,IF(C1498=0,B1498/($B$172-MAX(1098-1,$B$174)),B1498*(C1498/12)/(1-(1+C1498/12)^(-($B$172-MAX(1098-1,$B$174)))))),"")),D1497))))),IF(IF(AND(1098&lt;=$B$174,1098&lt;=$B$173),B1498*C1498/12,IF(AND(1098=$B$173+1,AND(1098&gt;$B$173,$B$78="Refinance",ISNUMBER($B$80),$B$80&gt;=0,$B$80&lt;=1,ROUND($B$81*12,0)&gt;=1,$B$81&lt;=100,SUM($B$82)&gt;=0,SUM($B$82)&lt;=1,SUM($B$83)&gt;=0)),IF(B1498=0,0,IF(C1498=0,B1498/ROUND($B$81*12,0),B1498*(C1498/12)/(1-(1+C1498/12)^(-ROUND($B$81*12,0))))),IF(AND(NOT(AND(1098&gt;$B$173,$B$78="Refinance",ISNUMBER($B$80),$B$80&gt;=0,$B$80&lt;=1,ROUND($B$81*12,0)&gt;=1,$B$81&lt;=100,SUM($B$82)&gt;=0,SUM($B$82)&lt;=1,SUM($B$83)&gt;=0)),OR(1098=1,1098=$B$174+1,AND($B$175&gt;0,1098=$B$175+1))),IF(AND($B$170=1,$B$66&gt;0,OR($B$175=0,1098&lt;=$B$175)),$B$66,IF($B$172-MAX(1098-1,$B$174)&gt;0,IF(B1498=0,0,IF(C1498=0,B1498/($B$172-MAX(1098-1,$B$174)),B1498*(C1498/12)/(1-(1+C1498/12)^(-($B$172-MAX(1098-1,$B$174)))))),"")),D1497)))+0.0000001&gt;=B1498*C1498/12,MIN(B1498*(1+C1498/12),IF(AND(1098&lt;=$B$174,1098&lt;=$B$173),B1498*C1498/12,IF(AND(1098=$B$173+1,AND(1098&gt;$B$173,$B$78="Refinance",ISNUMBER($B$80),$B$80&gt;=0,$B$80&lt;=1,ROUND($B$81*12,0)&gt;=1,$B$81&lt;=100,SUM($B$82)&gt;=0,SUM($B$82)&lt;=1,SUM($B$83)&gt;=0)),IF(B1498=0,0,IF(C1498=0,B1498/ROUND($B$81*12,0),B1498*(C1498/12)/(1-(1+C1498/12)^(-ROUND($B$81*12,0))))),IF(AND(NOT(AND(1098&gt;$B$173,$B$78="Refinance",ISNUMBER($B$80),$B$80&gt;=0,$B$80&lt;=1,ROUND($B$81*12,0)&gt;=1,$B$81&lt;=100,SUM($B$82)&gt;=0,SUM($B$82)&lt;=1,SUM($B$83)&gt;=0)),OR(1098=1,1098=$B$174+1,AND($B$175&gt;0,1098=$B$175+1))),IF(AND($B$170=1,$B$66&gt;0,OR($B$175=0,1098&lt;=$B$175)),$B$66,IF($B$172-MAX(1098-1,$B$174)&gt;0,IF(B1498=0,0,IF(C1498=0,B1498/($B$172-MAX(1098-1,$B$174)),B1498*(C1498/12)/(1-(1+C1498/12)^(-($B$172-MAX(1098-1,$B$174)))))),"")),D1497)))),""),""))</x:f>
        <x:v>0</x:v>
      </x:c>
      <x:c r="E1498" s="440" t="n">
        <x:f>IF(AND(1098=$B$173,ISNUMBER(D1498)),IF(MAX(0,B1498*(1+C1498/12)-D1498)&lt;MAX(0.0000001,$E$17*0.00000000001),0,MAX(0,B1498*(1+C1498/12)-D1498)),0)</x:f>
        <x:v>0</x:v>
      </x:c>
      <x:c r="F1498" s="440" t="n">
        <x:f>IF($B$78="Cash payoff",E1498,0)</x:f>
        <x:v>0</x:v>
      </x:c>
      <x:c r="G1498" s="440" t="n">
        <x:f>IF(AND(E1498&gt;0,AND($B$78="Refinance",ISNUMBER($B$80),$B$80&gt;=0,$B$80&lt;=1,ROUND($B$81*12,0)&gt;=1,$B$81&lt;=100,SUM($B$82)&gt;=0,SUM($B$82)&lt;=1,SUM($B$83)&gt;=0)),E1498*SUM($B$82)+SUM($B$83),0)</x:f>
        <x:v>0</x:v>
      </x:c>
      <x:c r="H1498" s="440" t="n">
        <x:f>IF(ISNUMBER(D1498),IF(MAX(0,B1498*(1+C1498/12)-D1498-F1498)&lt;MAX(0.0000001,$E$17*0.00000000001),0,MAX(0,B1498*(1+C1498/12)-D1498-F1498)),IF(AND($B$171=1,I1497=1),B1498,""))</x:f>
        <x:v>0</x:v>
      </x:c>
      <x:c r="I1498" s="444" t="n">
        <x:f>IF(OR(I1497=1,AND(E1498&gt;0,$B$78&lt;&gt;"Cash payoff",NOT(AND($B$78="Refinance",ISNUMBER($B$80),$B$80&gt;=0,$B$80&lt;=1,ROUND($B$81*12,0)&gt;=1,$B$81&lt;=100,SUM($B$82)&gt;=0,SUM($B$82)&lt;=1,SUM($B$83)&gt;=0))),AND(ISNUMBER(B1498),B1498&gt;0,$B$171=1,NOT(ISNUMBER(D1498)))),1,0)</x:f>
        <x:v>0</x:v>
      </x:c>
      <x:c r="J1498" s="440" t="n">
        <x:f>IF(ISNUMBER(L1497),L1497,"")</x:f>
        <x:v>0</x:v>
      </x:c>
      <x:c r="K1498" s="440" t="n">
        <x:f>IF(AND(ISNUMBER(J1498),J1498=0),0,IF(AND($B$176=1,ISNUMBER(J1498)),MIN(J1498*(1+$B$87/12),IF($B$86=0,0,IF($B$87=0,$B$86/ROUND($B$88*12,0),$B$86*($B$87/12)/(1-(1+$B$87/12)^(-ROUND($B$88*12,0)))))),""))</x:f>
        <x:v>0</x:v>
      </x:c>
      <x:c r="L1498" s="440" t="n">
        <x:f>IF(ISNUMBER(K1498),IF(MAX(0,J1498*(1+SUM($B$87)/12)-K1498)&lt;MAX(0.0000001,$B$86*0.00000000001),0,MAX(0,J1498*(1+SUM($B$87)/12)-K1498)),"")</x:f>
        <x:v>0</x:v>
      </x:c>
      <x:c r="M1498" s="440" t="n">
        <x:f>IF(AND(ISNUMBER(D1498),ISNUMBER(K1498)),D1498+K1498,"")</x:f>
        <x:v>0</x:v>
      </x:c>
      <x:c r="N1498" s="440" t="n">
        <x:f>IF(AND(ISNUMBER(H1498),ISNUMBER(L1498)),H1498+L1498,"")</x:f>
        <x:v>0</x:v>
      </x:c>
    </x:row>
    <x:row r="1499" ht="22" customHeight="1">
      <x:c r="A1499" s="254" t="n">
        <x:f>1099</x:f>
        <x:v>1099</x:v>
      </x:c>
      <x:c r="B1499" s="440" t="n">
        <x:f>IF(ISNUMBER(H1498),H1498,"")</x:f>
        <x:v>0</x:v>
      </x:c>
      <x:c r="C1499" s="442" t="n">
        <x:f>IF(ISNUMBER(B1499),IF(AND(1099&gt;$B$173,$B$78="Refinance",ISNUMBER($B$80),$B$80&gt;=0,$B$80&lt;=1,ROUND($B$81*12,0)&gt;=1,$B$81&lt;=100,SUM($B$82)&gt;=0,SUM($B$82)&lt;=1,SUM($B$83)&gt;=0),$B$80,IF(AND($B$175&gt;0,1099&gt;$B$175,ISNUMBER($B$75)),$B$75,$B$61)),"")</x:f>
        <x:v>0.0625</x:v>
      </x:c>
      <x:c r="D1499" s="440" t="n">
        <x:f>IF(AND(ISNUMBER(B1499),B1499=0),0,IF(AND($B$171=1,I1498=0,ISNUMBER(C1499),ISNUMBER(IF(AND(1099&lt;=$B$174,1099&lt;=$B$173),B1499*C1499/12,IF(AND(1099=$B$173+1,AND(1099&gt;$B$173,$B$78="Refinance",ISNUMBER($B$80),$B$80&gt;=0,$B$80&lt;=1,ROUND($B$81*12,0)&gt;=1,$B$81&lt;=100,SUM($B$82)&gt;=0,SUM($B$82)&lt;=1,SUM($B$83)&gt;=0)),IF(B1499=0,0,IF(C1499=0,B1499/ROUND($B$81*12,0),B1499*(C1499/12)/(1-(1+C1499/12)^(-ROUND($B$81*12,0))))),IF(AND(NOT(AND(1099&gt;$B$173,$B$78="Refinance",ISNUMBER($B$80),$B$80&gt;=0,$B$80&lt;=1,ROUND($B$81*12,0)&gt;=1,$B$81&lt;=100,SUM($B$82)&gt;=0,SUM($B$82)&lt;=1,SUM($B$83)&gt;=0)),OR(1099=1,1099=$B$174+1,AND($B$175&gt;0,1099=$B$175+1))),IF(AND($B$170=1,$B$66&gt;0,OR($B$175=0,1099&lt;=$B$175)),$B$66,IF($B$172-MAX(1099-1,$B$174)&gt;0,IF(B1499=0,0,IF(C1499=0,B1499/($B$172-MAX(1099-1,$B$174)),B1499*(C1499/12)/(1-(1+C1499/12)^(-($B$172-MAX(1099-1,$B$174)))))),"")),D1498))))),IF(IF(AND(1099&lt;=$B$174,1099&lt;=$B$173),B1499*C1499/12,IF(AND(1099=$B$173+1,AND(1099&gt;$B$173,$B$78="Refinance",ISNUMBER($B$80),$B$80&gt;=0,$B$80&lt;=1,ROUND($B$81*12,0)&gt;=1,$B$81&lt;=100,SUM($B$82)&gt;=0,SUM($B$82)&lt;=1,SUM($B$83)&gt;=0)),IF(B1499=0,0,IF(C1499=0,B1499/ROUND($B$81*12,0),B1499*(C1499/12)/(1-(1+C1499/12)^(-ROUND($B$81*12,0))))),IF(AND(NOT(AND(1099&gt;$B$173,$B$78="Refinance",ISNUMBER($B$80),$B$80&gt;=0,$B$80&lt;=1,ROUND($B$81*12,0)&gt;=1,$B$81&lt;=100,SUM($B$82)&gt;=0,SUM($B$82)&lt;=1,SUM($B$83)&gt;=0)),OR(1099=1,1099=$B$174+1,AND($B$175&gt;0,1099=$B$175+1))),IF(AND($B$170=1,$B$66&gt;0,OR($B$175=0,1099&lt;=$B$175)),$B$66,IF($B$172-MAX(1099-1,$B$174)&gt;0,IF(B1499=0,0,IF(C1499=0,B1499/($B$172-MAX(1099-1,$B$174)),B1499*(C1499/12)/(1-(1+C1499/12)^(-($B$172-MAX(1099-1,$B$174)))))),"")),D1498)))+0.0000001&gt;=B1499*C1499/12,MIN(B1499*(1+C1499/12),IF(AND(1099&lt;=$B$174,1099&lt;=$B$173),B1499*C1499/12,IF(AND(1099=$B$173+1,AND(1099&gt;$B$173,$B$78="Refinance",ISNUMBER($B$80),$B$80&gt;=0,$B$80&lt;=1,ROUND($B$81*12,0)&gt;=1,$B$81&lt;=100,SUM($B$82)&gt;=0,SUM($B$82)&lt;=1,SUM($B$83)&gt;=0)),IF(B1499=0,0,IF(C1499=0,B1499/ROUND($B$81*12,0),B1499*(C1499/12)/(1-(1+C1499/12)^(-ROUND($B$81*12,0))))),IF(AND(NOT(AND(1099&gt;$B$173,$B$78="Refinance",ISNUMBER($B$80),$B$80&gt;=0,$B$80&lt;=1,ROUND($B$81*12,0)&gt;=1,$B$81&lt;=100,SUM($B$82)&gt;=0,SUM($B$82)&lt;=1,SUM($B$83)&gt;=0)),OR(1099=1,1099=$B$174+1,AND($B$175&gt;0,1099=$B$175+1))),IF(AND($B$170=1,$B$66&gt;0,OR($B$175=0,1099&lt;=$B$175)),$B$66,IF($B$172-MAX(1099-1,$B$174)&gt;0,IF(B1499=0,0,IF(C1499=0,B1499/($B$172-MAX(1099-1,$B$174)),B1499*(C1499/12)/(1-(1+C1499/12)^(-($B$172-MAX(1099-1,$B$174)))))),"")),D1498)))),""),""))</x:f>
        <x:v>0</x:v>
      </x:c>
      <x:c r="E1499" s="440" t="n">
        <x:f>IF(AND(1099=$B$173,ISNUMBER(D1499)),IF(MAX(0,B1499*(1+C1499/12)-D1499)&lt;MAX(0.0000001,$E$17*0.00000000001),0,MAX(0,B1499*(1+C1499/12)-D1499)),0)</x:f>
        <x:v>0</x:v>
      </x:c>
      <x:c r="F1499" s="440" t="n">
        <x:f>IF($B$78="Cash payoff",E1499,0)</x:f>
        <x:v>0</x:v>
      </x:c>
      <x:c r="G1499" s="440" t="n">
        <x:f>IF(AND(E1499&gt;0,AND($B$78="Refinance",ISNUMBER($B$80),$B$80&gt;=0,$B$80&lt;=1,ROUND($B$81*12,0)&gt;=1,$B$81&lt;=100,SUM($B$82)&gt;=0,SUM($B$82)&lt;=1,SUM($B$83)&gt;=0)),E1499*SUM($B$82)+SUM($B$83),0)</x:f>
        <x:v>0</x:v>
      </x:c>
      <x:c r="H1499" s="440" t="n">
        <x:f>IF(ISNUMBER(D1499),IF(MAX(0,B1499*(1+C1499/12)-D1499-F1499)&lt;MAX(0.0000001,$E$17*0.00000000001),0,MAX(0,B1499*(1+C1499/12)-D1499-F1499)),IF(AND($B$171=1,I1498=1),B1499,""))</x:f>
        <x:v>0</x:v>
      </x:c>
      <x:c r="I1499" s="444" t="n">
        <x:f>IF(OR(I1498=1,AND(E1499&gt;0,$B$78&lt;&gt;"Cash payoff",NOT(AND($B$78="Refinance",ISNUMBER($B$80),$B$80&gt;=0,$B$80&lt;=1,ROUND($B$81*12,0)&gt;=1,$B$81&lt;=100,SUM($B$82)&gt;=0,SUM($B$82)&lt;=1,SUM($B$83)&gt;=0))),AND(ISNUMBER(B1499),B1499&gt;0,$B$171=1,NOT(ISNUMBER(D1499)))),1,0)</x:f>
        <x:v>0</x:v>
      </x:c>
      <x:c r="J1499" s="440" t="n">
        <x:f>IF(ISNUMBER(L1498),L1498,"")</x:f>
        <x:v>0</x:v>
      </x:c>
      <x:c r="K1499" s="440" t="n">
        <x:f>IF(AND(ISNUMBER(J1499),J1499=0),0,IF(AND($B$176=1,ISNUMBER(J1499)),MIN(J1499*(1+$B$87/12),IF($B$86=0,0,IF($B$87=0,$B$86/ROUND($B$88*12,0),$B$86*($B$87/12)/(1-(1+$B$87/12)^(-ROUND($B$88*12,0)))))),""))</x:f>
        <x:v>0</x:v>
      </x:c>
      <x:c r="L1499" s="440" t="n">
        <x:f>IF(ISNUMBER(K1499),IF(MAX(0,J1499*(1+SUM($B$87)/12)-K1499)&lt;MAX(0.0000001,$B$86*0.00000000001),0,MAX(0,J1499*(1+SUM($B$87)/12)-K1499)),"")</x:f>
        <x:v>0</x:v>
      </x:c>
      <x:c r="M1499" s="440" t="n">
        <x:f>IF(AND(ISNUMBER(D1499),ISNUMBER(K1499)),D1499+K1499,"")</x:f>
        <x:v>0</x:v>
      </x:c>
      <x:c r="N1499" s="440" t="n">
        <x:f>IF(AND(ISNUMBER(H1499),ISNUMBER(L1499)),H1499+L1499,"")</x:f>
        <x:v>0</x:v>
      </x:c>
    </x:row>
    <x:row r="1500" ht="22" customHeight="1">
      <x:c r="A1500" s="254" t="n">
        <x:f>1100</x:f>
        <x:v>1100</x:v>
      </x:c>
      <x:c r="B1500" s="440" t="n">
        <x:f>IF(ISNUMBER(H1499),H1499,"")</x:f>
        <x:v>0</x:v>
      </x:c>
      <x:c r="C1500" s="442" t="n">
        <x:f>IF(ISNUMBER(B1500),IF(AND(1100&gt;$B$173,$B$78="Refinance",ISNUMBER($B$80),$B$80&gt;=0,$B$80&lt;=1,ROUND($B$81*12,0)&gt;=1,$B$81&lt;=100,SUM($B$82)&gt;=0,SUM($B$82)&lt;=1,SUM($B$83)&gt;=0),$B$80,IF(AND($B$175&gt;0,1100&gt;$B$175,ISNUMBER($B$75)),$B$75,$B$61)),"")</x:f>
        <x:v>0.0625</x:v>
      </x:c>
      <x:c r="D1500" s="440" t="n">
        <x:f>IF(AND(ISNUMBER(B1500),B1500=0),0,IF(AND($B$171=1,I1499=0,ISNUMBER(C1500),ISNUMBER(IF(AND(1100&lt;=$B$174,1100&lt;=$B$173),B1500*C1500/12,IF(AND(1100=$B$173+1,AND(1100&gt;$B$173,$B$78="Refinance",ISNUMBER($B$80),$B$80&gt;=0,$B$80&lt;=1,ROUND($B$81*12,0)&gt;=1,$B$81&lt;=100,SUM($B$82)&gt;=0,SUM($B$82)&lt;=1,SUM($B$83)&gt;=0)),IF(B1500=0,0,IF(C1500=0,B1500/ROUND($B$81*12,0),B1500*(C1500/12)/(1-(1+C1500/12)^(-ROUND($B$81*12,0))))),IF(AND(NOT(AND(1100&gt;$B$173,$B$78="Refinance",ISNUMBER($B$80),$B$80&gt;=0,$B$80&lt;=1,ROUND($B$81*12,0)&gt;=1,$B$81&lt;=100,SUM($B$82)&gt;=0,SUM($B$82)&lt;=1,SUM($B$83)&gt;=0)),OR(1100=1,1100=$B$174+1,AND($B$175&gt;0,1100=$B$175+1))),IF(AND($B$170=1,$B$66&gt;0,OR($B$175=0,1100&lt;=$B$175)),$B$66,IF($B$172-MAX(1100-1,$B$174)&gt;0,IF(B1500=0,0,IF(C1500=0,B1500/($B$172-MAX(1100-1,$B$174)),B1500*(C1500/12)/(1-(1+C1500/12)^(-($B$172-MAX(1100-1,$B$174)))))),"")),D1499))))),IF(IF(AND(1100&lt;=$B$174,1100&lt;=$B$173),B1500*C1500/12,IF(AND(1100=$B$173+1,AND(1100&gt;$B$173,$B$78="Refinance",ISNUMBER($B$80),$B$80&gt;=0,$B$80&lt;=1,ROUND($B$81*12,0)&gt;=1,$B$81&lt;=100,SUM($B$82)&gt;=0,SUM($B$82)&lt;=1,SUM($B$83)&gt;=0)),IF(B1500=0,0,IF(C1500=0,B1500/ROUND($B$81*12,0),B1500*(C1500/12)/(1-(1+C1500/12)^(-ROUND($B$81*12,0))))),IF(AND(NOT(AND(1100&gt;$B$173,$B$78="Refinance",ISNUMBER($B$80),$B$80&gt;=0,$B$80&lt;=1,ROUND($B$81*12,0)&gt;=1,$B$81&lt;=100,SUM($B$82)&gt;=0,SUM($B$82)&lt;=1,SUM($B$83)&gt;=0)),OR(1100=1,1100=$B$174+1,AND($B$175&gt;0,1100=$B$175+1))),IF(AND($B$170=1,$B$66&gt;0,OR($B$175=0,1100&lt;=$B$175)),$B$66,IF($B$172-MAX(1100-1,$B$174)&gt;0,IF(B1500=0,0,IF(C1500=0,B1500/($B$172-MAX(1100-1,$B$174)),B1500*(C1500/12)/(1-(1+C1500/12)^(-($B$172-MAX(1100-1,$B$174)))))),"")),D1499)))+0.0000001&gt;=B1500*C1500/12,MIN(B1500*(1+C1500/12),IF(AND(1100&lt;=$B$174,1100&lt;=$B$173),B1500*C1500/12,IF(AND(1100=$B$173+1,AND(1100&gt;$B$173,$B$78="Refinance",ISNUMBER($B$80),$B$80&gt;=0,$B$80&lt;=1,ROUND($B$81*12,0)&gt;=1,$B$81&lt;=100,SUM($B$82)&gt;=0,SUM($B$82)&lt;=1,SUM($B$83)&gt;=0)),IF(B1500=0,0,IF(C1500=0,B1500/ROUND($B$81*12,0),B1500*(C1500/12)/(1-(1+C1500/12)^(-ROUND($B$81*12,0))))),IF(AND(NOT(AND(1100&gt;$B$173,$B$78="Refinance",ISNUMBER($B$80),$B$80&gt;=0,$B$80&lt;=1,ROUND($B$81*12,0)&gt;=1,$B$81&lt;=100,SUM($B$82)&gt;=0,SUM($B$82)&lt;=1,SUM($B$83)&gt;=0)),OR(1100=1,1100=$B$174+1,AND($B$175&gt;0,1100=$B$175+1))),IF(AND($B$170=1,$B$66&gt;0,OR($B$175=0,1100&lt;=$B$175)),$B$66,IF($B$172-MAX(1100-1,$B$174)&gt;0,IF(B1500=0,0,IF(C1500=0,B1500/($B$172-MAX(1100-1,$B$174)),B1500*(C1500/12)/(1-(1+C1500/12)^(-($B$172-MAX(1100-1,$B$174)))))),"")),D1499)))),""),""))</x:f>
        <x:v>0</x:v>
      </x:c>
      <x:c r="E1500" s="440" t="n">
        <x:f>IF(AND(1100=$B$173,ISNUMBER(D1500)),IF(MAX(0,B1500*(1+C1500/12)-D1500)&lt;MAX(0.0000001,$E$17*0.00000000001),0,MAX(0,B1500*(1+C1500/12)-D1500)),0)</x:f>
        <x:v>0</x:v>
      </x:c>
      <x:c r="F1500" s="440" t="n">
        <x:f>IF($B$78="Cash payoff",E1500,0)</x:f>
        <x:v>0</x:v>
      </x:c>
      <x:c r="G1500" s="440" t="n">
        <x:f>IF(AND(E1500&gt;0,AND($B$78="Refinance",ISNUMBER($B$80),$B$80&gt;=0,$B$80&lt;=1,ROUND($B$81*12,0)&gt;=1,$B$81&lt;=100,SUM($B$82)&gt;=0,SUM($B$82)&lt;=1,SUM($B$83)&gt;=0)),E1500*SUM($B$82)+SUM($B$83),0)</x:f>
        <x:v>0</x:v>
      </x:c>
      <x:c r="H1500" s="440" t="n">
        <x:f>IF(ISNUMBER(D1500),IF(MAX(0,B1500*(1+C1500/12)-D1500-F1500)&lt;MAX(0.0000001,$E$17*0.00000000001),0,MAX(0,B1500*(1+C1500/12)-D1500-F1500)),IF(AND($B$171=1,I1499=1),B1500,""))</x:f>
        <x:v>0</x:v>
      </x:c>
      <x:c r="I1500" s="444" t="n">
        <x:f>IF(OR(I1499=1,AND(E1500&gt;0,$B$78&lt;&gt;"Cash payoff",NOT(AND($B$78="Refinance",ISNUMBER($B$80),$B$80&gt;=0,$B$80&lt;=1,ROUND($B$81*12,0)&gt;=1,$B$81&lt;=100,SUM($B$82)&gt;=0,SUM($B$82)&lt;=1,SUM($B$83)&gt;=0))),AND(ISNUMBER(B1500),B1500&gt;0,$B$171=1,NOT(ISNUMBER(D1500)))),1,0)</x:f>
        <x:v>0</x:v>
      </x:c>
      <x:c r="J1500" s="440" t="n">
        <x:f>IF(ISNUMBER(L1499),L1499,"")</x:f>
        <x:v>0</x:v>
      </x:c>
      <x:c r="K1500" s="440" t="n">
        <x:f>IF(AND(ISNUMBER(J1500),J1500=0),0,IF(AND($B$176=1,ISNUMBER(J1500)),MIN(J1500*(1+$B$87/12),IF($B$86=0,0,IF($B$87=0,$B$86/ROUND($B$88*12,0),$B$86*($B$87/12)/(1-(1+$B$87/12)^(-ROUND($B$88*12,0)))))),""))</x:f>
        <x:v>0</x:v>
      </x:c>
      <x:c r="L1500" s="440" t="n">
        <x:f>IF(ISNUMBER(K1500),IF(MAX(0,J1500*(1+SUM($B$87)/12)-K1500)&lt;MAX(0.0000001,$B$86*0.00000000001),0,MAX(0,J1500*(1+SUM($B$87)/12)-K1500)),"")</x:f>
        <x:v>0</x:v>
      </x:c>
      <x:c r="M1500" s="440" t="n">
        <x:f>IF(AND(ISNUMBER(D1500),ISNUMBER(K1500)),D1500+K1500,"")</x:f>
        <x:v>0</x:v>
      </x:c>
      <x:c r="N1500" s="440" t="n">
        <x:f>IF(AND(ISNUMBER(H1500),ISNUMBER(L1500)),H1500+L1500,"")</x:f>
        <x:v>0</x:v>
      </x:c>
    </x:row>
    <x:row r="1501" ht="22" customHeight="1">
      <x:c r="A1501" s="254" t="n">
        <x:f>1101</x:f>
        <x:v>1101</x:v>
      </x:c>
      <x:c r="B1501" s="440" t="n">
        <x:f>IF(ISNUMBER(H1500),H1500,"")</x:f>
        <x:v>0</x:v>
      </x:c>
      <x:c r="C1501" s="442" t="n">
        <x:f>IF(ISNUMBER(B1501),IF(AND(1101&gt;$B$173,$B$78="Refinance",ISNUMBER($B$80),$B$80&gt;=0,$B$80&lt;=1,ROUND($B$81*12,0)&gt;=1,$B$81&lt;=100,SUM($B$82)&gt;=0,SUM($B$82)&lt;=1,SUM($B$83)&gt;=0),$B$80,IF(AND($B$175&gt;0,1101&gt;$B$175,ISNUMBER($B$75)),$B$75,$B$61)),"")</x:f>
        <x:v>0.0625</x:v>
      </x:c>
      <x:c r="D1501" s="440" t="n">
        <x:f>IF(AND(ISNUMBER(B1501),B1501=0),0,IF(AND($B$171=1,I1500=0,ISNUMBER(C1501),ISNUMBER(IF(AND(1101&lt;=$B$174,1101&lt;=$B$173),B1501*C1501/12,IF(AND(1101=$B$173+1,AND(1101&gt;$B$173,$B$78="Refinance",ISNUMBER($B$80),$B$80&gt;=0,$B$80&lt;=1,ROUND($B$81*12,0)&gt;=1,$B$81&lt;=100,SUM($B$82)&gt;=0,SUM($B$82)&lt;=1,SUM($B$83)&gt;=0)),IF(B1501=0,0,IF(C1501=0,B1501/ROUND($B$81*12,0),B1501*(C1501/12)/(1-(1+C1501/12)^(-ROUND($B$81*12,0))))),IF(AND(NOT(AND(1101&gt;$B$173,$B$78="Refinance",ISNUMBER($B$80),$B$80&gt;=0,$B$80&lt;=1,ROUND($B$81*12,0)&gt;=1,$B$81&lt;=100,SUM($B$82)&gt;=0,SUM($B$82)&lt;=1,SUM($B$83)&gt;=0)),OR(1101=1,1101=$B$174+1,AND($B$175&gt;0,1101=$B$175+1))),IF(AND($B$170=1,$B$66&gt;0,OR($B$175=0,1101&lt;=$B$175)),$B$66,IF($B$172-MAX(1101-1,$B$174)&gt;0,IF(B1501=0,0,IF(C1501=0,B1501/($B$172-MAX(1101-1,$B$174)),B1501*(C1501/12)/(1-(1+C1501/12)^(-($B$172-MAX(1101-1,$B$174)))))),"")),D1500))))),IF(IF(AND(1101&lt;=$B$174,1101&lt;=$B$173),B1501*C1501/12,IF(AND(1101=$B$173+1,AND(1101&gt;$B$173,$B$78="Refinance",ISNUMBER($B$80),$B$80&gt;=0,$B$80&lt;=1,ROUND($B$81*12,0)&gt;=1,$B$81&lt;=100,SUM($B$82)&gt;=0,SUM($B$82)&lt;=1,SUM($B$83)&gt;=0)),IF(B1501=0,0,IF(C1501=0,B1501/ROUND($B$81*12,0),B1501*(C1501/12)/(1-(1+C1501/12)^(-ROUND($B$81*12,0))))),IF(AND(NOT(AND(1101&gt;$B$173,$B$78="Refinance",ISNUMBER($B$80),$B$80&gt;=0,$B$80&lt;=1,ROUND($B$81*12,0)&gt;=1,$B$81&lt;=100,SUM($B$82)&gt;=0,SUM($B$82)&lt;=1,SUM($B$83)&gt;=0)),OR(1101=1,1101=$B$174+1,AND($B$175&gt;0,1101=$B$175+1))),IF(AND($B$170=1,$B$66&gt;0,OR($B$175=0,1101&lt;=$B$175)),$B$66,IF($B$172-MAX(1101-1,$B$174)&gt;0,IF(B1501=0,0,IF(C1501=0,B1501/($B$172-MAX(1101-1,$B$174)),B1501*(C1501/12)/(1-(1+C1501/12)^(-($B$172-MAX(1101-1,$B$174)))))),"")),D1500)))+0.0000001&gt;=B1501*C1501/12,MIN(B1501*(1+C1501/12),IF(AND(1101&lt;=$B$174,1101&lt;=$B$173),B1501*C1501/12,IF(AND(1101=$B$173+1,AND(1101&gt;$B$173,$B$78="Refinance",ISNUMBER($B$80),$B$80&gt;=0,$B$80&lt;=1,ROUND($B$81*12,0)&gt;=1,$B$81&lt;=100,SUM($B$82)&gt;=0,SUM($B$82)&lt;=1,SUM($B$83)&gt;=0)),IF(B1501=0,0,IF(C1501=0,B1501/ROUND($B$81*12,0),B1501*(C1501/12)/(1-(1+C1501/12)^(-ROUND($B$81*12,0))))),IF(AND(NOT(AND(1101&gt;$B$173,$B$78="Refinance",ISNUMBER($B$80),$B$80&gt;=0,$B$80&lt;=1,ROUND($B$81*12,0)&gt;=1,$B$81&lt;=100,SUM($B$82)&gt;=0,SUM($B$82)&lt;=1,SUM($B$83)&gt;=0)),OR(1101=1,1101=$B$174+1,AND($B$175&gt;0,1101=$B$175+1))),IF(AND($B$170=1,$B$66&gt;0,OR($B$175=0,1101&lt;=$B$175)),$B$66,IF($B$172-MAX(1101-1,$B$174)&gt;0,IF(B1501=0,0,IF(C1501=0,B1501/($B$172-MAX(1101-1,$B$174)),B1501*(C1501/12)/(1-(1+C1501/12)^(-($B$172-MAX(1101-1,$B$174)))))),"")),D1500)))),""),""))</x:f>
        <x:v>0</x:v>
      </x:c>
      <x:c r="E1501" s="440" t="n">
        <x:f>IF(AND(1101=$B$173,ISNUMBER(D1501)),IF(MAX(0,B1501*(1+C1501/12)-D1501)&lt;MAX(0.0000001,$E$17*0.00000000001),0,MAX(0,B1501*(1+C1501/12)-D1501)),0)</x:f>
        <x:v>0</x:v>
      </x:c>
      <x:c r="F1501" s="440" t="n">
        <x:f>IF($B$78="Cash payoff",E1501,0)</x:f>
        <x:v>0</x:v>
      </x:c>
      <x:c r="G1501" s="440" t="n">
        <x:f>IF(AND(E1501&gt;0,AND($B$78="Refinance",ISNUMBER($B$80),$B$80&gt;=0,$B$80&lt;=1,ROUND($B$81*12,0)&gt;=1,$B$81&lt;=100,SUM($B$82)&gt;=0,SUM($B$82)&lt;=1,SUM($B$83)&gt;=0)),E1501*SUM($B$82)+SUM($B$83),0)</x:f>
        <x:v>0</x:v>
      </x:c>
      <x:c r="H1501" s="440" t="n">
        <x:f>IF(ISNUMBER(D1501),IF(MAX(0,B1501*(1+C1501/12)-D1501-F1501)&lt;MAX(0.0000001,$E$17*0.00000000001),0,MAX(0,B1501*(1+C1501/12)-D1501-F1501)),IF(AND($B$171=1,I1500=1),B1501,""))</x:f>
        <x:v>0</x:v>
      </x:c>
      <x:c r="I1501" s="444" t="n">
        <x:f>IF(OR(I1500=1,AND(E1501&gt;0,$B$78&lt;&gt;"Cash payoff",NOT(AND($B$78="Refinance",ISNUMBER($B$80),$B$80&gt;=0,$B$80&lt;=1,ROUND($B$81*12,0)&gt;=1,$B$81&lt;=100,SUM($B$82)&gt;=0,SUM($B$82)&lt;=1,SUM($B$83)&gt;=0))),AND(ISNUMBER(B1501),B1501&gt;0,$B$171=1,NOT(ISNUMBER(D1501)))),1,0)</x:f>
        <x:v>0</x:v>
      </x:c>
      <x:c r="J1501" s="440" t="n">
        <x:f>IF(ISNUMBER(L1500),L1500,"")</x:f>
        <x:v>0</x:v>
      </x:c>
      <x:c r="K1501" s="440" t="n">
        <x:f>IF(AND(ISNUMBER(J1501),J1501=0),0,IF(AND($B$176=1,ISNUMBER(J1501)),MIN(J1501*(1+$B$87/12),IF($B$86=0,0,IF($B$87=0,$B$86/ROUND($B$88*12,0),$B$86*($B$87/12)/(1-(1+$B$87/12)^(-ROUND($B$88*12,0)))))),""))</x:f>
        <x:v>0</x:v>
      </x:c>
      <x:c r="L1501" s="440" t="n">
        <x:f>IF(ISNUMBER(K1501),IF(MAX(0,J1501*(1+SUM($B$87)/12)-K1501)&lt;MAX(0.0000001,$B$86*0.00000000001),0,MAX(0,J1501*(1+SUM($B$87)/12)-K1501)),"")</x:f>
        <x:v>0</x:v>
      </x:c>
      <x:c r="M1501" s="440" t="n">
        <x:f>IF(AND(ISNUMBER(D1501),ISNUMBER(K1501)),D1501+K1501,"")</x:f>
        <x:v>0</x:v>
      </x:c>
      <x:c r="N1501" s="440" t="n">
        <x:f>IF(AND(ISNUMBER(H1501),ISNUMBER(L1501)),H1501+L1501,"")</x:f>
        <x:v>0</x:v>
      </x:c>
    </x:row>
    <x:row r="1502" ht="22" customHeight="1">
      <x:c r="A1502" s="254" t="n">
        <x:f>1102</x:f>
        <x:v>1102</x:v>
      </x:c>
      <x:c r="B1502" s="440" t="n">
        <x:f>IF(ISNUMBER(H1501),H1501,"")</x:f>
        <x:v>0</x:v>
      </x:c>
      <x:c r="C1502" s="442" t="n">
        <x:f>IF(ISNUMBER(B1502),IF(AND(1102&gt;$B$173,$B$78="Refinance",ISNUMBER($B$80),$B$80&gt;=0,$B$80&lt;=1,ROUND($B$81*12,0)&gt;=1,$B$81&lt;=100,SUM($B$82)&gt;=0,SUM($B$82)&lt;=1,SUM($B$83)&gt;=0),$B$80,IF(AND($B$175&gt;0,1102&gt;$B$175,ISNUMBER($B$75)),$B$75,$B$61)),"")</x:f>
        <x:v>0.0625</x:v>
      </x:c>
      <x:c r="D1502" s="440" t="n">
        <x:f>IF(AND(ISNUMBER(B1502),B1502=0),0,IF(AND($B$171=1,I1501=0,ISNUMBER(C1502),ISNUMBER(IF(AND(1102&lt;=$B$174,1102&lt;=$B$173),B1502*C1502/12,IF(AND(1102=$B$173+1,AND(1102&gt;$B$173,$B$78="Refinance",ISNUMBER($B$80),$B$80&gt;=0,$B$80&lt;=1,ROUND($B$81*12,0)&gt;=1,$B$81&lt;=100,SUM($B$82)&gt;=0,SUM($B$82)&lt;=1,SUM($B$83)&gt;=0)),IF(B1502=0,0,IF(C1502=0,B1502/ROUND($B$81*12,0),B1502*(C1502/12)/(1-(1+C1502/12)^(-ROUND($B$81*12,0))))),IF(AND(NOT(AND(1102&gt;$B$173,$B$78="Refinance",ISNUMBER($B$80),$B$80&gt;=0,$B$80&lt;=1,ROUND($B$81*12,0)&gt;=1,$B$81&lt;=100,SUM($B$82)&gt;=0,SUM($B$82)&lt;=1,SUM($B$83)&gt;=0)),OR(1102=1,1102=$B$174+1,AND($B$175&gt;0,1102=$B$175+1))),IF(AND($B$170=1,$B$66&gt;0,OR($B$175=0,1102&lt;=$B$175)),$B$66,IF($B$172-MAX(1102-1,$B$174)&gt;0,IF(B1502=0,0,IF(C1502=0,B1502/($B$172-MAX(1102-1,$B$174)),B1502*(C1502/12)/(1-(1+C1502/12)^(-($B$172-MAX(1102-1,$B$174)))))),"")),D1501))))),IF(IF(AND(1102&lt;=$B$174,1102&lt;=$B$173),B1502*C1502/12,IF(AND(1102=$B$173+1,AND(1102&gt;$B$173,$B$78="Refinance",ISNUMBER($B$80),$B$80&gt;=0,$B$80&lt;=1,ROUND($B$81*12,0)&gt;=1,$B$81&lt;=100,SUM($B$82)&gt;=0,SUM($B$82)&lt;=1,SUM($B$83)&gt;=0)),IF(B1502=0,0,IF(C1502=0,B1502/ROUND($B$81*12,0),B1502*(C1502/12)/(1-(1+C1502/12)^(-ROUND($B$81*12,0))))),IF(AND(NOT(AND(1102&gt;$B$173,$B$78="Refinance",ISNUMBER($B$80),$B$80&gt;=0,$B$80&lt;=1,ROUND($B$81*12,0)&gt;=1,$B$81&lt;=100,SUM($B$82)&gt;=0,SUM($B$82)&lt;=1,SUM($B$83)&gt;=0)),OR(1102=1,1102=$B$174+1,AND($B$175&gt;0,1102=$B$175+1))),IF(AND($B$170=1,$B$66&gt;0,OR($B$175=0,1102&lt;=$B$175)),$B$66,IF($B$172-MAX(1102-1,$B$174)&gt;0,IF(B1502=0,0,IF(C1502=0,B1502/($B$172-MAX(1102-1,$B$174)),B1502*(C1502/12)/(1-(1+C1502/12)^(-($B$172-MAX(1102-1,$B$174)))))),"")),D1501)))+0.0000001&gt;=B1502*C1502/12,MIN(B1502*(1+C1502/12),IF(AND(1102&lt;=$B$174,1102&lt;=$B$173),B1502*C1502/12,IF(AND(1102=$B$173+1,AND(1102&gt;$B$173,$B$78="Refinance",ISNUMBER($B$80),$B$80&gt;=0,$B$80&lt;=1,ROUND($B$81*12,0)&gt;=1,$B$81&lt;=100,SUM($B$82)&gt;=0,SUM($B$82)&lt;=1,SUM($B$83)&gt;=0)),IF(B1502=0,0,IF(C1502=0,B1502/ROUND($B$81*12,0),B1502*(C1502/12)/(1-(1+C1502/12)^(-ROUND($B$81*12,0))))),IF(AND(NOT(AND(1102&gt;$B$173,$B$78="Refinance",ISNUMBER($B$80),$B$80&gt;=0,$B$80&lt;=1,ROUND($B$81*12,0)&gt;=1,$B$81&lt;=100,SUM($B$82)&gt;=0,SUM($B$82)&lt;=1,SUM($B$83)&gt;=0)),OR(1102=1,1102=$B$174+1,AND($B$175&gt;0,1102=$B$175+1))),IF(AND($B$170=1,$B$66&gt;0,OR($B$175=0,1102&lt;=$B$175)),$B$66,IF($B$172-MAX(1102-1,$B$174)&gt;0,IF(B1502=0,0,IF(C1502=0,B1502/($B$172-MAX(1102-1,$B$174)),B1502*(C1502/12)/(1-(1+C1502/12)^(-($B$172-MAX(1102-1,$B$174)))))),"")),D1501)))),""),""))</x:f>
        <x:v>0</x:v>
      </x:c>
      <x:c r="E1502" s="440" t="n">
        <x:f>IF(AND(1102=$B$173,ISNUMBER(D1502)),IF(MAX(0,B1502*(1+C1502/12)-D1502)&lt;MAX(0.0000001,$E$17*0.00000000001),0,MAX(0,B1502*(1+C1502/12)-D1502)),0)</x:f>
        <x:v>0</x:v>
      </x:c>
      <x:c r="F1502" s="440" t="n">
        <x:f>IF($B$78="Cash payoff",E1502,0)</x:f>
        <x:v>0</x:v>
      </x:c>
      <x:c r="G1502" s="440" t="n">
        <x:f>IF(AND(E1502&gt;0,AND($B$78="Refinance",ISNUMBER($B$80),$B$80&gt;=0,$B$80&lt;=1,ROUND($B$81*12,0)&gt;=1,$B$81&lt;=100,SUM($B$82)&gt;=0,SUM($B$82)&lt;=1,SUM($B$83)&gt;=0)),E1502*SUM($B$82)+SUM($B$83),0)</x:f>
        <x:v>0</x:v>
      </x:c>
      <x:c r="H1502" s="440" t="n">
        <x:f>IF(ISNUMBER(D1502),IF(MAX(0,B1502*(1+C1502/12)-D1502-F1502)&lt;MAX(0.0000001,$E$17*0.00000000001),0,MAX(0,B1502*(1+C1502/12)-D1502-F1502)),IF(AND($B$171=1,I1501=1),B1502,""))</x:f>
        <x:v>0</x:v>
      </x:c>
      <x:c r="I1502" s="444" t="n">
        <x:f>IF(OR(I1501=1,AND(E1502&gt;0,$B$78&lt;&gt;"Cash payoff",NOT(AND($B$78="Refinance",ISNUMBER($B$80),$B$80&gt;=0,$B$80&lt;=1,ROUND($B$81*12,0)&gt;=1,$B$81&lt;=100,SUM($B$82)&gt;=0,SUM($B$82)&lt;=1,SUM($B$83)&gt;=0))),AND(ISNUMBER(B1502),B1502&gt;0,$B$171=1,NOT(ISNUMBER(D1502)))),1,0)</x:f>
        <x:v>0</x:v>
      </x:c>
      <x:c r="J1502" s="440" t="n">
        <x:f>IF(ISNUMBER(L1501),L1501,"")</x:f>
        <x:v>0</x:v>
      </x:c>
      <x:c r="K1502" s="440" t="n">
        <x:f>IF(AND(ISNUMBER(J1502),J1502=0),0,IF(AND($B$176=1,ISNUMBER(J1502)),MIN(J1502*(1+$B$87/12),IF($B$86=0,0,IF($B$87=0,$B$86/ROUND($B$88*12,0),$B$86*($B$87/12)/(1-(1+$B$87/12)^(-ROUND($B$88*12,0)))))),""))</x:f>
        <x:v>0</x:v>
      </x:c>
      <x:c r="L1502" s="440" t="n">
        <x:f>IF(ISNUMBER(K1502),IF(MAX(0,J1502*(1+SUM($B$87)/12)-K1502)&lt;MAX(0.0000001,$B$86*0.00000000001),0,MAX(0,J1502*(1+SUM($B$87)/12)-K1502)),"")</x:f>
        <x:v>0</x:v>
      </x:c>
      <x:c r="M1502" s="440" t="n">
        <x:f>IF(AND(ISNUMBER(D1502),ISNUMBER(K1502)),D1502+K1502,"")</x:f>
        <x:v>0</x:v>
      </x:c>
      <x:c r="N1502" s="440" t="n">
        <x:f>IF(AND(ISNUMBER(H1502),ISNUMBER(L1502)),H1502+L1502,"")</x:f>
        <x:v>0</x:v>
      </x:c>
    </x:row>
    <x:row r="1503" ht="22" customHeight="1">
      <x:c r="A1503" s="254" t="n">
        <x:f>1103</x:f>
        <x:v>1103</x:v>
      </x:c>
      <x:c r="B1503" s="440" t="n">
        <x:f>IF(ISNUMBER(H1502),H1502,"")</x:f>
        <x:v>0</x:v>
      </x:c>
      <x:c r="C1503" s="442" t="n">
        <x:f>IF(ISNUMBER(B1503),IF(AND(1103&gt;$B$173,$B$78="Refinance",ISNUMBER($B$80),$B$80&gt;=0,$B$80&lt;=1,ROUND($B$81*12,0)&gt;=1,$B$81&lt;=100,SUM($B$82)&gt;=0,SUM($B$82)&lt;=1,SUM($B$83)&gt;=0),$B$80,IF(AND($B$175&gt;0,1103&gt;$B$175,ISNUMBER($B$75)),$B$75,$B$61)),"")</x:f>
        <x:v>0.0625</x:v>
      </x:c>
      <x:c r="D1503" s="440" t="n">
        <x:f>IF(AND(ISNUMBER(B1503),B1503=0),0,IF(AND($B$171=1,I1502=0,ISNUMBER(C1503),ISNUMBER(IF(AND(1103&lt;=$B$174,1103&lt;=$B$173),B1503*C1503/12,IF(AND(1103=$B$173+1,AND(1103&gt;$B$173,$B$78="Refinance",ISNUMBER($B$80),$B$80&gt;=0,$B$80&lt;=1,ROUND($B$81*12,0)&gt;=1,$B$81&lt;=100,SUM($B$82)&gt;=0,SUM($B$82)&lt;=1,SUM($B$83)&gt;=0)),IF(B1503=0,0,IF(C1503=0,B1503/ROUND($B$81*12,0),B1503*(C1503/12)/(1-(1+C1503/12)^(-ROUND($B$81*12,0))))),IF(AND(NOT(AND(1103&gt;$B$173,$B$78="Refinance",ISNUMBER($B$80),$B$80&gt;=0,$B$80&lt;=1,ROUND($B$81*12,0)&gt;=1,$B$81&lt;=100,SUM($B$82)&gt;=0,SUM($B$82)&lt;=1,SUM($B$83)&gt;=0)),OR(1103=1,1103=$B$174+1,AND($B$175&gt;0,1103=$B$175+1))),IF(AND($B$170=1,$B$66&gt;0,OR($B$175=0,1103&lt;=$B$175)),$B$66,IF($B$172-MAX(1103-1,$B$174)&gt;0,IF(B1503=0,0,IF(C1503=0,B1503/($B$172-MAX(1103-1,$B$174)),B1503*(C1503/12)/(1-(1+C1503/12)^(-($B$172-MAX(1103-1,$B$174)))))),"")),D1502))))),IF(IF(AND(1103&lt;=$B$174,1103&lt;=$B$173),B1503*C1503/12,IF(AND(1103=$B$173+1,AND(1103&gt;$B$173,$B$78="Refinance",ISNUMBER($B$80),$B$80&gt;=0,$B$80&lt;=1,ROUND($B$81*12,0)&gt;=1,$B$81&lt;=100,SUM($B$82)&gt;=0,SUM($B$82)&lt;=1,SUM($B$83)&gt;=0)),IF(B1503=0,0,IF(C1503=0,B1503/ROUND($B$81*12,0),B1503*(C1503/12)/(1-(1+C1503/12)^(-ROUND($B$81*12,0))))),IF(AND(NOT(AND(1103&gt;$B$173,$B$78="Refinance",ISNUMBER($B$80),$B$80&gt;=0,$B$80&lt;=1,ROUND($B$81*12,0)&gt;=1,$B$81&lt;=100,SUM($B$82)&gt;=0,SUM($B$82)&lt;=1,SUM($B$83)&gt;=0)),OR(1103=1,1103=$B$174+1,AND($B$175&gt;0,1103=$B$175+1))),IF(AND($B$170=1,$B$66&gt;0,OR($B$175=0,1103&lt;=$B$175)),$B$66,IF($B$172-MAX(1103-1,$B$174)&gt;0,IF(B1503=0,0,IF(C1503=0,B1503/($B$172-MAX(1103-1,$B$174)),B1503*(C1503/12)/(1-(1+C1503/12)^(-($B$172-MAX(1103-1,$B$174)))))),"")),D1502)))+0.0000001&gt;=B1503*C1503/12,MIN(B1503*(1+C1503/12),IF(AND(1103&lt;=$B$174,1103&lt;=$B$173),B1503*C1503/12,IF(AND(1103=$B$173+1,AND(1103&gt;$B$173,$B$78="Refinance",ISNUMBER($B$80),$B$80&gt;=0,$B$80&lt;=1,ROUND($B$81*12,0)&gt;=1,$B$81&lt;=100,SUM($B$82)&gt;=0,SUM($B$82)&lt;=1,SUM($B$83)&gt;=0)),IF(B1503=0,0,IF(C1503=0,B1503/ROUND($B$81*12,0),B1503*(C1503/12)/(1-(1+C1503/12)^(-ROUND($B$81*12,0))))),IF(AND(NOT(AND(1103&gt;$B$173,$B$78="Refinance",ISNUMBER($B$80),$B$80&gt;=0,$B$80&lt;=1,ROUND($B$81*12,0)&gt;=1,$B$81&lt;=100,SUM($B$82)&gt;=0,SUM($B$82)&lt;=1,SUM($B$83)&gt;=0)),OR(1103=1,1103=$B$174+1,AND($B$175&gt;0,1103=$B$175+1))),IF(AND($B$170=1,$B$66&gt;0,OR($B$175=0,1103&lt;=$B$175)),$B$66,IF($B$172-MAX(1103-1,$B$174)&gt;0,IF(B1503=0,0,IF(C1503=0,B1503/($B$172-MAX(1103-1,$B$174)),B1503*(C1503/12)/(1-(1+C1503/12)^(-($B$172-MAX(1103-1,$B$174)))))),"")),D1502)))),""),""))</x:f>
        <x:v>0</x:v>
      </x:c>
      <x:c r="E1503" s="440" t="n">
        <x:f>IF(AND(1103=$B$173,ISNUMBER(D1503)),IF(MAX(0,B1503*(1+C1503/12)-D1503)&lt;MAX(0.0000001,$E$17*0.00000000001),0,MAX(0,B1503*(1+C1503/12)-D1503)),0)</x:f>
        <x:v>0</x:v>
      </x:c>
      <x:c r="F1503" s="440" t="n">
        <x:f>IF($B$78="Cash payoff",E1503,0)</x:f>
        <x:v>0</x:v>
      </x:c>
      <x:c r="G1503" s="440" t="n">
        <x:f>IF(AND(E1503&gt;0,AND($B$78="Refinance",ISNUMBER($B$80),$B$80&gt;=0,$B$80&lt;=1,ROUND($B$81*12,0)&gt;=1,$B$81&lt;=100,SUM($B$82)&gt;=0,SUM($B$82)&lt;=1,SUM($B$83)&gt;=0)),E1503*SUM($B$82)+SUM($B$83),0)</x:f>
        <x:v>0</x:v>
      </x:c>
      <x:c r="H1503" s="440" t="n">
        <x:f>IF(ISNUMBER(D1503),IF(MAX(0,B1503*(1+C1503/12)-D1503-F1503)&lt;MAX(0.0000001,$E$17*0.00000000001),0,MAX(0,B1503*(1+C1503/12)-D1503-F1503)),IF(AND($B$171=1,I1502=1),B1503,""))</x:f>
        <x:v>0</x:v>
      </x:c>
      <x:c r="I1503" s="444" t="n">
        <x:f>IF(OR(I1502=1,AND(E1503&gt;0,$B$78&lt;&gt;"Cash payoff",NOT(AND($B$78="Refinance",ISNUMBER($B$80),$B$80&gt;=0,$B$80&lt;=1,ROUND($B$81*12,0)&gt;=1,$B$81&lt;=100,SUM($B$82)&gt;=0,SUM($B$82)&lt;=1,SUM($B$83)&gt;=0))),AND(ISNUMBER(B1503),B1503&gt;0,$B$171=1,NOT(ISNUMBER(D1503)))),1,0)</x:f>
        <x:v>0</x:v>
      </x:c>
      <x:c r="J1503" s="440" t="n">
        <x:f>IF(ISNUMBER(L1502),L1502,"")</x:f>
        <x:v>0</x:v>
      </x:c>
      <x:c r="K1503" s="440" t="n">
        <x:f>IF(AND(ISNUMBER(J1503),J1503=0),0,IF(AND($B$176=1,ISNUMBER(J1503)),MIN(J1503*(1+$B$87/12),IF($B$86=0,0,IF($B$87=0,$B$86/ROUND($B$88*12,0),$B$86*($B$87/12)/(1-(1+$B$87/12)^(-ROUND($B$88*12,0)))))),""))</x:f>
        <x:v>0</x:v>
      </x:c>
      <x:c r="L1503" s="440" t="n">
        <x:f>IF(ISNUMBER(K1503),IF(MAX(0,J1503*(1+SUM($B$87)/12)-K1503)&lt;MAX(0.0000001,$B$86*0.00000000001),0,MAX(0,J1503*(1+SUM($B$87)/12)-K1503)),"")</x:f>
        <x:v>0</x:v>
      </x:c>
      <x:c r="M1503" s="440" t="n">
        <x:f>IF(AND(ISNUMBER(D1503),ISNUMBER(K1503)),D1503+K1503,"")</x:f>
        <x:v>0</x:v>
      </x:c>
      <x:c r="N1503" s="440" t="n">
        <x:f>IF(AND(ISNUMBER(H1503),ISNUMBER(L1503)),H1503+L1503,"")</x:f>
        <x:v>0</x:v>
      </x:c>
    </x:row>
    <x:row r="1504" ht="22" customHeight="1">
      <x:c r="A1504" s="254" t="n">
        <x:f>1104</x:f>
        <x:v>1104</x:v>
      </x:c>
      <x:c r="B1504" s="440" t="n">
        <x:f>IF(ISNUMBER(H1503),H1503,"")</x:f>
        <x:v>0</x:v>
      </x:c>
      <x:c r="C1504" s="442" t="n">
        <x:f>IF(ISNUMBER(B1504),IF(AND(1104&gt;$B$173,$B$78="Refinance",ISNUMBER($B$80),$B$80&gt;=0,$B$80&lt;=1,ROUND($B$81*12,0)&gt;=1,$B$81&lt;=100,SUM($B$82)&gt;=0,SUM($B$82)&lt;=1,SUM($B$83)&gt;=0),$B$80,IF(AND($B$175&gt;0,1104&gt;$B$175,ISNUMBER($B$75)),$B$75,$B$61)),"")</x:f>
        <x:v>0.0625</x:v>
      </x:c>
      <x:c r="D1504" s="440" t="n">
        <x:f>IF(AND(ISNUMBER(B1504),B1504=0),0,IF(AND($B$171=1,I1503=0,ISNUMBER(C1504),ISNUMBER(IF(AND(1104&lt;=$B$174,1104&lt;=$B$173),B1504*C1504/12,IF(AND(1104=$B$173+1,AND(1104&gt;$B$173,$B$78="Refinance",ISNUMBER($B$80),$B$80&gt;=0,$B$80&lt;=1,ROUND($B$81*12,0)&gt;=1,$B$81&lt;=100,SUM($B$82)&gt;=0,SUM($B$82)&lt;=1,SUM($B$83)&gt;=0)),IF(B1504=0,0,IF(C1504=0,B1504/ROUND($B$81*12,0),B1504*(C1504/12)/(1-(1+C1504/12)^(-ROUND($B$81*12,0))))),IF(AND(NOT(AND(1104&gt;$B$173,$B$78="Refinance",ISNUMBER($B$80),$B$80&gt;=0,$B$80&lt;=1,ROUND($B$81*12,0)&gt;=1,$B$81&lt;=100,SUM($B$82)&gt;=0,SUM($B$82)&lt;=1,SUM($B$83)&gt;=0)),OR(1104=1,1104=$B$174+1,AND($B$175&gt;0,1104=$B$175+1))),IF(AND($B$170=1,$B$66&gt;0,OR($B$175=0,1104&lt;=$B$175)),$B$66,IF($B$172-MAX(1104-1,$B$174)&gt;0,IF(B1504=0,0,IF(C1504=0,B1504/($B$172-MAX(1104-1,$B$174)),B1504*(C1504/12)/(1-(1+C1504/12)^(-($B$172-MAX(1104-1,$B$174)))))),"")),D1503))))),IF(IF(AND(1104&lt;=$B$174,1104&lt;=$B$173),B1504*C1504/12,IF(AND(1104=$B$173+1,AND(1104&gt;$B$173,$B$78="Refinance",ISNUMBER($B$80),$B$80&gt;=0,$B$80&lt;=1,ROUND($B$81*12,0)&gt;=1,$B$81&lt;=100,SUM($B$82)&gt;=0,SUM($B$82)&lt;=1,SUM($B$83)&gt;=0)),IF(B1504=0,0,IF(C1504=0,B1504/ROUND($B$81*12,0),B1504*(C1504/12)/(1-(1+C1504/12)^(-ROUND($B$81*12,0))))),IF(AND(NOT(AND(1104&gt;$B$173,$B$78="Refinance",ISNUMBER($B$80),$B$80&gt;=0,$B$80&lt;=1,ROUND($B$81*12,0)&gt;=1,$B$81&lt;=100,SUM($B$82)&gt;=0,SUM($B$82)&lt;=1,SUM($B$83)&gt;=0)),OR(1104=1,1104=$B$174+1,AND($B$175&gt;0,1104=$B$175+1))),IF(AND($B$170=1,$B$66&gt;0,OR($B$175=0,1104&lt;=$B$175)),$B$66,IF($B$172-MAX(1104-1,$B$174)&gt;0,IF(B1504=0,0,IF(C1504=0,B1504/($B$172-MAX(1104-1,$B$174)),B1504*(C1504/12)/(1-(1+C1504/12)^(-($B$172-MAX(1104-1,$B$174)))))),"")),D1503)))+0.0000001&gt;=B1504*C1504/12,MIN(B1504*(1+C1504/12),IF(AND(1104&lt;=$B$174,1104&lt;=$B$173),B1504*C1504/12,IF(AND(1104=$B$173+1,AND(1104&gt;$B$173,$B$78="Refinance",ISNUMBER($B$80),$B$80&gt;=0,$B$80&lt;=1,ROUND($B$81*12,0)&gt;=1,$B$81&lt;=100,SUM($B$82)&gt;=0,SUM($B$82)&lt;=1,SUM($B$83)&gt;=0)),IF(B1504=0,0,IF(C1504=0,B1504/ROUND($B$81*12,0),B1504*(C1504/12)/(1-(1+C1504/12)^(-ROUND($B$81*12,0))))),IF(AND(NOT(AND(1104&gt;$B$173,$B$78="Refinance",ISNUMBER($B$80),$B$80&gt;=0,$B$80&lt;=1,ROUND($B$81*12,0)&gt;=1,$B$81&lt;=100,SUM($B$82)&gt;=0,SUM($B$82)&lt;=1,SUM($B$83)&gt;=0)),OR(1104=1,1104=$B$174+1,AND($B$175&gt;0,1104=$B$175+1))),IF(AND($B$170=1,$B$66&gt;0,OR($B$175=0,1104&lt;=$B$175)),$B$66,IF($B$172-MAX(1104-1,$B$174)&gt;0,IF(B1504=0,0,IF(C1504=0,B1504/($B$172-MAX(1104-1,$B$174)),B1504*(C1504/12)/(1-(1+C1504/12)^(-($B$172-MAX(1104-1,$B$174)))))),"")),D1503)))),""),""))</x:f>
        <x:v>0</x:v>
      </x:c>
      <x:c r="E1504" s="440" t="n">
        <x:f>IF(AND(1104=$B$173,ISNUMBER(D1504)),IF(MAX(0,B1504*(1+C1504/12)-D1504)&lt;MAX(0.0000001,$E$17*0.00000000001),0,MAX(0,B1504*(1+C1504/12)-D1504)),0)</x:f>
        <x:v>0</x:v>
      </x:c>
      <x:c r="F1504" s="440" t="n">
        <x:f>IF($B$78="Cash payoff",E1504,0)</x:f>
        <x:v>0</x:v>
      </x:c>
      <x:c r="G1504" s="440" t="n">
        <x:f>IF(AND(E1504&gt;0,AND($B$78="Refinance",ISNUMBER($B$80),$B$80&gt;=0,$B$80&lt;=1,ROUND($B$81*12,0)&gt;=1,$B$81&lt;=100,SUM($B$82)&gt;=0,SUM($B$82)&lt;=1,SUM($B$83)&gt;=0)),E1504*SUM($B$82)+SUM($B$83),0)</x:f>
        <x:v>0</x:v>
      </x:c>
      <x:c r="H1504" s="440" t="n">
        <x:f>IF(ISNUMBER(D1504),IF(MAX(0,B1504*(1+C1504/12)-D1504-F1504)&lt;MAX(0.0000001,$E$17*0.00000000001),0,MAX(0,B1504*(1+C1504/12)-D1504-F1504)),IF(AND($B$171=1,I1503=1),B1504,""))</x:f>
        <x:v>0</x:v>
      </x:c>
      <x:c r="I1504" s="444" t="n">
        <x:f>IF(OR(I1503=1,AND(E1504&gt;0,$B$78&lt;&gt;"Cash payoff",NOT(AND($B$78="Refinance",ISNUMBER($B$80),$B$80&gt;=0,$B$80&lt;=1,ROUND($B$81*12,0)&gt;=1,$B$81&lt;=100,SUM($B$82)&gt;=0,SUM($B$82)&lt;=1,SUM($B$83)&gt;=0))),AND(ISNUMBER(B1504),B1504&gt;0,$B$171=1,NOT(ISNUMBER(D1504)))),1,0)</x:f>
        <x:v>0</x:v>
      </x:c>
      <x:c r="J1504" s="440" t="n">
        <x:f>IF(ISNUMBER(L1503),L1503,"")</x:f>
        <x:v>0</x:v>
      </x:c>
      <x:c r="K1504" s="440" t="n">
        <x:f>IF(AND(ISNUMBER(J1504),J1504=0),0,IF(AND($B$176=1,ISNUMBER(J1504)),MIN(J1504*(1+$B$87/12),IF($B$86=0,0,IF($B$87=0,$B$86/ROUND($B$88*12,0),$B$86*($B$87/12)/(1-(1+$B$87/12)^(-ROUND($B$88*12,0)))))),""))</x:f>
        <x:v>0</x:v>
      </x:c>
      <x:c r="L1504" s="440" t="n">
        <x:f>IF(ISNUMBER(K1504),IF(MAX(0,J1504*(1+SUM($B$87)/12)-K1504)&lt;MAX(0.0000001,$B$86*0.00000000001),0,MAX(0,J1504*(1+SUM($B$87)/12)-K1504)),"")</x:f>
        <x:v>0</x:v>
      </x:c>
      <x:c r="M1504" s="440" t="n">
        <x:f>IF(AND(ISNUMBER(D1504),ISNUMBER(K1504)),D1504+K1504,"")</x:f>
        <x:v>0</x:v>
      </x:c>
      <x:c r="N1504" s="440" t="n">
        <x:f>IF(AND(ISNUMBER(H1504),ISNUMBER(L1504)),H1504+L1504,"")</x:f>
        <x:v>0</x:v>
      </x:c>
    </x:row>
    <x:row r="1505" ht="22" customHeight="1">
      <x:c r="A1505" s="254" t="n">
        <x:f>1105</x:f>
        <x:v>1105</x:v>
      </x:c>
      <x:c r="B1505" s="440" t="n">
        <x:f>IF(ISNUMBER(H1504),H1504,"")</x:f>
        <x:v>0</x:v>
      </x:c>
      <x:c r="C1505" s="442" t="n">
        <x:f>IF(ISNUMBER(B1505),IF(AND(1105&gt;$B$173,$B$78="Refinance",ISNUMBER($B$80),$B$80&gt;=0,$B$80&lt;=1,ROUND($B$81*12,0)&gt;=1,$B$81&lt;=100,SUM($B$82)&gt;=0,SUM($B$82)&lt;=1,SUM($B$83)&gt;=0),$B$80,IF(AND($B$175&gt;0,1105&gt;$B$175,ISNUMBER($B$75)),$B$75,$B$61)),"")</x:f>
        <x:v>0.0625</x:v>
      </x:c>
      <x:c r="D1505" s="440" t="n">
        <x:f>IF(AND(ISNUMBER(B1505),B1505=0),0,IF(AND($B$171=1,I1504=0,ISNUMBER(C1505),ISNUMBER(IF(AND(1105&lt;=$B$174,1105&lt;=$B$173),B1505*C1505/12,IF(AND(1105=$B$173+1,AND(1105&gt;$B$173,$B$78="Refinance",ISNUMBER($B$80),$B$80&gt;=0,$B$80&lt;=1,ROUND($B$81*12,0)&gt;=1,$B$81&lt;=100,SUM($B$82)&gt;=0,SUM($B$82)&lt;=1,SUM($B$83)&gt;=0)),IF(B1505=0,0,IF(C1505=0,B1505/ROUND($B$81*12,0),B1505*(C1505/12)/(1-(1+C1505/12)^(-ROUND($B$81*12,0))))),IF(AND(NOT(AND(1105&gt;$B$173,$B$78="Refinance",ISNUMBER($B$80),$B$80&gt;=0,$B$80&lt;=1,ROUND($B$81*12,0)&gt;=1,$B$81&lt;=100,SUM($B$82)&gt;=0,SUM($B$82)&lt;=1,SUM($B$83)&gt;=0)),OR(1105=1,1105=$B$174+1,AND($B$175&gt;0,1105=$B$175+1))),IF(AND($B$170=1,$B$66&gt;0,OR($B$175=0,1105&lt;=$B$175)),$B$66,IF($B$172-MAX(1105-1,$B$174)&gt;0,IF(B1505=0,0,IF(C1505=0,B1505/($B$172-MAX(1105-1,$B$174)),B1505*(C1505/12)/(1-(1+C1505/12)^(-($B$172-MAX(1105-1,$B$174)))))),"")),D1504))))),IF(IF(AND(1105&lt;=$B$174,1105&lt;=$B$173),B1505*C1505/12,IF(AND(1105=$B$173+1,AND(1105&gt;$B$173,$B$78="Refinance",ISNUMBER($B$80),$B$80&gt;=0,$B$80&lt;=1,ROUND($B$81*12,0)&gt;=1,$B$81&lt;=100,SUM($B$82)&gt;=0,SUM($B$82)&lt;=1,SUM($B$83)&gt;=0)),IF(B1505=0,0,IF(C1505=0,B1505/ROUND($B$81*12,0),B1505*(C1505/12)/(1-(1+C1505/12)^(-ROUND($B$81*12,0))))),IF(AND(NOT(AND(1105&gt;$B$173,$B$78="Refinance",ISNUMBER($B$80),$B$80&gt;=0,$B$80&lt;=1,ROUND($B$81*12,0)&gt;=1,$B$81&lt;=100,SUM($B$82)&gt;=0,SUM($B$82)&lt;=1,SUM($B$83)&gt;=0)),OR(1105=1,1105=$B$174+1,AND($B$175&gt;0,1105=$B$175+1))),IF(AND($B$170=1,$B$66&gt;0,OR($B$175=0,1105&lt;=$B$175)),$B$66,IF($B$172-MAX(1105-1,$B$174)&gt;0,IF(B1505=0,0,IF(C1505=0,B1505/($B$172-MAX(1105-1,$B$174)),B1505*(C1505/12)/(1-(1+C1505/12)^(-($B$172-MAX(1105-1,$B$174)))))),"")),D1504)))+0.0000001&gt;=B1505*C1505/12,MIN(B1505*(1+C1505/12),IF(AND(1105&lt;=$B$174,1105&lt;=$B$173),B1505*C1505/12,IF(AND(1105=$B$173+1,AND(1105&gt;$B$173,$B$78="Refinance",ISNUMBER($B$80),$B$80&gt;=0,$B$80&lt;=1,ROUND($B$81*12,0)&gt;=1,$B$81&lt;=100,SUM($B$82)&gt;=0,SUM($B$82)&lt;=1,SUM($B$83)&gt;=0)),IF(B1505=0,0,IF(C1505=0,B1505/ROUND($B$81*12,0),B1505*(C1505/12)/(1-(1+C1505/12)^(-ROUND($B$81*12,0))))),IF(AND(NOT(AND(1105&gt;$B$173,$B$78="Refinance",ISNUMBER($B$80),$B$80&gt;=0,$B$80&lt;=1,ROUND($B$81*12,0)&gt;=1,$B$81&lt;=100,SUM($B$82)&gt;=0,SUM($B$82)&lt;=1,SUM($B$83)&gt;=0)),OR(1105=1,1105=$B$174+1,AND($B$175&gt;0,1105=$B$175+1))),IF(AND($B$170=1,$B$66&gt;0,OR($B$175=0,1105&lt;=$B$175)),$B$66,IF($B$172-MAX(1105-1,$B$174)&gt;0,IF(B1505=0,0,IF(C1505=0,B1505/($B$172-MAX(1105-1,$B$174)),B1505*(C1505/12)/(1-(1+C1505/12)^(-($B$172-MAX(1105-1,$B$174)))))),"")),D1504)))),""),""))</x:f>
        <x:v>0</x:v>
      </x:c>
      <x:c r="E1505" s="440" t="n">
        <x:f>IF(AND(1105=$B$173,ISNUMBER(D1505)),IF(MAX(0,B1505*(1+C1505/12)-D1505)&lt;MAX(0.0000001,$E$17*0.00000000001),0,MAX(0,B1505*(1+C1505/12)-D1505)),0)</x:f>
        <x:v>0</x:v>
      </x:c>
      <x:c r="F1505" s="440" t="n">
        <x:f>IF($B$78="Cash payoff",E1505,0)</x:f>
        <x:v>0</x:v>
      </x:c>
      <x:c r="G1505" s="440" t="n">
        <x:f>IF(AND(E1505&gt;0,AND($B$78="Refinance",ISNUMBER($B$80),$B$80&gt;=0,$B$80&lt;=1,ROUND($B$81*12,0)&gt;=1,$B$81&lt;=100,SUM($B$82)&gt;=0,SUM($B$82)&lt;=1,SUM($B$83)&gt;=0)),E1505*SUM($B$82)+SUM($B$83),0)</x:f>
        <x:v>0</x:v>
      </x:c>
      <x:c r="H1505" s="440" t="n">
        <x:f>IF(ISNUMBER(D1505),IF(MAX(0,B1505*(1+C1505/12)-D1505-F1505)&lt;MAX(0.0000001,$E$17*0.00000000001),0,MAX(0,B1505*(1+C1505/12)-D1505-F1505)),IF(AND($B$171=1,I1504=1),B1505,""))</x:f>
        <x:v>0</x:v>
      </x:c>
      <x:c r="I1505" s="444" t="n">
        <x:f>IF(OR(I1504=1,AND(E1505&gt;0,$B$78&lt;&gt;"Cash payoff",NOT(AND($B$78="Refinance",ISNUMBER($B$80),$B$80&gt;=0,$B$80&lt;=1,ROUND($B$81*12,0)&gt;=1,$B$81&lt;=100,SUM($B$82)&gt;=0,SUM($B$82)&lt;=1,SUM($B$83)&gt;=0))),AND(ISNUMBER(B1505),B1505&gt;0,$B$171=1,NOT(ISNUMBER(D1505)))),1,0)</x:f>
        <x:v>0</x:v>
      </x:c>
      <x:c r="J1505" s="440" t="n">
        <x:f>IF(ISNUMBER(L1504),L1504,"")</x:f>
        <x:v>0</x:v>
      </x:c>
      <x:c r="K1505" s="440" t="n">
        <x:f>IF(AND(ISNUMBER(J1505),J1505=0),0,IF(AND($B$176=1,ISNUMBER(J1505)),MIN(J1505*(1+$B$87/12),IF($B$86=0,0,IF($B$87=0,$B$86/ROUND($B$88*12,0),$B$86*($B$87/12)/(1-(1+$B$87/12)^(-ROUND($B$88*12,0)))))),""))</x:f>
        <x:v>0</x:v>
      </x:c>
      <x:c r="L1505" s="440" t="n">
        <x:f>IF(ISNUMBER(K1505),IF(MAX(0,J1505*(1+SUM($B$87)/12)-K1505)&lt;MAX(0.0000001,$B$86*0.00000000001),0,MAX(0,J1505*(1+SUM($B$87)/12)-K1505)),"")</x:f>
        <x:v>0</x:v>
      </x:c>
      <x:c r="M1505" s="440" t="n">
        <x:f>IF(AND(ISNUMBER(D1505),ISNUMBER(K1505)),D1505+K1505,"")</x:f>
        <x:v>0</x:v>
      </x:c>
      <x:c r="N1505" s="440" t="n">
        <x:f>IF(AND(ISNUMBER(H1505),ISNUMBER(L1505)),H1505+L1505,"")</x:f>
        <x:v>0</x:v>
      </x:c>
    </x:row>
    <x:row r="1506" ht="22" customHeight="1">
      <x:c r="A1506" s="254" t="n">
        <x:f>1106</x:f>
        <x:v>1106</x:v>
      </x:c>
      <x:c r="B1506" s="440" t="n">
        <x:f>IF(ISNUMBER(H1505),H1505,"")</x:f>
        <x:v>0</x:v>
      </x:c>
      <x:c r="C1506" s="442" t="n">
        <x:f>IF(ISNUMBER(B1506),IF(AND(1106&gt;$B$173,$B$78="Refinance",ISNUMBER($B$80),$B$80&gt;=0,$B$80&lt;=1,ROUND($B$81*12,0)&gt;=1,$B$81&lt;=100,SUM($B$82)&gt;=0,SUM($B$82)&lt;=1,SUM($B$83)&gt;=0),$B$80,IF(AND($B$175&gt;0,1106&gt;$B$175,ISNUMBER($B$75)),$B$75,$B$61)),"")</x:f>
        <x:v>0.0625</x:v>
      </x:c>
      <x:c r="D1506" s="440" t="n">
        <x:f>IF(AND(ISNUMBER(B1506),B1506=0),0,IF(AND($B$171=1,I1505=0,ISNUMBER(C1506),ISNUMBER(IF(AND(1106&lt;=$B$174,1106&lt;=$B$173),B1506*C1506/12,IF(AND(1106=$B$173+1,AND(1106&gt;$B$173,$B$78="Refinance",ISNUMBER($B$80),$B$80&gt;=0,$B$80&lt;=1,ROUND($B$81*12,0)&gt;=1,$B$81&lt;=100,SUM($B$82)&gt;=0,SUM($B$82)&lt;=1,SUM($B$83)&gt;=0)),IF(B1506=0,0,IF(C1506=0,B1506/ROUND($B$81*12,0),B1506*(C1506/12)/(1-(1+C1506/12)^(-ROUND($B$81*12,0))))),IF(AND(NOT(AND(1106&gt;$B$173,$B$78="Refinance",ISNUMBER($B$80),$B$80&gt;=0,$B$80&lt;=1,ROUND($B$81*12,0)&gt;=1,$B$81&lt;=100,SUM($B$82)&gt;=0,SUM($B$82)&lt;=1,SUM($B$83)&gt;=0)),OR(1106=1,1106=$B$174+1,AND($B$175&gt;0,1106=$B$175+1))),IF(AND($B$170=1,$B$66&gt;0,OR($B$175=0,1106&lt;=$B$175)),$B$66,IF($B$172-MAX(1106-1,$B$174)&gt;0,IF(B1506=0,0,IF(C1506=0,B1506/($B$172-MAX(1106-1,$B$174)),B1506*(C1506/12)/(1-(1+C1506/12)^(-($B$172-MAX(1106-1,$B$174)))))),"")),D1505))))),IF(IF(AND(1106&lt;=$B$174,1106&lt;=$B$173),B1506*C1506/12,IF(AND(1106=$B$173+1,AND(1106&gt;$B$173,$B$78="Refinance",ISNUMBER($B$80),$B$80&gt;=0,$B$80&lt;=1,ROUND($B$81*12,0)&gt;=1,$B$81&lt;=100,SUM($B$82)&gt;=0,SUM($B$82)&lt;=1,SUM($B$83)&gt;=0)),IF(B1506=0,0,IF(C1506=0,B1506/ROUND($B$81*12,0),B1506*(C1506/12)/(1-(1+C1506/12)^(-ROUND($B$81*12,0))))),IF(AND(NOT(AND(1106&gt;$B$173,$B$78="Refinance",ISNUMBER($B$80),$B$80&gt;=0,$B$80&lt;=1,ROUND($B$81*12,0)&gt;=1,$B$81&lt;=100,SUM($B$82)&gt;=0,SUM($B$82)&lt;=1,SUM($B$83)&gt;=0)),OR(1106=1,1106=$B$174+1,AND($B$175&gt;0,1106=$B$175+1))),IF(AND($B$170=1,$B$66&gt;0,OR($B$175=0,1106&lt;=$B$175)),$B$66,IF($B$172-MAX(1106-1,$B$174)&gt;0,IF(B1506=0,0,IF(C1506=0,B1506/($B$172-MAX(1106-1,$B$174)),B1506*(C1506/12)/(1-(1+C1506/12)^(-($B$172-MAX(1106-1,$B$174)))))),"")),D1505)))+0.0000001&gt;=B1506*C1506/12,MIN(B1506*(1+C1506/12),IF(AND(1106&lt;=$B$174,1106&lt;=$B$173),B1506*C1506/12,IF(AND(1106=$B$173+1,AND(1106&gt;$B$173,$B$78="Refinance",ISNUMBER($B$80),$B$80&gt;=0,$B$80&lt;=1,ROUND($B$81*12,0)&gt;=1,$B$81&lt;=100,SUM($B$82)&gt;=0,SUM($B$82)&lt;=1,SUM($B$83)&gt;=0)),IF(B1506=0,0,IF(C1506=0,B1506/ROUND($B$81*12,0),B1506*(C1506/12)/(1-(1+C1506/12)^(-ROUND($B$81*12,0))))),IF(AND(NOT(AND(1106&gt;$B$173,$B$78="Refinance",ISNUMBER($B$80),$B$80&gt;=0,$B$80&lt;=1,ROUND($B$81*12,0)&gt;=1,$B$81&lt;=100,SUM($B$82)&gt;=0,SUM($B$82)&lt;=1,SUM($B$83)&gt;=0)),OR(1106=1,1106=$B$174+1,AND($B$175&gt;0,1106=$B$175+1))),IF(AND($B$170=1,$B$66&gt;0,OR($B$175=0,1106&lt;=$B$175)),$B$66,IF($B$172-MAX(1106-1,$B$174)&gt;0,IF(B1506=0,0,IF(C1506=0,B1506/($B$172-MAX(1106-1,$B$174)),B1506*(C1506/12)/(1-(1+C1506/12)^(-($B$172-MAX(1106-1,$B$174)))))),"")),D1505)))),""),""))</x:f>
        <x:v>0</x:v>
      </x:c>
      <x:c r="E1506" s="440" t="n">
        <x:f>IF(AND(1106=$B$173,ISNUMBER(D1506)),IF(MAX(0,B1506*(1+C1506/12)-D1506)&lt;MAX(0.0000001,$E$17*0.00000000001),0,MAX(0,B1506*(1+C1506/12)-D1506)),0)</x:f>
        <x:v>0</x:v>
      </x:c>
      <x:c r="F1506" s="440" t="n">
        <x:f>IF($B$78="Cash payoff",E1506,0)</x:f>
        <x:v>0</x:v>
      </x:c>
      <x:c r="G1506" s="440" t="n">
        <x:f>IF(AND(E1506&gt;0,AND($B$78="Refinance",ISNUMBER($B$80),$B$80&gt;=0,$B$80&lt;=1,ROUND($B$81*12,0)&gt;=1,$B$81&lt;=100,SUM($B$82)&gt;=0,SUM($B$82)&lt;=1,SUM($B$83)&gt;=0)),E1506*SUM($B$82)+SUM($B$83),0)</x:f>
        <x:v>0</x:v>
      </x:c>
      <x:c r="H1506" s="440" t="n">
        <x:f>IF(ISNUMBER(D1506),IF(MAX(0,B1506*(1+C1506/12)-D1506-F1506)&lt;MAX(0.0000001,$E$17*0.00000000001),0,MAX(0,B1506*(1+C1506/12)-D1506-F1506)),IF(AND($B$171=1,I1505=1),B1506,""))</x:f>
        <x:v>0</x:v>
      </x:c>
      <x:c r="I1506" s="444" t="n">
        <x:f>IF(OR(I1505=1,AND(E1506&gt;0,$B$78&lt;&gt;"Cash payoff",NOT(AND($B$78="Refinance",ISNUMBER($B$80),$B$80&gt;=0,$B$80&lt;=1,ROUND($B$81*12,0)&gt;=1,$B$81&lt;=100,SUM($B$82)&gt;=0,SUM($B$82)&lt;=1,SUM($B$83)&gt;=0))),AND(ISNUMBER(B1506),B1506&gt;0,$B$171=1,NOT(ISNUMBER(D1506)))),1,0)</x:f>
        <x:v>0</x:v>
      </x:c>
      <x:c r="J1506" s="440" t="n">
        <x:f>IF(ISNUMBER(L1505),L1505,"")</x:f>
        <x:v>0</x:v>
      </x:c>
      <x:c r="K1506" s="440" t="n">
        <x:f>IF(AND(ISNUMBER(J1506),J1506=0),0,IF(AND($B$176=1,ISNUMBER(J1506)),MIN(J1506*(1+$B$87/12),IF($B$86=0,0,IF($B$87=0,$B$86/ROUND($B$88*12,0),$B$86*($B$87/12)/(1-(1+$B$87/12)^(-ROUND($B$88*12,0)))))),""))</x:f>
        <x:v>0</x:v>
      </x:c>
      <x:c r="L1506" s="440" t="n">
        <x:f>IF(ISNUMBER(K1506),IF(MAX(0,J1506*(1+SUM($B$87)/12)-K1506)&lt;MAX(0.0000001,$B$86*0.00000000001),0,MAX(0,J1506*(1+SUM($B$87)/12)-K1506)),"")</x:f>
        <x:v>0</x:v>
      </x:c>
      <x:c r="M1506" s="440" t="n">
        <x:f>IF(AND(ISNUMBER(D1506),ISNUMBER(K1506)),D1506+K1506,"")</x:f>
        <x:v>0</x:v>
      </x:c>
      <x:c r="N1506" s="440" t="n">
        <x:f>IF(AND(ISNUMBER(H1506),ISNUMBER(L1506)),H1506+L1506,"")</x:f>
        <x:v>0</x:v>
      </x:c>
    </x:row>
    <x:row r="1507" ht="22" customHeight="1">
      <x:c r="A1507" s="254" t="n">
        <x:f>1107</x:f>
        <x:v>1107</x:v>
      </x:c>
      <x:c r="B1507" s="440" t="n">
        <x:f>IF(ISNUMBER(H1506),H1506,"")</x:f>
        <x:v>0</x:v>
      </x:c>
      <x:c r="C1507" s="442" t="n">
        <x:f>IF(ISNUMBER(B1507),IF(AND(1107&gt;$B$173,$B$78="Refinance",ISNUMBER($B$80),$B$80&gt;=0,$B$80&lt;=1,ROUND($B$81*12,0)&gt;=1,$B$81&lt;=100,SUM($B$82)&gt;=0,SUM($B$82)&lt;=1,SUM($B$83)&gt;=0),$B$80,IF(AND($B$175&gt;0,1107&gt;$B$175,ISNUMBER($B$75)),$B$75,$B$61)),"")</x:f>
        <x:v>0.0625</x:v>
      </x:c>
      <x:c r="D1507" s="440" t="n">
        <x:f>IF(AND(ISNUMBER(B1507),B1507=0),0,IF(AND($B$171=1,I1506=0,ISNUMBER(C1507),ISNUMBER(IF(AND(1107&lt;=$B$174,1107&lt;=$B$173),B1507*C1507/12,IF(AND(1107=$B$173+1,AND(1107&gt;$B$173,$B$78="Refinance",ISNUMBER($B$80),$B$80&gt;=0,$B$80&lt;=1,ROUND($B$81*12,0)&gt;=1,$B$81&lt;=100,SUM($B$82)&gt;=0,SUM($B$82)&lt;=1,SUM($B$83)&gt;=0)),IF(B1507=0,0,IF(C1507=0,B1507/ROUND($B$81*12,0),B1507*(C1507/12)/(1-(1+C1507/12)^(-ROUND($B$81*12,0))))),IF(AND(NOT(AND(1107&gt;$B$173,$B$78="Refinance",ISNUMBER($B$80),$B$80&gt;=0,$B$80&lt;=1,ROUND($B$81*12,0)&gt;=1,$B$81&lt;=100,SUM($B$82)&gt;=0,SUM($B$82)&lt;=1,SUM($B$83)&gt;=0)),OR(1107=1,1107=$B$174+1,AND($B$175&gt;0,1107=$B$175+1))),IF(AND($B$170=1,$B$66&gt;0,OR($B$175=0,1107&lt;=$B$175)),$B$66,IF($B$172-MAX(1107-1,$B$174)&gt;0,IF(B1507=0,0,IF(C1507=0,B1507/($B$172-MAX(1107-1,$B$174)),B1507*(C1507/12)/(1-(1+C1507/12)^(-($B$172-MAX(1107-1,$B$174)))))),"")),D1506))))),IF(IF(AND(1107&lt;=$B$174,1107&lt;=$B$173),B1507*C1507/12,IF(AND(1107=$B$173+1,AND(1107&gt;$B$173,$B$78="Refinance",ISNUMBER($B$80),$B$80&gt;=0,$B$80&lt;=1,ROUND($B$81*12,0)&gt;=1,$B$81&lt;=100,SUM($B$82)&gt;=0,SUM($B$82)&lt;=1,SUM($B$83)&gt;=0)),IF(B1507=0,0,IF(C1507=0,B1507/ROUND($B$81*12,0),B1507*(C1507/12)/(1-(1+C1507/12)^(-ROUND($B$81*12,0))))),IF(AND(NOT(AND(1107&gt;$B$173,$B$78="Refinance",ISNUMBER($B$80),$B$80&gt;=0,$B$80&lt;=1,ROUND($B$81*12,0)&gt;=1,$B$81&lt;=100,SUM($B$82)&gt;=0,SUM($B$82)&lt;=1,SUM($B$83)&gt;=0)),OR(1107=1,1107=$B$174+1,AND($B$175&gt;0,1107=$B$175+1))),IF(AND($B$170=1,$B$66&gt;0,OR($B$175=0,1107&lt;=$B$175)),$B$66,IF($B$172-MAX(1107-1,$B$174)&gt;0,IF(B1507=0,0,IF(C1507=0,B1507/($B$172-MAX(1107-1,$B$174)),B1507*(C1507/12)/(1-(1+C1507/12)^(-($B$172-MAX(1107-1,$B$174)))))),"")),D1506)))+0.0000001&gt;=B1507*C1507/12,MIN(B1507*(1+C1507/12),IF(AND(1107&lt;=$B$174,1107&lt;=$B$173),B1507*C1507/12,IF(AND(1107=$B$173+1,AND(1107&gt;$B$173,$B$78="Refinance",ISNUMBER($B$80),$B$80&gt;=0,$B$80&lt;=1,ROUND($B$81*12,0)&gt;=1,$B$81&lt;=100,SUM($B$82)&gt;=0,SUM($B$82)&lt;=1,SUM($B$83)&gt;=0)),IF(B1507=0,0,IF(C1507=0,B1507/ROUND($B$81*12,0),B1507*(C1507/12)/(1-(1+C1507/12)^(-ROUND($B$81*12,0))))),IF(AND(NOT(AND(1107&gt;$B$173,$B$78="Refinance",ISNUMBER($B$80),$B$80&gt;=0,$B$80&lt;=1,ROUND($B$81*12,0)&gt;=1,$B$81&lt;=100,SUM($B$82)&gt;=0,SUM($B$82)&lt;=1,SUM($B$83)&gt;=0)),OR(1107=1,1107=$B$174+1,AND($B$175&gt;0,1107=$B$175+1))),IF(AND($B$170=1,$B$66&gt;0,OR($B$175=0,1107&lt;=$B$175)),$B$66,IF($B$172-MAX(1107-1,$B$174)&gt;0,IF(B1507=0,0,IF(C1507=0,B1507/($B$172-MAX(1107-1,$B$174)),B1507*(C1507/12)/(1-(1+C1507/12)^(-($B$172-MAX(1107-1,$B$174)))))),"")),D1506)))),""),""))</x:f>
        <x:v>0</x:v>
      </x:c>
      <x:c r="E1507" s="440" t="n">
        <x:f>IF(AND(1107=$B$173,ISNUMBER(D1507)),IF(MAX(0,B1507*(1+C1507/12)-D1507)&lt;MAX(0.0000001,$E$17*0.00000000001),0,MAX(0,B1507*(1+C1507/12)-D1507)),0)</x:f>
        <x:v>0</x:v>
      </x:c>
      <x:c r="F1507" s="440" t="n">
        <x:f>IF($B$78="Cash payoff",E1507,0)</x:f>
        <x:v>0</x:v>
      </x:c>
      <x:c r="G1507" s="440" t="n">
        <x:f>IF(AND(E1507&gt;0,AND($B$78="Refinance",ISNUMBER($B$80),$B$80&gt;=0,$B$80&lt;=1,ROUND($B$81*12,0)&gt;=1,$B$81&lt;=100,SUM($B$82)&gt;=0,SUM($B$82)&lt;=1,SUM($B$83)&gt;=0)),E1507*SUM($B$82)+SUM($B$83),0)</x:f>
        <x:v>0</x:v>
      </x:c>
      <x:c r="H1507" s="440" t="n">
        <x:f>IF(ISNUMBER(D1507),IF(MAX(0,B1507*(1+C1507/12)-D1507-F1507)&lt;MAX(0.0000001,$E$17*0.00000000001),0,MAX(0,B1507*(1+C1507/12)-D1507-F1507)),IF(AND($B$171=1,I1506=1),B1507,""))</x:f>
        <x:v>0</x:v>
      </x:c>
      <x:c r="I1507" s="444" t="n">
        <x:f>IF(OR(I1506=1,AND(E1507&gt;0,$B$78&lt;&gt;"Cash payoff",NOT(AND($B$78="Refinance",ISNUMBER($B$80),$B$80&gt;=0,$B$80&lt;=1,ROUND($B$81*12,0)&gt;=1,$B$81&lt;=100,SUM($B$82)&gt;=0,SUM($B$82)&lt;=1,SUM($B$83)&gt;=0))),AND(ISNUMBER(B1507),B1507&gt;0,$B$171=1,NOT(ISNUMBER(D1507)))),1,0)</x:f>
        <x:v>0</x:v>
      </x:c>
      <x:c r="J1507" s="440" t="n">
        <x:f>IF(ISNUMBER(L1506),L1506,"")</x:f>
        <x:v>0</x:v>
      </x:c>
      <x:c r="K1507" s="440" t="n">
        <x:f>IF(AND(ISNUMBER(J1507),J1507=0),0,IF(AND($B$176=1,ISNUMBER(J1507)),MIN(J1507*(1+$B$87/12),IF($B$86=0,0,IF($B$87=0,$B$86/ROUND($B$88*12,0),$B$86*($B$87/12)/(1-(1+$B$87/12)^(-ROUND($B$88*12,0)))))),""))</x:f>
        <x:v>0</x:v>
      </x:c>
      <x:c r="L1507" s="440" t="n">
        <x:f>IF(ISNUMBER(K1507),IF(MAX(0,J1507*(1+SUM($B$87)/12)-K1507)&lt;MAX(0.0000001,$B$86*0.00000000001),0,MAX(0,J1507*(1+SUM($B$87)/12)-K1507)),"")</x:f>
        <x:v>0</x:v>
      </x:c>
      <x:c r="M1507" s="440" t="n">
        <x:f>IF(AND(ISNUMBER(D1507),ISNUMBER(K1507)),D1507+K1507,"")</x:f>
        <x:v>0</x:v>
      </x:c>
      <x:c r="N1507" s="440" t="n">
        <x:f>IF(AND(ISNUMBER(H1507),ISNUMBER(L1507)),H1507+L1507,"")</x:f>
        <x:v>0</x:v>
      </x:c>
    </x:row>
    <x:row r="1508" ht="22" customHeight="1">
      <x:c r="A1508" s="254" t="n">
        <x:f>1108</x:f>
        <x:v>1108</x:v>
      </x:c>
      <x:c r="B1508" s="440" t="n">
        <x:f>IF(ISNUMBER(H1507),H1507,"")</x:f>
        <x:v>0</x:v>
      </x:c>
      <x:c r="C1508" s="442" t="n">
        <x:f>IF(ISNUMBER(B1508),IF(AND(1108&gt;$B$173,$B$78="Refinance",ISNUMBER($B$80),$B$80&gt;=0,$B$80&lt;=1,ROUND($B$81*12,0)&gt;=1,$B$81&lt;=100,SUM($B$82)&gt;=0,SUM($B$82)&lt;=1,SUM($B$83)&gt;=0),$B$80,IF(AND($B$175&gt;0,1108&gt;$B$175,ISNUMBER($B$75)),$B$75,$B$61)),"")</x:f>
        <x:v>0.0625</x:v>
      </x:c>
      <x:c r="D1508" s="440" t="n">
        <x:f>IF(AND(ISNUMBER(B1508),B1508=0),0,IF(AND($B$171=1,I1507=0,ISNUMBER(C1508),ISNUMBER(IF(AND(1108&lt;=$B$174,1108&lt;=$B$173),B1508*C1508/12,IF(AND(1108=$B$173+1,AND(1108&gt;$B$173,$B$78="Refinance",ISNUMBER($B$80),$B$80&gt;=0,$B$80&lt;=1,ROUND($B$81*12,0)&gt;=1,$B$81&lt;=100,SUM($B$82)&gt;=0,SUM($B$82)&lt;=1,SUM($B$83)&gt;=0)),IF(B1508=0,0,IF(C1508=0,B1508/ROUND($B$81*12,0),B1508*(C1508/12)/(1-(1+C1508/12)^(-ROUND($B$81*12,0))))),IF(AND(NOT(AND(1108&gt;$B$173,$B$78="Refinance",ISNUMBER($B$80),$B$80&gt;=0,$B$80&lt;=1,ROUND($B$81*12,0)&gt;=1,$B$81&lt;=100,SUM($B$82)&gt;=0,SUM($B$82)&lt;=1,SUM($B$83)&gt;=0)),OR(1108=1,1108=$B$174+1,AND($B$175&gt;0,1108=$B$175+1))),IF(AND($B$170=1,$B$66&gt;0,OR($B$175=0,1108&lt;=$B$175)),$B$66,IF($B$172-MAX(1108-1,$B$174)&gt;0,IF(B1508=0,0,IF(C1508=0,B1508/($B$172-MAX(1108-1,$B$174)),B1508*(C1508/12)/(1-(1+C1508/12)^(-($B$172-MAX(1108-1,$B$174)))))),"")),D1507))))),IF(IF(AND(1108&lt;=$B$174,1108&lt;=$B$173),B1508*C1508/12,IF(AND(1108=$B$173+1,AND(1108&gt;$B$173,$B$78="Refinance",ISNUMBER($B$80),$B$80&gt;=0,$B$80&lt;=1,ROUND($B$81*12,0)&gt;=1,$B$81&lt;=100,SUM($B$82)&gt;=0,SUM($B$82)&lt;=1,SUM($B$83)&gt;=0)),IF(B1508=0,0,IF(C1508=0,B1508/ROUND($B$81*12,0),B1508*(C1508/12)/(1-(1+C1508/12)^(-ROUND($B$81*12,0))))),IF(AND(NOT(AND(1108&gt;$B$173,$B$78="Refinance",ISNUMBER($B$80),$B$80&gt;=0,$B$80&lt;=1,ROUND($B$81*12,0)&gt;=1,$B$81&lt;=100,SUM($B$82)&gt;=0,SUM($B$82)&lt;=1,SUM($B$83)&gt;=0)),OR(1108=1,1108=$B$174+1,AND($B$175&gt;0,1108=$B$175+1))),IF(AND($B$170=1,$B$66&gt;0,OR($B$175=0,1108&lt;=$B$175)),$B$66,IF($B$172-MAX(1108-1,$B$174)&gt;0,IF(B1508=0,0,IF(C1508=0,B1508/($B$172-MAX(1108-1,$B$174)),B1508*(C1508/12)/(1-(1+C1508/12)^(-($B$172-MAX(1108-1,$B$174)))))),"")),D1507)))+0.0000001&gt;=B1508*C1508/12,MIN(B1508*(1+C1508/12),IF(AND(1108&lt;=$B$174,1108&lt;=$B$173),B1508*C1508/12,IF(AND(1108=$B$173+1,AND(1108&gt;$B$173,$B$78="Refinance",ISNUMBER($B$80),$B$80&gt;=0,$B$80&lt;=1,ROUND($B$81*12,0)&gt;=1,$B$81&lt;=100,SUM($B$82)&gt;=0,SUM($B$82)&lt;=1,SUM($B$83)&gt;=0)),IF(B1508=0,0,IF(C1508=0,B1508/ROUND($B$81*12,0),B1508*(C1508/12)/(1-(1+C1508/12)^(-ROUND($B$81*12,0))))),IF(AND(NOT(AND(1108&gt;$B$173,$B$78="Refinance",ISNUMBER($B$80),$B$80&gt;=0,$B$80&lt;=1,ROUND($B$81*12,0)&gt;=1,$B$81&lt;=100,SUM($B$82)&gt;=0,SUM($B$82)&lt;=1,SUM($B$83)&gt;=0)),OR(1108=1,1108=$B$174+1,AND($B$175&gt;0,1108=$B$175+1))),IF(AND($B$170=1,$B$66&gt;0,OR($B$175=0,1108&lt;=$B$175)),$B$66,IF($B$172-MAX(1108-1,$B$174)&gt;0,IF(B1508=0,0,IF(C1508=0,B1508/($B$172-MAX(1108-1,$B$174)),B1508*(C1508/12)/(1-(1+C1508/12)^(-($B$172-MAX(1108-1,$B$174)))))),"")),D1507)))),""),""))</x:f>
        <x:v>0</x:v>
      </x:c>
      <x:c r="E1508" s="440" t="n">
        <x:f>IF(AND(1108=$B$173,ISNUMBER(D1508)),IF(MAX(0,B1508*(1+C1508/12)-D1508)&lt;MAX(0.0000001,$E$17*0.00000000001),0,MAX(0,B1508*(1+C1508/12)-D1508)),0)</x:f>
        <x:v>0</x:v>
      </x:c>
      <x:c r="F1508" s="440" t="n">
        <x:f>IF($B$78="Cash payoff",E1508,0)</x:f>
        <x:v>0</x:v>
      </x:c>
      <x:c r="G1508" s="440" t="n">
        <x:f>IF(AND(E1508&gt;0,AND($B$78="Refinance",ISNUMBER($B$80),$B$80&gt;=0,$B$80&lt;=1,ROUND($B$81*12,0)&gt;=1,$B$81&lt;=100,SUM($B$82)&gt;=0,SUM($B$82)&lt;=1,SUM($B$83)&gt;=0)),E1508*SUM($B$82)+SUM($B$83),0)</x:f>
        <x:v>0</x:v>
      </x:c>
      <x:c r="H1508" s="440" t="n">
        <x:f>IF(ISNUMBER(D1508),IF(MAX(0,B1508*(1+C1508/12)-D1508-F1508)&lt;MAX(0.0000001,$E$17*0.00000000001),0,MAX(0,B1508*(1+C1508/12)-D1508-F1508)),IF(AND($B$171=1,I1507=1),B1508,""))</x:f>
        <x:v>0</x:v>
      </x:c>
      <x:c r="I1508" s="444" t="n">
        <x:f>IF(OR(I1507=1,AND(E1508&gt;0,$B$78&lt;&gt;"Cash payoff",NOT(AND($B$78="Refinance",ISNUMBER($B$80),$B$80&gt;=0,$B$80&lt;=1,ROUND($B$81*12,0)&gt;=1,$B$81&lt;=100,SUM($B$82)&gt;=0,SUM($B$82)&lt;=1,SUM($B$83)&gt;=0))),AND(ISNUMBER(B1508),B1508&gt;0,$B$171=1,NOT(ISNUMBER(D1508)))),1,0)</x:f>
        <x:v>0</x:v>
      </x:c>
      <x:c r="J1508" s="440" t="n">
        <x:f>IF(ISNUMBER(L1507),L1507,"")</x:f>
        <x:v>0</x:v>
      </x:c>
      <x:c r="K1508" s="440" t="n">
        <x:f>IF(AND(ISNUMBER(J1508),J1508=0),0,IF(AND($B$176=1,ISNUMBER(J1508)),MIN(J1508*(1+$B$87/12),IF($B$86=0,0,IF($B$87=0,$B$86/ROUND($B$88*12,0),$B$86*($B$87/12)/(1-(1+$B$87/12)^(-ROUND($B$88*12,0)))))),""))</x:f>
        <x:v>0</x:v>
      </x:c>
      <x:c r="L1508" s="440" t="n">
        <x:f>IF(ISNUMBER(K1508),IF(MAX(0,J1508*(1+SUM($B$87)/12)-K1508)&lt;MAX(0.0000001,$B$86*0.00000000001),0,MAX(0,J1508*(1+SUM($B$87)/12)-K1508)),"")</x:f>
        <x:v>0</x:v>
      </x:c>
      <x:c r="M1508" s="440" t="n">
        <x:f>IF(AND(ISNUMBER(D1508),ISNUMBER(K1508)),D1508+K1508,"")</x:f>
        <x:v>0</x:v>
      </x:c>
      <x:c r="N1508" s="440" t="n">
        <x:f>IF(AND(ISNUMBER(H1508),ISNUMBER(L1508)),H1508+L1508,"")</x:f>
        <x:v>0</x:v>
      </x:c>
    </x:row>
    <x:row r="1509" ht="22" customHeight="1">
      <x:c r="A1509" s="254" t="n">
        <x:f>1109</x:f>
        <x:v>1109</x:v>
      </x:c>
      <x:c r="B1509" s="440" t="n">
        <x:f>IF(ISNUMBER(H1508),H1508,"")</x:f>
        <x:v>0</x:v>
      </x:c>
      <x:c r="C1509" s="442" t="n">
        <x:f>IF(ISNUMBER(B1509),IF(AND(1109&gt;$B$173,$B$78="Refinance",ISNUMBER($B$80),$B$80&gt;=0,$B$80&lt;=1,ROUND($B$81*12,0)&gt;=1,$B$81&lt;=100,SUM($B$82)&gt;=0,SUM($B$82)&lt;=1,SUM($B$83)&gt;=0),$B$80,IF(AND($B$175&gt;0,1109&gt;$B$175,ISNUMBER($B$75)),$B$75,$B$61)),"")</x:f>
        <x:v>0.0625</x:v>
      </x:c>
      <x:c r="D1509" s="440" t="n">
        <x:f>IF(AND(ISNUMBER(B1509),B1509=0),0,IF(AND($B$171=1,I1508=0,ISNUMBER(C1509),ISNUMBER(IF(AND(1109&lt;=$B$174,1109&lt;=$B$173),B1509*C1509/12,IF(AND(1109=$B$173+1,AND(1109&gt;$B$173,$B$78="Refinance",ISNUMBER($B$80),$B$80&gt;=0,$B$80&lt;=1,ROUND($B$81*12,0)&gt;=1,$B$81&lt;=100,SUM($B$82)&gt;=0,SUM($B$82)&lt;=1,SUM($B$83)&gt;=0)),IF(B1509=0,0,IF(C1509=0,B1509/ROUND($B$81*12,0),B1509*(C1509/12)/(1-(1+C1509/12)^(-ROUND($B$81*12,0))))),IF(AND(NOT(AND(1109&gt;$B$173,$B$78="Refinance",ISNUMBER($B$80),$B$80&gt;=0,$B$80&lt;=1,ROUND($B$81*12,0)&gt;=1,$B$81&lt;=100,SUM($B$82)&gt;=0,SUM($B$82)&lt;=1,SUM($B$83)&gt;=0)),OR(1109=1,1109=$B$174+1,AND($B$175&gt;0,1109=$B$175+1))),IF(AND($B$170=1,$B$66&gt;0,OR($B$175=0,1109&lt;=$B$175)),$B$66,IF($B$172-MAX(1109-1,$B$174)&gt;0,IF(B1509=0,0,IF(C1509=0,B1509/($B$172-MAX(1109-1,$B$174)),B1509*(C1509/12)/(1-(1+C1509/12)^(-($B$172-MAX(1109-1,$B$174)))))),"")),D1508))))),IF(IF(AND(1109&lt;=$B$174,1109&lt;=$B$173),B1509*C1509/12,IF(AND(1109=$B$173+1,AND(1109&gt;$B$173,$B$78="Refinance",ISNUMBER($B$80),$B$80&gt;=0,$B$80&lt;=1,ROUND($B$81*12,0)&gt;=1,$B$81&lt;=100,SUM($B$82)&gt;=0,SUM($B$82)&lt;=1,SUM($B$83)&gt;=0)),IF(B1509=0,0,IF(C1509=0,B1509/ROUND($B$81*12,0),B1509*(C1509/12)/(1-(1+C1509/12)^(-ROUND($B$81*12,0))))),IF(AND(NOT(AND(1109&gt;$B$173,$B$78="Refinance",ISNUMBER($B$80),$B$80&gt;=0,$B$80&lt;=1,ROUND($B$81*12,0)&gt;=1,$B$81&lt;=100,SUM($B$82)&gt;=0,SUM($B$82)&lt;=1,SUM($B$83)&gt;=0)),OR(1109=1,1109=$B$174+1,AND($B$175&gt;0,1109=$B$175+1))),IF(AND($B$170=1,$B$66&gt;0,OR($B$175=0,1109&lt;=$B$175)),$B$66,IF($B$172-MAX(1109-1,$B$174)&gt;0,IF(B1509=0,0,IF(C1509=0,B1509/($B$172-MAX(1109-1,$B$174)),B1509*(C1509/12)/(1-(1+C1509/12)^(-($B$172-MAX(1109-1,$B$174)))))),"")),D1508)))+0.0000001&gt;=B1509*C1509/12,MIN(B1509*(1+C1509/12),IF(AND(1109&lt;=$B$174,1109&lt;=$B$173),B1509*C1509/12,IF(AND(1109=$B$173+1,AND(1109&gt;$B$173,$B$78="Refinance",ISNUMBER($B$80),$B$80&gt;=0,$B$80&lt;=1,ROUND($B$81*12,0)&gt;=1,$B$81&lt;=100,SUM($B$82)&gt;=0,SUM($B$82)&lt;=1,SUM($B$83)&gt;=0)),IF(B1509=0,0,IF(C1509=0,B1509/ROUND($B$81*12,0),B1509*(C1509/12)/(1-(1+C1509/12)^(-ROUND($B$81*12,0))))),IF(AND(NOT(AND(1109&gt;$B$173,$B$78="Refinance",ISNUMBER($B$80),$B$80&gt;=0,$B$80&lt;=1,ROUND($B$81*12,0)&gt;=1,$B$81&lt;=100,SUM($B$82)&gt;=0,SUM($B$82)&lt;=1,SUM($B$83)&gt;=0)),OR(1109=1,1109=$B$174+1,AND($B$175&gt;0,1109=$B$175+1))),IF(AND($B$170=1,$B$66&gt;0,OR($B$175=0,1109&lt;=$B$175)),$B$66,IF($B$172-MAX(1109-1,$B$174)&gt;0,IF(B1509=0,0,IF(C1509=0,B1509/($B$172-MAX(1109-1,$B$174)),B1509*(C1509/12)/(1-(1+C1509/12)^(-($B$172-MAX(1109-1,$B$174)))))),"")),D1508)))),""),""))</x:f>
        <x:v>0</x:v>
      </x:c>
      <x:c r="E1509" s="440" t="n">
        <x:f>IF(AND(1109=$B$173,ISNUMBER(D1509)),IF(MAX(0,B1509*(1+C1509/12)-D1509)&lt;MAX(0.0000001,$E$17*0.00000000001),0,MAX(0,B1509*(1+C1509/12)-D1509)),0)</x:f>
        <x:v>0</x:v>
      </x:c>
      <x:c r="F1509" s="440" t="n">
        <x:f>IF($B$78="Cash payoff",E1509,0)</x:f>
        <x:v>0</x:v>
      </x:c>
      <x:c r="G1509" s="440" t="n">
        <x:f>IF(AND(E1509&gt;0,AND($B$78="Refinance",ISNUMBER($B$80),$B$80&gt;=0,$B$80&lt;=1,ROUND($B$81*12,0)&gt;=1,$B$81&lt;=100,SUM($B$82)&gt;=0,SUM($B$82)&lt;=1,SUM($B$83)&gt;=0)),E1509*SUM($B$82)+SUM($B$83),0)</x:f>
        <x:v>0</x:v>
      </x:c>
      <x:c r="H1509" s="440" t="n">
        <x:f>IF(ISNUMBER(D1509),IF(MAX(0,B1509*(1+C1509/12)-D1509-F1509)&lt;MAX(0.0000001,$E$17*0.00000000001),0,MAX(0,B1509*(1+C1509/12)-D1509-F1509)),IF(AND($B$171=1,I1508=1),B1509,""))</x:f>
        <x:v>0</x:v>
      </x:c>
      <x:c r="I1509" s="444" t="n">
        <x:f>IF(OR(I1508=1,AND(E1509&gt;0,$B$78&lt;&gt;"Cash payoff",NOT(AND($B$78="Refinance",ISNUMBER($B$80),$B$80&gt;=0,$B$80&lt;=1,ROUND($B$81*12,0)&gt;=1,$B$81&lt;=100,SUM($B$82)&gt;=0,SUM($B$82)&lt;=1,SUM($B$83)&gt;=0))),AND(ISNUMBER(B1509),B1509&gt;0,$B$171=1,NOT(ISNUMBER(D1509)))),1,0)</x:f>
        <x:v>0</x:v>
      </x:c>
      <x:c r="J1509" s="440" t="n">
        <x:f>IF(ISNUMBER(L1508),L1508,"")</x:f>
        <x:v>0</x:v>
      </x:c>
      <x:c r="K1509" s="440" t="n">
        <x:f>IF(AND(ISNUMBER(J1509),J1509=0),0,IF(AND($B$176=1,ISNUMBER(J1509)),MIN(J1509*(1+$B$87/12),IF($B$86=0,0,IF($B$87=0,$B$86/ROUND($B$88*12,0),$B$86*($B$87/12)/(1-(1+$B$87/12)^(-ROUND($B$88*12,0)))))),""))</x:f>
        <x:v>0</x:v>
      </x:c>
      <x:c r="L1509" s="440" t="n">
        <x:f>IF(ISNUMBER(K1509),IF(MAX(0,J1509*(1+SUM($B$87)/12)-K1509)&lt;MAX(0.0000001,$B$86*0.00000000001),0,MAX(0,J1509*(1+SUM($B$87)/12)-K1509)),"")</x:f>
        <x:v>0</x:v>
      </x:c>
      <x:c r="M1509" s="440" t="n">
        <x:f>IF(AND(ISNUMBER(D1509),ISNUMBER(K1509)),D1509+K1509,"")</x:f>
        <x:v>0</x:v>
      </x:c>
      <x:c r="N1509" s="440" t="n">
        <x:f>IF(AND(ISNUMBER(H1509),ISNUMBER(L1509)),H1509+L1509,"")</x:f>
        <x:v>0</x:v>
      </x:c>
    </x:row>
    <x:row r="1510" ht="22" customHeight="1">
      <x:c r="A1510" s="254" t="n">
        <x:f>1110</x:f>
        <x:v>1110</x:v>
      </x:c>
      <x:c r="B1510" s="440" t="n">
        <x:f>IF(ISNUMBER(H1509),H1509,"")</x:f>
        <x:v>0</x:v>
      </x:c>
      <x:c r="C1510" s="442" t="n">
        <x:f>IF(ISNUMBER(B1510),IF(AND(1110&gt;$B$173,$B$78="Refinance",ISNUMBER($B$80),$B$80&gt;=0,$B$80&lt;=1,ROUND($B$81*12,0)&gt;=1,$B$81&lt;=100,SUM($B$82)&gt;=0,SUM($B$82)&lt;=1,SUM($B$83)&gt;=0),$B$80,IF(AND($B$175&gt;0,1110&gt;$B$175,ISNUMBER($B$75)),$B$75,$B$61)),"")</x:f>
        <x:v>0.0625</x:v>
      </x:c>
      <x:c r="D1510" s="440" t="n">
        <x:f>IF(AND(ISNUMBER(B1510),B1510=0),0,IF(AND($B$171=1,I1509=0,ISNUMBER(C1510),ISNUMBER(IF(AND(1110&lt;=$B$174,1110&lt;=$B$173),B1510*C1510/12,IF(AND(1110=$B$173+1,AND(1110&gt;$B$173,$B$78="Refinance",ISNUMBER($B$80),$B$80&gt;=0,$B$80&lt;=1,ROUND($B$81*12,0)&gt;=1,$B$81&lt;=100,SUM($B$82)&gt;=0,SUM($B$82)&lt;=1,SUM($B$83)&gt;=0)),IF(B1510=0,0,IF(C1510=0,B1510/ROUND($B$81*12,0),B1510*(C1510/12)/(1-(1+C1510/12)^(-ROUND($B$81*12,0))))),IF(AND(NOT(AND(1110&gt;$B$173,$B$78="Refinance",ISNUMBER($B$80),$B$80&gt;=0,$B$80&lt;=1,ROUND($B$81*12,0)&gt;=1,$B$81&lt;=100,SUM($B$82)&gt;=0,SUM($B$82)&lt;=1,SUM($B$83)&gt;=0)),OR(1110=1,1110=$B$174+1,AND($B$175&gt;0,1110=$B$175+1))),IF(AND($B$170=1,$B$66&gt;0,OR($B$175=0,1110&lt;=$B$175)),$B$66,IF($B$172-MAX(1110-1,$B$174)&gt;0,IF(B1510=0,0,IF(C1510=0,B1510/($B$172-MAX(1110-1,$B$174)),B1510*(C1510/12)/(1-(1+C1510/12)^(-($B$172-MAX(1110-1,$B$174)))))),"")),D1509))))),IF(IF(AND(1110&lt;=$B$174,1110&lt;=$B$173),B1510*C1510/12,IF(AND(1110=$B$173+1,AND(1110&gt;$B$173,$B$78="Refinance",ISNUMBER($B$80),$B$80&gt;=0,$B$80&lt;=1,ROUND($B$81*12,0)&gt;=1,$B$81&lt;=100,SUM($B$82)&gt;=0,SUM($B$82)&lt;=1,SUM($B$83)&gt;=0)),IF(B1510=0,0,IF(C1510=0,B1510/ROUND($B$81*12,0),B1510*(C1510/12)/(1-(1+C1510/12)^(-ROUND($B$81*12,0))))),IF(AND(NOT(AND(1110&gt;$B$173,$B$78="Refinance",ISNUMBER($B$80),$B$80&gt;=0,$B$80&lt;=1,ROUND($B$81*12,0)&gt;=1,$B$81&lt;=100,SUM($B$82)&gt;=0,SUM($B$82)&lt;=1,SUM($B$83)&gt;=0)),OR(1110=1,1110=$B$174+1,AND($B$175&gt;0,1110=$B$175+1))),IF(AND($B$170=1,$B$66&gt;0,OR($B$175=0,1110&lt;=$B$175)),$B$66,IF($B$172-MAX(1110-1,$B$174)&gt;0,IF(B1510=0,0,IF(C1510=0,B1510/($B$172-MAX(1110-1,$B$174)),B1510*(C1510/12)/(1-(1+C1510/12)^(-($B$172-MAX(1110-1,$B$174)))))),"")),D1509)))+0.0000001&gt;=B1510*C1510/12,MIN(B1510*(1+C1510/12),IF(AND(1110&lt;=$B$174,1110&lt;=$B$173),B1510*C1510/12,IF(AND(1110=$B$173+1,AND(1110&gt;$B$173,$B$78="Refinance",ISNUMBER($B$80),$B$80&gt;=0,$B$80&lt;=1,ROUND($B$81*12,0)&gt;=1,$B$81&lt;=100,SUM($B$82)&gt;=0,SUM($B$82)&lt;=1,SUM($B$83)&gt;=0)),IF(B1510=0,0,IF(C1510=0,B1510/ROUND($B$81*12,0),B1510*(C1510/12)/(1-(1+C1510/12)^(-ROUND($B$81*12,0))))),IF(AND(NOT(AND(1110&gt;$B$173,$B$78="Refinance",ISNUMBER($B$80),$B$80&gt;=0,$B$80&lt;=1,ROUND($B$81*12,0)&gt;=1,$B$81&lt;=100,SUM($B$82)&gt;=0,SUM($B$82)&lt;=1,SUM($B$83)&gt;=0)),OR(1110=1,1110=$B$174+1,AND($B$175&gt;0,1110=$B$175+1))),IF(AND($B$170=1,$B$66&gt;0,OR($B$175=0,1110&lt;=$B$175)),$B$66,IF($B$172-MAX(1110-1,$B$174)&gt;0,IF(B1510=0,0,IF(C1510=0,B1510/($B$172-MAX(1110-1,$B$174)),B1510*(C1510/12)/(1-(1+C1510/12)^(-($B$172-MAX(1110-1,$B$174)))))),"")),D1509)))),""),""))</x:f>
        <x:v>0</x:v>
      </x:c>
      <x:c r="E1510" s="440" t="n">
        <x:f>IF(AND(1110=$B$173,ISNUMBER(D1510)),IF(MAX(0,B1510*(1+C1510/12)-D1510)&lt;MAX(0.0000001,$E$17*0.00000000001),0,MAX(0,B1510*(1+C1510/12)-D1510)),0)</x:f>
        <x:v>0</x:v>
      </x:c>
      <x:c r="F1510" s="440" t="n">
        <x:f>IF($B$78="Cash payoff",E1510,0)</x:f>
        <x:v>0</x:v>
      </x:c>
      <x:c r="G1510" s="440" t="n">
        <x:f>IF(AND(E1510&gt;0,AND($B$78="Refinance",ISNUMBER($B$80),$B$80&gt;=0,$B$80&lt;=1,ROUND($B$81*12,0)&gt;=1,$B$81&lt;=100,SUM($B$82)&gt;=0,SUM($B$82)&lt;=1,SUM($B$83)&gt;=0)),E1510*SUM($B$82)+SUM($B$83),0)</x:f>
        <x:v>0</x:v>
      </x:c>
      <x:c r="H1510" s="440" t="n">
        <x:f>IF(ISNUMBER(D1510),IF(MAX(0,B1510*(1+C1510/12)-D1510-F1510)&lt;MAX(0.0000001,$E$17*0.00000000001),0,MAX(0,B1510*(1+C1510/12)-D1510-F1510)),IF(AND($B$171=1,I1509=1),B1510,""))</x:f>
        <x:v>0</x:v>
      </x:c>
      <x:c r="I1510" s="444" t="n">
        <x:f>IF(OR(I1509=1,AND(E1510&gt;0,$B$78&lt;&gt;"Cash payoff",NOT(AND($B$78="Refinance",ISNUMBER($B$80),$B$80&gt;=0,$B$80&lt;=1,ROUND($B$81*12,0)&gt;=1,$B$81&lt;=100,SUM($B$82)&gt;=0,SUM($B$82)&lt;=1,SUM($B$83)&gt;=0))),AND(ISNUMBER(B1510),B1510&gt;0,$B$171=1,NOT(ISNUMBER(D1510)))),1,0)</x:f>
        <x:v>0</x:v>
      </x:c>
      <x:c r="J1510" s="440" t="n">
        <x:f>IF(ISNUMBER(L1509),L1509,"")</x:f>
        <x:v>0</x:v>
      </x:c>
      <x:c r="K1510" s="440" t="n">
        <x:f>IF(AND(ISNUMBER(J1510),J1510=0),0,IF(AND($B$176=1,ISNUMBER(J1510)),MIN(J1510*(1+$B$87/12),IF($B$86=0,0,IF($B$87=0,$B$86/ROUND($B$88*12,0),$B$86*($B$87/12)/(1-(1+$B$87/12)^(-ROUND($B$88*12,0)))))),""))</x:f>
        <x:v>0</x:v>
      </x:c>
      <x:c r="L1510" s="440" t="n">
        <x:f>IF(ISNUMBER(K1510),IF(MAX(0,J1510*(1+SUM($B$87)/12)-K1510)&lt;MAX(0.0000001,$B$86*0.00000000001),0,MAX(0,J1510*(1+SUM($B$87)/12)-K1510)),"")</x:f>
        <x:v>0</x:v>
      </x:c>
      <x:c r="M1510" s="440" t="n">
        <x:f>IF(AND(ISNUMBER(D1510),ISNUMBER(K1510)),D1510+K1510,"")</x:f>
        <x:v>0</x:v>
      </x:c>
      <x:c r="N1510" s="440" t="n">
        <x:f>IF(AND(ISNUMBER(H1510),ISNUMBER(L1510)),H1510+L1510,"")</x:f>
        <x:v>0</x:v>
      </x:c>
    </x:row>
    <x:row r="1511" ht="22" customHeight="1">
      <x:c r="A1511" s="254" t="n">
        <x:f>1111</x:f>
        <x:v>1111</x:v>
      </x:c>
      <x:c r="B1511" s="440" t="n">
        <x:f>IF(ISNUMBER(H1510),H1510,"")</x:f>
        <x:v>0</x:v>
      </x:c>
      <x:c r="C1511" s="442" t="n">
        <x:f>IF(ISNUMBER(B1511),IF(AND(1111&gt;$B$173,$B$78="Refinance",ISNUMBER($B$80),$B$80&gt;=0,$B$80&lt;=1,ROUND($B$81*12,0)&gt;=1,$B$81&lt;=100,SUM($B$82)&gt;=0,SUM($B$82)&lt;=1,SUM($B$83)&gt;=0),$B$80,IF(AND($B$175&gt;0,1111&gt;$B$175,ISNUMBER($B$75)),$B$75,$B$61)),"")</x:f>
        <x:v>0.0625</x:v>
      </x:c>
      <x:c r="D1511" s="440" t="n">
        <x:f>IF(AND(ISNUMBER(B1511),B1511=0),0,IF(AND($B$171=1,I1510=0,ISNUMBER(C1511),ISNUMBER(IF(AND(1111&lt;=$B$174,1111&lt;=$B$173),B1511*C1511/12,IF(AND(1111=$B$173+1,AND(1111&gt;$B$173,$B$78="Refinance",ISNUMBER($B$80),$B$80&gt;=0,$B$80&lt;=1,ROUND($B$81*12,0)&gt;=1,$B$81&lt;=100,SUM($B$82)&gt;=0,SUM($B$82)&lt;=1,SUM($B$83)&gt;=0)),IF(B1511=0,0,IF(C1511=0,B1511/ROUND($B$81*12,0),B1511*(C1511/12)/(1-(1+C1511/12)^(-ROUND($B$81*12,0))))),IF(AND(NOT(AND(1111&gt;$B$173,$B$78="Refinance",ISNUMBER($B$80),$B$80&gt;=0,$B$80&lt;=1,ROUND($B$81*12,0)&gt;=1,$B$81&lt;=100,SUM($B$82)&gt;=0,SUM($B$82)&lt;=1,SUM($B$83)&gt;=0)),OR(1111=1,1111=$B$174+1,AND($B$175&gt;0,1111=$B$175+1))),IF(AND($B$170=1,$B$66&gt;0,OR($B$175=0,1111&lt;=$B$175)),$B$66,IF($B$172-MAX(1111-1,$B$174)&gt;0,IF(B1511=0,0,IF(C1511=0,B1511/($B$172-MAX(1111-1,$B$174)),B1511*(C1511/12)/(1-(1+C1511/12)^(-($B$172-MAX(1111-1,$B$174)))))),"")),D1510))))),IF(IF(AND(1111&lt;=$B$174,1111&lt;=$B$173),B1511*C1511/12,IF(AND(1111=$B$173+1,AND(1111&gt;$B$173,$B$78="Refinance",ISNUMBER($B$80),$B$80&gt;=0,$B$80&lt;=1,ROUND($B$81*12,0)&gt;=1,$B$81&lt;=100,SUM($B$82)&gt;=0,SUM($B$82)&lt;=1,SUM($B$83)&gt;=0)),IF(B1511=0,0,IF(C1511=0,B1511/ROUND($B$81*12,0),B1511*(C1511/12)/(1-(1+C1511/12)^(-ROUND($B$81*12,0))))),IF(AND(NOT(AND(1111&gt;$B$173,$B$78="Refinance",ISNUMBER($B$80),$B$80&gt;=0,$B$80&lt;=1,ROUND($B$81*12,0)&gt;=1,$B$81&lt;=100,SUM($B$82)&gt;=0,SUM($B$82)&lt;=1,SUM($B$83)&gt;=0)),OR(1111=1,1111=$B$174+1,AND($B$175&gt;0,1111=$B$175+1))),IF(AND($B$170=1,$B$66&gt;0,OR($B$175=0,1111&lt;=$B$175)),$B$66,IF($B$172-MAX(1111-1,$B$174)&gt;0,IF(B1511=0,0,IF(C1511=0,B1511/($B$172-MAX(1111-1,$B$174)),B1511*(C1511/12)/(1-(1+C1511/12)^(-($B$172-MAX(1111-1,$B$174)))))),"")),D1510)))+0.0000001&gt;=B1511*C1511/12,MIN(B1511*(1+C1511/12),IF(AND(1111&lt;=$B$174,1111&lt;=$B$173),B1511*C1511/12,IF(AND(1111=$B$173+1,AND(1111&gt;$B$173,$B$78="Refinance",ISNUMBER($B$80),$B$80&gt;=0,$B$80&lt;=1,ROUND($B$81*12,0)&gt;=1,$B$81&lt;=100,SUM($B$82)&gt;=0,SUM($B$82)&lt;=1,SUM($B$83)&gt;=0)),IF(B1511=0,0,IF(C1511=0,B1511/ROUND($B$81*12,0),B1511*(C1511/12)/(1-(1+C1511/12)^(-ROUND($B$81*12,0))))),IF(AND(NOT(AND(1111&gt;$B$173,$B$78="Refinance",ISNUMBER($B$80),$B$80&gt;=0,$B$80&lt;=1,ROUND($B$81*12,0)&gt;=1,$B$81&lt;=100,SUM($B$82)&gt;=0,SUM($B$82)&lt;=1,SUM($B$83)&gt;=0)),OR(1111=1,1111=$B$174+1,AND($B$175&gt;0,1111=$B$175+1))),IF(AND($B$170=1,$B$66&gt;0,OR($B$175=0,1111&lt;=$B$175)),$B$66,IF($B$172-MAX(1111-1,$B$174)&gt;0,IF(B1511=0,0,IF(C1511=0,B1511/($B$172-MAX(1111-1,$B$174)),B1511*(C1511/12)/(1-(1+C1511/12)^(-($B$172-MAX(1111-1,$B$174)))))),"")),D1510)))),""),""))</x:f>
        <x:v>0</x:v>
      </x:c>
      <x:c r="E1511" s="440" t="n">
        <x:f>IF(AND(1111=$B$173,ISNUMBER(D1511)),IF(MAX(0,B1511*(1+C1511/12)-D1511)&lt;MAX(0.0000001,$E$17*0.00000000001),0,MAX(0,B1511*(1+C1511/12)-D1511)),0)</x:f>
        <x:v>0</x:v>
      </x:c>
      <x:c r="F1511" s="440" t="n">
        <x:f>IF($B$78="Cash payoff",E1511,0)</x:f>
        <x:v>0</x:v>
      </x:c>
      <x:c r="G1511" s="440" t="n">
        <x:f>IF(AND(E1511&gt;0,AND($B$78="Refinance",ISNUMBER($B$80),$B$80&gt;=0,$B$80&lt;=1,ROUND($B$81*12,0)&gt;=1,$B$81&lt;=100,SUM($B$82)&gt;=0,SUM($B$82)&lt;=1,SUM($B$83)&gt;=0)),E1511*SUM($B$82)+SUM($B$83),0)</x:f>
        <x:v>0</x:v>
      </x:c>
      <x:c r="H1511" s="440" t="n">
        <x:f>IF(ISNUMBER(D1511),IF(MAX(0,B1511*(1+C1511/12)-D1511-F1511)&lt;MAX(0.0000001,$E$17*0.00000000001),0,MAX(0,B1511*(1+C1511/12)-D1511-F1511)),IF(AND($B$171=1,I1510=1),B1511,""))</x:f>
        <x:v>0</x:v>
      </x:c>
      <x:c r="I1511" s="444" t="n">
        <x:f>IF(OR(I1510=1,AND(E1511&gt;0,$B$78&lt;&gt;"Cash payoff",NOT(AND($B$78="Refinance",ISNUMBER($B$80),$B$80&gt;=0,$B$80&lt;=1,ROUND($B$81*12,0)&gt;=1,$B$81&lt;=100,SUM($B$82)&gt;=0,SUM($B$82)&lt;=1,SUM($B$83)&gt;=0))),AND(ISNUMBER(B1511),B1511&gt;0,$B$171=1,NOT(ISNUMBER(D1511)))),1,0)</x:f>
        <x:v>0</x:v>
      </x:c>
      <x:c r="J1511" s="440" t="n">
        <x:f>IF(ISNUMBER(L1510),L1510,"")</x:f>
        <x:v>0</x:v>
      </x:c>
      <x:c r="K1511" s="440" t="n">
        <x:f>IF(AND(ISNUMBER(J1511),J1511=0),0,IF(AND($B$176=1,ISNUMBER(J1511)),MIN(J1511*(1+$B$87/12),IF($B$86=0,0,IF($B$87=0,$B$86/ROUND($B$88*12,0),$B$86*($B$87/12)/(1-(1+$B$87/12)^(-ROUND($B$88*12,0)))))),""))</x:f>
        <x:v>0</x:v>
      </x:c>
      <x:c r="L1511" s="440" t="n">
        <x:f>IF(ISNUMBER(K1511),IF(MAX(0,J1511*(1+SUM($B$87)/12)-K1511)&lt;MAX(0.0000001,$B$86*0.00000000001),0,MAX(0,J1511*(1+SUM($B$87)/12)-K1511)),"")</x:f>
        <x:v>0</x:v>
      </x:c>
      <x:c r="M1511" s="440" t="n">
        <x:f>IF(AND(ISNUMBER(D1511),ISNUMBER(K1511)),D1511+K1511,"")</x:f>
        <x:v>0</x:v>
      </x:c>
      <x:c r="N1511" s="440" t="n">
        <x:f>IF(AND(ISNUMBER(H1511),ISNUMBER(L1511)),H1511+L1511,"")</x:f>
        <x:v>0</x:v>
      </x:c>
    </x:row>
    <x:row r="1512" ht="22" customHeight="1">
      <x:c r="A1512" s="254" t="n">
        <x:f>1112</x:f>
        <x:v>1112</x:v>
      </x:c>
      <x:c r="B1512" s="440" t="n">
        <x:f>IF(ISNUMBER(H1511),H1511,"")</x:f>
        <x:v>0</x:v>
      </x:c>
      <x:c r="C1512" s="442" t="n">
        <x:f>IF(ISNUMBER(B1512),IF(AND(1112&gt;$B$173,$B$78="Refinance",ISNUMBER($B$80),$B$80&gt;=0,$B$80&lt;=1,ROUND($B$81*12,0)&gt;=1,$B$81&lt;=100,SUM($B$82)&gt;=0,SUM($B$82)&lt;=1,SUM($B$83)&gt;=0),$B$80,IF(AND($B$175&gt;0,1112&gt;$B$175,ISNUMBER($B$75)),$B$75,$B$61)),"")</x:f>
        <x:v>0.0625</x:v>
      </x:c>
      <x:c r="D1512" s="440" t="n">
        <x:f>IF(AND(ISNUMBER(B1512),B1512=0),0,IF(AND($B$171=1,I1511=0,ISNUMBER(C1512),ISNUMBER(IF(AND(1112&lt;=$B$174,1112&lt;=$B$173),B1512*C1512/12,IF(AND(1112=$B$173+1,AND(1112&gt;$B$173,$B$78="Refinance",ISNUMBER($B$80),$B$80&gt;=0,$B$80&lt;=1,ROUND($B$81*12,0)&gt;=1,$B$81&lt;=100,SUM($B$82)&gt;=0,SUM($B$82)&lt;=1,SUM($B$83)&gt;=0)),IF(B1512=0,0,IF(C1512=0,B1512/ROUND($B$81*12,0),B1512*(C1512/12)/(1-(1+C1512/12)^(-ROUND($B$81*12,0))))),IF(AND(NOT(AND(1112&gt;$B$173,$B$78="Refinance",ISNUMBER($B$80),$B$80&gt;=0,$B$80&lt;=1,ROUND($B$81*12,0)&gt;=1,$B$81&lt;=100,SUM($B$82)&gt;=0,SUM($B$82)&lt;=1,SUM($B$83)&gt;=0)),OR(1112=1,1112=$B$174+1,AND($B$175&gt;0,1112=$B$175+1))),IF(AND($B$170=1,$B$66&gt;0,OR($B$175=0,1112&lt;=$B$175)),$B$66,IF($B$172-MAX(1112-1,$B$174)&gt;0,IF(B1512=0,0,IF(C1512=0,B1512/($B$172-MAX(1112-1,$B$174)),B1512*(C1512/12)/(1-(1+C1512/12)^(-($B$172-MAX(1112-1,$B$174)))))),"")),D1511))))),IF(IF(AND(1112&lt;=$B$174,1112&lt;=$B$173),B1512*C1512/12,IF(AND(1112=$B$173+1,AND(1112&gt;$B$173,$B$78="Refinance",ISNUMBER($B$80),$B$80&gt;=0,$B$80&lt;=1,ROUND($B$81*12,0)&gt;=1,$B$81&lt;=100,SUM($B$82)&gt;=0,SUM($B$82)&lt;=1,SUM($B$83)&gt;=0)),IF(B1512=0,0,IF(C1512=0,B1512/ROUND($B$81*12,0),B1512*(C1512/12)/(1-(1+C1512/12)^(-ROUND($B$81*12,0))))),IF(AND(NOT(AND(1112&gt;$B$173,$B$78="Refinance",ISNUMBER($B$80),$B$80&gt;=0,$B$80&lt;=1,ROUND($B$81*12,0)&gt;=1,$B$81&lt;=100,SUM($B$82)&gt;=0,SUM($B$82)&lt;=1,SUM($B$83)&gt;=0)),OR(1112=1,1112=$B$174+1,AND($B$175&gt;0,1112=$B$175+1))),IF(AND($B$170=1,$B$66&gt;0,OR($B$175=0,1112&lt;=$B$175)),$B$66,IF($B$172-MAX(1112-1,$B$174)&gt;0,IF(B1512=0,0,IF(C1512=0,B1512/($B$172-MAX(1112-1,$B$174)),B1512*(C1512/12)/(1-(1+C1512/12)^(-($B$172-MAX(1112-1,$B$174)))))),"")),D1511)))+0.0000001&gt;=B1512*C1512/12,MIN(B1512*(1+C1512/12),IF(AND(1112&lt;=$B$174,1112&lt;=$B$173),B1512*C1512/12,IF(AND(1112=$B$173+1,AND(1112&gt;$B$173,$B$78="Refinance",ISNUMBER($B$80),$B$80&gt;=0,$B$80&lt;=1,ROUND($B$81*12,0)&gt;=1,$B$81&lt;=100,SUM($B$82)&gt;=0,SUM($B$82)&lt;=1,SUM($B$83)&gt;=0)),IF(B1512=0,0,IF(C1512=0,B1512/ROUND($B$81*12,0),B1512*(C1512/12)/(1-(1+C1512/12)^(-ROUND($B$81*12,0))))),IF(AND(NOT(AND(1112&gt;$B$173,$B$78="Refinance",ISNUMBER($B$80),$B$80&gt;=0,$B$80&lt;=1,ROUND($B$81*12,0)&gt;=1,$B$81&lt;=100,SUM($B$82)&gt;=0,SUM($B$82)&lt;=1,SUM($B$83)&gt;=0)),OR(1112=1,1112=$B$174+1,AND($B$175&gt;0,1112=$B$175+1))),IF(AND($B$170=1,$B$66&gt;0,OR($B$175=0,1112&lt;=$B$175)),$B$66,IF($B$172-MAX(1112-1,$B$174)&gt;0,IF(B1512=0,0,IF(C1512=0,B1512/($B$172-MAX(1112-1,$B$174)),B1512*(C1512/12)/(1-(1+C1512/12)^(-($B$172-MAX(1112-1,$B$174)))))),"")),D1511)))),""),""))</x:f>
        <x:v>0</x:v>
      </x:c>
      <x:c r="E1512" s="440" t="n">
        <x:f>IF(AND(1112=$B$173,ISNUMBER(D1512)),IF(MAX(0,B1512*(1+C1512/12)-D1512)&lt;MAX(0.0000001,$E$17*0.00000000001),0,MAX(0,B1512*(1+C1512/12)-D1512)),0)</x:f>
        <x:v>0</x:v>
      </x:c>
      <x:c r="F1512" s="440" t="n">
        <x:f>IF($B$78="Cash payoff",E1512,0)</x:f>
        <x:v>0</x:v>
      </x:c>
      <x:c r="G1512" s="440" t="n">
        <x:f>IF(AND(E1512&gt;0,AND($B$78="Refinance",ISNUMBER($B$80),$B$80&gt;=0,$B$80&lt;=1,ROUND($B$81*12,0)&gt;=1,$B$81&lt;=100,SUM($B$82)&gt;=0,SUM($B$82)&lt;=1,SUM($B$83)&gt;=0)),E1512*SUM($B$82)+SUM($B$83),0)</x:f>
        <x:v>0</x:v>
      </x:c>
      <x:c r="H1512" s="440" t="n">
        <x:f>IF(ISNUMBER(D1512),IF(MAX(0,B1512*(1+C1512/12)-D1512-F1512)&lt;MAX(0.0000001,$E$17*0.00000000001),0,MAX(0,B1512*(1+C1512/12)-D1512-F1512)),IF(AND($B$171=1,I1511=1),B1512,""))</x:f>
        <x:v>0</x:v>
      </x:c>
      <x:c r="I1512" s="444" t="n">
        <x:f>IF(OR(I1511=1,AND(E1512&gt;0,$B$78&lt;&gt;"Cash payoff",NOT(AND($B$78="Refinance",ISNUMBER($B$80),$B$80&gt;=0,$B$80&lt;=1,ROUND($B$81*12,0)&gt;=1,$B$81&lt;=100,SUM($B$82)&gt;=0,SUM($B$82)&lt;=1,SUM($B$83)&gt;=0))),AND(ISNUMBER(B1512),B1512&gt;0,$B$171=1,NOT(ISNUMBER(D1512)))),1,0)</x:f>
        <x:v>0</x:v>
      </x:c>
      <x:c r="J1512" s="440" t="n">
        <x:f>IF(ISNUMBER(L1511),L1511,"")</x:f>
        <x:v>0</x:v>
      </x:c>
      <x:c r="K1512" s="440" t="n">
        <x:f>IF(AND(ISNUMBER(J1512),J1512=0),0,IF(AND($B$176=1,ISNUMBER(J1512)),MIN(J1512*(1+$B$87/12),IF($B$86=0,0,IF($B$87=0,$B$86/ROUND($B$88*12,0),$B$86*($B$87/12)/(1-(1+$B$87/12)^(-ROUND($B$88*12,0)))))),""))</x:f>
        <x:v>0</x:v>
      </x:c>
      <x:c r="L1512" s="440" t="n">
        <x:f>IF(ISNUMBER(K1512),IF(MAX(0,J1512*(1+SUM($B$87)/12)-K1512)&lt;MAX(0.0000001,$B$86*0.00000000001),0,MAX(0,J1512*(1+SUM($B$87)/12)-K1512)),"")</x:f>
        <x:v>0</x:v>
      </x:c>
      <x:c r="M1512" s="440" t="n">
        <x:f>IF(AND(ISNUMBER(D1512),ISNUMBER(K1512)),D1512+K1512,"")</x:f>
        <x:v>0</x:v>
      </x:c>
      <x:c r="N1512" s="440" t="n">
        <x:f>IF(AND(ISNUMBER(H1512),ISNUMBER(L1512)),H1512+L1512,"")</x:f>
        <x:v>0</x:v>
      </x:c>
    </x:row>
    <x:row r="1513" ht="22" customHeight="1">
      <x:c r="A1513" s="254" t="n">
        <x:f>1113</x:f>
        <x:v>1113</x:v>
      </x:c>
      <x:c r="B1513" s="440" t="n">
        <x:f>IF(ISNUMBER(H1512),H1512,"")</x:f>
        <x:v>0</x:v>
      </x:c>
      <x:c r="C1513" s="442" t="n">
        <x:f>IF(ISNUMBER(B1513),IF(AND(1113&gt;$B$173,$B$78="Refinance",ISNUMBER($B$80),$B$80&gt;=0,$B$80&lt;=1,ROUND($B$81*12,0)&gt;=1,$B$81&lt;=100,SUM($B$82)&gt;=0,SUM($B$82)&lt;=1,SUM($B$83)&gt;=0),$B$80,IF(AND($B$175&gt;0,1113&gt;$B$175,ISNUMBER($B$75)),$B$75,$B$61)),"")</x:f>
        <x:v>0.0625</x:v>
      </x:c>
      <x:c r="D1513" s="440" t="n">
        <x:f>IF(AND(ISNUMBER(B1513),B1513=0),0,IF(AND($B$171=1,I1512=0,ISNUMBER(C1513),ISNUMBER(IF(AND(1113&lt;=$B$174,1113&lt;=$B$173),B1513*C1513/12,IF(AND(1113=$B$173+1,AND(1113&gt;$B$173,$B$78="Refinance",ISNUMBER($B$80),$B$80&gt;=0,$B$80&lt;=1,ROUND($B$81*12,0)&gt;=1,$B$81&lt;=100,SUM($B$82)&gt;=0,SUM($B$82)&lt;=1,SUM($B$83)&gt;=0)),IF(B1513=0,0,IF(C1513=0,B1513/ROUND($B$81*12,0),B1513*(C1513/12)/(1-(1+C1513/12)^(-ROUND($B$81*12,0))))),IF(AND(NOT(AND(1113&gt;$B$173,$B$78="Refinance",ISNUMBER($B$80),$B$80&gt;=0,$B$80&lt;=1,ROUND($B$81*12,0)&gt;=1,$B$81&lt;=100,SUM($B$82)&gt;=0,SUM($B$82)&lt;=1,SUM($B$83)&gt;=0)),OR(1113=1,1113=$B$174+1,AND($B$175&gt;0,1113=$B$175+1))),IF(AND($B$170=1,$B$66&gt;0,OR($B$175=0,1113&lt;=$B$175)),$B$66,IF($B$172-MAX(1113-1,$B$174)&gt;0,IF(B1513=0,0,IF(C1513=0,B1513/($B$172-MAX(1113-1,$B$174)),B1513*(C1513/12)/(1-(1+C1513/12)^(-($B$172-MAX(1113-1,$B$174)))))),"")),D1512))))),IF(IF(AND(1113&lt;=$B$174,1113&lt;=$B$173),B1513*C1513/12,IF(AND(1113=$B$173+1,AND(1113&gt;$B$173,$B$78="Refinance",ISNUMBER($B$80),$B$80&gt;=0,$B$80&lt;=1,ROUND($B$81*12,0)&gt;=1,$B$81&lt;=100,SUM($B$82)&gt;=0,SUM($B$82)&lt;=1,SUM($B$83)&gt;=0)),IF(B1513=0,0,IF(C1513=0,B1513/ROUND($B$81*12,0),B1513*(C1513/12)/(1-(1+C1513/12)^(-ROUND($B$81*12,0))))),IF(AND(NOT(AND(1113&gt;$B$173,$B$78="Refinance",ISNUMBER($B$80),$B$80&gt;=0,$B$80&lt;=1,ROUND($B$81*12,0)&gt;=1,$B$81&lt;=100,SUM($B$82)&gt;=0,SUM($B$82)&lt;=1,SUM($B$83)&gt;=0)),OR(1113=1,1113=$B$174+1,AND($B$175&gt;0,1113=$B$175+1))),IF(AND($B$170=1,$B$66&gt;0,OR($B$175=0,1113&lt;=$B$175)),$B$66,IF($B$172-MAX(1113-1,$B$174)&gt;0,IF(B1513=0,0,IF(C1513=0,B1513/($B$172-MAX(1113-1,$B$174)),B1513*(C1513/12)/(1-(1+C1513/12)^(-($B$172-MAX(1113-1,$B$174)))))),"")),D1512)))+0.0000001&gt;=B1513*C1513/12,MIN(B1513*(1+C1513/12),IF(AND(1113&lt;=$B$174,1113&lt;=$B$173),B1513*C1513/12,IF(AND(1113=$B$173+1,AND(1113&gt;$B$173,$B$78="Refinance",ISNUMBER($B$80),$B$80&gt;=0,$B$80&lt;=1,ROUND($B$81*12,0)&gt;=1,$B$81&lt;=100,SUM($B$82)&gt;=0,SUM($B$82)&lt;=1,SUM($B$83)&gt;=0)),IF(B1513=0,0,IF(C1513=0,B1513/ROUND($B$81*12,0),B1513*(C1513/12)/(1-(1+C1513/12)^(-ROUND($B$81*12,0))))),IF(AND(NOT(AND(1113&gt;$B$173,$B$78="Refinance",ISNUMBER($B$80),$B$80&gt;=0,$B$80&lt;=1,ROUND($B$81*12,0)&gt;=1,$B$81&lt;=100,SUM($B$82)&gt;=0,SUM($B$82)&lt;=1,SUM($B$83)&gt;=0)),OR(1113=1,1113=$B$174+1,AND($B$175&gt;0,1113=$B$175+1))),IF(AND($B$170=1,$B$66&gt;0,OR($B$175=0,1113&lt;=$B$175)),$B$66,IF($B$172-MAX(1113-1,$B$174)&gt;0,IF(B1513=0,0,IF(C1513=0,B1513/($B$172-MAX(1113-1,$B$174)),B1513*(C1513/12)/(1-(1+C1513/12)^(-($B$172-MAX(1113-1,$B$174)))))),"")),D1512)))),""),""))</x:f>
        <x:v>0</x:v>
      </x:c>
      <x:c r="E1513" s="440" t="n">
        <x:f>IF(AND(1113=$B$173,ISNUMBER(D1513)),IF(MAX(0,B1513*(1+C1513/12)-D1513)&lt;MAX(0.0000001,$E$17*0.00000000001),0,MAX(0,B1513*(1+C1513/12)-D1513)),0)</x:f>
        <x:v>0</x:v>
      </x:c>
      <x:c r="F1513" s="440" t="n">
        <x:f>IF($B$78="Cash payoff",E1513,0)</x:f>
        <x:v>0</x:v>
      </x:c>
      <x:c r="G1513" s="440" t="n">
        <x:f>IF(AND(E1513&gt;0,AND($B$78="Refinance",ISNUMBER($B$80),$B$80&gt;=0,$B$80&lt;=1,ROUND($B$81*12,0)&gt;=1,$B$81&lt;=100,SUM($B$82)&gt;=0,SUM($B$82)&lt;=1,SUM($B$83)&gt;=0)),E1513*SUM($B$82)+SUM($B$83),0)</x:f>
        <x:v>0</x:v>
      </x:c>
      <x:c r="H1513" s="440" t="n">
        <x:f>IF(ISNUMBER(D1513),IF(MAX(0,B1513*(1+C1513/12)-D1513-F1513)&lt;MAX(0.0000001,$E$17*0.00000000001),0,MAX(0,B1513*(1+C1513/12)-D1513-F1513)),IF(AND($B$171=1,I1512=1),B1513,""))</x:f>
        <x:v>0</x:v>
      </x:c>
      <x:c r="I1513" s="444" t="n">
        <x:f>IF(OR(I1512=1,AND(E1513&gt;0,$B$78&lt;&gt;"Cash payoff",NOT(AND($B$78="Refinance",ISNUMBER($B$80),$B$80&gt;=0,$B$80&lt;=1,ROUND($B$81*12,0)&gt;=1,$B$81&lt;=100,SUM($B$82)&gt;=0,SUM($B$82)&lt;=1,SUM($B$83)&gt;=0))),AND(ISNUMBER(B1513),B1513&gt;0,$B$171=1,NOT(ISNUMBER(D1513)))),1,0)</x:f>
        <x:v>0</x:v>
      </x:c>
      <x:c r="J1513" s="440" t="n">
        <x:f>IF(ISNUMBER(L1512),L1512,"")</x:f>
        <x:v>0</x:v>
      </x:c>
      <x:c r="K1513" s="440" t="n">
        <x:f>IF(AND(ISNUMBER(J1513),J1513=0),0,IF(AND($B$176=1,ISNUMBER(J1513)),MIN(J1513*(1+$B$87/12),IF($B$86=0,0,IF($B$87=0,$B$86/ROUND($B$88*12,0),$B$86*($B$87/12)/(1-(1+$B$87/12)^(-ROUND($B$88*12,0)))))),""))</x:f>
        <x:v>0</x:v>
      </x:c>
      <x:c r="L1513" s="440" t="n">
        <x:f>IF(ISNUMBER(K1513),IF(MAX(0,J1513*(1+SUM($B$87)/12)-K1513)&lt;MAX(0.0000001,$B$86*0.00000000001),0,MAX(0,J1513*(1+SUM($B$87)/12)-K1513)),"")</x:f>
        <x:v>0</x:v>
      </x:c>
      <x:c r="M1513" s="440" t="n">
        <x:f>IF(AND(ISNUMBER(D1513),ISNUMBER(K1513)),D1513+K1513,"")</x:f>
        <x:v>0</x:v>
      </x:c>
      <x:c r="N1513" s="440" t="n">
        <x:f>IF(AND(ISNUMBER(H1513),ISNUMBER(L1513)),H1513+L1513,"")</x:f>
        <x:v>0</x:v>
      </x:c>
    </x:row>
    <x:row r="1514" ht="22" customHeight="1">
      <x:c r="A1514" s="254" t="n">
        <x:f>1114</x:f>
        <x:v>1114</x:v>
      </x:c>
      <x:c r="B1514" s="440" t="n">
        <x:f>IF(ISNUMBER(H1513),H1513,"")</x:f>
        <x:v>0</x:v>
      </x:c>
      <x:c r="C1514" s="442" t="n">
        <x:f>IF(ISNUMBER(B1514),IF(AND(1114&gt;$B$173,$B$78="Refinance",ISNUMBER($B$80),$B$80&gt;=0,$B$80&lt;=1,ROUND($B$81*12,0)&gt;=1,$B$81&lt;=100,SUM($B$82)&gt;=0,SUM($B$82)&lt;=1,SUM($B$83)&gt;=0),$B$80,IF(AND($B$175&gt;0,1114&gt;$B$175,ISNUMBER($B$75)),$B$75,$B$61)),"")</x:f>
        <x:v>0.0625</x:v>
      </x:c>
      <x:c r="D1514" s="440" t="n">
        <x:f>IF(AND(ISNUMBER(B1514),B1514=0),0,IF(AND($B$171=1,I1513=0,ISNUMBER(C1514),ISNUMBER(IF(AND(1114&lt;=$B$174,1114&lt;=$B$173),B1514*C1514/12,IF(AND(1114=$B$173+1,AND(1114&gt;$B$173,$B$78="Refinance",ISNUMBER($B$80),$B$80&gt;=0,$B$80&lt;=1,ROUND($B$81*12,0)&gt;=1,$B$81&lt;=100,SUM($B$82)&gt;=0,SUM($B$82)&lt;=1,SUM($B$83)&gt;=0)),IF(B1514=0,0,IF(C1514=0,B1514/ROUND($B$81*12,0),B1514*(C1514/12)/(1-(1+C1514/12)^(-ROUND($B$81*12,0))))),IF(AND(NOT(AND(1114&gt;$B$173,$B$78="Refinance",ISNUMBER($B$80),$B$80&gt;=0,$B$80&lt;=1,ROUND($B$81*12,0)&gt;=1,$B$81&lt;=100,SUM($B$82)&gt;=0,SUM($B$82)&lt;=1,SUM($B$83)&gt;=0)),OR(1114=1,1114=$B$174+1,AND($B$175&gt;0,1114=$B$175+1))),IF(AND($B$170=1,$B$66&gt;0,OR($B$175=0,1114&lt;=$B$175)),$B$66,IF($B$172-MAX(1114-1,$B$174)&gt;0,IF(B1514=0,0,IF(C1514=0,B1514/($B$172-MAX(1114-1,$B$174)),B1514*(C1514/12)/(1-(1+C1514/12)^(-($B$172-MAX(1114-1,$B$174)))))),"")),D1513))))),IF(IF(AND(1114&lt;=$B$174,1114&lt;=$B$173),B1514*C1514/12,IF(AND(1114=$B$173+1,AND(1114&gt;$B$173,$B$78="Refinance",ISNUMBER($B$80),$B$80&gt;=0,$B$80&lt;=1,ROUND($B$81*12,0)&gt;=1,$B$81&lt;=100,SUM($B$82)&gt;=0,SUM($B$82)&lt;=1,SUM($B$83)&gt;=0)),IF(B1514=0,0,IF(C1514=0,B1514/ROUND($B$81*12,0),B1514*(C1514/12)/(1-(1+C1514/12)^(-ROUND($B$81*12,0))))),IF(AND(NOT(AND(1114&gt;$B$173,$B$78="Refinance",ISNUMBER($B$80),$B$80&gt;=0,$B$80&lt;=1,ROUND($B$81*12,0)&gt;=1,$B$81&lt;=100,SUM($B$82)&gt;=0,SUM($B$82)&lt;=1,SUM($B$83)&gt;=0)),OR(1114=1,1114=$B$174+1,AND($B$175&gt;0,1114=$B$175+1))),IF(AND($B$170=1,$B$66&gt;0,OR($B$175=0,1114&lt;=$B$175)),$B$66,IF($B$172-MAX(1114-1,$B$174)&gt;0,IF(B1514=0,0,IF(C1514=0,B1514/($B$172-MAX(1114-1,$B$174)),B1514*(C1514/12)/(1-(1+C1514/12)^(-($B$172-MAX(1114-1,$B$174)))))),"")),D1513)))+0.0000001&gt;=B1514*C1514/12,MIN(B1514*(1+C1514/12),IF(AND(1114&lt;=$B$174,1114&lt;=$B$173),B1514*C1514/12,IF(AND(1114=$B$173+1,AND(1114&gt;$B$173,$B$78="Refinance",ISNUMBER($B$80),$B$80&gt;=0,$B$80&lt;=1,ROUND($B$81*12,0)&gt;=1,$B$81&lt;=100,SUM($B$82)&gt;=0,SUM($B$82)&lt;=1,SUM($B$83)&gt;=0)),IF(B1514=0,0,IF(C1514=0,B1514/ROUND($B$81*12,0),B1514*(C1514/12)/(1-(1+C1514/12)^(-ROUND($B$81*12,0))))),IF(AND(NOT(AND(1114&gt;$B$173,$B$78="Refinance",ISNUMBER($B$80),$B$80&gt;=0,$B$80&lt;=1,ROUND($B$81*12,0)&gt;=1,$B$81&lt;=100,SUM($B$82)&gt;=0,SUM($B$82)&lt;=1,SUM($B$83)&gt;=0)),OR(1114=1,1114=$B$174+1,AND($B$175&gt;0,1114=$B$175+1))),IF(AND($B$170=1,$B$66&gt;0,OR($B$175=0,1114&lt;=$B$175)),$B$66,IF($B$172-MAX(1114-1,$B$174)&gt;0,IF(B1514=0,0,IF(C1514=0,B1514/($B$172-MAX(1114-1,$B$174)),B1514*(C1514/12)/(1-(1+C1514/12)^(-($B$172-MAX(1114-1,$B$174)))))),"")),D1513)))),""),""))</x:f>
        <x:v>0</x:v>
      </x:c>
      <x:c r="E1514" s="440" t="n">
        <x:f>IF(AND(1114=$B$173,ISNUMBER(D1514)),IF(MAX(0,B1514*(1+C1514/12)-D1514)&lt;MAX(0.0000001,$E$17*0.00000000001),0,MAX(0,B1514*(1+C1514/12)-D1514)),0)</x:f>
        <x:v>0</x:v>
      </x:c>
      <x:c r="F1514" s="440" t="n">
        <x:f>IF($B$78="Cash payoff",E1514,0)</x:f>
        <x:v>0</x:v>
      </x:c>
      <x:c r="G1514" s="440" t="n">
        <x:f>IF(AND(E1514&gt;0,AND($B$78="Refinance",ISNUMBER($B$80),$B$80&gt;=0,$B$80&lt;=1,ROUND($B$81*12,0)&gt;=1,$B$81&lt;=100,SUM($B$82)&gt;=0,SUM($B$82)&lt;=1,SUM($B$83)&gt;=0)),E1514*SUM($B$82)+SUM($B$83),0)</x:f>
        <x:v>0</x:v>
      </x:c>
      <x:c r="H1514" s="440" t="n">
        <x:f>IF(ISNUMBER(D1514),IF(MAX(0,B1514*(1+C1514/12)-D1514-F1514)&lt;MAX(0.0000001,$E$17*0.00000000001),0,MAX(0,B1514*(1+C1514/12)-D1514-F1514)),IF(AND($B$171=1,I1513=1),B1514,""))</x:f>
        <x:v>0</x:v>
      </x:c>
      <x:c r="I1514" s="444" t="n">
        <x:f>IF(OR(I1513=1,AND(E1514&gt;0,$B$78&lt;&gt;"Cash payoff",NOT(AND($B$78="Refinance",ISNUMBER($B$80),$B$80&gt;=0,$B$80&lt;=1,ROUND($B$81*12,0)&gt;=1,$B$81&lt;=100,SUM($B$82)&gt;=0,SUM($B$82)&lt;=1,SUM($B$83)&gt;=0))),AND(ISNUMBER(B1514),B1514&gt;0,$B$171=1,NOT(ISNUMBER(D1514)))),1,0)</x:f>
        <x:v>0</x:v>
      </x:c>
      <x:c r="J1514" s="440" t="n">
        <x:f>IF(ISNUMBER(L1513),L1513,"")</x:f>
        <x:v>0</x:v>
      </x:c>
      <x:c r="K1514" s="440" t="n">
        <x:f>IF(AND(ISNUMBER(J1514),J1514=0),0,IF(AND($B$176=1,ISNUMBER(J1514)),MIN(J1514*(1+$B$87/12),IF($B$86=0,0,IF($B$87=0,$B$86/ROUND($B$88*12,0),$B$86*($B$87/12)/(1-(1+$B$87/12)^(-ROUND($B$88*12,0)))))),""))</x:f>
        <x:v>0</x:v>
      </x:c>
      <x:c r="L1514" s="440" t="n">
        <x:f>IF(ISNUMBER(K1514),IF(MAX(0,J1514*(1+SUM($B$87)/12)-K1514)&lt;MAX(0.0000001,$B$86*0.00000000001),0,MAX(0,J1514*(1+SUM($B$87)/12)-K1514)),"")</x:f>
        <x:v>0</x:v>
      </x:c>
      <x:c r="M1514" s="440" t="n">
        <x:f>IF(AND(ISNUMBER(D1514),ISNUMBER(K1514)),D1514+K1514,"")</x:f>
        <x:v>0</x:v>
      </x:c>
      <x:c r="N1514" s="440" t="n">
        <x:f>IF(AND(ISNUMBER(H1514),ISNUMBER(L1514)),H1514+L1514,"")</x:f>
        <x:v>0</x:v>
      </x:c>
    </x:row>
    <x:row r="1515" ht="22" customHeight="1">
      <x:c r="A1515" s="254" t="n">
        <x:f>1115</x:f>
        <x:v>1115</x:v>
      </x:c>
      <x:c r="B1515" s="440" t="n">
        <x:f>IF(ISNUMBER(H1514),H1514,"")</x:f>
        <x:v>0</x:v>
      </x:c>
      <x:c r="C1515" s="442" t="n">
        <x:f>IF(ISNUMBER(B1515),IF(AND(1115&gt;$B$173,$B$78="Refinance",ISNUMBER($B$80),$B$80&gt;=0,$B$80&lt;=1,ROUND($B$81*12,0)&gt;=1,$B$81&lt;=100,SUM($B$82)&gt;=0,SUM($B$82)&lt;=1,SUM($B$83)&gt;=0),$B$80,IF(AND($B$175&gt;0,1115&gt;$B$175,ISNUMBER($B$75)),$B$75,$B$61)),"")</x:f>
        <x:v>0.0625</x:v>
      </x:c>
      <x:c r="D1515" s="440" t="n">
        <x:f>IF(AND(ISNUMBER(B1515),B1515=0),0,IF(AND($B$171=1,I1514=0,ISNUMBER(C1515),ISNUMBER(IF(AND(1115&lt;=$B$174,1115&lt;=$B$173),B1515*C1515/12,IF(AND(1115=$B$173+1,AND(1115&gt;$B$173,$B$78="Refinance",ISNUMBER($B$80),$B$80&gt;=0,$B$80&lt;=1,ROUND($B$81*12,0)&gt;=1,$B$81&lt;=100,SUM($B$82)&gt;=0,SUM($B$82)&lt;=1,SUM($B$83)&gt;=0)),IF(B1515=0,0,IF(C1515=0,B1515/ROUND($B$81*12,0),B1515*(C1515/12)/(1-(1+C1515/12)^(-ROUND($B$81*12,0))))),IF(AND(NOT(AND(1115&gt;$B$173,$B$78="Refinance",ISNUMBER($B$80),$B$80&gt;=0,$B$80&lt;=1,ROUND($B$81*12,0)&gt;=1,$B$81&lt;=100,SUM($B$82)&gt;=0,SUM($B$82)&lt;=1,SUM($B$83)&gt;=0)),OR(1115=1,1115=$B$174+1,AND($B$175&gt;0,1115=$B$175+1))),IF(AND($B$170=1,$B$66&gt;0,OR($B$175=0,1115&lt;=$B$175)),$B$66,IF($B$172-MAX(1115-1,$B$174)&gt;0,IF(B1515=0,0,IF(C1515=0,B1515/($B$172-MAX(1115-1,$B$174)),B1515*(C1515/12)/(1-(1+C1515/12)^(-($B$172-MAX(1115-1,$B$174)))))),"")),D1514))))),IF(IF(AND(1115&lt;=$B$174,1115&lt;=$B$173),B1515*C1515/12,IF(AND(1115=$B$173+1,AND(1115&gt;$B$173,$B$78="Refinance",ISNUMBER($B$80),$B$80&gt;=0,$B$80&lt;=1,ROUND($B$81*12,0)&gt;=1,$B$81&lt;=100,SUM($B$82)&gt;=0,SUM($B$82)&lt;=1,SUM($B$83)&gt;=0)),IF(B1515=0,0,IF(C1515=0,B1515/ROUND($B$81*12,0),B1515*(C1515/12)/(1-(1+C1515/12)^(-ROUND($B$81*12,0))))),IF(AND(NOT(AND(1115&gt;$B$173,$B$78="Refinance",ISNUMBER($B$80),$B$80&gt;=0,$B$80&lt;=1,ROUND($B$81*12,0)&gt;=1,$B$81&lt;=100,SUM($B$82)&gt;=0,SUM($B$82)&lt;=1,SUM($B$83)&gt;=0)),OR(1115=1,1115=$B$174+1,AND($B$175&gt;0,1115=$B$175+1))),IF(AND($B$170=1,$B$66&gt;0,OR($B$175=0,1115&lt;=$B$175)),$B$66,IF($B$172-MAX(1115-1,$B$174)&gt;0,IF(B1515=0,0,IF(C1515=0,B1515/($B$172-MAX(1115-1,$B$174)),B1515*(C1515/12)/(1-(1+C1515/12)^(-($B$172-MAX(1115-1,$B$174)))))),"")),D1514)))+0.0000001&gt;=B1515*C1515/12,MIN(B1515*(1+C1515/12),IF(AND(1115&lt;=$B$174,1115&lt;=$B$173),B1515*C1515/12,IF(AND(1115=$B$173+1,AND(1115&gt;$B$173,$B$78="Refinance",ISNUMBER($B$80),$B$80&gt;=0,$B$80&lt;=1,ROUND($B$81*12,0)&gt;=1,$B$81&lt;=100,SUM($B$82)&gt;=0,SUM($B$82)&lt;=1,SUM($B$83)&gt;=0)),IF(B1515=0,0,IF(C1515=0,B1515/ROUND($B$81*12,0),B1515*(C1515/12)/(1-(1+C1515/12)^(-ROUND($B$81*12,0))))),IF(AND(NOT(AND(1115&gt;$B$173,$B$78="Refinance",ISNUMBER($B$80),$B$80&gt;=0,$B$80&lt;=1,ROUND($B$81*12,0)&gt;=1,$B$81&lt;=100,SUM($B$82)&gt;=0,SUM($B$82)&lt;=1,SUM($B$83)&gt;=0)),OR(1115=1,1115=$B$174+1,AND($B$175&gt;0,1115=$B$175+1))),IF(AND($B$170=1,$B$66&gt;0,OR($B$175=0,1115&lt;=$B$175)),$B$66,IF($B$172-MAX(1115-1,$B$174)&gt;0,IF(B1515=0,0,IF(C1515=0,B1515/($B$172-MAX(1115-1,$B$174)),B1515*(C1515/12)/(1-(1+C1515/12)^(-($B$172-MAX(1115-1,$B$174)))))),"")),D1514)))),""),""))</x:f>
        <x:v>0</x:v>
      </x:c>
      <x:c r="E1515" s="440" t="n">
        <x:f>IF(AND(1115=$B$173,ISNUMBER(D1515)),IF(MAX(0,B1515*(1+C1515/12)-D1515)&lt;MAX(0.0000001,$E$17*0.00000000001),0,MAX(0,B1515*(1+C1515/12)-D1515)),0)</x:f>
        <x:v>0</x:v>
      </x:c>
      <x:c r="F1515" s="440" t="n">
        <x:f>IF($B$78="Cash payoff",E1515,0)</x:f>
        <x:v>0</x:v>
      </x:c>
      <x:c r="G1515" s="440" t="n">
        <x:f>IF(AND(E1515&gt;0,AND($B$78="Refinance",ISNUMBER($B$80),$B$80&gt;=0,$B$80&lt;=1,ROUND($B$81*12,0)&gt;=1,$B$81&lt;=100,SUM($B$82)&gt;=0,SUM($B$82)&lt;=1,SUM($B$83)&gt;=0)),E1515*SUM($B$82)+SUM($B$83),0)</x:f>
        <x:v>0</x:v>
      </x:c>
      <x:c r="H1515" s="440" t="n">
        <x:f>IF(ISNUMBER(D1515),IF(MAX(0,B1515*(1+C1515/12)-D1515-F1515)&lt;MAX(0.0000001,$E$17*0.00000000001),0,MAX(0,B1515*(1+C1515/12)-D1515-F1515)),IF(AND($B$171=1,I1514=1),B1515,""))</x:f>
        <x:v>0</x:v>
      </x:c>
      <x:c r="I1515" s="444" t="n">
        <x:f>IF(OR(I1514=1,AND(E1515&gt;0,$B$78&lt;&gt;"Cash payoff",NOT(AND($B$78="Refinance",ISNUMBER($B$80),$B$80&gt;=0,$B$80&lt;=1,ROUND($B$81*12,0)&gt;=1,$B$81&lt;=100,SUM($B$82)&gt;=0,SUM($B$82)&lt;=1,SUM($B$83)&gt;=0))),AND(ISNUMBER(B1515),B1515&gt;0,$B$171=1,NOT(ISNUMBER(D1515)))),1,0)</x:f>
        <x:v>0</x:v>
      </x:c>
      <x:c r="J1515" s="440" t="n">
        <x:f>IF(ISNUMBER(L1514),L1514,"")</x:f>
        <x:v>0</x:v>
      </x:c>
      <x:c r="K1515" s="440" t="n">
        <x:f>IF(AND(ISNUMBER(J1515),J1515=0),0,IF(AND($B$176=1,ISNUMBER(J1515)),MIN(J1515*(1+$B$87/12),IF($B$86=0,0,IF($B$87=0,$B$86/ROUND($B$88*12,0),$B$86*($B$87/12)/(1-(1+$B$87/12)^(-ROUND($B$88*12,0)))))),""))</x:f>
        <x:v>0</x:v>
      </x:c>
      <x:c r="L1515" s="440" t="n">
        <x:f>IF(ISNUMBER(K1515),IF(MAX(0,J1515*(1+SUM($B$87)/12)-K1515)&lt;MAX(0.0000001,$B$86*0.00000000001),0,MAX(0,J1515*(1+SUM($B$87)/12)-K1515)),"")</x:f>
        <x:v>0</x:v>
      </x:c>
      <x:c r="M1515" s="440" t="n">
        <x:f>IF(AND(ISNUMBER(D1515),ISNUMBER(K1515)),D1515+K1515,"")</x:f>
        <x:v>0</x:v>
      </x:c>
      <x:c r="N1515" s="440" t="n">
        <x:f>IF(AND(ISNUMBER(H1515),ISNUMBER(L1515)),H1515+L1515,"")</x:f>
        <x:v>0</x:v>
      </x:c>
    </x:row>
    <x:row r="1516" ht="22" customHeight="1">
      <x:c r="A1516" s="254" t="n">
        <x:f>1116</x:f>
        <x:v>1116</x:v>
      </x:c>
      <x:c r="B1516" s="440" t="n">
        <x:f>IF(ISNUMBER(H1515),H1515,"")</x:f>
        <x:v>0</x:v>
      </x:c>
      <x:c r="C1516" s="442" t="n">
        <x:f>IF(ISNUMBER(B1516),IF(AND(1116&gt;$B$173,$B$78="Refinance",ISNUMBER($B$80),$B$80&gt;=0,$B$80&lt;=1,ROUND($B$81*12,0)&gt;=1,$B$81&lt;=100,SUM($B$82)&gt;=0,SUM($B$82)&lt;=1,SUM($B$83)&gt;=0),$B$80,IF(AND($B$175&gt;0,1116&gt;$B$175,ISNUMBER($B$75)),$B$75,$B$61)),"")</x:f>
        <x:v>0.0625</x:v>
      </x:c>
      <x:c r="D1516" s="440" t="n">
        <x:f>IF(AND(ISNUMBER(B1516),B1516=0),0,IF(AND($B$171=1,I1515=0,ISNUMBER(C1516),ISNUMBER(IF(AND(1116&lt;=$B$174,1116&lt;=$B$173),B1516*C1516/12,IF(AND(1116=$B$173+1,AND(1116&gt;$B$173,$B$78="Refinance",ISNUMBER($B$80),$B$80&gt;=0,$B$80&lt;=1,ROUND($B$81*12,0)&gt;=1,$B$81&lt;=100,SUM($B$82)&gt;=0,SUM($B$82)&lt;=1,SUM($B$83)&gt;=0)),IF(B1516=0,0,IF(C1516=0,B1516/ROUND($B$81*12,0),B1516*(C1516/12)/(1-(1+C1516/12)^(-ROUND($B$81*12,0))))),IF(AND(NOT(AND(1116&gt;$B$173,$B$78="Refinance",ISNUMBER($B$80),$B$80&gt;=0,$B$80&lt;=1,ROUND($B$81*12,0)&gt;=1,$B$81&lt;=100,SUM($B$82)&gt;=0,SUM($B$82)&lt;=1,SUM($B$83)&gt;=0)),OR(1116=1,1116=$B$174+1,AND($B$175&gt;0,1116=$B$175+1))),IF(AND($B$170=1,$B$66&gt;0,OR($B$175=0,1116&lt;=$B$175)),$B$66,IF($B$172-MAX(1116-1,$B$174)&gt;0,IF(B1516=0,0,IF(C1516=0,B1516/($B$172-MAX(1116-1,$B$174)),B1516*(C1516/12)/(1-(1+C1516/12)^(-($B$172-MAX(1116-1,$B$174)))))),"")),D1515))))),IF(IF(AND(1116&lt;=$B$174,1116&lt;=$B$173),B1516*C1516/12,IF(AND(1116=$B$173+1,AND(1116&gt;$B$173,$B$78="Refinance",ISNUMBER($B$80),$B$80&gt;=0,$B$80&lt;=1,ROUND($B$81*12,0)&gt;=1,$B$81&lt;=100,SUM($B$82)&gt;=0,SUM($B$82)&lt;=1,SUM($B$83)&gt;=0)),IF(B1516=0,0,IF(C1516=0,B1516/ROUND($B$81*12,0),B1516*(C1516/12)/(1-(1+C1516/12)^(-ROUND($B$81*12,0))))),IF(AND(NOT(AND(1116&gt;$B$173,$B$78="Refinance",ISNUMBER($B$80),$B$80&gt;=0,$B$80&lt;=1,ROUND($B$81*12,0)&gt;=1,$B$81&lt;=100,SUM($B$82)&gt;=0,SUM($B$82)&lt;=1,SUM($B$83)&gt;=0)),OR(1116=1,1116=$B$174+1,AND($B$175&gt;0,1116=$B$175+1))),IF(AND($B$170=1,$B$66&gt;0,OR($B$175=0,1116&lt;=$B$175)),$B$66,IF($B$172-MAX(1116-1,$B$174)&gt;0,IF(B1516=0,0,IF(C1516=0,B1516/($B$172-MAX(1116-1,$B$174)),B1516*(C1516/12)/(1-(1+C1516/12)^(-($B$172-MAX(1116-1,$B$174)))))),"")),D1515)))+0.0000001&gt;=B1516*C1516/12,MIN(B1516*(1+C1516/12),IF(AND(1116&lt;=$B$174,1116&lt;=$B$173),B1516*C1516/12,IF(AND(1116=$B$173+1,AND(1116&gt;$B$173,$B$78="Refinance",ISNUMBER($B$80),$B$80&gt;=0,$B$80&lt;=1,ROUND($B$81*12,0)&gt;=1,$B$81&lt;=100,SUM($B$82)&gt;=0,SUM($B$82)&lt;=1,SUM($B$83)&gt;=0)),IF(B1516=0,0,IF(C1516=0,B1516/ROUND($B$81*12,0),B1516*(C1516/12)/(1-(1+C1516/12)^(-ROUND($B$81*12,0))))),IF(AND(NOT(AND(1116&gt;$B$173,$B$78="Refinance",ISNUMBER($B$80),$B$80&gt;=0,$B$80&lt;=1,ROUND($B$81*12,0)&gt;=1,$B$81&lt;=100,SUM($B$82)&gt;=0,SUM($B$82)&lt;=1,SUM($B$83)&gt;=0)),OR(1116=1,1116=$B$174+1,AND($B$175&gt;0,1116=$B$175+1))),IF(AND($B$170=1,$B$66&gt;0,OR($B$175=0,1116&lt;=$B$175)),$B$66,IF($B$172-MAX(1116-1,$B$174)&gt;0,IF(B1516=0,0,IF(C1516=0,B1516/($B$172-MAX(1116-1,$B$174)),B1516*(C1516/12)/(1-(1+C1516/12)^(-($B$172-MAX(1116-1,$B$174)))))),"")),D1515)))),""),""))</x:f>
        <x:v>0</x:v>
      </x:c>
      <x:c r="E1516" s="440" t="n">
        <x:f>IF(AND(1116=$B$173,ISNUMBER(D1516)),IF(MAX(0,B1516*(1+C1516/12)-D1516)&lt;MAX(0.0000001,$E$17*0.00000000001),0,MAX(0,B1516*(1+C1516/12)-D1516)),0)</x:f>
        <x:v>0</x:v>
      </x:c>
      <x:c r="F1516" s="440" t="n">
        <x:f>IF($B$78="Cash payoff",E1516,0)</x:f>
        <x:v>0</x:v>
      </x:c>
      <x:c r="G1516" s="440" t="n">
        <x:f>IF(AND(E1516&gt;0,AND($B$78="Refinance",ISNUMBER($B$80),$B$80&gt;=0,$B$80&lt;=1,ROUND($B$81*12,0)&gt;=1,$B$81&lt;=100,SUM($B$82)&gt;=0,SUM($B$82)&lt;=1,SUM($B$83)&gt;=0)),E1516*SUM($B$82)+SUM($B$83),0)</x:f>
        <x:v>0</x:v>
      </x:c>
      <x:c r="H1516" s="440" t="n">
        <x:f>IF(ISNUMBER(D1516),IF(MAX(0,B1516*(1+C1516/12)-D1516-F1516)&lt;MAX(0.0000001,$E$17*0.00000000001),0,MAX(0,B1516*(1+C1516/12)-D1516-F1516)),IF(AND($B$171=1,I1515=1),B1516,""))</x:f>
        <x:v>0</x:v>
      </x:c>
      <x:c r="I1516" s="444" t="n">
        <x:f>IF(OR(I1515=1,AND(E1516&gt;0,$B$78&lt;&gt;"Cash payoff",NOT(AND($B$78="Refinance",ISNUMBER($B$80),$B$80&gt;=0,$B$80&lt;=1,ROUND($B$81*12,0)&gt;=1,$B$81&lt;=100,SUM($B$82)&gt;=0,SUM($B$82)&lt;=1,SUM($B$83)&gt;=0))),AND(ISNUMBER(B1516),B1516&gt;0,$B$171=1,NOT(ISNUMBER(D1516)))),1,0)</x:f>
        <x:v>0</x:v>
      </x:c>
      <x:c r="J1516" s="440" t="n">
        <x:f>IF(ISNUMBER(L1515),L1515,"")</x:f>
        <x:v>0</x:v>
      </x:c>
      <x:c r="K1516" s="440" t="n">
        <x:f>IF(AND(ISNUMBER(J1516),J1516=0),0,IF(AND($B$176=1,ISNUMBER(J1516)),MIN(J1516*(1+$B$87/12),IF($B$86=0,0,IF($B$87=0,$B$86/ROUND($B$88*12,0),$B$86*($B$87/12)/(1-(1+$B$87/12)^(-ROUND($B$88*12,0)))))),""))</x:f>
        <x:v>0</x:v>
      </x:c>
      <x:c r="L1516" s="440" t="n">
        <x:f>IF(ISNUMBER(K1516),IF(MAX(0,J1516*(1+SUM($B$87)/12)-K1516)&lt;MAX(0.0000001,$B$86*0.00000000001),0,MAX(0,J1516*(1+SUM($B$87)/12)-K1516)),"")</x:f>
        <x:v>0</x:v>
      </x:c>
      <x:c r="M1516" s="440" t="n">
        <x:f>IF(AND(ISNUMBER(D1516),ISNUMBER(K1516)),D1516+K1516,"")</x:f>
        <x:v>0</x:v>
      </x:c>
      <x:c r="N1516" s="440" t="n">
        <x:f>IF(AND(ISNUMBER(H1516),ISNUMBER(L1516)),H1516+L1516,"")</x:f>
        <x:v>0</x:v>
      </x:c>
    </x:row>
    <x:row r="1517" ht="22" customHeight="1">
      <x:c r="A1517" s="254" t="n">
        <x:f>1117</x:f>
        <x:v>1117</x:v>
      </x:c>
      <x:c r="B1517" s="440" t="n">
        <x:f>IF(ISNUMBER(H1516),H1516,"")</x:f>
        <x:v>0</x:v>
      </x:c>
      <x:c r="C1517" s="442" t="n">
        <x:f>IF(ISNUMBER(B1517),IF(AND(1117&gt;$B$173,$B$78="Refinance",ISNUMBER($B$80),$B$80&gt;=0,$B$80&lt;=1,ROUND($B$81*12,0)&gt;=1,$B$81&lt;=100,SUM($B$82)&gt;=0,SUM($B$82)&lt;=1,SUM($B$83)&gt;=0),$B$80,IF(AND($B$175&gt;0,1117&gt;$B$175,ISNUMBER($B$75)),$B$75,$B$61)),"")</x:f>
        <x:v>0.0625</x:v>
      </x:c>
      <x:c r="D1517" s="440" t="n">
        <x:f>IF(AND(ISNUMBER(B1517),B1517=0),0,IF(AND($B$171=1,I1516=0,ISNUMBER(C1517),ISNUMBER(IF(AND(1117&lt;=$B$174,1117&lt;=$B$173),B1517*C1517/12,IF(AND(1117=$B$173+1,AND(1117&gt;$B$173,$B$78="Refinance",ISNUMBER($B$80),$B$80&gt;=0,$B$80&lt;=1,ROUND($B$81*12,0)&gt;=1,$B$81&lt;=100,SUM($B$82)&gt;=0,SUM($B$82)&lt;=1,SUM($B$83)&gt;=0)),IF(B1517=0,0,IF(C1517=0,B1517/ROUND($B$81*12,0),B1517*(C1517/12)/(1-(1+C1517/12)^(-ROUND($B$81*12,0))))),IF(AND(NOT(AND(1117&gt;$B$173,$B$78="Refinance",ISNUMBER($B$80),$B$80&gt;=0,$B$80&lt;=1,ROUND($B$81*12,0)&gt;=1,$B$81&lt;=100,SUM($B$82)&gt;=0,SUM($B$82)&lt;=1,SUM($B$83)&gt;=0)),OR(1117=1,1117=$B$174+1,AND($B$175&gt;0,1117=$B$175+1))),IF(AND($B$170=1,$B$66&gt;0,OR($B$175=0,1117&lt;=$B$175)),$B$66,IF($B$172-MAX(1117-1,$B$174)&gt;0,IF(B1517=0,0,IF(C1517=0,B1517/($B$172-MAX(1117-1,$B$174)),B1517*(C1517/12)/(1-(1+C1517/12)^(-($B$172-MAX(1117-1,$B$174)))))),"")),D1516))))),IF(IF(AND(1117&lt;=$B$174,1117&lt;=$B$173),B1517*C1517/12,IF(AND(1117=$B$173+1,AND(1117&gt;$B$173,$B$78="Refinance",ISNUMBER($B$80),$B$80&gt;=0,$B$80&lt;=1,ROUND($B$81*12,0)&gt;=1,$B$81&lt;=100,SUM($B$82)&gt;=0,SUM($B$82)&lt;=1,SUM($B$83)&gt;=0)),IF(B1517=0,0,IF(C1517=0,B1517/ROUND($B$81*12,0),B1517*(C1517/12)/(1-(1+C1517/12)^(-ROUND($B$81*12,0))))),IF(AND(NOT(AND(1117&gt;$B$173,$B$78="Refinance",ISNUMBER($B$80),$B$80&gt;=0,$B$80&lt;=1,ROUND($B$81*12,0)&gt;=1,$B$81&lt;=100,SUM($B$82)&gt;=0,SUM($B$82)&lt;=1,SUM($B$83)&gt;=0)),OR(1117=1,1117=$B$174+1,AND($B$175&gt;0,1117=$B$175+1))),IF(AND($B$170=1,$B$66&gt;0,OR($B$175=0,1117&lt;=$B$175)),$B$66,IF($B$172-MAX(1117-1,$B$174)&gt;0,IF(B1517=0,0,IF(C1517=0,B1517/($B$172-MAX(1117-1,$B$174)),B1517*(C1517/12)/(1-(1+C1517/12)^(-($B$172-MAX(1117-1,$B$174)))))),"")),D1516)))+0.0000001&gt;=B1517*C1517/12,MIN(B1517*(1+C1517/12),IF(AND(1117&lt;=$B$174,1117&lt;=$B$173),B1517*C1517/12,IF(AND(1117=$B$173+1,AND(1117&gt;$B$173,$B$78="Refinance",ISNUMBER($B$80),$B$80&gt;=0,$B$80&lt;=1,ROUND($B$81*12,0)&gt;=1,$B$81&lt;=100,SUM($B$82)&gt;=0,SUM($B$82)&lt;=1,SUM($B$83)&gt;=0)),IF(B1517=0,0,IF(C1517=0,B1517/ROUND($B$81*12,0),B1517*(C1517/12)/(1-(1+C1517/12)^(-ROUND($B$81*12,0))))),IF(AND(NOT(AND(1117&gt;$B$173,$B$78="Refinance",ISNUMBER($B$80),$B$80&gt;=0,$B$80&lt;=1,ROUND($B$81*12,0)&gt;=1,$B$81&lt;=100,SUM($B$82)&gt;=0,SUM($B$82)&lt;=1,SUM($B$83)&gt;=0)),OR(1117=1,1117=$B$174+1,AND($B$175&gt;0,1117=$B$175+1))),IF(AND($B$170=1,$B$66&gt;0,OR($B$175=0,1117&lt;=$B$175)),$B$66,IF($B$172-MAX(1117-1,$B$174)&gt;0,IF(B1517=0,0,IF(C1517=0,B1517/($B$172-MAX(1117-1,$B$174)),B1517*(C1517/12)/(1-(1+C1517/12)^(-($B$172-MAX(1117-1,$B$174)))))),"")),D1516)))),""),""))</x:f>
        <x:v>0</x:v>
      </x:c>
      <x:c r="E1517" s="440" t="n">
        <x:f>IF(AND(1117=$B$173,ISNUMBER(D1517)),IF(MAX(0,B1517*(1+C1517/12)-D1517)&lt;MAX(0.0000001,$E$17*0.00000000001),0,MAX(0,B1517*(1+C1517/12)-D1517)),0)</x:f>
        <x:v>0</x:v>
      </x:c>
      <x:c r="F1517" s="440" t="n">
        <x:f>IF($B$78="Cash payoff",E1517,0)</x:f>
        <x:v>0</x:v>
      </x:c>
      <x:c r="G1517" s="440" t="n">
        <x:f>IF(AND(E1517&gt;0,AND($B$78="Refinance",ISNUMBER($B$80),$B$80&gt;=0,$B$80&lt;=1,ROUND($B$81*12,0)&gt;=1,$B$81&lt;=100,SUM($B$82)&gt;=0,SUM($B$82)&lt;=1,SUM($B$83)&gt;=0)),E1517*SUM($B$82)+SUM($B$83),0)</x:f>
        <x:v>0</x:v>
      </x:c>
      <x:c r="H1517" s="440" t="n">
        <x:f>IF(ISNUMBER(D1517),IF(MAX(0,B1517*(1+C1517/12)-D1517-F1517)&lt;MAX(0.0000001,$E$17*0.00000000001),0,MAX(0,B1517*(1+C1517/12)-D1517-F1517)),IF(AND($B$171=1,I1516=1),B1517,""))</x:f>
        <x:v>0</x:v>
      </x:c>
      <x:c r="I1517" s="444" t="n">
        <x:f>IF(OR(I1516=1,AND(E1517&gt;0,$B$78&lt;&gt;"Cash payoff",NOT(AND($B$78="Refinance",ISNUMBER($B$80),$B$80&gt;=0,$B$80&lt;=1,ROUND($B$81*12,0)&gt;=1,$B$81&lt;=100,SUM($B$82)&gt;=0,SUM($B$82)&lt;=1,SUM($B$83)&gt;=0))),AND(ISNUMBER(B1517),B1517&gt;0,$B$171=1,NOT(ISNUMBER(D1517)))),1,0)</x:f>
        <x:v>0</x:v>
      </x:c>
      <x:c r="J1517" s="440" t="n">
        <x:f>IF(ISNUMBER(L1516),L1516,"")</x:f>
        <x:v>0</x:v>
      </x:c>
      <x:c r="K1517" s="440" t="n">
        <x:f>IF(AND(ISNUMBER(J1517),J1517=0),0,IF(AND($B$176=1,ISNUMBER(J1517)),MIN(J1517*(1+$B$87/12),IF($B$86=0,0,IF($B$87=0,$B$86/ROUND($B$88*12,0),$B$86*($B$87/12)/(1-(1+$B$87/12)^(-ROUND($B$88*12,0)))))),""))</x:f>
        <x:v>0</x:v>
      </x:c>
      <x:c r="L1517" s="440" t="n">
        <x:f>IF(ISNUMBER(K1517),IF(MAX(0,J1517*(1+SUM($B$87)/12)-K1517)&lt;MAX(0.0000001,$B$86*0.00000000001),0,MAX(0,J1517*(1+SUM($B$87)/12)-K1517)),"")</x:f>
        <x:v>0</x:v>
      </x:c>
      <x:c r="M1517" s="440" t="n">
        <x:f>IF(AND(ISNUMBER(D1517),ISNUMBER(K1517)),D1517+K1517,"")</x:f>
        <x:v>0</x:v>
      </x:c>
      <x:c r="N1517" s="440" t="n">
        <x:f>IF(AND(ISNUMBER(H1517),ISNUMBER(L1517)),H1517+L1517,"")</x:f>
        <x:v>0</x:v>
      </x:c>
    </x:row>
    <x:row r="1518" ht="22" customHeight="1">
      <x:c r="A1518" s="254" t="n">
        <x:f>1118</x:f>
        <x:v>1118</x:v>
      </x:c>
      <x:c r="B1518" s="440" t="n">
        <x:f>IF(ISNUMBER(H1517),H1517,"")</x:f>
        <x:v>0</x:v>
      </x:c>
      <x:c r="C1518" s="442" t="n">
        <x:f>IF(ISNUMBER(B1518),IF(AND(1118&gt;$B$173,$B$78="Refinance",ISNUMBER($B$80),$B$80&gt;=0,$B$80&lt;=1,ROUND($B$81*12,0)&gt;=1,$B$81&lt;=100,SUM($B$82)&gt;=0,SUM($B$82)&lt;=1,SUM($B$83)&gt;=0),$B$80,IF(AND($B$175&gt;0,1118&gt;$B$175,ISNUMBER($B$75)),$B$75,$B$61)),"")</x:f>
        <x:v>0.0625</x:v>
      </x:c>
      <x:c r="D1518" s="440" t="n">
        <x:f>IF(AND(ISNUMBER(B1518),B1518=0),0,IF(AND($B$171=1,I1517=0,ISNUMBER(C1518),ISNUMBER(IF(AND(1118&lt;=$B$174,1118&lt;=$B$173),B1518*C1518/12,IF(AND(1118=$B$173+1,AND(1118&gt;$B$173,$B$78="Refinance",ISNUMBER($B$80),$B$80&gt;=0,$B$80&lt;=1,ROUND($B$81*12,0)&gt;=1,$B$81&lt;=100,SUM($B$82)&gt;=0,SUM($B$82)&lt;=1,SUM($B$83)&gt;=0)),IF(B1518=0,0,IF(C1518=0,B1518/ROUND($B$81*12,0),B1518*(C1518/12)/(1-(1+C1518/12)^(-ROUND($B$81*12,0))))),IF(AND(NOT(AND(1118&gt;$B$173,$B$78="Refinance",ISNUMBER($B$80),$B$80&gt;=0,$B$80&lt;=1,ROUND($B$81*12,0)&gt;=1,$B$81&lt;=100,SUM($B$82)&gt;=0,SUM($B$82)&lt;=1,SUM($B$83)&gt;=0)),OR(1118=1,1118=$B$174+1,AND($B$175&gt;0,1118=$B$175+1))),IF(AND($B$170=1,$B$66&gt;0,OR($B$175=0,1118&lt;=$B$175)),$B$66,IF($B$172-MAX(1118-1,$B$174)&gt;0,IF(B1518=0,0,IF(C1518=0,B1518/($B$172-MAX(1118-1,$B$174)),B1518*(C1518/12)/(1-(1+C1518/12)^(-($B$172-MAX(1118-1,$B$174)))))),"")),D1517))))),IF(IF(AND(1118&lt;=$B$174,1118&lt;=$B$173),B1518*C1518/12,IF(AND(1118=$B$173+1,AND(1118&gt;$B$173,$B$78="Refinance",ISNUMBER($B$80),$B$80&gt;=0,$B$80&lt;=1,ROUND($B$81*12,0)&gt;=1,$B$81&lt;=100,SUM($B$82)&gt;=0,SUM($B$82)&lt;=1,SUM($B$83)&gt;=0)),IF(B1518=0,0,IF(C1518=0,B1518/ROUND($B$81*12,0),B1518*(C1518/12)/(1-(1+C1518/12)^(-ROUND($B$81*12,0))))),IF(AND(NOT(AND(1118&gt;$B$173,$B$78="Refinance",ISNUMBER($B$80),$B$80&gt;=0,$B$80&lt;=1,ROUND($B$81*12,0)&gt;=1,$B$81&lt;=100,SUM($B$82)&gt;=0,SUM($B$82)&lt;=1,SUM($B$83)&gt;=0)),OR(1118=1,1118=$B$174+1,AND($B$175&gt;0,1118=$B$175+1))),IF(AND($B$170=1,$B$66&gt;0,OR($B$175=0,1118&lt;=$B$175)),$B$66,IF($B$172-MAX(1118-1,$B$174)&gt;0,IF(B1518=0,0,IF(C1518=0,B1518/($B$172-MAX(1118-1,$B$174)),B1518*(C1518/12)/(1-(1+C1518/12)^(-($B$172-MAX(1118-1,$B$174)))))),"")),D1517)))+0.0000001&gt;=B1518*C1518/12,MIN(B1518*(1+C1518/12),IF(AND(1118&lt;=$B$174,1118&lt;=$B$173),B1518*C1518/12,IF(AND(1118=$B$173+1,AND(1118&gt;$B$173,$B$78="Refinance",ISNUMBER($B$80),$B$80&gt;=0,$B$80&lt;=1,ROUND($B$81*12,0)&gt;=1,$B$81&lt;=100,SUM($B$82)&gt;=0,SUM($B$82)&lt;=1,SUM($B$83)&gt;=0)),IF(B1518=0,0,IF(C1518=0,B1518/ROUND($B$81*12,0),B1518*(C1518/12)/(1-(1+C1518/12)^(-ROUND($B$81*12,0))))),IF(AND(NOT(AND(1118&gt;$B$173,$B$78="Refinance",ISNUMBER($B$80),$B$80&gt;=0,$B$80&lt;=1,ROUND($B$81*12,0)&gt;=1,$B$81&lt;=100,SUM($B$82)&gt;=0,SUM($B$82)&lt;=1,SUM($B$83)&gt;=0)),OR(1118=1,1118=$B$174+1,AND($B$175&gt;0,1118=$B$175+1))),IF(AND($B$170=1,$B$66&gt;0,OR($B$175=0,1118&lt;=$B$175)),$B$66,IF($B$172-MAX(1118-1,$B$174)&gt;0,IF(B1518=0,0,IF(C1518=0,B1518/($B$172-MAX(1118-1,$B$174)),B1518*(C1518/12)/(1-(1+C1518/12)^(-($B$172-MAX(1118-1,$B$174)))))),"")),D1517)))),""),""))</x:f>
        <x:v>0</x:v>
      </x:c>
      <x:c r="E1518" s="440" t="n">
        <x:f>IF(AND(1118=$B$173,ISNUMBER(D1518)),IF(MAX(0,B1518*(1+C1518/12)-D1518)&lt;MAX(0.0000001,$E$17*0.00000000001),0,MAX(0,B1518*(1+C1518/12)-D1518)),0)</x:f>
        <x:v>0</x:v>
      </x:c>
      <x:c r="F1518" s="440" t="n">
        <x:f>IF($B$78="Cash payoff",E1518,0)</x:f>
        <x:v>0</x:v>
      </x:c>
      <x:c r="G1518" s="440" t="n">
        <x:f>IF(AND(E1518&gt;0,AND($B$78="Refinance",ISNUMBER($B$80),$B$80&gt;=0,$B$80&lt;=1,ROUND($B$81*12,0)&gt;=1,$B$81&lt;=100,SUM($B$82)&gt;=0,SUM($B$82)&lt;=1,SUM($B$83)&gt;=0)),E1518*SUM($B$82)+SUM($B$83),0)</x:f>
        <x:v>0</x:v>
      </x:c>
      <x:c r="H1518" s="440" t="n">
        <x:f>IF(ISNUMBER(D1518),IF(MAX(0,B1518*(1+C1518/12)-D1518-F1518)&lt;MAX(0.0000001,$E$17*0.00000000001),0,MAX(0,B1518*(1+C1518/12)-D1518-F1518)),IF(AND($B$171=1,I1517=1),B1518,""))</x:f>
        <x:v>0</x:v>
      </x:c>
      <x:c r="I1518" s="444" t="n">
        <x:f>IF(OR(I1517=1,AND(E1518&gt;0,$B$78&lt;&gt;"Cash payoff",NOT(AND($B$78="Refinance",ISNUMBER($B$80),$B$80&gt;=0,$B$80&lt;=1,ROUND($B$81*12,0)&gt;=1,$B$81&lt;=100,SUM($B$82)&gt;=0,SUM($B$82)&lt;=1,SUM($B$83)&gt;=0))),AND(ISNUMBER(B1518),B1518&gt;0,$B$171=1,NOT(ISNUMBER(D1518)))),1,0)</x:f>
        <x:v>0</x:v>
      </x:c>
      <x:c r="J1518" s="440" t="n">
        <x:f>IF(ISNUMBER(L1517),L1517,"")</x:f>
        <x:v>0</x:v>
      </x:c>
      <x:c r="K1518" s="440" t="n">
        <x:f>IF(AND(ISNUMBER(J1518),J1518=0),0,IF(AND($B$176=1,ISNUMBER(J1518)),MIN(J1518*(1+$B$87/12),IF($B$86=0,0,IF($B$87=0,$B$86/ROUND($B$88*12,0),$B$86*($B$87/12)/(1-(1+$B$87/12)^(-ROUND($B$88*12,0)))))),""))</x:f>
        <x:v>0</x:v>
      </x:c>
      <x:c r="L1518" s="440" t="n">
        <x:f>IF(ISNUMBER(K1518),IF(MAX(0,J1518*(1+SUM($B$87)/12)-K1518)&lt;MAX(0.0000001,$B$86*0.00000000001),0,MAX(0,J1518*(1+SUM($B$87)/12)-K1518)),"")</x:f>
        <x:v>0</x:v>
      </x:c>
      <x:c r="M1518" s="440" t="n">
        <x:f>IF(AND(ISNUMBER(D1518),ISNUMBER(K1518)),D1518+K1518,"")</x:f>
        <x:v>0</x:v>
      </x:c>
      <x:c r="N1518" s="440" t="n">
        <x:f>IF(AND(ISNUMBER(H1518),ISNUMBER(L1518)),H1518+L1518,"")</x:f>
        <x:v>0</x:v>
      </x:c>
    </x:row>
    <x:row r="1519" ht="22" customHeight="1">
      <x:c r="A1519" s="254" t="n">
        <x:f>1119</x:f>
        <x:v>1119</x:v>
      </x:c>
      <x:c r="B1519" s="440" t="n">
        <x:f>IF(ISNUMBER(H1518),H1518,"")</x:f>
        <x:v>0</x:v>
      </x:c>
      <x:c r="C1519" s="442" t="n">
        <x:f>IF(ISNUMBER(B1519),IF(AND(1119&gt;$B$173,$B$78="Refinance",ISNUMBER($B$80),$B$80&gt;=0,$B$80&lt;=1,ROUND($B$81*12,0)&gt;=1,$B$81&lt;=100,SUM($B$82)&gt;=0,SUM($B$82)&lt;=1,SUM($B$83)&gt;=0),$B$80,IF(AND($B$175&gt;0,1119&gt;$B$175,ISNUMBER($B$75)),$B$75,$B$61)),"")</x:f>
        <x:v>0.0625</x:v>
      </x:c>
      <x:c r="D1519" s="440" t="n">
        <x:f>IF(AND(ISNUMBER(B1519),B1519=0),0,IF(AND($B$171=1,I1518=0,ISNUMBER(C1519),ISNUMBER(IF(AND(1119&lt;=$B$174,1119&lt;=$B$173),B1519*C1519/12,IF(AND(1119=$B$173+1,AND(1119&gt;$B$173,$B$78="Refinance",ISNUMBER($B$80),$B$80&gt;=0,$B$80&lt;=1,ROUND($B$81*12,0)&gt;=1,$B$81&lt;=100,SUM($B$82)&gt;=0,SUM($B$82)&lt;=1,SUM($B$83)&gt;=0)),IF(B1519=0,0,IF(C1519=0,B1519/ROUND($B$81*12,0),B1519*(C1519/12)/(1-(1+C1519/12)^(-ROUND($B$81*12,0))))),IF(AND(NOT(AND(1119&gt;$B$173,$B$78="Refinance",ISNUMBER($B$80),$B$80&gt;=0,$B$80&lt;=1,ROUND($B$81*12,0)&gt;=1,$B$81&lt;=100,SUM($B$82)&gt;=0,SUM($B$82)&lt;=1,SUM($B$83)&gt;=0)),OR(1119=1,1119=$B$174+1,AND($B$175&gt;0,1119=$B$175+1))),IF(AND($B$170=1,$B$66&gt;0,OR($B$175=0,1119&lt;=$B$175)),$B$66,IF($B$172-MAX(1119-1,$B$174)&gt;0,IF(B1519=0,0,IF(C1519=0,B1519/($B$172-MAX(1119-1,$B$174)),B1519*(C1519/12)/(1-(1+C1519/12)^(-($B$172-MAX(1119-1,$B$174)))))),"")),D1518))))),IF(IF(AND(1119&lt;=$B$174,1119&lt;=$B$173),B1519*C1519/12,IF(AND(1119=$B$173+1,AND(1119&gt;$B$173,$B$78="Refinance",ISNUMBER($B$80),$B$80&gt;=0,$B$80&lt;=1,ROUND($B$81*12,0)&gt;=1,$B$81&lt;=100,SUM($B$82)&gt;=0,SUM($B$82)&lt;=1,SUM($B$83)&gt;=0)),IF(B1519=0,0,IF(C1519=0,B1519/ROUND($B$81*12,0),B1519*(C1519/12)/(1-(1+C1519/12)^(-ROUND($B$81*12,0))))),IF(AND(NOT(AND(1119&gt;$B$173,$B$78="Refinance",ISNUMBER($B$80),$B$80&gt;=0,$B$80&lt;=1,ROUND($B$81*12,0)&gt;=1,$B$81&lt;=100,SUM($B$82)&gt;=0,SUM($B$82)&lt;=1,SUM($B$83)&gt;=0)),OR(1119=1,1119=$B$174+1,AND($B$175&gt;0,1119=$B$175+1))),IF(AND($B$170=1,$B$66&gt;0,OR($B$175=0,1119&lt;=$B$175)),$B$66,IF($B$172-MAX(1119-1,$B$174)&gt;0,IF(B1519=0,0,IF(C1519=0,B1519/($B$172-MAX(1119-1,$B$174)),B1519*(C1519/12)/(1-(1+C1519/12)^(-($B$172-MAX(1119-1,$B$174)))))),"")),D1518)))+0.0000001&gt;=B1519*C1519/12,MIN(B1519*(1+C1519/12),IF(AND(1119&lt;=$B$174,1119&lt;=$B$173),B1519*C1519/12,IF(AND(1119=$B$173+1,AND(1119&gt;$B$173,$B$78="Refinance",ISNUMBER($B$80),$B$80&gt;=0,$B$80&lt;=1,ROUND($B$81*12,0)&gt;=1,$B$81&lt;=100,SUM($B$82)&gt;=0,SUM($B$82)&lt;=1,SUM($B$83)&gt;=0)),IF(B1519=0,0,IF(C1519=0,B1519/ROUND($B$81*12,0),B1519*(C1519/12)/(1-(1+C1519/12)^(-ROUND($B$81*12,0))))),IF(AND(NOT(AND(1119&gt;$B$173,$B$78="Refinance",ISNUMBER($B$80),$B$80&gt;=0,$B$80&lt;=1,ROUND($B$81*12,0)&gt;=1,$B$81&lt;=100,SUM($B$82)&gt;=0,SUM($B$82)&lt;=1,SUM($B$83)&gt;=0)),OR(1119=1,1119=$B$174+1,AND($B$175&gt;0,1119=$B$175+1))),IF(AND($B$170=1,$B$66&gt;0,OR($B$175=0,1119&lt;=$B$175)),$B$66,IF($B$172-MAX(1119-1,$B$174)&gt;0,IF(B1519=0,0,IF(C1519=0,B1519/($B$172-MAX(1119-1,$B$174)),B1519*(C1519/12)/(1-(1+C1519/12)^(-($B$172-MAX(1119-1,$B$174)))))),"")),D1518)))),""),""))</x:f>
        <x:v>0</x:v>
      </x:c>
      <x:c r="E1519" s="440" t="n">
        <x:f>IF(AND(1119=$B$173,ISNUMBER(D1519)),IF(MAX(0,B1519*(1+C1519/12)-D1519)&lt;MAX(0.0000001,$E$17*0.00000000001),0,MAX(0,B1519*(1+C1519/12)-D1519)),0)</x:f>
        <x:v>0</x:v>
      </x:c>
      <x:c r="F1519" s="440" t="n">
        <x:f>IF($B$78="Cash payoff",E1519,0)</x:f>
        <x:v>0</x:v>
      </x:c>
      <x:c r="G1519" s="440" t="n">
        <x:f>IF(AND(E1519&gt;0,AND($B$78="Refinance",ISNUMBER($B$80),$B$80&gt;=0,$B$80&lt;=1,ROUND($B$81*12,0)&gt;=1,$B$81&lt;=100,SUM($B$82)&gt;=0,SUM($B$82)&lt;=1,SUM($B$83)&gt;=0)),E1519*SUM($B$82)+SUM($B$83),0)</x:f>
        <x:v>0</x:v>
      </x:c>
      <x:c r="H1519" s="440" t="n">
        <x:f>IF(ISNUMBER(D1519),IF(MAX(0,B1519*(1+C1519/12)-D1519-F1519)&lt;MAX(0.0000001,$E$17*0.00000000001),0,MAX(0,B1519*(1+C1519/12)-D1519-F1519)),IF(AND($B$171=1,I1518=1),B1519,""))</x:f>
        <x:v>0</x:v>
      </x:c>
      <x:c r="I1519" s="444" t="n">
        <x:f>IF(OR(I1518=1,AND(E1519&gt;0,$B$78&lt;&gt;"Cash payoff",NOT(AND($B$78="Refinance",ISNUMBER($B$80),$B$80&gt;=0,$B$80&lt;=1,ROUND($B$81*12,0)&gt;=1,$B$81&lt;=100,SUM($B$82)&gt;=0,SUM($B$82)&lt;=1,SUM($B$83)&gt;=0))),AND(ISNUMBER(B1519),B1519&gt;0,$B$171=1,NOT(ISNUMBER(D1519)))),1,0)</x:f>
        <x:v>0</x:v>
      </x:c>
      <x:c r="J1519" s="440" t="n">
        <x:f>IF(ISNUMBER(L1518),L1518,"")</x:f>
        <x:v>0</x:v>
      </x:c>
      <x:c r="K1519" s="440" t="n">
        <x:f>IF(AND(ISNUMBER(J1519),J1519=0),0,IF(AND($B$176=1,ISNUMBER(J1519)),MIN(J1519*(1+$B$87/12),IF($B$86=0,0,IF($B$87=0,$B$86/ROUND($B$88*12,0),$B$86*($B$87/12)/(1-(1+$B$87/12)^(-ROUND($B$88*12,0)))))),""))</x:f>
        <x:v>0</x:v>
      </x:c>
      <x:c r="L1519" s="440" t="n">
        <x:f>IF(ISNUMBER(K1519),IF(MAX(0,J1519*(1+SUM($B$87)/12)-K1519)&lt;MAX(0.0000001,$B$86*0.00000000001),0,MAX(0,J1519*(1+SUM($B$87)/12)-K1519)),"")</x:f>
        <x:v>0</x:v>
      </x:c>
      <x:c r="M1519" s="440" t="n">
        <x:f>IF(AND(ISNUMBER(D1519),ISNUMBER(K1519)),D1519+K1519,"")</x:f>
        <x:v>0</x:v>
      </x:c>
      <x:c r="N1519" s="440" t="n">
        <x:f>IF(AND(ISNUMBER(H1519),ISNUMBER(L1519)),H1519+L1519,"")</x:f>
        <x:v>0</x:v>
      </x:c>
    </x:row>
    <x:row r="1520" ht="22" customHeight="1">
      <x:c r="A1520" s="254" t="n">
        <x:f>1120</x:f>
        <x:v>1120</x:v>
      </x:c>
      <x:c r="B1520" s="440" t="n">
        <x:f>IF(ISNUMBER(H1519),H1519,"")</x:f>
        <x:v>0</x:v>
      </x:c>
      <x:c r="C1520" s="442" t="n">
        <x:f>IF(ISNUMBER(B1520),IF(AND(1120&gt;$B$173,$B$78="Refinance",ISNUMBER($B$80),$B$80&gt;=0,$B$80&lt;=1,ROUND($B$81*12,0)&gt;=1,$B$81&lt;=100,SUM($B$82)&gt;=0,SUM($B$82)&lt;=1,SUM($B$83)&gt;=0),$B$80,IF(AND($B$175&gt;0,1120&gt;$B$175,ISNUMBER($B$75)),$B$75,$B$61)),"")</x:f>
        <x:v>0.0625</x:v>
      </x:c>
      <x:c r="D1520" s="440" t="n">
        <x:f>IF(AND(ISNUMBER(B1520),B1520=0),0,IF(AND($B$171=1,I1519=0,ISNUMBER(C1520),ISNUMBER(IF(AND(1120&lt;=$B$174,1120&lt;=$B$173),B1520*C1520/12,IF(AND(1120=$B$173+1,AND(1120&gt;$B$173,$B$78="Refinance",ISNUMBER($B$80),$B$80&gt;=0,$B$80&lt;=1,ROUND($B$81*12,0)&gt;=1,$B$81&lt;=100,SUM($B$82)&gt;=0,SUM($B$82)&lt;=1,SUM($B$83)&gt;=0)),IF(B1520=0,0,IF(C1520=0,B1520/ROUND($B$81*12,0),B1520*(C1520/12)/(1-(1+C1520/12)^(-ROUND($B$81*12,0))))),IF(AND(NOT(AND(1120&gt;$B$173,$B$78="Refinance",ISNUMBER($B$80),$B$80&gt;=0,$B$80&lt;=1,ROUND($B$81*12,0)&gt;=1,$B$81&lt;=100,SUM($B$82)&gt;=0,SUM($B$82)&lt;=1,SUM($B$83)&gt;=0)),OR(1120=1,1120=$B$174+1,AND($B$175&gt;0,1120=$B$175+1))),IF(AND($B$170=1,$B$66&gt;0,OR($B$175=0,1120&lt;=$B$175)),$B$66,IF($B$172-MAX(1120-1,$B$174)&gt;0,IF(B1520=0,0,IF(C1520=0,B1520/($B$172-MAX(1120-1,$B$174)),B1520*(C1520/12)/(1-(1+C1520/12)^(-($B$172-MAX(1120-1,$B$174)))))),"")),D1519))))),IF(IF(AND(1120&lt;=$B$174,1120&lt;=$B$173),B1520*C1520/12,IF(AND(1120=$B$173+1,AND(1120&gt;$B$173,$B$78="Refinance",ISNUMBER($B$80),$B$80&gt;=0,$B$80&lt;=1,ROUND($B$81*12,0)&gt;=1,$B$81&lt;=100,SUM($B$82)&gt;=0,SUM($B$82)&lt;=1,SUM($B$83)&gt;=0)),IF(B1520=0,0,IF(C1520=0,B1520/ROUND($B$81*12,0),B1520*(C1520/12)/(1-(1+C1520/12)^(-ROUND($B$81*12,0))))),IF(AND(NOT(AND(1120&gt;$B$173,$B$78="Refinance",ISNUMBER($B$80),$B$80&gt;=0,$B$80&lt;=1,ROUND($B$81*12,0)&gt;=1,$B$81&lt;=100,SUM($B$82)&gt;=0,SUM($B$82)&lt;=1,SUM($B$83)&gt;=0)),OR(1120=1,1120=$B$174+1,AND($B$175&gt;0,1120=$B$175+1))),IF(AND($B$170=1,$B$66&gt;0,OR($B$175=0,1120&lt;=$B$175)),$B$66,IF($B$172-MAX(1120-1,$B$174)&gt;0,IF(B1520=0,0,IF(C1520=0,B1520/($B$172-MAX(1120-1,$B$174)),B1520*(C1520/12)/(1-(1+C1520/12)^(-($B$172-MAX(1120-1,$B$174)))))),"")),D1519)))+0.0000001&gt;=B1520*C1520/12,MIN(B1520*(1+C1520/12),IF(AND(1120&lt;=$B$174,1120&lt;=$B$173),B1520*C1520/12,IF(AND(1120=$B$173+1,AND(1120&gt;$B$173,$B$78="Refinance",ISNUMBER($B$80),$B$80&gt;=0,$B$80&lt;=1,ROUND($B$81*12,0)&gt;=1,$B$81&lt;=100,SUM($B$82)&gt;=0,SUM($B$82)&lt;=1,SUM($B$83)&gt;=0)),IF(B1520=0,0,IF(C1520=0,B1520/ROUND($B$81*12,0),B1520*(C1520/12)/(1-(1+C1520/12)^(-ROUND($B$81*12,0))))),IF(AND(NOT(AND(1120&gt;$B$173,$B$78="Refinance",ISNUMBER($B$80),$B$80&gt;=0,$B$80&lt;=1,ROUND($B$81*12,0)&gt;=1,$B$81&lt;=100,SUM($B$82)&gt;=0,SUM($B$82)&lt;=1,SUM($B$83)&gt;=0)),OR(1120=1,1120=$B$174+1,AND($B$175&gt;0,1120=$B$175+1))),IF(AND($B$170=1,$B$66&gt;0,OR($B$175=0,1120&lt;=$B$175)),$B$66,IF($B$172-MAX(1120-1,$B$174)&gt;0,IF(B1520=0,0,IF(C1520=0,B1520/($B$172-MAX(1120-1,$B$174)),B1520*(C1520/12)/(1-(1+C1520/12)^(-($B$172-MAX(1120-1,$B$174)))))),"")),D1519)))),""),""))</x:f>
        <x:v>0</x:v>
      </x:c>
      <x:c r="E1520" s="440" t="n">
        <x:f>IF(AND(1120=$B$173,ISNUMBER(D1520)),IF(MAX(0,B1520*(1+C1520/12)-D1520)&lt;MAX(0.0000001,$E$17*0.00000000001),0,MAX(0,B1520*(1+C1520/12)-D1520)),0)</x:f>
        <x:v>0</x:v>
      </x:c>
      <x:c r="F1520" s="440" t="n">
        <x:f>IF($B$78="Cash payoff",E1520,0)</x:f>
        <x:v>0</x:v>
      </x:c>
      <x:c r="G1520" s="440" t="n">
        <x:f>IF(AND(E1520&gt;0,AND($B$78="Refinance",ISNUMBER($B$80),$B$80&gt;=0,$B$80&lt;=1,ROUND($B$81*12,0)&gt;=1,$B$81&lt;=100,SUM($B$82)&gt;=0,SUM($B$82)&lt;=1,SUM($B$83)&gt;=0)),E1520*SUM($B$82)+SUM($B$83),0)</x:f>
        <x:v>0</x:v>
      </x:c>
      <x:c r="H1520" s="440" t="n">
        <x:f>IF(ISNUMBER(D1520),IF(MAX(0,B1520*(1+C1520/12)-D1520-F1520)&lt;MAX(0.0000001,$E$17*0.00000000001),0,MAX(0,B1520*(1+C1520/12)-D1520-F1520)),IF(AND($B$171=1,I1519=1),B1520,""))</x:f>
        <x:v>0</x:v>
      </x:c>
      <x:c r="I1520" s="444" t="n">
        <x:f>IF(OR(I1519=1,AND(E1520&gt;0,$B$78&lt;&gt;"Cash payoff",NOT(AND($B$78="Refinance",ISNUMBER($B$80),$B$80&gt;=0,$B$80&lt;=1,ROUND($B$81*12,0)&gt;=1,$B$81&lt;=100,SUM($B$82)&gt;=0,SUM($B$82)&lt;=1,SUM($B$83)&gt;=0))),AND(ISNUMBER(B1520),B1520&gt;0,$B$171=1,NOT(ISNUMBER(D1520)))),1,0)</x:f>
        <x:v>0</x:v>
      </x:c>
      <x:c r="J1520" s="440" t="n">
        <x:f>IF(ISNUMBER(L1519),L1519,"")</x:f>
        <x:v>0</x:v>
      </x:c>
      <x:c r="K1520" s="440" t="n">
        <x:f>IF(AND(ISNUMBER(J1520),J1520=0),0,IF(AND($B$176=1,ISNUMBER(J1520)),MIN(J1520*(1+$B$87/12),IF($B$86=0,0,IF($B$87=0,$B$86/ROUND($B$88*12,0),$B$86*($B$87/12)/(1-(1+$B$87/12)^(-ROUND($B$88*12,0)))))),""))</x:f>
        <x:v>0</x:v>
      </x:c>
      <x:c r="L1520" s="440" t="n">
        <x:f>IF(ISNUMBER(K1520),IF(MAX(0,J1520*(1+SUM($B$87)/12)-K1520)&lt;MAX(0.0000001,$B$86*0.00000000001),0,MAX(0,J1520*(1+SUM($B$87)/12)-K1520)),"")</x:f>
        <x:v>0</x:v>
      </x:c>
      <x:c r="M1520" s="440" t="n">
        <x:f>IF(AND(ISNUMBER(D1520),ISNUMBER(K1520)),D1520+K1520,"")</x:f>
        <x:v>0</x:v>
      </x:c>
      <x:c r="N1520" s="440" t="n">
        <x:f>IF(AND(ISNUMBER(H1520),ISNUMBER(L1520)),H1520+L1520,"")</x:f>
        <x:v>0</x:v>
      </x:c>
    </x:row>
    <x:row r="1521">
      <x:c r="A1521" t="n">
        <x:f>1121</x:f>
        <x:v>1121</x:v>
      </x:c>
      <x:c r="B1521" s="441" t="n">
        <x:f>IF(ISNUMBER(H1520),H1520,"")</x:f>
        <x:v>0</x:v>
      </x:c>
      <x:c r="C1521" s="443" t="n">
        <x:f>IF(ISNUMBER(B1521),IF(AND(1121&gt;$B$173,$B$78="Refinance",ISNUMBER($B$80),$B$80&gt;=0,$B$80&lt;=1,ROUND($B$81*12,0)&gt;=1,$B$81&lt;=100,SUM($B$82)&gt;=0,SUM($B$82)&lt;=1,SUM($B$83)&gt;=0),$B$80,IF(AND($B$175&gt;0,1121&gt;$B$175,ISNUMBER($B$75)),$B$75,$B$61)),"")</x:f>
        <x:v>0.0625</x:v>
      </x:c>
      <x:c r="D1521" s="441" t="n">
        <x:f>IF(AND(ISNUMBER(B1521),B1521=0),0,IF(AND($B$171=1,I1520=0,ISNUMBER(C1521),ISNUMBER(IF(AND(1121&lt;=$B$174,1121&lt;=$B$173),B1521*C1521/12,IF(AND(1121=$B$173+1,AND(1121&gt;$B$173,$B$78="Refinance",ISNUMBER($B$80),$B$80&gt;=0,$B$80&lt;=1,ROUND($B$81*12,0)&gt;=1,$B$81&lt;=100,SUM($B$82)&gt;=0,SUM($B$82)&lt;=1,SUM($B$83)&gt;=0)),IF(B1521=0,0,IF(C1521=0,B1521/ROUND($B$81*12,0),B1521*(C1521/12)/(1-(1+C1521/12)^(-ROUND($B$81*12,0))))),IF(AND(NOT(AND(1121&gt;$B$173,$B$78="Refinance",ISNUMBER($B$80),$B$80&gt;=0,$B$80&lt;=1,ROUND($B$81*12,0)&gt;=1,$B$81&lt;=100,SUM($B$82)&gt;=0,SUM($B$82)&lt;=1,SUM($B$83)&gt;=0)),OR(1121=1,1121=$B$174+1,AND($B$175&gt;0,1121=$B$175+1))),IF(AND($B$170=1,$B$66&gt;0,OR($B$175=0,1121&lt;=$B$175)),$B$66,IF($B$172-MAX(1121-1,$B$174)&gt;0,IF(B1521=0,0,IF(C1521=0,B1521/($B$172-MAX(1121-1,$B$174)),B1521*(C1521/12)/(1-(1+C1521/12)^(-($B$172-MAX(1121-1,$B$174)))))),"")),D1520))))),IF(IF(AND(1121&lt;=$B$174,1121&lt;=$B$173),B1521*C1521/12,IF(AND(1121=$B$173+1,AND(1121&gt;$B$173,$B$78="Refinance",ISNUMBER($B$80),$B$80&gt;=0,$B$80&lt;=1,ROUND($B$81*12,0)&gt;=1,$B$81&lt;=100,SUM($B$82)&gt;=0,SUM($B$82)&lt;=1,SUM($B$83)&gt;=0)),IF(B1521=0,0,IF(C1521=0,B1521/ROUND($B$81*12,0),B1521*(C1521/12)/(1-(1+C1521/12)^(-ROUND($B$81*12,0))))),IF(AND(NOT(AND(1121&gt;$B$173,$B$78="Refinance",ISNUMBER($B$80),$B$80&gt;=0,$B$80&lt;=1,ROUND($B$81*12,0)&gt;=1,$B$81&lt;=100,SUM($B$82)&gt;=0,SUM($B$82)&lt;=1,SUM($B$83)&gt;=0)),OR(1121=1,1121=$B$174+1,AND($B$175&gt;0,1121=$B$175+1))),IF(AND($B$170=1,$B$66&gt;0,OR($B$175=0,1121&lt;=$B$175)),$B$66,IF($B$172-MAX(1121-1,$B$174)&gt;0,IF(B1521=0,0,IF(C1521=0,B1521/($B$172-MAX(1121-1,$B$174)),B1521*(C1521/12)/(1-(1+C1521/12)^(-($B$172-MAX(1121-1,$B$174)))))),"")),D1520)))+0.0000001&gt;=B1521*C1521/12,MIN(B1521*(1+C1521/12),IF(AND(1121&lt;=$B$174,1121&lt;=$B$173),B1521*C1521/12,IF(AND(1121=$B$173+1,AND(1121&gt;$B$173,$B$78="Refinance",ISNUMBER($B$80),$B$80&gt;=0,$B$80&lt;=1,ROUND($B$81*12,0)&gt;=1,$B$81&lt;=100,SUM($B$82)&gt;=0,SUM($B$82)&lt;=1,SUM($B$83)&gt;=0)),IF(B1521=0,0,IF(C1521=0,B1521/ROUND($B$81*12,0),B1521*(C1521/12)/(1-(1+C1521/12)^(-ROUND($B$81*12,0))))),IF(AND(NOT(AND(1121&gt;$B$173,$B$78="Refinance",ISNUMBER($B$80),$B$80&gt;=0,$B$80&lt;=1,ROUND($B$81*12,0)&gt;=1,$B$81&lt;=100,SUM($B$82)&gt;=0,SUM($B$82)&lt;=1,SUM($B$83)&gt;=0)),OR(1121=1,1121=$B$174+1,AND($B$175&gt;0,1121=$B$175+1))),IF(AND($B$170=1,$B$66&gt;0,OR($B$175=0,1121&lt;=$B$175)),$B$66,IF($B$172-MAX(1121-1,$B$174)&gt;0,IF(B1521=0,0,IF(C1521=0,B1521/($B$172-MAX(1121-1,$B$174)),B1521*(C1521/12)/(1-(1+C1521/12)^(-($B$172-MAX(1121-1,$B$174)))))),"")),D1520)))),""),""))</x:f>
        <x:v>0</x:v>
      </x:c>
      <x:c r="E1521" s="441" t="n">
        <x:f>IF(AND(1121=$B$173,ISNUMBER(D1521)),IF(MAX(0,B1521*(1+C1521/12)-D1521)&lt;MAX(0.0000001,$E$17*0.00000000001),0,MAX(0,B1521*(1+C1521/12)-D1521)),0)</x:f>
        <x:v>0</x:v>
      </x:c>
      <x:c r="F1521" s="441" t="n">
        <x:f>IF($B$78="Cash payoff",E1521,0)</x:f>
        <x:v>0</x:v>
      </x:c>
      <x:c r="G1521" s="441" t="n">
        <x:f>IF(AND(E1521&gt;0,AND($B$78="Refinance",ISNUMBER($B$80),$B$80&gt;=0,$B$80&lt;=1,ROUND($B$81*12,0)&gt;=1,$B$81&lt;=100,SUM($B$82)&gt;=0,SUM($B$82)&lt;=1,SUM($B$83)&gt;=0)),E1521*SUM($B$82)+SUM($B$83),0)</x:f>
        <x:v>0</x:v>
      </x:c>
      <x:c r="H1521" s="441" t="n">
        <x:f>IF(ISNUMBER(D1521),IF(MAX(0,B1521*(1+C1521/12)-D1521-F1521)&lt;MAX(0.0000001,$E$17*0.00000000001),0,MAX(0,B1521*(1+C1521/12)-D1521-F1521)),IF(AND($B$171=1,I1520=1),B1521,""))</x:f>
        <x:v>0</x:v>
      </x:c>
      <x:c r="I1521" s="445" t="n">
        <x:f>IF(OR(I1520=1,AND(E1521&gt;0,$B$78&lt;&gt;"Cash payoff",NOT(AND($B$78="Refinance",ISNUMBER($B$80),$B$80&gt;=0,$B$80&lt;=1,ROUND($B$81*12,0)&gt;=1,$B$81&lt;=100,SUM($B$82)&gt;=0,SUM($B$82)&lt;=1,SUM($B$83)&gt;=0))),AND(ISNUMBER(B1521),B1521&gt;0,$B$171=1,NOT(ISNUMBER(D1521)))),1,0)</x:f>
        <x:v>0</x:v>
      </x:c>
      <x:c r="J1521" s="441" t="n">
        <x:f>IF(ISNUMBER(L1520),L1520,"")</x:f>
        <x:v>0</x:v>
      </x:c>
      <x:c r="K1521" s="441" t="n">
        <x:f>IF(AND(ISNUMBER(J1521),J1521=0),0,IF(AND($B$176=1,ISNUMBER(J1521)),MIN(J1521*(1+$B$87/12),IF($B$86=0,0,IF($B$87=0,$B$86/ROUND($B$88*12,0),$B$86*($B$87/12)/(1-(1+$B$87/12)^(-ROUND($B$88*12,0)))))),""))</x:f>
        <x:v>0</x:v>
      </x:c>
      <x:c r="L1521" s="441" t="n">
        <x:f>IF(ISNUMBER(K1521),IF(MAX(0,J1521*(1+SUM($B$87)/12)-K1521)&lt;MAX(0.0000001,$B$86*0.00000000001),0,MAX(0,J1521*(1+SUM($B$87)/12)-K1521)),"")</x:f>
        <x:v>0</x:v>
      </x:c>
      <x:c r="M1521" s="441" t="n">
        <x:f>IF(AND(ISNUMBER(D1521),ISNUMBER(K1521)),D1521+K1521,"")</x:f>
        <x:v>0</x:v>
      </x:c>
      <x:c r="N1521" s="441" t="n">
        <x:f>IF(AND(ISNUMBER(H1521),ISNUMBER(L1521)),H1521+L1521,"")</x:f>
        <x:v>0</x:v>
      </x:c>
    </x:row>
    <x:row r="1522">
      <x:c r="A1522" t="n">
        <x:f>1122</x:f>
        <x:v>1122</x:v>
      </x:c>
      <x:c r="B1522" s="441" t="n">
        <x:f>IF(ISNUMBER(H1521),H1521,"")</x:f>
        <x:v>0</x:v>
      </x:c>
      <x:c r="C1522" s="443" t="n">
        <x:f>IF(ISNUMBER(B1522),IF(AND(1122&gt;$B$173,$B$78="Refinance",ISNUMBER($B$80),$B$80&gt;=0,$B$80&lt;=1,ROUND($B$81*12,0)&gt;=1,$B$81&lt;=100,SUM($B$82)&gt;=0,SUM($B$82)&lt;=1,SUM($B$83)&gt;=0),$B$80,IF(AND($B$175&gt;0,1122&gt;$B$175,ISNUMBER($B$75)),$B$75,$B$61)),"")</x:f>
        <x:v>0.0625</x:v>
      </x:c>
      <x:c r="D1522" s="441" t="n">
        <x:f>IF(AND(ISNUMBER(B1522),B1522=0),0,IF(AND($B$171=1,I1521=0,ISNUMBER(C1522),ISNUMBER(IF(AND(1122&lt;=$B$174,1122&lt;=$B$173),B1522*C1522/12,IF(AND(1122=$B$173+1,AND(1122&gt;$B$173,$B$78="Refinance",ISNUMBER($B$80),$B$80&gt;=0,$B$80&lt;=1,ROUND($B$81*12,0)&gt;=1,$B$81&lt;=100,SUM($B$82)&gt;=0,SUM($B$82)&lt;=1,SUM($B$83)&gt;=0)),IF(B1522=0,0,IF(C1522=0,B1522/ROUND($B$81*12,0),B1522*(C1522/12)/(1-(1+C1522/12)^(-ROUND($B$81*12,0))))),IF(AND(NOT(AND(1122&gt;$B$173,$B$78="Refinance",ISNUMBER($B$80),$B$80&gt;=0,$B$80&lt;=1,ROUND($B$81*12,0)&gt;=1,$B$81&lt;=100,SUM($B$82)&gt;=0,SUM($B$82)&lt;=1,SUM($B$83)&gt;=0)),OR(1122=1,1122=$B$174+1,AND($B$175&gt;0,1122=$B$175+1))),IF(AND($B$170=1,$B$66&gt;0,OR($B$175=0,1122&lt;=$B$175)),$B$66,IF($B$172-MAX(1122-1,$B$174)&gt;0,IF(B1522=0,0,IF(C1522=0,B1522/($B$172-MAX(1122-1,$B$174)),B1522*(C1522/12)/(1-(1+C1522/12)^(-($B$172-MAX(1122-1,$B$174)))))),"")),D1521))))),IF(IF(AND(1122&lt;=$B$174,1122&lt;=$B$173),B1522*C1522/12,IF(AND(1122=$B$173+1,AND(1122&gt;$B$173,$B$78="Refinance",ISNUMBER($B$80),$B$80&gt;=0,$B$80&lt;=1,ROUND($B$81*12,0)&gt;=1,$B$81&lt;=100,SUM($B$82)&gt;=0,SUM($B$82)&lt;=1,SUM($B$83)&gt;=0)),IF(B1522=0,0,IF(C1522=0,B1522/ROUND($B$81*12,0),B1522*(C1522/12)/(1-(1+C1522/12)^(-ROUND($B$81*12,0))))),IF(AND(NOT(AND(1122&gt;$B$173,$B$78="Refinance",ISNUMBER($B$80),$B$80&gt;=0,$B$80&lt;=1,ROUND($B$81*12,0)&gt;=1,$B$81&lt;=100,SUM($B$82)&gt;=0,SUM($B$82)&lt;=1,SUM($B$83)&gt;=0)),OR(1122=1,1122=$B$174+1,AND($B$175&gt;0,1122=$B$175+1))),IF(AND($B$170=1,$B$66&gt;0,OR($B$175=0,1122&lt;=$B$175)),$B$66,IF($B$172-MAX(1122-1,$B$174)&gt;0,IF(B1522=0,0,IF(C1522=0,B1522/($B$172-MAX(1122-1,$B$174)),B1522*(C1522/12)/(1-(1+C1522/12)^(-($B$172-MAX(1122-1,$B$174)))))),"")),D1521)))+0.0000001&gt;=B1522*C1522/12,MIN(B1522*(1+C1522/12),IF(AND(1122&lt;=$B$174,1122&lt;=$B$173),B1522*C1522/12,IF(AND(1122=$B$173+1,AND(1122&gt;$B$173,$B$78="Refinance",ISNUMBER($B$80),$B$80&gt;=0,$B$80&lt;=1,ROUND($B$81*12,0)&gt;=1,$B$81&lt;=100,SUM($B$82)&gt;=0,SUM($B$82)&lt;=1,SUM($B$83)&gt;=0)),IF(B1522=0,0,IF(C1522=0,B1522/ROUND($B$81*12,0),B1522*(C1522/12)/(1-(1+C1522/12)^(-ROUND($B$81*12,0))))),IF(AND(NOT(AND(1122&gt;$B$173,$B$78="Refinance",ISNUMBER($B$80),$B$80&gt;=0,$B$80&lt;=1,ROUND($B$81*12,0)&gt;=1,$B$81&lt;=100,SUM($B$82)&gt;=0,SUM($B$82)&lt;=1,SUM($B$83)&gt;=0)),OR(1122=1,1122=$B$174+1,AND($B$175&gt;0,1122=$B$175+1))),IF(AND($B$170=1,$B$66&gt;0,OR($B$175=0,1122&lt;=$B$175)),$B$66,IF($B$172-MAX(1122-1,$B$174)&gt;0,IF(B1522=0,0,IF(C1522=0,B1522/($B$172-MAX(1122-1,$B$174)),B1522*(C1522/12)/(1-(1+C1522/12)^(-($B$172-MAX(1122-1,$B$174)))))),"")),D1521)))),""),""))</x:f>
        <x:v>0</x:v>
      </x:c>
      <x:c r="E1522" s="441" t="n">
        <x:f>IF(AND(1122=$B$173,ISNUMBER(D1522)),IF(MAX(0,B1522*(1+C1522/12)-D1522)&lt;MAX(0.0000001,$E$17*0.00000000001),0,MAX(0,B1522*(1+C1522/12)-D1522)),0)</x:f>
        <x:v>0</x:v>
      </x:c>
      <x:c r="F1522" s="441" t="n">
        <x:f>IF($B$78="Cash payoff",E1522,0)</x:f>
        <x:v>0</x:v>
      </x:c>
      <x:c r="G1522" s="441" t="n">
        <x:f>IF(AND(E1522&gt;0,AND($B$78="Refinance",ISNUMBER($B$80),$B$80&gt;=0,$B$80&lt;=1,ROUND($B$81*12,0)&gt;=1,$B$81&lt;=100,SUM($B$82)&gt;=0,SUM($B$82)&lt;=1,SUM($B$83)&gt;=0)),E1522*SUM($B$82)+SUM($B$83),0)</x:f>
        <x:v>0</x:v>
      </x:c>
      <x:c r="H1522" s="441" t="n">
        <x:f>IF(ISNUMBER(D1522),IF(MAX(0,B1522*(1+C1522/12)-D1522-F1522)&lt;MAX(0.0000001,$E$17*0.00000000001),0,MAX(0,B1522*(1+C1522/12)-D1522-F1522)),IF(AND($B$171=1,I1521=1),B1522,""))</x:f>
        <x:v>0</x:v>
      </x:c>
      <x:c r="I1522" s="445" t="n">
        <x:f>IF(OR(I1521=1,AND(E1522&gt;0,$B$78&lt;&gt;"Cash payoff",NOT(AND($B$78="Refinance",ISNUMBER($B$80),$B$80&gt;=0,$B$80&lt;=1,ROUND($B$81*12,0)&gt;=1,$B$81&lt;=100,SUM($B$82)&gt;=0,SUM($B$82)&lt;=1,SUM($B$83)&gt;=0))),AND(ISNUMBER(B1522),B1522&gt;0,$B$171=1,NOT(ISNUMBER(D1522)))),1,0)</x:f>
        <x:v>0</x:v>
      </x:c>
      <x:c r="J1522" s="441" t="n">
        <x:f>IF(ISNUMBER(L1521),L1521,"")</x:f>
        <x:v>0</x:v>
      </x:c>
      <x:c r="K1522" s="441" t="n">
        <x:f>IF(AND(ISNUMBER(J1522),J1522=0),0,IF(AND($B$176=1,ISNUMBER(J1522)),MIN(J1522*(1+$B$87/12),IF($B$86=0,0,IF($B$87=0,$B$86/ROUND($B$88*12,0),$B$86*($B$87/12)/(1-(1+$B$87/12)^(-ROUND($B$88*12,0)))))),""))</x:f>
        <x:v>0</x:v>
      </x:c>
      <x:c r="L1522" s="441" t="n">
        <x:f>IF(ISNUMBER(K1522),IF(MAX(0,J1522*(1+SUM($B$87)/12)-K1522)&lt;MAX(0.0000001,$B$86*0.00000000001),0,MAX(0,J1522*(1+SUM($B$87)/12)-K1522)),"")</x:f>
        <x:v>0</x:v>
      </x:c>
      <x:c r="M1522" s="441" t="n">
        <x:f>IF(AND(ISNUMBER(D1522),ISNUMBER(K1522)),D1522+K1522,"")</x:f>
        <x:v>0</x:v>
      </x:c>
      <x:c r="N1522" s="441" t="n">
        <x:f>IF(AND(ISNUMBER(H1522),ISNUMBER(L1522)),H1522+L1522,"")</x:f>
        <x:v>0</x:v>
      </x:c>
    </x:row>
    <x:row r="1523">
      <x:c r="A1523" t="n">
        <x:f>1123</x:f>
        <x:v>1123</x:v>
      </x:c>
      <x:c r="B1523" s="441" t="n">
        <x:f>IF(ISNUMBER(H1522),H1522,"")</x:f>
        <x:v>0</x:v>
      </x:c>
      <x:c r="C1523" s="443" t="n">
        <x:f>IF(ISNUMBER(B1523),IF(AND(1123&gt;$B$173,$B$78="Refinance",ISNUMBER($B$80),$B$80&gt;=0,$B$80&lt;=1,ROUND($B$81*12,0)&gt;=1,$B$81&lt;=100,SUM($B$82)&gt;=0,SUM($B$82)&lt;=1,SUM($B$83)&gt;=0),$B$80,IF(AND($B$175&gt;0,1123&gt;$B$175,ISNUMBER($B$75)),$B$75,$B$61)),"")</x:f>
        <x:v>0.0625</x:v>
      </x:c>
      <x:c r="D1523" s="441" t="n">
        <x:f>IF(AND(ISNUMBER(B1523),B1523=0),0,IF(AND($B$171=1,I1522=0,ISNUMBER(C1523),ISNUMBER(IF(AND(1123&lt;=$B$174,1123&lt;=$B$173),B1523*C1523/12,IF(AND(1123=$B$173+1,AND(1123&gt;$B$173,$B$78="Refinance",ISNUMBER($B$80),$B$80&gt;=0,$B$80&lt;=1,ROUND($B$81*12,0)&gt;=1,$B$81&lt;=100,SUM($B$82)&gt;=0,SUM($B$82)&lt;=1,SUM($B$83)&gt;=0)),IF(B1523=0,0,IF(C1523=0,B1523/ROUND($B$81*12,0),B1523*(C1523/12)/(1-(1+C1523/12)^(-ROUND($B$81*12,0))))),IF(AND(NOT(AND(1123&gt;$B$173,$B$78="Refinance",ISNUMBER($B$80),$B$80&gt;=0,$B$80&lt;=1,ROUND($B$81*12,0)&gt;=1,$B$81&lt;=100,SUM($B$82)&gt;=0,SUM($B$82)&lt;=1,SUM($B$83)&gt;=0)),OR(1123=1,1123=$B$174+1,AND($B$175&gt;0,1123=$B$175+1))),IF(AND($B$170=1,$B$66&gt;0,OR($B$175=0,1123&lt;=$B$175)),$B$66,IF($B$172-MAX(1123-1,$B$174)&gt;0,IF(B1523=0,0,IF(C1523=0,B1523/($B$172-MAX(1123-1,$B$174)),B1523*(C1523/12)/(1-(1+C1523/12)^(-($B$172-MAX(1123-1,$B$174)))))),"")),D1522))))),IF(IF(AND(1123&lt;=$B$174,1123&lt;=$B$173),B1523*C1523/12,IF(AND(1123=$B$173+1,AND(1123&gt;$B$173,$B$78="Refinance",ISNUMBER($B$80),$B$80&gt;=0,$B$80&lt;=1,ROUND($B$81*12,0)&gt;=1,$B$81&lt;=100,SUM($B$82)&gt;=0,SUM($B$82)&lt;=1,SUM($B$83)&gt;=0)),IF(B1523=0,0,IF(C1523=0,B1523/ROUND($B$81*12,0),B1523*(C1523/12)/(1-(1+C1523/12)^(-ROUND($B$81*12,0))))),IF(AND(NOT(AND(1123&gt;$B$173,$B$78="Refinance",ISNUMBER($B$80),$B$80&gt;=0,$B$80&lt;=1,ROUND($B$81*12,0)&gt;=1,$B$81&lt;=100,SUM($B$82)&gt;=0,SUM($B$82)&lt;=1,SUM($B$83)&gt;=0)),OR(1123=1,1123=$B$174+1,AND($B$175&gt;0,1123=$B$175+1))),IF(AND($B$170=1,$B$66&gt;0,OR($B$175=0,1123&lt;=$B$175)),$B$66,IF($B$172-MAX(1123-1,$B$174)&gt;0,IF(B1523=0,0,IF(C1523=0,B1523/($B$172-MAX(1123-1,$B$174)),B1523*(C1523/12)/(1-(1+C1523/12)^(-($B$172-MAX(1123-1,$B$174)))))),"")),D1522)))+0.0000001&gt;=B1523*C1523/12,MIN(B1523*(1+C1523/12),IF(AND(1123&lt;=$B$174,1123&lt;=$B$173),B1523*C1523/12,IF(AND(1123=$B$173+1,AND(1123&gt;$B$173,$B$78="Refinance",ISNUMBER($B$80),$B$80&gt;=0,$B$80&lt;=1,ROUND($B$81*12,0)&gt;=1,$B$81&lt;=100,SUM($B$82)&gt;=0,SUM($B$82)&lt;=1,SUM($B$83)&gt;=0)),IF(B1523=0,0,IF(C1523=0,B1523/ROUND($B$81*12,0),B1523*(C1523/12)/(1-(1+C1523/12)^(-ROUND($B$81*12,0))))),IF(AND(NOT(AND(1123&gt;$B$173,$B$78="Refinance",ISNUMBER($B$80),$B$80&gt;=0,$B$80&lt;=1,ROUND($B$81*12,0)&gt;=1,$B$81&lt;=100,SUM($B$82)&gt;=0,SUM($B$82)&lt;=1,SUM($B$83)&gt;=0)),OR(1123=1,1123=$B$174+1,AND($B$175&gt;0,1123=$B$175+1))),IF(AND($B$170=1,$B$66&gt;0,OR($B$175=0,1123&lt;=$B$175)),$B$66,IF($B$172-MAX(1123-1,$B$174)&gt;0,IF(B1523=0,0,IF(C1523=0,B1523/($B$172-MAX(1123-1,$B$174)),B1523*(C1523/12)/(1-(1+C1523/12)^(-($B$172-MAX(1123-1,$B$174)))))),"")),D1522)))),""),""))</x:f>
        <x:v>0</x:v>
      </x:c>
      <x:c r="E1523" s="441" t="n">
        <x:f>IF(AND(1123=$B$173,ISNUMBER(D1523)),IF(MAX(0,B1523*(1+C1523/12)-D1523)&lt;MAX(0.0000001,$E$17*0.00000000001),0,MAX(0,B1523*(1+C1523/12)-D1523)),0)</x:f>
        <x:v>0</x:v>
      </x:c>
      <x:c r="F1523" s="441" t="n">
        <x:f>IF($B$78="Cash payoff",E1523,0)</x:f>
        <x:v>0</x:v>
      </x:c>
      <x:c r="G1523" s="441" t="n">
        <x:f>IF(AND(E1523&gt;0,AND($B$78="Refinance",ISNUMBER($B$80),$B$80&gt;=0,$B$80&lt;=1,ROUND($B$81*12,0)&gt;=1,$B$81&lt;=100,SUM($B$82)&gt;=0,SUM($B$82)&lt;=1,SUM($B$83)&gt;=0)),E1523*SUM($B$82)+SUM($B$83),0)</x:f>
        <x:v>0</x:v>
      </x:c>
      <x:c r="H1523" s="441" t="n">
        <x:f>IF(ISNUMBER(D1523),IF(MAX(0,B1523*(1+C1523/12)-D1523-F1523)&lt;MAX(0.0000001,$E$17*0.00000000001),0,MAX(0,B1523*(1+C1523/12)-D1523-F1523)),IF(AND($B$171=1,I1522=1),B1523,""))</x:f>
        <x:v>0</x:v>
      </x:c>
      <x:c r="I1523" s="445" t="n">
        <x:f>IF(OR(I1522=1,AND(E1523&gt;0,$B$78&lt;&gt;"Cash payoff",NOT(AND($B$78="Refinance",ISNUMBER($B$80),$B$80&gt;=0,$B$80&lt;=1,ROUND($B$81*12,0)&gt;=1,$B$81&lt;=100,SUM($B$82)&gt;=0,SUM($B$82)&lt;=1,SUM($B$83)&gt;=0))),AND(ISNUMBER(B1523),B1523&gt;0,$B$171=1,NOT(ISNUMBER(D1523)))),1,0)</x:f>
        <x:v>0</x:v>
      </x:c>
      <x:c r="J1523" s="441" t="n">
        <x:f>IF(ISNUMBER(L1522),L1522,"")</x:f>
        <x:v>0</x:v>
      </x:c>
      <x:c r="K1523" s="441" t="n">
        <x:f>IF(AND(ISNUMBER(J1523),J1523=0),0,IF(AND($B$176=1,ISNUMBER(J1523)),MIN(J1523*(1+$B$87/12),IF($B$86=0,0,IF($B$87=0,$B$86/ROUND($B$88*12,0),$B$86*($B$87/12)/(1-(1+$B$87/12)^(-ROUND($B$88*12,0)))))),""))</x:f>
        <x:v>0</x:v>
      </x:c>
      <x:c r="L1523" s="441" t="n">
        <x:f>IF(ISNUMBER(K1523),IF(MAX(0,J1523*(1+SUM($B$87)/12)-K1523)&lt;MAX(0.0000001,$B$86*0.00000000001),0,MAX(0,J1523*(1+SUM($B$87)/12)-K1523)),"")</x:f>
        <x:v>0</x:v>
      </x:c>
      <x:c r="M1523" s="441" t="n">
        <x:f>IF(AND(ISNUMBER(D1523),ISNUMBER(K1523)),D1523+K1523,"")</x:f>
        <x:v>0</x:v>
      </x:c>
      <x:c r="N1523" s="441" t="n">
        <x:f>IF(AND(ISNUMBER(H1523),ISNUMBER(L1523)),H1523+L1523,"")</x:f>
        <x:v>0</x:v>
      </x:c>
    </x:row>
    <x:row r="1524">
      <x:c r="A1524" t="n">
        <x:f>1124</x:f>
        <x:v>1124</x:v>
      </x:c>
      <x:c r="B1524" s="441" t="n">
        <x:f>IF(ISNUMBER(H1523),H1523,"")</x:f>
        <x:v>0</x:v>
      </x:c>
      <x:c r="C1524" s="443" t="n">
        <x:f>IF(ISNUMBER(B1524),IF(AND(1124&gt;$B$173,$B$78="Refinance",ISNUMBER($B$80),$B$80&gt;=0,$B$80&lt;=1,ROUND($B$81*12,0)&gt;=1,$B$81&lt;=100,SUM($B$82)&gt;=0,SUM($B$82)&lt;=1,SUM($B$83)&gt;=0),$B$80,IF(AND($B$175&gt;0,1124&gt;$B$175,ISNUMBER($B$75)),$B$75,$B$61)),"")</x:f>
        <x:v>0.0625</x:v>
      </x:c>
      <x:c r="D1524" s="441" t="n">
        <x:f>IF(AND(ISNUMBER(B1524),B1524=0),0,IF(AND($B$171=1,I1523=0,ISNUMBER(C1524),ISNUMBER(IF(AND(1124&lt;=$B$174,1124&lt;=$B$173),B1524*C1524/12,IF(AND(1124=$B$173+1,AND(1124&gt;$B$173,$B$78="Refinance",ISNUMBER($B$80),$B$80&gt;=0,$B$80&lt;=1,ROUND($B$81*12,0)&gt;=1,$B$81&lt;=100,SUM($B$82)&gt;=0,SUM($B$82)&lt;=1,SUM($B$83)&gt;=0)),IF(B1524=0,0,IF(C1524=0,B1524/ROUND($B$81*12,0),B1524*(C1524/12)/(1-(1+C1524/12)^(-ROUND($B$81*12,0))))),IF(AND(NOT(AND(1124&gt;$B$173,$B$78="Refinance",ISNUMBER($B$80),$B$80&gt;=0,$B$80&lt;=1,ROUND($B$81*12,0)&gt;=1,$B$81&lt;=100,SUM($B$82)&gt;=0,SUM($B$82)&lt;=1,SUM($B$83)&gt;=0)),OR(1124=1,1124=$B$174+1,AND($B$175&gt;0,1124=$B$175+1))),IF(AND($B$170=1,$B$66&gt;0,OR($B$175=0,1124&lt;=$B$175)),$B$66,IF($B$172-MAX(1124-1,$B$174)&gt;0,IF(B1524=0,0,IF(C1524=0,B1524/($B$172-MAX(1124-1,$B$174)),B1524*(C1524/12)/(1-(1+C1524/12)^(-($B$172-MAX(1124-1,$B$174)))))),"")),D1523))))),IF(IF(AND(1124&lt;=$B$174,1124&lt;=$B$173),B1524*C1524/12,IF(AND(1124=$B$173+1,AND(1124&gt;$B$173,$B$78="Refinance",ISNUMBER($B$80),$B$80&gt;=0,$B$80&lt;=1,ROUND($B$81*12,0)&gt;=1,$B$81&lt;=100,SUM($B$82)&gt;=0,SUM($B$82)&lt;=1,SUM($B$83)&gt;=0)),IF(B1524=0,0,IF(C1524=0,B1524/ROUND($B$81*12,0),B1524*(C1524/12)/(1-(1+C1524/12)^(-ROUND($B$81*12,0))))),IF(AND(NOT(AND(1124&gt;$B$173,$B$78="Refinance",ISNUMBER($B$80),$B$80&gt;=0,$B$80&lt;=1,ROUND($B$81*12,0)&gt;=1,$B$81&lt;=100,SUM($B$82)&gt;=0,SUM($B$82)&lt;=1,SUM($B$83)&gt;=0)),OR(1124=1,1124=$B$174+1,AND($B$175&gt;0,1124=$B$175+1))),IF(AND($B$170=1,$B$66&gt;0,OR($B$175=0,1124&lt;=$B$175)),$B$66,IF($B$172-MAX(1124-1,$B$174)&gt;0,IF(B1524=0,0,IF(C1524=0,B1524/($B$172-MAX(1124-1,$B$174)),B1524*(C1524/12)/(1-(1+C1524/12)^(-($B$172-MAX(1124-1,$B$174)))))),"")),D1523)))+0.0000001&gt;=B1524*C1524/12,MIN(B1524*(1+C1524/12),IF(AND(1124&lt;=$B$174,1124&lt;=$B$173),B1524*C1524/12,IF(AND(1124=$B$173+1,AND(1124&gt;$B$173,$B$78="Refinance",ISNUMBER($B$80),$B$80&gt;=0,$B$80&lt;=1,ROUND($B$81*12,0)&gt;=1,$B$81&lt;=100,SUM($B$82)&gt;=0,SUM($B$82)&lt;=1,SUM($B$83)&gt;=0)),IF(B1524=0,0,IF(C1524=0,B1524/ROUND($B$81*12,0),B1524*(C1524/12)/(1-(1+C1524/12)^(-ROUND($B$81*12,0))))),IF(AND(NOT(AND(1124&gt;$B$173,$B$78="Refinance",ISNUMBER($B$80),$B$80&gt;=0,$B$80&lt;=1,ROUND($B$81*12,0)&gt;=1,$B$81&lt;=100,SUM($B$82)&gt;=0,SUM($B$82)&lt;=1,SUM($B$83)&gt;=0)),OR(1124=1,1124=$B$174+1,AND($B$175&gt;0,1124=$B$175+1))),IF(AND($B$170=1,$B$66&gt;0,OR($B$175=0,1124&lt;=$B$175)),$B$66,IF($B$172-MAX(1124-1,$B$174)&gt;0,IF(B1524=0,0,IF(C1524=0,B1524/($B$172-MAX(1124-1,$B$174)),B1524*(C1524/12)/(1-(1+C1524/12)^(-($B$172-MAX(1124-1,$B$174)))))),"")),D1523)))),""),""))</x:f>
        <x:v>0</x:v>
      </x:c>
      <x:c r="E1524" s="441" t="n">
        <x:f>IF(AND(1124=$B$173,ISNUMBER(D1524)),IF(MAX(0,B1524*(1+C1524/12)-D1524)&lt;MAX(0.0000001,$E$17*0.00000000001),0,MAX(0,B1524*(1+C1524/12)-D1524)),0)</x:f>
        <x:v>0</x:v>
      </x:c>
      <x:c r="F1524" s="441" t="n">
        <x:f>IF($B$78="Cash payoff",E1524,0)</x:f>
        <x:v>0</x:v>
      </x:c>
      <x:c r="G1524" s="441" t="n">
        <x:f>IF(AND(E1524&gt;0,AND($B$78="Refinance",ISNUMBER($B$80),$B$80&gt;=0,$B$80&lt;=1,ROUND($B$81*12,0)&gt;=1,$B$81&lt;=100,SUM($B$82)&gt;=0,SUM($B$82)&lt;=1,SUM($B$83)&gt;=0)),E1524*SUM($B$82)+SUM($B$83),0)</x:f>
        <x:v>0</x:v>
      </x:c>
      <x:c r="H1524" s="441" t="n">
        <x:f>IF(ISNUMBER(D1524),IF(MAX(0,B1524*(1+C1524/12)-D1524-F1524)&lt;MAX(0.0000001,$E$17*0.00000000001),0,MAX(0,B1524*(1+C1524/12)-D1524-F1524)),IF(AND($B$171=1,I1523=1),B1524,""))</x:f>
        <x:v>0</x:v>
      </x:c>
      <x:c r="I1524" s="445" t="n">
        <x:f>IF(OR(I1523=1,AND(E1524&gt;0,$B$78&lt;&gt;"Cash payoff",NOT(AND($B$78="Refinance",ISNUMBER($B$80),$B$80&gt;=0,$B$80&lt;=1,ROUND($B$81*12,0)&gt;=1,$B$81&lt;=100,SUM($B$82)&gt;=0,SUM($B$82)&lt;=1,SUM($B$83)&gt;=0))),AND(ISNUMBER(B1524),B1524&gt;0,$B$171=1,NOT(ISNUMBER(D1524)))),1,0)</x:f>
        <x:v>0</x:v>
      </x:c>
      <x:c r="J1524" s="441" t="n">
        <x:f>IF(ISNUMBER(L1523),L1523,"")</x:f>
        <x:v>0</x:v>
      </x:c>
      <x:c r="K1524" s="441" t="n">
        <x:f>IF(AND(ISNUMBER(J1524),J1524=0),0,IF(AND($B$176=1,ISNUMBER(J1524)),MIN(J1524*(1+$B$87/12),IF($B$86=0,0,IF($B$87=0,$B$86/ROUND($B$88*12,0),$B$86*($B$87/12)/(1-(1+$B$87/12)^(-ROUND($B$88*12,0)))))),""))</x:f>
        <x:v>0</x:v>
      </x:c>
      <x:c r="L1524" s="441" t="n">
        <x:f>IF(ISNUMBER(K1524),IF(MAX(0,J1524*(1+SUM($B$87)/12)-K1524)&lt;MAX(0.0000001,$B$86*0.00000000001),0,MAX(0,J1524*(1+SUM($B$87)/12)-K1524)),"")</x:f>
        <x:v>0</x:v>
      </x:c>
      <x:c r="M1524" s="441" t="n">
        <x:f>IF(AND(ISNUMBER(D1524),ISNUMBER(K1524)),D1524+K1524,"")</x:f>
        <x:v>0</x:v>
      </x:c>
      <x:c r="N1524" s="441" t="n">
        <x:f>IF(AND(ISNUMBER(H1524),ISNUMBER(L1524)),H1524+L1524,"")</x:f>
        <x:v>0</x:v>
      </x:c>
    </x:row>
    <x:row r="1525">
      <x:c r="A1525" t="n">
        <x:f>1125</x:f>
        <x:v>1125</x:v>
      </x:c>
      <x:c r="B1525" s="441" t="n">
        <x:f>IF(ISNUMBER(H1524),H1524,"")</x:f>
        <x:v>0</x:v>
      </x:c>
      <x:c r="C1525" s="443" t="n">
        <x:f>IF(ISNUMBER(B1525),IF(AND(1125&gt;$B$173,$B$78="Refinance",ISNUMBER($B$80),$B$80&gt;=0,$B$80&lt;=1,ROUND($B$81*12,0)&gt;=1,$B$81&lt;=100,SUM($B$82)&gt;=0,SUM($B$82)&lt;=1,SUM($B$83)&gt;=0),$B$80,IF(AND($B$175&gt;0,1125&gt;$B$175,ISNUMBER($B$75)),$B$75,$B$61)),"")</x:f>
        <x:v>0.0625</x:v>
      </x:c>
      <x:c r="D1525" s="441" t="n">
        <x:f>IF(AND(ISNUMBER(B1525),B1525=0),0,IF(AND($B$171=1,I1524=0,ISNUMBER(C1525),ISNUMBER(IF(AND(1125&lt;=$B$174,1125&lt;=$B$173),B1525*C1525/12,IF(AND(1125=$B$173+1,AND(1125&gt;$B$173,$B$78="Refinance",ISNUMBER($B$80),$B$80&gt;=0,$B$80&lt;=1,ROUND($B$81*12,0)&gt;=1,$B$81&lt;=100,SUM($B$82)&gt;=0,SUM($B$82)&lt;=1,SUM($B$83)&gt;=0)),IF(B1525=0,0,IF(C1525=0,B1525/ROUND($B$81*12,0),B1525*(C1525/12)/(1-(1+C1525/12)^(-ROUND($B$81*12,0))))),IF(AND(NOT(AND(1125&gt;$B$173,$B$78="Refinance",ISNUMBER($B$80),$B$80&gt;=0,$B$80&lt;=1,ROUND($B$81*12,0)&gt;=1,$B$81&lt;=100,SUM($B$82)&gt;=0,SUM($B$82)&lt;=1,SUM($B$83)&gt;=0)),OR(1125=1,1125=$B$174+1,AND($B$175&gt;0,1125=$B$175+1))),IF(AND($B$170=1,$B$66&gt;0,OR($B$175=0,1125&lt;=$B$175)),$B$66,IF($B$172-MAX(1125-1,$B$174)&gt;0,IF(B1525=0,0,IF(C1525=0,B1525/($B$172-MAX(1125-1,$B$174)),B1525*(C1525/12)/(1-(1+C1525/12)^(-($B$172-MAX(1125-1,$B$174)))))),"")),D1524))))),IF(IF(AND(1125&lt;=$B$174,1125&lt;=$B$173),B1525*C1525/12,IF(AND(1125=$B$173+1,AND(1125&gt;$B$173,$B$78="Refinance",ISNUMBER($B$80),$B$80&gt;=0,$B$80&lt;=1,ROUND($B$81*12,0)&gt;=1,$B$81&lt;=100,SUM($B$82)&gt;=0,SUM($B$82)&lt;=1,SUM($B$83)&gt;=0)),IF(B1525=0,0,IF(C1525=0,B1525/ROUND($B$81*12,0),B1525*(C1525/12)/(1-(1+C1525/12)^(-ROUND($B$81*12,0))))),IF(AND(NOT(AND(1125&gt;$B$173,$B$78="Refinance",ISNUMBER($B$80),$B$80&gt;=0,$B$80&lt;=1,ROUND($B$81*12,0)&gt;=1,$B$81&lt;=100,SUM($B$82)&gt;=0,SUM($B$82)&lt;=1,SUM($B$83)&gt;=0)),OR(1125=1,1125=$B$174+1,AND($B$175&gt;0,1125=$B$175+1))),IF(AND($B$170=1,$B$66&gt;0,OR($B$175=0,1125&lt;=$B$175)),$B$66,IF($B$172-MAX(1125-1,$B$174)&gt;0,IF(B1525=0,0,IF(C1525=0,B1525/($B$172-MAX(1125-1,$B$174)),B1525*(C1525/12)/(1-(1+C1525/12)^(-($B$172-MAX(1125-1,$B$174)))))),"")),D1524)))+0.0000001&gt;=B1525*C1525/12,MIN(B1525*(1+C1525/12),IF(AND(1125&lt;=$B$174,1125&lt;=$B$173),B1525*C1525/12,IF(AND(1125=$B$173+1,AND(1125&gt;$B$173,$B$78="Refinance",ISNUMBER($B$80),$B$80&gt;=0,$B$80&lt;=1,ROUND($B$81*12,0)&gt;=1,$B$81&lt;=100,SUM($B$82)&gt;=0,SUM($B$82)&lt;=1,SUM($B$83)&gt;=0)),IF(B1525=0,0,IF(C1525=0,B1525/ROUND($B$81*12,0),B1525*(C1525/12)/(1-(1+C1525/12)^(-ROUND($B$81*12,0))))),IF(AND(NOT(AND(1125&gt;$B$173,$B$78="Refinance",ISNUMBER($B$80),$B$80&gt;=0,$B$80&lt;=1,ROUND($B$81*12,0)&gt;=1,$B$81&lt;=100,SUM($B$82)&gt;=0,SUM($B$82)&lt;=1,SUM($B$83)&gt;=0)),OR(1125=1,1125=$B$174+1,AND($B$175&gt;0,1125=$B$175+1))),IF(AND($B$170=1,$B$66&gt;0,OR($B$175=0,1125&lt;=$B$175)),$B$66,IF($B$172-MAX(1125-1,$B$174)&gt;0,IF(B1525=0,0,IF(C1525=0,B1525/($B$172-MAX(1125-1,$B$174)),B1525*(C1525/12)/(1-(1+C1525/12)^(-($B$172-MAX(1125-1,$B$174)))))),"")),D1524)))),""),""))</x:f>
        <x:v>0</x:v>
      </x:c>
      <x:c r="E1525" s="441" t="n">
        <x:f>IF(AND(1125=$B$173,ISNUMBER(D1525)),IF(MAX(0,B1525*(1+C1525/12)-D1525)&lt;MAX(0.0000001,$E$17*0.00000000001),0,MAX(0,B1525*(1+C1525/12)-D1525)),0)</x:f>
        <x:v>0</x:v>
      </x:c>
      <x:c r="F1525" s="441" t="n">
        <x:f>IF($B$78="Cash payoff",E1525,0)</x:f>
        <x:v>0</x:v>
      </x:c>
      <x:c r="G1525" s="441" t="n">
        <x:f>IF(AND(E1525&gt;0,AND($B$78="Refinance",ISNUMBER($B$80),$B$80&gt;=0,$B$80&lt;=1,ROUND($B$81*12,0)&gt;=1,$B$81&lt;=100,SUM($B$82)&gt;=0,SUM($B$82)&lt;=1,SUM($B$83)&gt;=0)),E1525*SUM($B$82)+SUM($B$83),0)</x:f>
        <x:v>0</x:v>
      </x:c>
      <x:c r="H1525" s="441" t="n">
        <x:f>IF(ISNUMBER(D1525),IF(MAX(0,B1525*(1+C1525/12)-D1525-F1525)&lt;MAX(0.0000001,$E$17*0.00000000001),0,MAX(0,B1525*(1+C1525/12)-D1525-F1525)),IF(AND($B$171=1,I1524=1),B1525,""))</x:f>
        <x:v>0</x:v>
      </x:c>
      <x:c r="I1525" s="445" t="n">
        <x:f>IF(OR(I1524=1,AND(E1525&gt;0,$B$78&lt;&gt;"Cash payoff",NOT(AND($B$78="Refinance",ISNUMBER($B$80),$B$80&gt;=0,$B$80&lt;=1,ROUND($B$81*12,0)&gt;=1,$B$81&lt;=100,SUM($B$82)&gt;=0,SUM($B$82)&lt;=1,SUM($B$83)&gt;=0))),AND(ISNUMBER(B1525),B1525&gt;0,$B$171=1,NOT(ISNUMBER(D1525)))),1,0)</x:f>
        <x:v>0</x:v>
      </x:c>
      <x:c r="J1525" s="441" t="n">
        <x:f>IF(ISNUMBER(L1524),L1524,"")</x:f>
        <x:v>0</x:v>
      </x:c>
      <x:c r="K1525" s="441" t="n">
        <x:f>IF(AND(ISNUMBER(J1525),J1525=0),0,IF(AND($B$176=1,ISNUMBER(J1525)),MIN(J1525*(1+$B$87/12),IF($B$86=0,0,IF($B$87=0,$B$86/ROUND($B$88*12,0),$B$86*($B$87/12)/(1-(1+$B$87/12)^(-ROUND($B$88*12,0)))))),""))</x:f>
        <x:v>0</x:v>
      </x:c>
      <x:c r="L1525" s="441" t="n">
        <x:f>IF(ISNUMBER(K1525),IF(MAX(0,J1525*(1+SUM($B$87)/12)-K1525)&lt;MAX(0.0000001,$B$86*0.00000000001),0,MAX(0,J1525*(1+SUM($B$87)/12)-K1525)),"")</x:f>
        <x:v>0</x:v>
      </x:c>
      <x:c r="M1525" s="441" t="n">
        <x:f>IF(AND(ISNUMBER(D1525),ISNUMBER(K1525)),D1525+K1525,"")</x:f>
        <x:v>0</x:v>
      </x:c>
      <x:c r="N1525" s="441" t="n">
        <x:f>IF(AND(ISNUMBER(H1525),ISNUMBER(L1525)),H1525+L1525,"")</x:f>
        <x:v>0</x:v>
      </x:c>
    </x:row>
    <x:row r="1526">
      <x:c r="A1526" t="n">
        <x:f>1126</x:f>
        <x:v>1126</x:v>
      </x:c>
      <x:c r="B1526" s="441" t="n">
        <x:f>IF(ISNUMBER(H1525),H1525,"")</x:f>
        <x:v>0</x:v>
      </x:c>
      <x:c r="C1526" s="443" t="n">
        <x:f>IF(ISNUMBER(B1526),IF(AND(1126&gt;$B$173,$B$78="Refinance",ISNUMBER($B$80),$B$80&gt;=0,$B$80&lt;=1,ROUND($B$81*12,0)&gt;=1,$B$81&lt;=100,SUM($B$82)&gt;=0,SUM($B$82)&lt;=1,SUM($B$83)&gt;=0),$B$80,IF(AND($B$175&gt;0,1126&gt;$B$175,ISNUMBER($B$75)),$B$75,$B$61)),"")</x:f>
        <x:v>0.0625</x:v>
      </x:c>
      <x:c r="D1526" s="441" t="n">
        <x:f>IF(AND(ISNUMBER(B1526),B1526=0),0,IF(AND($B$171=1,I1525=0,ISNUMBER(C1526),ISNUMBER(IF(AND(1126&lt;=$B$174,1126&lt;=$B$173),B1526*C1526/12,IF(AND(1126=$B$173+1,AND(1126&gt;$B$173,$B$78="Refinance",ISNUMBER($B$80),$B$80&gt;=0,$B$80&lt;=1,ROUND($B$81*12,0)&gt;=1,$B$81&lt;=100,SUM($B$82)&gt;=0,SUM($B$82)&lt;=1,SUM($B$83)&gt;=0)),IF(B1526=0,0,IF(C1526=0,B1526/ROUND($B$81*12,0),B1526*(C1526/12)/(1-(1+C1526/12)^(-ROUND($B$81*12,0))))),IF(AND(NOT(AND(1126&gt;$B$173,$B$78="Refinance",ISNUMBER($B$80),$B$80&gt;=0,$B$80&lt;=1,ROUND($B$81*12,0)&gt;=1,$B$81&lt;=100,SUM($B$82)&gt;=0,SUM($B$82)&lt;=1,SUM($B$83)&gt;=0)),OR(1126=1,1126=$B$174+1,AND($B$175&gt;0,1126=$B$175+1))),IF(AND($B$170=1,$B$66&gt;0,OR($B$175=0,1126&lt;=$B$175)),$B$66,IF($B$172-MAX(1126-1,$B$174)&gt;0,IF(B1526=0,0,IF(C1526=0,B1526/($B$172-MAX(1126-1,$B$174)),B1526*(C1526/12)/(1-(1+C1526/12)^(-($B$172-MAX(1126-1,$B$174)))))),"")),D1525))))),IF(IF(AND(1126&lt;=$B$174,1126&lt;=$B$173),B1526*C1526/12,IF(AND(1126=$B$173+1,AND(1126&gt;$B$173,$B$78="Refinance",ISNUMBER($B$80),$B$80&gt;=0,$B$80&lt;=1,ROUND($B$81*12,0)&gt;=1,$B$81&lt;=100,SUM($B$82)&gt;=0,SUM($B$82)&lt;=1,SUM($B$83)&gt;=0)),IF(B1526=0,0,IF(C1526=0,B1526/ROUND($B$81*12,0),B1526*(C1526/12)/(1-(1+C1526/12)^(-ROUND($B$81*12,0))))),IF(AND(NOT(AND(1126&gt;$B$173,$B$78="Refinance",ISNUMBER($B$80),$B$80&gt;=0,$B$80&lt;=1,ROUND($B$81*12,0)&gt;=1,$B$81&lt;=100,SUM($B$82)&gt;=0,SUM($B$82)&lt;=1,SUM($B$83)&gt;=0)),OR(1126=1,1126=$B$174+1,AND($B$175&gt;0,1126=$B$175+1))),IF(AND($B$170=1,$B$66&gt;0,OR($B$175=0,1126&lt;=$B$175)),$B$66,IF($B$172-MAX(1126-1,$B$174)&gt;0,IF(B1526=0,0,IF(C1526=0,B1526/($B$172-MAX(1126-1,$B$174)),B1526*(C1526/12)/(1-(1+C1526/12)^(-($B$172-MAX(1126-1,$B$174)))))),"")),D1525)))+0.0000001&gt;=B1526*C1526/12,MIN(B1526*(1+C1526/12),IF(AND(1126&lt;=$B$174,1126&lt;=$B$173),B1526*C1526/12,IF(AND(1126=$B$173+1,AND(1126&gt;$B$173,$B$78="Refinance",ISNUMBER($B$80),$B$80&gt;=0,$B$80&lt;=1,ROUND($B$81*12,0)&gt;=1,$B$81&lt;=100,SUM($B$82)&gt;=0,SUM($B$82)&lt;=1,SUM($B$83)&gt;=0)),IF(B1526=0,0,IF(C1526=0,B1526/ROUND($B$81*12,0),B1526*(C1526/12)/(1-(1+C1526/12)^(-ROUND($B$81*12,0))))),IF(AND(NOT(AND(1126&gt;$B$173,$B$78="Refinance",ISNUMBER($B$80),$B$80&gt;=0,$B$80&lt;=1,ROUND($B$81*12,0)&gt;=1,$B$81&lt;=100,SUM($B$82)&gt;=0,SUM($B$82)&lt;=1,SUM($B$83)&gt;=0)),OR(1126=1,1126=$B$174+1,AND($B$175&gt;0,1126=$B$175+1))),IF(AND($B$170=1,$B$66&gt;0,OR($B$175=0,1126&lt;=$B$175)),$B$66,IF($B$172-MAX(1126-1,$B$174)&gt;0,IF(B1526=0,0,IF(C1526=0,B1526/($B$172-MAX(1126-1,$B$174)),B1526*(C1526/12)/(1-(1+C1526/12)^(-($B$172-MAX(1126-1,$B$174)))))),"")),D1525)))),""),""))</x:f>
        <x:v>0</x:v>
      </x:c>
      <x:c r="E1526" s="441" t="n">
        <x:f>IF(AND(1126=$B$173,ISNUMBER(D1526)),IF(MAX(0,B1526*(1+C1526/12)-D1526)&lt;MAX(0.0000001,$E$17*0.00000000001),0,MAX(0,B1526*(1+C1526/12)-D1526)),0)</x:f>
        <x:v>0</x:v>
      </x:c>
      <x:c r="F1526" s="441" t="n">
        <x:f>IF($B$78="Cash payoff",E1526,0)</x:f>
        <x:v>0</x:v>
      </x:c>
      <x:c r="G1526" s="441" t="n">
        <x:f>IF(AND(E1526&gt;0,AND($B$78="Refinance",ISNUMBER($B$80),$B$80&gt;=0,$B$80&lt;=1,ROUND($B$81*12,0)&gt;=1,$B$81&lt;=100,SUM($B$82)&gt;=0,SUM($B$82)&lt;=1,SUM($B$83)&gt;=0)),E1526*SUM($B$82)+SUM($B$83),0)</x:f>
        <x:v>0</x:v>
      </x:c>
      <x:c r="H1526" s="441" t="n">
        <x:f>IF(ISNUMBER(D1526),IF(MAX(0,B1526*(1+C1526/12)-D1526-F1526)&lt;MAX(0.0000001,$E$17*0.00000000001),0,MAX(0,B1526*(1+C1526/12)-D1526-F1526)),IF(AND($B$171=1,I1525=1),B1526,""))</x:f>
        <x:v>0</x:v>
      </x:c>
      <x:c r="I1526" s="445" t="n">
        <x:f>IF(OR(I1525=1,AND(E1526&gt;0,$B$78&lt;&gt;"Cash payoff",NOT(AND($B$78="Refinance",ISNUMBER($B$80),$B$80&gt;=0,$B$80&lt;=1,ROUND($B$81*12,0)&gt;=1,$B$81&lt;=100,SUM($B$82)&gt;=0,SUM($B$82)&lt;=1,SUM($B$83)&gt;=0))),AND(ISNUMBER(B1526),B1526&gt;0,$B$171=1,NOT(ISNUMBER(D1526)))),1,0)</x:f>
        <x:v>0</x:v>
      </x:c>
      <x:c r="J1526" s="441" t="n">
        <x:f>IF(ISNUMBER(L1525),L1525,"")</x:f>
        <x:v>0</x:v>
      </x:c>
      <x:c r="K1526" s="441" t="n">
        <x:f>IF(AND(ISNUMBER(J1526),J1526=0),0,IF(AND($B$176=1,ISNUMBER(J1526)),MIN(J1526*(1+$B$87/12),IF($B$86=0,0,IF($B$87=0,$B$86/ROUND($B$88*12,0),$B$86*($B$87/12)/(1-(1+$B$87/12)^(-ROUND($B$88*12,0)))))),""))</x:f>
        <x:v>0</x:v>
      </x:c>
      <x:c r="L1526" s="441" t="n">
        <x:f>IF(ISNUMBER(K1526),IF(MAX(0,J1526*(1+SUM($B$87)/12)-K1526)&lt;MAX(0.0000001,$B$86*0.00000000001),0,MAX(0,J1526*(1+SUM($B$87)/12)-K1526)),"")</x:f>
        <x:v>0</x:v>
      </x:c>
      <x:c r="M1526" s="441" t="n">
        <x:f>IF(AND(ISNUMBER(D1526),ISNUMBER(K1526)),D1526+K1526,"")</x:f>
        <x:v>0</x:v>
      </x:c>
      <x:c r="N1526" s="441" t="n">
        <x:f>IF(AND(ISNUMBER(H1526),ISNUMBER(L1526)),H1526+L1526,"")</x:f>
        <x:v>0</x:v>
      </x:c>
    </x:row>
    <x:row r="1527">
      <x:c r="A1527" t="n">
        <x:f>1127</x:f>
        <x:v>1127</x:v>
      </x:c>
      <x:c r="B1527" s="441" t="n">
        <x:f>IF(ISNUMBER(H1526),H1526,"")</x:f>
        <x:v>0</x:v>
      </x:c>
      <x:c r="C1527" s="443" t="n">
        <x:f>IF(ISNUMBER(B1527),IF(AND(1127&gt;$B$173,$B$78="Refinance",ISNUMBER($B$80),$B$80&gt;=0,$B$80&lt;=1,ROUND($B$81*12,0)&gt;=1,$B$81&lt;=100,SUM($B$82)&gt;=0,SUM($B$82)&lt;=1,SUM($B$83)&gt;=0),$B$80,IF(AND($B$175&gt;0,1127&gt;$B$175,ISNUMBER($B$75)),$B$75,$B$61)),"")</x:f>
        <x:v>0.0625</x:v>
      </x:c>
      <x:c r="D1527" s="441" t="n">
        <x:f>IF(AND(ISNUMBER(B1527),B1527=0),0,IF(AND($B$171=1,I1526=0,ISNUMBER(C1527),ISNUMBER(IF(AND(1127&lt;=$B$174,1127&lt;=$B$173),B1527*C1527/12,IF(AND(1127=$B$173+1,AND(1127&gt;$B$173,$B$78="Refinance",ISNUMBER($B$80),$B$80&gt;=0,$B$80&lt;=1,ROUND($B$81*12,0)&gt;=1,$B$81&lt;=100,SUM($B$82)&gt;=0,SUM($B$82)&lt;=1,SUM($B$83)&gt;=0)),IF(B1527=0,0,IF(C1527=0,B1527/ROUND($B$81*12,0),B1527*(C1527/12)/(1-(1+C1527/12)^(-ROUND($B$81*12,0))))),IF(AND(NOT(AND(1127&gt;$B$173,$B$78="Refinance",ISNUMBER($B$80),$B$80&gt;=0,$B$80&lt;=1,ROUND($B$81*12,0)&gt;=1,$B$81&lt;=100,SUM($B$82)&gt;=0,SUM($B$82)&lt;=1,SUM($B$83)&gt;=0)),OR(1127=1,1127=$B$174+1,AND($B$175&gt;0,1127=$B$175+1))),IF(AND($B$170=1,$B$66&gt;0,OR($B$175=0,1127&lt;=$B$175)),$B$66,IF($B$172-MAX(1127-1,$B$174)&gt;0,IF(B1527=0,0,IF(C1527=0,B1527/($B$172-MAX(1127-1,$B$174)),B1527*(C1527/12)/(1-(1+C1527/12)^(-($B$172-MAX(1127-1,$B$174)))))),"")),D1526))))),IF(IF(AND(1127&lt;=$B$174,1127&lt;=$B$173),B1527*C1527/12,IF(AND(1127=$B$173+1,AND(1127&gt;$B$173,$B$78="Refinance",ISNUMBER($B$80),$B$80&gt;=0,$B$80&lt;=1,ROUND($B$81*12,0)&gt;=1,$B$81&lt;=100,SUM($B$82)&gt;=0,SUM($B$82)&lt;=1,SUM($B$83)&gt;=0)),IF(B1527=0,0,IF(C1527=0,B1527/ROUND($B$81*12,0),B1527*(C1527/12)/(1-(1+C1527/12)^(-ROUND($B$81*12,0))))),IF(AND(NOT(AND(1127&gt;$B$173,$B$78="Refinance",ISNUMBER($B$80),$B$80&gt;=0,$B$80&lt;=1,ROUND($B$81*12,0)&gt;=1,$B$81&lt;=100,SUM($B$82)&gt;=0,SUM($B$82)&lt;=1,SUM($B$83)&gt;=0)),OR(1127=1,1127=$B$174+1,AND($B$175&gt;0,1127=$B$175+1))),IF(AND($B$170=1,$B$66&gt;0,OR($B$175=0,1127&lt;=$B$175)),$B$66,IF($B$172-MAX(1127-1,$B$174)&gt;0,IF(B1527=0,0,IF(C1527=0,B1527/($B$172-MAX(1127-1,$B$174)),B1527*(C1527/12)/(1-(1+C1527/12)^(-($B$172-MAX(1127-1,$B$174)))))),"")),D1526)))+0.0000001&gt;=B1527*C1527/12,MIN(B1527*(1+C1527/12),IF(AND(1127&lt;=$B$174,1127&lt;=$B$173),B1527*C1527/12,IF(AND(1127=$B$173+1,AND(1127&gt;$B$173,$B$78="Refinance",ISNUMBER($B$80),$B$80&gt;=0,$B$80&lt;=1,ROUND($B$81*12,0)&gt;=1,$B$81&lt;=100,SUM($B$82)&gt;=0,SUM($B$82)&lt;=1,SUM($B$83)&gt;=0)),IF(B1527=0,0,IF(C1527=0,B1527/ROUND($B$81*12,0),B1527*(C1527/12)/(1-(1+C1527/12)^(-ROUND($B$81*12,0))))),IF(AND(NOT(AND(1127&gt;$B$173,$B$78="Refinance",ISNUMBER($B$80),$B$80&gt;=0,$B$80&lt;=1,ROUND($B$81*12,0)&gt;=1,$B$81&lt;=100,SUM($B$82)&gt;=0,SUM($B$82)&lt;=1,SUM($B$83)&gt;=0)),OR(1127=1,1127=$B$174+1,AND($B$175&gt;0,1127=$B$175+1))),IF(AND($B$170=1,$B$66&gt;0,OR($B$175=0,1127&lt;=$B$175)),$B$66,IF($B$172-MAX(1127-1,$B$174)&gt;0,IF(B1527=0,0,IF(C1527=0,B1527/($B$172-MAX(1127-1,$B$174)),B1527*(C1527/12)/(1-(1+C1527/12)^(-($B$172-MAX(1127-1,$B$174)))))),"")),D1526)))),""),""))</x:f>
        <x:v>0</x:v>
      </x:c>
      <x:c r="E1527" s="441" t="n">
        <x:f>IF(AND(1127=$B$173,ISNUMBER(D1527)),IF(MAX(0,B1527*(1+C1527/12)-D1527)&lt;MAX(0.0000001,$E$17*0.00000000001),0,MAX(0,B1527*(1+C1527/12)-D1527)),0)</x:f>
        <x:v>0</x:v>
      </x:c>
      <x:c r="F1527" s="441" t="n">
        <x:f>IF($B$78="Cash payoff",E1527,0)</x:f>
        <x:v>0</x:v>
      </x:c>
      <x:c r="G1527" s="441" t="n">
        <x:f>IF(AND(E1527&gt;0,AND($B$78="Refinance",ISNUMBER($B$80),$B$80&gt;=0,$B$80&lt;=1,ROUND($B$81*12,0)&gt;=1,$B$81&lt;=100,SUM($B$82)&gt;=0,SUM($B$82)&lt;=1,SUM($B$83)&gt;=0)),E1527*SUM($B$82)+SUM($B$83),0)</x:f>
        <x:v>0</x:v>
      </x:c>
      <x:c r="H1527" s="441" t="n">
        <x:f>IF(ISNUMBER(D1527),IF(MAX(0,B1527*(1+C1527/12)-D1527-F1527)&lt;MAX(0.0000001,$E$17*0.00000000001),0,MAX(0,B1527*(1+C1527/12)-D1527-F1527)),IF(AND($B$171=1,I1526=1),B1527,""))</x:f>
        <x:v>0</x:v>
      </x:c>
      <x:c r="I1527" s="445" t="n">
        <x:f>IF(OR(I1526=1,AND(E1527&gt;0,$B$78&lt;&gt;"Cash payoff",NOT(AND($B$78="Refinance",ISNUMBER($B$80),$B$80&gt;=0,$B$80&lt;=1,ROUND($B$81*12,0)&gt;=1,$B$81&lt;=100,SUM($B$82)&gt;=0,SUM($B$82)&lt;=1,SUM($B$83)&gt;=0))),AND(ISNUMBER(B1527),B1527&gt;0,$B$171=1,NOT(ISNUMBER(D1527)))),1,0)</x:f>
        <x:v>0</x:v>
      </x:c>
      <x:c r="J1527" s="441" t="n">
        <x:f>IF(ISNUMBER(L1526),L1526,"")</x:f>
        <x:v>0</x:v>
      </x:c>
      <x:c r="K1527" s="441" t="n">
        <x:f>IF(AND(ISNUMBER(J1527),J1527=0),0,IF(AND($B$176=1,ISNUMBER(J1527)),MIN(J1527*(1+$B$87/12),IF($B$86=0,0,IF($B$87=0,$B$86/ROUND($B$88*12,0),$B$86*($B$87/12)/(1-(1+$B$87/12)^(-ROUND($B$88*12,0)))))),""))</x:f>
        <x:v>0</x:v>
      </x:c>
      <x:c r="L1527" s="441" t="n">
        <x:f>IF(ISNUMBER(K1527),IF(MAX(0,J1527*(1+SUM($B$87)/12)-K1527)&lt;MAX(0.0000001,$B$86*0.00000000001),0,MAX(0,J1527*(1+SUM($B$87)/12)-K1527)),"")</x:f>
        <x:v>0</x:v>
      </x:c>
      <x:c r="M1527" s="441" t="n">
        <x:f>IF(AND(ISNUMBER(D1527),ISNUMBER(K1527)),D1527+K1527,"")</x:f>
        <x:v>0</x:v>
      </x:c>
      <x:c r="N1527" s="441" t="n">
        <x:f>IF(AND(ISNUMBER(H1527),ISNUMBER(L1527)),H1527+L1527,"")</x:f>
        <x:v>0</x:v>
      </x:c>
    </x:row>
    <x:row r="1528">
      <x:c r="A1528" t="n">
        <x:f>1128</x:f>
        <x:v>1128</x:v>
      </x:c>
      <x:c r="B1528" s="441" t="n">
        <x:f>IF(ISNUMBER(H1527),H1527,"")</x:f>
        <x:v>0</x:v>
      </x:c>
      <x:c r="C1528" s="443" t="n">
        <x:f>IF(ISNUMBER(B1528),IF(AND(1128&gt;$B$173,$B$78="Refinance",ISNUMBER($B$80),$B$80&gt;=0,$B$80&lt;=1,ROUND($B$81*12,0)&gt;=1,$B$81&lt;=100,SUM($B$82)&gt;=0,SUM($B$82)&lt;=1,SUM($B$83)&gt;=0),$B$80,IF(AND($B$175&gt;0,1128&gt;$B$175,ISNUMBER($B$75)),$B$75,$B$61)),"")</x:f>
        <x:v>0.0625</x:v>
      </x:c>
      <x:c r="D1528" s="441" t="n">
        <x:f>IF(AND(ISNUMBER(B1528),B1528=0),0,IF(AND($B$171=1,I1527=0,ISNUMBER(C1528),ISNUMBER(IF(AND(1128&lt;=$B$174,1128&lt;=$B$173),B1528*C1528/12,IF(AND(1128=$B$173+1,AND(1128&gt;$B$173,$B$78="Refinance",ISNUMBER($B$80),$B$80&gt;=0,$B$80&lt;=1,ROUND($B$81*12,0)&gt;=1,$B$81&lt;=100,SUM($B$82)&gt;=0,SUM($B$82)&lt;=1,SUM($B$83)&gt;=0)),IF(B1528=0,0,IF(C1528=0,B1528/ROUND($B$81*12,0),B1528*(C1528/12)/(1-(1+C1528/12)^(-ROUND($B$81*12,0))))),IF(AND(NOT(AND(1128&gt;$B$173,$B$78="Refinance",ISNUMBER($B$80),$B$80&gt;=0,$B$80&lt;=1,ROUND($B$81*12,0)&gt;=1,$B$81&lt;=100,SUM($B$82)&gt;=0,SUM($B$82)&lt;=1,SUM($B$83)&gt;=0)),OR(1128=1,1128=$B$174+1,AND($B$175&gt;0,1128=$B$175+1))),IF(AND($B$170=1,$B$66&gt;0,OR($B$175=0,1128&lt;=$B$175)),$B$66,IF($B$172-MAX(1128-1,$B$174)&gt;0,IF(B1528=0,0,IF(C1528=0,B1528/($B$172-MAX(1128-1,$B$174)),B1528*(C1528/12)/(1-(1+C1528/12)^(-($B$172-MAX(1128-1,$B$174)))))),"")),D1527))))),IF(IF(AND(1128&lt;=$B$174,1128&lt;=$B$173),B1528*C1528/12,IF(AND(1128=$B$173+1,AND(1128&gt;$B$173,$B$78="Refinance",ISNUMBER($B$80),$B$80&gt;=0,$B$80&lt;=1,ROUND($B$81*12,0)&gt;=1,$B$81&lt;=100,SUM($B$82)&gt;=0,SUM($B$82)&lt;=1,SUM($B$83)&gt;=0)),IF(B1528=0,0,IF(C1528=0,B1528/ROUND($B$81*12,0),B1528*(C1528/12)/(1-(1+C1528/12)^(-ROUND($B$81*12,0))))),IF(AND(NOT(AND(1128&gt;$B$173,$B$78="Refinance",ISNUMBER($B$80),$B$80&gt;=0,$B$80&lt;=1,ROUND($B$81*12,0)&gt;=1,$B$81&lt;=100,SUM($B$82)&gt;=0,SUM($B$82)&lt;=1,SUM($B$83)&gt;=0)),OR(1128=1,1128=$B$174+1,AND($B$175&gt;0,1128=$B$175+1))),IF(AND($B$170=1,$B$66&gt;0,OR($B$175=0,1128&lt;=$B$175)),$B$66,IF($B$172-MAX(1128-1,$B$174)&gt;0,IF(B1528=0,0,IF(C1528=0,B1528/($B$172-MAX(1128-1,$B$174)),B1528*(C1528/12)/(1-(1+C1528/12)^(-($B$172-MAX(1128-1,$B$174)))))),"")),D1527)))+0.0000001&gt;=B1528*C1528/12,MIN(B1528*(1+C1528/12),IF(AND(1128&lt;=$B$174,1128&lt;=$B$173),B1528*C1528/12,IF(AND(1128=$B$173+1,AND(1128&gt;$B$173,$B$78="Refinance",ISNUMBER($B$80),$B$80&gt;=0,$B$80&lt;=1,ROUND($B$81*12,0)&gt;=1,$B$81&lt;=100,SUM($B$82)&gt;=0,SUM($B$82)&lt;=1,SUM($B$83)&gt;=0)),IF(B1528=0,0,IF(C1528=0,B1528/ROUND($B$81*12,0),B1528*(C1528/12)/(1-(1+C1528/12)^(-ROUND($B$81*12,0))))),IF(AND(NOT(AND(1128&gt;$B$173,$B$78="Refinance",ISNUMBER($B$80),$B$80&gt;=0,$B$80&lt;=1,ROUND($B$81*12,0)&gt;=1,$B$81&lt;=100,SUM($B$82)&gt;=0,SUM($B$82)&lt;=1,SUM($B$83)&gt;=0)),OR(1128=1,1128=$B$174+1,AND($B$175&gt;0,1128=$B$175+1))),IF(AND($B$170=1,$B$66&gt;0,OR($B$175=0,1128&lt;=$B$175)),$B$66,IF($B$172-MAX(1128-1,$B$174)&gt;0,IF(B1528=0,0,IF(C1528=0,B1528/($B$172-MAX(1128-1,$B$174)),B1528*(C1528/12)/(1-(1+C1528/12)^(-($B$172-MAX(1128-1,$B$174)))))),"")),D1527)))),""),""))</x:f>
        <x:v>0</x:v>
      </x:c>
      <x:c r="E1528" s="441" t="n">
        <x:f>IF(AND(1128=$B$173,ISNUMBER(D1528)),IF(MAX(0,B1528*(1+C1528/12)-D1528)&lt;MAX(0.0000001,$E$17*0.00000000001),0,MAX(0,B1528*(1+C1528/12)-D1528)),0)</x:f>
        <x:v>0</x:v>
      </x:c>
      <x:c r="F1528" s="441" t="n">
        <x:f>IF($B$78="Cash payoff",E1528,0)</x:f>
        <x:v>0</x:v>
      </x:c>
      <x:c r="G1528" s="441" t="n">
        <x:f>IF(AND(E1528&gt;0,AND($B$78="Refinance",ISNUMBER($B$80),$B$80&gt;=0,$B$80&lt;=1,ROUND($B$81*12,0)&gt;=1,$B$81&lt;=100,SUM($B$82)&gt;=0,SUM($B$82)&lt;=1,SUM($B$83)&gt;=0)),E1528*SUM($B$82)+SUM($B$83),0)</x:f>
        <x:v>0</x:v>
      </x:c>
      <x:c r="H1528" s="441" t="n">
        <x:f>IF(ISNUMBER(D1528),IF(MAX(0,B1528*(1+C1528/12)-D1528-F1528)&lt;MAX(0.0000001,$E$17*0.00000000001),0,MAX(0,B1528*(1+C1528/12)-D1528-F1528)),IF(AND($B$171=1,I1527=1),B1528,""))</x:f>
        <x:v>0</x:v>
      </x:c>
      <x:c r="I1528" s="445" t="n">
        <x:f>IF(OR(I1527=1,AND(E1528&gt;0,$B$78&lt;&gt;"Cash payoff",NOT(AND($B$78="Refinance",ISNUMBER($B$80),$B$80&gt;=0,$B$80&lt;=1,ROUND($B$81*12,0)&gt;=1,$B$81&lt;=100,SUM($B$82)&gt;=0,SUM($B$82)&lt;=1,SUM($B$83)&gt;=0))),AND(ISNUMBER(B1528),B1528&gt;0,$B$171=1,NOT(ISNUMBER(D1528)))),1,0)</x:f>
        <x:v>0</x:v>
      </x:c>
      <x:c r="J1528" s="441" t="n">
        <x:f>IF(ISNUMBER(L1527),L1527,"")</x:f>
        <x:v>0</x:v>
      </x:c>
      <x:c r="K1528" s="441" t="n">
        <x:f>IF(AND(ISNUMBER(J1528),J1528=0),0,IF(AND($B$176=1,ISNUMBER(J1528)),MIN(J1528*(1+$B$87/12),IF($B$86=0,0,IF($B$87=0,$B$86/ROUND($B$88*12,0),$B$86*($B$87/12)/(1-(1+$B$87/12)^(-ROUND($B$88*12,0)))))),""))</x:f>
        <x:v>0</x:v>
      </x:c>
      <x:c r="L1528" s="441" t="n">
        <x:f>IF(ISNUMBER(K1528),IF(MAX(0,J1528*(1+SUM($B$87)/12)-K1528)&lt;MAX(0.0000001,$B$86*0.00000000001),0,MAX(0,J1528*(1+SUM($B$87)/12)-K1528)),"")</x:f>
        <x:v>0</x:v>
      </x:c>
      <x:c r="M1528" s="441" t="n">
        <x:f>IF(AND(ISNUMBER(D1528),ISNUMBER(K1528)),D1528+K1528,"")</x:f>
        <x:v>0</x:v>
      </x:c>
      <x:c r="N1528" s="441" t="n">
        <x:f>IF(AND(ISNUMBER(H1528),ISNUMBER(L1528)),H1528+L1528,"")</x:f>
        <x:v>0</x:v>
      </x:c>
    </x:row>
    <x:row r="1529">
      <x:c r="A1529" t="n">
        <x:f>1129</x:f>
        <x:v>1129</x:v>
      </x:c>
      <x:c r="B1529" s="441" t="n">
        <x:f>IF(ISNUMBER(H1528),H1528,"")</x:f>
        <x:v>0</x:v>
      </x:c>
      <x:c r="C1529" s="443" t="n">
        <x:f>IF(ISNUMBER(B1529),IF(AND(1129&gt;$B$173,$B$78="Refinance",ISNUMBER($B$80),$B$80&gt;=0,$B$80&lt;=1,ROUND($B$81*12,0)&gt;=1,$B$81&lt;=100,SUM($B$82)&gt;=0,SUM($B$82)&lt;=1,SUM($B$83)&gt;=0),$B$80,IF(AND($B$175&gt;0,1129&gt;$B$175,ISNUMBER($B$75)),$B$75,$B$61)),"")</x:f>
        <x:v>0.0625</x:v>
      </x:c>
      <x:c r="D1529" s="441" t="n">
        <x:f>IF(AND(ISNUMBER(B1529),B1529=0),0,IF(AND($B$171=1,I1528=0,ISNUMBER(C1529),ISNUMBER(IF(AND(1129&lt;=$B$174,1129&lt;=$B$173),B1529*C1529/12,IF(AND(1129=$B$173+1,AND(1129&gt;$B$173,$B$78="Refinance",ISNUMBER($B$80),$B$80&gt;=0,$B$80&lt;=1,ROUND($B$81*12,0)&gt;=1,$B$81&lt;=100,SUM($B$82)&gt;=0,SUM($B$82)&lt;=1,SUM($B$83)&gt;=0)),IF(B1529=0,0,IF(C1529=0,B1529/ROUND($B$81*12,0),B1529*(C1529/12)/(1-(1+C1529/12)^(-ROUND($B$81*12,0))))),IF(AND(NOT(AND(1129&gt;$B$173,$B$78="Refinance",ISNUMBER($B$80),$B$80&gt;=0,$B$80&lt;=1,ROUND($B$81*12,0)&gt;=1,$B$81&lt;=100,SUM($B$82)&gt;=0,SUM($B$82)&lt;=1,SUM($B$83)&gt;=0)),OR(1129=1,1129=$B$174+1,AND($B$175&gt;0,1129=$B$175+1))),IF(AND($B$170=1,$B$66&gt;0,OR($B$175=0,1129&lt;=$B$175)),$B$66,IF($B$172-MAX(1129-1,$B$174)&gt;0,IF(B1529=0,0,IF(C1529=0,B1529/($B$172-MAX(1129-1,$B$174)),B1529*(C1529/12)/(1-(1+C1529/12)^(-($B$172-MAX(1129-1,$B$174)))))),"")),D1528))))),IF(IF(AND(1129&lt;=$B$174,1129&lt;=$B$173),B1529*C1529/12,IF(AND(1129=$B$173+1,AND(1129&gt;$B$173,$B$78="Refinance",ISNUMBER($B$80),$B$80&gt;=0,$B$80&lt;=1,ROUND($B$81*12,0)&gt;=1,$B$81&lt;=100,SUM($B$82)&gt;=0,SUM($B$82)&lt;=1,SUM($B$83)&gt;=0)),IF(B1529=0,0,IF(C1529=0,B1529/ROUND($B$81*12,0),B1529*(C1529/12)/(1-(1+C1529/12)^(-ROUND($B$81*12,0))))),IF(AND(NOT(AND(1129&gt;$B$173,$B$78="Refinance",ISNUMBER($B$80),$B$80&gt;=0,$B$80&lt;=1,ROUND($B$81*12,0)&gt;=1,$B$81&lt;=100,SUM($B$82)&gt;=0,SUM($B$82)&lt;=1,SUM($B$83)&gt;=0)),OR(1129=1,1129=$B$174+1,AND($B$175&gt;0,1129=$B$175+1))),IF(AND($B$170=1,$B$66&gt;0,OR($B$175=0,1129&lt;=$B$175)),$B$66,IF($B$172-MAX(1129-1,$B$174)&gt;0,IF(B1529=0,0,IF(C1529=0,B1529/($B$172-MAX(1129-1,$B$174)),B1529*(C1529/12)/(1-(1+C1529/12)^(-($B$172-MAX(1129-1,$B$174)))))),"")),D1528)))+0.0000001&gt;=B1529*C1529/12,MIN(B1529*(1+C1529/12),IF(AND(1129&lt;=$B$174,1129&lt;=$B$173),B1529*C1529/12,IF(AND(1129=$B$173+1,AND(1129&gt;$B$173,$B$78="Refinance",ISNUMBER($B$80),$B$80&gt;=0,$B$80&lt;=1,ROUND($B$81*12,0)&gt;=1,$B$81&lt;=100,SUM($B$82)&gt;=0,SUM($B$82)&lt;=1,SUM($B$83)&gt;=0)),IF(B1529=0,0,IF(C1529=0,B1529/ROUND($B$81*12,0),B1529*(C1529/12)/(1-(1+C1529/12)^(-ROUND($B$81*12,0))))),IF(AND(NOT(AND(1129&gt;$B$173,$B$78="Refinance",ISNUMBER($B$80),$B$80&gt;=0,$B$80&lt;=1,ROUND($B$81*12,0)&gt;=1,$B$81&lt;=100,SUM($B$82)&gt;=0,SUM($B$82)&lt;=1,SUM($B$83)&gt;=0)),OR(1129=1,1129=$B$174+1,AND($B$175&gt;0,1129=$B$175+1))),IF(AND($B$170=1,$B$66&gt;0,OR($B$175=0,1129&lt;=$B$175)),$B$66,IF($B$172-MAX(1129-1,$B$174)&gt;0,IF(B1529=0,0,IF(C1529=0,B1529/($B$172-MAX(1129-1,$B$174)),B1529*(C1529/12)/(1-(1+C1529/12)^(-($B$172-MAX(1129-1,$B$174)))))),"")),D1528)))),""),""))</x:f>
        <x:v>0</x:v>
      </x:c>
      <x:c r="E1529" s="441" t="n">
        <x:f>IF(AND(1129=$B$173,ISNUMBER(D1529)),IF(MAX(0,B1529*(1+C1529/12)-D1529)&lt;MAX(0.0000001,$E$17*0.00000000001),0,MAX(0,B1529*(1+C1529/12)-D1529)),0)</x:f>
        <x:v>0</x:v>
      </x:c>
      <x:c r="F1529" s="441" t="n">
        <x:f>IF($B$78="Cash payoff",E1529,0)</x:f>
        <x:v>0</x:v>
      </x:c>
      <x:c r="G1529" s="441" t="n">
        <x:f>IF(AND(E1529&gt;0,AND($B$78="Refinance",ISNUMBER($B$80),$B$80&gt;=0,$B$80&lt;=1,ROUND($B$81*12,0)&gt;=1,$B$81&lt;=100,SUM($B$82)&gt;=0,SUM($B$82)&lt;=1,SUM($B$83)&gt;=0)),E1529*SUM($B$82)+SUM($B$83),0)</x:f>
        <x:v>0</x:v>
      </x:c>
      <x:c r="H1529" s="441" t="n">
        <x:f>IF(ISNUMBER(D1529),IF(MAX(0,B1529*(1+C1529/12)-D1529-F1529)&lt;MAX(0.0000001,$E$17*0.00000000001),0,MAX(0,B1529*(1+C1529/12)-D1529-F1529)),IF(AND($B$171=1,I1528=1),B1529,""))</x:f>
        <x:v>0</x:v>
      </x:c>
      <x:c r="I1529" s="445" t="n">
        <x:f>IF(OR(I1528=1,AND(E1529&gt;0,$B$78&lt;&gt;"Cash payoff",NOT(AND($B$78="Refinance",ISNUMBER($B$80),$B$80&gt;=0,$B$80&lt;=1,ROUND($B$81*12,0)&gt;=1,$B$81&lt;=100,SUM($B$82)&gt;=0,SUM($B$82)&lt;=1,SUM($B$83)&gt;=0))),AND(ISNUMBER(B1529),B1529&gt;0,$B$171=1,NOT(ISNUMBER(D1529)))),1,0)</x:f>
        <x:v>0</x:v>
      </x:c>
      <x:c r="J1529" s="441" t="n">
        <x:f>IF(ISNUMBER(L1528),L1528,"")</x:f>
        <x:v>0</x:v>
      </x:c>
      <x:c r="K1529" s="441" t="n">
        <x:f>IF(AND(ISNUMBER(J1529),J1529=0),0,IF(AND($B$176=1,ISNUMBER(J1529)),MIN(J1529*(1+$B$87/12),IF($B$86=0,0,IF($B$87=0,$B$86/ROUND($B$88*12,0),$B$86*($B$87/12)/(1-(1+$B$87/12)^(-ROUND($B$88*12,0)))))),""))</x:f>
        <x:v>0</x:v>
      </x:c>
      <x:c r="L1529" s="441" t="n">
        <x:f>IF(ISNUMBER(K1529),IF(MAX(0,J1529*(1+SUM($B$87)/12)-K1529)&lt;MAX(0.0000001,$B$86*0.00000000001),0,MAX(0,J1529*(1+SUM($B$87)/12)-K1529)),"")</x:f>
        <x:v>0</x:v>
      </x:c>
      <x:c r="M1529" s="441" t="n">
        <x:f>IF(AND(ISNUMBER(D1529),ISNUMBER(K1529)),D1529+K1529,"")</x:f>
        <x:v>0</x:v>
      </x:c>
      <x:c r="N1529" s="441" t="n">
        <x:f>IF(AND(ISNUMBER(H1529),ISNUMBER(L1529)),H1529+L1529,"")</x:f>
        <x:v>0</x:v>
      </x:c>
    </x:row>
    <x:row r="1530">
      <x:c r="A1530" t="n">
        <x:f>1130</x:f>
        <x:v>1130</x:v>
      </x:c>
      <x:c r="B1530" s="441" t="n">
        <x:f>IF(ISNUMBER(H1529),H1529,"")</x:f>
        <x:v>0</x:v>
      </x:c>
      <x:c r="C1530" s="443" t="n">
        <x:f>IF(ISNUMBER(B1530),IF(AND(1130&gt;$B$173,$B$78="Refinance",ISNUMBER($B$80),$B$80&gt;=0,$B$80&lt;=1,ROUND($B$81*12,0)&gt;=1,$B$81&lt;=100,SUM($B$82)&gt;=0,SUM($B$82)&lt;=1,SUM($B$83)&gt;=0),$B$80,IF(AND($B$175&gt;0,1130&gt;$B$175,ISNUMBER($B$75)),$B$75,$B$61)),"")</x:f>
        <x:v>0.0625</x:v>
      </x:c>
      <x:c r="D1530" s="441" t="n">
        <x:f>IF(AND(ISNUMBER(B1530),B1530=0),0,IF(AND($B$171=1,I1529=0,ISNUMBER(C1530),ISNUMBER(IF(AND(1130&lt;=$B$174,1130&lt;=$B$173),B1530*C1530/12,IF(AND(1130=$B$173+1,AND(1130&gt;$B$173,$B$78="Refinance",ISNUMBER($B$80),$B$80&gt;=0,$B$80&lt;=1,ROUND($B$81*12,0)&gt;=1,$B$81&lt;=100,SUM($B$82)&gt;=0,SUM($B$82)&lt;=1,SUM($B$83)&gt;=0)),IF(B1530=0,0,IF(C1530=0,B1530/ROUND($B$81*12,0),B1530*(C1530/12)/(1-(1+C1530/12)^(-ROUND($B$81*12,0))))),IF(AND(NOT(AND(1130&gt;$B$173,$B$78="Refinance",ISNUMBER($B$80),$B$80&gt;=0,$B$80&lt;=1,ROUND($B$81*12,0)&gt;=1,$B$81&lt;=100,SUM($B$82)&gt;=0,SUM($B$82)&lt;=1,SUM($B$83)&gt;=0)),OR(1130=1,1130=$B$174+1,AND($B$175&gt;0,1130=$B$175+1))),IF(AND($B$170=1,$B$66&gt;0,OR($B$175=0,1130&lt;=$B$175)),$B$66,IF($B$172-MAX(1130-1,$B$174)&gt;0,IF(B1530=0,0,IF(C1530=0,B1530/($B$172-MAX(1130-1,$B$174)),B1530*(C1530/12)/(1-(1+C1530/12)^(-($B$172-MAX(1130-1,$B$174)))))),"")),D1529))))),IF(IF(AND(1130&lt;=$B$174,1130&lt;=$B$173),B1530*C1530/12,IF(AND(1130=$B$173+1,AND(1130&gt;$B$173,$B$78="Refinance",ISNUMBER($B$80),$B$80&gt;=0,$B$80&lt;=1,ROUND($B$81*12,0)&gt;=1,$B$81&lt;=100,SUM($B$82)&gt;=0,SUM($B$82)&lt;=1,SUM($B$83)&gt;=0)),IF(B1530=0,0,IF(C1530=0,B1530/ROUND($B$81*12,0),B1530*(C1530/12)/(1-(1+C1530/12)^(-ROUND($B$81*12,0))))),IF(AND(NOT(AND(1130&gt;$B$173,$B$78="Refinance",ISNUMBER($B$80),$B$80&gt;=0,$B$80&lt;=1,ROUND($B$81*12,0)&gt;=1,$B$81&lt;=100,SUM($B$82)&gt;=0,SUM($B$82)&lt;=1,SUM($B$83)&gt;=0)),OR(1130=1,1130=$B$174+1,AND($B$175&gt;0,1130=$B$175+1))),IF(AND($B$170=1,$B$66&gt;0,OR($B$175=0,1130&lt;=$B$175)),$B$66,IF($B$172-MAX(1130-1,$B$174)&gt;0,IF(B1530=0,0,IF(C1530=0,B1530/($B$172-MAX(1130-1,$B$174)),B1530*(C1530/12)/(1-(1+C1530/12)^(-($B$172-MAX(1130-1,$B$174)))))),"")),D1529)))+0.0000001&gt;=B1530*C1530/12,MIN(B1530*(1+C1530/12),IF(AND(1130&lt;=$B$174,1130&lt;=$B$173),B1530*C1530/12,IF(AND(1130=$B$173+1,AND(1130&gt;$B$173,$B$78="Refinance",ISNUMBER($B$80),$B$80&gt;=0,$B$80&lt;=1,ROUND($B$81*12,0)&gt;=1,$B$81&lt;=100,SUM($B$82)&gt;=0,SUM($B$82)&lt;=1,SUM($B$83)&gt;=0)),IF(B1530=0,0,IF(C1530=0,B1530/ROUND($B$81*12,0),B1530*(C1530/12)/(1-(1+C1530/12)^(-ROUND($B$81*12,0))))),IF(AND(NOT(AND(1130&gt;$B$173,$B$78="Refinance",ISNUMBER($B$80),$B$80&gt;=0,$B$80&lt;=1,ROUND($B$81*12,0)&gt;=1,$B$81&lt;=100,SUM($B$82)&gt;=0,SUM($B$82)&lt;=1,SUM($B$83)&gt;=0)),OR(1130=1,1130=$B$174+1,AND($B$175&gt;0,1130=$B$175+1))),IF(AND($B$170=1,$B$66&gt;0,OR($B$175=0,1130&lt;=$B$175)),$B$66,IF($B$172-MAX(1130-1,$B$174)&gt;0,IF(B1530=0,0,IF(C1530=0,B1530/($B$172-MAX(1130-1,$B$174)),B1530*(C1530/12)/(1-(1+C1530/12)^(-($B$172-MAX(1130-1,$B$174)))))),"")),D1529)))),""),""))</x:f>
        <x:v>0</x:v>
      </x:c>
      <x:c r="E1530" s="441" t="n">
        <x:f>IF(AND(1130=$B$173,ISNUMBER(D1530)),IF(MAX(0,B1530*(1+C1530/12)-D1530)&lt;MAX(0.0000001,$E$17*0.00000000001),0,MAX(0,B1530*(1+C1530/12)-D1530)),0)</x:f>
        <x:v>0</x:v>
      </x:c>
      <x:c r="F1530" s="441" t="n">
        <x:f>IF($B$78="Cash payoff",E1530,0)</x:f>
        <x:v>0</x:v>
      </x:c>
      <x:c r="G1530" s="441" t="n">
        <x:f>IF(AND(E1530&gt;0,AND($B$78="Refinance",ISNUMBER($B$80),$B$80&gt;=0,$B$80&lt;=1,ROUND($B$81*12,0)&gt;=1,$B$81&lt;=100,SUM($B$82)&gt;=0,SUM($B$82)&lt;=1,SUM($B$83)&gt;=0)),E1530*SUM($B$82)+SUM($B$83),0)</x:f>
        <x:v>0</x:v>
      </x:c>
      <x:c r="H1530" s="441" t="n">
        <x:f>IF(ISNUMBER(D1530),IF(MAX(0,B1530*(1+C1530/12)-D1530-F1530)&lt;MAX(0.0000001,$E$17*0.00000000001),0,MAX(0,B1530*(1+C1530/12)-D1530-F1530)),IF(AND($B$171=1,I1529=1),B1530,""))</x:f>
        <x:v>0</x:v>
      </x:c>
      <x:c r="I1530" s="445" t="n">
        <x:f>IF(OR(I1529=1,AND(E1530&gt;0,$B$78&lt;&gt;"Cash payoff",NOT(AND($B$78="Refinance",ISNUMBER($B$80),$B$80&gt;=0,$B$80&lt;=1,ROUND($B$81*12,0)&gt;=1,$B$81&lt;=100,SUM($B$82)&gt;=0,SUM($B$82)&lt;=1,SUM($B$83)&gt;=0))),AND(ISNUMBER(B1530),B1530&gt;0,$B$171=1,NOT(ISNUMBER(D1530)))),1,0)</x:f>
        <x:v>0</x:v>
      </x:c>
      <x:c r="J1530" s="441" t="n">
        <x:f>IF(ISNUMBER(L1529),L1529,"")</x:f>
        <x:v>0</x:v>
      </x:c>
      <x:c r="K1530" s="441" t="n">
        <x:f>IF(AND(ISNUMBER(J1530),J1530=0),0,IF(AND($B$176=1,ISNUMBER(J1530)),MIN(J1530*(1+$B$87/12),IF($B$86=0,0,IF($B$87=0,$B$86/ROUND($B$88*12,0),$B$86*($B$87/12)/(1-(1+$B$87/12)^(-ROUND($B$88*12,0)))))),""))</x:f>
        <x:v>0</x:v>
      </x:c>
      <x:c r="L1530" s="441" t="n">
        <x:f>IF(ISNUMBER(K1530),IF(MAX(0,J1530*(1+SUM($B$87)/12)-K1530)&lt;MAX(0.0000001,$B$86*0.00000000001),0,MAX(0,J1530*(1+SUM($B$87)/12)-K1530)),"")</x:f>
        <x:v>0</x:v>
      </x:c>
      <x:c r="M1530" s="441" t="n">
        <x:f>IF(AND(ISNUMBER(D1530),ISNUMBER(K1530)),D1530+K1530,"")</x:f>
        <x:v>0</x:v>
      </x:c>
      <x:c r="N1530" s="441" t="n">
        <x:f>IF(AND(ISNUMBER(H1530),ISNUMBER(L1530)),H1530+L1530,"")</x:f>
        <x:v>0</x:v>
      </x:c>
    </x:row>
    <x:row r="1531">
      <x:c r="A1531" t="n">
        <x:f>1131</x:f>
        <x:v>1131</x:v>
      </x:c>
      <x:c r="B1531" s="441" t="n">
        <x:f>IF(ISNUMBER(H1530),H1530,"")</x:f>
        <x:v>0</x:v>
      </x:c>
      <x:c r="C1531" s="443" t="n">
        <x:f>IF(ISNUMBER(B1531),IF(AND(1131&gt;$B$173,$B$78="Refinance",ISNUMBER($B$80),$B$80&gt;=0,$B$80&lt;=1,ROUND($B$81*12,0)&gt;=1,$B$81&lt;=100,SUM($B$82)&gt;=0,SUM($B$82)&lt;=1,SUM($B$83)&gt;=0),$B$80,IF(AND($B$175&gt;0,1131&gt;$B$175,ISNUMBER($B$75)),$B$75,$B$61)),"")</x:f>
        <x:v>0.0625</x:v>
      </x:c>
      <x:c r="D1531" s="441" t="n">
        <x:f>IF(AND(ISNUMBER(B1531),B1531=0),0,IF(AND($B$171=1,I1530=0,ISNUMBER(C1531),ISNUMBER(IF(AND(1131&lt;=$B$174,1131&lt;=$B$173),B1531*C1531/12,IF(AND(1131=$B$173+1,AND(1131&gt;$B$173,$B$78="Refinance",ISNUMBER($B$80),$B$80&gt;=0,$B$80&lt;=1,ROUND($B$81*12,0)&gt;=1,$B$81&lt;=100,SUM($B$82)&gt;=0,SUM($B$82)&lt;=1,SUM($B$83)&gt;=0)),IF(B1531=0,0,IF(C1531=0,B1531/ROUND($B$81*12,0),B1531*(C1531/12)/(1-(1+C1531/12)^(-ROUND($B$81*12,0))))),IF(AND(NOT(AND(1131&gt;$B$173,$B$78="Refinance",ISNUMBER($B$80),$B$80&gt;=0,$B$80&lt;=1,ROUND($B$81*12,0)&gt;=1,$B$81&lt;=100,SUM($B$82)&gt;=0,SUM($B$82)&lt;=1,SUM($B$83)&gt;=0)),OR(1131=1,1131=$B$174+1,AND($B$175&gt;0,1131=$B$175+1))),IF(AND($B$170=1,$B$66&gt;0,OR($B$175=0,1131&lt;=$B$175)),$B$66,IF($B$172-MAX(1131-1,$B$174)&gt;0,IF(B1531=0,0,IF(C1531=0,B1531/($B$172-MAX(1131-1,$B$174)),B1531*(C1531/12)/(1-(1+C1531/12)^(-($B$172-MAX(1131-1,$B$174)))))),"")),D1530))))),IF(IF(AND(1131&lt;=$B$174,1131&lt;=$B$173),B1531*C1531/12,IF(AND(1131=$B$173+1,AND(1131&gt;$B$173,$B$78="Refinance",ISNUMBER($B$80),$B$80&gt;=0,$B$80&lt;=1,ROUND($B$81*12,0)&gt;=1,$B$81&lt;=100,SUM($B$82)&gt;=0,SUM($B$82)&lt;=1,SUM($B$83)&gt;=0)),IF(B1531=0,0,IF(C1531=0,B1531/ROUND($B$81*12,0),B1531*(C1531/12)/(1-(1+C1531/12)^(-ROUND($B$81*12,0))))),IF(AND(NOT(AND(1131&gt;$B$173,$B$78="Refinance",ISNUMBER($B$80),$B$80&gt;=0,$B$80&lt;=1,ROUND($B$81*12,0)&gt;=1,$B$81&lt;=100,SUM($B$82)&gt;=0,SUM($B$82)&lt;=1,SUM($B$83)&gt;=0)),OR(1131=1,1131=$B$174+1,AND($B$175&gt;0,1131=$B$175+1))),IF(AND($B$170=1,$B$66&gt;0,OR($B$175=0,1131&lt;=$B$175)),$B$66,IF($B$172-MAX(1131-1,$B$174)&gt;0,IF(B1531=0,0,IF(C1531=0,B1531/($B$172-MAX(1131-1,$B$174)),B1531*(C1531/12)/(1-(1+C1531/12)^(-($B$172-MAX(1131-1,$B$174)))))),"")),D1530)))+0.0000001&gt;=B1531*C1531/12,MIN(B1531*(1+C1531/12),IF(AND(1131&lt;=$B$174,1131&lt;=$B$173),B1531*C1531/12,IF(AND(1131=$B$173+1,AND(1131&gt;$B$173,$B$78="Refinance",ISNUMBER($B$80),$B$80&gt;=0,$B$80&lt;=1,ROUND($B$81*12,0)&gt;=1,$B$81&lt;=100,SUM($B$82)&gt;=0,SUM($B$82)&lt;=1,SUM($B$83)&gt;=0)),IF(B1531=0,0,IF(C1531=0,B1531/ROUND($B$81*12,0),B1531*(C1531/12)/(1-(1+C1531/12)^(-ROUND($B$81*12,0))))),IF(AND(NOT(AND(1131&gt;$B$173,$B$78="Refinance",ISNUMBER($B$80),$B$80&gt;=0,$B$80&lt;=1,ROUND($B$81*12,0)&gt;=1,$B$81&lt;=100,SUM($B$82)&gt;=0,SUM($B$82)&lt;=1,SUM($B$83)&gt;=0)),OR(1131=1,1131=$B$174+1,AND($B$175&gt;0,1131=$B$175+1))),IF(AND($B$170=1,$B$66&gt;0,OR($B$175=0,1131&lt;=$B$175)),$B$66,IF($B$172-MAX(1131-1,$B$174)&gt;0,IF(B1531=0,0,IF(C1531=0,B1531/($B$172-MAX(1131-1,$B$174)),B1531*(C1531/12)/(1-(1+C1531/12)^(-($B$172-MAX(1131-1,$B$174)))))),"")),D1530)))),""),""))</x:f>
        <x:v>0</x:v>
      </x:c>
      <x:c r="E1531" s="441" t="n">
        <x:f>IF(AND(1131=$B$173,ISNUMBER(D1531)),IF(MAX(0,B1531*(1+C1531/12)-D1531)&lt;MAX(0.0000001,$E$17*0.00000000001),0,MAX(0,B1531*(1+C1531/12)-D1531)),0)</x:f>
        <x:v>0</x:v>
      </x:c>
      <x:c r="F1531" s="441" t="n">
        <x:f>IF($B$78="Cash payoff",E1531,0)</x:f>
        <x:v>0</x:v>
      </x:c>
      <x:c r="G1531" s="441" t="n">
        <x:f>IF(AND(E1531&gt;0,AND($B$78="Refinance",ISNUMBER($B$80),$B$80&gt;=0,$B$80&lt;=1,ROUND($B$81*12,0)&gt;=1,$B$81&lt;=100,SUM($B$82)&gt;=0,SUM($B$82)&lt;=1,SUM($B$83)&gt;=0)),E1531*SUM($B$82)+SUM($B$83),0)</x:f>
        <x:v>0</x:v>
      </x:c>
      <x:c r="H1531" s="441" t="n">
        <x:f>IF(ISNUMBER(D1531),IF(MAX(0,B1531*(1+C1531/12)-D1531-F1531)&lt;MAX(0.0000001,$E$17*0.00000000001),0,MAX(0,B1531*(1+C1531/12)-D1531-F1531)),IF(AND($B$171=1,I1530=1),B1531,""))</x:f>
        <x:v>0</x:v>
      </x:c>
      <x:c r="I1531" s="445" t="n">
        <x:f>IF(OR(I1530=1,AND(E1531&gt;0,$B$78&lt;&gt;"Cash payoff",NOT(AND($B$78="Refinance",ISNUMBER($B$80),$B$80&gt;=0,$B$80&lt;=1,ROUND($B$81*12,0)&gt;=1,$B$81&lt;=100,SUM($B$82)&gt;=0,SUM($B$82)&lt;=1,SUM($B$83)&gt;=0))),AND(ISNUMBER(B1531),B1531&gt;0,$B$171=1,NOT(ISNUMBER(D1531)))),1,0)</x:f>
        <x:v>0</x:v>
      </x:c>
      <x:c r="J1531" s="441" t="n">
        <x:f>IF(ISNUMBER(L1530),L1530,"")</x:f>
        <x:v>0</x:v>
      </x:c>
      <x:c r="K1531" s="441" t="n">
        <x:f>IF(AND(ISNUMBER(J1531),J1531=0),0,IF(AND($B$176=1,ISNUMBER(J1531)),MIN(J1531*(1+$B$87/12),IF($B$86=0,0,IF($B$87=0,$B$86/ROUND($B$88*12,0),$B$86*($B$87/12)/(1-(1+$B$87/12)^(-ROUND($B$88*12,0)))))),""))</x:f>
        <x:v>0</x:v>
      </x:c>
      <x:c r="L1531" s="441" t="n">
        <x:f>IF(ISNUMBER(K1531),IF(MAX(0,J1531*(1+SUM($B$87)/12)-K1531)&lt;MAX(0.0000001,$B$86*0.00000000001),0,MAX(0,J1531*(1+SUM($B$87)/12)-K1531)),"")</x:f>
        <x:v>0</x:v>
      </x:c>
      <x:c r="M1531" s="441" t="n">
        <x:f>IF(AND(ISNUMBER(D1531),ISNUMBER(K1531)),D1531+K1531,"")</x:f>
        <x:v>0</x:v>
      </x:c>
      <x:c r="N1531" s="441" t="n">
        <x:f>IF(AND(ISNUMBER(H1531),ISNUMBER(L1531)),H1531+L1531,"")</x:f>
        <x:v>0</x:v>
      </x:c>
    </x:row>
    <x:row r="1532">
      <x:c r="A1532" t="n">
        <x:f>1132</x:f>
        <x:v>1132</x:v>
      </x:c>
      <x:c r="B1532" s="441" t="n">
        <x:f>IF(ISNUMBER(H1531),H1531,"")</x:f>
        <x:v>0</x:v>
      </x:c>
      <x:c r="C1532" s="443" t="n">
        <x:f>IF(ISNUMBER(B1532),IF(AND(1132&gt;$B$173,$B$78="Refinance",ISNUMBER($B$80),$B$80&gt;=0,$B$80&lt;=1,ROUND($B$81*12,0)&gt;=1,$B$81&lt;=100,SUM($B$82)&gt;=0,SUM($B$82)&lt;=1,SUM($B$83)&gt;=0),$B$80,IF(AND($B$175&gt;0,1132&gt;$B$175,ISNUMBER($B$75)),$B$75,$B$61)),"")</x:f>
        <x:v>0.0625</x:v>
      </x:c>
      <x:c r="D1532" s="441" t="n">
        <x:f>IF(AND(ISNUMBER(B1532),B1532=0),0,IF(AND($B$171=1,I1531=0,ISNUMBER(C1532),ISNUMBER(IF(AND(1132&lt;=$B$174,1132&lt;=$B$173),B1532*C1532/12,IF(AND(1132=$B$173+1,AND(1132&gt;$B$173,$B$78="Refinance",ISNUMBER($B$80),$B$80&gt;=0,$B$80&lt;=1,ROUND($B$81*12,0)&gt;=1,$B$81&lt;=100,SUM($B$82)&gt;=0,SUM($B$82)&lt;=1,SUM($B$83)&gt;=0)),IF(B1532=0,0,IF(C1532=0,B1532/ROUND($B$81*12,0),B1532*(C1532/12)/(1-(1+C1532/12)^(-ROUND($B$81*12,0))))),IF(AND(NOT(AND(1132&gt;$B$173,$B$78="Refinance",ISNUMBER($B$80),$B$80&gt;=0,$B$80&lt;=1,ROUND($B$81*12,0)&gt;=1,$B$81&lt;=100,SUM($B$82)&gt;=0,SUM($B$82)&lt;=1,SUM($B$83)&gt;=0)),OR(1132=1,1132=$B$174+1,AND($B$175&gt;0,1132=$B$175+1))),IF(AND($B$170=1,$B$66&gt;0,OR($B$175=0,1132&lt;=$B$175)),$B$66,IF($B$172-MAX(1132-1,$B$174)&gt;0,IF(B1532=0,0,IF(C1532=0,B1532/($B$172-MAX(1132-1,$B$174)),B1532*(C1532/12)/(1-(1+C1532/12)^(-($B$172-MAX(1132-1,$B$174)))))),"")),D1531))))),IF(IF(AND(1132&lt;=$B$174,1132&lt;=$B$173),B1532*C1532/12,IF(AND(1132=$B$173+1,AND(1132&gt;$B$173,$B$78="Refinance",ISNUMBER($B$80),$B$80&gt;=0,$B$80&lt;=1,ROUND($B$81*12,0)&gt;=1,$B$81&lt;=100,SUM($B$82)&gt;=0,SUM($B$82)&lt;=1,SUM($B$83)&gt;=0)),IF(B1532=0,0,IF(C1532=0,B1532/ROUND($B$81*12,0),B1532*(C1532/12)/(1-(1+C1532/12)^(-ROUND($B$81*12,0))))),IF(AND(NOT(AND(1132&gt;$B$173,$B$78="Refinance",ISNUMBER($B$80),$B$80&gt;=0,$B$80&lt;=1,ROUND($B$81*12,0)&gt;=1,$B$81&lt;=100,SUM($B$82)&gt;=0,SUM($B$82)&lt;=1,SUM($B$83)&gt;=0)),OR(1132=1,1132=$B$174+1,AND($B$175&gt;0,1132=$B$175+1))),IF(AND($B$170=1,$B$66&gt;0,OR($B$175=0,1132&lt;=$B$175)),$B$66,IF($B$172-MAX(1132-1,$B$174)&gt;0,IF(B1532=0,0,IF(C1532=0,B1532/($B$172-MAX(1132-1,$B$174)),B1532*(C1532/12)/(1-(1+C1532/12)^(-($B$172-MAX(1132-1,$B$174)))))),"")),D1531)))+0.0000001&gt;=B1532*C1532/12,MIN(B1532*(1+C1532/12),IF(AND(1132&lt;=$B$174,1132&lt;=$B$173),B1532*C1532/12,IF(AND(1132=$B$173+1,AND(1132&gt;$B$173,$B$78="Refinance",ISNUMBER($B$80),$B$80&gt;=0,$B$80&lt;=1,ROUND($B$81*12,0)&gt;=1,$B$81&lt;=100,SUM($B$82)&gt;=0,SUM($B$82)&lt;=1,SUM($B$83)&gt;=0)),IF(B1532=0,0,IF(C1532=0,B1532/ROUND($B$81*12,0),B1532*(C1532/12)/(1-(1+C1532/12)^(-ROUND($B$81*12,0))))),IF(AND(NOT(AND(1132&gt;$B$173,$B$78="Refinance",ISNUMBER($B$80),$B$80&gt;=0,$B$80&lt;=1,ROUND($B$81*12,0)&gt;=1,$B$81&lt;=100,SUM($B$82)&gt;=0,SUM($B$82)&lt;=1,SUM($B$83)&gt;=0)),OR(1132=1,1132=$B$174+1,AND($B$175&gt;0,1132=$B$175+1))),IF(AND($B$170=1,$B$66&gt;0,OR($B$175=0,1132&lt;=$B$175)),$B$66,IF($B$172-MAX(1132-1,$B$174)&gt;0,IF(B1532=0,0,IF(C1532=0,B1532/($B$172-MAX(1132-1,$B$174)),B1532*(C1532/12)/(1-(1+C1532/12)^(-($B$172-MAX(1132-1,$B$174)))))),"")),D1531)))),""),""))</x:f>
        <x:v>0</x:v>
      </x:c>
      <x:c r="E1532" s="441" t="n">
        <x:f>IF(AND(1132=$B$173,ISNUMBER(D1532)),IF(MAX(0,B1532*(1+C1532/12)-D1532)&lt;MAX(0.0000001,$E$17*0.00000000001),0,MAX(0,B1532*(1+C1532/12)-D1532)),0)</x:f>
        <x:v>0</x:v>
      </x:c>
      <x:c r="F1532" s="441" t="n">
        <x:f>IF($B$78="Cash payoff",E1532,0)</x:f>
        <x:v>0</x:v>
      </x:c>
      <x:c r="G1532" s="441" t="n">
        <x:f>IF(AND(E1532&gt;0,AND($B$78="Refinance",ISNUMBER($B$80),$B$80&gt;=0,$B$80&lt;=1,ROUND($B$81*12,0)&gt;=1,$B$81&lt;=100,SUM($B$82)&gt;=0,SUM($B$82)&lt;=1,SUM($B$83)&gt;=0)),E1532*SUM($B$82)+SUM($B$83),0)</x:f>
        <x:v>0</x:v>
      </x:c>
      <x:c r="H1532" s="441" t="n">
        <x:f>IF(ISNUMBER(D1532),IF(MAX(0,B1532*(1+C1532/12)-D1532-F1532)&lt;MAX(0.0000001,$E$17*0.00000000001),0,MAX(0,B1532*(1+C1532/12)-D1532-F1532)),IF(AND($B$171=1,I1531=1),B1532,""))</x:f>
        <x:v>0</x:v>
      </x:c>
      <x:c r="I1532" s="445" t="n">
        <x:f>IF(OR(I1531=1,AND(E1532&gt;0,$B$78&lt;&gt;"Cash payoff",NOT(AND($B$78="Refinance",ISNUMBER($B$80),$B$80&gt;=0,$B$80&lt;=1,ROUND($B$81*12,0)&gt;=1,$B$81&lt;=100,SUM($B$82)&gt;=0,SUM($B$82)&lt;=1,SUM($B$83)&gt;=0))),AND(ISNUMBER(B1532),B1532&gt;0,$B$171=1,NOT(ISNUMBER(D1532)))),1,0)</x:f>
        <x:v>0</x:v>
      </x:c>
      <x:c r="J1532" s="441" t="n">
        <x:f>IF(ISNUMBER(L1531),L1531,"")</x:f>
        <x:v>0</x:v>
      </x:c>
      <x:c r="K1532" s="441" t="n">
        <x:f>IF(AND(ISNUMBER(J1532),J1532=0),0,IF(AND($B$176=1,ISNUMBER(J1532)),MIN(J1532*(1+$B$87/12),IF($B$86=0,0,IF($B$87=0,$B$86/ROUND($B$88*12,0),$B$86*($B$87/12)/(1-(1+$B$87/12)^(-ROUND($B$88*12,0)))))),""))</x:f>
        <x:v>0</x:v>
      </x:c>
      <x:c r="L1532" s="441" t="n">
        <x:f>IF(ISNUMBER(K1532),IF(MAX(0,J1532*(1+SUM($B$87)/12)-K1532)&lt;MAX(0.0000001,$B$86*0.00000000001),0,MAX(0,J1532*(1+SUM($B$87)/12)-K1532)),"")</x:f>
        <x:v>0</x:v>
      </x:c>
      <x:c r="M1532" s="441" t="n">
        <x:f>IF(AND(ISNUMBER(D1532),ISNUMBER(K1532)),D1532+K1532,"")</x:f>
        <x:v>0</x:v>
      </x:c>
      <x:c r="N1532" s="441" t="n">
        <x:f>IF(AND(ISNUMBER(H1532),ISNUMBER(L1532)),H1532+L1532,"")</x:f>
        <x:v>0</x:v>
      </x:c>
    </x:row>
    <x:row r="1533">
      <x:c r="A1533" t="n">
        <x:f>1133</x:f>
        <x:v>1133</x:v>
      </x:c>
      <x:c r="B1533" s="441" t="n">
        <x:f>IF(ISNUMBER(H1532),H1532,"")</x:f>
        <x:v>0</x:v>
      </x:c>
      <x:c r="C1533" s="443" t="n">
        <x:f>IF(ISNUMBER(B1533),IF(AND(1133&gt;$B$173,$B$78="Refinance",ISNUMBER($B$80),$B$80&gt;=0,$B$80&lt;=1,ROUND($B$81*12,0)&gt;=1,$B$81&lt;=100,SUM($B$82)&gt;=0,SUM($B$82)&lt;=1,SUM($B$83)&gt;=0),$B$80,IF(AND($B$175&gt;0,1133&gt;$B$175,ISNUMBER($B$75)),$B$75,$B$61)),"")</x:f>
        <x:v>0.0625</x:v>
      </x:c>
      <x:c r="D1533" s="441" t="n">
        <x:f>IF(AND(ISNUMBER(B1533),B1533=0),0,IF(AND($B$171=1,I1532=0,ISNUMBER(C1533),ISNUMBER(IF(AND(1133&lt;=$B$174,1133&lt;=$B$173),B1533*C1533/12,IF(AND(1133=$B$173+1,AND(1133&gt;$B$173,$B$78="Refinance",ISNUMBER($B$80),$B$80&gt;=0,$B$80&lt;=1,ROUND($B$81*12,0)&gt;=1,$B$81&lt;=100,SUM($B$82)&gt;=0,SUM($B$82)&lt;=1,SUM($B$83)&gt;=0)),IF(B1533=0,0,IF(C1533=0,B1533/ROUND($B$81*12,0),B1533*(C1533/12)/(1-(1+C1533/12)^(-ROUND($B$81*12,0))))),IF(AND(NOT(AND(1133&gt;$B$173,$B$78="Refinance",ISNUMBER($B$80),$B$80&gt;=0,$B$80&lt;=1,ROUND($B$81*12,0)&gt;=1,$B$81&lt;=100,SUM($B$82)&gt;=0,SUM($B$82)&lt;=1,SUM($B$83)&gt;=0)),OR(1133=1,1133=$B$174+1,AND($B$175&gt;0,1133=$B$175+1))),IF(AND($B$170=1,$B$66&gt;0,OR($B$175=0,1133&lt;=$B$175)),$B$66,IF($B$172-MAX(1133-1,$B$174)&gt;0,IF(B1533=0,0,IF(C1533=0,B1533/($B$172-MAX(1133-1,$B$174)),B1533*(C1533/12)/(1-(1+C1533/12)^(-($B$172-MAX(1133-1,$B$174)))))),"")),D1532))))),IF(IF(AND(1133&lt;=$B$174,1133&lt;=$B$173),B1533*C1533/12,IF(AND(1133=$B$173+1,AND(1133&gt;$B$173,$B$78="Refinance",ISNUMBER($B$80),$B$80&gt;=0,$B$80&lt;=1,ROUND($B$81*12,0)&gt;=1,$B$81&lt;=100,SUM($B$82)&gt;=0,SUM($B$82)&lt;=1,SUM($B$83)&gt;=0)),IF(B1533=0,0,IF(C1533=0,B1533/ROUND($B$81*12,0),B1533*(C1533/12)/(1-(1+C1533/12)^(-ROUND($B$81*12,0))))),IF(AND(NOT(AND(1133&gt;$B$173,$B$78="Refinance",ISNUMBER($B$80),$B$80&gt;=0,$B$80&lt;=1,ROUND($B$81*12,0)&gt;=1,$B$81&lt;=100,SUM($B$82)&gt;=0,SUM($B$82)&lt;=1,SUM($B$83)&gt;=0)),OR(1133=1,1133=$B$174+1,AND($B$175&gt;0,1133=$B$175+1))),IF(AND($B$170=1,$B$66&gt;0,OR($B$175=0,1133&lt;=$B$175)),$B$66,IF($B$172-MAX(1133-1,$B$174)&gt;0,IF(B1533=0,0,IF(C1533=0,B1533/($B$172-MAX(1133-1,$B$174)),B1533*(C1533/12)/(1-(1+C1533/12)^(-($B$172-MAX(1133-1,$B$174)))))),"")),D1532)))+0.0000001&gt;=B1533*C1533/12,MIN(B1533*(1+C1533/12),IF(AND(1133&lt;=$B$174,1133&lt;=$B$173),B1533*C1533/12,IF(AND(1133=$B$173+1,AND(1133&gt;$B$173,$B$78="Refinance",ISNUMBER($B$80),$B$80&gt;=0,$B$80&lt;=1,ROUND($B$81*12,0)&gt;=1,$B$81&lt;=100,SUM($B$82)&gt;=0,SUM($B$82)&lt;=1,SUM($B$83)&gt;=0)),IF(B1533=0,0,IF(C1533=0,B1533/ROUND($B$81*12,0),B1533*(C1533/12)/(1-(1+C1533/12)^(-ROUND($B$81*12,0))))),IF(AND(NOT(AND(1133&gt;$B$173,$B$78="Refinance",ISNUMBER($B$80),$B$80&gt;=0,$B$80&lt;=1,ROUND($B$81*12,0)&gt;=1,$B$81&lt;=100,SUM($B$82)&gt;=0,SUM($B$82)&lt;=1,SUM($B$83)&gt;=0)),OR(1133=1,1133=$B$174+1,AND($B$175&gt;0,1133=$B$175+1))),IF(AND($B$170=1,$B$66&gt;0,OR($B$175=0,1133&lt;=$B$175)),$B$66,IF($B$172-MAX(1133-1,$B$174)&gt;0,IF(B1533=0,0,IF(C1533=0,B1533/($B$172-MAX(1133-1,$B$174)),B1533*(C1533/12)/(1-(1+C1533/12)^(-($B$172-MAX(1133-1,$B$174)))))),"")),D1532)))),""),""))</x:f>
        <x:v>0</x:v>
      </x:c>
      <x:c r="E1533" s="441" t="n">
        <x:f>IF(AND(1133=$B$173,ISNUMBER(D1533)),IF(MAX(0,B1533*(1+C1533/12)-D1533)&lt;MAX(0.0000001,$E$17*0.00000000001),0,MAX(0,B1533*(1+C1533/12)-D1533)),0)</x:f>
        <x:v>0</x:v>
      </x:c>
      <x:c r="F1533" s="441" t="n">
        <x:f>IF($B$78="Cash payoff",E1533,0)</x:f>
        <x:v>0</x:v>
      </x:c>
      <x:c r="G1533" s="441" t="n">
        <x:f>IF(AND(E1533&gt;0,AND($B$78="Refinance",ISNUMBER($B$80),$B$80&gt;=0,$B$80&lt;=1,ROUND($B$81*12,0)&gt;=1,$B$81&lt;=100,SUM($B$82)&gt;=0,SUM($B$82)&lt;=1,SUM($B$83)&gt;=0)),E1533*SUM($B$82)+SUM($B$83),0)</x:f>
        <x:v>0</x:v>
      </x:c>
      <x:c r="H1533" s="441" t="n">
        <x:f>IF(ISNUMBER(D1533),IF(MAX(0,B1533*(1+C1533/12)-D1533-F1533)&lt;MAX(0.0000001,$E$17*0.00000000001),0,MAX(0,B1533*(1+C1533/12)-D1533-F1533)),IF(AND($B$171=1,I1532=1),B1533,""))</x:f>
        <x:v>0</x:v>
      </x:c>
      <x:c r="I1533" s="445" t="n">
        <x:f>IF(OR(I1532=1,AND(E1533&gt;0,$B$78&lt;&gt;"Cash payoff",NOT(AND($B$78="Refinance",ISNUMBER($B$80),$B$80&gt;=0,$B$80&lt;=1,ROUND($B$81*12,0)&gt;=1,$B$81&lt;=100,SUM($B$82)&gt;=0,SUM($B$82)&lt;=1,SUM($B$83)&gt;=0))),AND(ISNUMBER(B1533),B1533&gt;0,$B$171=1,NOT(ISNUMBER(D1533)))),1,0)</x:f>
        <x:v>0</x:v>
      </x:c>
      <x:c r="J1533" s="441" t="n">
        <x:f>IF(ISNUMBER(L1532),L1532,"")</x:f>
        <x:v>0</x:v>
      </x:c>
      <x:c r="K1533" s="441" t="n">
        <x:f>IF(AND(ISNUMBER(J1533),J1533=0),0,IF(AND($B$176=1,ISNUMBER(J1533)),MIN(J1533*(1+$B$87/12),IF($B$86=0,0,IF($B$87=0,$B$86/ROUND($B$88*12,0),$B$86*($B$87/12)/(1-(1+$B$87/12)^(-ROUND($B$88*12,0)))))),""))</x:f>
        <x:v>0</x:v>
      </x:c>
      <x:c r="L1533" s="441" t="n">
        <x:f>IF(ISNUMBER(K1533),IF(MAX(0,J1533*(1+SUM($B$87)/12)-K1533)&lt;MAX(0.0000001,$B$86*0.00000000001),0,MAX(0,J1533*(1+SUM($B$87)/12)-K1533)),"")</x:f>
        <x:v>0</x:v>
      </x:c>
      <x:c r="M1533" s="441" t="n">
        <x:f>IF(AND(ISNUMBER(D1533),ISNUMBER(K1533)),D1533+K1533,"")</x:f>
        <x:v>0</x:v>
      </x:c>
      <x:c r="N1533" s="441" t="n">
        <x:f>IF(AND(ISNUMBER(H1533),ISNUMBER(L1533)),H1533+L1533,"")</x:f>
        <x:v>0</x:v>
      </x:c>
    </x:row>
    <x:row r="1534">
      <x:c r="A1534" t="n">
        <x:f>1134</x:f>
        <x:v>1134</x:v>
      </x:c>
      <x:c r="B1534" s="441" t="n">
        <x:f>IF(ISNUMBER(H1533),H1533,"")</x:f>
        <x:v>0</x:v>
      </x:c>
      <x:c r="C1534" s="443" t="n">
        <x:f>IF(ISNUMBER(B1534),IF(AND(1134&gt;$B$173,$B$78="Refinance",ISNUMBER($B$80),$B$80&gt;=0,$B$80&lt;=1,ROUND($B$81*12,0)&gt;=1,$B$81&lt;=100,SUM($B$82)&gt;=0,SUM($B$82)&lt;=1,SUM($B$83)&gt;=0),$B$80,IF(AND($B$175&gt;0,1134&gt;$B$175,ISNUMBER($B$75)),$B$75,$B$61)),"")</x:f>
        <x:v>0.0625</x:v>
      </x:c>
      <x:c r="D1534" s="441" t="n">
        <x:f>IF(AND(ISNUMBER(B1534),B1534=0),0,IF(AND($B$171=1,I1533=0,ISNUMBER(C1534),ISNUMBER(IF(AND(1134&lt;=$B$174,1134&lt;=$B$173),B1534*C1534/12,IF(AND(1134=$B$173+1,AND(1134&gt;$B$173,$B$78="Refinance",ISNUMBER($B$80),$B$80&gt;=0,$B$80&lt;=1,ROUND($B$81*12,0)&gt;=1,$B$81&lt;=100,SUM($B$82)&gt;=0,SUM($B$82)&lt;=1,SUM($B$83)&gt;=0)),IF(B1534=0,0,IF(C1534=0,B1534/ROUND($B$81*12,0),B1534*(C1534/12)/(1-(1+C1534/12)^(-ROUND($B$81*12,0))))),IF(AND(NOT(AND(1134&gt;$B$173,$B$78="Refinance",ISNUMBER($B$80),$B$80&gt;=0,$B$80&lt;=1,ROUND($B$81*12,0)&gt;=1,$B$81&lt;=100,SUM($B$82)&gt;=0,SUM($B$82)&lt;=1,SUM($B$83)&gt;=0)),OR(1134=1,1134=$B$174+1,AND($B$175&gt;0,1134=$B$175+1))),IF(AND($B$170=1,$B$66&gt;0,OR($B$175=0,1134&lt;=$B$175)),$B$66,IF($B$172-MAX(1134-1,$B$174)&gt;0,IF(B1534=0,0,IF(C1534=0,B1534/($B$172-MAX(1134-1,$B$174)),B1534*(C1534/12)/(1-(1+C1534/12)^(-($B$172-MAX(1134-1,$B$174)))))),"")),D1533))))),IF(IF(AND(1134&lt;=$B$174,1134&lt;=$B$173),B1534*C1534/12,IF(AND(1134=$B$173+1,AND(1134&gt;$B$173,$B$78="Refinance",ISNUMBER($B$80),$B$80&gt;=0,$B$80&lt;=1,ROUND($B$81*12,0)&gt;=1,$B$81&lt;=100,SUM($B$82)&gt;=0,SUM($B$82)&lt;=1,SUM($B$83)&gt;=0)),IF(B1534=0,0,IF(C1534=0,B1534/ROUND($B$81*12,0),B1534*(C1534/12)/(1-(1+C1534/12)^(-ROUND($B$81*12,0))))),IF(AND(NOT(AND(1134&gt;$B$173,$B$78="Refinance",ISNUMBER($B$80),$B$80&gt;=0,$B$80&lt;=1,ROUND($B$81*12,0)&gt;=1,$B$81&lt;=100,SUM($B$82)&gt;=0,SUM($B$82)&lt;=1,SUM($B$83)&gt;=0)),OR(1134=1,1134=$B$174+1,AND($B$175&gt;0,1134=$B$175+1))),IF(AND($B$170=1,$B$66&gt;0,OR($B$175=0,1134&lt;=$B$175)),$B$66,IF($B$172-MAX(1134-1,$B$174)&gt;0,IF(B1534=0,0,IF(C1534=0,B1534/($B$172-MAX(1134-1,$B$174)),B1534*(C1534/12)/(1-(1+C1534/12)^(-($B$172-MAX(1134-1,$B$174)))))),"")),D1533)))+0.0000001&gt;=B1534*C1534/12,MIN(B1534*(1+C1534/12),IF(AND(1134&lt;=$B$174,1134&lt;=$B$173),B1534*C1534/12,IF(AND(1134=$B$173+1,AND(1134&gt;$B$173,$B$78="Refinance",ISNUMBER($B$80),$B$80&gt;=0,$B$80&lt;=1,ROUND($B$81*12,0)&gt;=1,$B$81&lt;=100,SUM($B$82)&gt;=0,SUM($B$82)&lt;=1,SUM($B$83)&gt;=0)),IF(B1534=0,0,IF(C1534=0,B1534/ROUND($B$81*12,0),B1534*(C1534/12)/(1-(1+C1534/12)^(-ROUND($B$81*12,0))))),IF(AND(NOT(AND(1134&gt;$B$173,$B$78="Refinance",ISNUMBER($B$80),$B$80&gt;=0,$B$80&lt;=1,ROUND($B$81*12,0)&gt;=1,$B$81&lt;=100,SUM($B$82)&gt;=0,SUM($B$82)&lt;=1,SUM($B$83)&gt;=0)),OR(1134=1,1134=$B$174+1,AND($B$175&gt;0,1134=$B$175+1))),IF(AND($B$170=1,$B$66&gt;0,OR($B$175=0,1134&lt;=$B$175)),$B$66,IF($B$172-MAX(1134-1,$B$174)&gt;0,IF(B1534=0,0,IF(C1534=0,B1534/($B$172-MAX(1134-1,$B$174)),B1534*(C1534/12)/(1-(1+C1534/12)^(-($B$172-MAX(1134-1,$B$174)))))),"")),D1533)))),""),""))</x:f>
        <x:v>0</x:v>
      </x:c>
      <x:c r="E1534" s="441" t="n">
        <x:f>IF(AND(1134=$B$173,ISNUMBER(D1534)),IF(MAX(0,B1534*(1+C1534/12)-D1534)&lt;MAX(0.0000001,$E$17*0.00000000001),0,MAX(0,B1534*(1+C1534/12)-D1534)),0)</x:f>
        <x:v>0</x:v>
      </x:c>
      <x:c r="F1534" s="441" t="n">
        <x:f>IF($B$78="Cash payoff",E1534,0)</x:f>
        <x:v>0</x:v>
      </x:c>
      <x:c r="G1534" s="441" t="n">
        <x:f>IF(AND(E1534&gt;0,AND($B$78="Refinance",ISNUMBER($B$80),$B$80&gt;=0,$B$80&lt;=1,ROUND($B$81*12,0)&gt;=1,$B$81&lt;=100,SUM($B$82)&gt;=0,SUM($B$82)&lt;=1,SUM($B$83)&gt;=0)),E1534*SUM($B$82)+SUM($B$83),0)</x:f>
        <x:v>0</x:v>
      </x:c>
      <x:c r="H1534" s="441" t="n">
        <x:f>IF(ISNUMBER(D1534),IF(MAX(0,B1534*(1+C1534/12)-D1534-F1534)&lt;MAX(0.0000001,$E$17*0.00000000001),0,MAX(0,B1534*(1+C1534/12)-D1534-F1534)),IF(AND($B$171=1,I1533=1),B1534,""))</x:f>
        <x:v>0</x:v>
      </x:c>
      <x:c r="I1534" s="445" t="n">
        <x:f>IF(OR(I1533=1,AND(E1534&gt;0,$B$78&lt;&gt;"Cash payoff",NOT(AND($B$78="Refinance",ISNUMBER($B$80),$B$80&gt;=0,$B$80&lt;=1,ROUND($B$81*12,0)&gt;=1,$B$81&lt;=100,SUM($B$82)&gt;=0,SUM($B$82)&lt;=1,SUM($B$83)&gt;=0))),AND(ISNUMBER(B1534),B1534&gt;0,$B$171=1,NOT(ISNUMBER(D1534)))),1,0)</x:f>
        <x:v>0</x:v>
      </x:c>
      <x:c r="J1534" s="441" t="n">
        <x:f>IF(ISNUMBER(L1533),L1533,"")</x:f>
        <x:v>0</x:v>
      </x:c>
      <x:c r="K1534" s="441" t="n">
        <x:f>IF(AND(ISNUMBER(J1534),J1534=0),0,IF(AND($B$176=1,ISNUMBER(J1534)),MIN(J1534*(1+$B$87/12),IF($B$86=0,0,IF($B$87=0,$B$86/ROUND($B$88*12,0),$B$86*($B$87/12)/(1-(1+$B$87/12)^(-ROUND($B$88*12,0)))))),""))</x:f>
        <x:v>0</x:v>
      </x:c>
      <x:c r="L1534" s="441" t="n">
        <x:f>IF(ISNUMBER(K1534),IF(MAX(0,J1534*(1+SUM($B$87)/12)-K1534)&lt;MAX(0.0000001,$B$86*0.00000000001),0,MAX(0,J1534*(1+SUM($B$87)/12)-K1534)),"")</x:f>
        <x:v>0</x:v>
      </x:c>
      <x:c r="M1534" s="441" t="n">
        <x:f>IF(AND(ISNUMBER(D1534),ISNUMBER(K1534)),D1534+K1534,"")</x:f>
        <x:v>0</x:v>
      </x:c>
      <x:c r="N1534" s="441" t="n">
        <x:f>IF(AND(ISNUMBER(H1534),ISNUMBER(L1534)),H1534+L1534,"")</x:f>
        <x:v>0</x:v>
      </x:c>
    </x:row>
    <x:row r="1535">
      <x:c r="A1535" t="n">
        <x:f>1135</x:f>
        <x:v>1135</x:v>
      </x:c>
      <x:c r="B1535" s="441" t="n">
        <x:f>IF(ISNUMBER(H1534),H1534,"")</x:f>
        <x:v>0</x:v>
      </x:c>
      <x:c r="C1535" s="443" t="n">
        <x:f>IF(ISNUMBER(B1535),IF(AND(1135&gt;$B$173,$B$78="Refinance",ISNUMBER($B$80),$B$80&gt;=0,$B$80&lt;=1,ROUND($B$81*12,0)&gt;=1,$B$81&lt;=100,SUM($B$82)&gt;=0,SUM($B$82)&lt;=1,SUM($B$83)&gt;=0),$B$80,IF(AND($B$175&gt;0,1135&gt;$B$175,ISNUMBER($B$75)),$B$75,$B$61)),"")</x:f>
        <x:v>0.0625</x:v>
      </x:c>
      <x:c r="D1535" s="441" t="n">
        <x:f>IF(AND(ISNUMBER(B1535),B1535=0),0,IF(AND($B$171=1,I1534=0,ISNUMBER(C1535),ISNUMBER(IF(AND(1135&lt;=$B$174,1135&lt;=$B$173),B1535*C1535/12,IF(AND(1135=$B$173+1,AND(1135&gt;$B$173,$B$78="Refinance",ISNUMBER($B$80),$B$80&gt;=0,$B$80&lt;=1,ROUND($B$81*12,0)&gt;=1,$B$81&lt;=100,SUM($B$82)&gt;=0,SUM($B$82)&lt;=1,SUM($B$83)&gt;=0)),IF(B1535=0,0,IF(C1535=0,B1535/ROUND($B$81*12,0),B1535*(C1535/12)/(1-(1+C1535/12)^(-ROUND($B$81*12,0))))),IF(AND(NOT(AND(1135&gt;$B$173,$B$78="Refinance",ISNUMBER($B$80),$B$80&gt;=0,$B$80&lt;=1,ROUND($B$81*12,0)&gt;=1,$B$81&lt;=100,SUM($B$82)&gt;=0,SUM($B$82)&lt;=1,SUM($B$83)&gt;=0)),OR(1135=1,1135=$B$174+1,AND($B$175&gt;0,1135=$B$175+1))),IF(AND($B$170=1,$B$66&gt;0,OR($B$175=0,1135&lt;=$B$175)),$B$66,IF($B$172-MAX(1135-1,$B$174)&gt;0,IF(B1535=0,0,IF(C1535=0,B1535/($B$172-MAX(1135-1,$B$174)),B1535*(C1535/12)/(1-(1+C1535/12)^(-($B$172-MAX(1135-1,$B$174)))))),"")),D1534))))),IF(IF(AND(1135&lt;=$B$174,1135&lt;=$B$173),B1535*C1535/12,IF(AND(1135=$B$173+1,AND(1135&gt;$B$173,$B$78="Refinance",ISNUMBER($B$80),$B$80&gt;=0,$B$80&lt;=1,ROUND($B$81*12,0)&gt;=1,$B$81&lt;=100,SUM($B$82)&gt;=0,SUM($B$82)&lt;=1,SUM($B$83)&gt;=0)),IF(B1535=0,0,IF(C1535=0,B1535/ROUND($B$81*12,0),B1535*(C1535/12)/(1-(1+C1535/12)^(-ROUND($B$81*12,0))))),IF(AND(NOT(AND(1135&gt;$B$173,$B$78="Refinance",ISNUMBER($B$80),$B$80&gt;=0,$B$80&lt;=1,ROUND($B$81*12,0)&gt;=1,$B$81&lt;=100,SUM($B$82)&gt;=0,SUM($B$82)&lt;=1,SUM($B$83)&gt;=0)),OR(1135=1,1135=$B$174+1,AND($B$175&gt;0,1135=$B$175+1))),IF(AND($B$170=1,$B$66&gt;0,OR($B$175=0,1135&lt;=$B$175)),$B$66,IF($B$172-MAX(1135-1,$B$174)&gt;0,IF(B1535=0,0,IF(C1535=0,B1535/($B$172-MAX(1135-1,$B$174)),B1535*(C1535/12)/(1-(1+C1535/12)^(-($B$172-MAX(1135-1,$B$174)))))),"")),D1534)))+0.0000001&gt;=B1535*C1535/12,MIN(B1535*(1+C1535/12),IF(AND(1135&lt;=$B$174,1135&lt;=$B$173),B1535*C1535/12,IF(AND(1135=$B$173+1,AND(1135&gt;$B$173,$B$78="Refinance",ISNUMBER($B$80),$B$80&gt;=0,$B$80&lt;=1,ROUND($B$81*12,0)&gt;=1,$B$81&lt;=100,SUM($B$82)&gt;=0,SUM($B$82)&lt;=1,SUM($B$83)&gt;=0)),IF(B1535=0,0,IF(C1535=0,B1535/ROUND($B$81*12,0),B1535*(C1535/12)/(1-(1+C1535/12)^(-ROUND($B$81*12,0))))),IF(AND(NOT(AND(1135&gt;$B$173,$B$78="Refinance",ISNUMBER($B$80),$B$80&gt;=0,$B$80&lt;=1,ROUND($B$81*12,0)&gt;=1,$B$81&lt;=100,SUM($B$82)&gt;=0,SUM($B$82)&lt;=1,SUM($B$83)&gt;=0)),OR(1135=1,1135=$B$174+1,AND($B$175&gt;0,1135=$B$175+1))),IF(AND($B$170=1,$B$66&gt;0,OR($B$175=0,1135&lt;=$B$175)),$B$66,IF($B$172-MAX(1135-1,$B$174)&gt;0,IF(B1535=0,0,IF(C1535=0,B1535/($B$172-MAX(1135-1,$B$174)),B1535*(C1535/12)/(1-(1+C1535/12)^(-($B$172-MAX(1135-1,$B$174)))))),"")),D1534)))),""),""))</x:f>
        <x:v>0</x:v>
      </x:c>
      <x:c r="E1535" s="441" t="n">
        <x:f>IF(AND(1135=$B$173,ISNUMBER(D1535)),IF(MAX(0,B1535*(1+C1535/12)-D1535)&lt;MAX(0.0000001,$E$17*0.00000000001),0,MAX(0,B1535*(1+C1535/12)-D1535)),0)</x:f>
        <x:v>0</x:v>
      </x:c>
      <x:c r="F1535" s="441" t="n">
        <x:f>IF($B$78="Cash payoff",E1535,0)</x:f>
        <x:v>0</x:v>
      </x:c>
      <x:c r="G1535" s="441" t="n">
        <x:f>IF(AND(E1535&gt;0,AND($B$78="Refinance",ISNUMBER($B$80),$B$80&gt;=0,$B$80&lt;=1,ROUND($B$81*12,0)&gt;=1,$B$81&lt;=100,SUM($B$82)&gt;=0,SUM($B$82)&lt;=1,SUM($B$83)&gt;=0)),E1535*SUM($B$82)+SUM($B$83),0)</x:f>
        <x:v>0</x:v>
      </x:c>
      <x:c r="H1535" s="441" t="n">
        <x:f>IF(ISNUMBER(D1535),IF(MAX(0,B1535*(1+C1535/12)-D1535-F1535)&lt;MAX(0.0000001,$E$17*0.00000000001),0,MAX(0,B1535*(1+C1535/12)-D1535-F1535)),IF(AND($B$171=1,I1534=1),B1535,""))</x:f>
        <x:v>0</x:v>
      </x:c>
      <x:c r="I1535" s="445" t="n">
        <x:f>IF(OR(I1534=1,AND(E1535&gt;0,$B$78&lt;&gt;"Cash payoff",NOT(AND($B$78="Refinance",ISNUMBER($B$80),$B$80&gt;=0,$B$80&lt;=1,ROUND($B$81*12,0)&gt;=1,$B$81&lt;=100,SUM($B$82)&gt;=0,SUM($B$82)&lt;=1,SUM($B$83)&gt;=0))),AND(ISNUMBER(B1535),B1535&gt;0,$B$171=1,NOT(ISNUMBER(D1535)))),1,0)</x:f>
        <x:v>0</x:v>
      </x:c>
      <x:c r="J1535" s="441" t="n">
        <x:f>IF(ISNUMBER(L1534),L1534,"")</x:f>
        <x:v>0</x:v>
      </x:c>
      <x:c r="K1535" s="441" t="n">
        <x:f>IF(AND(ISNUMBER(J1535),J1535=0),0,IF(AND($B$176=1,ISNUMBER(J1535)),MIN(J1535*(1+$B$87/12),IF($B$86=0,0,IF($B$87=0,$B$86/ROUND($B$88*12,0),$B$86*($B$87/12)/(1-(1+$B$87/12)^(-ROUND($B$88*12,0)))))),""))</x:f>
        <x:v>0</x:v>
      </x:c>
      <x:c r="L1535" s="441" t="n">
        <x:f>IF(ISNUMBER(K1535),IF(MAX(0,J1535*(1+SUM($B$87)/12)-K1535)&lt;MAX(0.0000001,$B$86*0.00000000001),0,MAX(0,J1535*(1+SUM($B$87)/12)-K1535)),"")</x:f>
        <x:v>0</x:v>
      </x:c>
      <x:c r="M1535" s="441" t="n">
        <x:f>IF(AND(ISNUMBER(D1535),ISNUMBER(K1535)),D1535+K1535,"")</x:f>
        <x:v>0</x:v>
      </x:c>
      <x:c r="N1535" s="441" t="n">
        <x:f>IF(AND(ISNUMBER(H1535),ISNUMBER(L1535)),H1535+L1535,"")</x:f>
        <x:v>0</x:v>
      </x:c>
    </x:row>
    <x:row r="1536">
      <x:c r="A1536" t="n">
        <x:f>1136</x:f>
        <x:v>1136</x:v>
      </x:c>
      <x:c r="B1536" s="441" t="n">
        <x:f>IF(ISNUMBER(H1535),H1535,"")</x:f>
        <x:v>0</x:v>
      </x:c>
      <x:c r="C1536" s="443" t="n">
        <x:f>IF(ISNUMBER(B1536),IF(AND(1136&gt;$B$173,$B$78="Refinance",ISNUMBER($B$80),$B$80&gt;=0,$B$80&lt;=1,ROUND($B$81*12,0)&gt;=1,$B$81&lt;=100,SUM($B$82)&gt;=0,SUM($B$82)&lt;=1,SUM($B$83)&gt;=0),$B$80,IF(AND($B$175&gt;0,1136&gt;$B$175,ISNUMBER($B$75)),$B$75,$B$61)),"")</x:f>
        <x:v>0.0625</x:v>
      </x:c>
      <x:c r="D1536" s="441" t="n">
        <x:f>IF(AND(ISNUMBER(B1536),B1536=0),0,IF(AND($B$171=1,I1535=0,ISNUMBER(C1536),ISNUMBER(IF(AND(1136&lt;=$B$174,1136&lt;=$B$173),B1536*C1536/12,IF(AND(1136=$B$173+1,AND(1136&gt;$B$173,$B$78="Refinance",ISNUMBER($B$80),$B$80&gt;=0,$B$80&lt;=1,ROUND($B$81*12,0)&gt;=1,$B$81&lt;=100,SUM($B$82)&gt;=0,SUM($B$82)&lt;=1,SUM($B$83)&gt;=0)),IF(B1536=0,0,IF(C1536=0,B1536/ROUND($B$81*12,0),B1536*(C1536/12)/(1-(1+C1536/12)^(-ROUND($B$81*12,0))))),IF(AND(NOT(AND(1136&gt;$B$173,$B$78="Refinance",ISNUMBER($B$80),$B$80&gt;=0,$B$80&lt;=1,ROUND($B$81*12,0)&gt;=1,$B$81&lt;=100,SUM($B$82)&gt;=0,SUM($B$82)&lt;=1,SUM($B$83)&gt;=0)),OR(1136=1,1136=$B$174+1,AND($B$175&gt;0,1136=$B$175+1))),IF(AND($B$170=1,$B$66&gt;0,OR($B$175=0,1136&lt;=$B$175)),$B$66,IF($B$172-MAX(1136-1,$B$174)&gt;0,IF(B1536=0,0,IF(C1536=0,B1536/($B$172-MAX(1136-1,$B$174)),B1536*(C1536/12)/(1-(1+C1536/12)^(-($B$172-MAX(1136-1,$B$174)))))),"")),D1535))))),IF(IF(AND(1136&lt;=$B$174,1136&lt;=$B$173),B1536*C1536/12,IF(AND(1136=$B$173+1,AND(1136&gt;$B$173,$B$78="Refinance",ISNUMBER($B$80),$B$80&gt;=0,$B$80&lt;=1,ROUND($B$81*12,0)&gt;=1,$B$81&lt;=100,SUM($B$82)&gt;=0,SUM($B$82)&lt;=1,SUM($B$83)&gt;=0)),IF(B1536=0,0,IF(C1536=0,B1536/ROUND($B$81*12,0),B1536*(C1536/12)/(1-(1+C1536/12)^(-ROUND($B$81*12,0))))),IF(AND(NOT(AND(1136&gt;$B$173,$B$78="Refinance",ISNUMBER($B$80),$B$80&gt;=0,$B$80&lt;=1,ROUND($B$81*12,0)&gt;=1,$B$81&lt;=100,SUM($B$82)&gt;=0,SUM($B$82)&lt;=1,SUM($B$83)&gt;=0)),OR(1136=1,1136=$B$174+1,AND($B$175&gt;0,1136=$B$175+1))),IF(AND($B$170=1,$B$66&gt;0,OR($B$175=0,1136&lt;=$B$175)),$B$66,IF($B$172-MAX(1136-1,$B$174)&gt;0,IF(B1536=0,0,IF(C1536=0,B1536/($B$172-MAX(1136-1,$B$174)),B1536*(C1536/12)/(1-(1+C1536/12)^(-($B$172-MAX(1136-1,$B$174)))))),"")),D1535)))+0.0000001&gt;=B1536*C1536/12,MIN(B1536*(1+C1536/12),IF(AND(1136&lt;=$B$174,1136&lt;=$B$173),B1536*C1536/12,IF(AND(1136=$B$173+1,AND(1136&gt;$B$173,$B$78="Refinance",ISNUMBER($B$80),$B$80&gt;=0,$B$80&lt;=1,ROUND($B$81*12,0)&gt;=1,$B$81&lt;=100,SUM($B$82)&gt;=0,SUM($B$82)&lt;=1,SUM($B$83)&gt;=0)),IF(B1536=0,0,IF(C1536=0,B1536/ROUND($B$81*12,0),B1536*(C1536/12)/(1-(1+C1536/12)^(-ROUND($B$81*12,0))))),IF(AND(NOT(AND(1136&gt;$B$173,$B$78="Refinance",ISNUMBER($B$80),$B$80&gt;=0,$B$80&lt;=1,ROUND($B$81*12,0)&gt;=1,$B$81&lt;=100,SUM($B$82)&gt;=0,SUM($B$82)&lt;=1,SUM($B$83)&gt;=0)),OR(1136=1,1136=$B$174+1,AND($B$175&gt;0,1136=$B$175+1))),IF(AND($B$170=1,$B$66&gt;0,OR($B$175=0,1136&lt;=$B$175)),$B$66,IF($B$172-MAX(1136-1,$B$174)&gt;0,IF(B1536=0,0,IF(C1536=0,B1536/($B$172-MAX(1136-1,$B$174)),B1536*(C1536/12)/(1-(1+C1536/12)^(-($B$172-MAX(1136-1,$B$174)))))),"")),D1535)))),""),""))</x:f>
        <x:v>0</x:v>
      </x:c>
      <x:c r="E1536" s="441" t="n">
        <x:f>IF(AND(1136=$B$173,ISNUMBER(D1536)),IF(MAX(0,B1536*(1+C1536/12)-D1536)&lt;MAX(0.0000001,$E$17*0.00000000001),0,MAX(0,B1536*(1+C1536/12)-D1536)),0)</x:f>
        <x:v>0</x:v>
      </x:c>
      <x:c r="F1536" s="441" t="n">
        <x:f>IF($B$78="Cash payoff",E1536,0)</x:f>
        <x:v>0</x:v>
      </x:c>
      <x:c r="G1536" s="441" t="n">
        <x:f>IF(AND(E1536&gt;0,AND($B$78="Refinance",ISNUMBER($B$80),$B$80&gt;=0,$B$80&lt;=1,ROUND($B$81*12,0)&gt;=1,$B$81&lt;=100,SUM($B$82)&gt;=0,SUM($B$82)&lt;=1,SUM($B$83)&gt;=0)),E1536*SUM($B$82)+SUM($B$83),0)</x:f>
        <x:v>0</x:v>
      </x:c>
      <x:c r="H1536" s="441" t="n">
        <x:f>IF(ISNUMBER(D1536),IF(MAX(0,B1536*(1+C1536/12)-D1536-F1536)&lt;MAX(0.0000001,$E$17*0.00000000001),0,MAX(0,B1536*(1+C1536/12)-D1536-F1536)),IF(AND($B$171=1,I1535=1),B1536,""))</x:f>
        <x:v>0</x:v>
      </x:c>
      <x:c r="I1536" s="445" t="n">
        <x:f>IF(OR(I1535=1,AND(E1536&gt;0,$B$78&lt;&gt;"Cash payoff",NOT(AND($B$78="Refinance",ISNUMBER($B$80),$B$80&gt;=0,$B$80&lt;=1,ROUND($B$81*12,0)&gt;=1,$B$81&lt;=100,SUM($B$82)&gt;=0,SUM($B$82)&lt;=1,SUM($B$83)&gt;=0))),AND(ISNUMBER(B1536),B1536&gt;0,$B$171=1,NOT(ISNUMBER(D1536)))),1,0)</x:f>
        <x:v>0</x:v>
      </x:c>
      <x:c r="J1536" s="441" t="n">
        <x:f>IF(ISNUMBER(L1535),L1535,"")</x:f>
        <x:v>0</x:v>
      </x:c>
      <x:c r="K1536" s="441" t="n">
        <x:f>IF(AND(ISNUMBER(J1536),J1536=0),0,IF(AND($B$176=1,ISNUMBER(J1536)),MIN(J1536*(1+$B$87/12),IF($B$86=0,0,IF($B$87=0,$B$86/ROUND($B$88*12,0),$B$86*($B$87/12)/(1-(1+$B$87/12)^(-ROUND($B$88*12,0)))))),""))</x:f>
        <x:v>0</x:v>
      </x:c>
      <x:c r="L1536" s="441" t="n">
        <x:f>IF(ISNUMBER(K1536),IF(MAX(0,J1536*(1+SUM($B$87)/12)-K1536)&lt;MAX(0.0000001,$B$86*0.00000000001),0,MAX(0,J1536*(1+SUM($B$87)/12)-K1536)),"")</x:f>
        <x:v>0</x:v>
      </x:c>
      <x:c r="M1536" s="441" t="n">
        <x:f>IF(AND(ISNUMBER(D1536),ISNUMBER(K1536)),D1536+K1536,"")</x:f>
        <x:v>0</x:v>
      </x:c>
      <x:c r="N1536" s="441" t="n">
        <x:f>IF(AND(ISNUMBER(H1536),ISNUMBER(L1536)),H1536+L1536,"")</x:f>
        <x:v>0</x:v>
      </x:c>
    </x:row>
    <x:row r="1537">
      <x:c r="A1537" t="n">
        <x:f>1137</x:f>
        <x:v>1137</x:v>
      </x:c>
      <x:c r="B1537" s="441" t="n">
        <x:f>IF(ISNUMBER(H1536),H1536,"")</x:f>
        <x:v>0</x:v>
      </x:c>
      <x:c r="C1537" s="443" t="n">
        <x:f>IF(ISNUMBER(B1537),IF(AND(1137&gt;$B$173,$B$78="Refinance",ISNUMBER($B$80),$B$80&gt;=0,$B$80&lt;=1,ROUND($B$81*12,0)&gt;=1,$B$81&lt;=100,SUM($B$82)&gt;=0,SUM($B$82)&lt;=1,SUM($B$83)&gt;=0),$B$80,IF(AND($B$175&gt;0,1137&gt;$B$175,ISNUMBER($B$75)),$B$75,$B$61)),"")</x:f>
        <x:v>0.0625</x:v>
      </x:c>
      <x:c r="D1537" s="441" t="n">
        <x:f>IF(AND(ISNUMBER(B1537),B1537=0),0,IF(AND($B$171=1,I1536=0,ISNUMBER(C1537),ISNUMBER(IF(AND(1137&lt;=$B$174,1137&lt;=$B$173),B1537*C1537/12,IF(AND(1137=$B$173+1,AND(1137&gt;$B$173,$B$78="Refinance",ISNUMBER($B$80),$B$80&gt;=0,$B$80&lt;=1,ROUND($B$81*12,0)&gt;=1,$B$81&lt;=100,SUM($B$82)&gt;=0,SUM($B$82)&lt;=1,SUM($B$83)&gt;=0)),IF(B1537=0,0,IF(C1537=0,B1537/ROUND($B$81*12,0),B1537*(C1537/12)/(1-(1+C1537/12)^(-ROUND($B$81*12,0))))),IF(AND(NOT(AND(1137&gt;$B$173,$B$78="Refinance",ISNUMBER($B$80),$B$80&gt;=0,$B$80&lt;=1,ROUND($B$81*12,0)&gt;=1,$B$81&lt;=100,SUM($B$82)&gt;=0,SUM($B$82)&lt;=1,SUM($B$83)&gt;=0)),OR(1137=1,1137=$B$174+1,AND($B$175&gt;0,1137=$B$175+1))),IF(AND($B$170=1,$B$66&gt;0,OR($B$175=0,1137&lt;=$B$175)),$B$66,IF($B$172-MAX(1137-1,$B$174)&gt;0,IF(B1537=0,0,IF(C1537=0,B1537/($B$172-MAX(1137-1,$B$174)),B1537*(C1537/12)/(1-(1+C1537/12)^(-($B$172-MAX(1137-1,$B$174)))))),"")),D1536))))),IF(IF(AND(1137&lt;=$B$174,1137&lt;=$B$173),B1537*C1537/12,IF(AND(1137=$B$173+1,AND(1137&gt;$B$173,$B$78="Refinance",ISNUMBER($B$80),$B$80&gt;=0,$B$80&lt;=1,ROUND($B$81*12,0)&gt;=1,$B$81&lt;=100,SUM($B$82)&gt;=0,SUM($B$82)&lt;=1,SUM($B$83)&gt;=0)),IF(B1537=0,0,IF(C1537=0,B1537/ROUND($B$81*12,0),B1537*(C1537/12)/(1-(1+C1537/12)^(-ROUND($B$81*12,0))))),IF(AND(NOT(AND(1137&gt;$B$173,$B$78="Refinance",ISNUMBER($B$80),$B$80&gt;=0,$B$80&lt;=1,ROUND($B$81*12,0)&gt;=1,$B$81&lt;=100,SUM($B$82)&gt;=0,SUM($B$82)&lt;=1,SUM($B$83)&gt;=0)),OR(1137=1,1137=$B$174+1,AND($B$175&gt;0,1137=$B$175+1))),IF(AND($B$170=1,$B$66&gt;0,OR($B$175=0,1137&lt;=$B$175)),$B$66,IF($B$172-MAX(1137-1,$B$174)&gt;0,IF(B1537=0,0,IF(C1537=0,B1537/($B$172-MAX(1137-1,$B$174)),B1537*(C1537/12)/(1-(1+C1537/12)^(-($B$172-MAX(1137-1,$B$174)))))),"")),D1536)))+0.0000001&gt;=B1537*C1537/12,MIN(B1537*(1+C1537/12),IF(AND(1137&lt;=$B$174,1137&lt;=$B$173),B1537*C1537/12,IF(AND(1137=$B$173+1,AND(1137&gt;$B$173,$B$78="Refinance",ISNUMBER($B$80),$B$80&gt;=0,$B$80&lt;=1,ROUND($B$81*12,0)&gt;=1,$B$81&lt;=100,SUM($B$82)&gt;=0,SUM($B$82)&lt;=1,SUM($B$83)&gt;=0)),IF(B1537=0,0,IF(C1537=0,B1537/ROUND($B$81*12,0),B1537*(C1537/12)/(1-(1+C1537/12)^(-ROUND($B$81*12,0))))),IF(AND(NOT(AND(1137&gt;$B$173,$B$78="Refinance",ISNUMBER($B$80),$B$80&gt;=0,$B$80&lt;=1,ROUND($B$81*12,0)&gt;=1,$B$81&lt;=100,SUM($B$82)&gt;=0,SUM($B$82)&lt;=1,SUM($B$83)&gt;=0)),OR(1137=1,1137=$B$174+1,AND($B$175&gt;0,1137=$B$175+1))),IF(AND($B$170=1,$B$66&gt;0,OR($B$175=0,1137&lt;=$B$175)),$B$66,IF($B$172-MAX(1137-1,$B$174)&gt;0,IF(B1537=0,0,IF(C1537=0,B1537/($B$172-MAX(1137-1,$B$174)),B1537*(C1537/12)/(1-(1+C1537/12)^(-($B$172-MAX(1137-1,$B$174)))))),"")),D1536)))),""),""))</x:f>
        <x:v>0</x:v>
      </x:c>
      <x:c r="E1537" s="441" t="n">
        <x:f>IF(AND(1137=$B$173,ISNUMBER(D1537)),IF(MAX(0,B1537*(1+C1537/12)-D1537)&lt;MAX(0.0000001,$E$17*0.00000000001),0,MAX(0,B1537*(1+C1537/12)-D1537)),0)</x:f>
        <x:v>0</x:v>
      </x:c>
      <x:c r="F1537" s="441" t="n">
        <x:f>IF($B$78="Cash payoff",E1537,0)</x:f>
        <x:v>0</x:v>
      </x:c>
      <x:c r="G1537" s="441" t="n">
        <x:f>IF(AND(E1537&gt;0,AND($B$78="Refinance",ISNUMBER($B$80),$B$80&gt;=0,$B$80&lt;=1,ROUND($B$81*12,0)&gt;=1,$B$81&lt;=100,SUM($B$82)&gt;=0,SUM($B$82)&lt;=1,SUM($B$83)&gt;=0)),E1537*SUM($B$82)+SUM($B$83),0)</x:f>
        <x:v>0</x:v>
      </x:c>
      <x:c r="H1537" s="441" t="n">
        <x:f>IF(ISNUMBER(D1537),IF(MAX(0,B1537*(1+C1537/12)-D1537-F1537)&lt;MAX(0.0000001,$E$17*0.00000000001),0,MAX(0,B1537*(1+C1537/12)-D1537-F1537)),IF(AND($B$171=1,I1536=1),B1537,""))</x:f>
        <x:v>0</x:v>
      </x:c>
      <x:c r="I1537" s="445" t="n">
        <x:f>IF(OR(I1536=1,AND(E1537&gt;0,$B$78&lt;&gt;"Cash payoff",NOT(AND($B$78="Refinance",ISNUMBER($B$80),$B$80&gt;=0,$B$80&lt;=1,ROUND($B$81*12,0)&gt;=1,$B$81&lt;=100,SUM($B$82)&gt;=0,SUM($B$82)&lt;=1,SUM($B$83)&gt;=0))),AND(ISNUMBER(B1537),B1537&gt;0,$B$171=1,NOT(ISNUMBER(D1537)))),1,0)</x:f>
        <x:v>0</x:v>
      </x:c>
      <x:c r="J1537" s="441" t="n">
        <x:f>IF(ISNUMBER(L1536),L1536,"")</x:f>
        <x:v>0</x:v>
      </x:c>
      <x:c r="K1537" s="441" t="n">
        <x:f>IF(AND(ISNUMBER(J1537),J1537=0),0,IF(AND($B$176=1,ISNUMBER(J1537)),MIN(J1537*(1+$B$87/12),IF($B$86=0,0,IF($B$87=0,$B$86/ROUND($B$88*12,0),$B$86*($B$87/12)/(1-(1+$B$87/12)^(-ROUND($B$88*12,0)))))),""))</x:f>
        <x:v>0</x:v>
      </x:c>
      <x:c r="L1537" s="441" t="n">
        <x:f>IF(ISNUMBER(K1537),IF(MAX(0,J1537*(1+SUM($B$87)/12)-K1537)&lt;MAX(0.0000001,$B$86*0.00000000001),0,MAX(0,J1537*(1+SUM($B$87)/12)-K1537)),"")</x:f>
        <x:v>0</x:v>
      </x:c>
      <x:c r="M1537" s="441" t="n">
        <x:f>IF(AND(ISNUMBER(D1537),ISNUMBER(K1537)),D1537+K1537,"")</x:f>
        <x:v>0</x:v>
      </x:c>
      <x:c r="N1537" s="441" t="n">
        <x:f>IF(AND(ISNUMBER(H1537),ISNUMBER(L1537)),H1537+L1537,"")</x:f>
        <x:v>0</x:v>
      </x:c>
    </x:row>
    <x:row r="1538">
      <x:c r="A1538" t="n">
        <x:f>1138</x:f>
        <x:v>1138</x:v>
      </x:c>
      <x:c r="B1538" s="441" t="n">
        <x:f>IF(ISNUMBER(H1537),H1537,"")</x:f>
        <x:v>0</x:v>
      </x:c>
      <x:c r="C1538" s="443" t="n">
        <x:f>IF(ISNUMBER(B1538),IF(AND(1138&gt;$B$173,$B$78="Refinance",ISNUMBER($B$80),$B$80&gt;=0,$B$80&lt;=1,ROUND($B$81*12,0)&gt;=1,$B$81&lt;=100,SUM($B$82)&gt;=0,SUM($B$82)&lt;=1,SUM($B$83)&gt;=0),$B$80,IF(AND($B$175&gt;0,1138&gt;$B$175,ISNUMBER($B$75)),$B$75,$B$61)),"")</x:f>
        <x:v>0.0625</x:v>
      </x:c>
      <x:c r="D1538" s="441" t="n">
        <x:f>IF(AND(ISNUMBER(B1538),B1538=0),0,IF(AND($B$171=1,I1537=0,ISNUMBER(C1538),ISNUMBER(IF(AND(1138&lt;=$B$174,1138&lt;=$B$173),B1538*C1538/12,IF(AND(1138=$B$173+1,AND(1138&gt;$B$173,$B$78="Refinance",ISNUMBER($B$80),$B$80&gt;=0,$B$80&lt;=1,ROUND($B$81*12,0)&gt;=1,$B$81&lt;=100,SUM($B$82)&gt;=0,SUM($B$82)&lt;=1,SUM($B$83)&gt;=0)),IF(B1538=0,0,IF(C1538=0,B1538/ROUND($B$81*12,0),B1538*(C1538/12)/(1-(1+C1538/12)^(-ROUND($B$81*12,0))))),IF(AND(NOT(AND(1138&gt;$B$173,$B$78="Refinance",ISNUMBER($B$80),$B$80&gt;=0,$B$80&lt;=1,ROUND($B$81*12,0)&gt;=1,$B$81&lt;=100,SUM($B$82)&gt;=0,SUM($B$82)&lt;=1,SUM($B$83)&gt;=0)),OR(1138=1,1138=$B$174+1,AND($B$175&gt;0,1138=$B$175+1))),IF(AND($B$170=1,$B$66&gt;0,OR($B$175=0,1138&lt;=$B$175)),$B$66,IF($B$172-MAX(1138-1,$B$174)&gt;0,IF(B1538=0,0,IF(C1538=0,B1538/($B$172-MAX(1138-1,$B$174)),B1538*(C1538/12)/(1-(1+C1538/12)^(-($B$172-MAX(1138-1,$B$174)))))),"")),D1537))))),IF(IF(AND(1138&lt;=$B$174,1138&lt;=$B$173),B1538*C1538/12,IF(AND(1138=$B$173+1,AND(1138&gt;$B$173,$B$78="Refinance",ISNUMBER($B$80),$B$80&gt;=0,$B$80&lt;=1,ROUND($B$81*12,0)&gt;=1,$B$81&lt;=100,SUM($B$82)&gt;=0,SUM($B$82)&lt;=1,SUM($B$83)&gt;=0)),IF(B1538=0,0,IF(C1538=0,B1538/ROUND($B$81*12,0),B1538*(C1538/12)/(1-(1+C1538/12)^(-ROUND($B$81*12,0))))),IF(AND(NOT(AND(1138&gt;$B$173,$B$78="Refinance",ISNUMBER($B$80),$B$80&gt;=0,$B$80&lt;=1,ROUND($B$81*12,0)&gt;=1,$B$81&lt;=100,SUM($B$82)&gt;=0,SUM($B$82)&lt;=1,SUM($B$83)&gt;=0)),OR(1138=1,1138=$B$174+1,AND($B$175&gt;0,1138=$B$175+1))),IF(AND($B$170=1,$B$66&gt;0,OR($B$175=0,1138&lt;=$B$175)),$B$66,IF($B$172-MAX(1138-1,$B$174)&gt;0,IF(B1538=0,0,IF(C1538=0,B1538/($B$172-MAX(1138-1,$B$174)),B1538*(C1538/12)/(1-(1+C1538/12)^(-($B$172-MAX(1138-1,$B$174)))))),"")),D1537)))+0.0000001&gt;=B1538*C1538/12,MIN(B1538*(1+C1538/12),IF(AND(1138&lt;=$B$174,1138&lt;=$B$173),B1538*C1538/12,IF(AND(1138=$B$173+1,AND(1138&gt;$B$173,$B$78="Refinance",ISNUMBER($B$80),$B$80&gt;=0,$B$80&lt;=1,ROUND($B$81*12,0)&gt;=1,$B$81&lt;=100,SUM($B$82)&gt;=0,SUM($B$82)&lt;=1,SUM($B$83)&gt;=0)),IF(B1538=0,0,IF(C1538=0,B1538/ROUND($B$81*12,0),B1538*(C1538/12)/(1-(1+C1538/12)^(-ROUND($B$81*12,0))))),IF(AND(NOT(AND(1138&gt;$B$173,$B$78="Refinance",ISNUMBER($B$80),$B$80&gt;=0,$B$80&lt;=1,ROUND($B$81*12,0)&gt;=1,$B$81&lt;=100,SUM($B$82)&gt;=0,SUM($B$82)&lt;=1,SUM($B$83)&gt;=0)),OR(1138=1,1138=$B$174+1,AND($B$175&gt;0,1138=$B$175+1))),IF(AND($B$170=1,$B$66&gt;0,OR($B$175=0,1138&lt;=$B$175)),$B$66,IF($B$172-MAX(1138-1,$B$174)&gt;0,IF(B1538=0,0,IF(C1538=0,B1538/($B$172-MAX(1138-1,$B$174)),B1538*(C1538/12)/(1-(1+C1538/12)^(-($B$172-MAX(1138-1,$B$174)))))),"")),D1537)))),""),""))</x:f>
        <x:v>0</x:v>
      </x:c>
      <x:c r="E1538" s="441" t="n">
        <x:f>IF(AND(1138=$B$173,ISNUMBER(D1538)),IF(MAX(0,B1538*(1+C1538/12)-D1538)&lt;MAX(0.0000001,$E$17*0.00000000001),0,MAX(0,B1538*(1+C1538/12)-D1538)),0)</x:f>
        <x:v>0</x:v>
      </x:c>
      <x:c r="F1538" s="441" t="n">
        <x:f>IF($B$78="Cash payoff",E1538,0)</x:f>
        <x:v>0</x:v>
      </x:c>
      <x:c r="G1538" s="441" t="n">
        <x:f>IF(AND(E1538&gt;0,AND($B$78="Refinance",ISNUMBER($B$80),$B$80&gt;=0,$B$80&lt;=1,ROUND($B$81*12,0)&gt;=1,$B$81&lt;=100,SUM($B$82)&gt;=0,SUM($B$82)&lt;=1,SUM($B$83)&gt;=0)),E1538*SUM($B$82)+SUM($B$83),0)</x:f>
        <x:v>0</x:v>
      </x:c>
      <x:c r="H1538" s="441" t="n">
        <x:f>IF(ISNUMBER(D1538),IF(MAX(0,B1538*(1+C1538/12)-D1538-F1538)&lt;MAX(0.0000001,$E$17*0.00000000001),0,MAX(0,B1538*(1+C1538/12)-D1538-F1538)),IF(AND($B$171=1,I1537=1),B1538,""))</x:f>
        <x:v>0</x:v>
      </x:c>
      <x:c r="I1538" s="445" t="n">
        <x:f>IF(OR(I1537=1,AND(E1538&gt;0,$B$78&lt;&gt;"Cash payoff",NOT(AND($B$78="Refinance",ISNUMBER($B$80),$B$80&gt;=0,$B$80&lt;=1,ROUND($B$81*12,0)&gt;=1,$B$81&lt;=100,SUM($B$82)&gt;=0,SUM($B$82)&lt;=1,SUM($B$83)&gt;=0))),AND(ISNUMBER(B1538),B1538&gt;0,$B$171=1,NOT(ISNUMBER(D1538)))),1,0)</x:f>
        <x:v>0</x:v>
      </x:c>
      <x:c r="J1538" s="441" t="n">
        <x:f>IF(ISNUMBER(L1537),L1537,"")</x:f>
        <x:v>0</x:v>
      </x:c>
      <x:c r="K1538" s="441" t="n">
        <x:f>IF(AND(ISNUMBER(J1538),J1538=0),0,IF(AND($B$176=1,ISNUMBER(J1538)),MIN(J1538*(1+$B$87/12),IF($B$86=0,0,IF($B$87=0,$B$86/ROUND($B$88*12,0),$B$86*($B$87/12)/(1-(1+$B$87/12)^(-ROUND($B$88*12,0)))))),""))</x:f>
        <x:v>0</x:v>
      </x:c>
      <x:c r="L1538" s="441" t="n">
        <x:f>IF(ISNUMBER(K1538),IF(MAX(0,J1538*(1+SUM($B$87)/12)-K1538)&lt;MAX(0.0000001,$B$86*0.00000000001),0,MAX(0,J1538*(1+SUM($B$87)/12)-K1538)),"")</x:f>
        <x:v>0</x:v>
      </x:c>
      <x:c r="M1538" s="441" t="n">
        <x:f>IF(AND(ISNUMBER(D1538),ISNUMBER(K1538)),D1538+K1538,"")</x:f>
        <x:v>0</x:v>
      </x:c>
      <x:c r="N1538" s="441" t="n">
        <x:f>IF(AND(ISNUMBER(H1538),ISNUMBER(L1538)),H1538+L1538,"")</x:f>
        <x:v>0</x:v>
      </x:c>
    </x:row>
    <x:row r="1539">
      <x:c r="A1539" t="n">
        <x:f>1139</x:f>
        <x:v>1139</x:v>
      </x:c>
      <x:c r="B1539" s="441" t="n">
        <x:f>IF(ISNUMBER(H1538),H1538,"")</x:f>
        <x:v>0</x:v>
      </x:c>
      <x:c r="C1539" s="443" t="n">
        <x:f>IF(ISNUMBER(B1539),IF(AND(1139&gt;$B$173,$B$78="Refinance",ISNUMBER($B$80),$B$80&gt;=0,$B$80&lt;=1,ROUND($B$81*12,0)&gt;=1,$B$81&lt;=100,SUM($B$82)&gt;=0,SUM($B$82)&lt;=1,SUM($B$83)&gt;=0),$B$80,IF(AND($B$175&gt;0,1139&gt;$B$175,ISNUMBER($B$75)),$B$75,$B$61)),"")</x:f>
        <x:v>0.0625</x:v>
      </x:c>
      <x:c r="D1539" s="441" t="n">
        <x:f>IF(AND(ISNUMBER(B1539),B1539=0),0,IF(AND($B$171=1,I1538=0,ISNUMBER(C1539),ISNUMBER(IF(AND(1139&lt;=$B$174,1139&lt;=$B$173),B1539*C1539/12,IF(AND(1139=$B$173+1,AND(1139&gt;$B$173,$B$78="Refinance",ISNUMBER($B$80),$B$80&gt;=0,$B$80&lt;=1,ROUND($B$81*12,0)&gt;=1,$B$81&lt;=100,SUM($B$82)&gt;=0,SUM($B$82)&lt;=1,SUM($B$83)&gt;=0)),IF(B1539=0,0,IF(C1539=0,B1539/ROUND($B$81*12,0),B1539*(C1539/12)/(1-(1+C1539/12)^(-ROUND($B$81*12,0))))),IF(AND(NOT(AND(1139&gt;$B$173,$B$78="Refinance",ISNUMBER($B$80),$B$80&gt;=0,$B$80&lt;=1,ROUND($B$81*12,0)&gt;=1,$B$81&lt;=100,SUM($B$82)&gt;=0,SUM($B$82)&lt;=1,SUM($B$83)&gt;=0)),OR(1139=1,1139=$B$174+1,AND($B$175&gt;0,1139=$B$175+1))),IF(AND($B$170=1,$B$66&gt;0,OR($B$175=0,1139&lt;=$B$175)),$B$66,IF($B$172-MAX(1139-1,$B$174)&gt;0,IF(B1539=0,0,IF(C1539=0,B1539/($B$172-MAX(1139-1,$B$174)),B1539*(C1539/12)/(1-(1+C1539/12)^(-($B$172-MAX(1139-1,$B$174)))))),"")),D1538))))),IF(IF(AND(1139&lt;=$B$174,1139&lt;=$B$173),B1539*C1539/12,IF(AND(1139=$B$173+1,AND(1139&gt;$B$173,$B$78="Refinance",ISNUMBER($B$80),$B$80&gt;=0,$B$80&lt;=1,ROUND($B$81*12,0)&gt;=1,$B$81&lt;=100,SUM($B$82)&gt;=0,SUM($B$82)&lt;=1,SUM($B$83)&gt;=0)),IF(B1539=0,0,IF(C1539=0,B1539/ROUND($B$81*12,0),B1539*(C1539/12)/(1-(1+C1539/12)^(-ROUND($B$81*12,0))))),IF(AND(NOT(AND(1139&gt;$B$173,$B$78="Refinance",ISNUMBER($B$80),$B$80&gt;=0,$B$80&lt;=1,ROUND($B$81*12,0)&gt;=1,$B$81&lt;=100,SUM($B$82)&gt;=0,SUM($B$82)&lt;=1,SUM($B$83)&gt;=0)),OR(1139=1,1139=$B$174+1,AND($B$175&gt;0,1139=$B$175+1))),IF(AND($B$170=1,$B$66&gt;0,OR($B$175=0,1139&lt;=$B$175)),$B$66,IF($B$172-MAX(1139-1,$B$174)&gt;0,IF(B1539=0,0,IF(C1539=0,B1539/($B$172-MAX(1139-1,$B$174)),B1539*(C1539/12)/(1-(1+C1539/12)^(-($B$172-MAX(1139-1,$B$174)))))),"")),D1538)))+0.0000001&gt;=B1539*C1539/12,MIN(B1539*(1+C1539/12),IF(AND(1139&lt;=$B$174,1139&lt;=$B$173),B1539*C1539/12,IF(AND(1139=$B$173+1,AND(1139&gt;$B$173,$B$78="Refinance",ISNUMBER($B$80),$B$80&gt;=0,$B$80&lt;=1,ROUND($B$81*12,0)&gt;=1,$B$81&lt;=100,SUM($B$82)&gt;=0,SUM($B$82)&lt;=1,SUM($B$83)&gt;=0)),IF(B1539=0,0,IF(C1539=0,B1539/ROUND($B$81*12,0),B1539*(C1539/12)/(1-(1+C1539/12)^(-ROUND($B$81*12,0))))),IF(AND(NOT(AND(1139&gt;$B$173,$B$78="Refinance",ISNUMBER($B$80),$B$80&gt;=0,$B$80&lt;=1,ROUND($B$81*12,0)&gt;=1,$B$81&lt;=100,SUM($B$82)&gt;=0,SUM($B$82)&lt;=1,SUM($B$83)&gt;=0)),OR(1139=1,1139=$B$174+1,AND($B$175&gt;0,1139=$B$175+1))),IF(AND($B$170=1,$B$66&gt;0,OR($B$175=0,1139&lt;=$B$175)),$B$66,IF($B$172-MAX(1139-1,$B$174)&gt;0,IF(B1539=0,0,IF(C1539=0,B1539/($B$172-MAX(1139-1,$B$174)),B1539*(C1539/12)/(1-(1+C1539/12)^(-($B$172-MAX(1139-1,$B$174)))))),"")),D1538)))),""),""))</x:f>
        <x:v>0</x:v>
      </x:c>
      <x:c r="E1539" s="441" t="n">
        <x:f>IF(AND(1139=$B$173,ISNUMBER(D1539)),IF(MAX(0,B1539*(1+C1539/12)-D1539)&lt;MAX(0.0000001,$E$17*0.00000000001),0,MAX(0,B1539*(1+C1539/12)-D1539)),0)</x:f>
        <x:v>0</x:v>
      </x:c>
      <x:c r="F1539" s="441" t="n">
        <x:f>IF($B$78="Cash payoff",E1539,0)</x:f>
        <x:v>0</x:v>
      </x:c>
      <x:c r="G1539" s="441" t="n">
        <x:f>IF(AND(E1539&gt;0,AND($B$78="Refinance",ISNUMBER($B$80),$B$80&gt;=0,$B$80&lt;=1,ROUND($B$81*12,0)&gt;=1,$B$81&lt;=100,SUM($B$82)&gt;=0,SUM($B$82)&lt;=1,SUM($B$83)&gt;=0)),E1539*SUM($B$82)+SUM($B$83),0)</x:f>
        <x:v>0</x:v>
      </x:c>
      <x:c r="H1539" s="441" t="n">
        <x:f>IF(ISNUMBER(D1539),IF(MAX(0,B1539*(1+C1539/12)-D1539-F1539)&lt;MAX(0.0000001,$E$17*0.00000000001),0,MAX(0,B1539*(1+C1539/12)-D1539-F1539)),IF(AND($B$171=1,I1538=1),B1539,""))</x:f>
        <x:v>0</x:v>
      </x:c>
      <x:c r="I1539" s="445" t="n">
        <x:f>IF(OR(I1538=1,AND(E1539&gt;0,$B$78&lt;&gt;"Cash payoff",NOT(AND($B$78="Refinance",ISNUMBER($B$80),$B$80&gt;=0,$B$80&lt;=1,ROUND($B$81*12,0)&gt;=1,$B$81&lt;=100,SUM($B$82)&gt;=0,SUM($B$82)&lt;=1,SUM($B$83)&gt;=0))),AND(ISNUMBER(B1539),B1539&gt;0,$B$171=1,NOT(ISNUMBER(D1539)))),1,0)</x:f>
        <x:v>0</x:v>
      </x:c>
      <x:c r="J1539" s="441" t="n">
        <x:f>IF(ISNUMBER(L1538),L1538,"")</x:f>
        <x:v>0</x:v>
      </x:c>
      <x:c r="K1539" s="441" t="n">
        <x:f>IF(AND(ISNUMBER(J1539),J1539=0),0,IF(AND($B$176=1,ISNUMBER(J1539)),MIN(J1539*(1+$B$87/12),IF($B$86=0,0,IF($B$87=0,$B$86/ROUND($B$88*12,0),$B$86*($B$87/12)/(1-(1+$B$87/12)^(-ROUND($B$88*12,0)))))),""))</x:f>
        <x:v>0</x:v>
      </x:c>
      <x:c r="L1539" s="441" t="n">
        <x:f>IF(ISNUMBER(K1539),IF(MAX(0,J1539*(1+SUM($B$87)/12)-K1539)&lt;MAX(0.0000001,$B$86*0.00000000001),0,MAX(0,J1539*(1+SUM($B$87)/12)-K1539)),"")</x:f>
        <x:v>0</x:v>
      </x:c>
      <x:c r="M1539" s="441" t="n">
        <x:f>IF(AND(ISNUMBER(D1539),ISNUMBER(K1539)),D1539+K1539,"")</x:f>
        <x:v>0</x:v>
      </x:c>
      <x:c r="N1539" s="441" t="n">
        <x:f>IF(AND(ISNUMBER(H1539),ISNUMBER(L1539)),H1539+L1539,"")</x:f>
        <x:v>0</x:v>
      </x:c>
    </x:row>
    <x:row r="1540">
      <x:c r="A1540" t="n">
        <x:f>1140</x:f>
        <x:v>1140</x:v>
      </x:c>
      <x:c r="B1540" s="441" t="n">
        <x:f>IF(ISNUMBER(H1539),H1539,"")</x:f>
        <x:v>0</x:v>
      </x:c>
      <x:c r="C1540" s="443" t="n">
        <x:f>IF(ISNUMBER(B1540),IF(AND(1140&gt;$B$173,$B$78="Refinance",ISNUMBER($B$80),$B$80&gt;=0,$B$80&lt;=1,ROUND($B$81*12,0)&gt;=1,$B$81&lt;=100,SUM($B$82)&gt;=0,SUM($B$82)&lt;=1,SUM($B$83)&gt;=0),$B$80,IF(AND($B$175&gt;0,1140&gt;$B$175,ISNUMBER($B$75)),$B$75,$B$61)),"")</x:f>
        <x:v>0.0625</x:v>
      </x:c>
      <x:c r="D1540" s="441" t="n">
        <x:f>IF(AND(ISNUMBER(B1540),B1540=0),0,IF(AND($B$171=1,I1539=0,ISNUMBER(C1540),ISNUMBER(IF(AND(1140&lt;=$B$174,1140&lt;=$B$173),B1540*C1540/12,IF(AND(1140=$B$173+1,AND(1140&gt;$B$173,$B$78="Refinance",ISNUMBER($B$80),$B$80&gt;=0,$B$80&lt;=1,ROUND($B$81*12,0)&gt;=1,$B$81&lt;=100,SUM($B$82)&gt;=0,SUM($B$82)&lt;=1,SUM($B$83)&gt;=0)),IF(B1540=0,0,IF(C1540=0,B1540/ROUND($B$81*12,0),B1540*(C1540/12)/(1-(1+C1540/12)^(-ROUND($B$81*12,0))))),IF(AND(NOT(AND(1140&gt;$B$173,$B$78="Refinance",ISNUMBER($B$80),$B$80&gt;=0,$B$80&lt;=1,ROUND($B$81*12,0)&gt;=1,$B$81&lt;=100,SUM($B$82)&gt;=0,SUM($B$82)&lt;=1,SUM($B$83)&gt;=0)),OR(1140=1,1140=$B$174+1,AND($B$175&gt;0,1140=$B$175+1))),IF(AND($B$170=1,$B$66&gt;0,OR($B$175=0,1140&lt;=$B$175)),$B$66,IF($B$172-MAX(1140-1,$B$174)&gt;0,IF(B1540=0,0,IF(C1540=0,B1540/($B$172-MAX(1140-1,$B$174)),B1540*(C1540/12)/(1-(1+C1540/12)^(-($B$172-MAX(1140-1,$B$174)))))),"")),D1539))))),IF(IF(AND(1140&lt;=$B$174,1140&lt;=$B$173),B1540*C1540/12,IF(AND(1140=$B$173+1,AND(1140&gt;$B$173,$B$78="Refinance",ISNUMBER($B$80),$B$80&gt;=0,$B$80&lt;=1,ROUND($B$81*12,0)&gt;=1,$B$81&lt;=100,SUM($B$82)&gt;=0,SUM($B$82)&lt;=1,SUM($B$83)&gt;=0)),IF(B1540=0,0,IF(C1540=0,B1540/ROUND($B$81*12,0),B1540*(C1540/12)/(1-(1+C1540/12)^(-ROUND($B$81*12,0))))),IF(AND(NOT(AND(1140&gt;$B$173,$B$78="Refinance",ISNUMBER($B$80),$B$80&gt;=0,$B$80&lt;=1,ROUND($B$81*12,0)&gt;=1,$B$81&lt;=100,SUM($B$82)&gt;=0,SUM($B$82)&lt;=1,SUM($B$83)&gt;=0)),OR(1140=1,1140=$B$174+1,AND($B$175&gt;0,1140=$B$175+1))),IF(AND($B$170=1,$B$66&gt;0,OR($B$175=0,1140&lt;=$B$175)),$B$66,IF($B$172-MAX(1140-1,$B$174)&gt;0,IF(B1540=0,0,IF(C1540=0,B1540/($B$172-MAX(1140-1,$B$174)),B1540*(C1540/12)/(1-(1+C1540/12)^(-($B$172-MAX(1140-1,$B$174)))))),"")),D1539)))+0.0000001&gt;=B1540*C1540/12,MIN(B1540*(1+C1540/12),IF(AND(1140&lt;=$B$174,1140&lt;=$B$173),B1540*C1540/12,IF(AND(1140=$B$173+1,AND(1140&gt;$B$173,$B$78="Refinance",ISNUMBER($B$80),$B$80&gt;=0,$B$80&lt;=1,ROUND($B$81*12,0)&gt;=1,$B$81&lt;=100,SUM($B$82)&gt;=0,SUM($B$82)&lt;=1,SUM($B$83)&gt;=0)),IF(B1540=0,0,IF(C1540=0,B1540/ROUND($B$81*12,0),B1540*(C1540/12)/(1-(1+C1540/12)^(-ROUND($B$81*12,0))))),IF(AND(NOT(AND(1140&gt;$B$173,$B$78="Refinance",ISNUMBER($B$80),$B$80&gt;=0,$B$80&lt;=1,ROUND($B$81*12,0)&gt;=1,$B$81&lt;=100,SUM($B$82)&gt;=0,SUM($B$82)&lt;=1,SUM($B$83)&gt;=0)),OR(1140=1,1140=$B$174+1,AND($B$175&gt;0,1140=$B$175+1))),IF(AND($B$170=1,$B$66&gt;0,OR($B$175=0,1140&lt;=$B$175)),$B$66,IF($B$172-MAX(1140-1,$B$174)&gt;0,IF(B1540=0,0,IF(C1540=0,B1540/($B$172-MAX(1140-1,$B$174)),B1540*(C1540/12)/(1-(1+C1540/12)^(-($B$172-MAX(1140-1,$B$174)))))),"")),D1539)))),""),""))</x:f>
        <x:v>0</x:v>
      </x:c>
      <x:c r="E1540" s="441" t="n">
        <x:f>IF(AND(1140=$B$173,ISNUMBER(D1540)),IF(MAX(0,B1540*(1+C1540/12)-D1540)&lt;MAX(0.0000001,$E$17*0.00000000001),0,MAX(0,B1540*(1+C1540/12)-D1540)),0)</x:f>
        <x:v>0</x:v>
      </x:c>
      <x:c r="F1540" s="441" t="n">
        <x:f>IF($B$78="Cash payoff",E1540,0)</x:f>
        <x:v>0</x:v>
      </x:c>
      <x:c r="G1540" s="441" t="n">
        <x:f>IF(AND(E1540&gt;0,AND($B$78="Refinance",ISNUMBER($B$80),$B$80&gt;=0,$B$80&lt;=1,ROUND($B$81*12,0)&gt;=1,$B$81&lt;=100,SUM($B$82)&gt;=0,SUM($B$82)&lt;=1,SUM($B$83)&gt;=0)),E1540*SUM($B$82)+SUM($B$83),0)</x:f>
        <x:v>0</x:v>
      </x:c>
      <x:c r="H1540" s="441" t="n">
        <x:f>IF(ISNUMBER(D1540),IF(MAX(0,B1540*(1+C1540/12)-D1540-F1540)&lt;MAX(0.0000001,$E$17*0.00000000001),0,MAX(0,B1540*(1+C1540/12)-D1540-F1540)),IF(AND($B$171=1,I1539=1),B1540,""))</x:f>
        <x:v>0</x:v>
      </x:c>
      <x:c r="I1540" s="445" t="n">
        <x:f>IF(OR(I1539=1,AND(E1540&gt;0,$B$78&lt;&gt;"Cash payoff",NOT(AND($B$78="Refinance",ISNUMBER($B$80),$B$80&gt;=0,$B$80&lt;=1,ROUND($B$81*12,0)&gt;=1,$B$81&lt;=100,SUM($B$82)&gt;=0,SUM($B$82)&lt;=1,SUM($B$83)&gt;=0))),AND(ISNUMBER(B1540),B1540&gt;0,$B$171=1,NOT(ISNUMBER(D1540)))),1,0)</x:f>
        <x:v>0</x:v>
      </x:c>
      <x:c r="J1540" s="441" t="n">
        <x:f>IF(ISNUMBER(L1539),L1539,"")</x:f>
        <x:v>0</x:v>
      </x:c>
      <x:c r="K1540" s="441" t="n">
        <x:f>IF(AND(ISNUMBER(J1540),J1540=0),0,IF(AND($B$176=1,ISNUMBER(J1540)),MIN(J1540*(1+$B$87/12),IF($B$86=0,0,IF($B$87=0,$B$86/ROUND($B$88*12,0),$B$86*($B$87/12)/(1-(1+$B$87/12)^(-ROUND($B$88*12,0)))))),""))</x:f>
        <x:v>0</x:v>
      </x:c>
      <x:c r="L1540" s="441" t="n">
        <x:f>IF(ISNUMBER(K1540),IF(MAX(0,J1540*(1+SUM($B$87)/12)-K1540)&lt;MAX(0.0000001,$B$86*0.00000000001),0,MAX(0,J1540*(1+SUM($B$87)/12)-K1540)),"")</x:f>
        <x:v>0</x:v>
      </x:c>
      <x:c r="M1540" s="441" t="n">
        <x:f>IF(AND(ISNUMBER(D1540),ISNUMBER(K1540)),D1540+K1540,"")</x:f>
        <x:v>0</x:v>
      </x:c>
      <x:c r="N1540" s="441" t="n">
        <x:f>IF(AND(ISNUMBER(H1540),ISNUMBER(L1540)),H1540+L1540,"")</x:f>
        <x:v>0</x:v>
      </x:c>
    </x:row>
    <x:row r="1541">
      <x:c r="A1541" t="n">
        <x:f>1141</x:f>
        <x:v>1141</x:v>
      </x:c>
      <x:c r="B1541" s="441" t="n">
        <x:f>IF(ISNUMBER(H1540),H1540,"")</x:f>
        <x:v>0</x:v>
      </x:c>
      <x:c r="C1541" s="443" t="n">
        <x:f>IF(ISNUMBER(B1541),IF(AND(1141&gt;$B$173,$B$78="Refinance",ISNUMBER($B$80),$B$80&gt;=0,$B$80&lt;=1,ROUND($B$81*12,0)&gt;=1,$B$81&lt;=100,SUM($B$82)&gt;=0,SUM($B$82)&lt;=1,SUM($B$83)&gt;=0),$B$80,IF(AND($B$175&gt;0,1141&gt;$B$175,ISNUMBER($B$75)),$B$75,$B$61)),"")</x:f>
        <x:v>0.0625</x:v>
      </x:c>
      <x:c r="D1541" s="441" t="n">
        <x:f>IF(AND(ISNUMBER(B1541),B1541=0),0,IF(AND($B$171=1,I1540=0,ISNUMBER(C1541),ISNUMBER(IF(AND(1141&lt;=$B$174,1141&lt;=$B$173),B1541*C1541/12,IF(AND(1141=$B$173+1,AND(1141&gt;$B$173,$B$78="Refinance",ISNUMBER($B$80),$B$80&gt;=0,$B$80&lt;=1,ROUND($B$81*12,0)&gt;=1,$B$81&lt;=100,SUM($B$82)&gt;=0,SUM($B$82)&lt;=1,SUM($B$83)&gt;=0)),IF(B1541=0,0,IF(C1541=0,B1541/ROUND($B$81*12,0),B1541*(C1541/12)/(1-(1+C1541/12)^(-ROUND($B$81*12,0))))),IF(AND(NOT(AND(1141&gt;$B$173,$B$78="Refinance",ISNUMBER($B$80),$B$80&gt;=0,$B$80&lt;=1,ROUND($B$81*12,0)&gt;=1,$B$81&lt;=100,SUM($B$82)&gt;=0,SUM($B$82)&lt;=1,SUM($B$83)&gt;=0)),OR(1141=1,1141=$B$174+1,AND($B$175&gt;0,1141=$B$175+1))),IF(AND($B$170=1,$B$66&gt;0,OR($B$175=0,1141&lt;=$B$175)),$B$66,IF($B$172-MAX(1141-1,$B$174)&gt;0,IF(B1541=0,0,IF(C1541=0,B1541/($B$172-MAX(1141-1,$B$174)),B1541*(C1541/12)/(1-(1+C1541/12)^(-($B$172-MAX(1141-1,$B$174)))))),"")),D1540))))),IF(IF(AND(1141&lt;=$B$174,1141&lt;=$B$173),B1541*C1541/12,IF(AND(1141=$B$173+1,AND(1141&gt;$B$173,$B$78="Refinance",ISNUMBER($B$80),$B$80&gt;=0,$B$80&lt;=1,ROUND($B$81*12,0)&gt;=1,$B$81&lt;=100,SUM($B$82)&gt;=0,SUM($B$82)&lt;=1,SUM($B$83)&gt;=0)),IF(B1541=0,0,IF(C1541=0,B1541/ROUND($B$81*12,0),B1541*(C1541/12)/(1-(1+C1541/12)^(-ROUND($B$81*12,0))))),IF(AND(NOT(AND(1141&gt;$B$173,$B$78="Refinance",ISNUMBER($B$80),$B$80&gt;=0,$B$80&lt;=1,ROUND($B$81*12,0)&gt;=1,$B$81&lt;=100,SUM($B$82)&gt;=0,SUM($B$82)&lt;=1,SUM($B$83)&gt;=0)),OR(1141=1,1141=$B$174+1,AND($B$175&gt;0,1141=$B$175+1))),IF(AND($B$170=1,$B$66&gt;0,OR($B$175=0,1141&lt;=$B$175)),$B$66,IF($B$172-MAX(1141-1,$B$174)&gt;0,IF(B1541=0,0,IF(C1541=0,B1541/($B$172-MAX(1141-1,$B$174)),B1541*(C1541/12)/(1-(1+C1541/12)^(-($B$172-MAX(1141-1,$B$174)))))),"")),D1540)))+0.0000001&gt;=B1541*C1541/12,MIN(B1541*(1+C1541/12),IF(AND(1141&lt;=$B$174,1141&lt;=$B$173),B1541*C1541/12,IF(AND(1141=$B$173+1,AND(1141&gt;$B$173,$B$78="Refinance",ISNUMBER($B$80),$B$80&gt;=0,$B$80&lt;=1,ROUND($B$81*12,0)&gt;=1,$B$81&lt;=100,SUM($B$82)&gt;=0,SUM($B$82)&lt;=1,SUM($B$83)&gt;=0)),IF(B1541=0,0,IF(C1541=0,B1541/ROUND($B$81*12,0),B1541*(C1541/12)/(1-(1+C1541/12)^(-ROUND($B$81*12,0))))),IF(AND(NOT(AND(1141&gt;$B$173,$B$78="Refinance",ISNUMBER($B$80),$B$80&gt;=0,$B$80&lt;=1,ROUND($B$81*12,0)&gt;=1,$B$81&lt;=100,SUM($B$82)&gt;=0,SUM($B$82)&lt;=1,SUM($B$83)&gt;=0)),OR(1141=1,1141=$B$174+1,AND($B$175&gt;0,1141=$B$175+1))),IF(AND($B$170=1,$B$66&gt;0,OR($B$175=0,1141&lt;=$B$175)),$B$66,IF($B$172-MAX(1141-1,$B$174)&gt;0,IF(B1541=0,0,IF(C1541=0,B1541/($B$172-MAX(1141-1,$B$174)),B1541*(C1541/12)/(1-(1+C1541/12)^(-($B$172-MAX(1141-1,$B$174)))))),"")),D1540)))),""),""))</x:f>
        <x:v>0</x:v>
      </x:c>
      <x:c r="E1541" s="441" t="n">
        <x:f>IF(AND(1141=$B$173,ISNUMBER(D1541)),IF(MAX(0,B1541*(1+C1541/12)-D1541)&lt;MAX(0.0000001,$E$17*0.00000000001),0,MAX(0,B1541*(1+C1541/12)-D1541)),0)</x:f>
        <x:v>0</x:v>
      </x:c>
      <x:c r="F1541" s="441" t="n">
        <x:f>IF($B$78="Cash payoff",E1541,0)</x:f>
        <x:v>0</x:v>
      </x:c>
      <x:c r="G1541" s="441" t="n">
        <x:f>IF(AND(E1541&gt;0,AND($B$78="Refinance",ISNUMBER($B$80),$B$80&gt;=0,$B$80&lt;=1,ROUND($B$81*12,0)&gt;=1,$B$81&lt;=100,SUM($B$82)&gt;=0,SUM($B$82)&lt;=1,SUM($B$83)&gt;=0)),E1541*SUM($B$82)+SUM($B$83),0)</x:f>
        <x:v>0</x:v>
      </x:c>
      <x:c r="H1541" s="441" t="n">
        <x:f>IF(ISNUMBER(D1541),IF(MAX(0,B1541*(1+C1541/12)-D1541-F1541)&lt;MAX(0.0000001,$E$17*0.00000000001),0,MAX(0,B1541*(1+C1541/12)-D1541-F1541)),IF(AND($B$171=1,I1540=1),B1541,""))</x:f>
        <x:v>0</x:v>
      </x:c>
      <x:c r="I1541" s="445" t="n">
        <x:f>IF(OR(I1540=1,AND(E1541&gt;0,$B$78&lt;&gt;"Cash payoff",NOT(AND($B$78="Refinance",ISNUMBER($B$80),$B$80&gt;=0,$B$80&lt;=1,ROUND($B$81*12,0)&gt;=1,$B$81&lt;=100,SUM($B$82)&gt;=0,SUM($B$82)&lt;=1,SUM($B$83)&gt;=0))),AND(ISNUMBER(B1541),B1541&gt;0,$B$171=1,NOT(ISNUMBER(D1541)))),1,0)</x:f>
        <x:v>0</x:v>
      </x:c>
      <x:c r="J1541" s="441" t="n">
        <x:f>IF(ISNUMBER(L1540),L1540,"")</x:f>
        <x:v>0</x:v>
      </x:c>
      <x:c r="K1541" s="441" t="n">
        <x:f>IF(AND(ISNUMBER(J1541),J1541=0),0,IF(AND($B$176=1,ISNUMBER(J1541)),MIN(J1541*(1+$B$87/12),IF($B$86=0,0,IF($B$87=0,$B$86/ROUND($B$88*12,0),$B$86*($B$87/12)/(1-(1+$B$87/12)^(-ROUND($B$88*12,0)))))),""))</x:f>
        <x:v>0</x:v>
      </x:c>
      <x:c r="L1541" s="441" t="n">
        <x:f>IF(ISNUMBER(K1541),IF(MAX(0,J1541*(1+SUM($B$87)/12)-K1541)&lt;MAX(0.0000001,$B$86*0.00000000001),0,MAX(0,J1541*(1+SUM($B$87)/12)-K1541)),"")</x:f>
        <x:v>0</x:v>
      </x:c>
      <x:c r="M1541" s="441" t="n">
        <x:f>IF(AND(ISNUMBER(D1541),ISNUMBER(K1541)),D1541+K1541,"")</x:f>
        <x:v>0</x:v>
      </x:c>
      <x:c r="N1541" s="441" t="n">
        <x:f>IF(AND(ISNUMBER(H1541),ISNUMBER(L1541)),H1541+L1541,"")</x:f>
        <x:v>0</x:v>
      </x:c>
    </x:row>
    <x:row r="1542">
      <x:c r="A1542" t="n">
        <x:f>1142</x:f>
        <x:v>1142</x:v>
      </x:c>
      <x:c r="B1542" s="441" t="n">
        <x:f>IF(ISNUMBER(H1541),H1541,"")</x:f>
        <x:v>0</x:v>
      </x:c>
      <x:c r="C1542" s="443" t="n">
        <x:f>IF(ISNUMBER(B1542),IF(AND(1142&gt;$B$173,$B$78="Refinance",ISNUMBER($B$80),$B$80&gt;=0,$B$80&lt;=1,ROUND($B$81*12,0)&gt;=1,$B$81&lt;=100,SUM($B$82)&gt;=0,SUM($B$82)&lt;=1,SUM($B$83)&gt;=0),$B$80,IF(AND($B$175&gt;0,1142&gt;$B$175,ISNUMBER($B$75)),$B$75,$B$61)),"")</x:f>
        <x:v>0.0625</x:v>
      </x:c>
      <x:c r="D1542" s="441" t="n">
        <x:f>IF(AND(ISNUMBER(B1542),B1542=0),0,IF(AND($B$171=1,I1541=0,ISNUMBER(C1542),ISNUMBER(IF(AND(1142&lt;=$B$174,1142&lt;=$B$173),B1542*C1542/12,IF(AND(1142=$B$173+1,AND(1142&gt;$B$173,$B$78="Refinance",ISNUMBER($B$80),$B$80&gt;=0,$B$80&lt;=1,ROUND($B$81*12,0)&gt;=1,$B$81&lt;=100,SUM($B$82)&gt;=0,SUM($B$82)&lt;=1,SUM($B$83)&gt;=0)),IF(B1542=0,0,IF(C1542=0,B1542/ROUND($B$81*12,0),B1542*(C1542/12)/(1-(1+C1542/12)^(-ROUND($B$81*12,0))))),IF(AND(NOT(AND(1142&gt;$B$173,$B$78="Refinance",ISNUMBER($B$80),$B$80&gt;=0,$B$80&lt;=1,ROUND($B$81*12,0)&gt;=1,$B$81&lt;=100,SUM($B$82)&gt;=0,SUM($B$82)&lt;=1,SUM($B$83)&gt;=0)),OR(1142=1,1142=$B$174+1,AND($B$175&gt;0,1142=$B$175+1))),IF(AND($B$170=1,$B$66&gt;0,OR($B$175=0,1142&lt;=$B$175)),$B$66,IF($B$172-MAX(1142-1,$B$174)&gt;0,IF(B1542=0,0,IF(C1542=0,B1542/($B$172-MAX(1142-1,$B$174)),B1542*(C1542/12)/(1-(1+C1542/12)^(-($B$172-MAX(1142-1,$B$174)))))),"")),D1541))))),IF(IF(AND(1142&lt;=$B$174,1142&lt;=$B$173),B1542*C1542/12,IF(AND(1142=$B$173+1,AND(1142&gt;$B$173,$B$78="Refinance",ISNUMBER($B$80),$B$80&gt;=0,$B$80&lt;=1,ROUND($B$81*12,0)&gt;=1,$B$81&lt;=100,SUM($B$82)&gt;=0,SUM($B$82)&lt;=1,SUM($B$83)&gt;=0)),IF(B1542=0,0,IF(C1542=0,B1542/ROUND($B$81*12,0),B1542*(C1542/12)/(1-(1+C1542/12)^(-ROUND($B$81*12,0))))),IF(AND(NOT(AND(1142&gt;$B$173,$B$78="Refinance",ISNUMBER($B$80),$B$80&gt;=0,$B$80&lt;=1,ROUND($B$81*12,0)&gt;=1,$B$81&lt;=100,SUM($B$82)&gt;=0,SUM($B$82)&lt;=1,SUM($B$83)&gt;=0)),OR(1142=1,1142=$B$174+1,AND($B$175&gt;0,1142=$B$175+1))),IF(AND($B$170=1,$B$66&gt;0,OR($B$175=0,1142&lt;=$B$175)),$B$66,IF($B$172-MAX(1142-1,$B$174)&gt;0,IF(B1542=0,0,IF(C1542=0,B1542/($B$172-MAX(1142-1,$B$174)),B1542*(C1542/12)/(1-(1+C1542/12)^(-($B$172-MAX(1142-1,$B$174)))))),"")),D1541)))+0.0000001&gt;=B1542*C1542/12,MIN(B1542*(1+C1542/12),IF(AND(1142&lt;=$B$174,1142&lt;=$B$173),B1542*C1542/12,IF(AND(1142=$B$173+1,AND(1142&gt;$B$173,$B$78="Refinance",ISNUMBER($B$80),$B$80&gt;=0,$B$80&lt;=1,ROUND($B$81*12,0)&gt;=1,$B$81&lt;=100,SUM($B$82)&gt;=0,SUM($B$82)&lt;=1,SUM($B$83)&gt;=0)),IF(B1542=0,0,IF(C1542=0,B1542/ROUND($B$81*12,0),B1542*(C1542/12)/(1-(1+C1542/12)^(-ROUND($B$81*12,0))))),IF(AND(NOT(AND(1142&gt;$B$173,$B$78="Refinance",ISNUMBER($B$80),$B$80&gt;=0,$B$80&lt;=1,ROUND($B$81*12,0)&gt;=1,$B$81&lt;=100,SUM($B$82)&gt;=0,SUM($B$82)&lt;=1,SUM($B$83)&gt;=0)),OR(1142=1,1142=$B$174+1,AND($B$175&gt;0,1142=$B$175+1))),IF(AND($B$170=1,$B$66&gt;0,OR($B$175=0,1142&lt;=$B$175)),$B$66,IF($B$172-MAX(1142-1,$B$174)&gt;0,IF(B1542=0,0,IF(C1542=0,B1542/($B$172-MAX(1142-1,$B$174)),B1542*(C1542/12)/(1-(1+C1542/12)^(-($B$172-MAX(1142-1,$B$174)))))),"")),D1541)))),""),""))</x:f>
        <x:v>0</x:v>
      </x:c>
      <x:c r="E1542" s="441" t="n">
        <x:f>IF(AND(1142=$B$173,ISNUMBER(D1542)),IF(MAX(0,B1542*(1+C1542/12)-D1542)&lt;MAX(0.0000001,$E$17*0.00000000001),0,MAX(0,B1542*(1+C1542/12)-D1542)),0)</x:f>
        <x:v>0</x:v>
      </x:c>
      <x:c r="F1542" s="441" t="n">
        <x:f>IF($B$78="Cash payoff",E1542,0)</x:f>
        <x:v>0</x:v>
      </x:c>
      <x:c r="G1542" s="441" t="n">
        <x:f>IF(AND(E1542&gt;0,AND($B$78="Refinance",ISNUMBER($B$80),$B$80&gt;=0,$B$80&lt;=1,ROUND($B$81*12,0)&gt;=1,$B$81&lt;=100,SUM($B$82)&gt;=0,SUM($B$82)&lt;=1,SUM($B$83)&gt;=0)),E1542*SUM($B$82)+SUM($B$83),0)</x:f>
        <x:v>0</x:v>
      </x:c>
      <x:c r="H1542" s="441" t="n">
        <x:f>IF(ISNUMBER(D1542),IF(MAX(0,B1542*(1+C1542/12)-D1542-F1542)&lt;MAX(0.0000001,$E$17*0.00000000001),0,MAX(0,B1542*(1+C1542/12)-D1542-F1542)),IF(AND($B$171=1,I1541=1),B1542,""))</x:f>
        <x:v>0</x:v>
      </x:c>
      <x:c r="I1542" s="445" t="n">
        <x:f>IF(OR(I1541=1,AND(E1542&gt;0,$B$78&lt;&gt;"Cash payoff",NOT(AND($B$78="Refinance",ISNUMBER($B$80),$B$80&gt;=0,$B$80&lt;=1,ROUND($B$81*12,0)&gt;=1,$B$81&lt;=100,SUM($B$82)&gt;=0,SUM($B$82)&lt;=1,SUM($B$83)&gt;=0))),AND(ISNUMBER(B1542),B1542&gt;0,$B$171=1,NOT(ISNUMBER(D1542)))),1,0)</x:f>
        <x:v>0</x:v>
      </x:c>
      <x:c r="J1542" s="441" t="n">
        <x:f>IF(ISNUMBER(L1541),L1541,"")</x:f>
        <x:v>0</x:v>
      </x:c>
      <x:c r="K1542" s="441" t="n">
        <x:f>IF(AND(ISNUMBER(J1542),J1542=0),0,IF(AND($B$176=1,ISNUMBER(J1542)),MIN(J1542*(1+$B$87/12),IF($B$86=0,0,IF($B$87=0,$B$86/ROUND($B$88*12,0),$B$86*($B$87/12)/(1-(1+$B$87/12)^(-ROUND($B$88*12,0)))))),""))</x:f>
        <x:v>0</x:v>
      </x:c>
      <x:c r="L1542" s="441" t="n">
        <x:f>IF(ISNUMBER(K1542),IF(MAX(0,J1542*(1+SUM($B$87)/12)-K1542)&lt;MAX(0.0000001,$B$86*0.00000000001),0,MAX(0,J1542*(1+SUM($B$87)/12)-K1542)),"")</x:f>
        <x:v>0</x:v>
      </x:c>
      <x:c r="M1542" s="441" t="n">
        <x:f>IF(AND(ISNUMBER(D1542),ISNUMBER(K1542)),D1542+K1542,"")</x:f>
        <x:v>0</x:v>
      </x:c>
      <x:c r="N1542" s="441" t="n">
        <x:f>IF(AND(ISNUMBER(H1542),ISNUMBER(L1542)),H1542+L1542,"")</x:f>
        <x:v>0</x:v>
      </x:c>
    </x:row>
    <x:row r="1543">
      <x:c r="A1543" t="n">
        <x:f>1143</x:f>
        <x:v>1143</x:v>
      </x:c>
      <x:c r="B1543" s="441" t="n">
        <x:f>IF(ISNUMBER(H1542),H1542,"")</x:f>
        <x:v>0</x:v>
      </x:c>
      <x:c r="C1543" s="443" t="n">
        <x:f>IF(ISNUMBER(B1543),IF(AND(1143&gt;$B$173,$B$78="Refinance",ISNUMBER($B$80),$B$80&gt;=0,$B$80&lt;=1,ROUND($B$81*12,0)&gt;=1,$B$81&lt;=100,SUM($B$82)&gt;=0,SUM($B$82)&lt;=1,SUM($B$83)&gt;=0),$B$80,IF(AND($B$175&gt;0,1143&gt;$B$175,ISNUMBER($B$75)),$B$75,$B$61)),"")</x:f>
        <x:v>0.0625</x:v>
      </x:c>
      <x:c r="D1543" s="441" t="n">
        <x:f>IF(AND(ISNUMBER(B1543),B1543=0),0,IF(AND($B$171=1,I1542=0,ISNUMBER(C1543),ISNUMBER(IF(AND(1143&lt;=$B$174,1143&lt;=$B$173),B1543*C1543/12,IF(AND(1143=$B$173+1,AND(1143&gt;$B$173,$B$78="Refinance",ISNUMBER($B$80),$B$80&gt;=0,$B$80&lt;=1,ROUND($B$81*12,0)&gt;=1,$B$81&lt;=100,SUM($B$82)&gt;=0,SUM($B$82)&lt;=1,SUM($B$83)&gt;=0)),IF(B1543=0,0,IF(C1543=0,B1543/ROUND($B$81*12,0),B1543*(C1543/12)/(1-(1+C1543/12)^(-ROUND($B$81*12,0))))),IF(AND(NOT(AND(1143&gt;$B$173,$B$78="Refinance",ISNUMBER($B$80),$B$80&gt;=0,$B$80&lt;=1,ROUND($B$81*12,0)&gt;=1,$B$81&lt;=100,SUM($B$82)&gt;=0,SUM($B$82)&lt;=1,SUM($B$83)&gt;=0)),OR(1143=1,1143=$B$174+1,AND($B$175&gt;0,1143=$B$175+1))),IF(AND($B$170=1,$B$66&gt;0,OR($B$175=0,1143&lt;=$B$175)),$B$66,IF($B$172-MAX(1143-1,$B$174)&gt;0,IF(B1543=0,0,IF(C1543=0,B1543/($B$172-MAX(1143-1,$B$174)),B1543*(C1543/12)/(1-(1+C1543/12)^(-($B$172-MAX(1143-1,$B$174)))))),"")),D1542))))),IF(IF(AND(1143&lt;=$B$174,1143&lt;=$B$173),B1543*C1543/12,IF(AND(1143=$B$173+1,AND(1143&gt;$B$173,$B$78="Refinance",ISNUMBER($B$80),$B$80&gt;=0,$B$80&lt;=1,ROUND($B$81*12,0)&gt;=1,$B$81&lt;=100,SUM($B$82)&gt;=0,SUM($B$82)&lt;=1,SUM($B$83)&gt;=0)),IF(B1543=0,0,IF(C1543=0,B1543/ROUND($B$81*12,0),B1543*(C1543/12)/(1-(1+C1543/12)^(-ROUND($B$81*12,0))))),IF(AND(NOT(AND(1143&gt;$B$173,$B$78="Refinance",ISNUMBER($B$80),$B$80&gt;=0,$B$80&lt;=1,ROUND($B$81*12,0)&gt;=1,$B$81&lt;=100,SUM($B$82)&gt;=0,SUM($B$82)&lt;=1,SUM($B$83)&gt;=0)),OR(1143=1,1143=$B$174+1,AND($B$175&gt;0,1143=$B$175+1))),IF(AND($B$170=1,$B$66&gt;0,OR($B$175=0,1143&lt;=$B$175)),$B$66,IF($B$172-MAX(1143-1,$B$174)&gt;0,IF(B1543=0,0,IF(C1543=0,B1543/($B$172-MAX(1143-1,$B$174)),B1543*(C1543/12)/(1-(1+C1543/12)^(-($B$172-MAX(1143-1,$B$174)))))),"")),D1542)))+0.0000001&gt;=B1543*C1543/12,MIN(B1543*(1+C1543/12),IF(AND(1143&lt;=$B$174,1143&lt;=$B$173),B1543*C1543/12,IF(AND(1143=$B$173+1,AND(1143&gt;$B$173,$B$78="Refinance",ISNUMBER($B$80),$B$80&gt;=0,$B$80&lt;=1,ROUND($B$81*12,0)&gt;=1,$B$81&lt;=100,SUM($B$82)&gt;=0,SUM($B$82)&lt;=1,SUM($B$83)&gt;=0)),IF(B1543=0,0,IF(C1543=0,B1543/ROUND($B$81*12,0),B1543*(C1543/12)/(1-(1+C1543/12)^(-ROUND($B$81*12,0))))),IF(AND(NOT(AND(1143&gt;$B$173,$B$78="Refinance",ISNUMBER($B$80),$B$80&gt;=0,$B$80&lt;=1,ROUND($B$81*12,0)&gt;=1,$B$81&lt;=100,SUM($B$82)&gt;=0,SUM($B$82)&lt;=1,SUM($B$83)&gt;=0)),OR(1143=1,1143=$B$174+1,AND($B$175&gt;0,1143=$B$175+1))),IF(AND($B$170=1,$B$66&gt;0,OR($B$175=0,1143&lt;=$B$175)),$B$66,IF($B$172-MAX(1143-1,$B$174)&gt;0,IF(B1543=0,0,IF(C1543=0,B1543/($B$172-MAX(1143-1,$B$174)),B1543*(C1543/12)/(1-(1+C1543/12)^(-($B$172-MAX(1143-1,$B$174)))))),"")),D1542)))),""),""))</x:f>
        <x:v>0</x:v>
      </x:c>
      <x:c r="E1543" s="441" t="n">
        <x:f>IF(AND(1143=$B$173,ISNUMBER(D1543)),IF(MAX(0,B1543*(1+C1543/12)-D1543)&lt;MAX(0.0000001,$E$17*0.00000000001),0,MAX(0,B1543*(1+C1543/12)-D1543)),0)</x:f>
        <x:v>0</x:v>
      </x:c>
      <x:c r="F1543" s="441" t="n">
        <x:f>IF($B$78="Cash payoff",E1543,0)</x:f>
        <x:v>0</x:v>
      </x:c>
      <x:c r="G1543" s="441" t="n">
        <x:f>IF(AND(E1543&gt;0,AND($B$78="Refinance",ISNUMBER($B$80),$B$80&gt;=0,$B$80&lt;=1,ROUND($B$81*12,0)&gt;=1,$B$81&lt;=100,SUM($B$82)&gt;=0,SUM($B$82)&lt;=1,SUM($B$83)&gt;=0)),E1543*SUM($B$82)+SUM($B$83),0)</x:f>
        <x:v>0</x:v>
      </x:c>
      <x:c r="H1543" s="441" t="n">
        <x:f>IF(ISNUMBER(D1543),IF(MAX(0,B1543*(1+C1543/12)-D1543-F1543)&lt;MAX(0.0000001,$E$17*0.00000000001),0,MAX(0,B1543*(1+C1543/12)-D1543-F1543)),IF(AND($B$171=1,I1542=1),B1543,""))</x:f>
        <x:v>0</x:v>
      </x:c>
      <x:c r="I1543" s="445" t="n">
        <x:f>IF(OR(I1542=1,AND(E1543&gt;0,$B$78&lt;&gt;"Cash payoff",NOT(AND($B$78="Refinance",ISNUMBER($B$80),$B$80&gt;=0,$B$80&lt;=1,ROUND($B$81*12,0)&gt;=1,$B$81&lt;=100,SUM($B$82)&gt;=0,SUM($B$82)&lt;=1,SUM($B$83)&gt;=0))),AND(ISNUMBER(B1543),B1543&gt;0,$B$171=1,NOT(ISNUMBER(D1543)))),1,0)</x:f>
        <x:v>0</x:v>
      </x:c>
      <x:c r="J1543" s="441" t="n">
        <x:f>IF(ISNUMBER(L1542),L1542,"")</x:f>
        <x:v>0</x:v>
      </x:c>
      <x:c r="K1543" s="441" t="n">
        <x:f>IF(AND(ISNUMBER(J1543),J1543=0),0,IF(AND($B$176=1,ISNUMBER(J1543)),MIN(J1543*(1+$B$87/12),IF($B$86=0,0,IF($B$87=0,$B$86/ROUND($B$88*12,0),$B$86*($B$87/12)/(1-(1+$B$87/12)^(-ROUND($B$88*12,0)))))),""))</x:f>
        <x:v>0</x:v>
      </x:c>
      <x:c r="L1543" s="441" t="n">
        <x:f>IF(ISNUMBER(K1543),IF(MAX(0,J1543*(1+SUM($B$87)/12)-K1543)&lt;MAX(0.0000001,$B$86*0.00000000001),0,MAX(0,J1543*(1+SUM($B$87)/12)-K1543)),"")</x:f>
        <x:v>0</x:v>
      </x:c>
      <x:c r="M1543" s="441" t="n">
        <x:f>IF(AND(ISNUMBER(D1543),ISNUMBER(K1543)),D1543+K1543,"")</x:f>
        <x:v>0</x:v>
      </x:c>
      <x:c r="N1543" s="441" t="n">
        <x:f>IF(AND(ISNUMBER(H1543),ISNUMBER(L1543)),H1543+L1543,"")</x:f>
        <x:v>0</x:v>
      </x:c>
    </x:row>
    <x:row r="1544">
      <x:c r="A1544" t="n">
        <x:f>1144</x:f>
        <x:v>1144</x:v>
      </x:c>
      <x:c r="B1544" s="441" t="n">
        <x:f>IF(ISNUMBER(H1543),H1543,"")</x:f>
        <x:v>0</x:v>
      </x:c>
      <x:c r="C1544" s="443" t="n">
        <x:f>IF(ISNUMBER(B1544),IF(AND(1144&gt;$B$173,$B$78="Refinance",ISNUMBER($B$80),$B$80&gt;=0,$B$80&lt;=1,ROUND($B$81*12,0)&gt;=1,$B$81&lt;=100,SUM($B$82)&gt;=0,SUM($B$82)&lt;=1,SUM($B$83)&gt;=0),$B$80,IF(AND($B$175&gt;0,1144&gt;$B$175,ISNUMBER($B$75)),$B$75,$B$61)),"")</x:f>
        <x:v>0.0625</x:v>
      </x:c>
      <x:c r="D1544" s="441" t="n">
        <x:f>IF(AND(ISNUMBER(B1544),B1544=0),0,IF(AND($B$171=1,I1543=0,ISNUMBER(C1544),ISNUMBER(IF(AND(1144&lt;=$B$174,1144&lt;=$B$173),B1544*C1544/12,IF(AND(1144=$B$173+1,AND(1144&gt;$B$173,$B$78="Refinance",ISNUMBER($B$80),$B$80&gt;=0,$B$80&lt;=1,ROUND($B$81*12,0)&gt;=1,$B$81&lt;=100,SUM($B$82)&gt;=0,SUM($B$82)&lt;=1,SUM($B$83)&gt;=0)),IF(B1544=0,0,IF(C1544=0,B1544/ROUND($B$81*12,0),B1544*(C1544/12)/(1-(1+C1544/12)^(-ROUND($B$81*12,0))))),IF(AND(NOT(AND(1144&gt;$B$173,$B$78="Refinance",ISNUMBER($B$80),$B$80&gt;=0,$B$80&lt;=1,ROUND($B$81*12,0)&gt;=1,$B$81&lt;=100,SUM($B$82)&gt;=0,SUM($B$82)&lt;=1,SUM($B$83)&gt;=0)),OR(1144=1,1144=$B$174+1,AND($B$175&gt;0,1144=$B$175+1))),IF(AND($B$170=1,$B$66&gt;0,OR($B$175=0,1144&lt;=$B$175)),$B$66,IF($B$172-MAX(1144-1,$B$174)&gt;0,IF(B1544=0,0,IF(C1544=0,B1544/($B$172-MAX(1144-1,$B$174)),B1544*(C1544/12)/(1-(1+C1544/12)^(-($B$172-MAX(1144-1,$B$174)))))),"")),D1543))))),IF(IF(AND(1144&lt;=$B$174,1144&lt;=$B$173),B1544*C1544/12,IF(AND(1144=$B$173+1,AND(1144&gt;$B$173,$B$78="Refinance",ISNUMBER($B$80),$B$80&gt;=0,$B$80&lt;=1,ROUND($B$81*12,0)&gt;=1,$B$81&lt;=100,SUM($B$82)&gt;=0,SUM($B$82)&lt;=1,SUM($B$83)&gt;=0)),IF(B1544=0,0,IF(C1544=0,B1544/ROUND($B$81*12,0),B1544*(C1544/12)/(1-(1+C1544/12)^(-ROUND($B$81*12,0))))),IF(AND(NOT(AND(1144&gt;$B$173,$B$78="Refinance",ISNUMBER($B$80),$B$80&gt;=0,$B$80&lt;=1,ROUND($B$81*12,0)&gt;=1,$B$81&lt;=100,SUM($B$82)&gt;=0,SUM($B$82)&lt;=1,SUM($B$83)&gt;=0)),OR(1144=1,1144=$B$174+1,AND($B$175&gt;0,1144=$B$175+1))),IF(AND($B$170=1,$B$66&gt;0,OR($B$175=0,1144&lt;=$B$175)),$B$66,IF($B$172-MAX(1144-1,$B$174)&gt;0,IF(B1544=0,0,IF(C1544=0,B1544/($B$172-MAX(1144-1,$B$174)),B1544*(C1544/12)/(1-(1+C1544/12)^(-($B$172-MAX(1144-1,$B$174)))))),"")),D1543)))+0.0000001&gt;=B1544*C1544/12,MIN(B1544*(1+C1544/12),IF(AND(1144&lt;=$B$174,1144&lt;=$B$173),B1544*C1544/12,IF(AND(1144=$B$173+1,AND(1144&gt;$B$173,$B$78="Refinance",ISNUMBER($B$80),$B$80&gt;=0,$B$80&lt;=1,ROUND($B$81*12,0)&gt;=1,$B$81&lt;=100,SUM($B$82)&gt;=0,SUM($B$82)&lt;=1,SUM($B$83)&gt;=0)),IF(B1544=0,0,IF(C1544=0,B1544/ROUND($B$81*12,0),B1544*(C1544/12)/(1-(1+C1544/12)^(-ROUND($B$81*12,0))))),IF(AND(NOT(AND(1144&gt;$B$173,$B$78="Refinance",ISNUMBER($B$80),$B$80&gt;=0,$B$80&lt;=1,ROUND($B$81*12,0)&gt;=1,$B$81&lt;=100,SUM($B$82)&gt;=0,SUM($B$82)&lt;=1,SUM($B$83)&gt;=0)),OR(1144=1,1144=$B$174+1,AND($B$175&gt;0,1144=$B$175+1))),IF(AND($B$170=1,$B$66&gt;0,OR($B$175=0,1144&lt;=$B$175)),$B$66,IF($B$172-MAX(1144-1,$B$174)&gt;0,IF(B1544=0,0,IF(C1544=0,B1544/($B$172-MAX(1144-1,$B$174)),B1544*(C1544/12)/(1-(1+C1544/12)^(-($B$172-MAX(1144-1,$B$174)))))),"")),D1543)))),""),""))</x:f>
        <x:v>0</x:v>
      </x:c>
      <x:c r="E1544" s="441" t="n">
        <x:f>IF(AND(1144=$B$173,ISNUMBER(D1544)),IF(MAX(0,B1544*(1+C1544/12)-D1544)&lt;MAX(0.0000001,$E$17*0.00000000001),0,MAX(0,B1544*(1+C1544/12)-D1544)),0)</x:f>
        <x:v>0</x:v>
      </x:c>
      <x:c r="F1544" s="441" t="n">
        <x:f>IF($B$78="Cash payoff",E1544,0)</x:f>
        <x:v>0</x:v>
      </x:c>
      <x:c r="G1544" s="441" t="n">
        <x:f>IF(AND(E1544&gt;0,AND($B$78="Refinance",ISNUMBER($B$80),$B$80&gt;=0,$B$80&lt;=1,ROUND($B$81*12,0)&gt;=1,$B$81&lt;=100,SUM($B$82)&gt;=0,SUM($B$82)&lt;=1,SUM($B$83)&gt;=0)),E1544*SUM($B$82)+SUM($B$83),0)</x:f>
        <x:v>0</x:v>
      </x:c>
      <x:c r="H1544" s="441" t="n">
        <x:f>IF(ISNUMBER(D1544),IF(MAX(0,B1544*(1+C1544/12)-D1544-F1544)&lt;MAX(0.0000001,$E$17*0.00000000001),0,MAX(0,B1544*(1+C1544/12)-D1544-F1544)),IF(AND($B$171=1,I1543=1),B1544,""))</x:f>
        <x:v>0</x:v>
      </x:c>
      <x:c r="I1544" s="445" t="n">
        <x:f>IF(OR(I1543=1,AND(E1544&gt;0,$B$78&lt;&gt;"Cash payoff",NOT(AND($B$78="Refinance",ISNUMBER($B$80),$B$80&gt;=0,$B$80&lt;=1,ROUND($B$81*12,0)&gt;=1,$B$81&lt;=100,SUM($B$82)&gt;=0,SUM($B$82)&lt;=1,SUM($B$83)&gt;=0))),AND(ISNUMBER(B1544),B1544&gt;0,$B$171=1,NOT(ISNUMBER(D1544)))),1,0)</x:f>
        <x:v>0</x:v>
      </x:c>
      <x:c r="J1544" s="441" t="n">
        <x:f>IF(ISNUMBER(L1543),L1543,"")</x:f>
        <x:v>0</x:v>
      </x:c>
      <x:c r="K1544" s="441" t="n">
        <x:f>IF(AND(ISNUMBER(J1544),J1544=0),0,IF(AND($B$176=1,ISNUMBER(J1544)),MIN(J1544*(1+$B$87/12),IF($B$86=0,0,IF($B$87=0,$B$86/ROUND($B$88*12,0),$B$86*($B$87/12)/(1-(1+$B$87/12)^(-ROUND($B$88*12,0)))))),""))</x:f>
        <x:v>0</x:v>
      </x:c>
      <x:c r="L1544" s="441" t="n">
        <x:f>IF(ISNUMBER(K1544),IF(MAX(0,J1544*(1+SUM($B$87)/12)-K1544)&lt;MAX(0.0000001,$B$86*0.00000000001),0,MAX(0,J1544*(1+SUM($B$87)/12)-K1544)),"")</x:f>
        <x:v>0</x:v>
      </x:c>
      <x:c r="M1544" s="441" t="n">
        <x:f>IF(AND(ISNUMBER(D1544),ISNUMBER(K1544)),D1544+K1544,"")</x:f>
        <x:v>0</x:v>
      </x:c>
      <x:c r="N1544" s="441" t="n">
        <x:f>IF(AND(ISNUMBER(H1544),ISNUMBER(L1544)),H1544+L1544,"")</x:f>
        <x:v>0</x:v>
      </x:c>
    </x:row>
    <x:row r="1545">
      <x:c r="A1545" t="n">
        <x:f>1145</x:f>
        <x:v>1145</x:v>
      </x:c>
      <x:c r="B1545" s="441" t="n">
        <x:f>IF(ISNUMBER(H1544),H1544,"")</x:f>
        <x:v>0</x:v>
      </x:c>
      <x:c r="C1545" s="443" t="n">
        <x:f>IF(ISNUMBER(B1545),IF(AND(1145&gt;$B$173,$B$78="Refinance",ISNUMBER($B$80),$B$80&gt;=0,$B$80&lt;=1,ROUND($B$81*12,0)&gt;=1,$B$81&lt;=100,SUM($B$82)&gt;=0,SUM($B$82)&lt;=1,SUM($B$83)&gt;=0),$B$80,IF(AND($B$175&gt;0,1145&gt;$B$175,ISNUMBER($B$75)),$B$75,$B$61)),"")</x:f>
        <x:v>0.0625</x:v>
      </x:c>
      <x:c r="D1545" s="441" t="n">
        <x:f>IF(AND(ISNUMBER(B1545),B1545=0),0,IF(AND($B$171=1,I1544=0,ISNUMBER(C1545),ISNUMBER(IF(AND(1145&lt;=$B$174,1145&lt;=$B$173),B1545*C1545/12,IF(AND(1145=$B$173+1,AND(1145&gt;$B$173,$B$78="Refinance",ISNUMBER($B$80),$B$80&gt;=0,$B$80&lt;=1,ROUND($B$81*12,0)&gt;=1,$B$81&lt;=100,SUM($B$82)&gt;=0,SUM($B$82)&lt;=1,SUM($B$83)&gt;=0)),IF(B1545=0,0,IF(C1545=0,B1545/ROUND($B$81*12,0),B1545*(C1545/12)/(1-(1+C1545/12)^(-ROUND($B$81*12,0))))),IF(AND(NOT(AND(1145&gt;$B$173,$B$78="Refinance",ISNUMBER($B$80),$B$80&gt;=0,$B$80&lt;=1,ROUND($B$81*12,0)&gt;=1,$B$81&lt;=100,SUM($B$82)&gt;=0,SUM($B$82)&lt;=1,SUM($B$83)&gt;=0)),OR(1145=1,1145=$B$174+1,AND($B$175&gt;0,1145=$B$175+1))),IF(AND($B$170=1,$B$66&gt;0,OR($B$175=0,1145&lt;=$B$175)),$B$66,IF($B$172-MAX(1145-1,$B$174)&gt;0,IF(B1545=0,0,IF(C1545=0,B1545/($B$172-MAX(1145-1,$B$174)),B1545*(C1545/12)/(1-(1+C1545/12)^(-($B$172-MAX(1145-1,$B$174)))))),"")),D1544))))),IF(IF(AND(1145&lt;=$B$174,1145&lt;=$B$173),B1545*C1545/12,IF(AND(1145=$B$173+1,AND(1145&gt;$B$173,$B$78="Refinance",ISNUMBER($B$80),$B$80&gt;=0,$B$80&lt;=1,ROUND($B$81*12,0)&gt;=1,$B$81&lt;=100,SUM($B$82)&gt;=0,SUM($B$82)&lt;=1,SUM($B$83)&gt;=0)),IF(B1545=0,0,IF(C1545=0,B1545/ROUND($B$81*12,0),B1545*(C1545/12)/(1-(1+C1545/12)^(-ROUND($B$81*12,0))))),IF(AND(NOT(AND(1145&gt;$B$173,$B$78="Refinance",ISNUMBER($B$80),$B$80&gt;=0,$B$80&lt;=1,ROUND($B$81*12,0)&gt;=1,$B$81&lt;=100,SUM($B$82)&gt;=0,SUM($B$82)&lt;=1,SUM($B$83)&gt;=0)),OR(1145=1,1145=$B$174+1,AND($B$175&gt;0,1145=$B$175+1))),IF(AND($B$170=1,$B$66&gt;0,OR($B$175=0,1145&lt;=$B$175)),$B$66,IF($B$172-MAX(1145-1,$B$174)&gt;0,IF(B1545=0,0,IF(C1545=0,B1545/($B$172-MAX(1145-1,$B$174)),B1545*(C1545/12)/(1-(1+C1545/12)^(-($B$172-MAX(1145-1,$B$174)))))),"")),D1544)))+0.0000001&gt;=B1545*C1545/12,MIN(B1545*(1+C1545/12),IF(AND(1145&lt;=$B$174,1145&lt;=$B$173),B1545*C1545/12,IF(AND(1145=$B$173+1,AND(1145&gt;$B$173,$B$78="Refinance",ISNUMBER($B$80),$B$80&gt;=0,$B$80&lt;=1,ROUND($B$81*12,0)&gt;=1,$B$81&lt;=100,SUM($B$82)&gt;=0,SUM($B$82)&lt;=1,SUM($B$83)&gt;=0)),IF(B1545=0,0,IF(C1545=0,B1545/ROUND($B$81*12,0),B1545*(C1545/12)/(1-(1+C1545/12)^(-ROUND($B$81*12,0))))),IF(AND(NOT(AND(1145&gt;$B$173,$B$78="Refinance",ISNUMBER($B$80),$B$80&gt;=0,$B$80&lt;=1,ROUND($B$81*12,0)&gt;=1,$B$81&lt;=100,SUM($B$82)&gt;=0,SUM($B$82)&lt;=1,SUM($B$83)&gt;=0)),OR(1145=1,1145=$B$174+1,AND($B$175&gt;0,1145=$B$175+1))),IF(AND($B$170=1,$B$66&gt;0,OR($B$175=0,1145&lt;=$B$175)),$B$66,IF($B$172-MAX(1145-1,$B$174)&gt;0,IF(B1545=0,0,IF(C1545=0,B1545/($B$172-MAX(1145-1,$B$174)),B1545*(C1545/12)/(1-(1+C1545/12)^(-($B$172-MAX(1145-1,$B$174)))))),"")),D1544)))),""),""))</x:f>
        <x:v>0</x:v>
      </x:c>
      <x:c r="E1545" s="441" t="n">
        <x:f>IF(AND(1145=$B$173,ISNUMBER(D1545)),IF(MAX(0,B1545*(1+C1545/12)-D1545)&lt;MAX(0.0000001,$E$17*0.00000000001),0,MAX(0,B1545*(1+C1545/12)-D1545)),0)</x:f>
        <x:v>0</x:v>
      </x:c>
      <x:c r="F1545" s="441" t="n">
        <x:f>IF($B$78="Cash payoff",E1545,0)</x:f>
        <x:v>0</x:v>
      </x:c>
      <x:c r="G1545" s="441" t="n">
        <x:f>IF(AND(E1545&gt;0,AND($B$78="Refinance",ISNUMBER($B$80),$B$80&gt;=0,$B$80&lt;=1,ROUND($B$81*12,0)&gt;=1,$B$81&lt;=100,SUM($B$82)&gt;=0,SUM($B$82)&lt;=1,SUM($B$83)&gt;=0)),E1545*SUM($B$82)+SUM($B$83),0)</x:f>
        <x:v>0</x:v>
      </x:c>
      <x:c r="H1545" s="441" t="n">
        <x:f>IF(ISNUMBER(D1545),IF(MAX(0,B1545*(1+C1545/12)-D1545-F1545)&lt;MAX(0.0000001,$E$17*0.00000000001),0,MAX(0,B1545*(1+C1545/12)-D1545-F1545)),IF(AND($B$171=1,I1544=1),B1545,""))</x:f>
        <x:v>0</x:v>
      </x:c>
      <x:c r="I1545" s="445" t="n">
        <x:f>IF(OR(I1544=1,AND(E1545&gt;0,$B$78&lt;&gt;"Cash payoff",NOT(AND($B$78="Refinance",ISNUMBER($B$80),$B$80&gt;=0,$B$80&lt;=1,ROUND($B$81*12,0)&gt;=1,$B$81&lt;=100,SUM($B$82)&gt;=0,SUM($B$82)&lt;=1,SUM($B$83)&gt;=0))),AND(ISNUMBER(B1545),B1545&gt;0,$B$171=1,NOT(ISNUMBER(D1545)))),1,0)</x:f>
        <x:v>0</x:v>
      </x:c>
      <x:c r="J1545" s="441" t="n">
        <x:f>IF(ISNUMBER(L1544),L1544,"")</x:f>
        <x:v>0</x:v>
      </x:c>
      <x:c r="K1545" s="441" t="n">
        <x:f>IF(AND(ISNUMBER(J1545),J1545=0),0,IF(AND($B$176=1,ISNUMBER(J1545)),MIN(J1545*(1+$B$87/12),IF($B$86=0,0,IF($B$87=0,$B$86/ROUND($B$88*12,0),$B$86*($B$87/12)/(1-(1+$B$87/12)^(-ROUND($B$88*12,0)))))),""))</x:f>
        <x:v>0</x:v>
      </x:c>
      <x:c r="L1545" s="441" t="n">
        <x:f>IF(ISNUMBER(K1545),IF(MAX(0,J1545*(1+SUM($B$87)/12)-K1545)&lt;MAX(0.0000001,$B$86*0.00000000001),0,MAX(0,J1545*(1+SUM($B$87)/12)-K1545)),"")</x:f>
        <x:v>0</x:v>
      </x:c>
      <x:c r="M1545" s="441" t="n">
        <x:f>IF(AND(ISNUMBER(D1545),ISNUMBER(K1545)),D1545+K1545,"")</x:f>
        <x:v>0</x:v>
      </x:c>
      <x:c r="N1545" s="441" t="n">
        <x:f>IF(AND(ISNUMBER(H1545),ISNUMBER(L1545)),H1545+L1545,"")</x:f>
        <x:v>0</x:v>
      </x:c>
    </x:row>
    <x:row r="1546">
      <x:c r="A1546" t="n">
        <x:f>1146</x:f>
        <x:v>1146</x:v>
      </x:c>
      <x:c r="B1546" s="441" t="n">
        <x:f>IF(ISNUMBER(H1545),H1545,"")</x:f>
        <x:v>0</x:v>
      </x:c>
      <x:c r="C1546" s="443" t="n">
        <x:f>IF(ISNUMBER(B1546),IF(AND(1146&gt;$B$173,$B$78="Refinance",ISNUMBER($B$80),$B$80&gt;=0,$B$80&lt;=1,ROUND($B$81*12,0)&gt;=1,$B$81&lt;=100,SUM($B$82)&gt;=0,SUM($B$82)&lt;=1,SUM($B$83)&gt;=0),$B$80,IF(AND($B$175&gt;0,1146&gt;$B$175,ISNUMBER($B$75)),$B$75,$B$61)),"")</x:f>
        <x:v>0.0625</x:v>
      </x:c>
      <x:c r="D1546" s="441" t="n">
        <x:f>IF(AND(ISNUMBER(B1546),B1546=0),0,IF(AND($B$171=1,I1545=0,ISNUMBER(C1546),ISNUMBER(IF(AND(1146&lt;=$B$174,1146&lt;=$B$173),B1546*C1546/12,IF(AND(1146=$B$173+1,AND(1146&gt;$B$173,$B$78="Refinance",ISNUMBER($B$80),$B$80&gt;=0,$B$80&lt;=1,ROUND($B$81*12,0)&gt;=1,$B$81&lt;=100,SUM($B$82)&gt;=0,SUM($B$82)&lt;=1,SUM($B$83)&gt;=0)),IF(B1546=0,0,IF(C1546=0,B1546/ROUND($B$81*12,0),B1546*(C1546/12)/(1-(1+C1546/12)^(-ROUND($B$81*12,0))))),IF(AND(NOT(AND(1146&gt;$B$173,$B$78="Refinance",ISNUMBER($B$80),$B$80&gt;=0,$B$80&lt;=1,ROUND($B$81*12,0)&gt;=1,$B$81&lt;=100,SUM($B$82)&gt;=0,SUM($B$82)&lt;=1,SUM($B$83)&gt;=0)),OR(1146=1,1146=$B$174+1,AND($B$175&gt;0,1146=$B$175+1))),IF(AND($B$170=1,$B$66&gt;0,OR($B$175=0,1146&lt;=$B$175)),$B$66,IF($B$172-MAX(1146-1,$B$174)&gt;0,IF(B1546=0,0,IF(C1546=0,B1546/($B$172-MAX(1146-1,$B$174)),B1546*(C1546/12)/(1-(1+C1546/12)^(-($B$172-MAX(1146-1,$B$174)))))),"")),D1545))))),IF(IF(AND(1146&lt;=$B$174,1146&lt;=$B$173),B1546*C1546/12,IF(AND(1146=$B$173+1,AND(1146&gt;$B$173,$B$78="Refinance",ISNUMBER($B$80),$B$80&gt;=0,$B$80&lt;=1,ROUND($B$81*12,0)&gt;=1,$B$81&lt;=100,SUM($B$82)&gt;=0,SUM($B$82)&lt;=1,SUM($B$83)&gt;=0)),IF(B1546=0,0,IF(C1546=0,B1546/ROUND($B$81*12,0),B1546*(C1546/12)/(1-(1+C1546/12)^(-ROUND($B$81*12,0))))),IF(AND(NOT(AND(1146&gt;$B$173,$B$78="Refinance",ISNUMBER($B$80),$B$80&gt;=0,$B$80&lt;=1,ROUND($B$81*12,0)&gt;=1,$B$81&lt;=100,SUM($B$82)&gt;=0,SUM($B$82)&lt;=1,SUM($B$83)&gt;=0)),OR(1146=1,1146=$B$174+1,AND($B$175&gt;0,1146=$B$175+1))),IF(AND($B$170=1,$B$66&gt;0,OR($B$175=0,1146&lt;=$B$175)),$B$66,IF($B$172-MAX(1146-1,$B$174)&gt;0,IF(B1546=0,0,IF(C1546=0,B1546/($B$172-MAX(1146-1,$B$174)),B1546*(C1546/12)/(1-(1+C1546/12)^(-($B$172-MAX(1146-1,$B$174)))))),"")),D1545)))+0.0000001&gt;=B1546*C1546/12,MIN(B1546*(1+C1546/12),IF(AND(1146&lt;=$B$174,1146&lt;=$B$173),B1546*C1546/12,IF(AND(1146=$B$173+1,AND(1146&gt;$B$173,$B$78="Refinance",ISNUMBER($B$80),$B$80&gt;=0,$B$80&lt;=1,ROUND($B$81*12,0)&gt;=1,$B$81&lt;=100,SUM($B$82)&gt;=0,SUM($B$82)&lt;=1,SUM($B$83)&gt;=0)),IF(B1546=0,0,IF(C1546=0,B1546/ROUND($B$81*12,0),B1546*(C1546/12)/(1-(1+C1546/12)^(-ROUND($B$81*12,0))))),IF(AND(NOT(AND(1146&gt;$B$173,$B$78="Refinance",ISNUMBER($B$80),$B$80&gt;=0,$B$80&lt;=1,ROUND($B$81*12,0)&gt;=1,$B$81&lt;=100,SUM($B$82)&gt;=0,SUM($B$82)&lt;=1,SUM($B$83)&gt;=0)),OR(1146=1,1146=$B$174+1,AND($B$175&gt;0,1146=$B$175+1))),IF(AND($B$170=1,$B$66&gt;0,OR($B$175=0,1146&lt;=$B$175)),$B$66,IF($B$172-MAX(1146-1,$B$174)&gt;0,IF(B1546=0,0,IF(C1546=0,B1546/($B$172-MAX(1146-1,$B$174)),B1546*(C1546/12)/(1-(1+C1546/12)^(-($B$172-MAX(1146-1,$B$174)))))),"")),D1545)))),""),""))</x:f>
        <x:v>0</x:v>
      </x:c>
      <x:c r="E1546" s="441" t="n">
        <x:f>IF(AND(1146=$B$173,ISNUMBER(D1546)),IF(MAX(0,B1546*(1+C1546/12)-D1546)&lt;MAX(0.0000001,$E$17*0.00000000001),0,MAX(0,B1546*(1+C1546/12)-D1546)),0)</x:f>
        <x:v>0</x:v>
      </x:c>
      <x:c r="F1546" s="441" t="n">
        <x:f>IF($B$78="Cash payoff",E1546,0)</x:f>
        <x:v>0</x:v>
      </x:c>
      <x:c r="G1546" s="441" t="n">
        <x:f>IF(AND(E1546&gt;0,AND($B$78="Refinance",ISNUMBER($B$80),$B$80&gt;=0,$B$80&lt;=1,ROUND($B$81*12,0)&gt;=1,$B$81&lt;=100,SUM($B$82)&gt;=0,SUM($B$82)&lt;=1,SUM($B$83)&gt;=0)),E1546*SUM($B$82)+SUM($B$83),0)</x:f>
        <x:v>0</x:v>
      </x:c>
      <x:c r="H1546" s="441" t="n">
        <x:f>IF(ISNUMBER(D1546),IF(MAX(0,B1546*(1+C1546/12)-D1546-F1546)&lt;MAX(0.0000001,$E$17*0.00000000001),0,MAX(0,B1546*(1+C1546/12)-D1546-F1546)),IF(AND($B$171=1,I1545=1),B1546,""))</x:f>
        <x:v>0</x:v>
      </x:c>
      <x:c r="I1546" s="445" t="n">
        <x:f>IF(OR(I1545=1,AND(E1546&gt;0,$B$78&lt;&gt;"Cash payoff",NOT(AND($B$78="Refinance",ISNUMBER($B$80),$B$80&gt;=0,$B$80&lt;=1,ROUND($B$81*12,0)&gt;=1,$B$81&lt;=100,SUM($B$82)&gt;=0,SUM($B$82)&lt;=1,SUM($B$83)&gt;=0))),AND(ISNUMBER(B1546),B1546&gt;0,$B$171=1,NOT(ISNUMBER(D1546)))),1,0)</x:f>
        <x:v>0</x:v>
      </x:c>
      <x:c r="J1546" s="441" t="n">
        <x:f>IF(ISNUMBER(L1545),L1545,"")</x:f>
        <x:v>0</x:v>
      </x:c>
      <x:c r="K1546" s="441" t="n">
        <x:f>IF(AND(ISNUMBER(J1546),J1546=0),0,IF(AND($B$176=1,ISNUMBER(J1546)),MIN(J1546*(1+$B$87/12),IF($B$86=0,0,IF($B$87=0,$B$86/ROUND($B$88*12,0),$B$86*($B$87/12)/(1-(1+$B$87/12)^(-ROUND($B$88*12,0)))))),""))</x:f>
        <x:v>0</x:v>
      </x:c>
      <x:c r="L1546" s="441" t="n">
        <x:f>IF(ISNUMBER(K1546),IF(MAX(0,J1546*(1+SUM($B$87)/12)-K1546)&lt;MAX(0.0000001,$B$86*0.00000000001),0,MAX(0,J1546*(1+SUM($B$87)/12)-K1546)),"")</x:f>
        <x:v>0</x:v>
      </x:c>
      <x:c r="M1546" s="441" t="n">
        <x:f>IF(AND(ISNUMBER(D1546),ISNUMBER(K1546)),D1546+K1546,"")</x:f>
        <x:v>0</x:v>
      </x:c>
      <x:c r="N1546" s="441" t="n">
        <x:f>IF(AND(ISNUMBER(H1546),ISNUMBER(L1546)),H1546+L1546,"")</x:f>
        <x:v>0</x:v>
      </x:c>
    </x:row>
    <x:row r="1547">
      <x:c r="A1547" t="n">
        <x:f>1147</x:f>
        <x:v>1147</x:v>
      </x:c>
      <x:c r="B1547" s="441" t="n">
        <x:f>IF(ISNUMBER(H1546),H1546,"")</x:f>
        <x:v>0</x:v>
      </x:c>
      <x:c r="C1547" s="443" t="n">
        <x:f>IF(ISNUMBER(B1547),IF(AND(1147&gt;$B$173,$B$78="Refinance",ISNUMBER($B$80),$B$80&gt;=0,$B$80&lt;=1,ROUND($B$81*12,0)&gt;=1,$B$81&lt;=100,SUM($B$82)&gt;=0,SUM($B$82)&lt;=1,SUM($B$83)&gt;=0),$B$80,IF(AND($B$175&gt;0,1147&gt;$B$175,ISNUMBER($B$75)),$B$75,$B$61)),"")</x:f>
        <x:v>0.0625</x:v>
      </x:c>
      <x:c r="D1547" s="441" t="n">
        <x:f>IF(AND(ISNUMBER(B1547),B1547=0),0,IF(AND($B$171=1,I1546=0,ISNUMBER(C1547),ISNUMBER(IF(AND(1147&lt;=$B$174,1147&lt;=$B$173),B1547*C1547/12,IF(AND(1147=$B$173+1,AND(1147&gt;$B$173,$B$78="Refinance",ISNUMBER($B$80),$B$80&gt;=0,$B$80&lt;=1,ROUND($B$81*12,0)&gt;=1,$B$81&lt;=100,SUM($B$82)&gt;=0,SUM($B$82)&lt;=1,SUM($B$83)&gt;=0)),IF(B1547=0,0,IF(C1547=0,B1547/ROUND($B$81*12,0),B1547*(C1547/12)/(1-(1+C1547/12)^(-ROUND($B$81*12,0))))),IF(AND(NOT(AND(1147&gt;$B$173,$B$78="Refinance",ISNUMBER($B$80),$B$80&gt;=0,$B$80&lt;=1,ROUND($B$81*12,0)&gt;=1,$B$81&lt;=100,SUM($B$82)&gt;=0,SUM($B$82)&lt;=1,SUM($B$83)&gt;=0)),OR(1147=1,1147=$B$174+1,AND($B$175&gt;0,1147=$B$175+1))),IF(AND($B$170=1,$B$66&gt;0,OR($B$175=0,1147&lt;=$B$175)),$B$66,IF($B$172-MAX(1147-1,$B$174)&gt;0,IF(B1547=0,0,IF(C1547=0,B1547/($B$172-MAX(1147-1,$B$174)),B1547*(C1547/12)/(1-(1+C1547/12)^(-($B$172-MAX(1147-1,$B$174)))))),"")),D1546))))),IF(IF(AND(1147&lt;=$B$174,1147&lt;=$B$173),B1547*C1547/12,IF(AND(1147=$B$173+1,AND(1147&gt;$B$173,$B$78="Refinance",ISNUMBER($B$80),$B$80&gt;=0,$B$80&lt;=1,ROUND($B$81*12,0)&gt;=1,$B$81&lt;=100,SUM($B$82)&gt;=0,SUM($B$82)&lt;=1,SUM($B$83)&gt;=0)),IF(B1547=0,0,IF(C1547=0,B1547/ROUND($B$81*12,0),B1547*(C1547/12)/(1-(1+C1547/12)^(-ROUND($B$81*12,0))))),IF(AND(NOT(AND(1147&gt;$B$173,$B$78="Refinance",ISNUMBER($B$80),$B$80&gt;=0,$B$80&lt;=1,ROUND($B$81*12,0)&gt;=1,$B$81&lt;=100,SUM($B$82)&gt;=0,SUM($B$82)&lt;=1,SUM($B$83)&gt;=0)),OR(1147=1,1147=$B$174+1,AND($B$175&gt;0,1147=$B$175+1))),IF(AND($B$170=1,$B$66&gt;0,OR($B$175=0,1147&lt;=$B$175)),$B$66,IF($B$172-MAX(1147-1,$B$174)&gt;0,IF(B1547=0,0,IF(C1547=0,B1547/($B$172-MAX(1147-1,$B$174)),B1547*(C1547/12)/(1-(1+C1547/12)^(-($B$172-MAX(1147-1,$B$174)))))),"")),D1546)))+0.0000001&gt;=B1547*C1547/12,MIN(B1547*(1+C1547/12),IF(AND(1147&lt;=$B$174,1147&lt;=$B$173),B1547*C1547/12,IF(AND(1147=$B$173+1,AND(1147&gt;$B$173,$B$78="Refinance",ISNUMBER($B$80),$B$80&gt;=0,$B$80&lt;=1,ROUND($B$81*12,0)&gt;=1,$B$81&lt;=100,SUM($B$82)&gt;=0,SUM($B$82)&lt;=1,SUM($B$83)&gt;=0)),IF(B1547=0,0,IF(C1547=0,B1547/ROUND($B$81*12,0),B1547*(C1547/12)/(1-(1+C1547/12)^(-ROUND($B$81*12,0))))),IF(AND(NOT(AND(1147&gt;$B$173,$B$78="Refinance",ISNUMBER($B$80),$B$80&gt;=0,$B$80&lt;=1,ROUND($B$81*12,0)&gt;=1,$B$81&lt;=100,SUM($B$82)&gt;=0,SUM($B$82)&lt;=1,SUM($B$83)&gt;=0)),OR(1147=1,1147=$B$174+1,AND($B$175&gt;0,1147=$B$175+1))),IF(AND($B$170=1,$B$66&gt;0,OR($B$175=0,1147&lt;=$B$175)),$B$66,IF($B$172-MAX(1147-1,$B$174)&gt;0,IF(B1547=0,0,IF(C1547=0,B1547/($B$172-MAX(1147-1,$B$174)),B1547*(C1547/12)/(1-(1+C1547/12)^(-($B$172-MAX(1147-1,$B$174)))))),"")),D1546)))),""),""))</x:f>
        <x:v>0</x:v>
      </x:c>
      <x:c r="E1547" s="441" t="n">
        <x:f>IF(AND(1147=$B$173,ISNUMBER(D1547)),IF(MAX(0,B1547*(1+C1547/12)-D1547)&lt;MAX(0.0000001,$E$17*0.00000000001),0,MAX(0,B1547*(1+C1547/12)-D1547)),0)</x:f>
        <x:v>0</x:v>
      </x:c>
      <x:c r="F1547" s="441" t="n">
        <x:f>IF($B$78="Cash payoff",E1547,0)</x:f>
        <x:v>0</x:v>
      </x:c>
      <x:c r="G1547" s="441" t="n">
        <x:f>IF(AND(E1547&gt;0,AND($B$78="Refinance",ISNUMBER($B$80),$B$80&gt;=0,$B$80&lt;=1,ROUND($B$81*12,0)&gt;=1,$B$81&lt;=100,SUM($B$82)&gt;=0,SUM($B$82)&lt;=1,SUM($B$83)&gt;=0)),E1547*SUM($B$82)+SUM($B$83),0)</x:f>
        <x:v>0</x:v>
      </x:c>
      <x:c r="H1547" s="441" t="n">
        <x:f>IF(ISNUMBER(D1547),IF(MAX(0,B1547*(1+C1547/12)-D1547-F1547)&lt;MAX(0.0000001,$E$17*0.00000000001),0,MAX(0,B1547*(1+C1547/12)-D1547-F1547)),IF(AND($B$171=1,I1546=1),B1547,""))</x:f>
        <x:v>0</x:v>
      </x:c>
      <x:c r="I1547" s="445" t="n">
        <x:f>IF(OR(I1546=1,AND(E1547&gt;0,$B$78&lt;&gt;"Cash payoff",NOT(AND($B$78="Refinance",ISNUMBER($B$80),$B$80&gt;=0,$B$80&lt;=1,ROUND($B$81*12,0)&gt;=1,$B$81&lt;=100,SUM($B$82)&gt;=0,SUM($B$82)&lt;=1,SUM($B$83)&gt;=0))),AND(ISNUMBER(B1547),B1547&gt;0,$B$171=1,NOT(ISNUMBER(D1547)))),1,0)</x:f>
        <x:v>0</x:v>
      </x:c>
      <x:c r="J1547" s="441" t="n">
        <x:f>IF(ISNUMBER(L1546),L1546,"")</x:f>
        <x:v>0</x:v>
      </x:c>
      <x:c r="K1547" s="441" t="n">
        <x:f>IF(AND(ISNUMBER(J1547),J1547=0),0,IF(AND($B$176=1,ISNUMBER(J1547)),MIN(J1547*(1+$B$87/12),IF($B$86=0,0,IF($B$87=0,$B$86/ROUND($B$88*12,0),$B$86*($B$87/12)/(1-(1+$B$87/12)^(-ROUND($B$88*12,0)))))),""))</x:f>
        <x:v>0</x:v>
      </x:c>
      <x:c r="L1547" s="441" t="n">
        <x:f>IF(ISNUMBER(K1547),IF(MAX(0,J1547*(1+SUM($B$87)/12)-K1547)&lt;MAX(0.0000001,$B$86*0.00000000001),0,MAX(0,J1547*(1+SUM($B$87)/12)-K1547)),"")</x:f>
        <x:v>0</x:v>
      </x:c>
      <x:c r="M1547" s="441" t="n">
        <x:f>IF(AND(ISNUMBER(D1547),ISNUMBER(K1547)),D1547+K1547,"")</x:f>
        <x:v>0</x:v>
      </x:c>
      <x:c r="N1547" s="441" t="n">
        <x:f>IF(AND(ISNUMBER(H1547),ISNUMBER(L1547)),H1547+L1547,"")</x:f>
        <x:v>0</x:v>
      </x:c>
    </x:row>
    <x:row r="1548">
      <x:c r="A1548" t="n">
        <x:f>1148</x:f>
        <x:v>1148</x:v>
      </x:c>
      <x:c r="B1548" s="441" t="n">
        <x:f>IF(ISNUMBER(H1547),H1547,"")</x:f>
        <x:v>0</x:v>
      </x:c>
      <x:c r="C1548" s="443" t="n">
        <x:f>IF(ISNUMBER(B1548),IF(AND(1148&gt;$B$173,$B$78="Refinance",ISNUMBER($B$80),$B$80&gt;=0,$B$80&lt;=1,ROUND($B$81*12,0)&gt;=1,$B$81&lt;=100,SUM($B$82)&gt;=0,SUM($B$82)&lt;=1,SUM($B$83)&gt;=0),$B$80,IF(AND($B$175&gt;0,1148&gt;$B$175,ISNUMBER($B$75)),$B$75,$B$61)),"")</x:f>
        <x:v>0.0625</x:v>
      </x:c>
      <x:c r="D1548" s="441" t="n">
        <x:f>IF(AND(ISNUMBER(B1548),B1548=0),0,IF(AND($B$171=1,I1547=0,ISNUMBER(C1548),ISNUMBER(IF(AND(1148&lt;=$B$174,1148&lt;=$B$173),B1548*C1548/12,IF(AND(1148=$B$173+1,AND(1148&gt;$B$173,$B$78="Refinance",ISNUMBER($B$80),$B$80&gt;=0,$B$80&lt;=1,ROUND($B$81*12,0)&gt;=1,$B$81&lt;=100,SUM($B$82)&gt;=0,SUM($B$82)&lt;=1,SUM($B$83)&gt;=0)),IF(B1548=0,0,IF(C1548=0,B1548/ROUND($B$81*12,0),B1548*(C1548/12)/(1-(1+C1548/12)^(-ROUND($B$81*12,0))))),IF(AND(NOT(AND(1148&gt;$B$173,$B$78="Refinance",ISNUMBER($B$80),$B$80&gt;=0,$B$80&lt;=1,ROUND($B$81*12,0)&gt;=1,$B$81&lt;=100,SUM($B$82)&gt;=0,SUM($B$82)&lt;=1,SUM($B$83)&gt;=0)),OR(1148=1,1148=$B$174+1,AND($B$175&gt;0,1148=$B$175+1))),IF(AND($B$170=1,$B$66&gt;0,OR($B$175=0,1148&lt;=$B$175)),$B$66,IF($B$172-MAX(1148-1,$B$174)&gt;0,IF(B1548=0,0,IF(C1548=0,B1548/($B$172-MAX(1148-1,$B$174)),B1548*(C1548/12)/(1-(1+C1548/12)^(-($B$172-MAX(1148-1,$B$174)))))),"")),D1547))))),IF(IF(AND(1148&lt;=$B$174,1148&lt;=$B$173),B1548*C1548/12,IF(AND(1148=$B$173+1,AND(1148&gt;$B$173,$B$78="Refinance",ISNUMBER($B$80),$B$80&gt;=0,$B$80&lt;=1,ROUND($B$81*12,0)&gt;=1,$B$81&lt;=100,SUM($B$82)&gt;=0,SUM($B$82)&lt;=1,SUM($B$83)&gt;=0)),IF(B1548=0,0,IF(C1548=0,B1548/ROUND($B$81*12,0),B1548*(C1548/12)/(1-(1+C1548/12)^(-ROUND($B$81*12,0))))),IF(AND(NOT(AND(1148&gt;$B$173,$B$78="Refinance",ISNUMBER($B$80),$B$80&gt;=0,$B$80&lt;=1,ROUND($B$81*12,0)&gt;=1,$B$81&lt;=100,SUM($B$82)&gt;=0,SUM($B$82)&lt;=1,SUM($B$83)&gt;=0)),OR(1148=1,1148=$B$174+1,AND($B$175&gt;0,1148=$B$175+1))),IF(AND($B$170=1,$B$66&gt;0,OR($B$175=0,1148&lt;=$B$175)),$B$66,IF($B$172-MAX(1148-1,$B$174)&gt;0,IF(B1548=0,0,IF(C1548=0,B1548/($B$172-MAX(1148-1,$B$174)),B1548*(C1548/12)/(1-(1+C1548/12)^(-($B$172-MAX(1148-1,$B$174)))))),"")),D1547)))+0.0000001&gt;=B1548*C1548/12,MIN(B1548*(1+C1548/12),IF(AND(1148&lt;=$B$174,1148&lt;=$B$173),B1548*C1548/12,IF(AND(1148=$B$173+1,AND(1148&gt;$B$173,$B$78="Refinance",ISNUMBER($B$80),$B$80&gt;=0,$B$80&lt;=1,ROUND($B$81*12,0)&gt;=1,$B$81&lt;=100,SUM($B$82)&gt;=0,SUM($B$82)&lt;=1,SUM($B$83)&gt;=0)),IF(B1548=0,0,IF(C1548=0,B1548/ROUND($B$81*12,0),B1548*(C1548/12)/(1-(1+C1548/12)^(-ROUND($B$81*12,0))))),IF(AND(NOT(AND(1148&gt;$B$173,$B$78="Refinance",ISNUMBER($B$80),$B$80&gt;=0,$B$80&lt;=1,ROUND($B$81*12,0)&gt;=1,$B$81&lt;=100,SUM($B$82)&gt;=0,SUM($B$82)&lt;=1,SUM($B$83)&gt;=0)),OR(1148=1,1148=$B$174+1,AND($B$175&gt;0,1148=$B$175+1))),IF(AND($B$170=1,$B$66&gt;0,OR($B$175=0,1148&lt;=$B$175)),$B$66,IF($B$172-MAX(1148-1,$B$174)&gt;0,IF(B1548=0,0,IF(C1548=0,B1548/($B$172-MAX(1148-1,$B$174)),B1548*(C1548/12)/(1-(1+C1548/12)^(-($B$172-MAX(1148-1,$B$174)))))),"")),D1547)))),""),""))</x:f>
        <x:v>0</x:v>
      </x:c>
      <x:c r="E1548" s="441" t="n">
        <x:f>IF(AND(1148=$B$173,ISNUMBER(D1548)),IF(MAX(0,B1548*(1+C1548/12)-D1548)&lt;MAX(0.0000001,$E$17*0.00000000001),0,MAX(0,B1548*(1+C1548/12)-D1548)),0)</x:f>
        <x:v>0</x:v>
      </x:c>
      <x:c r="F1548" s="441" t="n">
        <x:f>IF($B$78="Cash payoff",E1548,0)</x:f>
        <x:v>0</x:v>
      </x:c>
      <x:c r="G1548" s="441" t="n">
        <x:f>IF(AND(E1548&gt;0,AND($B$78="Refinance",ISNUMBER($B$80),$B$80&gt;=0,$B$80&lt;=1,ROUND($B$81*12,0)&gt;=1,$B$81&lt;=100,SUM($B$82)&gt;=0,SUM($B$82)&lt;=1,SUM($B$83)&gt;=0)),E1548*SUM($B$82)+SUM($B$83),0)</x:f>
        <x:v>0</x:v>
      </x:c>
      <x:c r="H1548" s="441" t="n">
        <x:f>IF(ISNUMBER(D1548),IF(MAX(0,B1548*(1+C1548/12)-D1548-F1548)&lt;MAX(0.0000001,$E$17*0.00000000001),0,MAX(0,B1548*(1+C1548/12)-D1548-F1548)),IF(AND($B$171=1,I1547=1),B1548,""))</x:f>
        <x:v>0</x:v>
      </x:c>
      <x:c r="I1548" s="445" t="n">
        <x:f>IF(OR(I1547=1,AND(E1548&gt;0,$B$78&lt;&gt;"Cash payoff",NOT(AND($B$78="Refinance",ISNUMBER($B$80),$B$80&gt;=0,$B$80&lt;=1,ROUND($B$81*12,0)&gt;=1,$B$81&lt;=100,SUM($B$82)&gt;=0,SUM($B$82)&lt;=1,SUM($B$83)&gt;=0))),AND(ISNUMBER(B1548),B1548&gt;0,$B$171=1,NOT(ISNUMBER(D1548)))),1,0)</x:f>
        <x:v>0</x:v>
      </x:c>
      <x:c r="J1548" s="441" t="n">
        <x:f>IF(ISNUMBER(L1547),L1547,"")</x:f>
        <x:v>0</x:v>
      </x:c>
      <x:c r="K1548" s="441" t="n">
        <x:f>IF(AND(ISNUMBER(J1548),J1548=0),0,IF(AND($B$176=1,ISNUMBER(J1548)),MIN(J1548*(1+$B$87/12),IF($B$86=0,0,IF($B$87=0,$B$86/ROUND($B$88*12,0),$B$86*($B$87/12)/(1-(1+$B$87/12)^(-ROUND($B$88*12,0)))))),""))</x:f>
        <x:v>0</x:v>
      </x:c>
      <x:c r="L1548" s="441" t="n">
        <x:f>IF(ISNUMBER(K1548),IF(MAX(0,J1548*(1+SUM($B$87)/12)-K1548)&lt;MAX(0.0000001,$B$86*0.00000000001),0,MAX(0,J1548*(1+SUM($B$87)/12)-K1548)),"")</x:f>
        <x:v>0</x:v>
      </x:c>
      <x:c r="M1548" s="441" t="n">
        <x:f>IF(AND(ISNUMBER(D1548),ISNUMBER(K1548)),D1548+K1548,"")</x:f>
        <x:v>0</x:v>
      </x:c>
      <x:c r="N1548" s="441" t="n">
        <x:f>IF(AND(ISNUMBER(H1548),ISNUMBER(L1548)),H1548+L1548,"")</x:f>
        <x:v>0</x:v>
      </x:c>
    </x:row>
    <x:row r="1549">
      <x:c r="A1549" t="n">
        <x:f>1149</x:f>
        <x:v>1149</x:v>
      </x:c>
      <x:c r="B1549" s="441" t="n">
        <x:f>IF(ISNUMBER(H1548),H1548,"")</x:f>
        <x:v>0</x:v>
      </x:c>
      <x:c r="C1549" s="443" t="n">
        <x:f>IF(ISNUMBER(B1549),IF(AND(1149&gt;$B$173,$B$78="Refinance",ISNUMBER($B$80),$B$80&gt;=0,$B$80&lt;=1,ROUND($B$81*12,0)&gt;=1,$B$81&lt;=100,SUM($B$82)&gt;=0,SUM($B$82)&lt;=1,SUM($B$83)&gt;=0),$B$80,IF(AND($B$175&gt;0,1149&gt;$B$175,ISNUMBER($B$75)),$B$75,$B$61)),"")</x:f>
        <x:v>0.0625</x:v>
      </x:c>
      <x:c r="D1549" s="441" t="n">
        <x:f>IF(AND(ISNUMBER(B1549),B1549=0),0,IF(AND($B$171=1,I1548=0,ISNUMBER(C1549),ISNUMBER(IF(AND(1149&lt;=$B$174,1149&lt;=$B$173),B1549*C1549/12,IF(AND(1149=$B$173+1,AND(1149&gt;$B$173,$B$78="Refinance",ISNUMBER($B$80),$B$80&gt;=0,$B$80&lt;=1,ROUND($B$81*12,0)&gt;=1,$B$81&lt;=100,SUM($B$82)&gt;=0,SUM($B$82)&lt;=1,SUM($B$83)&gt;=0)),IF(B1549=0,0,IF(C1549=0,B1549/ROUND($B$81*12,0),B1549*(C1549/12)/(1-(1+C1549/12)^(-ROUND($B$81*12,0))))),IF(AND(NOT(AND(1149&gt;$B$173,$B$78="Refinance",ISNUMBER($B$80),$B$80&gt;=0,$B$80&lt;=1,ROUND($B$81*12,0)&gt;=1,$B$81&lt;=100,SUM($B$82)&gt;=0,SUM($B$82)&lt;=1,SUM($B$83)&gt;=0)),OR(1149=1,1149=$B$174+1,AND($B$175&gt;0,1149=$B$175+1))),IF(AND($B$170=1,$B$66&gt;0,OR($B$175=0,1149&lt;=$B$175)),$B$66,IF($B$172-MAX(1149-1,$B$174)&gt;0,IF(B1549=0,0,IF(C1549=0,B1549/($B$172-MAX(1149-1,$B$174)),B1549*(C1549/12)/(1-(1+C1549/12)^(-($B$172-MAX(1149-1,$B$174)))))),"")),D1548))))),IF(IF(AND(1149&lt;=$B$174,1149&lt;=$B$173),B1549*C1549/12,IF(AND(1149=$B$173+1,AND(1149&gt;$B$173,$B$78="Refinance",ISNUMBER($B$80),$B$80&gt;=0,$B$80&lt;=1,ROUND($B$81*12,0)&gt;=1,$B$81&lt;=100,SUM($B$82)&gt;=0,SUM($B$82)&lt;=1,SUM($B$83)&gt;=0)),IF(B1549=0,0,IF(C1549=0,B1549/ROUND($B$81*12,0),B1549*(C1549/12)/(1-(1+C1549/12)^(-ROUND($B$81*12,0))))),IF(AND(NOT(AND(1149&gt;$B$173,$B$78="Refinance",ISNUMBER($B$80),$B$80&gt;=0,$B$80&lt;=1,ROUND($B$81*12,0)&gt;=1,$B$81&lt;=100,SUM($B$82)&gt;=0,SUM($B$82)&lt;=1,SUM($B$83)&gt;=0)),OR(1149=1,1149=$B$174+1,AND($B$175&gt;0,1149=$B$175+1))),IF(AND($B$170=1,$B$66&gt;0,OR($B$175=0,1149&lt;=$B$175)),$B$66,IF($B$172-MAX(1149-1,$B$174)&gt;0,IF(B1549=0,0,IF(C1549=0,B1549/($B$172-MAX(1149-1,$B$174)),B1549*(C1549/12)/(1-(1+C1549/12)^(-($B$172-MAX(1149-1,$B$174)))))),"")),D1548)))+0.0000001&gt;=B1549*C1549/12,MIN(B1549*(1+C1549/12),IF(AND(1149&lt;=$B$174,1149&lt;=$B$173),B1549*C1549/12,IF(AND(1149=$B$173+1,AND(1149&gt;$B$173,$B$78="Refinance",ISNUMBER($B$80),$B$80&gt;=0,$B$80&lt;=1,ROUND($B$81*12,0)&gt;=1,$B$81&lt;=100,SUM($B$82)&gt;=0,SUM($B$82)&lt;=1,SUM($B$83)&gt;=0)),IF(B1549=0,0,IF(C1549=0,B1549/ROUND($B$81*12,0),B1549*(C1549/12)/(1-(1+C1549/12)^(-ROUND($B$81*12,0))))),IF(AND(NOT(AND(1149&gt;$B$173,$B$78="Refinance",ISNUMBER($B$80),$B$80&gt;=0,$B$80&lt;=1,ROUND($B$81*12,0)&gt;=1,$B$81&lt;=100,SUM($B$82)&gt;=0,SUM($B$82)&lt;=1,SUM($B$83)&gt;=0)),OR(1149=1,1149=$B$174+1,AND($B$175&gt;0,1149=$B$175+1))),IF(AND($B$170=1,$B$66&gt;0,OR($B$175=0,1149&lt;=$B$175)),$B$66,IF($B$172-MAX(1149-1,$B$174)&gt;0,IF(B1549=0,0,IF(C1549=0,B1549/($B$172-MAX(1149-1,$B$174)),B1549*(C1549/12)/(1-(1+C1549/12)^(-($B$172-MAX(1149-1,$B$174)))))),"")),D1548)))),""),""))</x:f>
        <x:v>0</x:v>
      </x:c>
      <x:c r="E1549" s="441" t="n">
        <x:f>IF(AND(1149=$B$173,ISNUMBER(D1549)),IF(MAX(0,B1549*(1+C1549/12)-D1549)&lt;MAX(0.0000001,$E$17*0.00000000001),0,MAX(0,B1549*(1+C1549/12)-D1549)),0)</x:f>
        <x:v>0</x:v>
      </x:c>
      <x:c r="F1549" s="441" t="n">
        <x:f>IF($B$78="Cash payoff",E1549,0)</x:f>
        <x:v>0</x:v>
      </x:c>
      <x:c r="G1549" s="441" t="n">
        <x:f>IF(AND(E1549&gt;0,AND($B$78="Refinance",ISNUMBER($B$80),$B$80&gt;=0,$B$80&lt;=1,ROUND($B$81*12,0)&gt;=1,$B$81&lt;=100,SUM($B$82)&gt;=0,SUM($B$82)&lt;=1,SUM($B$83)&gt;=0)),E1549*SUM($B$82)+SUM($B$83),0)</x:f>
        <x:v>0</x:v>
      </x:c>
      <x:c r="H1549" s="441" t="n">
        <x:f>IF(ISNUMBER(D1549),IF(MAX(0,B1549*(1+C1549/12)-D1549-F1549)&lt;MAX(0.0000001,$E$17*0.00000000001),0,MAX(0,B1549*(1+C1549/12)-D1549-F1549)),IF(AND($B$171=1,I1548=1),B1549,""))</x:f>
        <x:v>0</x:v>
      </x:c>
      <x:c r="I1549" s="445" t="n">
        <x:f>IF(OR(I1548=1,AND(E1549&gt;0,$B$78&lt;&gt;"Cash payoff",NOT(AND($B$78="Refinance",ISNUMBER($B$80),$B$80&gt;=0,$B$80&lt;=1,ROUND($B$81*12,0)&gt;=1,$B$81&lt;=100,SUM($B$82)&gt;=0,SUM($B$82)&lt;=1,SUM($B$83)&gt;=0))),AND(ISNUMBER(B1549),B1549&gt;0,$B$171=1,NOT(ISNUMBER(D1549)))),1,0)</x:f>
        <x:v>0</x:v>
      </x:c>
      <x:c r="J1549" s="441" t="n">
        <x:f>IF(ISNUMBER(L1548),L1548,"")</x:f>
        <x:v>0</x:v>
      </x:c>
      <x:c r="K1549" s="441" t="n">
        <x:f>IF(AND(ISNUMBER(J1549),J1549=0),0,IF(AND($B$176=1,ISNUMBER(J1549)),MIN(J1549*(1+$B$87/12),IF($B$86=0,0,IF($B$87=0,$B$86/ROUND($B$88*12,0),$B$86*($B$87/12)/(1-(1+$B$87/12)^(-ROUND($B$88*12,0)))))),""))</x:f>
        <x:v>0</x:v>
      </x:c>
      <x:c r="L1549" s="441" t="n">
        <x:f>IF(ISNUMBER(K1549),IF(MAX(0,J1549*(1+SUM($B$87)/12)-K1549)&lt;MAX(0.0000001,$B$86*0.00000000001),0,MAX(0,J1549*(1+SUM($B$87)/12)-K1549)),"")</x:f>
        <x:v>0</x:v>
      </x:c>
      <x:c r="M1549" s="441" t="n">
        <x:f>IF(AND(ISNUMBER(D1549),ISNUMBER(K1549)),D1549+K1549,"")</x:f>
        <x:v>0</x:v>
      </x:c>
      <x:c r="N1549" s="441" t="n">
        <x:f>IF(AND(ISNUMBER(H1549),ISNUMBER(L1549)),H1549+L1549,"")</x:f>
        <x:v>0</x:v>
      </x:c>
    </x:row>
    <x:row r="1550">
      <x:c r="A1550" t="n">
        <x:f>1150</x:f>
        <x:v>1150</x:v>
      </x:c>
      <x:c r="B1550" s="441" t="n">
        <x:f>IF(ISNUMBER(H1549),H1549,"")</x:f>
        <x:v>0</x:v>
      </x:c>
      <x:c r="C1550" s="443" t="n">
        <x:f>IF(ISNUMBER(B1550),IF(AND(1150&gt;$B$173,$B$78="Refinance",ISNUMBER($B$80),$B$80&gt;=0,$B$80&lt;=1,ROUND($B$81*12,0)&gt;=1,$B$81&lt;=100,SUM($B$82)&gt;=0,SUM($B$82)&lt;=1,SUM($B$83)&gt;=0),$B$80,IF(AND($B$175&gt;0,1150&gt;$B$175,ISNUMBER($B$75)),$B$75,$B$61)),"")</x:f>
        <x:v>0.0625</x:v>
      </x:c>
      <x:c r="D1550" s="441" t="n">
        <x:f>IF(AND(ISNUMBER(B1550),B1550=0),0,IF(AND($B$171=1,I1549=0,ISNUMBER(C1550),ISNUMBER(IF(AND(1150&lt;=$B$174,1150&lt;=$B$173),B1550*C1550/12,IF(AND(1150=$B$173+1,AND(1150&gt;$B$173,$B$78="Refinance",ISNUMBER($B$80),$B$80&gt;=0,$B$80&lt;=1,ROUND($B$81*12,0)&gt;=1,$B$81&lt;=100,SUM($B$82)&gt;=0,SUM($B$82)&lt;=1,SUM($B$83)&gt;=0)),IF(B1550=0,0,IF(C1550=0,B1550/ROUND($B$81*12,0),B1550*(C1550/12)/(1-(1+C1550/12)^(-ROUND($B$81*12,0))))),IF(AND(NOT(AND(1150&gt;$B$173,$B$78="Refinance",ISNUMBER($B$80),$B$80&gt;=0,$B$80&lt;=1,ROUND($B$81*12,0)&gt;=1,$B$81&lt;=100,SUM($B$82)&gt;=0,SUM($B$82)&lt;=1,SUM($B$83)&gt;=0)),OR(1150=1,1150=$B$174+1,AND($B$175&gt;0,1150=$B$175+1))),IF(AND($B$170=1,$B$66&gt;0,OR($B$175=0,1150&lt;=$B$175)),$B$66,IF($B$172-MAX(1150-1,$B$174)&gt;0,IF(B1550=0,0,IF(C1550=0,B1550/($B$172-MAX(1150-1,$B$174)),B1550*(C1550/12)/(1-(1+C1550/12)^(-($B$172-MAX(1150-1,$B$174)))))),"")),D1549))))),IF(IF(AND(1150&lt;=$B$174,1150&lt;=$B$173),B1550*C1550/12,IF(AND(1150=$B$173+1,AND(1150&gt;$B$173,$B$78="Refinance",ISNUMBER($B$80),$B$80&gt;=0,$B$80&lt;=1,ROUND($B$81*12,0)&gt;=1,$B$81&lt;=100,SUM($B$82)&gt;=0,SUM($B$82)&lt;=1,SUM($B$83)&gt;=0)),IF(B1550=0,0,IF(C1550=0,B1550/ROUND($B$81*12,0),B1550*(C1550/12)/(1-(1+C1550/12)^(-ROUND($B$81*12,0))))),IF(AND(NOT(AND(1150&gt;$B$173,$B$78="Refinance",ISNUMBER($B$80),$B$80&gt;=0,$B$80&lt;=1,ROUND($B$81*12,0)&gt;=1,$B$81&lt;=100,SUM($B$82)&gt;=0,SUM($B$82)&lt;=1,SUM($B$83)&gt;=0)),OR(1150=1,1150=$B$174+1,AND($B$175&gt;0,1150=$B$175+1))),IF(AND($B$170=1,$B$66&gt;0,OR($B$175=0,1150&lt;=$B$175)),$B$66,IF($B$172-MAX(1150-1,$B$174)&gt;0,IF(B1550=0,0,IF(C1550=0,B1550/($B$172-MAX(1150-1,$B$174)),B1550*(C1550/12)/(1-(1+C1550/12)^(-($B$172-MAX(1150-1,$B$174)))))),"")),D1549)))+0.0000001&gt;=B1550*C1550/12,MIN(B1550*(1+C1550/12),IF(AND(1150&lt;=$B$174,1150&lt;=$B$173),B1550*C1550/12,IF(AND(1150=$B$173+1,AND(1150&gt;$B$173,$B$78="Refinance",ISNUMBER($B$80),$B$80&gt;=0,$B$80&lt;=1,ROUND($B$81*12,0)&gt;=1,$B$81&lt;=100,SUM($B$82)&gt;=0,SUM($B$82)&lt;=1,SUM($B$83)&gt;=0)),IF(B1550=0,0,IF(C1550=0,B1550/ROUND($B$81*12,0),B1550*(C1550/12)/(1-(1+C1550/12)^(-ROUND($B$81*12,0))))),IF(AND(NOT(AND(1150&gt;$B$173,$B$78="Refinance",ISNUMBER($B$80),$B$80&gt;=0,$B$80&lt;=1,ROUND($B$81*12,0)&gt;=1,$B$81&lt;=100,SUM($B$82)&gt;=0,SUM($B$82)&lt;=1,SUM($B$83)&gt;=0)),OR(1150=1,1150=$B$174+1,AND($B$175&gt;0,1150=$B$175+1))),IF(AND($B$170=1,$B$66&gt;0,OR($B$175=0,1150&lt;=$B$175)),$B$66,IF($B$172-MAX(1150-1,$B$174)&gt;0,IF(B1550=0,0,IF(C1550=0,B1550/($B$172-MAX(1150-1,$B$174)),B1550*(C1550/12)/(1-(1+C1550/12)^(-($B$172-MAX(1150-1,$B$174)))))),"")),D1549)))),""),""))</x:f>
        <x:v>0</x:v>
      </x:c>
      <x:c r="E1550" s="441" t="n">
        <x:f>IF(AND(1150=$B$173,ISNUMBER(D1550)),IF(MAX(0,B1550*(1+C1550/12)-D1550)&lt;MAX(0.0000001,$E$17*0.00000000001),0,MAX(0,B1550*(1+C1550/12)-D1550)),0)</x:f>
        <x:v>0</x:v>
      </x:c>
      <x:c r="F1550" s="441" t="n">
        <x:f>IF($B$78="Cash payoff",E1550,0)</x:f>
        <x:v>0</x:v>
      </x:c>
      <x:c r="G1550" s="441" t="n">
        <x:f>IF(AND(E1550&gt;0,AND($B$78="Refinance",ISNUMBER($B$80),$B$80&gt;=0,$B$80&lt;=1,ROUND($B$81*12,0)&gt;=1,$B$81&lt;=100,SUM($B$82)&gt;=0,SUM($B$82)&lt;=1,SUM($B$83)&gt;=0)),E1550*SUM($B$82)+SUM($B$83),0)</x:f>
        <x:v>0</x:v>
      </x:c>
      <x:c r="H1550" s="441" t="n">
        <x:f>IF(ISNUMBER(D1550),IF(MAX(0,B1550*(1+C1550/12)-D1550-F1550)&lt;MAX(0.0000001,$E$17*0.00000000001),0,MAX(0,B1550*(1+C1550/12)-D1550-F1550)),IF(AND($B$171=1,I1549=1),B1550,""))</x:f>
        <x:v>0</x:v>
      </x:c>
      <x:c r="I1550" s="445" t="n">
        <x:f>IF(OR(I1549=1,AND(E1550&gt;0,$B$78&lt;&gt;"Cash payoff",NOT(AND($B$78="Refinance",ISNUMBER($B$80),$B$80&gt;=0,$B$80&lt;=1,ROUND($B$81*12,0)&gt;=1,$B$81&lt;=100,SUM($B$82)&gt;=0,SUM($B$82)&lt;=1,SUM($B$83)&gt;=0))),AND(ISNUMBER(B1550),B1550&gt;0,$B$171=1,NOT(ISNUMBER(D1550)))),1,0)</x:f>
        <x:v>0</x:v>
      </x:c>
      <x:c r="J1550" s="441" t="n">
        <x:f>IF(ISNUMBER(L1549),L1549,"")</x:f>
        <x:v>0</x:v>
      </x:c>
      <x:c r="K1550" s="441" t="n">
        <x:f>IF(AND(ISNUMBER(J1550),J1550=0),0,IF(AND($B$176=1,ISNUMBER(J1550)),MIN(J1550*(1+$B$87/12),IF($B$86=0,0,IF($B$87=0,$B$86/ROUND($B$88*12,0),$B$86*($B$87/12)/(1-(1+$B$87/12)^(-ROUND($B$88*12,0)))))),""))</x:f>
        <x:v>0</x:v>
      </x:c>
      <x:c r="L1550" s="441" t="n">
        <x:f>IF(ISNUMBER(K1550),IF(MAX(0,J1550*(1+SUM($B$87)/12)-K1550)&lt;MAX(0.0000001,$B$86*0.00000000001),0,MAX(0,J1550*(1+SUM($B$87)/12)-K1550)),"")</x:f>
        <x:v>0</x:v>
      </x:c>
      <x:c r="M1550" s="441" t="n">
        <x:f>IF(AND(ISNUMBER(D1550),ISNUMBER(K1550)),D1550+K1550,"")</x:f>
        <x:v>0</x:v>
      </x:c>
      <x:c r="N1550" s="441" t="n">
        <x:f>IF(AND(ISNUMBER(H1550),ISNUMBER(L1550)),H1550+L1550,"")</x:f>
        <x:v>0</x:v>
      </x:c>
    </x:row>
    <x:row r="1551">
      <x:c r="A1551" t="n">
        <x:f>1151</x:f>
        <x:v>1151</x:v>
      </x:c>
      <x:c r="B1551" s="441" t="n">
        <x:f>IF(ISNUMBER(H1550),H1550,"")</x:f>
        <x:v>0</x:v>
      </x:c>
      <x:c r="C1551" s="443" t="n">
        <x:f>IF(ISNUMBER(B1551),IF(AND(1151&gt;$B$173,$B$78="Refinance",ISNUMBER($B$80),$B$80&gt;=0,$B$80&lt;=1,ROUND($B$81*12,0)&gt;=1,$B$81&lt;=100,SUM($B$82)&gt;=0,SUM($B$82)&lt;=1,SUM($B$83)&gt;=0),$B$80,IF(AND($B$175&gt;0,1151&gt;$B$175,ISNUMBER($B$75)),$B$75,$B$61)),"")</x:f>
        <x:v>0.0625</x:v>
      </x:c>
      <x:c r="D1551" s="441" t="n">
        <x:f>IF(AND(ISNUMBER(B1551),B1551=0),0,IF(AND($B$171=1,I1550=0,ISNUMBER(C1551),ISNUMBER(IF(AND(1151&lt;=$B$174,1151&lt;=$B$173),B1551*C1551/12,IF(AND(1151=$B$173+1,AND(1151&gt;$B$173,$B$78="Refinance",ISNUMBER($B$80),$B$80&gt;=0,$B$80&lt;=1,ROUND($B$81*12,0)&gt;=1,$B$81&lt;=100,SUM($B$82)&gt;=0,SUM($B$82)&lt;=1,SUM($B$83)&gt;=0)),IF(B1551=0,0,IF(C1551=0,B1551/ROUND($B$81*12,0),B1551*(C1551/12)/(1-(1+C1551/12)^(-ROUND($B$81*12,0))))),IF(AND(NOT(AND(1151&gt;$B$173,$B$78="Refinance",ISNUMBER($B$80),$B$80&gt;=0,$B$80&lt;=1,ROUND($B$81*12,0)&gt;=1,$B$81&lt;=100,SUM($B$82)&gt;=0,SUM($B$82)&lt;=1,SUM($B$83)&gt;=0)),OR(1151=1,1151=$B$174+1,AND($B$175&gt;0,1151=$B$175+1))),IF(AND($B$170=1,$B$66&gt;0,OR($B$175=0,1151&lt;=$B$175)),$B$66,IF($B$172-MAX(1151-1,$B$174)&gt;0,IF(B1551=0,0,IF(C1551=0,B1551/($B$172-MAX(1151-1,$B$174)),B1551*(C1551/12)/(1-(1+C1551/12)^(-($B$172-MAX(1151-1,$B$174)))))),"")),D1550))))),IF(IF(AND(1151&lt;=$B$174,1151&lt;=$B$173),B1551*C1551/12,IF(AND(1151=$B$173+1,AND(1151&gt;$B$173,$B$78="Refinance",ISNUMBER($B$80),$B$80&gt;=0,$B$80&lt;=1,ROUND($B$81*12,0)&gt;=1,$B$81&lt;=100,SUM($B$82)&gt;=0,SUM($B$82)&lt;=1,SUM($B$83)&gt;=0)),IF(B1551=0,0,IF(C1551=0,B1551/ROUND($B$81*12,0),B1551*(C1551/12)/(1-(1+C1551/12)^(-ROUND($B$81*12,0))))),IF(AND(NOT(AND(1151&gt;$B$173,$B$78="Refinance",ISNUMBER($B$80),$B$80&gt;=0,$B$80&lt;=1,ROUND($B$81*12,0)&gt;=1,$B$81&lt;=100,SUM($B$82)&gt;=0,SUM($B$82)&lt;=1,SUM($B$83)&gt;=0)),OR(1151=1,1151=$B$174+1,AND($B$175&gt;0,1151=$B$175+1))),IF(AND($B$170=1,$B$66&gt;0,OR($B$175=0,1151&lt;=$B$175)),$B$66,IF($B$172-MAX(1151-1,$B$174)&gt;0,IF(B1551=0,0,IF(C1551=0,B1551/($B$172-MAX(1151-1,$B$174)),B1551*(C1551/12)/(1-(1+C1551/12)^(-($B$172-MAX(1151-1,$B$174)))))),"")),D1550)))+0.0000001&gt;=B1551*C1551/12,MIN(B1551*(1+C1551/12),IF(AND(1151&lt;=$B$174,1151&lt;=$B$173),B1551*C1551/12,IF(AND(1151=$B$173+1,AND(1151&gt;$B$173,$B$78="Refinance",ISNUMBER($B$80),$B$80&gt;=0,$B$80&lt;=1,ROUND($B$81*12,0)&gt;=1,$B$81&lt;=100,SUM($B$82)&gt;=0,SUM($B$82)&lt;=1,SUM($B$83)&gt;=0)),IF(B1551=0,0,IF(C1551=0,B1551/ROUND($B$81*12,0),B1551*(C1551/12)/(1-(1+C1551/12)^(-ROUND($B$81*12,0))))),IF(AND(NOT(AND(1151&gt;$B$173,$B$78="Refinance",ISNUMBER($B$80),$B$80&gt;=0,$B$80&lt;=1,ROUND($B$81*12,0)&gt;=1,$B$81&lt;=100,SUM($B$82)&gt;=0,SUM($B$82)&lt;=1,SUM($B$83)&gt;=0)),OR(1151=1,1151=$B$174+1,AND($B$175&gt;0,1151=$B$175+1))),IF(AND($B$170=1,$B$66&gt;0,OR($B$175=0,1151&lt;=$B$175)),$B$66,IF($B$172-MAX(1151-1,$B$174)&gt;0,IF(B1551=0,0,IF(C1551=0,B1551/($B$172-MAX(1151-1,$B$174)),B1551*(C1551/12)/(1-(1+C1551/12)^(-($B$172-MAX(1151-1,$B$174)))))),"")),D1550)))),""),""))</x:f>
        <x:v>0</x:v>
      </x:c>
      <x:c r="E1551" s="441" t="n">
        <x:f>IF(AND(1151=$B$173,ISNUMBER(D1551)),IF(MAX(0,B1551*(1+C1551/12)-D1551)&lt;MAX(0.0000001,$E$17*0.00000000001),0,MAX(0,B1551*(1+C1551/12)-D1551)),0)</x:f>
        <x:v>0</x:v>
      </x:c>
      <x:c r="F1551" s="441" t="n">
        <x:f>IF($B$78="Cash payoff",E1551,0)</x:f>
        <x:v>0</x:v>
      </x:c>
      <x:c r="G1551" s="441" t="n">
        <x:f>IF(AND(E1551&gt;0,AND($B$78="Refinance",ISNUMBER($B$80),$B$80&gt;=0,$B$80&lt;=1,ROUND($B$81*12,0)&gt;=1,$B$81&lt;=100,SUM($B$82)&gt;=0,SUM($B$82)&lt;=1,SUM($B$83)&gt;=0)),E1551*SUM($B$82)+SUM($B$83),0)</x:f>
        <x:v>0</x:v>
      </x:c>
      <x:c r="H1551" s="441" t="n">
        <x:f>IF(ISNUMBER(D1551),IF(MAX(0,B1551*(1+C1551/12)-D1551-F1551)&lt;MAX(0.0000001,$E$17*0.00000000001),0,MAX(0,B1551*(1+C1551/12)-D1551-F1551)),IF(AND($B$171=1,I1550=1),B1551,""))</x:f>
        <x:v>0</x:v>
      </x:c>
      <x:c r="I1551" s="445" t="n">
        <x:f>IF(OR(I1550=1,AND(E1551&gt;0,$B$78&lt;&gt;"Cash payoff",NOT(AND($B$78="Refinance",ISNUMBER($B$80),$B$80&gt;=0,$B$80&lt;=1,ROUND($B$81*12,0)&gt;=1,$B$81&lt;=100,SUM($B$82)&gt;=0,SUM($B$82)&lt;=1,SUM($B$83)&gt;=0))),AND(ISNUMBER(B1551),B1551&gt;0,$B$171=1,NOT(ISNUMBER(D1551)))),1,0)</x:f>
        <x:v>0</x:v>
      </x:c>
      <x:c r="J1551" s="441" t="n">
        <x:f>IF(ISNUMBER(L1550),L1550,"")</x:f>
        <x:v>0</x:v>
      </x:c>
      <x:c r="K1551" s="441" t="n">
        <x:f>IF(AND(ISNUMBER(J1551),J1551=0),0,IF(AND($B$176=1,ISNUMBER(J1551)),MIN(J1551*(1+$B$87/12),IF($B$86=0,0,IF($B$87=0,$B$86/ROUND($B$88*12,0),$B$86*($B$87/12)/(1-(1+$B$87/12)^(-ROUND($B$88*12,0)))))),""))</x:f>
        <x:v>0</x:v>
      </x:c>
      <x:c r="L1551" s="441" t="n">
        <x:f>IF(ISNUMBER(K1551),IF(MAX(0,J1551*(1+SUM($B$87)/12)-K1551)&lt;MAX(0.0000001,$B$86*0.00000000001),0,MAX(0,J1551*(1+SUM($B$87)/12)-K1551)),"")</x:f>
        <x:v>0</x:v>
      </x:c>
      <x:c r="M1551" s="441" t="n">
        <x:f>IF(AND(ISNUMBER(D1551),ISNUMBER(K1551)),D1551+K1551,"")</x:f>
        <x:v>0</x:v>
      </x:c>
      <x:c r="N1551" s="441" t="n">
        <x:f>IF(AND(ISNUMBER(H1551),ISNUMBER(L1551)),H1551+L1551,"")</x:f>
        <x:v>0</x:v>
      </x:c>
    </x:row>
    <x:row r="1552">
      <x:c r="A1552" t="n">
        <x:f>1152</x:f>
        <x:v>1152</x:v>
      </x:c>
      <x:c r="B1552" s="441" t="n">
        <x:f>IF(ISNUMBER(H1551),H1551,"")</x:f>
        <x:v>0</x:v>
      </x:c>
      <x:c r="C1552" s="443" t="n">
        <x:f>IF(ISNUMBER(B1552),IF(AND(1152&gt;$B$173,$B$78="Refinance",ISNUMBER($B$80),$B$80&gt;=0,$B$80&lt;=1,ROUND($B$81*12,0)&gt;=1,$B$81&lt;=100,SUM($B$82)&gt;=0,SUM($B$82)&lt;=1,SUM($B$83)&gt;=0),$B$80,IF(AND($B$175&gt;0,1152&gt;$B$175,ISNUMBER($B$75)),$B$75,$B$61)),"")</x:f>
        <x:v>0.0625</x:v>
      </x:c>
      <x:c r="D1552" s="441" t="n">
        <x:f>IF(AND(ISNUMBER(B1552),B1552=0),0,IF(AND($B$171=1,I1551=0,ISNUMBER(C1552),ISNUMBER(IF(AND(1152&lt;=$B$174,1152&lt;=$B$173),B1552*C1552/12,IF(AND(1152=$B$173+1,AND(1152&gt;$B$173,$B$78="Refinance",ISNUMBER($B$80),$B$80&gt;=0,$B$80&lt;=1,ROUND($B$81*12,0)&gt;=1,$B$81&lt;=100,SUM($B$82)&gt;=0,SUM($B$82)&lt;=1,SUM($B$83)&gt;=0)),IF(B1552=0,0,IF(C1552=0,B1552/ROUND($B$81*12,0),B1552*(C1552/12)/(1-(1+C1552/12)^(-ROUND($B$81*12,0))))),IF(AND(NOT(AND(1152&gt;$B$173,$B$78="Refinance",ISNUMBER($B$80),$B$80&gt;=0,$B$80&lt;=1,ROUND($B$81*12,0)&gt;=1,$B$81&lt;=100,SUM($B$82)&gt;=0,SUM($B$82)&lt;=1,SUM($B$83)&gt;=0)),OR(1152=1,1152=$B$174+1,AND($B$175&gt;0,1152=$B$175+1))),IF(AND($B$170=1,$B$66&gt;0,OR($B$175=0,1152&lt;=$B$175)),$B$66,IF($B$172-MAX(1152-1,$B$174)&gt;0,IF(B1552=0,0,IF(C1552=0,B1552/($B$172-MAX(1152-1,$B$174)),B1552*(C1552/12)/(1-(1+C1552/12)^(-($B$172-MAX(1152-1,$B$174)))))),"")),D1551))))),IF(IF(AND(1152&lt;=$B$174,1152&lt;=$B$173),B1552*C1552/12,IF(AND(1152=$B$173+1,AND(1152&gt;$B$173,$B$78="Refinance",ISNUMBER($B$80),$B$80&gt;=0,$B$80&lt;=1,ROUND($B$81*12,0)&gt;=1,$B$81&lt;=100,SUM($B$82)&gt;=0,SUM($B$82)&lt;=1,SUM($B$83)&gt;=0)),IF(B1552=0,0,IF(C1552=0,B1552/ROUND($B$81*12,0),B1552*(C1552/12)/(1-(1+C1552/12)^(-ROUND($B$81*12,0))))),IF(AND(NOT(AND(1152&gt;$B$173,$B$78="Refinance",ISNUMBER($B$80),$B$80&gt;=0,$B$80&lt;=1,ROUND($B$81*12,0)&gt;=1,$B$81&lt;=100,SUM($B$82)&gt;=0,SUM($B$82)&lt;=1,SUM($B$83)&gt;=0)),OR(1152=1,1152=$B$174+1,AND($B$175&gt;0,1152=$B$175+1))),IF(AND($B$170=1,$B$66&gt;0,OR($B$175=0,1152&lt;=$B$175)),$B$66,IF($B$172-MAX(1152-1,$B$174)&gt;0,IF(B1552=0,0,IF(C1552=0,B1552/($B$172-MAX(1152-1,$B$174)),B1552*(C1552/12)/(1-(1+C1552/12)^(-($B$172-MAX(1152-1,$B$174)))))),"")),D1551)))+0.0000001&gt;=B1552*C1552/12,MIN(B1552*(1+C1552/12),IF(AND(1152&lt;=$B$174,1152&lt;=$B$173),B1552*C1552/12,IF(AND(1152=$B$173+1,AND(1152&gt;$B$173,$B$78="Refinance",ISNUMBER($B$80),$B$80&gt;=0,$B$80&lt;=1,ROUND($B$81*12,0)&gt;=1,$B$81&lt;=100,SUM($B$82)&gt;=0,SUM($B$82)&lt;=1,SUM($B$83)&gt;=0)),IF(B1552=0,0,IF(C1552=0,B1552/ROUND($B$81*12,0),B1552*(C1552/12)/(1-(1+C1552/12)^(-ROUND($B$81*12,0))))),IF(AND(NOT(AND(1152&gt;$B$173,$B$78="Refinance",ISNUMBER($B$80),$B$80&gt;=0,$B$80&lt;=1,ROUND($B$81*12,0)&gt;=1,$B$81&lt;=100,SUM($B$82)&gt;=0,SUM($B$82)&lt;=1,SUM($B$83)&gt;=0)),OR(1152=1,1152=$B$174+1,AND($B$175&gt;0,1152=$B$175+1))),IF(AND($B$170=1,$B$66&gt;0,OR($B$175=0,1152&lt;=$B$175)),$B$66,IF($B$172-MAX(1152-1,$B$174)&gt;0,IF(B1552=0,0,IF(C1552=0,B1552/($B$172-MAX(1152-1,$B$174)),B1552*(C1552/12)/(1-(1+C1552/12)^(-($B$172-MAX(1152-1,$B$174)))))),"")),D1551)))),""),""))</x:f>
        <x:v>0</x:v>
      </x:c>
      <x:c r="E1552" s="441" t="n">
        <x:f>IF(AND(1152=$B$173,ISNUMBER(D1552)),IF(MAX(0,B1552*(1+C1552/12)-D1552)&lt;MAX(0.0000001,$E$17*0.00000000001),0,MAX(0,B1552*(1+C1552/12)-D1552)),0)</x:f>
        <x:v>0</x:v>
      </x:c>
      <x:c r="F1552" s="441" t="n">
        <x:f>IF($B$78="Cash payoff",E1552,0)</x:f>
        <x:v>0</x:v>
      </x:c>
      <x:c r="G1552" s="441" t="n">
        <x:f>IF(AND(E1552&gt;0,AND($B$78="Refinance",ISNUMBER($B$80),$B$80&gt;=0,$B$80&lt;=1,ROUND($B$81*12,0)&gt;=1,$B$81&lt;=100,SUM($B$82)&gt;=0,SUM($B$82)&lt;=1,SUM($B$83)&gt;=0)),E1552*SUM($B$82)+SUM($B$83),0)</x:f>
        <x:v>0</x:v>
      </x:c>
      <x:c r="H1552" s="441" t="n">
        <x:f>IF(ISNUMBER(D1552),IF(MAX(0,B1552*(1+C1552/12)-D1552-F1552)&lt;MAX(0.0000001,$E$17*0.00000000001),0,MAX(0,B1552*(1+C1552/12)-D1552-F1552)),IF(AND($B$171=1,I1551=1),B1552,""))</x:f>
        <x:v>0</x:v>
      </x:c>
      <x:c r="I1552" s="445" t="n">
        <x:f>IF(OR(I1551=1,AND(E1552&gt;0,$B$78&lt;&gt;"Cash payoff",NOT(AND($B$78="Refinance",ISNUMBER($B$80),$B$80&gt;=0,$B$80&lt;=1,ROUND($B$81*12,0)&gt;=1,$B$81&lt;=100,SUM($B$82)&gt;=0,SUM($B$82)&lt;=1,SUM($B$83)&gt;=0))),AND(ISNUMBER(B1552),B1552&gt;0,$B$171=1,NOT(ISNUMBER(D1552)))),1,0)</x:f>
        <x:v>0</x:v>
      </x:c>
      <x:c r="J1552" s="441" t="n">
        <x:f>IF(ISNUMBER(L1551),L1551,"")</x:f>
        <x:v>0</x:v>
      </x:c>
      <x:c r="K1552" s="441" t="n">
        <x:f>IF(AND(ISNUMBER(J1552),J1552=0),0,IF(AND($B$176=1,ISNUMBER(J1552)),MIN(J1552*(1+$B$87/12),IF($B$86=0,0,IF($B$87=0,$B$86/ROUND($B$88*12,0),$B$86*($B$87/12)/(1-(1+$B$87/12)^(-ROUND($B$88*12,0)))))),""))</x:f>
        <x:v>0</x:v>
      </x:c>
      <x:c r="L1552" s="441" t="n">
        <x:f>IF(ISNUMBER(K1552),IF(MAX(0,J1552*(1+SUM($B$87)/12)-K1552)&lt;MAX(0.0000001,$B$86*0.00000000001),0,MAX(0,J1552*(1+SUM($B$87)/12)-K1552)),"")</x:f>
        <x:v>0</x:v>
      </x:c>
      <x:c r="M1552" s="441" t="n">
        <x:f>IF(AND(ISNUMBER(D1552),ISNUMBER(K1552)),D1552+K1552,"")</x:f>
        <x:v>0</x:v>
      </x:c>
      <x:c r="N1552" s="441" t="n">
        <x:f>IF(AND(ISNUMBER(H1552),ISNUMBER(L1552)),H1552+L1552,"")</x:f>
        <x:v>0</x:v>
      </x:c>
    </x:row>
    <x:row r="1553">
      <x:c r="A1553" t="n">
        <x:f>1153</x:f>
        <x:v>1153</x:v>
      </x:c>
      <x:c r="B1553" s="441" t="n">
        <x:f>IF(ISNUMBER(H1552),H1552,"")</x:f>
        <x:v>0</x:v>
      </x:c>
      <x:c r="C1553" s="443" t="n">
        <x:f>IF(ISNUMBER(B1553),IF(AND(1153&gt;$B$173,$B$78="Refinance",ISNUMBER($B$80),$B$80&gt;=0,$B$80&lt;=1,ROUND($B$81*12,0)&gt;=1,$B$81&lt;=100,SUM($B$82)&gt;=0,SUM($B$82)&lt;=1,SUM($B$83)&gt;=0),$B$80,IF(AND($B$175&gt;0,1153&gt;$B$175,ISNUMBER($B$75)),$B$75,$B$61)),"")</x:f>
        <x:v>0.0625</x:v>
      </x:c>
      <x:c r="D1553" s="441" t="n">
        <x:f>IF(AND(ISNUMBER(B1553),B1553=0),0,IF(AND($B$171=1,I1552=0,ISNUMBER(C1553),ISNUMBER(IF(AND(1153&lt;=$B$174,1153&lt;=$B$173),B1553*C1553/12,IF(AND(1153=$B$173+1,AND(1153&gt;$B$173,$B$78="Refinance",ISNUMBER($B$80),$B$80&gt;=0,$B$80&lt;=1,ROUND($B$81*12,0)&gt;=1,$B$81&lt;=100,SUM($B$82)&gt;=0,SUM($B$82)&lt;=1,SUM($B$83)&gt;=0)),IF(B1553=0,0,IF(C1553=0,B1553/ROUND($B$81*12,0),B1553*(C1553/12)/(1-(1+C1553/12)^(-ROUND($B$81*12,0))))),IF(AND(NOT(AND(1153&gt;$B$173,$B$78="Refinance",ISNUMBER($B$80),$B$80&gt;=0,$B$80&lt;=1,ROUND($B$81*12,0)&gt;=1,$B$81&lt;=100,SUM($B$82)&gt;=0,SUM($B$82)&lt;=1,SUM($B$83)&gt;=0)),OR(1153=1,1153=$B$174+1,AND($B$175&gt;0,1153=$B$175+1))),IF(AND($B$170=1,$B$66&gt;0,OR($B$175=0,1153&lt;=$B$175)),$B$66,IF($B$172-MAX(1153-1,$B$174)&gt;0,IF(B1553=0,0,IF(C1553=0,B1553/($B$172-MAX(1153-1,$B$174)),B1553*(C1553/12)/(1-(1+C1553/12)^(-($B$172-MAX(1153-1,$B$174)))))),"")),D1552))))),IF(IF(AND(1153&lt;=$B$174,1153&lt;=$B$173),B1553*C1553/12,IF(AND(1153=$B$173+1,AND(1153&gt;$B$173,$B$78="Refinance",ISNUMBER($B$80),$B$80&gt;=0,$B$80&lt;=1,ROUND($B$81*12,0)&gt;=1,$B$81&lt;=100,SUM($B$82)&gt;=0,SUM($B$82)&lt;=1,SUM($B$83)&gt;=0)),IF(B1553=0,0,IF(C1553=0,B1553/ROUND($B$81*12,0),B1553*(C1553/12)/(1-(1+C1553/12)^(-ROUND($B$81*12,0))))),IF(AND(NOT(AND(1153&gt;$B$173,$B$78="Refinance",ISNUMBER($B$80),$B$80&gt;=0,$B$80&lt;=1,ROUND($B$81*12,0)&gt;=1,$B$81&lt;=100,SUM($B$82)&gt;=0,SUM($B$82)&lt;=1,SUM($B$83)&gt;=0)),OR(1153=1,1153=$B$174+1,AND($B$175&gt;0,1153=$B$175+1))),IF(AND($B$170=1,$B$66&gt;0,OR($B$175=0,1153&lt;=$B$175)),$B$66,IF($B$172-MAX(1153-1,$B$174)&gt;0,IF(B1553=0,0,IF(C1553=0,B1553/($B$172-MAX(1153-1,$B$174)),B1553*(C1553/12)/(1-(1+C1553/12)^(-($B$172-MAX(1153-1,$B$174)))))),"")),D1552)))+0.0000001&gt;=B1553*C1553/12,MIN(B1553*(1+C1553/12),IF(AND(1153&lt;=$B$174,1153&lt;=$B$173),B1553*C1553/12,IF(AND(1153=$B$173+1,AND(1153&gt;$B$173,$B$78="Refinance",ISNUMBER($B$80),$B$80&gt;=0,$B$80&lt;=1,ROUND($B$81*12,0)&gt;=1,$B$81&lt;=100,SUM($B$82)&gt;=0,SUM($B$82)&lt;=1,SUM($B$83)&gt;=0)),IF(B1553=0,0,IF(C1553=0,B1553/ROUND($B$81*12,0),B1553*(C1553/12)/(1-(1+C1553/12)^(-ROUND($B$81*12,0))))),IF(AND(NOT(AND(1153&gt;$B$173,$B$78="Refinance",ISNUMBER($B$80),$B$80&gt;=0,$B$80&lt;=1,ROUND($B$81*12,0)&gt;=1,$B$81&lt;=100,SUM($B$82)&gt;=0,SUM($B$82)&lt;=1,SUM($B$83)&gt;=0)),OR(1153=1,1153=$B$174+1,AND($B$175&gt;0,1153=$B$175+1))),IF(AND($B$170=1,$B$66&gt;0,OR($B$175=0,1153&lt;=$B$175)),$B$66,IF($B$172-MAX(1153-1,$B$174)&gt;0,IF(B1553=0,0,IF(C1553=0,B1553/($B$172-MAX(1153-1,$B$174)),B1553*(C1553/12)/(1-(1+C1553/12)^(-($B$172-MAX(1153-1,$B$174)))))),"")),D1552)))),""),""))</x:f>
        <x:v>0</x:v>
      </x:c>
      <x:c r="E1553" s="441" t="n">
        <x:f>IF(AND(1153=$B$173,ISNUMBER(D1553)),IF(MAX(0,B1553*(1+C1553/12)-D1553)&lt;MAX(0.0000001,$E$17*0.00000000001),0,MAX(0,B1553*(1+C1553/12)-D1553)),0)</x:f>
        <x:v>0</x:v>
      </x:c>
      <x:c r="F1553" s="441" t="n">
        <x:f>IF($B$78="Cash payoff",E1553,0)</x:f>
        <x:v>0</x:v>
      </x:c>
      <x:c r="G1553" s="441" t="n">
        <x:f>IF(AND(E1553&gt;0,AND($B$78="Refinance",ISNUMBER($B$80),$B$80&gt;=0,$B$80&lt;=1,ROUND($B$81*12,0)&gt;=1,$B$81&lt;=100,SUM($B$82)&gt;=0,SUM($B$82)&lt;=1,SUM($B$83)&gt;=0)),E1553*SUM($B$82)+SUM($B$83),0)</x:f>
        <x:v>0</x:v>
      </x:c>
      <x:c r="H1553" s="441" t="n">
        <x:f>IF(ISNUMBER(D1553),IF(MAX(0,B1553*(1+C1553/12)-D1553-F1553)&lt;MAX(0.0000001,$E$17*0.00000000001),0,MAX(0,B1553*(1+C1553/12)-D1553-F1553)),IF(AND($B$171=1,I1552=1),B1553,""))</x:f>
        <x:v>0</x:v>
      </x:c>
      <x:c r="I1553" s="445" t="n">
        <x:f>IF(OR(I1552=1,AND(E1553&gt;0,$B$78&lt;&gt;"Cash payoff",NOT(AND($B$78="Refinance",ISNUMBER($B$80),$B$80&gt;=0,$B$80&lt;=1,ROUND($B$81*12,0)&gt;=1,$B$81&lt;=100,SUM($B$82)&gt;=0,SUM($B$82)&lt;=1,SUM($B$83)&gt;=0))),AND(ISNUMBER(B1553),B1553&gt;0,$B$171=1,NOT(ISNUMBER(D1553)))),1,0)</x:f>
        <x:v>0</x:v>
      </x:c>
      <x:c r="J1553" s="441" t="n">
        <x:f>IF(ISNUMBER(L1552),L1552,"")</x:f>
        <x:v>0</x:v>
      </x:c>
      <x:c r="K1553" s="441" t="n">
        <x:f>IF(AND(ISNUMBER(J1553),J1553=0),0,IF(AND($B$176=1,ISNUMBER(J1553)),MIN(J1553*(1+$B$87/12),IF($B$86=0,0,IF($B$87=0,$B$86/ROUND($B$88*12,0),$B$86*($B$87/12)/(1-(1+$B$87/12)^(-ROUND($B$88*12,0)))))),""))</x:f>
        <x:v>0</x:v>
      </x:c>
      <x:c r="L1553" s="441" t="n">
        <x:f>IF(ISNUMBER(K1553),IF(MAX(0,J1553*(1+SUM($B$87)/12)-K1553)&lt;MAX(0.0000001,$B$86*0.00000000001),0,MAX(0,J1553*(1+SUM($B$87)/12)-K1553)),"")</x:f>
        <x:v>0</x:v>
      </x:c>
      <x:c r="M1553" s="441" t="n">
        <x:f>IF(AND(ISNUMBER(D1553),ISNUMBER(K1553)),D1553+K1553,"")</x:f>
        <x:v>0</x:v>
      </x:c>
      <x:c r="N1553" s="441" t="n">
        <x:f>IF(AND(ISNUMBER(H1553),ISNUMBER(L1553)),H1553+L1553,"")</x:f>
        <x:v>0</x:v>
      </x:c>
    </x:row>
    <x:row r="1554">
      <x:c r="A1554" t="n">
        <x:f>1154</x:f>
        <x:v>1154</x:v>
      </x:c>
      <x:c r="B1554" s="441" t="n">
        <x:f>IF(ISNUMBER(H1553),H1553,"")</x:f>
        <x:v>0</x:v>
      </x:c>
      <x:c r="C1554" s="443" t="n">
        <x:f>IF(ISNUMBER(B1554),IF(AND(1154&gt;$B$173,$B$78="Refinance",ISNUMBER($B$80),$B$80&gt;=0,$B$80&lt;=1,ROUND($B$81*12,0)&gt;=1,$B$81&lt;=100,SUM($B$82)&gt;=0,SUM($B$82)&lt;=1,SUM($B$83)&gt;=0),$B$80,IF(AND($B$175&gt;0,1154&gt;$B$175,ISNUMBER($B$75)),$B$75,$B$61)),"")</x:f>
        <x:v>0.0625</x:v>
      </x:c>
      <x:c r="D1554" s="441" t="n">
        <x:f>IF(AND(ISNUMBER(B1554),B1554=0),0,IF(AND($B$171=1,I1553=0,ISNUMBER(C1554),ISNUMBER(IF(AND(1154&lt;=$B$174,1154&lt;=$B$173),B1554*C1554/12,IF(AND(1154=$B$173+1,AND(1154&gt;$B$173,$B$78="Refinance",ISNUMBER($B$80),$B$80&gt;=0,$B$80&lt;=1,ROUND($B$81*12,0)&gt;=1,$B$81&lt;=100,SUM($B$82)&gt;=0,SUM($B$82)&lt;=1,SUM($B$83)&gt;=0)),IF(B1554=0,0,IF(C1554=0,B1554/ROUND($B$81*12,0),B1554*(C1554/12)/(1-(1+C1554/12)^(-ROUND($B$81*12,0))))),IF(AND(NOT(AND(1154&gt;$B$173,$B$78="Refinance",ISNUMBER($B$80),$B$80&gt;=0,$B$80&lt;=1,ROUND($B$81*12,0)&gt;=1,$B$81&lt;=100,SUM($B$82)&gt;=0,SUM($B$82)&lt;=1,SUM($B$83)&gt;=0)),OR(1154=1,1154=$B$174+1,AND($B$175&gt;0,1154=$B$175+1))),IF(AND($B$170=1,$B$66&gt;0,OR($B$175=0,1154&lt;=$B$175)),$B$66,IF($B$172-MAX(1154-1,$B$174)&gt;0,IF(B1554=0,0,IF(C1554=0,B1554/($B$172-MAX(1154-1,$B$174)),B1554*(C1554/12)/(1-(1+C1554/12)^(-($B$172-MAX(1154-1,$B$174)))))),"")),D1553))))),IF(IF(AND(1154&lt;=$B$174,1154&lt;=$B$173),B1554*C1554/12,IF(AND(1154=$B$173+1,AND(1154&gt;$B$173,$B$78="Refinance",ISNUMBER($B$80),$B$80&gt;=0,$B$80&lt;=1,ROUND($B$81*12,0)&gt;=1,$B$81&lt;=100,SUM($B$82)&gt;=0,SUM($B$82)&lt;=1,SUM($B$83)&gt;=0)),IF(B1554=0,0,IF(C1554=0,B1554/ROUND($B$81*12,0),B1554*(C1554/12)/(1-(1+C1554/12)^(-ROUND($B$81*12,0))))),IF(AND(NOT(AND(1154&gt;$B$173,$B$78="Refinance",ISNUMBER($B$80),$B$80&gt;=0,$B$80&lt;=1,ROUND($B$81*12,0)&gt;=1,$B$81&lt;=100,SUM($B$82)&gt;=0,SUM($B$82)&lt;=1,SUM($B$83)&gt;=0)),OR(1154=1,1154=$B$174+1,AND($B$175&gt;0,1154=$B$175+1))),IF(AND($B$170=1,$B$66&gt;0,OR($B$175=0,1154&lt;=$B$175)),$B$66,IF($B$172-MAX(1154-1,$B$174)&gt;0,IF(B1554=0,0,IF(C1554=0,B1554/($B$172-MAX(1154-1,$B$174)),B1554*(C1554/12)/(1-(1+C1554/12)^(-($B$172-MAX(1154-1,$B$174)))))),"")),D1553)))+0.0000001&gt;=B1554*C1554/12,MIN(B1554*(1+C1554/12),IF(AND(1154&lt;=$B$174,1154&lt;=$B$173),B1554*C1554/12,IF(AND(1154=$B$173+1,AND(1154&gt;$B$173,$B$78="Refinance",ISNUMBER($B$80),$B$80&gt;=0,$B$80&lt;=1,ROUND($B$81*12,0)&gt;=1,$B$81&lt;=100,SUM($B$82)&gt;=0,SUM($B$82)&lt;=1,SUM($B$83)&gt;=0)),IF(B1554=0,0,IF(C1554=0,B1554/ROUND($B$81*12,0),B1554*(C1554/12)/(1-(1+C1554/12)^(-ROUND($B$81*12,0))))),IF(AND(NOT(AND(1154&gt;$B$173,$B$78="Refinance",ISNUMBER($B$80),$B$80&gt;=0,$B$80&lt;=1,ROUND($B$81*12,0)&gt;=1,$B$81&lt;=100,SUM($B$82)&gt;=0,SUM($B$82)&lt;=1,SUM($B$83)&gt;=0)),OR(1154=1,1154=$B$174+1,AND($B$175&gt;0,1154=$B$175+1))),IF(AND($B$170=1,$B$66&gt;0,OR($B$175=0,1154&lt;=$B$175)),$B$66,IF($B$172-MAX(1154-1,$B$174)&gt;0,IF(B1554=0,0,IF(C1554=0,B1554/($B$172-MAX(1154-1,$B$174)),B1554*(C1554/12)/(1-(1+C1554/12)^(-($B$172-MAX(1154-1,$B$174)))))),"")),D1553)))),""),""))</x:f>
        <x:v>0</x:v>
      </x:c>
      <x:c r="E1554" s="441" t="n">
        <x:f>IF(AND(1154=$B$173,ISNUMBER(D1554)),IF(MAX(0,B1554*(1+C1554/12)-D1554)&lt;MAX(0.0000001,$E$17*0.00000000001),0,MAX(0,B1554*(1+C1554/12)-D1554)),0)</x:f>
        <x:v>0</x:v>
      </x:c>
      <x:c r="F1554" s="441" t="n">
        <x:f>IF($B$78="Cash payoff",E1554,0)</x:f>
        <x:v>0</x:v>
      </x:c>
      <x:c r="G1554" s="441" t="n">
        <x:f>IF(AND(E1554&gt;0,AND($B$78="Refinance",ISNUMBER($B$80),$B$80&gt;=0,$B$80&lt;=1,ROUND($B$81*12,0)&gt;=1,$B$81&lt;=100,SUM($B$82)&gt;=0,SUM($B$82)&lt;=1,SUM($B$83)&gt;=0)),E1554*SUM($B$82)+SUM($B$83),0)</x:f>
        <x:v>0</x:v>
      </x:c>
      <x:c r="H1554" s="441" t="n">
        <x:f>IF(ISNUMBER(D1554),IF(MAX(0,B1554*(1+C1554/12)-D1554-F1554)&lt;MAX(0.0000001,$E$17*0.00000000001),0,MAX(0,B1554*(1+C1554/12)-D1554-F1554)),IF(AND($B$171=1,I1553=1),B1554,""))</x:f>
        <x:v>0</x:v>
      </x:c>
      <x:c r="I1554" s="445" t="n">
        <x:f>IF(OR(I1553=1,AND(E1554&gt;0,$B$78&lt;&gt;"Cash payoff",NOT(AND($B$78="Refinance",ISNUMBER($B$80),$B$80&gt;=0,$B$80&lt;=1,ROUND($B$81*12,0)&gt;=1,$B$81&lt;=100,SUM($B$82)&gt;=0,SUM($B$82)&lt;=1,SUM($B$83)&gt;=0))),AND(ISNUMBER(B1554),B1554&gt;0,$B$171=1,NOT(ISNUMBER(D1554)))),1,0)</x:f>
        <x:v>0</x:v>
      </x:c>
      <x:c r="J1554" s="441" t="n">
        <x:f>IF(ISNUMBER(L1553),L1553,"")</x:f>
        <x:v>0</x:v>
      </x:c>
      <x:c r="K1554" s="441" t="n">
        <x:f>IF(AND(ISNUMBER(J1554),J1554=0),0,IF(AND($B$176=1,ISNUMBER(J1554)),MIN(J1554*(1+$B$87/12),IF($B$86=0,0,IF($B$87=0,$B$86/ROUND($B$88*12,0),$B$86*($B$87/12)/(1-(1+$B$87/12)^(-ROUND($B$88*12,0)))))),""))</x:f>
        <x:v>0</x:v>
      </x:c>
      <x:c r="L1554" s="441" t="n">
        <x:f>IF(ISNUMBER(K1554),IF(MAX(0,J1554*(1+SUM($B$87)/12)-K1554)&lt;MAX(0.0000001,$B$86*0.00000000001),0,MAX(0,J1554*(1+SUM($B$87)/12)-K1554)),"")</x:f>
        <x:v>0</x:v>
      </x:c>
      <x:c r="M1554" s="441" t="n">
        <x:f>IF(AND(ISNUMBER(D1554),ISNUMBER(K1554)),D1554+K1554,"")</x:f>
        <x:v>0</x:v>
      </x:c>
      <x:c r="N1554" s="441" t="n">
        <x:f>IF(AND(ISNUMBER(H1554),ISNUMBER(L1554)),H1554+L1554,"")</x:f>
        <x:v>0</x:v>
      </x:c>
    </x:row>
    <x:row r="1555">
      <x:c r="A1555" t="n">
        <x:f>1155</x:f>
        <x:v>1155</x:v>
      </x:c>
      <x:c r="B1555" s="441" t="n">
        <x:f>IF(ISNUMBER(H1554),H1554,"")</x:f>
        <x:v>0</x:v>
      </x:c>
      <x:c r="C1555" s="443" t="n">
        <x:f>IF(ISNUMBER(B1555),IF(AND(1155&gt;$B$173,$B$78="Refinance",ISNUMBER($B$80),$B$80&gt;=0,$B$80&lt;=1,ROUND($B$81*12,0)&gt;=1,$B$81&lt;=100,SUM($B$82)&gt;=0,SUM($B$82)&lt;=1,SUM($B$83)&gt;=0),$B$80,IF(AND($B$175&gt;0,1155&gt;$B$175,ISNUMBER($B$75)),$B$75,$B$61)),"")</x:f>
        <x:v>0.0625</x:v>
      </x:c>
      <x:c r="D1555" s="441" t="n">
        <x:f>IF(AND(ISNUMBER(B1555),B1555=0),0,IF(AND($B$171=1,I1554=0,ISNUMBER(C1555),ISNUMBER(IF(AND(1155&lt;=$B$174,1155&lt;=$B$173),B1555*C1555/12,IF(AND(1155=$B$173+1,AND(1155&gt;$B$173,$B$78="Refinance",ISNUMBER($B$80),$B$80&gt;=0,$B$80&lt;=1,ROUND($B$81*12,0)&gt;=1,$B$81&lt;=100,SUM($B$82)&gt;=0,SUM($B$82)&lt;=1,SUM($B$83)&gt;=0)),IF(B1555=0,0,IF(C1555=0,B1555/ROUND($B$81*12,0),B1555*(C1555/12)/(1-(1+C1555/12)^(-ROUND($B$81*12,0))))),IF(AND(NOT(AND(1155&gt;$B$173,$B$78="Refinance",ISNUMBER($B$80),$B$80&gt;=0,$B$80&lt;=1,ROUND($B$81*12,0)&gt;=1,$B$81&lt;=100,SUM($B$82)&gt;=0,SUM($B$82)&lt;=1,SUM($B$83)&gt;=0)),OR(1155=1,1155=$B$174+1,AND($B$175&gt;0,1155=$B$175+1))),IF(AND($B$170=1,$B$66&gt;0,OR($B$175=0,1155&lt;=$B$175)),$B$66,IF($B$172-MAX(1155-1,$B$174)&gt;0,IF(B1555=0,0,IF(C1555=0,B1555/($B$172-MAX(1155-1,$B$174)),B1555*(C1555/12)/(1-(1+C1555/12)^(-($B$172-MAX(1155-1,$B$174)))))),"")),D1554))))),IF(IF(AND(1155&lt;=$B$174,1155&lt;=$B$173),B1555*C1555/12,IF(AND(1155=$B$173+1,AND(1155&gt;$B$173,$B$78="Refinance",ISNUMBER($B$80),$B$80&gt;=0,$B$80&lt;=1,ROUND($B$81*12,0)&gt;=1,$B$81&lt;=100,SUM($B$82)&gt;=0,SUM($B$82)&lt;=1,SUM($B$83)&gt;=0)),IF(B1555=0,0,IF(C1555=0,B1555/ROUND($B$81*12,0),B1555*(C1555/12)/(1-(1+C1555/12)^(-ROUND($B$81*12,0))))),IF(AND(NOT(AND(1155&gt;$B$173,$B$78="Refinance",ISNUMBER($B$80),$B$80&gt;=0,$B$80&lt;=1,ROUND($B$81*12,0)&gt;=1,$B$81&lt;=100,SUM($B$82)&gt;=0,SUM($B$82)&lt;=1,SUM($B$83)&gt;=0)),OR(1155=1,1155=$B$174+1,AND($B$175&gt;0,1155=$B$175+1))),IF(AND($B$170=1,$B$66&gt;0,OR($B$175=0,1155&lt;=$B$175)),$B$66,IF($B$172-MAX(1155-1,$B$174)&gt;0,IF(B1555=0,0,IF(C1555=0,B1555/($B$172-MAX(1155-1,$B$174)),B1555*(C1555/12)/(1-(1+C1555/12)^(-($B$172-MAX(1155-1,$B$174)))))),"")),D1554)))+0.0000001&gt;=B1555*C1555/12,MIN(B1555*(1+C1555/12),IF(AND(1155&lt;=$B$174,1155&lt;=$B$173),B1555*C1555/12,IF(AND(1155=$B$173+1,AND(1155&gt;$B$173,$B$78="Refinance",ISNUMBER($B$80),$B$80&gt;=0,$B$80&lt;=1,ROUND($B$81*12,0)&gt;=1,$B$81&lt;=100,SUM($B$82)&gt;=0,SUM($B$82)&lt;=1,SUM($B$83)&gt;=0)),IF(B1555=0,0,IF(C1555=0,B1555/ROUND($B$81*12,0),B1555*(C1555/12)/(1-(1+C1555/12)^(-ROUND($B$81*12,0))))),IF(AND(NOT(AND(1155&gt;$B$173,$B$78="Refinance",ISNUMBER($B$80),$B$80&gt;=0,$B$80&lt;=1,ROUND($B$81*12,0)&gt;=1,$B$81&lt;=100,SUM($B$82)&gt;=0,SUM($B$82)&lt;=1,SUM($B$83)&gt;=0)),OR(1155=1,1155=$B$174+1,AND($B$175&gt;0,1155=$B$175+1))),IF(AND($B$170=1,$B$66&gt;0,OR($B$175=0,1155&lt;=$B$175)),$B$66,IF($B$172-MAX(1155-1,$B$174)&gt;0,IF(B1555=0,0,IF(C1555=0,B1555/($B$172-MAX(1155-1,$B$174)),B1555*(C1555/12)/(1-(1+C1555/12)^(-($B$172-MAX(1155-1,$B$174)))))),"")),D1554)))),""),""))</x:f>
        <x:v>0</x:v>
      </x:c>
      <x:c r="E1555" s="441" t="n">
        <x:f>IF(AND(1155=$B$173,ISNUMBER(D1555)),IF(MAX(0,B1555*(1+C1555/12)-D1555)&lt;MAX(0.0000001,$E$17*0.00000000001),0,MAX(0,B1555*(1+C1555/12)-D1555)),0)</x:f>
        <x:v>0</x:v>
      </x:c>
      <x:c r="F1555" s="441" t="n">
        <x:f>IF($B$78="Cash payoff",E1555,0)</x:f>
        <x:v>0</x:v>
      </x:c>
      <x:c r="G1555" s="441" t="n">
        <x:f>IF(AND(E1555&gt;0,AND($B$78="Refinance",ISNUMBER($B$80),$B$80&gt;=0,$B$80&lt;=1,ROUND($B$81*12,0)&gt;=1,$B$81&lt;=100,SUM($B$82)&gt;=0,SUM($B$82)&lt;=1,SUM($B$83)&gt;=0)),E1555*SUM($B$82)+SUM($B$83),0)</x:f>
        <x:v>0</x:v>
      </x:c>
      <x:c r="H1555" s="441" t="n">
        <x:f>IF(ISNUMBER(D1555),IF(MAX(0,B1555*(1+C1555/12)-D1555-F1555)&lt;MAX(0.0000001,$E$17*0.00000000001),0,MAX(0,B1555*(1+C1555/12)-D1555-F1555)),IF(AND($B$171=1,I1554=1),B1555,""))</x:f>
        <x:v>0</x:v>
      </x:c>
      <x:c r="I1555" s="445" t="n">
        <x:f>IF(OR(I1554=1,AND(E1555&gt;0,$B$78&lt;&gt;"Cash payoff",NOT(AND($B$78="Refinance",ISNUMBER($B$80),$B$80&gt;=0,$B$80&lt;=1,ROUND($B$81*12,0)&gt;=1,$B$81&lt;=100,SUM($B$82)&gt;=0,SUM($B$82)&lt;=1,SUM($B$83)&gt;=0))),AND(ISNUMBER(B1555),B1555&gt;0,$B$171=1,NOT(ISNUMBER(D1555)))),1,0)</x:f>
        <x:v>0</x:v>
      </x:c>
      <x:c r="J1555" s="441" t="n">
        <x:f>IF(ISNUMBER(L1554),L1554,"")</x:f>
        <x:v>0</x:v>
      </x:c>
      <x:c r="K1555" s="441" t="n">
        <x:f>IF(AND(ISNUMBER(J1555),J1555=0),0,IF(AND($B$176=1,ISNUMBER(J1555)),MIN(J1555*(1+$B$87/12),IF($B$86=0,0,IF($B$87=0,$B$86/ROUND($B$88*12,0),$B$86*($B$87/12)/(1-(1+$B$87/12)^(-ROUND($B$88*12,0)))))),""))</x:f>
        <x:v>0</x:v>
      </x:c>
      <x:c r="L1555" s="441" t="n">
        <x:f>IF(ISNUMBER(K1555),IF(MAX(0,J1555*(1+SUM($B$87)/12)-K1555)&lt;MAX(0.0000001,$B$86*0.00000000001),0,MAX(0,J1555*(1+SUM($B$87)/12)-K1555)),"")</x:f>
        <x:v>0</x:v>
      </x:c>
      <x:c r="M1555" s="441" t="n">
        <x:f>IF(AND(ISNUMBER(D1555),ISNUMBER(K1555)),D1555+K1555,"")</x:f>
        <x:v>0</x:v>
      </x:c>
      <x:c r="N1555" s="441" t="n">
        <x:f>IF(AND(ISNUMBER(H1555),ISNUMBER(L1555)),H1555+L1555,"")</x:f>
        <x:v>0</x:v>
      </x:c>
    </x:row>
    <x:row r="1556">
      <x:c r="A1556" t="n">
        <x:f>1156</x:f>
        <x:v>1156</x:v>
      </x:c>
      <x:c r="B1556" s="441" t="n">
        <x:f>IF(ISNUMBER(H1555),H1555,"")</x:f>
        <x:v>0</x:v>
      </x:c>
      <x:c r="C1556" s="443" t="n">
        <x:f>IF(ISNUMBER(B1556),IF(AND(1156&gt;$B$173,$B$78="Refinance",ISNUMBER($B$80),$B$80&gt;=0,$B$80&lt;=1,ROUND($B$81*12,0)&gt;=1,$B$81&lt;=100,SUM($B$82)&gt;=0,SUM($B$82)&lt;=1,SUM($B$83)&gt;=0),$B$80,IF(AND($B$175&gt;0,1156&gt;$B$175,ISNUMBER($B$75)),$B$75,$B$61)),"")</x:f>
        <x:v>0.0625</x:v>
      </x:c>
      <x:c r="D1556" s="441" t="n">
        <x:f>IF(AND(ISNUMBER(B1556),B1556=0),0,IF(AND($B$171=1,I1555=0,ISNUMBER(C1556),ISNUMBER(IF(AND(1156&lt;=$B$174,1156&lt;=$B$173),B1556*C1556/12,IF(AND(1156=$B$173+1,AND(1156&gt;$B$173,$B$78="Refinance",ISNUMBER($B$80),$B$80&gt;=0,$B$80&lt;=1,ROUND($B$81*12,0)&gt;=1,$B$81&lt;=100,SUM($B$82)&gt;=0,SUM($B$82)&lt;=1,SUM($B$83)&gt;=0)),IF(B1556=0,0,IF(C1556=0,B1556/ROUND($B$81*12,0),B1556*(C1556/12)/(1-(1+C1556/12)^(-ROUND($B$81*12,0))))),IF(AND(NOT(AND(1156&gt;$B$173,$B$78="Refinance",ISNUMBER($B$80),$B$80&gt;=0,$B$80&lt;=1,ROUND($B$81*12,0)&gt;=1,$B$81&lt;=100,SUM($B$82)&gt;=0,SUM($B$82)&lt;=1,SUM($B$83)&gt;=0)),OR(1156=1,1156=$B$174+1,AND($B$175&gt;0,1156=$B$175+1))),IF(AND($B$170=1,$B$66&gt;0,OR($B$175=0,1156&lt;=$B$175)),$B$66,IF($B$172-MAX(1156-1,$B$174)&gt;0,IF(B1556=0,0,IF(C1556=0,B1556/($B$172-MAX(1156-1,$B$174)),B1556*(C1556/12)/(1-(1+C1556/12)^(-($B$172-MAX(1156-1,$B$174)))))),"")),D1555))))),IF(IF(AND(1156&lt;=$B$174,1156&lt;=$B$173),B1556*C1556/12,IF(AND(1156=$B$173+1,AND(1156&gt;$B$173,$B$78="Refinance",ISNUMBER($B$80),$B$80&gt;=0,$B$80&lt;=1,ROUND($B$81*12,0)&gt;=1,$B$81&lt;=100,SUM($B$82)&gt;=0,SUM($B$82)&lt;=1,SUM($B$83)&gt;=0)),IF(B1556=0,0,IF(C1556=0,B1556/ROUND($B$81*12,0),B1556*(C1556/12)/(1-(1+C1556/12)^(-ROUND($B$81*12,0))))),IF(AND(NOT(AND(1156&gt;$B$173,$B$78="Refinance",ISNUMBER($B$80),$B$80&gt;=0,$B$80&lt;=1,ROUND($B$81*12,0)&gt;=1,$B$81&lt;=100,SUM($B$82)&gt;=0,SUM($B$82)&lt;=1,SUM($B$83)&gt;=0)),OR(1156=1,1156=$B$174+1,AND($B$175&gt;0,1156=$B$175+1))),IF(AND($B$170=1,$B$66&gt;0,OR($B$175=0,1156&lt;=$B$175)),$B$66,IF($B$172-MAX(1156-1,$B$174)&gt;0,IF(B1556=0,0,IF(C1556=0,B1556/($B$172-MAX(1156-1,$B$174)),B1556*(C1556/12)/(1-(1+C1556/12)^(-($B$172-MAX(1156-1,$B$174)))))),"")),D1555)))+0.0000001&gt;=B1556*C1556/12,MIN(B1556*(1+C1556/12),IF(AND(1156&lt;=$B$174,1156&lt;=$B$173),B1556*C1556/12,IF(AND(1156=$B$173+1,AND(1156&gt;$B$173,$B$78="Refinance",ISNUMBER($B$80),$B$80&gt;=0,$B$80&lt;=1,ROUND($B$81*12,0)&gt;=1,$B$81&lt;=100,SUM($B$82)&gt;=0,SUM($B$82)&lt;=1,SUM($B$83)&gt;=0)),IF(B1556=0,0,IF(C1556=0,B1556/ROUND($B$81*12,0),B1556*(C1556/12)/(1-(1+C1556/12)^(-ROUND($B$81*12,0))))),IF(AND(NOT(AND(1156&gt;$B$173,$B$78="Refinance",ISNUMBER($B$80),$B$80&gt;=0,$B$80&lt;=1,ROUND($B$81*12,0)&gt;=1,$B$81&lt;=100,SUM($B$82)&gt;=0,SUM($B$82)&lt;=1,SUM($B$83)&gt;=0)),OR(1156=1,1156=$B$174+1,AND($B$175&gt;0,1156=$B$175+1))),IF(AND($B$170=1,$B$66&gt;0,OR($B$175=0,1156&lt;=$B$175)),$B$66,IF($B$172-MAX(1156-1,$B$174)&gt;0,IF(B1556=0,0,IF(C1556=0,B1556/($B$172-MAX(1156-1,$B$174)),B1556*(C1556/12)/(1-(1+C1556/12)^(-($B$172-MAX(1156-1,$B$174)))))),"")),D1555)))),""),""))</x:f>
        <x:v>0</x:v>
      </x:c>
      <x:c r="E1556" s="441" t="n">
        <x:f>IF(AND(1156=$B$173,ISNUMBER(D1556)),IF(MAX(0,B1556*(1+C1556/12)-D1556)&lt;MAX(0.0000001,$E$17*0.00000000001),0,MAX(0,B1556*(1+C1556/12)-D1556)),0)</x:f>
        <x:v>0</x:v>
      </x:c>
      <x:c r="F1556" s="441" t="n">
        <x:f>IF($B$78="Cash payoff",E1556,0)</x:f>
        <x:v>0</x:v>
      </x:c>
      <x:c r="G1556" s="441" t="n">
        <x:f>IF(AND(E1556&gt;0,AND($B$78="Refinance",ISNUMBER($B$80),$B$80&gt;=0,$B$80&lt;=1,ROUND($B$81*12,0)&gt;=1,$B$81&lt;=100,SUM($B$82)&gt;=0,SUM($B$82)&lt;=1,SUM($B$83)&gt;=0)),E1556*SUM($B$82)+SUM($B$83),0)</x:f>
        <x:v>0</x:v>
      </x:c>
      <x:c r="H1556" s="441" t="n">
        <x:f>IF(ISNUMBER(D1556),IF(MAX(0,B1556*(1+C1556/12)-D1556-F1556)&lt;MAX(0.0000001,$E$17*0.00000000001),0,MAX(0,B1556*(1+C1556/12)-D1556-F1556)),IF(AND($B$171=1,I1555=1),B1556,""))</x:f>
        <x:v>0</x:v>
      </x:c>
      <x:c r="I1556" s="445" t="n">
        <x:f>IF(OR(I1555=1,AND(E1556&gt;0,$B$78&lt;&gt;"Cash payoff",NOT(AND($B$78="Refinance",ISNUMBER($B$80),$B$80&gt;=0,$B$80&lt;=1,ROUND($B$81*12,0)&gt;=1,$B$81&lt;=100,SUM($B$82)&gt;=0,SUM($B$82)&lt;=1,SUM($B$83)&gt;=0))),AND(ISNUMBER(B1556),B1556&gt;0,$B$171=1,NOT(ISNUMBER(D1556)))),1,0)</x:f>
        <x:v>0</x:v>
      </x:c>
      <x:c r="J1556" s="441" t="n">
        <x:f>IF(ISNUMBER(L1555),L1555,"")</x:f>
        <x:v>0</x:v>
      </x:c>
      <x:c r="K1556" s="441" t="n">
        <x:f>IF(AND(ISNUMBER(J1556),J1556=0),0,IF(AND($B$176=1,ISNUMBER(J1556)),MIN(J1556*(1+$B$87/12),IF($B$86=0,0,IF($B$87=0,$B$86/ROUND($B$88*12,0),$B$86*($B$87/12)/(1-(1+$B$87/12)^(-ROUND($B$88*12,0)))))),""))</x:f>
        <x:v>0</x:v>
      </x:c>
      <x:c r="L1556" s="441" t="n">
        <x:f>IF(ISNUMBER(K1556),IF(MAX(0,J1556*(1+SUM($B$87)/12)-K1556)&lt;MAX(0.0000001,$B$86*0.00000000001),0,MAX(0,J1556*(1+SUM($B$87)/12)-K1556)),"")</x:f>
        <x:v>0</x:v>
      </x:c>
      <x:c r="M1556" s="441" t="n">
        <x:f>IF(AND(ISNUMBER(D1556),ISNUMBER(K1556)),D1556+K1556,"")</x:f>
        <x:v>0</x:v>
      </x:c>
      <x:c r="N1556" s="441" t="n">
        <x:f>IF(AND(ISNUMBER(H1556),ISNUMBER(L1556)),H1556+L1556,"")</x:f>
        <x:v>0</x:v>
      </x:c>
    </x:row>
    <x:row r="1557">
      <x:c r="A1557" t="n">
        <x:f>1157</x:f>
        <x:v>1157</x:v>
      </x:c>
      <x:c r="B1557" s="441" t="n">
        <x:f>IF(ISNUMBER(H1556),H1556,"")</x:f>
        <x:v>0</x:v>
      </x:c>
      <x:c r="C1557" s="443" t="n">
        <x:f>IF(ISNUMBER(B1557),IF(AND(1157&gt;$B$173,$B$78="Refinance",ISNUMBER($B$80),$B$80&gt;=0,$B$80&lt;=1,ROUND($B$81*12,0)&gt;=1,$B$81&lt;=100,SUM($B$82)&gt;=0,SUM($B$82)&lt;=1,SUM($B$83)&gt;=0),$B$80,IF(AND($B$175&gt;0,1157&gt;$B$175,ISNUMBER($B$75)),$B$75,$B$61)),"")</x:f>
        <x:v>0.0625</x:v>
      </x:c>
      <x:c r="D1557" s="441" t="n">
        <x:f>IF(AND(ISNUMBER(B1557),B1557=0),0,IF(AND($B$171=1,I1556=0,ISNUMBER(C1557),ISNUMBER(IF(AND(1157&lt;=$B$174,1157&lt;=$B$173),B1557*C1557/12,IF(AND(1157=$B$173+1,AND(1157&gt;$B$173,$B$78="Refinance",ISNUMBER($B$80),$B$80&gt;=0,$B$80&lt;=1,ROUND($B$81*12,0)&gt;=1,$B$81&lt;=100,SUM($B$82)&gt;=0,SUM($B$82)&lt;=1,SUM($B$83)&gt;=0)),IF(B1557=0,0,IF(C1557=0,B1557/ROUND($B$81*12,0),B1557*(C1557/12)/(1-(1+C1557/12)^(-ROUND($B$81*12,0))))),IF(AND(NOT(AND(1157&gt;$B$173,$B$78="Refinance",ISNUMBER($B$80),$B$80&gt;=0,$B$80&lt;=1,ROUND($B$81*12,0)&gt;=1,$B$81&lt;=100,SUM($B$82)&gt;=0,SUM($B$82)&lt;=1,SUM($B$83)&gt;=0)),OR(1157=1,1157=$B$174+1,AND($B$175&gt;0,1157=$B$175+1))),IF(AND($B$170=1,$B$66&gt;0,OR($B$175=0,1157&lt;=$B$175)),$B$66,IF($B$172-MAX(1157-1,$B$174)&gt;0,IF(B1557=0,0,IF(C1557=0,B1557/($B$172-MAX(1157-1,$B$174)),B1557*(C1557/12)/(1-(1+C1557/12)^(-($B$172-MAX(1157-1,$B$174)))))),"")),D1556))))),IF(IF(AND(1157&lt;=$B$174,1157&lt;=$B$173),B1557*C1557/12,IF(AND(1157=$B$173+1,AND(1157&gt;$B$173,$B$78="Refinance",ISNUMBER($B$80),$B$80&gt;=0,$B$80&lt;=1,ROUND($B$81*12,0)&gt;=1,$B$81&lt;=100,SUM($B$82)&gt;=0,SUM($B$82)&lt;=1,SUM($B$83)&gt;=0)),IF(B1557=0,0,IF(C1557=0,B1557/ROUND($B$81*12,0),B1557*(C1557/12)/(1-(1+C1557/12)^(-ROUND($B$81*12,0))))),IF(AND(NOT(AND(1157&gt;$B$173,$B$78="Refinance",ISNUMBER($B$80),$B$80&gt;=0,$B$80&lt;=1,ROUND($B$81*12,0)&gt;=1,$B$81&lt;=100,SUM($B$82)&gt;=0,SUM($B$82)&lt;=1,SUM($B$83)&gt;=0)),OR(1157=1,1157=$B$174+1,AND($B$175&gt;0,1157=$B$175+1))),IF(AND($B$170=1,$B$66&gt;0,OR($B$175=0,1157&lt;=$B$175)),$B$66,IF($B$172-MAX(1157-1,$B$174)&gt;0,IF(B1557=0,0,IF(C1557=0,B1557/($B$172-MAX(1157-1,$B$174)),B1557*(C1557/12)/(1-(1+C1557/12)^(-($B$172-MAX(1157-1,$B$174)))))),"")),D1556)))+0.0000001&gt;=B1557*C1557/12,MIN(B1557*(1+C1557/12),IF(AND(1157&lt;=$B$174,1157&lt;=$B$173),B1557*C1557/12,IF(AND(1157=$B$173+1,AND(1157&gt;$B$173,$B$78="Refinance",ISNUMBER($B$80),$B$80&gt;=0,$B$80&lt;=1,ROUND($B$81*12,0)&gt;=1,$B$81&lt;=100,SUM($B$82)&gt;=0,SUM($B$82)&lt;=1,SUM($B$83)&gt;=0)),IF(B1557=0,0,IF(C1557=0,B1557/ROUND($B$81*12,0),B1557*(C1557/12)/(1-(1+C1557/12)^(-ROUND($B$81*12,0))))),IF(AND(NOT(AND(1157&gt;$B$173,$B$78="Refinance",ISNUMBER($B$80),$B$80&gt;=0,$B$80&lt;=1,ROUND($B$81*12,0)&gt;=1,$B$81&lt;=100,SUM($B$82)&gt;=0,SUM($B$82)&lt;=1,SUM($B$83)&gt;=0)),OR(1157=1,1157=$B$174+1,AND($B$175&gt;0,1157=$B$175+1))),IF(AND($B$170=1,$B$66&gt;0,OR($B$175=0,1157&lt;=$B$175)),$B$66,IF($B$172-MAX(1157-1,$B$174)&gt;0,IF(B1557=0,0,IF(C1557=0,B1557/($B$172-MAX(1157-1,$B$174)),B1557*(C1557/12)/(1-(1+C1557/12)^(-($B$172-MAX(1157-1,$B$174)))))),"")),D1556)))),""),""))</x:f>
        <x:v>0</x:v>
      </x:c>
      <x:c r="E1557" s="441" t="n">
        <x:f>IF(AND(1157=$B$173,ISNUMBER(D1557)),IF(MAX(0,B1557*(1+C1557/12)-D1557)&lt;MAX(0.0000001,$E$17*0.00000000001),0,MAX(0,B1557*(1+C1557/12)-D1557)),0)</x:f>
        <x:v>0</x:v>
      </x:c>
      <x:c r="F1557" s="441" t="n">
        <x:f>IF($B$78="Cash payoff",E1557,0)</x:f>
        <x:v>0</x:v>
      </x:c>
      <x:c r="G1557" s="441" t="n">
        <x:f>IF(AND(E1557&gt;0,AND($B$78="Refinance",ISNUMBER($B$80),$B$80&gt;=0,$B$80&lt;=1,ROUND($B$81*12,0)&gt;=1,$B$81&lt;=100,SUM($B$82)&gt;=0,SUM($B$82)&lt;=1,SUM($B$83)&gt;=0)),E1557*SUM($B$82)+SUM($B$83),0)</x:f>
        <x:v>0</x:v>
      </x:c>
      <x:c r="H1557" s="441" t="n">
        <x:f>IF(ISNUMBER(D1557),IF(MAX(0,B1557*(1+C1557/12)-D1557-F1557)&lt;MAX(0.0000001,$E$17*0.00000000001),0,MAX(0,B1557*(1+C1557/12)-D1557-F1557)),IF(AND($B$171=1,I1556=1),B1557,""))</x:f>
        <x:v>0</x:v>
      </x:c>
      <x:c r="I1557" s="445" t="n">
        <x:f>IF(OR(I1556=1,AND(E1557&gt;0,$B$78&lt;&gt;"Cash payoff",NOT(AND($B$78="Refinance",ISNUMBER($B$80),$B$80&gt;=0,$B$80&lt;=1,ROUND($B$81*12,0)&gt;=1,$B$81&lt;=100,SUM($B$82)&gt;=0,SUM($B$82)&lt;=1,SUM($B$83)&gt;=0))),AND(ISNUMBER(B1557),B1557&gt;0,$B$171=1,NOT(ISNUMBER(D1557)))),1,0)</x:f>
        <x:v>0</x:v>
      </x:c>
      <x:c r="J1557" s="441" t="n">
        <x:f>IF(ISNUMBER(L1556),L1556,"")</x:f>
        <x:v>0</x:v>
      </x:c>
      <x:c r="K1557" s="441" t="n">
        <x:f>IF(AND(ISNUMBER(J1557),J1557=0),0,IF(AND($B$176=1,ISNUMBER(J1557)),MIN(J1557*(1+$B$87/12),IF($B$86=0,0,IF($B$87=0,$B$86/ROUND($B$88*12,0),$B$86*($B$87/12)/(1-(1+$B$87/12)^(-ROUND($B$88*12,0)))))),""))</x:f>
        <x:v>0</x:v>
      </x:c>
      <x:c r="L1557" s="441" t="n">
        <x:f>IF(ISNUMBER(K1557),IF(MAX(0,J1557*(1+SUM($B$87)/12)-K1557)&lt;MAX(0.0000001,$B$86*0.00000000001),0,MAX(0,J1557*(1+SUM($B$87)/12)-K1557)),"")</x:f>
        <x:v>0</x:v>
      </x:c>
      <x:c r="M1557" s="441" t="n">
        <x:f>IF(AND(ISNUMBER(D1557),ISNUMBER(K1557)),D1557+K1557,"")</x:f>
        <x:v>0</x:v>
      </x:c>
      <x:c r="N1557" s="441" t="n">
        <x:f>IF(AND(ISNUMBER(H1557),ISNUMBER(L1557)),H1557+L1557,"")</x:f>
        <x:v>0</x:v>
      </x:c>
    </x:row>
    <x:row r="1558">
      <x:c r="A1558" t="n">
        <x:f>1158</x:f>
        <x:v>1158</x:v>
      </x:c>
      <x:c r="B1558" s="441" t="n">
        <x:f>IF(ISNUMBER(H1557),H1557,"")</x:f>
        <x:v>0</x:v>
      </x:c>
      <x:c r="C1558" s="443" t="n">
        <x:f>IF(ISNUMBER(B1558),IF(AND(1158&gt;$B$173,$B$78="Refinance",ISNUMBER($B$80),$B$80&gt;=0,$B$80&lt;=1,ROUND($B$81*12,0)&gt;=1,$B$81&lt;=100,SUM($B$82)&gt;=0,SUM($B$82)&lt;=1,SUM($B$83)&gt;=0),$B$80,IF(AND($B$175&gt;0,1158&gt;$B$175,ISNUMBER($B$75)),$B$75,$B$61)),"")</x:f>
        <x:v>0.0625</x:v>
      </x:c>
      <x:c r="D1558" s="441" t="n">
        <x:f>IF(AND(ISNUMBER(B1558),B1558=0),0,IF(AND($B$171=1,I1557=0,ISNUMBER(C1558),ISNUMBER(IF(AND(1158&lt;=$B$174,1158&lt;=$B$173),B1558*C1558/12,IF(AND(1158=$B$173+1,AND(1158&gt;$B$173,$B$78="Refinance",ISNUMBER($B$80),$B$80&gt;=0,$B$80&lt;=1,ROUND($B$81*12,0)&gt;=1,$B$81&lt;=100,SUM($B$82)&gt;=0,SUM($B$82)&lt;=1,SUM($B$83)&gt;=0)),IF(B1558=0,0,IF(C1558=0,B1558/ROUND($B$81*12,0),B1558*(C1558/12)/(1-(1+C1558/12)^(-ROUND($B$81*12,0))))),IF(AND(NOT(AND(1158&gt;$B$173,$B$78="Refinance",ISNUMBER($B$80),$B$80&gt;=0,$B$80&lt;=1,ROUND($B$81*12,0)&gt;=1,$B$81&lt;=100,SUM($B$82)&gt;=0,SUM($B$82)&lt;=1,SUM($B$83)&gt;=0)),OR(1158=1,1158=$B$174+1,AND($B$175&gt;0,1158=$B$175+1))),IF(AND($B$170=1,$B$66&gt;0,OR($B$175=0,1158&lt;=$B$175)),$B$66,IF($B$172-MAX(1158-1,$B$174)&gt;0,IF(B1558=0,0,IF(C1558=0,B1558/($B$172-MAX(1158-1,$B$174)),B1558*(C1558/12)/(1-(1+C1558/12)^(-($B$172-MAX(1158-1,$B$174)))))),"")),D1557))))),IF(IF(AND(1158&lt;=$B$174,1158&lt;=$B$173),B1558*C1558/12,IF(AND(1158=$B$173+1,AND(1158&gt;$B$173,$B$78="Refinance",ISNUMBER($B$80),$B$80&gt;=0,$B$80&lt;=1,ROUND($B$81*12,0)&gt;=1,$B$81&lt;=100,SUM($B$82)&gt;=0,SUM($B$82)&lt;=1,SUM($B$83)&gt;=0)),IF(B1558=0,0,IF(C1558=0,B1558/ROUND($B$81*12,0),B1558*(C1558/12)/(1-(1+C1558/12)^(-ROUND($B$81*12,0))))),IF(AND(NOT(AND(1158&gt;$B$173,$B$78="Refinance",ISNUMBER($B$80),$B$80&gt;=0,$B$80&lt;=1,ROUND($B$81*12,0)&gt;=1,$B$81&lt;=100,SUM($B$82)&gt;=0,SUM($B$82)&lt;=1,SUM($B$83)&gt;=0)),OR(1158=1,1158=$B$174+1,AND($B$175&gt;0,1158=$B$175+1))),IF(AND($B$170=1,$B$66&gt;0,OR($B$175=0,1158&lt;=$B$175)),$B$66,IF($B$172-MAX(1158-1,$B$174)&gt;0,IF(B1558=0,0,IF(C1558=0,B1558/($B$172-MAX(1158-1,$B$174)),B1558*(C1558/12)/(1-(1+C1558/12)^(-($B$172-MAX(1158-1,$B$174)))))),"")),D1557)))+0.0000001&gt;=B1558*C1558/12,MIN(B1558*(1+C1558/12),IF(AND(1158&lt;=$B$174,1158&lt;=$B$173),B1558*C1558/12,IF(AND(1158=$B$173+1,AND(1158&gt;$B$173,$B$78="Refinance",ISNUMBER($B$80),$B$80&gt;=0,$B$80&lt;=1,ROUND($B$81*12,0)&gt;=1,$B$81&lt;=100,SUM($B$82)&gt;=0,SUM($B$82)&lt;=1,SUM($B$83)&gt;=0)),IF(B1558=0,0,IF(C1558=0,B1558/ROUND($B$81*12,0),B1558*(C1558/12)/(1-(1+C1558/12)^(-ROUND($B$81*12,0))))),IF(AND(NOT(AND(1158&gt;$B$173,$B$78="Refinance",ISNUMBER($B$80),$B$80&gt;=0,$B$80&lt;=1,ROUND($B$81*12,0)&gt;=1,$B$81&lt;=100,SUM($B$82)&gt;=0,SUM($B$82)&lt;=1,SUM($B$83)&gt;=0)),OR(1158=1,1158=$B$174+1,AND($B$175&gt;0,1158=$B$175+1))),IF(AND($B$170=1,$B$66&gt;0,OR($B$175=0,1158&lt;=$B$175)),$B$66,IF($B$172-MAX(1158-1,$B$174)&gt;0,IF(B1558=0,0,IF(C1558=0,B1558/($B$172-MAX(1158-1,$B$174)),B1558*(C1558/12)/(1-(1+C1558/12)^(-($B$172-MAX(1158-1,$B$174)))))),"")),D1557)))),""),""))</x:f>
        <x:v>0</x:v>
      </x:c>
      <x:c r="E1558" s="441" t="n">
        <x:f>IF(AND(1158=$B$173,ISNUMBER(D1558)),IF(MAX(0,B1558*(1+C1558/12)-D1558)&lt;MAX(0.0000001,$E$17*0.00000000001),0,MAX(0,B1558*(1+C1558/12)-D1558)),0)</x:f>
        <x:v>0</x:v>
      </x:c>
      <x:c r="F1558" s="441" t="n">
        <x:f>IF($B$78="Cash payoff",E1558,0)</x:f>
        <x:v>0</x:v>
      </x:c>
      <x:c r="G1558" s="441" t="n">
        <x:f>IF(AND(E1558&gt;0,AND($B$78="Refinance",ISNUMBER($B$80),$B$80&gt;=0,$B$80&lt;=1,ROUND($B$81*12,0)&gt;=1,$B$81&lt;=100,SUM($B$82)&gt;=0,SUM($B$82)&lt;=1,SUM($B$83)&gt;=0)),E1558*SUM($B$82)+SUM($B$83),0)</x:f>
        <x:v>0</x:v>
      </x:c>
      <x:c r="H1558" s="441" t="n">
        <x:f>IF(ISNUMBER(D1558),IF(MAX(0,B1558*(1+C1558/12)-D1558-F1558)&lt;MAX(0.0000001,$E$17*0.00000000001),0,MAX(0,B1558*(1+C1558/12)-D1558-F1558)),IF(AND($B$171=1,I1557=1),B1558,""))</x:f>
        <x:v>0</x:v>
      </x:c>
      <x:c r="I1558" s="445" t="n">
        <x:f>IF(OR(I1557=1,AND(E1558&gt;0,$B$78&lt;&gt;"Cash payoff",NOT(AND($B$78="Refinance",ISNUMBER($B$80),$B$80&gt;=0,$B$80&lt;=1,ROUND($B$81*12,0)&gt;=1,$B$81&lt;=100,SUM($B$82)&gt;=0,SUM($B$82)&lt;=1,SUM($B$83)&gt;=0))),AND(ISNUMBER(B1558),B1558&gt;0,$B$171=1,NOT(ISNUMBER(D1558)))),1,0)</x:f>
        <x:v>0</x:v>
      </x:c>
      <x:c r="J1558" s="441" t="n">
        <x:f>IF(ISNUMBER(L1557),L1557,"")</x:f>
        <x:v>0</x:v>
      </x:c>
      <x:c r="K1558" s="441" t="n">
        <x:f>IF(AND(ISNUMBER(J1558),J1558=0),0,IF(AND($B$176=1,ISNUMBER(J1558)),MIN(J1558*(1+$B$87/12),IF($B$86=0,0,IF($B$87=0,$B$86/ROUND($B$88*12,0),$B$86*($B$87/12)/(1-(1+$B$87/12)^(-ROUND($B$88*12,0)))))),""))</x:f>
        <x:v>0</x:v>
      </x:c>
      <x:c r="L1558" s="441" t="n">
        <x:f>IF(ISNUMBER(K1558),IF(MAX(0,J1558*(1+SUM($B$87)/12)-K1558)&lt;MAX(0.0000001,$B$86*0.00000000001),0,MAX(0,J1558*(1+SUM($B$87)/12)-K1558)),"")</x:f>
        <x:v>0</x:v>
      </x:c>
      <x:c r="M1558" s="441" t="n">
        <x:f>IF(AND(ISNUMBER(D1558),ISNUMBER(K1558)),D1558+K1558,"")</x:f>
        <x:v>0</x:v>
      </x:c>
      <x:c r="N1558" s="441" t="n">
        <x:f>IF(AND(ISNUMBER(H1558),ISNUMBER(L1558)),H1558+L1558,"")</x:f>
        <x:v>0</x:v>
      </x:c>
    </x:row>
    <x:row r="1559">
      <x:c r="A1559" t="n">
        <x:f>1159</x:f>
        <x:v>1159</x:v>
      </x:c>
      <x:c r="B1559" s="441" t="n">
        <x:f>IF(ISNUMBER(H1558),H1558,"")</x:f>
        <x:v>0</x:v>
      </x:c>
      <x:c r="C1559" s="443" t="n">
        <x:f>IF(ISNUMBER(B1559),IF(AND(1159&gt;$B$173,$B$78="Refinance",ISNUMBER($B$80),$B$80&gt;=0,$B$80&lt;=1,ROUND($B$81*12,0)&gt;=1,$B$81&lt;=100,SUM($B$82)&gt;=0,SUM($B$82)&lt;=1,SUM($B$83)&gt;=0),$B$80,IF(AND($B$175&gt;0,1159&gt;$B$175,ISNUMBER($B$75)),$B$75,$B$61)),"")</x:f>
        <x:v>0.0625</x:v>
      </x:c>
      <x:c r="D1559" s="441" t="n">
        <x:f>IF(AND(ISNUMBER(B1559),B1559=0),0,IF(AND($B$171=1,I1558=0,ISNUMBER(C1559),ISNUMBER(IF(AND(1159&lt;=$B$174,1159&lt;=$B$173),B1559*C1559/12,IF(AND(1159=$B$173+1,AND(1159&gt;$B$173,$B$78="Refinance",ISNUMBER($B$80),$B$80&gt;=0,$B$80&lt;=1,ROUND($B$81*12,0)&gt;=1,$B$81&lt;=100,SUM($B$82)&gt;=0,SUM($B$82)&lt;=1,SUM($B$83)&gt;=0)),IF(B1559=0,0,IF(C1559=0,B1559/ROUND($B$81*12,0),B1559*(C1559/12)/(1-(1+C1559/12)^(-ROUND($B$81*12,0))))),IF(AND(NOT(AND(1159&gt;$B$173,$B$78="Refinance",ISNUMBER($B$80),$B$80&gt;=0,$B$80&lt;=1,ROUND($B$81*12,0)&gt;=1,$B$81&lt;=100,SUM($B$82)&gt;=0,SUM($B$82)&lt;=1,SUM($B$83)&gt;=0)),OR(1159=1,1159=$B$174+1,AND($B$175&gt;0,1159=$B$175+1))),IF(AND($B$170=1,$B$66&gt;0,OR($B$175=0,1159&lt;=$B$175)),$B$66,IF($B$172-MAX(1159-1,$B$174)&gt;0,IF(B1559=0,0,IF(C1559=0,B1559/($B$172-MAX(1159-1,$B$174)),B1559*(C1559/12)/(1-(1+C1559/12)^(-($B$172-MAX(1159-1,$B$174)))))),"")),D1558))))),IF(IF(AND(1159&lt;=$B$174,1159&lt;=$B$173),B1559*C1559/12,IF(AND(1159=$B$173+1,AND(1159&gt;$B$173,$B$78="Refinance",ISNUMBER($B$80),$B$80&gt;=0,$B$80&lt;=1,ROUND($B$81*12,0)&gt;=1,$B$81&lt;=100,SUM($B$82)&gt;=0,SUM($B$82)&lt;=1,SUM($B$83)&gt;=0)),IF(B1559=0,0,IF(C1559=0,B1559/ROUND($B$81*12,0),B1559*(C1559/12)/(1-(1+C1559/12)^(-ROUND($B$81*12,0))))),IF(AND(NOT(AND(1159&gt;$B$173,$B$78="Refinance",ISNUMBER($B$80),$B$80&gt;=0,$B$80&lt;=1,ROUND($B$81*12,0)&gt;=1,$B$81&lt;=100,SUM($B$82)&gt;=0,SUM($B$82)&lt;=1,SUM($B$83)&gt;=0)),OR(1159=1,1159=$B$174+1,AND($B$175&gt;0,1159=$B$175+1))),IF(AND($B$170=1,$B$66&gt;0,OR($B$175=0,1159&lt;=$B$175)),$B$66,IF($B$172-MAX(1159-1,$B$174)&gt;0,IF(B1559=0,0,IF(C1559=0,B1559/($B$172-MAX(1159-1,$B$174)),B1559*(C1559/12)/(1-(1+C1559/12)^(-($B$172-MAX(1159-1,$B$174)))))),"")),D1558)))+0.0000001&gt;=B1559*C1559/12,MIN(B1559*(1+C1559/12),IF(AND(1159&lt;=$B$174,1159&lt;=$B$173),B1559*C1559/12,IF(AND(1159=$B$173+1,AND(1159&gt;$B$173,$B$78="Refinance",ISNUMBER($B$80),$B$80&gt;=0,$B$80&lt;=1,ROUND($B$81*12,0)&gt;=1,$B$81&lt;=100,SUM($B$82)&gt;=0,SUM($B$82)&lt;=1,SUM($B$83)&gt;=0)),IF(B1559=0,0,IF(C1559=0,B1559/ROUND($B$81*12,0),B1559*(C1559/12)/(1-(1+C1559/12)^(-ROUND($B$81*12,0))))),IF(AND(NOT(AND(1159&gt;$B$173,$B$78="Refinance",ISNUMBER($B$80),$B$80&gt;=0,$B$80&lt;=1,ROUND($B$81*12,0)&gt;=1,$B$81&lt;=100,SUM($B$82)&gt;=0,SUM($B$82)&lt;=1,SUM($B$83)&gt;=0)),OR(1159=1,1159=$B$174+1,AND($B$175&gt;0,1159=$B$175+1))),IF(AND($B$170=1,$B$66&gt;0,OR($B$175=0,1159&lt;=$B$175)),$B$66,IF($B$172-MAX(1159-1,$B$174)&gt;0,IF(B1559=0,0,IF(C1559=0,B1559/($B$172-MAX(1159-1,$B$174)),B1559*(C1559/12)/(1-(1+C1559/12)^(-($B$172-MAX(1159-1,$B$174)))))),"")),D1558)))),""),""))</x:f>
        <x:v>0</x:v>
      </x:c>
      <x:c r="E1559" s="441" t="n">
        <x:f>IF(AND(1159=$B$173,ISNUMBER(D1559)),IF(MAX(0,B1559*(1+C1559/12)-D1559)&lt;MAX(0.0000001,$E$17*0.00000000001),0,MAX(0,B1559*(1+C1559/12)-D1559)),0)</x:f>
        <x:v>0</x:v>
      </x:c>
      <x:c r="F1559" s="441" t="n">
        <x:f>IF($B$78="Cash payoff",E1559,0)</x:f>
        <x:v>0</x:v>
      </x:c>
      <x:c r="G1559" s="441" t="n">
        <x:f>IF(AND(E1559&gt;0,AND($B$78="Refinance",ISNUMBER($B$80),$B$80&gt;=0,$B$80&lt;=1,ROUND($B$81*12,0)&gt;=1,$B$81&lt;=100,SUM($B$82)&gt;=0,SUM($B$82)&lt;=1,SUM($B$83)&gt;=0)),E1559*SUM($B$82)+SUM($B$83),0)</x:f>
        <x:v>0</x:v>
      </x:c>
      <x:c r="H1559" s="441" t="n">
        <x:f>IF(ISNUMBER(D1559),IF(MAX(0,B1559*(1+C1559/12)-D1559-F1559)&lt;MAX(0.0000001,$E$17*0.00000000001),0,MAX(0,B1559*(1+C1559/12)-D1559-F1559)),IF(AND($B$171=1,I1558=1),B1559,""))</x:f>
        <x:v>0</x:v>
      </x:c>
      <x:c r="I1559" s="445" t="n">
        <x:f>IF(OR(I1558=1,AND(E1559&gt;0,$B$78&lt;&gt;"Cash payoff",NOT(AND($B$78="Refinance",ISNUMBER($B$80),$B$80&gt;=0,$B$80&lt;=1,ROUND($B$81*12,0)&gt;=1,$B$81&lt;=100,SUM($B$82)&gt;=0,SUM($B$82)&lt;=1,SUM($B$83)&gt;=0))),AND(ISNUMBER(B1559),B1559&gt;0,$B$171=1,NOT(ISNUMBER(D1559)))),1,0)</x:f>
        <x:v>0</x:v>
      </x:c>
      <x:c r="J1559" s="441" t="n">
        <x:f>IF(ISNUMBER(L1558),L1558,"")</x:f>
        <x:v>0</x:v>
      </x:c>
      <x:c r="K1559" s="441" t="n">
        <x:f>IF(AND(ISNUMBER(J1559),J1559=0),0,IF(AND($B$176=1,ISNUMBER(J1559)),MIN(J1559*(1+$B$87/12),IF($B$86=0,0,IF($B$87=0,$B$86/ROUND($B$88*12,0),$B$86*($B$87/12)/(1-(1+$B$87/12)^(-ROUND($B$88*12,0)))))),""))</x:f>
        <x:v>0</x:v>
      </x:c>
      <x:c r="L1559" s="441" t="n">
        <x:f>IF(ISNUMBER(K1559),IF(MAX(0,J1559*(1+SUM($B$87)/12)-K1559)&lt;MAX(0.0000001,$B$86*0.00000000001),0,MAX(0,J1559*(1+SUM($B$87)/12)-K1559)),"")</x:f>
        <x:v>0</x:v>
      </x:c>
      <x:c r="M1559" s="441" t="n">
        <x:f>IF(AND(ISNUMBER(D1559),ISNUMBER(K1559)),D1559+K1559,"")</x:f>
        <x:v>0</x:v>
      </x:c>
      <x:c r="N1559" s="441" t="n">
        <x:f>IF(AND(ISNUMBER(H1559),ISNUMBER(L1559)),H1559+L1559,"")</x:f>
        <x:v>0</x:v>
      </x:c>
    </x:row>
    <x:row r="1560">
      <x:c r="A1560" t="n">
        <x:f>1160</x:f>
        <x:v>1160</x:v>
      </x:c>
      <x:c r="B1560" s="441" t="n">
        <x:f>IF(ISNUMBER(H1559),H1559,"")</x:f>
        <x:v>0</x:v>
      </x:c>
      <x:c r="C1560" s="443" t="n">
        <x:f>IF(ISNUMBER(B1560),IF(AND(1160&gt;$B$173,$B$78="Refinance",ISNUMBER($B$80),$B$80&gt;=0,$B$80&lt;=1,ROUND($B$81*12,0)&gt;=1,$B$81&lt;=100,SUM($B$82)&gt;=0,SUM($B$82)&lt;=1,SUM($B$83)&gt;=0),$B$80,IF(AND($B$175&gt;0,1160&gt;$B$175,ISNUMBER($B$75)),$B$75,$B$61)),"")</x:f>
        <x:v>0.0625</x:v>
      </x:c>
      <x:c r="D1560" s="441" t="n">
        <x:f>IF(AND(ISNUMBER(B1560),B1560=0),0,IF(AND($B$171=1,I1559=0,ISNUMBER(C1560),ISNUMBER(IF(AND(1160&lt;=$B$174,1160&lt;=$B$173),B1560*C1560/12,IF(AND(1160=$B$173+1,AND(1160&gt;$B$173,$B$78="Refinance",ISNUMBER($B$80),$B$80&gt;=0,$B$80&lt;=1,ROUND($B$81*12,0)&gt;=1,$B$81&lt;=100,SUM($B$82)&gt;=0,SUM($B$82)&lt;=1,SUM($B$83)&gt;=0)),IF(B1560=0,0,IF(C1560=0,B1560/ROUND($B$81*12,0),B1560*(C1560/12)/(1-(1+C1560/12)^(-ROUND($B$81*12,0))))),IF(AND(NOT(AND(1160&gt;$B$173,$B$78="Refinance",ISNUMBER($B$80),$B$80&gt;=0,$B$80&lt;=1,ROUND($B$81*12,0)&gt;=1,$B$81&lt;=100,SUM($B$82)&gt;=0,SUM($B$82)&lt;=1,SUM($B$83)&gt;=0)),OR(1160=1,1160=$B$174+1,AND($B$175&gt;0,1160=$B$175+1))),IF(AND($B$170=1,$B$66&gt;0,OR($B$175=0,1160&lt;=$B$175)),$B$66,IF($B$172-MAX(1160-1,$B$174)&gt;0,IF(B1560=0,0,IF(C1560=0,B1560/($B$172-MAX(1160-1,$B$174)),B1560*(C1560/12)/(1-(1+C1560/12)^(-($B$172-MAX(1160-1,$B$174)))))),"")),D1559))))),IF(IF(AND(1160&lt;=$B$174,1160&lt;=$B$173),B1560*C1560/12,IF(AND(1160=$B$173+1,AND(1160&gt;$B$173,$B$78="Refinance",ISNUMBER($B$80),$B$80&gt;=0,$B$80&lt;=1,ROUND($B$81*12,0)&gt;=1,$B$81&lt;=100,SUM($B$82)&gt;=0,SUM($B$82)&lt;=1,SUM($B$83)&gt;=0)),IF(B1560=0,0,IF(C1560=0,B1560/ROUND($B$81*12,0),B1560*(C1560/12)/(1-(1+C1560/12)^(-ROUND($B$81*12,0))))),IF(AND(NOT(AND(1160&gt;$B$173,$B$78="Refinance",ISNUMBER($B$80),$B$80&gt;=0,$B$80&lt;=1,ROUND($B$81*12,0)&gt;=1,$B$81&lt;=100,SUM($B$82)&gt;=0,SUM($B$82)&lt;=1,SUM($B$83)&gt;=0)),OR(1160=1,1160=$B$174+1,AND($B$175&gt;0,1160=$B$175+1))),IF(AND($B$170=1,$B$66&gt;0,OR($B$175=0,1160&lt;=$B$175)),$B$66,IF($B$172-MAX(1160-1,$B$174)&gt;0,IF(B1560=0,0,IF(C1560=0,B1560/($B$172-MAX(1160-1,$B$174)),B1560*(C1560/12)/(1-(1+C1560/12)^(-($B$172-MAX(1160-1,$B$174)))))),"")),D1559)))+0.0000001&gt;=B1560*C1560/12,MIN(B1560*(1+C1560/12),IF(AND(1160&lt;=$B$174,1160&lt;=$B$173),B1560*C1560/12,IF(AND(1160=$B$173+1,AND(1160&gt;$B$173,$B$78="Refinance",ISNUMBER($B$80),$B$80&gt;=0,$B$80&lt;=1,ROUND($B$81*12,0)&gt;=1,$B$81&lt;=100,SUM($B$82)&gt;=0,SUM($B$82)&lt;=1,SUM($B$83)&gt;=0)),IF(B1560=0,0,IF(C1560=0,B1560/ROUND($B$81*12,0),B1560*(C1560/12)/(1-(1+C1560/12)^(-ROUND($B$81*12,0))))),IF(AND(NOT(AND(1160&gt;$B$173,$B$78="Refinance",ISNUMBER($B$80),$B$80&gt;=0,$B$80&lt;=1,ROUND($B$81*12,0)&gt;=1,$B$81&lt;=100,SUM($B$82)&gt;=0,SUM($B$82)&lt;=1,SUM($B$83)&gt;=0)),OR(1160=1,1160=$B$174+1,AND($B$175&gt;0,1160=$B$175+1))),IF(AND($B$170=1,$B$66&gt;0,OR($B$175=0,1160&lt;=$B$175)),$B$66,IF($B$172-MAX(1160-1,$B$174)&gt;0,IF(B1560=0,0,IF(C1560=0,B1560/($B$172-MAX(1160-1,$B$174)),B1560*(C1560/12)/(1-(1+C1560/12)^(-($B$172-MAX(1160-1,$B$174)))))),"")),D1559)))),""),""))</x:f>
        <x:v>0</x:v>
      </x:c>
      <x:c r="E1560" s="441" t="n">
        <x:f>IF(AND(1160=$B$173,ISNUMBER(D1560)),IF(MAX(0,B1560*(1+C1560/12)-D1560)&lt;MAX(0.0000001,$E$17*0.00000000001),0,MAX(0,B1560*(1+C1560/12)-D1560)),0)</x:f>
        <x:v>0</x:v>
      </x:c>
      <x:c r="F1560" s="441" t="n">
        <x:f>IF($B$78="Cash payoff",E1560,0)</x:f>
        <x:v>0</x:v>
      </x:c>
      <x:c r="G1560" s="441" t="n">
        <x:f>IF(AND(E1560&gt;0,AND($B$78="Refinance",ISNUMBER($B$80),$B$80&gt;=0,$B$80&lt;=1,ROUND($B$81*12,0)&gt;=1,$B$81&lt;=100,SUM($B$82)&gt;=0,SUM($B$82)&lt;=1,SUM($B$83)&gt;=0)),E1560*SUM($B$82)+SUM($B$83),0)</x:f>
        <x:v>0</x:v>
      </x:c>
      <x:c r="H1560" s="441" t="n">
        <x:f>IF(ISNUMBER(D1560),IF(MAX(0,B1560*(1+C1560/12)-D1560-F1560)&lt;MAX(0.0000001,$E$17*0.00000000001),0,MAX(0,B1560*(1+C1560/12)-D1560-F1560)),IF(AND($B$171=1,I1559=1),B1560,""))</x:f>
        <x:v>0</x:v>
      </x:c>
      <x:c r="I1560" s="445" t="n">
        <x:f>IF(OR(I1559=1,AND(E1560&gt;0,$B$78&lt;&gt;"Cash payoff",NOT(AND($B$78="Refinance",ISNUMBER($B$80),$B$80&gt;=0,$B$80&lt;=1,ROUND($B$81*12,0)&gt;=1,$B$81&lt;=100,SUM($B$82)&gt;=0,SUM($B$82)&lt;=1,SUM($B$83)&gt;=0))),AND(ISNUMBER(B1560),B1560&gt;0,$B$171=1,NOT(ISNUMBER(D1560)))),1,0)</x:f>
        <x:v>0</x:v>
      </x:c>
      <x:c r="J1560" s="441" t="n">
        <x:f>IF(ISNUMBER(L1559),L1559,"")</x:f>
        <x:v>0</x:v>
      </x:c>
      <x:c r="K1560" s="441" t="n">
        <x:f>IF(AND(ISNUMBER(J1560),J1560=0),0,IF(AND($B$176=1,ISNUMBER(J1560)),MIN(J1560*(1+$B$87/12),IF($B$86=0,0,IF($B$87=0,$B$86/ROUND($B$88*12,0),$B$86*($B$87/12)/(1-(1+$B$87/12)^(-ROUND($B$88*12,0)))))),""))</x:f>
        <x:v>0</x:v>
      </x:c>
      <x:c r="L1560" s="441" t="n">
        <x:f>IF(ISNUMBER(K1560),IF(MAX(0,J1560*(1+SUM($B$87)/12)-K1560)&lt;MAX(0.0000001,$B$86*0.00000000001),0,MAX(0,J1560*(1+SUM($B$87)/12)-K1560)),"")</x:f>
        <x:v>0</x:v>
      </x:c>
      <x:c r="M1560" s="441" t="n">
        <x:f>IF(AND(ISNUMBER(D1560),ISNUMBER(K1560)),D1560+K1560,"")</x:f>
        <x:v>0</x:v>
      </x:c>
      <x:c r="N1560" s="441" t="n">
        <x:f>IF(AND(ISNUMBER(H1560),ISNUMBER(L1560)),H1560+L1560,"")</x:f>
        <x:v>0</x:v>
      </x:c>
    </x:row>
    <x:row r="1561">
      <x:c r="A1561" t="n">
        <x:f>1161</x:f>
        <x:v>1161</x:v>
      </x:c>
      <x:c r="B1561" s="441" t="n">
        <x:f>IF(ISNUMBER(H1560),H1560,"")</x:f>
        <x:v>0</x:v>
      </x:c>
      <x:c r="C1561" s="443" t="n">
        <x:f>IF(ISNUMBER(B1561),IF(AND(1161&gt;$B$173,$B$78="Refinance",ISNUMBER($B$80),$B$80&gt;=0,$B$80&lt;=1,ROUND($B$81*12,0)&gt;=1,$B$81&lt;=100,SUM($B$82)&gt;=0,SUM($B$82)&lt;=1,SUM($B$83)&gt;=0),$B$80,IF(AND($B$175&gt;0,1161&gt;$B$175,ISNUMBER($B$75)),$B$75,$B$61)),"")</x:f>
        <x:v>0.0625</x:v>
      </x:c>
      <x:c r="D1561" s="441" t="n">
        <x:f>IF(AND(ISNUMBER(B1561),B1561=0),0,IF(AND($B$171=1,I1560=0,ISNUMBER(C1561),ISNUMBER(IF(AND(1161&lt;=$B$174,1161&lt;=$B$173),B1561*C1561/12,IF(AND(1161=$B$173+1,AND(1161&gt;$B$173,$B$78="Refinance",ISNUMBER($B$80),$B$80&gt;=0,$B$80&lt;=1,ROUND($B$81*12,0)&gt;=1,$B$81&lt;=100,SUM($B$82)&gt;=0,SUM($B$82)&lt;=1,SUM($B$83)&gt;=0)),IF(B1561=0,0,IF(C1561=0,B1561/ROUND($B$81*12,0),B1561*(C1561/12)/(1-(1+C1561/12)^(-ROUND($B$81*12,0))))),IF(AND(NOT(AND(1161&gt;$B$173,$B$78="Refinance",ISNUMBER($B$80),$B$80&gt;=0,$B$80&lt;=1,ROUND($B$81*12,0)&gt;=1,$B$81&lt;=100,SUM($B$82)&gt;=0,SUM($B$82)&lt;=1,SUM($B$83)&gt;=0)),OR(1161=1,1161=$B$174+1,AND($B$175&gt;0,1161=$B$175+1))),IF(AND($B$170=1,$B$66&gt;0,OR($B$175=0,1161&lt;=$B$175)),$B$66,IF($B$172-MAX(1161-1,$B$174)&gt;0,IF(B1561=0,0,IF(C1561=0,B1561/($B$172-MAX(1161-1,$B$174)),B1561*(C1561/12)/(1-(1+C1561/12)^(-($B$172-MAX(1161-1,$B$174)))))),"")),D1560))))),IF(IF(AND(1161&lt;=$B$174,1161&lt;=$B$173),B1561*C1561/12,IF(AND(1161=$B$173+1,AND(1161&gt;$B$173,$B$78="Refinance",ISNUMBER($B$80),$B$80&gt;=0,$B$80&lt;=1,ROUND($B$81*12,0)&gt;=1,$B$81&lt;=100,SUM($B$82)&gt;=0,SUM($B$82)&lt;=1,SUM($B$83)&gt;=0)),IF(B1561=0,0,IF(C1561=0,B1561/ROUND($B$81*12,0),B1561*(C1561/12)/(1-(1+C1561/12)^(-ROUND($B$81*12,0))))),IF(AND(NOT(AND(1161&gt;$B$173,$B$78="Refinance",ISNUMBER($B$80),$B$80&gt;=0,$B$80&lt;=1,ROUND($B$81*12,0)&gt;=1,$B$81&lt;=100,SUM($B$82)&gt;=0,SUM($B$82)&lt;=1,SUM($B$83)&gt;=0)),OR(1161=1,1161=$B$174+1,AND($B$175&gt;0,1161=$B$175+1))),IF(AND($B$170=1,$B$66&gt;0,OR($B$175=0,1161&lt;=$B$175)),$B$66,IF($B$172-MAX(1161-1,$B$174)&gt;0,IF(B1561=0,0,IF(C1561=0,B1561/($B$172-MAX(1161-1,$B$174)),B1561*(C1561/12)/(1-(1+C1561/12)^(-($B$172-MAX(1161-1,$B$174)))))),"")),D1560)))+0.0000001&gt;=B1561*C1561/12,MIN(B1561*(1+C1561/12),IF(AND(1161&lt;=$B$174,1161&lt;=$B$173),B1561*C1561/12,IF(AND(1161=$B$173+1,AND(1161&gt;$B$173,$B$78="Refinance",ISNUMBER($B$80),$B$80&gt;=0,$B$80&lt;=1,ROUND($B$81*12,0)&gt;=1,$B$81&lt;=100,SUM($B$82)&gt;=0,SUM($B$82)&lt;=1,SUM($B$83)&gt;=0)),IF(B1561=0,0,IF(C1561=0,B1561/ROUND($B$81*12,0),B1561*(C1561/12)/(1-(1+C1561/12)^(-ROUND($B$81*12,0))))),IF(AND(NOT(AND(1161&gt;$B$173,$B$78="Refinance",ISNUMBER($B$80),$B$80&gt;=0,$B$80&lt;=1,ROUND($B$81*12,0)&gt;=1,$B$81&lt;=100,SUM($B$82)&gt;=0,SUM($B$82)&lt;=1,SUM($B$83)&gt;=0)),OR(1161=1,1161=$B$174+1,AND($B$175&gt;0,1161=$B$175+1))),IF(AND($B$170=1,$B$66&gt;0,OR($B$175=0,1161&lt;=$B$175)),$B$66,IF($B$172-MAX(1161-1,$B$174)&gt;0,IF(B1561=0,0,IF(C1561=0,B1561/($B$172-MAX(1161-1,$B$174)),B1561*(C1561/12)/(1-(1+C1561/12)^(-($B$172-MAX(1161-1,$B$174)))))),"")),D1560)))),""),""))</x:f>
        <x:v>0</x:v>
      </x:c>
      <x:c r="E1561" s="441" t="n">
        <x:f>IF(AND(1161=$B$173,ISNUMBER(D1561)),IF(MAX(0,B1561*(1+C1561/12)-D1561)&lt;MAX(0.0000001,$E$17*0.00000000001),0,MAX(0,B1561*(1+C1561/12)-D1561)),0)</x:f>
        <x:v>0</x:v>
      </x:c>
      <x:c r="F1561" s="441" t="n">
        <x:f>IF($B$78="Cash payoff",E1561,0)</x:f>
        <x:v>0</x:v>
      </x:c>
      <x:c r="G1561" s="441" t="n">
        <x:f>IF(AND(E1561&gt;0,AND($B$78="Refinance",ISNUMBER($B$80),$B$80&gt;=0,$B$80&lt;=1,ROUND($B$81*12,0)&gt;=1,$B$81&lt;=100,SUM($B$82)&gt;=0,SUM($B$82)&lt;=1,SUM($B$83)&gt;=0)),E1561*SUM($B$82)+SUM($B$83),0)</x:f>
        <x:v>0</x:v>
      </x:c>
      <x:c r="H1561" s="441" t="n">
        <x:f>IF(ISNUMBER(D1561),IF(MAX(0,B1561*(1+C1561/12)-D1561-F1561)&lt;MAX(0.0000001,$E$17*0.00000000001),0,MAX(0,B1561*(1+C1561/12)-D1561-F1561)),IF(AND($B$171=1,I1560=1),B1561,""))</x:f>
        <x:v>0</x:v>
      </x:c>
      <x:c r="I1561" s="445" t="n">
        <x:f>IF(OR(I1560=1,AND(E1561&gt;0,$B$78&lt;&gt;"Cash payoff",NOT(AND($B$78="Refinance",ISNUMBER($B$80),$B$80&gt;=0,$B$80&lt;=1,ROUND($B$81*12,0)&gt;=1,$B$81&lt;=100,SUM($B$82)&gt;=0,SUM($B$82)&lt;=1,SUM($B$83)&gt;=0))),AND(ISNUMBER(B1561),B1561&gt;0,$B$171=1,NOT(ISNUMBER(D1561)))),1,0)</x:f>
        <x:v>0</x:v>
      </x:c>
      <x:c r="J1561" s="441" t="n">
        <x:f>IF(ISNUMBER(L1560),L1560,"")</x:f>
        <x:v>0</x:v>
      </x:c>
      <x:c r="K1561" s="441" t="n">
        <x:f>IF(AND(ISNUMBER(J1561),J1561=0),0,IF(AND($B$176=1,ISNUMBER(J1561)),MIN(J1561*(1+$B$87/12),IF($B$86=0,0,IF($B$87=0,$B$86/ROUND($B$88*12,0),$B$86*($B$87/12)/(1-(1+$B$87/12)^(-ROUND($B$88*12,0)))))),""))</x:f>
        <x:v>0</x:v>
      </x:c>
      <x:c r="L1561" s="441" t="n">
        <x:f>IF(ISNUMBER(K1561),IF(MAX(0,J1561*(1+SUM($B$87)/12)-K1561)&lt;MAX(0.0000001,$B$86*0.00000000001),0,MAX(0,J1561*(1+SUM($B$87)/12)-K1561)),"")</x:f>
        <x:v>0</x:v>
      </x:c>
      <x:c r="M1561" s="441" t="n">
        <x:f>IF(AND(ISNUMBER(D1561),ISNUMBER(K1561)),D1561+K1561,"")</x:f>
        <x:v>0</x:v>
      </x:c>
      <x:c r="N1561" s="441" t="n">
        <x:f>IF(AND(ISNUMBER(H1561),ISNUMBER(L1561)),H1561+L1561,"")</x:f>
        <x:v>0</x:v>
      </x:c>
    </x:row>
    <x:row r="1562">
      <x:c r="A1562" t="n">
        <x:f>1162</x:f>
        <x:v>1162</x:v>
      </x:c>
      <x:c r="B1562" s="441" t="n">
        <x:f>IF(ISNUMBER(H1561),H1561,"")</x:f>
        <x:v>0</x:v>
      </x:c>
      <x:c r="C1562" s="443" t="n">
        <x:f>IF(ISNUMBER(B1562),IF(AND(1162&gt;$B$173,$B$78="Refinance",ISNUMBER($B$80),$B$80&gt;=0,$B$80&lt;=1,ROUND($B$81*12,0)&gt;=1,$B$81&lt;=100,SUM($B$82)&gt;=0,SUM($B$82)&lt;=1,SUM($B$83)&gt;=0),$B$80,IF(AND($B$175&gt;0,1162&gt;$B$175,ISNUMBER($B$75)),$B$75,$B$61)),"")</x:f>
        <x:v>0.0625</x:v>
      </x:c>
      <x:c r="D1562" s="441" t="n">
        <x:f>IF(AND(ISNUMBER(B1562),B1562=0),0,IF(AND($B$171=1,I1561=0,ISNUMBER(C1562),ISNUMBER(IF(AND(1162&lt;=$B$174,1162&lt;=$B$173),B1562*C1562/12,IF(AND(1162=$B$173+1,AND(1162&gt;$B$173,$B$78="Refinance",ISNUMBER($B$80),$B$80&gt;=0,$B$80&lt;=1,ROUND($B$81*12,0)&gt;=1,$B$81&lt;=100,SUM($B$82)&gt;=0,SUM($B$82)&lt;=1,SUM($B$83)&gt;=0)),IF(B1562=0,0,IF(C1562=0,B1562/ROUND($B$81*12,0),B1562*(C1562/12)/(1-(1+C1562/12)^(-ROUND($B$81*12,0))))),IF(AND(NOT(AND(1162&gt;$B$173,$B$78="Refinance",ISNUMBER($B$80),$B$80&gt;=0,$B$80&lt;=1,ROUND($B$81*12,0)&gt;=1,$B$81&lt;=100,SUM($B$82)&gt;=0,SUM($B$82)&lt;=1,SUM($B$83)&gt;=0)),OR(1162=1,1162=$B$174+1,AND($B$175&gt;0,1162=$B$175+1))),IF(AND($B$170=1,$B$66&gt;0,OR($B$175=0,1162&lt;=$B$175)),$B$66,IF($B$172-MAX(1162-1,$B$174)&gt;0,IF(B1562=0,0,IF(C1562=0,B1562/($B$172-MAX(1162-1,$B$174)),B1562*(C1562/12)/(1-(1+C1562/12)^(-($B$172-MAX(1162-1,$B$174)))))),"")),D1561))))),IF(IF(AND(1162&lt;=$B$174,1162&lt;=$B$173),B1562*C1562/12,IF(AND(1162=$B$173+1,AND(1162&gt;$B$173,$B$78="Refinance",ISNUMBER($B$80),$B$80&gt;=0,$B$80&lt;=1,ROUND($B$81*12,0)&gt;=1,$B$81&lt;=100,SUM($B$82)&gt;=0,SUM($B$82)&lt;=1,SUM($B$83)&gt;=0)),IF(B1562=0,0,IF(C1562=0,B1562/ROUND($B$81*12,0),B1562*(C1562/12)/(1-(1+C1562/12)^(-ROUND($B$81*12,0))))),IF(AND(NOT(AND(1162&gt;$B$173,$B$78="Refinance",ISNUMBER($B$80),$B$80&gt;=0,$B$80&lt;=1,ROUND($B$81*12,0)&gt;=1,$B$81&lt;=100,SUM($B$82)&gt;=0,SUM($B$82)&lt;=1,SUM($B$83)&gt;=0)),OR(1162=1,1162=$B$174+1,AND($B$175&gt;0,1162=$B$175+1))),IF(AND($B$170=1,$B$66&gt;0,OR($B$175=0,1162&lt;=$B$175)),$B$66,IF($B$172-MAX(1162-1,$B$174)&gt;0,IF(B1562=0,0,IF(C1562=0,B1562/($B$172-MAX(1162-1,$B$174)),B1562*(C1562/12)/(1-(1+C1562/12)^(-($B$172-MAX(1162-1,$B$174)))))),"")),D1561)))+0.0000001&gt;=B1562*C1562/12,MIN(B1562*(1+C1562/12),IF(AND(1162&lt;=$B$174,1162&lt;=$B$173),B1562*C1562/12,IF(AND(1162=$B$173+1,AND(1162&gt;$B$173,$B$78="Refinance",ISNUMBER($B$80),$B$80&gt;=0,$B$80&lt;=1,ROUND($B$81*12,0)&gt;=1,$B$81&lt;=100,SUM($B$82)&gt;=0,SUM($B$82)&lt;=1,SUM($B$83)&gt;=0)),IF(B1562=0,0,IF(C1562=0,B1562/ROUND($B$81*12,0),B1562*(C1562/12)/(1-(1+C1562/12)^(-ROUND($B$81*12,0))))),IF(AND(NOT(AND(1162&gt;$B$173,$B$78="Refinance",ISNUMBER($B$80),$B$80&gt;=0,$B$80&lt;=1,ROUND($B$81*12,0)&gt;=1,$B$81&lt;=100,SUM($B$82)&gt;=0,SUM($B$82)&lt;=1,SUM($B$83)&gt;=0)),OR(1162=1,1162=$B$174+1,AND($B$175&gt;0,1162=$B$175+1))),IF(AND($B$170=1,$B$66&gt;0,OR($B$175=0,1162&lt;=$B$175)),$B$66,IF($B$172-MAX(1162-1,$B$174)&gt;0,IF(B1562=0,0,IF(C1562=0,B1562/($B$172-MAX(1162-1,$B$174)),B1562*(C1562/12)/(1-(1+C1562/12)^(-($B$172-MAX(1162-1,$B$174)))))),"")),D1561)))),""),""))</x:f>
        <x:v>0</x:v>
      </x:c>
      <x:c r="E1562" s="441" t="n">
        <x:f>IF(AND(1162=$B$173,ISNUMBER(D1562)),IF(MAX(0,B1562*(1+C1562/12)-D1562)&lt;MAX(0.0000001,$E$17*0.00000000001),0,MAX(0,B1562*(1+C1562/12)-D1562)),0)</x:f>
        <x:v>0</x:v>
      </x:c>
      <x:c r="F1562" s="441" t="n">
        <x:f>IF($B$78="Cash payoff",E1562,0)</x:f>
        <x:v>0</x:v>
      </x:c>
      <x:c r="G1562" s="441" t="n">
        <x:f>IF(AND(E1562&gt;0,AND($B$78="Refinance",ISNUMBER($B$80),$B$80&gt;=0,$B$80&lt;=1,ROUND($B$81*12,0)&gt;=1,$B$81&lt;=100,SUM($B$82)&gt;=0,SUM($B$82)&lt;=1,SUM($B$83)&gt;=0)),E1562*SUM($B$82)+SUM($B$83),0)</x:f>
        <x:v>0</x:v>
      </x:c>
      <x:c r="H1562" s="441" t="n">
        <x:f>IF(ISNUMBER(D1562),IF(MAX(0,B1562*(1+C1562/12)-D1562-F1562)&lt;MAX(0.0000001,$E$17*0.00000000001),0,MAX(0,B1562*(1+C1562/12)-D1562-F1562)),IF(AND($B$171=1,I1561=1),B1562,""))</x:f>
        <x:v>0</x:v>
      </x:c>
      <x:c r="I1562" s="445" t="n">
        <x:f>IF(OR(I1561=1,AND(E1562&gt;0,$B$78&lt;&gt;"Cash payoff",NOT(AND($B$78="Refinance",ISNUMBER($B$80),$B$80&gt;=0,$B$80&lt;=1,ROUND($B$81*12,0)&gt;=1,$B$81&lt;=100,SUM($B$82)&gt;=0,SUM($B$82)&lt;=1,SUM($B$83)&gt;=0))),AND(ISNUMBER(B1562),B1562&gt;0,$B$171=1,NOT(ISNUMBER(D1562)))),1,0)</x:f>
        <x:v>0</x:v>
      </x:c>
      <x:c r="J1562" s="441" t="n">
        <x:f>IF(ISNUMBER(L1561),L1561,"")</x:f>
        <x:v>0</x:v>
      </x:c>
      <x:c r="K1562" s="441" t="n">
        <x:f>IF(AND(ISNUMBER(J1562),J1562=0),0,IF(AND($B$176=1,ISNUMBER(J1562)),MIN(J1562*(1+$B$87/12),IF($B$86=0,0,IF($B$87=0,$B$86/ROUND($B$88*12,0),$B$86*($B$87/12)/(1-(1+$B$87/12)^(-ROUND($B$88*12,0)))))),""))</x:f>
        <x:v>0</x:v>
      </x:c>
      <x:c r="L1562" s="441" t="n">
        <x:f>IF(ISNUMBER(K1562),IF(MAX(0,J1562*(1+SUM($B$87)/12)-K1562)&lt;MAX(0.0000001,$B$86*0.00000000001),0,MAX(0,J1562*(1+SUM($B$87)/12)-K1562)),"")</x:f>
        <x:v>0</x:v>
      </x:c>
      <x:c r="M1562" s="441" t="n">
        <x:f>IF(AND(ISNUMBER(D1562),ISNUMBER(K1562)),D1562+K1562,"")</x:f>
        <x:v>0</x:v>
      </x:c>
      <x:c r="N1562" s="441" t="n">
        <x:f>IF(AND(ISNUMBER(H1562),ISNUMBER(L1562)),H1562+L1562,"")</x:f>
        <x:v>0</x:v>
      </x:c>
    </x:row>
    <x:row r="1563">
      <x:c r="A1563" t="n">
        <x:f>1163</x:f>
        <x:v>1163</x:v>
      </x:c>
      <x:c r="B1563" s="441" t="n">
        <x:f>IF(ISNUMBER(H1562),H1562,"")</x:f>
        <x:v>0</x:v>
      </x:c>
      <x:c r="C1563" s="443" t="n">
        <x:f>IF(ISNUMBER(B1563),IF(AND(1163&gt;$B$173,$B$78="Refinance",ISNUMBER($B$80),$B$80&gt;=0,$B$80&lt;=1,ROUND($B$81*12,0)&gt;=1,$B$81&lt;=100,SUM($B$82)&gt;=0,SUM($B$82)&lt;=1,SUM($B$83)&gt;=0),$B$80,IF(AND($B$175&gt;0,1163&gt;$B$175,ISNUMBER($B$75)),$B$75,$B$61)),"")</x:f>
        <x:v>0.0625</x:v>
      </x:c>
      <x:c r="D1563" s="441" t="n">
        <x:f>IF(AND(ISNUMBER(B1563),B1563=0),0,IF(AND($B$171=1,I1562=0,ISNUMBER(C1563),ISNUMBER(IF(AND(1163&lt;=$B$174,1163&lt;=$B$173),B1563*C1563/12,IF(AND(1163=$B$173+1,AND(1163&gt;$B$173,$B$78="Refinance",ISNUMBER($B$80),$B$80&gt;=0,$B$80&lt;=1,ROUND($B$81*12,0)&gt;=1,$B$81&lt;=100,SUM($B$82)&gt;=0,SUM($B$82)&lt;=1,SUM($B$83)&gt;=0)),IF(B1563=0,0,IF(C1563=0,B1563/ROUND($B$81*12,0),B1563*(C1563/12)/(1-(1+C1563/12)^(-ROUND($B$81*12,0))))),IF(AND(NOT(AND(1163&gt;$B$173,$B$78="Refinance",ISNUMBER($B$80),$B$80&gt;=0,$B$80&lt;=1,ROUND($B$81*12,0)&gt;=1,$B$81&lt;=100,SUM($B$82)&gt;=0,SUM($B$82)&lt;=1,SUM($B$83)&gt;=0)),OR(1163=1,1163=$B$174+1,AND($B$175&gt;0,1163=$B$175+1))),IF(AND($B$170=1,$B$66&gt;0,OR($B$175=0,1163&lt;=$B$175)),$B$66,IF($B$172-MAX(1163-1,$B$174)&gt;0,IF(B1563=0,0,IF(C1563=0,B1563/($B$172-MAX(1163-1,$B$174)),B1563*(C1563/12)/(1-(1+C1563/12)^(-($B$172-MAX(1163-1,$B$174)))))),"")),D1562))))),IF(IF(AND(1163&lt;=$B$174,1163&lt;=$B$173),B1563*C1563/12,IF(AND(1163=$B$173+1,AND(1163&gt;$B$173,$B$78="Refinance",ISNUMBER($B$80),$B$80&gt;=0,$B$80&lt;=1,ROUND($B$81*12,0)&gt;=1,$B$81&lt;=100,SUM($B$82)&gt;=0,SUM($B$82)&lt;=1,SUM($B$83)&gt;=0)),IF(B1563=0,0,IF(C1563=0,B1563/ROUND($B$81*12,0),B1563*(C1563/12)/(1-(1+C1563/12)^(-ROUND($B$81*12,0))))),IF(AND(NOT(AND(1163&gt;$B$173,$B$78="Refinance",ISNUMBER($B$80),$B$80&gt;=0,$B$80&lt;=1,ROUND($B$81*12,0)&gt;=1,$B$81&lt;=100,SUM($B$82)&gt;=0,SUM($B$82)&lt;=1,SUM($B$83)&gt;=0)),OR(1163=1,1163=$B$174+1,AND($B$175&gt;0,1163=$B$175+1))),IF(AND($B$170=1,$B$66&gt;0,OR($B$175=0,1163&lt;=$B$175)),$B$66,IF($B$172-MAX(1163-1,$B$174)&gt;0,IF(B1563=0,0,IF(C1563=0,B1563/($B$172-MAX(1163-1,$B$174)),B1563*(C1563/12)/(1-(1+C1563/12)^(-($B$172-MAX(1163-1,$B$174)))))),"")),D1562)))+0.0000001&gt;=B1563*C1563/12,MIN(B1563*(1+C1563/12),IF(AND(1163&lt;=$B$174,1163&lt;=$B$173),B1563*C1563/12,IF(AND(1163=$B$173+1,AND(1163&gt;$B$173,$B$78="Refinance",ISNUMBER($B$80),$B$80&gt;=0,$B$80&lt;=1,ROUND($B$81*12,0)&gt;=1,$B$81&lt;=100,SUM($B$82)&gt;=0,SUM($B$82)&lt;=1,SUM($B$83)&gt;=0)),IF(B1563=0,0,IF(C1563=0,B1563/ROUND($B$81*12,0),B1563*(C1563/12)/(1-(1+C1563/12)^(-ROUND($B$81*12,0))))),IF(AND(NOT(AND(1163&gt;$B$173,$B$78="Refinance",ISNUMBER($B$80),$B$80&gt;=0,$B$80&lt;=1,ROUND($B$81*12,0)&gt;=1,$B$81&lt;=100,SUM($B$82)&gt;=0,SUM($B$82)&lt;=1,SUM($B$83)&gt;=0)),OR(1163=1,1163=$B$174+1,AND($B$175&gt;0,1163=$B$175+1))),IF(AND($B$170=1,$B$66&gt;0,OR($B$175=0,1163&lt;=$B$175)),$B$66,IF($B$172-MAX(1163-1,$B$174)&gt;0,IF(B1563=0,0,IF(C1563=0,B1563/($B$172-MAX(1163-1,$B$174)),B1563*(C1563/12)/(1-(1+C1563/12)^(-($B$172-MAX(1163-1,$B$174)))))),"")),D1562)))),""),""))</x:f>
        <x:v>0</x:v>
      </x:c>
      <x:c r="E1563" s="441" t="n">
        <x:f>IF(AND(1163=$B$173,ISNUMBER(D1563)),IF(MAX(0,B1563*(1+C1563/12)-D1563)&lt;MAX(0.0000001,$E$17*0.00000000001),0,MAX(0,B1563*(1+C1563/12)-D1563)),0)</x:f>
        <x:v>0</x:v>
      </x:c>
      <x:c r="F1563" s="441" t="n">
        <x:f>IF($B$78="Cash payoff",E1563,0)</x:f>
        <x:v>0</x:v>
      </x:c>
      <x:c r="G1563" s="441" t="n">
        <x:f>IF(AND(E1563&gt;0,AND($B$78="Refinance",ISNUMBER($B$80),$B$80&gt;=0,$B$80&lt;=1,ROUND($B$81*12,0)&gt;=1,$B$81&lt;=100,SUM($B$82)&gt;=0,SUM($B$82)&lt;=1,SUM($B$83)&gt;=0)),E1563*SUM($B$82)+SUM($B$83),0)</x:f>
        <x:v>0</x:v>
      </x:c>
      <x:c r="H1563" s="441" t="n">
        <x:f>IF(ISNUMBER(D1563),IF(MAX(0,B1563*(1+C1563/12)-D1563-F1563)&lt;MAX(0.0000001,$E$17*0.00000000001),0,MAX(0,B1563*(1+C1563/12)-D1563-F1563)),IF(AND($B$171=1,I1562=1),B1563,""))</x:f>
        <x:v>0</x:v>
      </x:c>
      <x:c r="I1563" s="445" t="n">
        <x:f>IF(OR(I1562=1,AND(E1563&gt;0,$B$78&lt;&gt;"Cash payoff",NOT(AND($B$78="Refinance",ISNUMBER($B$80),$B$80&gt;=0,$B$80&lt;=1,ROUND($B$81*12,0)&gt;=1,$B$81&lt;=100,SUM($B$82)&gt;=0,SUM($B$82)&lt;=1,SUM($B$83)&gt;=0))),AND(ISNUMBER(B1563),B1563&gt;0,$B$171=1,NOT(ISNUMBER(D1563)))),1,0)</x:f>
        <x:v>0</x:v>
      </x:c>
      <x:c r="J1563" s="441" t="n">
        <x:f>IF(ISNUMBER(L1562),L1562,"")</x:f>
        <x:v>0</x:v>
      </x:c>
      <x:c r="K1563" s="441" t="n">
        <x:f>IF(AND(ISNUMBER(J1563),J1563=0),0,IF(AND($B$176=1,ISNUMBER(J1563)),MIN(J1563*(1+$B$87/12),IF($B$86=0,0,IF($B$87=0,$B$86/ROUND($B$88*12,0),$B$86*($B$87/12)/(1-(1+$B$87/12)^(-ROUND($B$88*12,0)))))),""))</x:f>
        <x:v>0</x:v>
      </x:c>
      <x:c r="L1563" s="441" t="n">
        <x:f>IF(ISNUMBER(K1563),IF(MAX(0,J1563*(1+SUM($B$87)/12)-K1563)&lt;MAX(0.0000001,$B$86*0.00000000001),0,MAX(0,J1563*(1+SUM($B$87)/12)-K1563)),"")</x:f>
        <x:v>0</x:v>
      </x:c>
      <x:c r="M1563" s="441" t="n">
        <x:f>IF(AND(ISNUMBER(D1563),ISNUMBER(K1563)),D1563+K1563,"")</x:f>
        <x:v>0</x:v>
      </x:c>
      <x:c r="N1563" s="441" t="n">
        <x:f>IF(AND(ISNUMBER(H1563),ISNUMBER(L1563)),H1563+L1563,"")</x:f>
        <x:v>0</x:v>
      </x:c>
    </x:row>
    <x:row r="1564">
      <x:c r="A1564" t="n">
        <x:f>1164</x:f>
        <x:v>1164</x:v>
      </x:c>
      <x:c r="B1564" s="441" t="n">
        <x:f>IF(ISNUMBER(H1563),H1563,"")</x:f>
        <x:v>0</x:v>
      </x:c>
      <x:c r="C1564" s="443" t="n">
        <x:f>IF(ISNUMBER(B1564),IF(AND(1164&gt;$B$173,$B$78="Refinance",ISNUMBER($B$80),$B$80&gt;=0,$B$80&lt;=1,ROUND($B$81*12,0)&gt;=1,$B$81&lt;=100,SUM($B$82)&gt;=0,SUM($B$82)&lt;=1,SUM($B$83)&gt;=0),$B$80,IF(AND($B$175&gt;0,1164&gt;$B$175,ISNUMBER($B$75)),$B$75,$B$61)),"")</x:f>
        <x:v>0.0625</x:v>
      </x:c>
      <x:c r="D1564" s="441" t="n">
        <x:f>IF(AND(ISNUMBER(B1564),B1564=0),0,IF(AND($B$171=1,I1563=0,ISNUMBER(C1564),ISNUMBER(IF(AND(1164&lt;=$B$174,1164&lt;=$B$173),B1564*C1564/12,IF(AND(1164=$B$173+1,AND(1164&gt;$B$173,$B$78="Refinance",ISNUMBER($B$80),$B$80&gt;=0,$B$80&lt;=1,ROUND($B$81*12,0)&gt;=1,$B$81&lt;=100,SUM($B$82)&gt;=0,SUM($B$82)&lt;=1,SUM($B$83)&gt;=0)),IF(B1564=0,0,IF(C1564=0,B1564/ROUND($B$81*12,0),B1564*(C1564/12)/(1-(1+C1564/12)^(-ROUND($B$81*12,0))))),IF(AND(NOT(AND(1164&gt;$B$173,$B$78="Refinance",ISNUMBER($B$80),$B$80&gt;=0,$B$80&lt;=1,ROUND($B$81*12,0)&gt;=1,$B$81&lt;=100,SUM($B$82)&gt;=0,SUM($B$82)&lt;=1,SUM($B$83)&gt;=0)),OR(1164=1,1164=$B$174+1,AND($B$175&gt;0,1164=$B$175+1))),IF(AND($B$170=1,$B$66&gt;0,OR($B$175=0,1164&lt;=$B$175)),$B$66,IF($B$172-MAX(1164-1,$B$174)&gt;0,IF(B1564=0,0,IF(C1564=0,B1564/($B$172-MAX(1164-1,$B$174)),B1564*(C1564/12)/(1-(1+C1564/12)^(-($B$172-MAX(1164-1,$B$174)))))),"")),D1563))))),IF(IF(AND(1164&lt;=$B$174,1164&lt;=$B$173),B1564*C1564/12,IF(AND(1164=$B$173+1,AND(1164&gt;$B$173,$B$78="Refinance",ISNUMBER($B$80),$B$80&gt;=0,$B$80&lt;=1,ROUND($B$81*12,0)&gt;=1,$B$81&lt;=100,SUM($B$82)&gt;=0,SUM($B$82)&lt;=1,SUM($B$83)&gt;=0)),IF(B1564=0,0,IF(C1564=0,B1564/ROUND($B$81*12,0),B1564*(C1564/12)/(1-(1+C1564/12)^(-ROUND($B$81*12,0))))),IF(AND(NOT(AND(1164&gt;$B$173,$B$78="Refinance",ISNUMBER($B$80),$B$80&gt;=0,$B$80&lt;=1,ROUND($B$81*12,0)&gt;=1,$B$81&lt;=100,SUM($B$82)&gt;=0,SUM($B$82)&lt;=1,SUM($B$83)&gt;=0)),OR(1164=1,1164=$B$174+1,AND($B$175&gt;0,1164=$B$175+1))),IF(AND($B$170=1,$B$66&gt;0,OR($B$175=0,1164&lt;=$B$175)),$B$66,IF($B$172-MAX(1164-1,$B$174)&gt;0,IF(B1564=0,0,IF(C1564=0,B1564/($B$172-MAX(1164-1,$B$174)),B1564*(C1564/12)/(1-(1+C1564/12)^(-($B$172-MAX(1164-1,$B$174)))))),"")),D1563)))+0.0000001&gt;=B1564*C1564/12,MIN(B1564*(1+C1564/12),IF(AND(1164&lt;=$B$174,1164&lt;=$B$173),B1564*C1564/12,IF(AND(1164=$B$173+1,AND(1164&gt;$B$173,$B$78="Refinance",ISNUMBER($B$80),$B$80&gt;=0,$B$80&lt;=1,ROUND($B$81*12,0)&gt;=1,$B$81&lt;=100,SUM($B$82)&gt;=0,SUM($B$82)&lt;=1,SUM($B$83)&gt;=0)),IF(B1564=0,0,IF(C1564=0,B1564/ROUND($B$81*12,0),B1564*(C1564/12)/(1-(1+C1564/12)^(-ROUND($B$81*12,0))))),IF(AND(NOT(AND(1164&gt;$B$173,$B$78="Refinance",ISNUMBER($B$80),$B$80&gt;=0,$B$80&lt;=1,ROUND($B$81*12,0)&gt;=1,$B$81&lt;=100,SUM($B$82)&gt;=0,SUM($B$82)&lt;=1,SUM($B$83)&gt;=0)),OR(1164=1,1164=$B$174+1,AND($B$175&gt;0,1164=$B$175+1))),IF(AND($B$170=1,$B$66&gt;0,OR($B$175=0,1164&lt;=$B$175)),$B$66,IF($B$172-MAX(1164-1,$B$174)&gt;0,IF(B1564=0,0,IF(C1564=0,B1564/($B$172-MAX(1164-1,$B$174)),B1564*(C1564/12)/(1-(1+C1564/12)^(-($B$172-MAX(1164-1,$B$174)))))),"")),D1563)))),""),""))</x:f>
        <x:v>0</x:v>
      </x:c>
      <x:c r="E1564" s="441" t="n">
        <x:f>IF(AND(1164=$B$173,ISNUMBER(D1564)),IF(MAX(0,B1564*(1+C1564/12)-D1564)&lt;MAX(0.0000001,$E$17*0.00000000001),0,MAX(0,B1564*(1+C1564/12)-D1564)),0)</x:f>
        <x:v>0</x:v>
      </x:c>
      <x:c r="F1564" s="441" t="n">
        <x:f>IF($B$78="Cash payoff",E1564,0)</x:f>
        <x:v>0</x:v>
      </x:c>
      <x:c r="G1564" s="441" t="n">
        <x:f>IF(AND(E1564&gt;0,AND($B$78="Refinance",ISNUMBER($B$80),$B$80&gt;=0,$B$80&lt;=1,ROUND($B$81*12,0)&gt;=1,$B$81&lt;=100,SUM($B$82)&gt;=0,SUM($B$82)&lt;=1,SUM($B$83)&gt;=0)),E1564*SUM($B$82)+SUM($B$83),0)</x:f>
        <x:v>0</x:v>
      </x:c>
      <x:c r="H1564" s="441" t="n">
        <x:f>IF(ISNUMBER(D1564),IF(MAX(0,B1564*(1+C1564/12)-D1564-F1564)&lt;MAX(0.0000001,$E$17*0.00000000001),0,MAX(0,B1564*(1+C1564/12)-D1564-F1564)),IF(AND($B$171=1,I1563=1),B1564,""))</x:f>
        <x:v>0</x:v>
      </x:c>
      <x:c r="I1564" s="445" t="n">
        <x:f>IF(OR(I1563=1,AND(E1564&gt;0,$B$78&lt;&gt;"Cash payoff",NOT(AND($B$78="Refinance",ISNUMBER($B$80),$B$80&gt;=0,$B$80&lt;=1,ROUND($B$81*12,0)&gt;=1,$B$81&lt;=100,SUM($B$82)&gt;=0,SUM($B$82)&lt;=1,SUM($B$83)&gt;=0))),AND(ISNUMBER(B1564),B1564&gt;0,$B$171=1,NOT(ISNUMBER(D1564)))),1,0)</x:f>
        <x:v>0</x:v>
      </x:c>
      <x:c r="J1564" s="441" t="n">
        <x:f>IF(ISNUMBER(L1563),L1563,"")</x:f>
        <x:v>0</x:v>
      </x:c>
      <x:c r="K1564" s="441" t="n">
        <x:f>IF(AND(ISNUMBER(J1564),J1564=0),0,IF(AND($B$176=1,ISNUMBER(J1564)),MIN(J1564*(1+$B$87/12),IF($B$86=0,0,IF($B$87=0,$B$86/ROUND($B$88*12,0),$B$86*($B$87/12)/(1-(1+$B$87/12)^(-ROUND($B$88*12,0)))))),""))</x:f>
        <x:v>0</x:v>
      </x:c>
      <x:c r="L1564" s="441" t="n">
        <x:f>IF(ISNUMBER(K1564),IF(MAX(0,J1564*(1+SUM($B$87)/12)-K1564)&lt;MAX(0.0000001,$B$86*0.00000000001),0,MAX(0,J1564*(1+SUM($B$87)/12)-K1564)),"")</x:f>
        <x:v>0</x:v>
      </x:c>
      <x:c r="M1564" s="441" t="n">
        <x:f>IF(AND(ISNUMBER(D1564),ISNUMBER(K1564)),D1564+K1564,"")</x:f>
        <x:v>0</x:v>
      </x:c>
      <x:c r="N1564" s="441" t="n">
        <x:f>IF(AND(ISNUMBER(H1564),ISNUMBER(L1564)),H1564+L1564,"")</x:f>
        <x:v>0</x:v>
      </x:c>
    </x:row>
    <x:row r="1565">
      <x:c r="A1565" t="n">
        <x:f>1165</x:f>
        <x:v>1165</x:v>
      </x:c>
      <x:c r="B1565" s="441" t="n">
        <x:f>IF(ISNUMBER(H1564),H1564,"")</x:f>
        <x:v>0</x:v>
      </x:c>
      <x:c r="C1565" s="443" t="n">
        <x:f>IF(ISNUMBER(B1565),IF(AND(1165&gt;$B$173,$B$78="Refinance",ISNUMBER($B$80),$B$80&gt;=0,$B$80&lt;=1,ROUND($B$81*12,0)&gt;=1,$B$81&lt;=100,SUM($B$82)&gt;=0,SUM($B$82)&lt;=1,SUM($B$83)&gt;=0),$B$80,IF(AND($B$175&gt;0,1165&gt;$B$175,ISNUMBER($B$75)),$B$75,$B$61)),"")</x:f>
        <x:v>0.0625</x:v>
      </x:c>
      <x:c r="D1565" s="441" t="n">
        <x:f>IF(AND(ISNUMBER(B1565),B1565=0),0,IF(AND($B$171=1,I1564=0,ISNUMBER(C1565),ISNUMBER(IF(AND(1165&lt;=$B$174,1165&lt;=$B$173),B1565*C1565/12,IF(AND(1165=$B$173+1,AND(1165&gt;$B$173,$B$78="Refinance",ISNUMBER($B$80),$B$80&gt;=0,$B$80&lt;=1,ROUND($B$81*12,0)&gt;=1,$B$81&lt;=100,SUM($B$82)&gt;=0,SUM($B$82)&lt;=1,SUM($B$83)&gt;=0)),IF(B1565=0,0,IF(C1565=0,B1565/ROUND($B$81*12,0),B1565*(C1565/12)/(1-(1+C1565/12)^(-ROUND($B$81*12,0))))),IF(AND(NOT(AND(1165&gt;$B$173,$B$78="Refinance",ISNUMBER($B$80),$B$80&gt;=0,$B$80&lt;=1,ROUND($B$81*12,0)&gt;=1,$B$81&lt;=100,SUM($B$82)&gt;=0,SUM($B$82)&lt;=1,SUM($B$83)&gt;=0)),OR(1165=1,1165=$B$174+1,AND($B$175&gt;0,1165=$B$175+1))),IF(AND($B$170=1,$B$66&gt;0,OR($B$175=0,1165&lt;=$B$175)),$B$66,IF($B$172-MAX(1165-1,$B$174)&gt;0,IF(B1565=0,0,IF(C1565=0,B1565/($B$172-MAX(1165-1,$B$174)),B1565*(C1565/12)/(1-(1+C1565/12)^(-($B$172-MAX(1165-1,$B$174)))))),"")),D1564))))),IF(IF(AND(1165&lt;=$B$174,1165&lt;=$B$173),B1565*C1565/12,IF(AND(1165=$B$173+1,AND(1165&gt;$B$173,$B$78="Refinance",ISNUMBER($B$80),$B$80&gt;=0,$B$80&lt;=1,ROUND($B$81*12,0)&gt;=1,$B$81&lt;=100,SUM($B$82)&gt;=0,SUM($B$82)&lt;=1,SUM($B$83)&gt;=0)),IF(B1565=0,0,IF(C1565=0,B1565/ROUND($B$81*12,0),B1565*(C1565/12)/(1-(1+C1565/12)^(-ROUND($B$81*12,0))))),IF(AND(NOT(AND(1165&gt;$B$173,$B$78="Refinance",ISNUMBER($B$80),$B$80&gt;=0,$B$80&lt;=1,ROUND($B$81*12,0)&gt;=1,$B$81&lt;=100,SUM($B$82)&gt;=0,SUM($B$82)&lt;=1,SUM($B$83)&gt;=0)),OR(1165=1,1165=$B$174+1,AND($B$175&gt;0,1165=$B$175+1))),IF(AND($B$170=1,$B$66&gt;0,OR($B$175=0,1165&lt;=$B$175)),$B$66,IF($B$172-MAX(1165-1,$B$174)&gt;0,IF(B1565=0,0,IF(C1565=0,B1565/($B$172-MAX(1165-1,$B$174)),B1565*(C1565/12)/(1-(1+C1565/12)^(-($B$172-MAX(1165-1,$B$174)))))),"")),D1564)))+0.0000001&gt;=B1565*C1565/12,MIN(B1565*(1+C1565/12),IF(AND(1165&lt;=$B$174,1165&lt;=$B$173),B1565*C1565/12,IF(AND(1165=$B$173+1,AND(1165&gt;$B$173,$B$78="Refinance",ISNUMBER($B$80),$B$80&gt;=0,$B$80&lt;=1,ROUND($B$81*12,0)&gt;=1,$B$81&lt;=100,SUM($B$82)&gt;=0,SUM($B$82)&lt;=1,SUM($B$83)&gt;=0)),IF(B1565=0,0,IF(C1565=0,B1565/ROUND($B$81*12,0),B1565*(C1565/12)/(1-(1+C1565/12)^(-ROUND($B$81*12,0))))),IF(AND(NOT(AND(1165&gt;$B$173,$B$78="Refinance",ISNUMBER($B$80),$B$80&gt;=0,$B$80&lt;=1,ROUND($B$81*12,0)&gt;=1,$B$81&lt;=100,SUM($B$82)&gt;=0,SUM($B$82)&lt;=1,SUM($B$83)&gt;=0)),OR(1165=1,1165=$B$174+1,AND($B$175&gt;0,1165=$B$175+1))),IF(AND($B$170=1,$B$66&gt;0,OR($B$175=0,1165&lt;=$B$175)),$B$66,IF($B$172-MAX(1165-1,$B$174)&gt;0,IF(B1565=0,0,IF(C1565=0,B1565/($B$172-MAX(1165-1,$B$174)),B1565*(C1565/12)/(1-(1+C1565/12)^(-($B$172-MAX(1165-1,$B$174)))))),"")),D1564)))),""),""))</x:f>
        <x:v>0</x:v>
      </x:c>
      <x:c r="E1565" s="441" t="n">
        <x:f>IF(AND(1165=$B$173,ISNUMBER(D1565)),IF(MAX(0,B1565*(1+C1565/12)-D1565)&lt;MAX(0.0000001,$E$17*0.00000000001),0,MAX(0,B1565*(1+C1565/12)-D1565)),0)</x:f>
        <x:v>0</x:v>
      </x:c>
      <x:c r="F1565" s="441" t="n">
        <x:f>IF($B$78="Cash payoff",E1565,0)</x:f>
        <x:v>0</x:v>
      </x:c>
      <x:c r="G1565" s="441" t="n">
        <x:f>IF(AND(E1565&gt;0,AND($B$78="Refinance",ISNUMBER($B$80),$B$80&gt;=0,$B$80&lt;=1,ROUND($B$81*12,0)&gt;=1,$B$81&lt;=100,SUM($B$82)&gt;=0,SUM($B$82)&lt;=1,SUM($B$83)&gt;=0)),E1565*SUM($B$82)+SUM($B$83),0)</x:f>
        <x:v>0</x:v>
      </x:c>
      <x:c r="H1565" s="441" t="n">
        <x:f>IF(ISNUMBER(D1565),IF(MAX(0,B1565*(1+C1565/12)-D1565-F1565)&lt;MAX(0.0000001,$E$17*0.00000000001),0,MAX(0,B1565*(1+C1565/12)-D1565-F1565)),IF(AND($B$171=1,I1564=1),B1565,""))</x:f>
        <x:v>0</x:v>
      </x:c>
      <x:c r="I1565" s="445" t="n">
        <x:f>IF(OR(I1564=1,AND(E1565&gt;0,$B$78&lt;&gt;"Cash payoff",NOT(AND($B$78="Refinance",ISNUMBER($B$80),$B$80&gt;=0,$B$80&lt;=1,ROUND($B$81*12,0)&gt;=1,$B$81&lt;=100,SUM($B$82)&gt;=0,SUM($B$82)&lt;=1,SUM($B$83)&gt;=0))),AND(ISNUMBER(B1565),B1565&gt;0,$B$171=1,NOT(ISNUMBER(D1565)))),1,0)</x:f>
        <x:v>0</x:v>
      </x:c>
      <x:c r="J1565" s="441" t="n">
        <x:f>IF(ISNUMBER(L1564),L1564,"")</x:f>
        <x:v>0</x:v>
      </x:c>
      <x:c r="K1565" s="441" t="n">
        <x:f>IF(AND(ISNUMBER(J1565),J1565=0),0,IF(AND($B$176=1,ISNUMBER(J1565)),MIN(J1565*(1+$B$87/12),IF($B$86=0,0,IF($B$87=0,$B$86/ROUND($B$88*12,0),$B$86*($B$87/12)/(1-(1+$B$87/12)^(-ROUND($B$88*12,0)))))),""))</x:f>
        <x:v>0</x:v>
      </x:c>
      <x:c r="L1565" s="441" t="n">
        <x:f>IF(ISNUMBER(K1565),IF(MAX(0,J1565*(1+SUM($B$87)/12)-K1565)&lt;MAX(0.0000001,$B$86*0.00000000001),0,MAX(0,J1565*(1+SUM($B$87)/12)-K1565)),"")</x:f>
        <x:v>0</x:v>
      </x:c>
      <x:c r="M1565" s="441" t="n">
        <x:f>IF(AND(ISNUMBER(D1565),ISNUMBER(K1565)),D1565+K1565,"")</x:f>
        <x:v>0</x:v>
      </x:c>
      <x:c r="N1565" s="441" t="n">
        <x:f>IF(AND(ISNUMBER(H1565),ISNUMBER(L1565)),H1565+L1565,"")</x:f>
        <x:v>0</x:v>
      </x:c>
    </x:row>
    <x:row r="1566">
      <x:c r="A1566" t="n">
        <x:f>1166</x:f>
        <x:v>1166</x:v>
      </x:c>
      <x:c r="B1566" s="441" t="n">
        <x:f>IF(ISNUMBER(H1565),H1565,"")</x:f>
        <x:v>0</x:v>
      </x:c>
      <x:c r="C1566" s="443" t="n">
        <x:f>IF(ISNUMBER(B1566),IF(AND(1166&gt;$B$173,$B$78="Refinance",ISNUMBER($B$80),$B$80&gt;=0,$B$80&lt;=1,ROUND($B$81*12,0)&gt;=1,$B$81&lt;=100,SUM($B$82)&gt;=0,SUM($B$82)&lt;=1,SUM($B$83)&gt;=0),$B$80,IF(AND($B$175&gt;0,1166&gt;$B$175,ISNUMBER($B$75)),$B$75,$B$61)),"")</x:f>
        <x:v>0.0625</x:v>
      </x:c>
      <x:c r="D1566" s="441" t="n">
        <x:f>IF(AND(ISNUMBER(B1566),B1566=0),0,IF(AND($B$171=1,I1565=0,ISNUMBER(C1566),ISNUMBER(IF(AND(1166&lt;=$B$174,1166&lt;=$B$173),B1566*C1566/12,IF(AND(1166=$B$173+1,AND(1166&gt;$B$173,$B$78="Refinance",ISNUMBER($B$80),$B$80&gt;=0,$B$80&lt;=1,ROUND($B$81*12,0)&gt;=1,$B$81&lt;=100,SUM($B$82)&gt;=0,SUM($B$82)&lt;=1,SUM($B$83)&gt;=0)),IF(B1566=0,0,IF(C1566=0,B1566/ROUND($B$81*12,0),B1566*(C1566/12)/(1-(1+C1566/12)^(-ROUND($B$81*12,0))))),IF(AND(NOT(AND(1166&gt;$B$173,$B$78="Refinance",ISNUMBER($B$80),$B$80&gt;=0,$B$80&lt;=1,ROUND($B$81*12,0)&gt;=1,$B$81&lt;=100,SUM($B$82)&gt;=0,SUM($B$82)&lt;=1,SUM($B$83)&gt;=0)),OR(1166=1,1166=$B$174+1,AND($B$175&gt;0,1166=$B$175+1))),IF(AND($B$170=1,$B$66&gt;0,OR($B$175=0,1166&lt;=$B$175)),$B$66,IF($B$172-MAX(1166-1,$B$174)&gt;0,IF(B1566=0,0,IF(C1566=0,B1566/($B$172-MAX(1166-1,$B$174)),B1566*(C1566/12)/(1-(1+C1566/12)^(-($B$172-MAX(1166-1,$B$174)))))),"")),D1565))))),IF(IF(AND(1166&lt;=$B$174,1166&lt;=$B$173),B1566*C1566/12,IF(AND(1166=$B$173+1,AND(1166&gt;$B$173,$B$78="Refinance",ISNUMBER($B$80),$B$80&gt;=0,$B$80&lt;=1,ROUND($B$81*12,0)&gt;=1,$B$81&lt;=100,SUM($B$82)&gt;=0,SUM($B$82)&lt;=1,SUM($B$83)&gt;=0)),IF(B1566=0,0,IF(C1566=0,B1566/ROUND($B$81*12,0),B1566*(C1566/12)/(1-(1+C1566/12)^(-ROUND($B$81*12,0))))),IF(AND(NOT(AND(1166&gt;$B$173,$B$78="Refinance",ISNUMBER($B$80),$B$80&gt;=0,$B$80&lt;=1,ROUND($B$81*12,0)&gt;=1,$B$81&lt;=100,SUM($B$82)&gt;=0,SUM($B$82)&lt;=1,SUM($B$83)&gt;=0)),OR(1166=1,1166=$B$174+1,AND($B$175&gt;0,1166=$B$175+1))),IF(AND($B$170=1,$B$66&gt;0,OR($B$175=0,1166&lt;=$B$175)),$B$66,IF($B$172-MAX(1166-1,$B$174)&gt;0,IF(B1566=0,0,IF(C1566=0,B1566/($B$172-MAX(1166-1,$B$174)),B1566*(C1566/12)/(1-(1+C1566/12)^(-($B$172-MAX(1166-1,$B$174)))))),"")),D1565)))+0.0000001&gt;=B1566*C1566/12,MIN(B1566*(1+C1566/12),IF(AND(1166&lt;=$B$174,1166&lt;=$B$173),B1566*C1566/12,IF(AND(1166=$B$173+1,AND(1166&gt;$B$173,$B$78="Refinance",ISNUMBER($B$80),$B$80&gt;=0,$B$80&lt;=1,ROUND($B$81*12,0)&gt;=1,$B$81&lt;=100,SUM($B$82)&gt;=0,SUM($B$82)&lt;=1,SUM($B$83)&gt;=0)),IF(B1566=0,0,IF(C1566=0,B1566/ROUND($B$81*12,0),B1566*(C1566/12)/(1-(1+C1566/12)^(-ROUND($B$81*12,0))))),IF(AND(NOT(AND(1166&gt;$B$173,$B$78="Refinance",ISNUMBER($B$80),$B$80&gt;=0,$B$80&lt;=1,ROUND($B$81*12,0)&gt;=1,$B$81&lt;=100,SUM($B$82)&gt;=0,SUM($B$82)&lt;=1,SUM($B$83)&gt;=0)),OR(1166=1,1166=$B$174+1,AND($B$175&gt;0,1166=$B$175+1))),IF(AND($B$170=1,$B$66&gt;0,OR($B$175=0,1166&lt;=$B$175)),$B$66,IF($B$172-MAX(1166-1,$B$174)&gt;0,IF(B1566=0,0,IF(C1566=0,B1566/($B$172-MAX(1166-1,$B$174)),B1566*(C1566/12)/(1-(1+C1566/12)^(-($B$172-MAX(1166-1,$B$174)))))),"")),D1565)))),""),""))</x:f>
        <x:v>0</x:v>
      </x:c>
      <x:c r="E1566" s="441" t="n">
        <x:f>IF(AND(1166=$B$173,ISNUMBER(D1566)),IF(MAX(0,B1566*(1+C1566/12)-D1566)&lt;MAX(0.0000001,$E$17*0.00000000001),0,MAX(0,B1566*(1+C1566/12)-D1566)),0)</x:f>
        <x:v>0</x:v>
      </x:c>
      <x:c r="F1566" s="441" t="n">
        <x:f>IF($B$78="Cash payoff",E1566,0)</x:f>
        <x:v>0</x:v>
      </x:c>
      <x:c r="G1566" s="441" t="n">
        <x:f>IF(AND(E1566&gt;0,AND($B$78="Refinance",ISNUMBER($B$80),$B$80&gt;=0,$B$80&lt;=1,ROUND($B$81*12,0)&gt;=1,$B$81&lt;=100,SUM($B$82)&gt;=0,SUM($B$82)&lt;=1,SUM($B$83)&gt;=0)),E1566*SUM($B$82)+SUM($B$83),0)</x:f>
        <x:v>0</x:v>
      </x:c>
      <x:c r="H1566" s="441" t="n">
        <x:f>IF(ISNUMBER(D1566),IF(MAX(0,B1566*(1+C1566/12)-D1566-F1566)&lt;MAX(0.0000001,$E$17*0.00000000001),0,MAX(0,B1566*(1+C1566/12)-D1566-F1566)),IF(AND($B$171=1,I1565=1),B1566,""))</x:f>
        <x:v>0</x:v>
      </x:c>
      <x:c r="I1566" s="445" t="n">
        <x:f>IF(OR(I1565=1,AND(E1566&gt;0,$B$78&lt;&gt;"Cash payoff",NOT(AND($B$78="Refinance",ISNUMBER($B$80),$B$80&gt;=0,$B$80&lt;=1,ROUND($B$81*12,0)&gt;=1,$B$81&lt;=100,SUM($B$82)&gt;=0,SUM($B$82)&lt;=1,SUM($B$83)&gt;=0))),AND(ISNUMBER(B1566),B1566&gt;0,$B$171=1,NOT(ISNUMBER(D1566)))),1,0)</x:f>
        <x:v>0</x:v>
      </x:c>
      <x:c r="J1566" s="441" t="n">
        <x:f>IF(ISNUMBER(L1565),L1565,"")</x:f>
        <x:v>0</x:v>
      </x:c>
      <x:c r="K1566" s="441" t="n">
        <x:f>IF(AND(ISNUMBER(J1566),J1566=0),0,IF(AND($B$176=1,ISNUMBER(J1566)),MIN(J1566*(1+$B$87/12),IF($B$86=0,0,IF($B$87=0,$B$86/ROUND($B$88*12,0),$B$86*($B$87/12)/(1-(1+$B$87/12)^(-ROUND($B$88*12,0)))))),""))</x:f>
        <x:v>0</x:v>
      </x:c>
      <x:c r="L1566" s="441" t="n">
        <x:f>IF(ISNUMBER(K1566),IF(MAX(0,J1566*(1+SUM($B$87)/12)-K1566)&lt;MAX(0.0000001,$B$86*0.00000000001),0,MAX(0,J1566*(1+SUM($B$87)/12)-K1566)),"")</x:f>
        <x:v>0</x:v>
      </x:c>
      <x:c r="M1566" s="441" t="n">
        <x:f>IF(AND(ISNUMBER(D1566),ISNUMBER(K1566)),D1566+K1566,"")</x:f>
        <x:v>0</x:v>
      </x:c>
      <x:c r="N1566" s="441" t="n">
        <x:f>IF(AND(ISNUMBER(H1566),ISNUMBER(L1566)),H1566+L1566,"")</x:f>
        <x:v>0</x:v>
      </x:c>
    </x:row>
    <x:row r="1567">
      <x:c r="A1567" t="n">
        <x:f>1167</x:f>
        <x:v>1167</x:v>
      </x:c>
      <x:c r="B1567" s="441" t="n">
        <x:f>IF(ISNUMBER(H1566),H1566,"")</x:f>
        <x:v>0</x:v>
      </x:c>
      <x:c r="C1567" s="443" t="n">
        <x:f>IF(ISNUMBER(B1567),IF(AND(1167&gt;$B$173,$B$78="Refinance",ISNUMBER($B$80),$B$80&gt;=0,$B$80&lt;=1,ROUND($B$81*12,0)&gt;=1,$B$81&lt;=100,SUM($B$82)&gt;=0,SUM($B$82)&lt;=1,SUM($B$83)&gt;=0),$B$80,IF(AND($B$175&gt;0,1167&gt;$B$175,ISNUMBER($B$75)),$B$75,$B$61)),"")</x:f>
        <x:v>0.0625</x:v>
      </x:c>
      <x:c r="D1567" s="441" t="n">
        <x:f>IF(AND(ISNUMBER(B1567),B1567=0),0,IF(AND($B$171=1,I1566=0,ISNUMBER(C1567),ISNUMBER(IF(AND(1167&lt;=$B$174,1167&lt;=$B$173),B1567*C1567/12,IF(AND(1167=$B$173+1,AND(1167&gt;$B$173,$B$78="Refinance",ISNUMBER($B$80),$B$80&gt;=0,$B$80&lt;=1,ROUND($B$81*12,0)&gt;=1,$B$81&lt;=100,SUM($B$82)&gt;=0,SUM($B$82)&lt;=1,SUM($B$83)&gt;=0)),IF(B1567=0,0,IF(C1567=0,B1567/ROUND($B$81*12,0),B1567*(C1567/12)/(1-(1+C1567/12)^(-ROUND($B$81*12,0))))),IF(AND(NOT(AND(1167&gt;$B$173,$B$78="Refinance",ISNUMBER($B$80),$B$80&gt;=0,$B$80&lt;=1,ROUND($B$81*12,0)&gt;=1,$B$81&lt;=100,SUM($B$82)&gt;=0,SUM($B$82)&lt;=1,SUM($B$83)&gt;=0)),OR(1167=1,1167=$B$174+1,AND($B$175&gt;0,1167=$B$175+1))),IF(AND($B$170=1,$B$66&gt;0,OR($B$175=0,1167&lt;=$B$175)),$B$66,IF($B$172-MAX(1167-1,$B$174)&gt;0,IF(B1567=0,0,IF(C1567=0,B1567/($B$172-MAX(1167-1,$B$174)),B1567*(C1567/12)/(1-(1+C1567/12)^(-($B$172-MAX(1167-1,$B$174)))))),"")),D1566))))),IF(IF(AND(1167&lt;=$B$174,1167&lt;=$B$173),B1567*C1567/12,IF(AND(1167=$B$173+1,AND(1167&gt;$B$173,$B$78="Refinance",ISNUMBER($B$80),$B$80&gt;=0,$B$80&lt;=1,ROUND($B$81*12,0)&gt;=1,$B$81&lt;=100,SUM($B$82)&gt;=0,SUM($B$82)&lt;=1,SUM($B$83)&gt;=0)),IF(B1567=0,0,IF(C1567=0,B1567/ROUND($B$81*12,0),B1567*(C1567/12)/(1-(1+C1567/12)^(-ROUND($B$81*12,0))))),IF(AND(NOT(AND(1167&gt;$B$173,$B$78="Refinance",ISNUMBER($B$80),$B$80&gt;=0,$B$80&lt;=1,ROUND($B$81*12,0)&gt;=1,$B$81&lt;=100,SUM($B$82)&gt;=0,SUM($B$82)&lt;=1,SUM($B$83)&gt;=0)),OR(1167=1,1167=$B$174+1,AND($B$175&gt;0,1167=$B$175+1))),IF(AND($B$170=1,$B$66&gt;0,OR($B$175=0,1167&lt;=$B$175)),$B$66,IF($B$172-MAX(1167-1,$B$174)&gt;0,IF(B1567=0,0,IF(C1567=0,B1567/($B$172-MAX(1167-1,$B$174)),B1567*(C1567/12)/(1-(1+C1567/12)^(-($B$172-MAX(1167-1,$B$174)))))),"")),D1566)))+0.0000001&gt;=B1567*C1567/12,MIN(B1567*(1+C1567/12),IF(AND(1167&lt;=$B$174,1167&lt;=$B$173),B1567*C1567/12,IF(AND(1167=$B$173+1,AND(1167&gt;$B$173,$B$78="Refinance",ISNUMBER($B$80),$B$80&gt;=0,$B$80&lt;=1,ROUND($B$81*12,0)&gt;=1,$B$81&lt;=100,SUM($B$82)&gt;=0,SUM($B$82)&lt;=1,SUM($B$83)&gt;=0)),IF(B1567=0,0,IF(C1567=0,B1567/ROUND($B$81*12,0),B1567*(C1567/12)/(1-(1+C1567/12)^(-ROUND($B$81*12,0))))),IF(AND(NOT(AND(1167&gt;$B$173,$B$78="Refinance",ISNUMBER($B$80),$B$80&gt;=0,$B$80&lt;=1,ROUND($B$81*12,0)&gt;=1,$B$81&lt;=100,SUM($B$82)&gt;=0,SUM($B$82)&lt;=1,SUM($B$83)&gt;=0)),OR(1167=1,1167=$B$174+1,AND($B$175&gt;0,1167=$B$175+1))),IF(AND($B$170=1,$B$66&gt;0,OR($B$175=0,1167&lt;=$B$175)),$B$66,IF($B$172-MAX(1167-1,$B$174)&gt;0,IF(B1567=0,0,IF(C1567=0,B1567/($B$172-MAX(1167-1,$B$174)),B1567*(C1567/12)/(1-(1+C1567/12)^(-($B$172-MAX(1167-1,$B$174)))))),"")),D1566)))),""),""))</x:f>
        <x:v>0</x:v>
      </x:c>
      <x:c r="E1567" s="441" t="n">
        <x:f>IF(AND(1167=$B$173,ISNUMBER(D1567)),IF(MAX(0,B1567*(1+C1567/12)-D1567)&lt;MAX(0.0000001,$E$17*0.00000000001),0,MAX(0,B1567*(1+C1567/12)-D1567)),0)</x:f>
        <x:v>0</x:v>
      </x:c>
      <x:c r="F1567" s="441" t="n">
        <x:f>IF($B$78="Cash payoff",E1567,0)</x:f>
        <x:v>0</x:v>
      </x:c>
      <x:c r="G1567" s="441" t="n">
        <x:f>IF(AND(E1567&gt;0,AND($B$78="Refinance",ISNUMBER($B$80),$B$80&gt;=0,$B$80&lt;=1,ROUND($B$81*12,0)&gt;=1,$B$81&lt;=100,SUM($B$82)&gt;=0,SUM($B$82)&lt;=1,SUM($B$83)&gt;=0)),E1567*SUM($B$82)+SUM($B$83),0)</x:f>
        <x:v>0</x:v>
      </x:c>
      <x:c r="H1567" s="441" t="n">
        <x:f>IF(ISNUMBER(D1567),IF(MAX(0,B1567*(1+C1567/12)-D1567-F1567)&lt;MAX(0.0000001,$E$17*0.00000000001),0,MAX(0,B1567*(1+C1567/12)-D1567-F1567)),IF(AND($B$171=1,I1566=1),B1567,""))</x:f>
        <x:v>0</x:v>
      </x:c>
      <x:c r="I1567" s="445" t="n">
        <x:f>IF(OR(I1566=1,AND(E1567&gt;0,$B$78&lt;&gt;"Cash payoff",NOT(AND($B$78="Refinance",ISNUMBER($B$80),$B$80&gt;=0,$B$80&lt;=1,ROUND($B$81*12,0)&gt;=1,$B$81&lt;=100,SUM($B$82)&gt;=0,SUM($B$82)&lt;=1,SUM($B$83)&gt;=0))),AND(ISNUMBER(B1567),B1567&gt;0,$B$171=1,NOT(ISNUMBER(D1567)))),1,0)</x:f>
        <x:v>0</x:v>
      </x:c>
      <x:c r="J1567" s="441" t="n">
        <x:f>IF(ISNUMBER(L1566),L1566,"")</x:f>
        <x:v>0</x:v>
      </x:c>
      <x:c r="K1567" s="441" t="n">
        <x:f>IF(AND(ISNUMBER(J1567),J1567=0),0,IF(AND($B$176=1,ISNUMBER(J1567)),MIN(J1567*(1+$B$87/12),IF($B$86=0,0,IF($B$87=0,$B$86/ROUND($B$88*12,0),$B$86*($B$87/12)/(1-(1+$B$87/12)^(-ROUND($B$88*12,0)))))),""))</x:f>
        <x:v>0</x:v>
      </x:c>
      <x:c r="L1567" s="441" t="n">
        <x:f>IF(ISNUMBER(K1567),IF(MAX(0,J1567*(1+SUM($B$87)/12)-K1567)&lt;MAX(0.0000001,$B$86*0.00000000001),0,MAX(0,J1567*(1+SUM($B$87)/12)-K1567)),"")</x:f>
        <x:v>0</x:v>
      </x:c>
      <x:c r="M1567" s="441" t="n">
        <x:f>IF(AND(ISNUMBER(D1567),ISNUMBER(K1567)),D1567+K1567,"")</x:f>
        <x:v>0</x:v>
      </x:c>
      <x:c r="N1567" s="441" t="n">
        <x:f>IF(AND(ISNUMBER(H1567),ISNUMBER(L1567)),H1567+L1567,"")</x:f>
        <x:v>0</x:v>
      </x:c>
    </x:row>
    <x:row r="1568">
      <x:c r="A1568" t="n">
        <x:f>1168</x:f>
        <x:v>1168</x:v>
      </x:c>
      <x:c r="B1568" s="441" t="n">
        <x:f>IF(ISNUMBER(H1567),H1567,"")</x:f>
        <x:v>0</x:v>
      </x:c>
      <x:c r="C1568" s="443" t="n">
        <x:f>IF(ISNUMBER(B1568),IF(AND(1168&gt;$B$173,$B$78="Refinance",ISNUMBER($B$80),$B$80&gt;=0,$B$80&lt;=1,ROUND($B$81*12,0)&gt;=1,$B$81&lt;=100,SUM($B$82)&gt;=0,SUM($B$82)&lt;=1,SUM($B$83)&gt;=0),$B$80,IF(AND($B$175&gt;0,1168&gt;$B$175,ISNUMBER($B$75)),$B$75,$B$61)),"")</x:f>
        <x:v>0.0625</x:v>
      </x:c>
      <x:c r="D1568" s="441" t="n">
        <x:f>IF(AND(ISNUMBER(B1568),B1568=0),0,IF(AND($B$171=1,I1567=0,ISNUMBER(C1568),ISNUMBER(IF(AND(1168&lt;=$B$174,1168&lt;=$B$173),B1568*C1568/12,IF(AND(1168=$B$173+1,AND(1168&gt;$B$173,$B$78="Refinance",ISNUMBER($B$80),$B$80&gt;=0,$B$80&lt;=1,ROUND($B$81*12,0)&gt;=1,$B$81&lt;=100,SUM($B$82)&gt;=0,SUM($B$82)&lt;=1,SUM($B$83)&gt;=0)),IF(B1568=0,0,IF(C1568=0,B1568/ROUND($B$81*12,0),B1568*(C1568/12)/(1-(1+C1568/12)^(-ROUND($B$81*12,0))))),IF(AND(NOT(AND(1168&gt;$B$173,$B$78="Refinance",ISNUMBER($B$80),$B$80&gt;=0,$B$80&lt;=1,ROUND($B$81*12,0)&gt;=1,$B$81&lt;=100,SUM($B$82)&gt;=0,SUM($B$82)&lt;=1,SUM($B$83)&gt;=0)),OR(1168=1,1168=$B$174+1,AND($B$175&gt;0,1168=$B$175+1))),IF(AND($B$170=1,$B$66&gt;0,OR($B$175=0,1168&lt;=$B$175)),$B$66,IF($B$172-MAX(1168-1,$B$174)&gt;0,IF(B1568=0,0,IF(C1568=0,B1568/($B$172-MAX(1168-1,$B$174)),B1568*(C1568/12)/(1-(1+C1568/12)^(-($B$172-MAX(1168-1,$B$174)))))),"")),D1567))))),IF(IF(AND(1168&lt;=$B$174,1168&lt;=$B$173),B1568*C1568/12,IF(AND(1168=$B$173+1,AND(1168&gt;$B$173,$B$78="Refinance",ISNUMBER($B$80),$B$80&gt;=0,$B$80&lt;=1,ROUND($B$81*12,0)&gt;=1,$B$81&lt;=100,SUM($B$82)&gt;=0,SUM($B$82)&lt;=1,SUM($B$83)&gt;=0)),IF(B1568=0,0,IF(C1568=0,B1568/ROUND($B$81*12,0),B1568*(C1568/12)/(1-(1+C1568/12)^(-ROUND($B$81*12,0))))),IF(AND(NOT(AND(1168&gt;$B$173,$B$78="Refinance",ISNUMBER($B$80),$B$80&gt;=0,$B$80&lt;=1,ROUND($B$81*12,0)&gt;=1,$B$81&lt;=100,SUM($B$82)&gt;=0,SUM($B$82)&lt;=1,SUM($B$83)&gt;=0)),OR(1168=1,1168=$B$174+1,AND($B$175&gt;0,1168=$B$175+1))),IF(AND($B$170=1,$B$66&gt;0,OR($B$175=0,1168&lt;=$B$175)),$B$66,IF($B$172-MAX(1168-1,$B$174)&gt;0,IF(B1568=0,0,IF(C1568=0,B1568/($B$172-MAX(1168-1,$B$174)),B1568*(C1568/12)/(1-(1+C1568/12)^(-($B$172-MAX(1168-1,$B$174)))))),"")),D1567)))+0.0000001&gt;=B1568*C1568/12,MIN(B1568*(1+C1568/12),IF(AND(1168&lt;=$B$174,1168&lt;=$B$173),B1568*C1568/12,IF(AND(1168=$B$173+1,AND(1168&gt;$B$173,$B$78="Refinance",ISNUMBER($B$80),$B$80&gt;=0,$B$80&lt;=1,ROUND($B$81*12,0)&gt;=1,$B$81&lt;=100,SUM($B$82)&gt;=0,SUM($B$82)&lt;=1,SUM($B$83)&gt;=0)),IF(B1568=0,0,IF(C1568=0,B1568/ROUND($B$81*12,0),B1568*(C1568/12)/(1-(1+C1568/12)^(-ROUND($B$81*12,0))))),IF(AND(NOT(AND(1168&gt;$B$173,$B$78="Refinance",ISNUMBER($B$80),$B$80&gt;=0,$B$80&lt;=1,ROUND($B$81*12,0)&gt;=1,$B$81&lt;=100,SUM($B$82)&gt;=0,SUM($B$82)&lt;=1,SUM($B$83)&gt;=0)),OR(1168=1,1168=$B$174+1,AND($B$175&gt;0,1168=$B$175+1))),IF(AND($B$170=1,$B$66&gt;0,OR($B$175=0,1168&lt;=$B$175)),$B$66,IF($B$172-MAX(1168-1,$B$174)&gt;0,IF(B1568=0,0,IF(C1568=0,B1568/($B$172-MAX(1168-1,$B$174)),B1568*(C1568/12)/(1-(1+C1568/12)^(-($B$172-MAX(1168-1,$B$174)))))),"")),D1567)))),""),""))</x:f>
        <x:v>0</x:v>
      </x:c>
      <x:c r="E1568" s="441" t="n">
        <x:f>IF(AND(1168=$B$173,ISNUMBER(D1568)),IF(MAX(0,B1568*(1+C1568/12)-D1568)&lt;MAX(0.0000001,$E$17*0.00000000001),0,MAX(0,B1568*(1+C1568/12)-D1568)),0)</x:f>
        <x:v>0</x:v>
      </x:c>
      <x:c r="F1568" s="441" t="n">
        <x:f>IF($B$78="Cash payoff",E1568,0)</x:f>
        <x:v>0</x:v>
      </x:c>
      <x:c r="G1568" s="441" t="n">
        <x:f>IF(AND(E1568&gt;0,AND($B$78="Refinance",ISNUMBER($B$80),$B$80&gt;=0,$B$80&lt;=1,ROUND($B$81*12,0)&gt;=1,$B$81&lt;=100,SUM($B$82)&gt;=0,SUM($B$82)&lt;=1,SUM($B$83)&gt;=0)),E1568*SUM($B$82)+SUM($B$83),0)</x:f>
        <x:v>0</x:v>
      </x:c>
      <x:c r="H1568" s="441" t="n">
        <x:f>IF(ISNUMBER(D1568),IF(MAX(0,B1568*(1+C1568/12)-D1568-F1568)&lt;MAX(0.0000001,$E$17*0.00000000001),0,MAX(0,B1568*(1+C1568/12)-D1568-F1568)),IF(AND($B$171=1,I1567=1),B1568,""))</x:f>
        <x:v>0</x:v>
      </x:c>
      <x:c r="I1568" s="445" t="n">
        <x:f>IF(OR(I1567=1,AND(E1568&gt;0,$B$78&lt;&gt;"Cash payoff",NOT(AND($B$78="Refinance",ISNUMBER($B$80),$B$80&gt;=0,$B$80&lt;=1,ROUND($B$81*12,0)&gt;=1,$B$81&lt;=100,SUM($B$82)&gt;=0,SUM($B$82)&lt;=1,SUM($B$83)&gt;=0))),AND(ISNUMBER(B1568),B1568&gt;0,$B$171=1,NOT(ISNUMBER(D1568)))),1,0)</x:f>
        <x:v>0</x:v>
      </x:c>
      <x:c r="J1568" s="441" t="n">
        <x:f>IF(ISNUMBER(L1567),L1567,"")</x:f>
        <x:v>0</x:v>
      </x:c>
      <x:c r="K1568" s="441" t="n">
        <x:f>IF(AND(ISNUMBER(J1568),J1568=0),0,IF(AND($B$176=1,ISNUMBER(J1568)),MIN(J1568*(1+$B$87/12),IF($B$86=0,0,IF($B$87=0,$B$86/ROUND($B$88*12,0),$B$86*($B$87/12)/(1-(1+$B$87/12)^(-ROUND($B$88*12,0)))))),""))</x:f>
        <x:v>0</x:v>
      </x:c>
      <x:c r="L1568" s="441" t="n">
        <x:f>IF(ISNUMBER(K1568),IF(MAX(0,J1568*(1+SUM($B$87)/12)-K1568)&lt;MAX(0.0000001,$B$86*0.00000000001),0,MAX(0,J1568*(1+SUM($B$87)/12)-K1568)),"")</x:f>
        <x:v>0</x:v>
      </x:c>
      <x:c r="M1568" s="441" t="n">
        <x:f>IF(AND(ISNUMBER(D1568),ISNUMBER(K1568)),D1568+K1568,"")</x:f>
        <x:v>0</x:v>
      </x:c>
      <x:c r="N1568" s="441" t="n">
        <x:f>IF(AND(ISNUMBER(H1568),ISNUMBER(L1568)),H1568+L1568,"")</x:f>
        <x:v>0</x:v>
      </x:c>
    </x:row>
    <x:row r="1569">
      <x:c r="A1569" t="n">
        <x:f>1169</x:f>
        <x:v>1169</x:v>
      </x:c>
      <x:c r="B1569" s="441" t="n">
        <x:f>IF(ISNUMBER(H1568),H1568,"")</x:f>
        <x:v>0</x:v>
      </x:c>
      <x:c r="C1569" s="443" t="n">
        <x:f>IF(ISNUMBER(B1569),IF(AND(1169&gt;$B$173,$B$78="Refinance",ISNUMBER($B$80),$B$80&gt;=0,$B$80&lt;=1,ROUND($B$81*12,0)&gt;=1,$B$81&lt;=100,SUM($B$82)&gt;=0,SUM($B$82)&lt;=1,SUM($B$83)&gt;=0),$B$80,IF(AND($B$175&gt;0,1169&gt;$B$175,ISNUMBER($B$75)),$B$75,$B$61)),"")</x:f>
        <x:v>0.0625</x:v>
      </x:c>
      <x:c r="D1569" s="441" t="n">
        <x:f>IF(AND(ISNUMBER(B1569),B1569=0),0,IF(AND($B$171=1,I1568=0,ISNUMBER(C1569),ISNUMBER(IF(AND(1169&lt;=$B$174,1169&lt;=$B$173),B1569*C1569/12,IF(AND(1169=$B$173+1,AND(1169&gt;$B$173,$B$78="Refinance",ISNUMBER($B$80),$B$80&gt;=0,$B$80&lt;=1,ROUND($B$81*12,0)&gt;=1,$B$81&lt;=100,SUM($B$82)&gt;=0,SUM($B$82)&lt;=1,SUM($B$83)&gt;=0)),IF(B1569=0,0,IF(C1569=0,B1569/ROUND($B$81*12,0),B1569*(C1569/12)/(1-(1+C1569/12)^(-ROUND($B$81*12,0))))),IF(AND(NOT(AND(1169&gt;$B$173,$B$78="Refinance",ISNUMBER($B$80),$B$80&gt;=0,$B$80&lt;=1,ROUND($B$81*12,0)&gt;=1,$B$81&lt;=100,SUM($B$82)&gt;=0,SUM($B$82)&lt;=1,SUM($B$83)&gt;=0)),OR(1169=1,1169=$B$174+1,AND($B$175&gt;0,1169=$B$175+1))),IF(AND($B$170=1,$B$66&gt;0,OR($B$175=0,1169&lt;=$B$175)),$B$66,IF($B$172-MAX(1169-1,$B$174)&gt;0,IF(B1569=0,0,IF(C1569=0,B1569/($B$172-MAX(1169-1,$B$174)),B1569*(C1569/12)/(1-(1+C1569/12)^(-($B$172-MAX(1169-1,$B$174)))))),"")),D1568))))),IF(IF(AND(1169&lt;=$B$174,1169&lt;=$B$173),B1569*C1569/12,IF(AND(1169=$B$173+1,AND(1169&gt;$B$173,$B$78="Refinance",ISNUMBER($B$80),$B$80&gt;=0,$B$80&lt;=1,ROUND($B$81*12,0)&gt;=1,$B$81&lt;=100,SUM($B$82)&gt;=0,SUM($B$82)&lt;=1,SUM($B$83)&gt;=0)),IF(B1569=0,0,IF(C1569=0,B1569/ROUND($B$81*12,0),B1569*(C1569/12)/(1-(1+C1569/12)^(-ROUND($B$81*12,0))))),IF(AND(NOT(AND(1169&gt;$B$173,$B$78="Refinance",ISNUMBER($B$80),$B$80&gt;=0,$B$80&lt;=1,ROUND($B$81*12,0)&gt;=1,$B$81&lt;=100,SUM($B$82)&gt;=0,SUM($B$82)&lt;=1,SUM($B$83)&gt;=0)),OR(1169=1,1169=$B$174+1,AND($B$175&gt;0,1169=$B$175+1))),IF(AND($B$170=1,$B$66&gt;0,OR($B$175=0,1169&lt;=$B$175)),$B$66,IF($B$172-MAX(1169-1,$B$174)&gt;0,IF(B1569=0,0,IF(C1569=0,B1569/($B$172-MAX(1169-1,$B$174)),B1569*(C1569/12)/(1-(1+C1569/12)^(-($B$172-MAX(1169-1,$B$174)))))),"")),D1568)))+0.0000001&gt;=B1569*C1569/12,MIN(B1569*(1+C1569/12),IF(AND(1169&lt;=$B$174,1169&lt;=$B$173),B1569*C1569/12,IF(AND(1169=$B$173+1,AND(1169&gt;$B$173,$B$78="Refinance",ISNUMBER($B$80),$B$80&gt;=0,$B$80&lt;=1,ROUND($B$81*12,0)&gt;=1,$B$81&lt;=100,SUM($B$82)&gt;=0,SUM($B$82)&lt;=1,SUM($B$83)&gt;=0)),IF(B1569=0,0,IF(C1569=0,B1569/ROUND($B$81*12,0),B1569*(C1569/12)/(1-(1+C1569/12)^(-ROUND($B$81*12,0))))),IF(AND(NOT(AND(1169&gt;$B$173,$B$78="Refinance",ISNUMBER($B$80),$B$80&gt;=0,$B$80&lt;=1,ROUND($B$81*12,0)&gt;=1,$B$81&lt;=100,SUM($B$82)&gt;=0,SUM($B$82)&lt;=1,SUM($B$83)&gt;=0)),OR(1169=1,1169=$B$174+1,AND($B$175&gt;0,1169=$B$175+1))),IF(AND($B$170=1,$B$66&gt;0,OR($B$175=0,1169&lt;=$B$175)),$B$66,IF($B$172-MAX(1169-1,$B$174)&gt;0,IF(B1569=0,0,IF(C1569=0,B1569/($B$172-MAX(1169-1,$B$174)),B1569*(C1569/12)/(1-(1+C1569/12)^(-($B$172-MAX(1169-1,$B$174)))))),"")),D1568)))),""),""))</x:f>
        <x:v>0</x:v>
      </x:c>
      <x:c r="E1569" s="441" t="n">
        <x:f>IF(AND(1169=$B$173,ISNUMBER(D1569)),IF(MAX(0,B1569*(1+C1569/12)-D1569)&lt;MAX(0.0000001,$E$17*0.00000000001),0,MAX(0,B1569*(1+C1569/12)-D1569)),0)</x:f>
        <x:v>0</x:v>
      </x:c>
      <x:c r="F1569" s="441" t="n">
        <x:f>IF($B$78="Cash payoff",E1569,0)</x:f>
        <x:v>0</x:v>
      </x:c>
      <x:c r="G1569" s="441" t="n">
        <x:f>IF(AND(E1569&gt;0,AND($B$78="Refinance",ISNUMBER($B$80),$B$80&gt;=0,$B$80&lt;=1,ROUND($B$81*12,0)&gt;=1,$B$81&lt;=100,SUM($B$82)&gt;=0,SUM($B$82)&lt;=1,SUM($B$83)&gt;=0)),E1569*SUM($B$82)+SUM($B$83),0)</x:f>
        <x:v>0</x:v>
      </x:c>
      <x:c r="H1569" s="441" t="n">
        <x:f>IF(ISNUMBER(D1569),IF(MAX(0,B1569*(1+C1569/12)-D1569-F1569)&lt;MAX(0.0000001,$E$17*0.00000000001),0,MAX(0,B1569*(1+C1569/12)-D1569-F1569)),IF(AND($B$171=1,I1568=1),B1569,""))</x:f>
        <x:v>0</x:v>
      </x:c>
      <x:c r="I1569" s="445" t="n">
        <x:f>IF(OR(I1568=1,AND(E1569&gt;0,$B$78&lt;&gt;"Cash payoff",NOT(AND($B$78="Refinance",ISNUMBER($B$80),$B$80&gt;=0,$B$80&lt;=1,ROUND($B$81*12,0)&gt;=1,$B$81&lt;=100,SUM($B$82)&gt;=0,SUM($B$82)&lt;=1,SUM($B$83)&gt;=0))),AND(ISNUMBER(B1569),B1569&gt;0,$B$171=1,NOT(ISNUMBER(D1569)))),1,0)</x:f>
        <x:v>0</x:v>
      </x:c>
      <x:c r="J1569" s="441" t="n">
        <x:f>IF(ISNUMBER(L1568),L1568,"")</x:f>
        <x:v>0</x:v>
      </x:c>
      <x:c r="K1569" s="441" t="n">
        <x:f>IF(AND(ISNUMBER(J1569),J1569=0),0,IF(AND($B$176=1,ISNUMBER(J1569)),MIN(J1569*(1+$B$87/12),IF($B$86=0,0,IF($B$87=0,$B$86/ROUND($B$88*12,0),$B$86*($B$87/12)/(1-(1+$B$87/12)^(-ROUND($B$88*12,0)))))),""))</x:f>
        <x:v>0</x:v>
      </x:c>
      <x:c r="L1569" s="441" t="n">
        <x:f>IF(ISNUMBER(K1569),IF(MAX(0,J1569*(1+SUM($B$87)/12)-K1569)&lt;MAX(0.0000001,$B$86*0.00000000001),0,MAX(0,J1569*(1+SUM($B$87)/12)-K1569)),"")</x:f>
        <x:v>0</x:v>
      </x:c>
      <x:c r="M1569" s="441" t="n">
        <x:f>IF(AND(ISNUMBER(D1569),ISNUMBER(K1569)),D1569+K1569,"")</x:f>
        <x:v>0</x:v>
      </x:c>
      <x:c r="N1569" s="441" t="n">
        <x:f>IF(AND(ISNUMBER(H1569),ISNUMBER(L1569)),H1569+L1569,"")</x:f>
        <x:v>0</x:v>
      </x:c>
    </x:row>
    <x:row r="1570">
      <x:c r="A1570" t="n">
        <x:f>1170</x:f>
        <x:v>1170</x:v>
      </x:c>
      <x:c r="B1570" s="441" t="n">
        <x:f>IF(ISNUMBER(H1569),H1569,"")</x:f>
        <x:v>0</x:v>
      </x:c>
      <x:c r="C1570" s="443" t="n">
        <x:f>IF(ISNUMBER(B1570),IF(AND(1170&gt;$B$173,$B$78="Refinance",ISNUMBER($B$80),$B$80&gt;=0,$B$80&lt;=1,ROUND($B$81*12,0)&gt;=1,$B$81&lt;=100,SUM($B$82)&gt;=0,SUM($B$82)&lt;=1,SUM($B$83)&gt;=0),$B$80,IF(AND($B$175&gt;0,1170&gt;$B$175,ISNUMBER($B$75)),$B$75,$B$61)),"")</x:f>
        <x:v>0.0625</x:v>
      </x:c>
      <x:c r="D1570" s="441" t="n">
        <x:f>IF(AND(ISNUMBER(B1570),B1570=0),0,IF(AND($B$171=1,I1569=0,ISNUMBER(C1570),ISNUMBER(IF(AND(1170&lt;=$B$174,1170&lt;=$B$173),B1570*C1570/12,IF(AND(1170=$B$173+1,AND(1170&gt;$B$173,$B$78="Refinance",ISNUMBER($B$80),$B$80&gt;=0,$B$80&lt;=1,ROUND($B$81*12,0)&gt;=1,$B$81&lt;=100,SUM($B$82)&gt;=0,SUM($B$82)&lt;=1,SUM($B$83)&gt;=0)),IF(B1570=0,0,IF(C1570=0,B1570/ROUND($B$81*12,0),B1570*(C1570/12)/(1-(1+C1570/12)^(-ROUND($B$81*12,0))))),IF(AND(NOT(AND(1170&gt;$B$173,$B$78="Refinance",ISNUMBER($B$80),$B$80&gt;=0,$B$80&lt;=1,ROUND($B$81*12,0)&gt;=1,$B$81&lt;=100,SUM($B$82)&gt;=0,SUM($B$82)&lt;=1,SUM($B$83)&gt;=0)),OR(1170=1,1170=$B$174+1,AND($B$175&gt;0,1170=$B$175+1))),IF(AND($B$170=1,$B$66&gt;0,OR($B$175=0,1170&lt;=$B$175)),$B$66,IF($B$172-MAX(1170-1,$B$174)&gt;0,IF(B1570=0,0,IF(C1570=0,B1570/($B$172-MAX(1170-1,$B$174)),B1570*(C1570/12)/(1-(1+C1570/12)^(-($B$172-MAX(1170-1,$B$174)))))),"")),D1569))))),IF(IF(AND(1170&lt;=$B$174,1170&lt;=$B$173),B1570*C1570/12,IF(AND(1170=$B$173+1,AND(1170&gt;$B$173,$B$78="Refinance",ISNUMBER($B$80),$B$80&gt;=0,$B$80&lt;=1,ROUND($B$81*12,0)&gt;=1,$B$81&lt;=100,SUM($B$82)&gt;=0,SUM($B$82)&lt;=1,SUM($B$83)&gt;=0)),IF(B1570=0,0,IF(C1570=0,B1570/ROUND($B$81*12,0),B1570*(C1570/12)/(1-(1+C1570/12)^(-ROUND($B$81*12,0))))),IF(AND(NOT(AND(1170&gt;$B$173,$B$78="Refinance",ISNUMBER($B$80),$B$80&gt;=0,$B$80&lt;=1,ROUND($B$81*12,0)&gt;=1,$B$81&lt;=100,SUM($B$82)&gt;=0,SUM($B$82)&lt;=1,SUM($B$83)&gt;=0)),OR(1170=1,1170=$B$174+1,AND($B$175&gt;0,1170=$B$175+1))),IF(AND($B$170=1,$B$66&gt;0,OR($B$175=0,1170&lt;=$B$175)),$B$66,IF($B$172-MAX(1170-1,$B$174)&gt;0,IF(B1570=0,0,IF(C1570=0,B1570/($B$172-MAX(1170-1,$B$174)),B1570*(C1570/12)/(1-(1+C1570/12)^(-($B$172-MAX(1170-1,$B$174)))))),"")),D1569)))+0.0000001&gt;=B1570*C1570/12,MIN(B1570*(1+C1570/12),IF(AND(1170&lt;=$B$174,1170&lt;=$B$173),B1570*C1570/12,IF(AND(1170=$B$173+1,AND(1170&gt;$B$173,$B$78="Refinance",ISNUMBER($B$80),$B$80&gt;=0,$B$80&lt;=1,ROUND($B$81*12,0)&gt;=1,$B$81&lt;=100,SUM($B$82)&gt;=0,SUM($B$82)&lt;=1,SUM($B$83)&gt;=0)),IF(B1570=0,0,IF(C1570=0,B1570/ROUND($B$81*12,0),B1570*(C1570/12)/(1-(1+C1570/12)^(-ROUND($B$81*12,0))))),IF(AND(NOT(AND(1170&gt;$B$173,$B$78="Refinance",ISNUMBER($B$80),$B$80&gt;=0,$B$80&lt;=1,ROUND($B$81*12,0)&gt;=1,$B$81&lt;=100,SUM($B$82)&gt;=0,SUM($B$82)&lt;=1,SUM($B$83)&gt;=0)),OR(1170=1,1170=$B$174+1,AND($B$175&gt;0,1170=$B$175+1))),IF(AND($B$170=1,$B$66&gt;0,OR($B$175=0,1170&lt;=$B$175)),$B$66,IF($B$172-MAX(1170-1,$B$174)&gt;0,IF(B1570=0,0,IF(C1570=0,B1570/($B$172-MAX(1170-1,$B$174)),B1570*(C1570/12)/(1-(1+C1570/12)^(-($B$172-MAX(1170-1,$B$174)))))),"")),D1569)))),""),""))</x:f>
        <x:v>0</x:v>
      </x:c>
      <x:c r="E1570" s="441" t="n">
        <x:f>IF(AND(1170=$B$173,ISNUMBER(D1570)),IF(MAX(0,B1570*(1+C1570/12)-D1570)&lt;MAX(0.0000001,$E$17*0.00000000001),0,MAX(0,B1570*(1+C1570/12)-D1570)),0)</x:f>
        <x:v>0</x:v>
      </x:c>
      <x:c r="F1570" s="441" t="n">
        <x:f>IF($B$78="Cash payoff",E1570,0)</x:f>
        <x:v>0</x:v>
      </x:c>
      <x:c r="G1570" s="441" t="n">
        <x:f>IF(AND(E1570&gt;0,AND($B$78="Refinance",ISNUMBER($B$80),$B$80&gt;=0,$B$80&lt;=1,ROUND($B$81*12,0)&gt;=1,$B$81&lt;=100,SUM($B$82)&gt;=0,SUM($B$82)&lt;=1,SUM($B$83)&gt;=0)),E1570*SUM($B$82)+SUM($B$83),0)</x:f>
        <x:v>0</x:v>
      </x:c>
      <x:c r="H1570" s="441" t="n">
        <x:f>IF(ISNUMBER(D1570),IF(MAX(0,B1570*(1+C1570/12)-D1570-F1570)&lt;MAX(0.0000001,$E$17*0.00000000001),0,MAX(0,B1570*(1+C1570/12)-D1570-F1570)),IF(AND($B$171=1,I1569=1),B1570,""))</x:f>
        <x:v>0</x:v>
      </x:c>
      <x:c r="I1570" s="445" t="n">
        <x:f>IF(OR(I1569=1,AND(E1570&gt;0,$B$78&lt;&gt;"Cash payoff",NOT(AND($B$78="Refinance",ISNUMBER($B$80),$B$80&gt;=0,$B$80&lt;=1,ROUND($B$81*12,0)&gt;=1,$B$81&lt;=100,SUM($B$82)&gt;=0,SUM($B$82)&lt;=1,SUM($B$83)&gt;=0))),AND(ISNUMBER(B1570),B1570&gt;0,$B$171=1,NOT(ISNUMBER(D1570)))),1,0)</x:f>
        <x:v>0</x:v>
      </x:c>
      <x:c r="J1570" s="441" t="n">
        <x:f>IF(ISNUMBER(L1569),L1569,"")</x:f>
        <x:v>0</x:v>
      </x:c>
      <x:c r="K1570" s="441" t="n">
        <x:f>IF(AND(ISNUMBER(J1570),J1570=0),0,IF(AND($B$176=1,ISNUMBER(J1570)),MIN(J1570*(1+$B$87/12),IF($B$86=0,0,IF($B$87=0,$B$86/ROUND($B$88*12,0),$B$86*($B$87/12)/(1-(1+$B$87/12)^(-ROUND($B$88*12,0)))))),""))</x:f>
        <x:v>0</x:v>
      </x:c>
      <x:c r="L1570" s="441" t="n">
        <x:f>IF(ISNUMBER(K1570),IF(MAX(0,J1570*(1+SUM($B$87)/12)-K1570)&lt;MAX(0.0000001,$B$86*0.00000000001),0,MAX(0,J1570*(1+SUM($B$87)/12)-K1570)),"")</x:f>
        <x:v>0</x:v>
      </x:c>
      <x:c r="M1570" s="441" t="n">
        <x:f>IF(AND(ISNUMBER(D1570),ISNUMBER(K1570)),D1570+K1570,"")</x:f>
        <x:v>0</x:v>
      </x:c>
      <x:c r="N1570" s="441" t="n">
        <x:f>IF(AND(ISNUMBER(H1570),ISNUMBER(L1570)),H1570+L1570,"")</x:f>
        <x:v>0</x:v>
      </x:c>
    </x:row>
    <x:row r="1571">
      <x:c r="A1571" t="n">
        <x:f>1171</x:f>
        <x:v>1171</x:v>
      </x:c>
      <x:c r="B1571" s="441" t="n">
        <x:f>IF(ISNUMBER(H1570),H1570,"")</x:f>
        <x:v>0</x:v>
      </x:c>
      <x:c r="C1571" s="443" t="n">
        <x:f>IF(ISNUMBER(B1571),IF(AND(1171&gt;$B$173,$B$78="Refinance",ISNUMBER($B$80),$B$80&gt;=0,$B$80&lt;=1,ROUND($B$81*12,0)&gt;=1,$B$81&lt;=100,SUM($B$82)&gt;=0,SUM($B$82)&lt;=1,SUM($B$83)&gt;=0),$B$80,IF(AND($B$175&gt;0,1171&gt;$B$175,ISNUMBER($B$75)),$B$75,$B$61)),"")</x:f>
        <x:v>0.0625</x:v>
      </x:c>
      <x:c r="D1571" s="441" t="n">
        <x:f>IF(AND(ISNUMBER(B1571),B1571=0),0,IF(AND($B$171=1,I1570=0,ISNUMBER(C1571),ISNUMBER(IF(AND(1171&lt;=$B$174,1171&lt;=$B$173),B1571*C1571/12,IF(AND(1171=$B$173+1,AND(1171&gt;$B$173,$B$78="Refinance",ISNUMBER($B$80),$B$80&gt;=0,$B$80&lt;=1,ROUND($B$81*12,0)&gt;=1,$B$81&lt;=100,SUM($B$82)&gt;=0,SUM($B$82)&lt;=1,SUM($B$83)&gt;=0)),IF(B1571=0,0,IF(C1571=0,B1571/ROUND($B$81*12,0),B1571*(C1571/12)/(1-(1+C1571/12)^(-ROUND($B$81*12,0))))),IF(AND(NOT(AND(1171&gt;$B$173,$B$78="Refinance",ISNUMBER($B$80),$B$80&gt;=0,$B$80&lt;=1,ROUND($B$81*12,0)&gt;=1,$B$81&lt;=100,SUM($B$82)&gt;=0,SUM($B$82)&lt;=1,SUM($B$83)&gt;=0)),OR(1171=1,1171=$B$174+1,AND($B$175&gt;0,1171=$B$175+1))),IF(AND($B$170=1,$B$66&gt;0,OR($B$175=0,1171&lt;=$B$175)),$B$66,IF($B$172-MAX(1171-1,$B$174)&gt;0,IF(B1571=0,0,IF(C1571=0,B1571/($B$172-MAX(1171-1,$B$174)),B1571*(C1571/12)/(1-(1+C1571/12)^(-($B$172-MAX(1171-1,$B$174)))))),"")),D1570))))),IF(IF(AND(1171&lt;=$B$174,1171&lt;=$B$173),B1571*C1571/12,IF(AND(1171=$B$173+1,AND(1171&gt;$B$173,$B$78="Refinance",ISNUMBER($B$80),$B$80&gt;=0,$B$80&lt;=1,ROUND($B$81*12,0)&gt;=1,$B$81&lt;=100,SUM($B$82)&gt;=0,SUM($B$82)&lt;=1,SUM($B$83)&gt;=0)),IF(B1571=0,0,IF(C1571=0,B1571/ROUND($B$81*12,0),B1571*(C1571/12)/(1-(1+C1571/12)^(-ROUND($B$81*12,0))))),IF(AND(NOT(AND(1171&gt;$B$173,$B$78="Refinance",ISNUMBER($B$80),$B$80&gt;=0,$B$80&lt;=1,ROUND($B$81*12,0)&gt;=1,$B$81&lt;=100,SUM($B$82)&gt;=0,SUM($B$82)&lt;=1,SUM($B$83)&gt;=0)),OR(1171=1,1171=$B$174+1,AND($B$175&gt;0,1171=$B$175+1))),IF(AND($B$170=1,$B$66&gt;0,OR($B$175=0,1171&lt;=$B$175)),$B$66,IF($B$172-MAX(1171-1,$B$174)&gt;0,IF(B1571=0,0,IF(C1571=0,B1571/($B$172-MAX(1171-1,$B$174)),B1571*(C1571/12)/(1-(1+C1571/12)^(-($B$172-MAX(1171-1,$B$174)))))),"")),D1570)))+0.0000001&gt;=B1571*C1571/12,MIN(B1571*(1+C1571/12),IF(AND(1171&lt;=$B$174,1171&lt;=$B$173),B1571*C1571/12,IF(AND(1171=$B$173+1,AND(1171&gt;$B$173,$B$78="Refinance",ISNUMBER($B$80),$B$80&gt;=0,$B$80&lt;=1,ROUND($B$81*12,0)&gt;=1,$B$81&lt;=100,SUM($B$82)&gt;=0,SUM($B$82)&lt;=1,SUM($B$83)&gt;=0)),IF(B1571=0,0,IF(C1571=0,B1571/ROUND($B$81*12,0),B1571*(C1571/12)/(1-(1+C1571/12)^(-ROUND($B$81*12,0))))),IF(AND(NOT(AND(1171&gt;$B$173,$B$78="Refinance",ISNUMBER($B$80),$B$80&gt;=0,$B$80&lt;=1,ROUND($B$81*12,0)&gt;=1,$B$81&lt;=100,SUM($B$82)&gt;=0,SUM($B$82)&lt;=1,SUM($B$83)&gt;=0)),OR(1171=1,1171=$B$174+1,AND($B$175&gt;0,1171=$B$175+1))),IF(AND($B$170=1,$B$66&gt;0,OR($B$175=0,1171&lt;=$B$175)),$B$66,IF($B$172-MAX(1171-1,$B$174)&gt;0,IF(B1571=0,0,IF(C1571=0,B1571/($B$172-MAX(1171-1,$B$174)),B1571*(C1571/12)/(1-(1+C1571/12)^(-($B$172-MAX(1171-1,$B$174)))))),"")),D1570)))),""),""))</x:f>
        <x:v>0</x:v>
      </x:c>
      <x:c r="E1571" s="441" t="n">
        <x:f>IF(AND(1171=$B$173,ISNUMBER(D1571)),IF(MAX(0,B1571*(1+C1571/12)-D1571)&lt;MAX(0.0000001,$E$17*0.00000000001),0,MAX(0,B1571*(1+C1571/12)-D1571)),0)</x:f>
        <x:v>0</x:v>
      </x:c>
      <x:c r="F1571" s="441" t="n">
        <x:f>IF($B$78="Cash payoff",E1571,0)</x:f>
        <x:v>0</x:v>
      </x:c>
      <x:c r="G1571" s="441" t="n">
        <x:f>IF(AND(E1571&gt;0,AND($B$78="Refinance",ISNUMBER($B$80),$B$80&gt;=0,$B$80&lt;=1,ROUND($B$81*12,0)&gt;=1,$B$81&lt;=100,SUM($B$82)&gt;=0,SUM($B$82)&lt;=1,SUM($B$83)&gt;=0)),E1571*SUM($B$82)+SUM($B$83),0)</x:f>
        <x:v>0</x:v>
      </x:c>
      <x:c r="H1571" s="441" t="n">
        <x:f>IF(ISNUMBER(D1571),IF(MAX(0,B1571*(1+C1571/12)-D1571-F1571)&lt;MAX(0.0000001,$E$17*0.00000000001),0,MAX(0,B1571*(1+C1571/12)-D1571-F1571)),IF(AND($B$171=1,I1570=1),B1571,""))</x:f>
        <x:v>0</x:v>
      </x:c>
      <x:c r="I1571" s="445" t="n">
        <x:f>IF(OR(I1570=1,AND(E1571&gt;0,$B$78&lt;&gt;"Cash payoff",NOT(AND($B$78="Refinance",ISNUMBER($B$80),$B$80&gt;=0,$B$80&lt;=1,ROUND($B$81*12,0)&gt;=1,$B$81&lt;=100,SUM($B$82)&gt;=0,SUM($B$82)&lt;=1,SUM($B$83)&gt;=0))),AND(ISNUMBER(B1571),B1571&gt;0,$B$171=1,NOT(ISNUMBER(D1571)))),1,0)</x:f>
        <x:v>0</x:v>
      </x:c>
      <x:c r="J1571" s="441" t="n">
        <x:f>IF(ISNUMBER(L1570),L1570,"")</x:f>
        <x:v>0</x:v>
      </x:c>
      <x:c r="K1571" s="441" t="n">
        <x:f>IF(AND(ISNUMBER(J1571),J1571=0),0,IF(AND($B$176=1,ISNUMBER(J1571)),MIN(J1571*(1+$B$87/12),IF($B$86=0,0,IF($B$87=0,$B$86/ROUND($B$88*12,0),$B$86*($B$87/12)/(1-(1+$B$87/12)^(-ROUND($B$88*12,0)))))),""))</x:f>
        <x:v>0</x:v>
      </x:c>
      <x:c r="L1571" s="441" t="n">
        <x:f>IF(ISNUMBER(K1571),IF(MAX(0,J1571*(1+SUM($B$87)/12)-K1571)&lt;MAX(0.0000001,$B$86*0.00000000001),0,MAX(0,J1571*(1+SUM($B$87)/12)-K1571)),"")</x:f>
        <x:v>0</x:v>
      </x:c>
      <x:c r="M1571" s="441" t="n">
        <x:f>IF(AND(ISNUMBER(D1571),ISNUMBER(K1571)),D1571+K1571,"")</x:f>
        <x:v>0</x:v>
      </x:c>
      <x:c r="N1571" s="441" t="n">
        <x:f>IF(AND(ISNUMBER(H1571),ISNUMBER(L1571)),H1571+L1571,"")</x:f>
        <x:v>0</x:v>
      </x:c>
    </x:row>
    <x:row r="1572">
      <x:c r="A1572" t="n">
        <x:f>1172</x:f>
        <x:v>1172</x:v>
      </x:c>
      <x:c r="B1572" s="441" t="n">
        <x:f>IF(ISNUMBER(H1571),H1571,"")</x:f>
        <x:v>0</x:v>
      </x:c>
      <x:c r="C1572" s="443" t="n">
        <x:f>IF(ISNUMBER(B1572),IF(AND(1172&gt;$B$173,$B$78="Refinance",ISNUMBER($B$80),$B$80&gt;=0,$B$80&lt;=1,ROUND($B$81*12,0)&gt;=1,$B$81&lt;=100,SUM($B$82)&gt;=0,SUM($B$82)&lt;=1,SUM($B$83)&gt;=0),$B$80,IF(AND($B$175&gt;0,1172&gt;$B$175,ISNUMBER($B$75)),$B$75,$B$61)),"")</x:f>
        <x:v>0.0625</x:v>
      </x:c>
      <x:c r="D1572" s="441" t="n">
        <x:f>IF(AND(ISNUMBER(B1572),B1572=0),0,IF(AND($B$171=1,I1571=0,ISNUMBER(C1572),ISNUMBER(IF(AND(1172&lt;=$B$174,1172&lt;=$B$173),B1572*C1572/12,IF(AND(1172=$B$173+1,AND(1172&gt;$B$173,$B$78="Refinance",ISNUMBER($B$80),$B$80&gt;=0,$B$80&lt;=1,ROUND($B$81*12,0)&gt;=1,$B$81&lt;=100,SUM($B$82)&gt;=0,SUM($B$82)&lt;=1,SUM($B$83)&gt;=0)),IF(B1572=0,0,IF(C1572=0,B1572/ROUND($B$81*12,0),B1572*(C1572/12)/(1-(1+C1572/12)^(-ROUND($B$81*12,0))))),IF(AND(NOT(AND(1172&gt;$B$173,$B$78="Refinance",ISNUMBER($B$80),$B$80&gt;=0,$B$80&lt;=1,ROUND($B$81*12,0)&gt;=1,$B$81&lt;=100,SUM($B$82)&gt;=0,SUM($B$82)&lt;=1,SUM($B$83)&gt;=0)),OR(1172=1,1172=$B$174+1,AND($B$175&gt;0,1172=$B$175+1))),IF(AND($B$170=1,$B$66&gt;0,OR($B$175=0,1172&lt;=$B$175)),$B$66,IF($B$172-MAX(1172-1,$B$174)&gt;0,IF(B1572=0,0,IF(C1572=0,B1572/($B$172-MAX(1172-1,$B$174)),B1572*(C1572/12)/(1-(1+C1572/12)^(-($B$172-MAX(1172-1,$B$174)))))),"")),D1571))))),IF(IF(AND(1172&lt;=$B$174,1172&lt;=$B$173),B1572*C1572/12,IF(AND(1172=$B$173+1,AND(1172&gt;$B$173,$B$78="Refinance",ISNUMBER($B$80),$B$80&gt;=0,$B$80&lt;=1,ROUND($B$81*12,0)&gt;=1,$B$81&lt;=100,SUM($B$82)&gt;=0,SUM($B$82)&lt;=1,SUM($B$83)&gt;=0)),IF(B1572=0,0,IF(C1572=0,B1572/ROUND($B$81*12,0),B1572*(C1572/12)/(1-(1+C1572/12)^(-ROUND($B$81*12,0))))),IF(AND(NOT(AND(1172&gt;$B$173,$B$78="Refinance",ISNUMBER($B$80),$B$80&gt;=0,$B$80&lt;=1,ROUND($B$81*12,0)&gt;=1,$B$81&lt;=100,SUM($B$82)&gt;=0,SUM($B$82)&lt;=1,SUM($B$83)&gt;=0)),OR(1172=1,1172=$B$174+1,AND($B$175&gt;0,1172=$B$175+1))),IF(AND($B$170=1,$B$66&gt;0,OR($B$175=0,1172&lt;=$B$175)),$B$66,IF($B$172-MAX(1172-1,$B$174)&gt;0,IF(B1572=0,0,IF(C1572=0,B1572/($B$172-MAX(1172-1,$B$174)),B1572*(C1572/12)/(1-(1+C1572/12)^(-($B$172-MAX(1172-1,$B$174)))))),"")),D1571)))+0.0000001&gt;=B1572*C1572/12,MIN(B1572*(1+C1572/12),IF(AND(1172&lt;=$B$174,1172&lt;=$B$173),B1572*C1572/12,IF(AND(1172=$B$173+1,AND(1172&gt;$B$173,$B$78="Refinance",ISNUMBER($B$80),$B$80&gt;=0,$B$80&lt;=1,ROUND($B$81*12,0)&gt;=1,$B$81&lt;=100,SUM($B$82)&gt;=0,SUM($B$82)&lt;=1,SUM($B$83)&gt;=0)),IF(B1572=0,0,IF(C1572=0,B1572/ROUND($B$81*12,0),B1572*(C1572/12)/(1-(1+C1572/12)^(-ROUND($B$81*12,0))))),IF(AND(NOT(AND(1172&gt;$B$173,$B$78="Refinance",ISNUMBER($B$80),$B$80&gt;=0,$B$80&lt;=1,ROUND($B$81*12,0)&gt;=1,$B$81&lt;=100,SUM($B$82)&gt;=0,SUM($B$82)&lt;=1,SUM($B$83)&gt;=0)),OR(1172=1,1172=$B$174+1,AND($B$175&gt;0,1172=$B$175+1))),IF(AND($B$170=1,$B$66&gt;0,OR($B$175=0,1172&lt;=$B$175)),$B$66,IF($B$172-MAX(1172-1,$B$174)&gt;0,IF(B1572=0,0,IF(C1572=0,B1572/($B$172-MAX(1172-1,$B$174)),B1572*(C1572/12)/(1-(1+C1572/12)^(-($B$172-MAX(1172-1,$B$174)))))),"")),D1571)))),""),""))</x:f>
        <x:v>0</x:v>
      </x:c>
      <x:c r="E1572" s="441" t="n">
        <x:f>IF(AND(1172=$B$173,ISNUMBER(D1572)),IF(MAX(0,B1572*(1+C1572/12)-D1572)&lt;MAX(0.0000001,$E$17*0.00000000001),0,MAX(0,B1572*(1+C1572/12)-D1572)),0)</x:f>
        <x:v>0</x:v>
      </x:c>
      <x:c r="F1572" s="441" t="n">
        <x:f>IF($B$78="Cash payoff",E1572,0)</x:f>
        <x:v>0</x:v>
      </x:c>
      <x:c r="G1572" s="441" t="n">
        <x:f>IF(AND(E1572&gt;0,AND($B$78="Refinance",ISNUMBER($B$80),$B$80&gt;=0,$B$80&lt;=1,ROUND($B$81*12,0)&gt;=1,$B$81&lt;=100,SUM($B$82)&gt;=0,SUM($B$82)&lt;=1,SUM($B$83)&gt;=0)),E1572*SUM($B$82)+SUM($B$83),0)</x:f>
        <x:v>0</x:v>
      </x:c>
      <x:c r="H1572" s="441" t="n">
        <x:f>IF(ISNUMBER(D1572),IF(MAX(0,B1572*(1+C1572/12)-D1572-F1572)&lt;MAX(0.0000001,$E$17*0.00000000001),0,MAX(0,B1572*(1+C1572/12)-D1572-F1572)),IF(AND($B$171=1,I1571=1),B1572,""))</x:f>
        <x:v>0</x:v>
      </x:c>
      <x:c r="I1572" s="445" t="n">
        <x:f>IF(OR(I1571=1,AND(E1572&gt;0,$B$78&lt;&gt;"Cash payoff",NOT(AND($B$78="Refinance",ISNUMBER($B$80),$B$80&gt;=0,$B$80&lt;=1,ROUND($B$81*12,0)&gt;=1,$B$81&lt;=100,SUM($B$82)&gt;=0,SUM($B$82)&lt;=1,SUM($B$83)&gt;=0))),AND(ISNUMBER(B1572),B1572&gt;0,$B$171=1,NOT(ISNUMBER(D1572)))),1,0)</x:f>
        <x:v>0</x:v>
      </x:c>
      <x:c r="J1572" s="441" t="n">
        <x:f>IF(ISNUMBER(L1571),L1571,"")</x:f>
        <x:v>0</x:v>
      </x:c>
      <x:c r="K1572" s="441" t="n">
        <x:f>IF(AND(ISNUMBER(J1572),J1572=0),0,IF(AND($B$176=1,ISNUMBER(J1572)),MIN(J1572*(1+$B$87/12),IF($B$86=0,0,IF($B$87=0,$B$86/ROUND($B$88*12,0),$B$86*($B$87/12)/(1-(1+$B$87/12)^(-ROUND($B$88*12,0)))))),""))</x:f>
        <x:v>0</x:v>
      </x:c>
      <x:c r="L1572" s="441" t="n">
        <x:f>IF(ISNUMBER(K1572),IF(MAX(0,J1572*(1+SUM($B$87)/12)-K1572)&lt;MAX(0.0000001,$B$86*0.00000000001),0,MAX(0,J1572*(1+SUM($B$87)/12)-K1572)),"")</x:f>
        <x:v>0</x:v>
      </x:c>
      <x:c r="M1572" s="441" t="n">
        <x:f>IF(AND(ISNUMBER(D1572),ISNUMBER(K1572)),D1572+K1572,"")</x:f>
        <x:v>0</x:v>
      </x:c>
      <x:c r="N1572" s="441" t="n">
        <x:f>IF(AND(ISNUMBER(H1572),ISNUMBER(L1572)),H1572+L1572,"")</x:f>
        <x:v>0</x:v>
      </x:c>
    </x:row>
    <x:row r="1573">
      <x:c r="A1573" t="n">
        <x:f>1173</x:f>
        <x:v>1173</x:v>
      </x:c>
      <x:c r="B1573" s="441" t="n">
        <x:f>IF(ISNUMBER(H1572),H1572,"")</x:f>
        <x:v>0</x:v>
      </x:c>
      <x:c r="C1573" s="443" t="n">
        <x:f>IF(ISNUMBER(B1573),IF(AND(1173&gt;$B$173,$B$78="Refinance",ISNUMBER($B$80),$B$80&gt;=0,$B$80&lt;=1,ROUND($B$81*12,0)&gt;=1,$B$81&lt;=100,SUM($B$82)&gt;=0,SUM($B$82)&lt;=1,SUM($B$83)&gt;=0),$B$80,IF(AND($B$175&gt;0,1173&gt;$B$175,ISNUMBER($B$75)),$B$75,$B$61)),"")</x:f>
        <x:v>0.0625</x:v>
      </x:c>
      <x:c r="D1573" s="441" t="n">
        <x:f>IF(AND(ISNUMBER(B1573),B1573=0),0,IF(AND($B$171=1,I1572=0,ISNUMBER(C1573),ISNUMBER(IF(AND(1173&lt;=$B$174,1173&lt;=$B$173),B1573*C1573/12,IF(AND(1173=$B$173+1,AND(1173&gt;$B$173,$B$78="Refinance",ISNUMBER($B$80),$B$80&gt;=0,$B$80&lt;=1,ROUND($B$81*12,0)&gt;=1,$B$81&lt;=100,SUM($B$82)&gt;=0,SUM($B$82)&lt;=1,SUM($B$83)&gt;=0)),IF(B1573=0,0,IF(C1573=0,B1573/ROUND($B$81*12,0),B1573*(C1573/12)/(1-(1+C1573/12)^(-ROUND($B$81*12,0))))),IF(AND(NOT(AND(1173&gt;$B$173,$B$78="Refinance",ISNUMBER($B$80),$B$80&gt;=0,$B$80&lt;=1,ROUND($B$81*12,0)&gt;=1,$B$81&lt;=100,SUM($B$82)&gt;=0,SUM($B$82)&lt;=1,SUM($B$83)&gt;=0)),OR(1173=1,1173=$B$174+1,AND($B$175&gt;0,1173=$B$175+1))),IF(AND($B$170=1,$B$66&gt;0,OR($B$175=0,1173&lt;=$B$175)),$B$66,IF($B$172-MAX(1173-1,$B$174)&gt;0,IF(B1573=0,0,IF(C1573=0,B1573/($B$172-MAX(1173-1,$B$174)),B1573*(C1573/12)/(1-(1+C1573/12)^(-($B$172-MAX(1173-1,$B$174)))))),"")),D1572))))),IF(IF(AND(1173&lt;=$B$174,1173&lt;=$B$173),B1573*C1573/12,IF(AND(1173=$B$173+1,AND(1173&gt;$B$173,$B$78="Refinance",ISNUMBER($B$80),$B$80&gt;=0,$B$80&lt;=1,ROUND($B$81*12,0)&gt;=1,$B$81&lt;=100,SUM($B$82)&gt;=0,SUM($B$82)&lt;=1,SUM($B$83)&gt;=0)),IF(B1573=0,0,IF(C1573=0,B1573/ROUND($B$81*12,0),B1573*(C1573/12)/(1-(1+C1573/12)^(-ROUND($B$81*12,0))))),IF(AND(NOT(AND(1173&gt;$B$173,$B$78="Refinance",ISNUMBER($B$80),$B$80&gt;=0,$B$80&lt;=1,ROUND($B$81*12,0)&gt;=1,$B$81&lt;=100,SUM($B$82)&gt;=0,SUM($B$82)&lt;=1,SUM($B$83)&gt;=0)),OR(1173=1,1173=$B$174+1,AND($B$175&gt;0,1173=$B$175+1))),IF(AND($B$170=1,$B$66&gt;0,OR($B$175=0,1173&lt;=$B$175)),$B$66,IF($B$172-MAX(1173-1,$B$174)&gt;0,IF(B1573=0,0,IF(C1573=0,B1573/($B$172-MAX(1173-1,$B$174)),B1573*(C1573/12)/(1-(1+C1573/12)^(-($B$172-MAX(1173-1,$B$174)))))),"")),D1572)))+0.0000001&gt;=B1573*C1573/12,MIN(B1573*(1+C1573/12),IF(AND(1173&lt;=$B$174,1173&lt;=$B$173),B1573*C1573/12,IF(AND(1173=$B$173+1,AND(1173&gt;$B$173,$B$78="Refinance",ISNUMBER($B$80),$B$80&gt;=0,$B$80&lt;=1,ROUND($B$81*12,0)&gt;=1,$B$81&lt;=100,SUM($B$82)&gt;=0,SUM($B$82)&lt;=1,SUM($B$83)&gt;=0)),IF(B1573=0,0,IF(C1573=0,B1573/ROUND($B$81*12,0),B1573*(C1573/12)/(1-(1+C1573/12)^(-ROUND($B$81*12,0))))),IF(AND(NOT(AND(1173&gt;$B$173,$B$78="Refinance",ISNUMBER($B$80),$B$80&gt;=0,$B$80&lt;=1,ROUND($B$81*12,0)&gt;=1,$B$81&lt;=100,SUM($B$82)&gt;=0,SUM($B$82)&lt;=1,SUM($B$83)&gt;=0)),OR(1173=1,1173=$B$174+1,AND($B$175&gt;0,1173=$B$175+1))),IF(AND($B$170=1,$B$66&gt;0,OR($B$175=0,1173&lt;=$B$175)),$B$66,IF($B$172-MAX(1173-1,$B$174)&gt;0,IF(B1573=0,0,IF(C1573=0,B1573/($B$172-MAX(1173-1,$B$174)),B1573*(C1573/12)/(1-(1+C1573/12)^(-($B$172-MAX(1173-1,$B$174)))))),"")),D1572)))),""),""))</x:f>
        <x:v>0</x:v>
      </x:c>
      <x:c r="E1573" s="441" t="n">
        <x:f>IF(AND(1173=$B$173,ISNUMBER(D1573)),IF(MAX(0,B1573*(1+C1573/12)-D1573)&lt;MAX(0.0000001,$E$17*0.00000000001),0,MAX(0,B1573*(1+C1573/12)-D1573)),0)</x:f>
        <x:v>0</x:v>
      </x:c>
      <x:c r="F1573" s="441" t="n">
        <x:f>IF($B$78="Cash payoff",E1573,0)</x:f>
        <x:v>0</x:v>
      </x:c>
      <x:c r="G1573" s="441" t="n">
        <x:f>IF(AND(E1573&gt;0,AND($B$78="Refinance",ISNUMBER($B$80),$B$80&gt;=0,$B$80&lt;=1,ROUND($B$81*12,0)&gt;=1,$B$81&lt;=100,SUM($B$82)&gt;=0,SUM($B$82)&lt;=1,SUM($B$83)&gt;=0)),E1573*SUM($B$82)+SUM($B$83),0)</x:f>
        <x:v>0</x:v>
      </x:c>
      <x:c r="H1573" s="441" t="n">
        <x:f>IF(ISNUMBER(D1573),IF(MAX(0,B1573*(1+C1573/12)-D1573-F1573)&lt;MAX(0.0000001,$E$17*0.00000000001),0,MAX(0,B1573*(1+C1573/12)-D1573-F1573)),IF(AND($B$171=1,I1572=1),B1573,""))</x:f>
        <x:v>0</x:v>
      </x:c>
      <x:c r="I1573" s="445" t="n">
        <x:f>IF(OR(I1572=1,AND(E1573&gt;0,$B$78&lt;&gt;"Cash payoff",NOT(AND($B$78="Refinance",ISNUMBER($B$80),$B$80&gt;=0,$B$80&lt;=1,ROUND($B$81*12,0)&gt;=1,$B$81&lt;=100,SUM($B$82)&gt;=0,SUM($B$82)&lt;=1,SUM($B$83)&gt;=0))),AND(ISNUMBER(B1573),B1573&gt;0,$B$171=1,NOT(ISNUMBER(D1573)))),1,0)</x:f>
        <x:v>0</x:v>
      </x:c>
      <x:c r="J1573" s="441" t="n">
        <x:f>IF(ISNUMBER(L1572),L1572,"")</x:f>
        <x:v>0</x:v>
      </x:c>
      <x:c r="K1573" s="441" t="n">
        <x:f>IF(AND(ISNUMBER(J1573),J1573=0),0,IF(AND($B$176=1,ISNUMBER(J1573)),MIN(J1573*(1+$B$87/12),IF($B$86=0,0,IF($B$87=0,$B$86/ROUND($B$88*12,0),$B$86*($B$87/12)/(1-(1+$B$87/12)^(-ROUND($B$88*12,0)))))),""))</x:f>
        <x:v>0</x:v>
      </x:c>
      <x:c r="L1573" s="441" t="n">
        <x:f>IF(ISNUMBER(K1573),IF(MAX(0,J1573*(1+SUM($B$87)/12)-K1573)&lt;MAX(0.0000001,$B$86*0.00000000001),0,MAX(0,J1573*(1+SUM($B$87)/12)-K1573)),"")</x:f>
        <x:v>0</x:v>
      </x:c>
      <x:c r="M1573" s="441" t="n">
        <x:f>IF(AND(ISNUMBER(D1573),ISNUMBER(K1573)),D1573+K1573,"")</x:f>
        <x:v>0</x:v>
      </x:c>
      <x:c r="N1573" s="441" t="n">
        <x:f>IF(AND(ISNUMBER(H1573),ISNUMBER(L1573)),H1573+L1573,"")</x:f>
        <x:v>0</x:v>
      </x:c>
    </x:row>
    <x:row r="1574">
      <x:c r="A1574" t="n">
        <x:f>1174</x:f>
        <x:v>1174</x:v>
      </x:c>
      <x:c r="B1574" s="441" t="n">
        <x:f>IF(ISNUMBER(H1573),H1573,"")</x:f>
        <x:v>0</x:v>
      </x:c>
      <x:c r="C1574" s="443" t="n">
        <x:f>IF(ISNUMBER(B1574),IF(AND(1174&gt;$B$173,$B$78="Refinance",ISNUMBER($B$80),$B$80&gt;=0,$B$80&lt;=1,ROUND($B$81*12,0)&gt;=1,$B$81&lt;=100,SUM($B$82)&gt;=0,SUM($B$82)&lt;=1,SUM($B$83)&gt;=0),$B$80,IF(AND($B$175&gt;0,1174&gt;$B$175,ISNUMBER($B$75)),$B$75,$B$61)),"")</x:f>
        <x:v>0.0625</x:v>
      </x:c>
      <x:c r="D1574" s="441" t="n">
        <x:f>IF(AND(ISNUMBER(B1574),B1574=0),0,IF(AND($B$171=1,I1573=0,ISNUMBER(C1574),ISNUMBER(IF(AND(1174&lt;=$B$174,1174&lt;=$B$173),B1574*C1574/12,IF(AND(1174=$B$173+1,AND(1174&gt;$B$173,$B$78="Refinance",ISNUMBER($B$80),$B$80&gt;=0,$B$80&lt;=1,ROUND($B$81*12,0)&gt;=1,$B$81&lt;=100,SUM($B$82)&gt;=0,SUM($B$82)&lt;=1,SUM($B$83)&gt;=0)),IF(B1574=0,0,IF(C1574=0,B1574/ROUND($B$81*12,0),B1574*(C1574/12)/(1-(1+C1574/12)^(-ROUND($B$81*12,0))))),IF(AND(NOT(AND(1174&gt;$B$173,$B$78="Refinance",ISNUMBER($B$80),$B$80&gt;=0,$B$80&lt;=1,ROUND($B$81*12,0)&gt;=1,$B$81&lt;=100,SUM($B$82)&gt;=0,SUM($B$82)&lt;=1,SUM($B$83)&gt;=0)),OR(1174=1,1174=$B$174+1,AND($B$175&gt;0,1174=$B$175+1))),IF(AND($B$170=1,$B$66&gt;0,OR($B$175=0,1174&lt;=$B$175)),$B$66,IF($B$172-MAX(1174-1,$B$174)&gt;0,IF(B1574=0,0,IF(C1574=0,B1574/($B$172-MAX(1174-1,$B$174)),B1574*(C1574/12)/(1-(1+C1574/12)^(-($B$172-MAX(1174-1,$B$174)))))),"")),D1573))))),IF(IF(AND(1174&lt;=$B$174,1174&lt;=$B$173),B1574*C1574/12,IF(AND(1174=$B$173+1,AND(1174&gt;$B$173,$B$78="Refinance",ISNUMBER($B$80),$B$80&gt;=0,$B$80&lt;=1,ROUND($B$81*12,0)&gt;=1,$B$81&lt;=100,SUM($B$82)&gt;=0,SUM($B$82)&lt;=1,SUM($B$83)&gt;=0)),IF(B1574=0,0,IF(C1574=0,B1574/ROUND($B$81*12,0),B1574*(C1574/12)/(1-(1+C1574/12)^(-ROUND($B$81*12,0))))),IF(AND(NOT(AND(1174&gt;$B$173,$B$78="Refinance",ISNUMBER($B$80),$B$80&gt;=0,$B$80&lt;=1,ROUND($B$81*12,0)&gt;=1,$B$81&lt;=100,SUM($B$82)&gt;=0,SUM($B$82)&lt;=1,SUM($B$83)&gt;=0)),OR(1174=1,1174=$B$174+1,AND($B$175&gt;0,1174=$B$175+1))),IF(AND($B$170=1,$B$66&gt;0,OR($B$175=0,1174&lt;=$B$175)),$B$66,IF($B$172-MAX(1174-1,$B$174)&gt;0,IF(B1574=0,0,IF(C1574=0,B1574/($B$172-MAX(1174-1,$B$174)),B1574*(C1574/12)/(1-(1+C1574/12)^(-($B$172-MAX(1174-1,$B$174)))))),"")),D1573)))+0.0000001&gt;=B1574*C1574/12,MIN(B1574*(1+C1574/12),IF(AND(1174&lt;=$B$174,1174&lt;=$B$173),B1574*C1574/12,IF(AND(1174=$B$173+1,AND(1174&gt;$B$173,$B$78="Refinance",ISNUMBER($B$80),$B$80&gt;=0,$B$80&lt;=1,ROUND($B$81*12,0)&gt;=1,$B$81&lt;=100,SUM($B$82)&gt;=0,SUM($B$82)&lt;=1,SUM($B$83)&gt;=0)),IF(B1574=0,0,IF(C1574=0,B1574/ROUND($B$81*12,0),B1574*(C1574/12)/(1-(1+C1574/12)^(-ROUND($B$81*12,0))))),IF(AND(NOT(AND(1174&gt;$B$173,$B$78="Refinance",ISNUMBER($B$80),$B$80&gt;=0,$B$80&lt;=1,ROUND($B$81*12,0)&gt;=1,$B$81&lt;=100,SUM($B$82)&gt;=0,SUM($B$82)&lt;=1,SUM($B$83)&gt;=0)),OR(1174=1,1174=$B$174+1,AND($B$175&gt;0,1174=$B$175+1))),IF(AND($B$170=1,$B$66&gt;0,OR($B$175=0,1174&lt;=$B$175)),$B$66,IF($B$172-MAX(1174-1,$B$174)&gt;0,IF(B1574=0,0,IF(C1574=0,B1574/($B$172-MAX(1174-1,$B$174)),B1574*(C1574/12)/(1-(1+C1574/12)^(-($B$172-MAX(1174-1,$B$174)))))),"")),D1573)))),""),""))</x:f>
        <x:v>0</x:v>
      </x:c>
      <x:c r="E1574" s="441" t="n">
        <x:f>IF(AND(1174=$B$173,ISNUMBER(D1574)),IF(MAX(0,B1574*(1+C1574/12)-D1574)&lt;MAX(0.0000001,$E$17*0.00000000001),0,MAX(0,B1574*(1+C1574/12)-D1574)),0)</x:f>
        <x:v>0</x:v>
      </x:c>
      <x:c r="F1574" s="441" t="n">
        <x:f>IF($B$78="Cash payoff",E1574,0)</x:f>
        <x:v>0</x:v>
      </x:c>
      <x:c r="G1574" s="441" t="n">
        <x:f>IF(AND(E1574&gt;0,AND($B$78="Refinance",ISNUMBER($B$80),$B$80&gt;=0,$B$80&lt;=1,ROUND($B$81*12,0)&gt;=1,$B$81&lt;=100,SUM($B$82)&gt;=0,SUM($B$82)&lt;=1,SUM($B$83)&gt;=0)),E1574*SUM($B$82)+SUM($B$83),0)</x:f>
        <x:v>0</x:v>
      </x:c>
      <x:c r="H1574" s="441" t="n">
        <x:f>IF(ISNUMBER(D1574),IF(MAX(0,B1574*(1+C1574/12)-D1574-F1574)&lt;MAX(0.0000001,$E$17*0.00000000001),0,MAX(0,B1574*(1+C1574/12)-D1574-F1574)),IF(AND($B$171=1,I1573=1),B1574,""))</x:f>
        <x:v>0</x:v>
      </x:c>
      <x:c r="I1574" s="445" t="n">
        <x:f>IF(OR(I1573=1,AND(E1574&gt;0,$B$78&lt;&gt;"Cash payoff",NOT(AND($B$78="Refinance",ISNUMBER($B$80),$B$80&gt;=0,$B$80&lt;=1,ROUND($B$81*12,0)&gt;=1,$B$81&lt;=100,SUM($B$82)&gt;=0,SUM($B$82)&lt;=1,SUM($B$83)&gt;=0))),AND(ISNUMBER(B1574),B1574&gt;0,$B$171=1,NOT(ISNUMBER(D1574)))),1,0)</x:f>
        <x:v>0</x:v>
      </x:c>
      <x:c r="J1574" s="441" t="n">
        <x:f>IF(ISNUMBER(L1573),L1573,"")</x:f>
        <x:v>0</x:v>
      </x:c>
      <x:c r="K1574" s="441" t="n">
        <x:f>IF(AND(ISNUMBER(J1574),J1574=0),0,IF(AND($B$176=1,ISNUMBER(J1574)),MIN(J1574*(1+$B$87/12),IF($B$86=0,0,IF($B$87=0,$B$86/ROUND($B$88*12,0),$B$86*($B$87/12)/(1-(1+$B$87/12)^(-ROUND($B$88*12,0)))))),""))</x:f>
        <x:v>0</x:v>
      </x:c>
      <x:c r="L1574" s="441" t="n">
        <x:f>IF(ISNUMBER(K1574),IF(MAX(0,J1574*(1+SUM($B$87)/12)-K1574)&lt;MAX(0.0000001,$B$86*0.00000000001),0,MAX(0,J1574*(1+SUM($B$87)/12)-K1574)),"")</x:f>
        <x:v>0</x:v>
      </x:c>
      <x:c r="M1574" s="441" t="n">
        <x:f>IF(AND(ISNUMBER(D1574),ISNUMBER(K1574)),D1574+K1574,"")</x:f>
        <x:v>0</x:v>
      </x:c>
      <x:c r="N1574" s="441" t="n">
        <x:f>IF(AND(ISNUMBER(H1574),ISNUMBER(L1574)),H1574+L1574,"")</x:f>
        <x:v>0</x:v>
      </x:c>
    </x:row>
    <x:row r="1575">
      <x:c r="A1575" t="n">
        <x:f>1175</x:f>
        <x:v>1175</x:v>
      </x:c>
      <x:c r="B1575" s="441" t="n">
        <x:f>IF(ISNUMBER(H1574),H1574,"")</x:f>
        <x:v>0</x:v>
      </x:c>
      <x:c r="C1575" s="443" t="n">
        <x:f>IF(ISNUMBER(B1575),IF(AND(1175&gt;$B$173,$B$78="Refinance",ISNUMBER($B$80),$B$80&gt;=0,$B$80&lt;=1,ROUND($B$81*12,0)&gt;=1,$B$81&lt;=100,SUM($B$82)&gt;=0,SUM($B$82)&lt;=1,SUM($B$83)&gt;=0),$B$80,IF(AND($B$175&gt;0,1175&gt;$B$175,ISNUMBER($B$75)),$B$75,$B$61)),"")</x:f>
        <x:v>0.0625</x:v>
      </x:c>
      <x:c r="D1575" s="441" t="n">
        <x:f>IF(AND(ISNUMBER(B1575),B1575=0),0,IF(AND($B$171=1,I1574=0,ISNUMBER(C1575),ISNUMBER(IF(AND(1175&lt;=$B$174,1175&lt;=$B$173),B1575*C1575/12,IF(AND(1175=$B$173+1,AND(1175&gt;$B$173,$B$78="Refinance",ISNUMBER($B$80),$B$80&gt;=0,$B$80&lt;=1,ROUND($B$81*12,0)&gt;=1,$B$81&lt;=100,SUM($B$82)&gt;=0,SUM($B$82)&lt;=1,SUM($B$83)&gt;=0)),IF(B1575=0,0,IF(C1575=0,B1575/ROUND($B$81*12,0),B1575*(C1575/12)/(1-(1+C1575/12)^(-ROUND($B$81*12,0))))),IF(AND(NOT(AND(1175&gt;$B$173,$B$78="Refinance",ISNUMBER($B$80),$B$80&gt;=0,$B$80&lt;=1,ROUND($B$81*12,0)&gt;=1,$B$81&lt;=100,SUM($B$82)&gt;=0,SUM($B$82)&lt;=1,SUM($B$83)&gt;=0)),OR(1175=1,1175=$B$174+1,AND($B$175&gt;0,1175=$B$175+1))),IF(AND($B$170=1,$B$66&gt;0,OR($B$175=0,1175&lt;=$B$175)),$B$66,IF($B$172-MAX(1175-1,$B$174)&gt;0,IF(B1575=0,0,IF(C1575=0,B1575/($B$172-MAX(1175-1,$B$174)),B1575*(C1575/12)/(1-(1+C1575/12)^(-($B$172-MAX(1175-1,$B$174)))))),"")),D1574))))),IF(IF(AND(1175&lt;=$B$174,1175&lt;=$B$173),B1575*C1575/12,IF(AND(1175=$B$173+1,AND(1175&gt;$B$173,$B$78="Refinance",ISNUMBER($B$80),$B$80&gt;=0,$B$80&lt;=1,ROUND($B$81*12,0)&gt;=1,$B$81&lt;=100,SUM($B$82)&gt;=0,SUM($B$82)&lt;=1,SUM($B$83)&gt;=0)),IF(B1575=0,0,IF(C1575=0,B1575/ROUND($B$81*12,0),B1575*(C1575/12)/(1-(1+C1575/12)^(-ROUND($B$81*12,0))))),IF(AND(NOT(AND(1175&gt;$B$173,$B$78="Refinance",ISNUMBER($B$80),$B$80&gt;=0,$B$80&lt;=1,ROUND($B$81*12,0)&gt;=1,$B$81&lt;=100,SUM($B$82)&gt;=0,SUM($B$82)&lt;=1,SUM($B$83)&gt;=0)),OR(1175=1,1175=$B$174+1,AND($B$175&gt;0,1175=$B$175+1))),IF(AND($B$170=1,$B$66&gt;0,OR($B$175=0,1175&lt;=$B$175)),$B$66,IF($B$172-MAX(1175-1,$B$174)&gt;0,IF(B1575=0,0,IF(C1575=0,B1575/($B$172-MAX(1175-1,$B$174)),B1575*(C1575/12)/(1-(1+C1575/12)^(-($B$172-MAX(1175-1,$B$174)))))),"")),D1574)))+0.0000001&gt;=B1575*C1575/12,MIN(B1575*(1+C1575/12),IF(AND(1175&lt;=$B$174,1175&lt;=$B$173),B1575*C1575/12,IF(AND(1175=$B$173+1,AND(1175&gt;$B$173,$B$78="Refinance",ISNUMBER($B$80),$B$80&gt;=0,$B$80&lt;=1,ROUND($B$81*12,0)&gt;=1,$B$81&lt;=100,SUM($B$82)&gt;=0,SUM($B$82)&lt;=1,SUM($B$83)&gt;=0)),IF(B1575=0,0,IF(C1575=0,B1575/ROUND($B$81*12,0),B1575*(C1575/12)/(1-(1+C1575/12)^(-ROUND($B$81*12,0))))),IF(AND(NOT(AND(1175&gt;$B$173,$B$78="Refinance",ISNUMBER($B$80),$B$80&gt;=0,$B$80&lt;=1,ROUND($B$81*12,0)&gt;=1,$B$81&lt;=100,SUM($B$82)&gt;=0,SUM($B$82)&lt;=1,SUM($B$83)&gt;=0)),OR(1175=1,1175=$B$174+1,AND($B$175&gt;0,1175=$B$175+1))),IF(AND($B$170=1,$B$66&gt;0,OR($B$175=0,1175&lt;=$B$175)),$B$66,IF($B$172-MAX(1175-1,$B$174)&gt;0,IF(B1575=0,0,IF(C1575=0,B1575/($B$172-MAX(1175-1,$B$174)),B1575*(C1575/12)/(1-(1+C1575/12)^(-($B$172-MAX(1175-1,$B$174)))))),"")),D1574)))),""),""))</x:f>
        <x:v>0</x:v>
      </x:c>
      <x:c r="E1575" s="441" t="n">
        <x:f>IF(AND(1175=$B$173,ISNUMBER(D1575)),IF(MAX(0,B1575*(1+C1575/12)-D1575)&lt;MAX(0.0000001,$E$17*0.00000000001),0,MAX(0,B1575*(1+C1575/12)-D1575)),0)</x:f>
        <x:v>0</x:v>
      </x:c>
      <x:c r="F1575" s="441" t="n">
        <x:f>IF($B$78="Cash payoff",E1575,0)</x:f>
        <x:v>0</x:v>
      </x:c>
      <x:c r="G1575" s="441" t="n">
        <x:f>IF(AND(E1575&gt;0,AND($B$78="Refinance",ISNUMBER($B$80),$B$80&gt;=0,$B$80&lt;=1,ROUND($B$81*12,0)&gt;=1,$B$81&lt;=100,SUM($B$82)&gt;=0,SUM($B$82)&lt;=1,SUM($B$83)&gt;=0)),E1575*SUM($B$82)+SUM($B$83),0)</x:f>
        <x:v>0</x:v>
      </x:c>
      <x:c r="H1575" s="441" t="n">
        <x:f>IF(ISNUMBER(D1575),IF(MAX(0,B1575*(1+C1575/12)-D1575-F1575)&lt;MAX(0.0000001,$E$17*0.00000000001),0,MAX(0,B1575*(1+C1575/12)-D1575-F1575)),IF(AND($B$171=1,I1574=1),B1575,""))</x:f>
        <x:v>0</x:v>
      </x:c>
      <x:c r="I1575" s="445" t="n">
        <x:f>IF(OR(I1574=1,AND(E1575&gt;0,$B$78&lt;&gt;"Cash payoff",NOT(AND($B$78="Refinance",ISNUMBER($B$80),$B$80&gt;=0,$B$80&lt;=1,ROUND($B$81*12,0)&gt;=1,$B$81&lt;=100,SUM($B$82)&gt;=0,SUM($B$82)&lt;=1,SUM($B$83)&gt;=0))),AND(ISNUMBER(B1575),B1575&gt;0,$B$171=1,NOT(ISNUMBER(D1575)))),1,0)</x:f>
        <x:v>0</x:v>
      </x:c>
      <x:c r="J1575" s="441" t="n">
        <x:f>IF(ISNUMBER(L1574),L1574,"")</x:f>
        <x:v>0</x:v>
      </x:c>
      <x:c r="K1575" s="441" t="n">
        <x:f>IF(AND(ISNUMBER(J1575),J1575=0),0,IF(AND($B$176=1,ISNUMBER(J1575)),MIN(J1575*(1+$B$87/12),IF($B$86=0,0,IF($B$87=0,$B$86/ROUND($B$88*12,0),$B$86*($B$87/12)/(1-(1+$B$87/12)^(-ROUND($B$88*12,0)))))),""))</x:f>
        <x:v>0</x:v>
      </x:c>
      <x:c r="L1575" s="441" t="n">
        <x:f>IF(ISNUMBER(K1575),IF(MAX(0,J1575*(1+SUM($B$87)/12)-K1575)&lt;MAX(0.0000001,$B$86*0.00000000001),0,MAX(0,J1575*(1+SUM($B$87)/12)-K1575)),"")</x:f>
        <x:v>0</x:v>
      </x:c>
      <x:c r="M1575" s="441" t="n">
        <x:f>IF(AND(ISNUMBER(D1575),ISNUMBER(K1575)),D1575+K1575,"")</x:f>
        <x:v>0</x:v>
      </x:c>
      <x:c r="N1575" s="441" t="n">
        <x:f>IF(AND(ISNUMBER(H1575),ISNUMBER(L1575)),H1575+L1575,"")</x:f>
        <x:v>0</x:v>
      </x:c>
    </x:row>
    <x:row r="1576">
      <x:c r="A1576" t="n">
        <x:f>1176</x:f>
        <x:v>1176</x:v>
      </x:c>
      <x:c r="B1576" s="441" t="n">
        <x:f>IF(ISNUMBER(H1575),H1575,"")</x:f>
        <x:v>0</x:v>
      </x:c>
      <x:c r="C1576" s="443" t="n">
        <x:f>IF(ISNUMBER(B1576),IF(AND(1176&gt;$B$173,$B$78="Refinance",ISNUMBER($B$80),$B$80&gt;=0,$B$80&lt;=1,ROUND($B$81*12,0)&gt;=1,$B$81&lt;=100,SUM($B$82)&gt;=0,SUM($B$82)&lt;=1,SUM($B$83)&gt;=0),$B$80,IF(AND($B$175&gt;0,1176&gt;$B$175,ISNUMBER($B$75)),$B$75,$B$61)),"")</x:f>
        <x:v>0.0625</x:v>
      </x:c>
      <x:c r="D1576" s="441" t="n">
        <x:f>IF(AND(ISNUMBER(B1576),B1576=0),0,IF(AND($B$171=1,I1575=0,ISNUMBER(C1576),ISNUMBER(IF(AND(1176&lt;=$B$174,1176&lt;=$B$173),B1576*C1576/12,IF(AND(1176=$B$173+1,AND(1176&gt;$B$173,$B$78="Refinance",ISNUMBER($B$80),$B$80&gt;=0,$B$80&lt;=1,ROUND($B$81*12,0)&gt;=1,$B$81&lt;=100,SUM($B$82)&gt;=0,SUM($B$82)&lt;=1,SUM($B$83)&gt;=0)),IF(B1576=0,0,IF(C1576=0,B1576/ROUND($B$81*12,0),B1576*(C1576/12)/(1-(1+C1576/12)^(-ROUND($B$81*12,0))))),IF(AND(NOT(AND(1176&gt;$B$173,$B$78="Refinance",ISNUMBER($B$80),$B$80&gt;=0,$B$80&lt;=1,ROUND($B$81*12,0)&gt;=1,$B$81&lt;=100,SUM($B$82)&gt;=0,SUM($B$82)&lt;=1,SUM($B$83)&gt;=0)),OR(1176=1,1176=$B$174+1,AND($B$175&gt;0,1176=$B$175+1))),IF(AND($B$170=1,$B$66&gt;0,OR($B$175=0,1176&lt;=$B$175)),$B$66,IF($B$172-MAX(1176-1,$B$174)&gt;0,IF(B1576=0,0,IF(C1576=0,B1576/($B$172-MAX(1176-1,$B$174)),B1576*(C1576/12)/(1-(1+C1576/12)^(-($B$172-MAX(1176-1,$B$174)))))),"")),D1575))))),IF(IF(AND(1176&lt;=$B$174,1176&lt;=$B$173),B1576*C1576/12,IF(AND(1176=$B$173+1,AND(1176&gt;$B$173,$B$78="Refinance",ISNUMBER($B$80),$B$80&gt;=0,$B$80&lt;=1,ROUND($B$81*12,0)&gt;=1,$B$81&lt;=100,SUM($B$82)&gt;=0,SUM($B$82)&lt;=1,SUM($B$83)&gt;=0)),IF(B1576=0,0,IF(C1576=0,B1576/ROUND($B$81*12,0),B1576*(C1576/12)/(1-(1+C1576/12)^(-ROUND($B$81*12,0))))),IF(AND(NOT(AND(1176&gt;$B$173,$B$78="Refinance",ISNUMBER($B$80),$B$80&gt;=0,$B$80&lt;=1,ROUND($B$81*12,0)&gt;=1,$B$81&lt;=100,SUM($B$82)&gt;=0,SUM($B$82)&lt;=1,SUM($B$83)&gt;=0)),OR(1176=1,1176=$B$174+1,AND($B$175&gt;0,1176=$B$175+1))),IF(AND($B$170=1,$B$66&gt;0,OR($B$175=0,1176&lt;=$B$175)),$B$66,IF($B$172-MAX(1176-1,$B$174)&gt;0,IF(B1576=0,0,IF(C1576=0,B1576/($B$172-MAX(1176-1,$B$174)),B1576*(C1576/12)/(1-(1+C1576/12)^(-($B$172-MAX(1176-1,$B$174)))))),"")),D1575)))+0.0000001&gt;=B1576*C1576/12,MIN(B1576*(1+C1576/12),IF(AND(1176&lt;=$B$174,1176&lt;=$B$173),B1576*C1576/12,IF(AND(1176=$B$173+1,AND(1176&gt;$B$173,$B$78="Refinance",ISNUMBER($B$80),$B$80&gt;=0,$B$80&lt;=1,ROUND($B$81*12,0)&gt;=1,$B$81&lt;=100,SUM($B$82)&gt;=0,SUM($B$82)&lt;=1,SUM($B$83)&gt;=0)),IF(B1576=0,0,IF(C1576=0,B1576/ROUND($B$81*12,0),B1576*(C1576/12)/(1-(1+C1576/12)^(-ROUND($B$81*12,0))))),IF(AND(NOT(AND(1176&gt;$B$173,$B$78="Refinance",ISNUMBER($B$80),$B$80&gt;=0,$B$80&lt;=1,ROUND($B$81*12,0)&gt;=1,$B$81&lt;=100,SUM($B$82)&gt;=0,SUM($B$82)&lt;=1,SUM($B$83)&gt;=0)),OR(1176=1,1176=$B$174+1,AND($B$175&gt;0,1176=$B$175+1))),IF(AND($B$170=1,$B$66&gt;0,OR($B$175=0,1176&lt;=$B$175)),$B$66,IF($B$172-MAX(1176-1,$B$174)&gt;0,IF(B1576=0,0,IF(C1576=0,B1576/($B$172-MAX(1176-1,$B$174)),B1576*(C1576/12)/(1-(1+C1576/12)^(-($B$172-MAX(1176-1,$B$174)))))),"")),D1575)))),""),""))</x:f>
        <x:v>0</x:v>
      </x:c>
      <x:c r="E1576" s="441" t="n">
        <x:f>IF(AND(1176=$B$173,ISNUMBER(D1576)),IF(MAX(0,B1576*(1+C1576/12)-D1576)&lt;MAX(0.0000001,$E$17*0.00000000001),0,MAX(0,B1576*(1+C1576/12)-D1576)),0)</x:f>
        <x:v>0</x:v>
      </x:c>
      <x:c r="F1576" s="441" t="n">
        <x:f>IF($B$78="Cash payoff",E1576,0)</x:f>
        <x:v>0</x:v>
      </x:c>
      <x:c r="G1576" s="441" t="n">
        <x:f>IF(AND(E1576&gt;0,AND($B$78="Refinance",ISNUMBER($B$80),$B$80&gt;=0,$B$80&lt;=1,ROUND($B$81*12,0)&gt;=1,$B$81&lt;=100,SUM($B$82)&gt;=0,SUM($B$82)&lt;=1,SUM($B$83)&gt;=0)),E1576*SUM($B$82)+SUM($B$83),0)</x:f>
        <x:v>0</x:v>
      </x:c>
      <x:c r="H1576" s="441" t="n">
        <x:f>IF(ISNUMBER(D1576),IF(MAX(0,B1576*(1+C1576/12)-D1576-F1576)&lt;MAX(0.0000001,$E$17*0.00000000001),0,MAX(0,B1576*(1+C1576/12)-D1576-F1576)),IF(AND($B$171=1,I1575=1),B1576,""))</x:f>
        <x:v>0</x:v>
      </x:c>
      <x:c r="I1576" s="445" t="n">
        <x:f>IF(OR(I1575=1,AND(E1576&gt;0,$B$78&lt;&gt;"Cash payoff",NOT(AND($B$78="Refinance",ISNUMBER($B$80),$B$80&gt;=0,$B$80&lt;=1,ROUND($B$81*12,0)&gt;=1,$B$81&lt;=100,SUM($B$82)&gt;=0,SUM($B$82)&lt;=1,SUM($B$83)&gt;=0))),AND(ISNUMBER(B1576),B1576&gt;0,$B$171=1,NOT(ISNUMBER(D1576)))),1,0)</x:f>
        <x:v>0</x:v>
      </x:c>
      <x:c r="J1576" s="441" t="n">
        <x:f>IF(ISNUMBER(L1575),L1575,"")</x:f>
        <x:v>0</x:v>
      </x:c>
      <x:c r="K1576" s="441" t="n">
        <x:f>IF(AND(ISNUMBER(J1576),J1576=0),0,IF(AND($B$176=1,ISNUMBER(J1576)),MIN(J1576*(1+$B$87/12),IF($B$86=0,0,IF($B$87=0,$B$86/ROUND($B$88*12,0),$B$86*($B$87/12)/(1-(1+$B$87/12)^(-ROUND($B$88*12,0)))))),""))</x:f>
        <x:v>0</x:v>
      </x:c>
      <x:c r="L1576" s="441" t="n">
        <x:f>IF(ISNUMBER(K1576),IF(MAX(0,J1576*(1+SUM($B$87)/12)-K1576)&lt;MAX(0.0000001,$B$86*0.00000000001),0,MAX(0,J1576*(1+SUM($B$87)/12)-K1576)),"")</x:f>
        <x:v>0</x:v>
      </x:c>
      <x:c r="M1576" s="441" t="n">
        <x:f>IF(AND(ISNUMBER(D1576),ISNUMBER(K1576)),D1576+K1576,"")</x:f>
        <x:v>0</x:v>
      </x:c>
      <x:c r="N1576" s="441" t="n">
        <x:f>IF(AND(ISNUMBER(H1576),ISNUMBER(L1576)),H1576+L1576,"")</x:f>
        <x:v>0</x:v>
      </x:c>
    </x:row>
    <x:row r="1577">
      <x:c r="A1577" t="n">
        <x:f>1177</x:f>
        <x:v>1177</x:v>
      </x:c>
      <x:c r="B1577" s="441" t="n">
        <x:f>IF(ISNUMBER(H1576),H1576,"")</x:f>
        <x:v>0</x:v>
      </x:c>
      <x:c r="C1577" s="443" t="n">
        <x:f>IF(ISNUMBER(B1577),IF(AND(1177&gt;$B$173,$B$78="Refinance",ISNUMBER($B$80),$B$80&gt;=0,$B$80&lt;=1,ROUND($B$81*12,0)&gt;=1,$B$81&lt;=100,SUM($B$82)&gt;=0,SUM($B$82)&lt;=1,SUM($B$83)&gt;=0),$B$80,IF(AND($B$175&gt;0,1177&gt;$B$175,ISNUMBER($B$75)),$B$75,$B$61)),"")</x:f>
        <x:v>0.0625</x:v>
      </x:c>
      <x:c r="D1577" s="441" t="n">
        <x:f>IF(AND(ISNUMBER(B1577),B1577=0),0,IF(AND($B$171=1,I1576=0,ISNUMBER(C1577),ISNUMBER(IF(AND(1177&lt;=$B$174,1177&lt;=$B$173),B1577*C1577/12,IF(AND(1177=$B$173+1,AND(1177&gt;$B$173,$B$78="Refinance",ISNUMBER($B$80),$B$80&gt;=0,$B$80&lt;=1,ROUND($B$81*12,0)&gt;=1,$B$81&lt;=100,SUM($B$82)&gt;=0,SUM($B$82)&lt;=1,SUM($B$83)&gt;=0)),IF(B1577=0,0,IF(C1577=0,B1577/ROUND($B$81*12,0),B1577*(C1577/12)/(1-(1+C1577/12)^(-ROUND($B$81*12,0))))),IF(AND(NOT(AND(1177&gt;$B$173,$B$78="Refinance",ISNUMBER($B$80),$B$80&gt;=0,$B$80&lt;=1,ROUND($B$81*12,0)&gt;=1,$B$81&lt;=100,SUM($B$82)&gt;=0,SUM($B$82)&lt;=1,SUM($B$83)&gt;=0)),OR(1177=1,1177=$B$174+1,AND($B$175&gt;0,1177=$B$175+1))),IF(AND($B$170=1,$B$66&gt;0,OR($B$175=0,1177&lt;=$B$175)),$B$66,IF($B$172-MAX(1177-1,$B$174)&gt;0,IF(B1577=0,0,IF(C1577=0,B1577/($B$172-MAX(1177-1,$B$174)),B1577*(C1577/12)/(1-(1+C1577/12)^(-($B$172-MAX(1177-1,$B$174)))))),"")),D1576))))),IF(IF(AND(1177&lt;=$B$174,1177&lt;=$B$173),B1577*C1577/12,IF(AND(1177=$B$173+1,AND(1177&gt;$B$173,$B$78="Refinance",ISNUMBER($B$80),$B$80&gt;=0,$B$80&lt;=1,ROUND($B$81*12,0)&gt;=1,$B$81&lt;=100,SUM($B$82)&gt;=0,SUM($B$82)&lt;=1,SUM($B$83)&gt;=0)),IF(B1577=0,0,IF(C1577=0,B1577/ROUND($B$81*12,0),B1577*(C1577/12)/(1-(1+C1577/12)^(-ROUND($B$81*12,0))))),IF(AND(NOT(AND(1177&gt;$B$173,$B$78="Refinance",ISNUMBER($B$80),$B$80&gt;=0,$B$80&lt;=1,ROUND($B$81*12,0)&gt;=1,$B$81&lt;=100,SUM($B$82)&gt;=0,SUM($B$82)&lt;=1,SUM($B$83)&gt;=0)),OR(1177=1,1177=$B$174+1,AND($B$175&gt;0,1177=$B$175+1))),IF(AND($B$170=1,$B$66&gt;0,OR($B$175=0,1177&lt;=$B$175)),$B$66,IF($B$172-MAX(1177-1,$B$174)&gt;0,IF(B1577=0,0,IF(C1577=0,B1577/($B$172-MAX(1177-1,$B$174)),B1577*(C1577/12)/(1-(1+C1577/12)^(-($B$172-MAX(1177-1,$B$174)))))),"")),D1576)))+0.0000001&gt;=B1577*C1577/12,MIN(B1577*(1+C1577/12),IF(AND(1177&lt;=$B$174,1177&lt;=$B$173),B1577*C1577/12,IF(AND(1177=$B$173+1,AND(1177&gt;$B$173,$B$78="Refinance",ISNUMBER($B$80),$B$80&gt;=0,$B$80&lt;=1,ROUND($B$81*12,0)&gt;=1,$B$81&lt;=100,SUM($B$82)&gt;=0,SUM($B$82)&lt;=1,SUM($B$83)&gt;=0)),IF(B1577=0,0,IF(C1577=0,B1577/ROUND($B$81*12,0),B1577*(C1577/12)/(1-(1+C1577/12)^(-ROUND($B$81*12,0))))),IF(AND(NOT(AND(1177&gt;$B$173,$B$78="Refinance",ISNUMBER($B$80),$B$80&gt;=0,$B$80&lt;=1,ROUND($B$81*12,0)&gt;=1,$B$81&lt;=100,SUM($B$82)&gt;=0,SUM($B$82)&lt;=1,SUM($B$83)&gt;=0)),OR(1177=1,1177=$B$174+1,AND($B$175&gt;0,1177=$B$175+1))),IF(AND($B$170=1,$B$66&gt;0,OR($B$175=0,1177&lt;=$B$175)),$B$66,IF($B$172-MAX(1177-1,$B$174)&gt;0,IF(B1577=0,0,IF(C1577=0,B1577/($B$172-MAX(1177-1,$B$174)),B1577*(C1577/12)/(1-(1+C1577/12)^(-($B$172-MAX(1177-1,$B$174)))))),"")),D1576)))),""),""))</x:f>
        <x:v>0</x:v>
      </x:c>
      <x:c r="E1577" s="441" t="n">
        <x:f>IF(AND(1177=$B$173,ISNUMBER(D1577)),IF(MAX(0,B1577*(1+C1577/12)-D1577)&lt;MAX(0.0000001,$E$17*0.00000000001),0,MAX(0,B1577*(1+C1577/12)-D1577)),0)</x:f>
        <x:v>0</x:v>
      </x:c>
      <x:c r="F1577" s="441" t="n">
        <x:f>IF($B$78="Cash payoff",E1577,0)</x:f>
        <x:v>0</x:v>
      </x:c>
      <x:c r="G1577" s="441" t="n">
        <x:f>IF(AND(E1577&gt;0,AND($B$78="Refinance",ISNUMBER($B$80),$B$80&gt;=0,$B$80&lt;=1,ROUND($B$81*12,0)&gt;=1,$B$81&lt;=100,SUM($B$82)&gt;=0,SUM($B$82)&lt;=1,SUM($B$83)&gt;=0)),E1577*SUM($B$82)+SUM($B$83),0)</x:f>
        <x:v>0</x:v>
      </x:c>
      <x:c r="H1577" s="441" t="n">
        <x:f>IF(ISNUMBER(D1577),IF(MAX(0,B1577*(1+C1577/12)-D1577-F1577)&lt;MAX(0.0000001,$E$17*0.00000000001),0,MAX(0,B1577*(1+C1577/12)-D1577-F1577)),IF(AND($B$171=1,I1576=1),B1577,""))</x:f>
        <x:v>0</x:v>
      </x:c>
      <x:c r="I1577" s="445" t="n">
        <x:f>IF(OR(I1576=1,AND(E1577&gt;0,$B$78&lt;&gt;"Cash payoff",NOT(AND($B$78="Refinance",ISNUMBER($B$80),$B$80&gt;=0,$B$80&lt;=1,ROUND($B$81*12,0)&gt;=1,$B$81&lt;=100,SUM($B$82)&gt;=0,SUM($B$82)&lt;=1,SUM($B$83)&gt;=0))),AND(ISNUMBER(B1577),B1577&gt;0,$B$171=1,NOT(ISNUMBER(D1577)))),1,0)</x:f>
        <x:v>0</x:v>
      </x:c>
      <x:c r="J1577" s="441" t="n">
        <x:f>IF(ISNUMBER(L1576),L1576,"")</x:f>
        <x:v>0</x:v>
      </x:c>
      <x:c r="K1577" s="441" t="n">
        <x:f>IF(AND(ISNUMBER(J1577),J1577=0),0,IF(AND($B$176=1,ISNUMBER(J1577)),MIN(J1577*(1+$B$87/12),IF($B$86=0,0,IF($B$87=0,$B$86/ROUND($B$88*12,0),$B$86*($B$87/12)/(1-(1+$B$87/12)^(-ROUND($B$88*12,0)))))),""))</x:f>
        <x:v>0</x:v>
      </x:c>
      <x:c r="L1577" s="441" t="n">
        <x:f>IF(ISNUMBER(K1577),IF(MAX(0,J1577*(1+SUM($B$87)/12)-K1577)&lt;MAX(0.0000001,$B$86*0.00000000001),0,MAX(0,J1577*(1+SUM($B$87)/12)-K1577)),"")</x:f>
        <x:v>0</x:v>
      </x:c>
      <x:c r="M1577" s="441" t="n">
        <x:f>IF(AND(ISNUMBER(D1577),ISNUMBER(K1577)),D1577+K1577,"")</x:f>
        <x:v>0</x:v>
      </x:c>
      <x:c r="N1577" s="441" t="n">
        <x:f>IF(AND(ISNUMBER(H1577),ISNUMBER(L1577)),H1577+L1577,"")</x:f>
        <x:v>0</x:v>
      </x:c>
    </x:row>
    <x:row r="1578">
      <x:c r="A1578" t="n">
        <x:f>1178</x:f>
        <x:v>1178</x:v>
      </x:c>
      <x:c r="B1578" s="441" t="n">
        <x:f>IF(ISNUMBER(H1577),H1577,"")</x:f>
        <x:v>0</x:v>
      </x:c>
      <x:c r="C1578" s="443" t="n">
        <x:f>IF(ISNUMBER(B1578),IF(AND(1178&gt;$B$173,$B$78="Refinance",ISNUMBER($B$80),$B$80&gt;=0,$B$80&lt;=1,ROUND($B$81*12,0)&gt;=1,$B$81&lt;=100,SUM($B$82)&gt;=0,SUM($B$82)&lt;=1,SUM($B$83)&gt;=0),$B$80,IF(AND($B$175&gt;0,1178&gt;$B$175,ISNUMBER($B$75)),$B$75,$B$61)),"")</x:f>
        <x:v>0.0625</x:v>
      </x:c>
      <x:c r="D1578" s="441" t="n">
        <x:f>IF(AND(ISNUMBER(B1578),B1578=0),0,IF(AND($B$171=1,I1577=0,ISNUMBER(C1578),ISNUMBER(IF(AND(1178&lt;=$B$174,1178&lt;=$B$173),B1578*C1578/12,IF(AND(1178=$B$173+1,AND(1178&gt;$B$173,$B$78="Refinance",ISNUMBER($B$80),$B$80&gt;=0,$B$80&lt;=1,ROUND($B$81*12,0)&gt;=1,$B$81&lt;=100,SUM($B$82)&gt;=0,SUM($B$82)&lt;=1,SUM($B$83)&gt;=0)),IF(B1578=0,0,IF(C1578=0,B1578/ROUND($B$81*12,0),B1578*(C1578/12)/(1-(1+C1578/12)^(-ROUND($B$81*12,0))))),IF(AND(NOT(AND(1178&gt;$B$173,$B$78="Refinance",ISNUMBER($B$80),$B$80&gt;=0,$B$80&lt;=1,ROUND($B$81*12,0)&gt;=1,$B$81&lt;=100,SUM($B$82)&gt;=0,SUM($B$82)&lt;=1,SUM($B$83)&gt;=0)),OR(1178=1,1178=$B$174+1,AND($B$175&gt;0,1178=$B$175+1))),IF(AND($B$170=1,$B$66&gt;0,OR($B$175=0,1178&lt;=$B$175)),$B$66,IF($B$172-MAX(1178-1,$B$174)&gt;0,IF(B1578=0,0,IF(C1578=0,B1578/($B$172-MAX(1178-1,$B$174)),B1578*(C1578/12)/(1-(1+C1578/12)^(-($B$172-MAX(1178-1,$B$174)))))),"")),D1577))))),IF(IF(AND(1178&lt;=$B$174,1178&lt;=$B$173),B1578*C1578/12,IF(AND(1178=$B$173+1,AND(1178&gt;$B$173,$B$78="Refinance",ISNUMBER($B$80),$B$80&gt;=0,$B$80&lt;=1,ROUND($B$81*12,0)&gt;=1,$B$81&lt;=100,SUM($B$82)&gt;=0,SUM($B$82)&lt;=1,SUM($B$83)&gt;=0)),IF(B1578=0,0,IF(C1578=0,B1578/ROUND($B$81*12,0),B1578*(C1578/12)/(1-(1+C1578/12)^(-ROUND($B$81*12,0))))),IF(AND(NOT(AND(1178&gt;$B$173,$B$78="Refinance",ISNUMBER($B$80),$B$80&gt;=0,$B$80&lt;=1,ROUND($B$81*12,0)&gt;=1,$B$81&lt;=100,SUM($B$82)&gt;=0,SUM($B$82)&lt;=1,SUM($B$83)&gt;=0)),OR(1178=1,1178=$B$174+1,AND($B$175&gt;0,1178=$B$175+1))),IF(AND($B$170=1,$B$66&gt;0,OR($B$175=0,1178&lt;=$B$175)),$B$66,IF($B$172-MAX(1178-1,$B$174)&gt;0,IF(B1578=0,0,IF(C1578=0,B1578/($B$172-MAX(1178-1,$B$174)),B1578*(C1578/12)/(1-(1+C1578/12)^(-($B$172-MAX(1178-1,$B$174)))))),"")),D1577)))+0.0000001&gt;=B1578*C1578/12,MIN(B1578*(1+C1578/12),IF(AND(1178&lt;=$B$174,1178&lt;=$B$173),B1578*C1578/12,IF(AND(1178=$B$173+1,AND(1178&gt;$B$173,$B$78="Refinance",ISNUMBER($B$80),$B$80&gt;=0,$B$80&lt;=1,ROUND($B$81*12,0)&gt;=1,$B$81&lt;=100,SUM($B$82)&gt;=0,SUM($B$82)&lt;=1,SUM($B$83)&gt;=0)),IF(B1578=0,0,IF(C1578=0,B1578/ROUND($B$81*12,0),B1578*(C1578/12)/(1-(1+C1578/12)^(-ROUND($B$81*12,0))))),IF(AND(NOT(AND(1178&gt;$B$173,$B$78="Refinance",ISNUMBER($B$80),$B$80&gt;=0,$B$80&lt;=1,ROUND($B$81*12,0)&gt;=1,$B$81&lt;=100,SUM($B$82)&gt;=0,SUM($B$82)&lt;=1,SUM($B$83)&gt;=0)),OR(1178=1,1178=$B$174+1,AND($B$175&gt;0,1178=$B$175+1))),IF(AND($B$170=1,$B$66&gt;0,OR($B$175=0,1178&lt;=$B$175)),$B$66,IF($B$172-MAX(1178-1,$B$174)&gt;0,IF(B1578=0,0,IF(C1578=0,B1578/($B$172-MAX(1178-1,$B$174)),B1578*(C1578/12)/(1-(1+C1578/12)^(-($B$172-MAX(1178-1,$B$174)))))),"")),D1577)))),""),""))</x:f>
        <x:v>0</x:v>
      </x:c>
      <x:c r="E1578" s="441" t="n">
        <x:f>IF(AND(1178=$B$173,ISNUMBER(D1578)),IF(MAX(0,B1578*(1+C1578/12)-D1578)&lt;MAX(0.0000001,$E$17*0.00000000001),0,MAX(0,B1578*(1+C1578/12)-D1578)),0)</x:f>
        <x:v>0</x:v>
      </x:c>
      <x:c r="F1578" s="441" t="n">
        <x:f>IF($B$78="Cash payoff",E1578,0)</x:f>
        <x:v>0</x:v>
      </x:c>
      <x:c r="G1578" s="441" t="n">
        <x:f>IF(AND(E1578&gt;0,AND($B$78="Refinance",ISNUMBER($B$80),$B$80&gt;=0,$B$80&lt;=1,ROUND($B$81*12,0)&gt;=1,$B$81&lt;=100,SUM($B$82)&gt;=0,SUM($B$82)&lt;=1,SUM($B$83)&gt;=0)),E1578*SUM($B$82)+SUM($B$83),0)</x:f>
        <x:v>0</x:v>
      </x:c>
      <x:c r="H1578" s="441" t="n">
        <x:f>IF(ISNUMBER(D1578),IF(MAX(0,B1578*(1+C1578/12)-D1578-F1578)&lt;MAX(0.0000001,$E$17*0.00000000001),0,MAX(0,B1578*(1+C1578/12)-D1578-F1578)),IF(AND($B$171=1,I1577=1),B1578,""))</x:f>
        <x:v>0</x:v>
      </x:c>
      <x:c r="I1578" s="445" t="n">
        <x:f>IF(OR(I1577=1,AND(E1578&gt;0,$B$78&lt;&gt;"Cash payoff",NOT(AND($B$78="Refinance",ISNUMBER($B$80),$B$80&gt;=0,$B$80&lt;=1,ROUND($B$81*12,0)&gt;=1,$B$81&lt;=100,SUM($B$82)&gt;=0,SUM($B$82)&lt;=1,SUM($B$83)&gt;=0))),AND(ISNUMBER(B1578),B1578&gt;0,$B$171=1,NOT(ISNUMBER(D1578)))),1,0)</x:f>
        <x:v>0</x:v>
      </x:c>
      <x:c r="J1578" s="441" t="n">
        <x:f>IF(ISNUMBER(L1577),L1577,"")</x:f>
        <x:v>0</x:v>
      </x:c>
      <x:c r="K1578" s="441" t="n">
        <x:f>IF(AND(ISNUMBER(J1578),J1578=0),0,IF(AND($B$176=1,ISNUMBER(J1578)),MIN(J1578*(1+$B$87/12),IF($B$86=0,0,IF($B$87=0,$B$86/ROUND($B$88*12,0),$B$86*($B$87/12)/(1-(1+$B$87/12)^(-ROUND($B$88*12,0)))))),""))</x:f>
        <x:v>0</x:v>
      </x:c>
      <x:c r="L1578" s="441" t="n">
        <x:f>IF(ISNUMBER(K1578),IF(MAX(0,J1578*(1+SUM($B$87)/12)-K1578)&lt;MAX(0.0000001,$B$86*0.00000000001),0,MAX(0,J1578*(1+SUM($B$87)/12)-K1578)),"")</x:f>
        <x:v>0</x:v>
      </x:c>
      <x:c r="M1578" s="441" t="n">
        <x:f>IF(AND(ISNUMBER(D1578),ISNUMBER(K1578)),D1578+K1578,"")</x:f>
        <x:v>0</x:v>
      </x:c>
      <x:c r="N1578" s="441" t="n">
        <x:f>IF(AND(ISNUMBER(H1578),ISNUMBER(L1578)),H1578+L1578,"")</x:f>
        <x:v>0</x:v>
      </x:c>
    </x:row>
    <x:row r="1579">
      <x:c r="A1579" t="n">
        <x:f>1179</x:f>
        <x:v>1179</x:v>
      </x:c>
      <x:c r="B1579" s="441" t="n">
        <x:f>IF(ISNUMBER(H1578),H1578,"")</x:f>
        <x:v>0</x:v>
      </x:c>
      <x:c r="C1579" s="443" t="n">
        <x:f>IF(ISNUMBER(B1579),IF(AND(1179&gt;$B$173,$B$78="Refinance",ISNUMBER($B$80),$B$80&gt;=0,$B$80&lt;=1,ROUND($B$81*12,0)&gt;=1,$B$81&lt;=100,SUM($B$82)&gt;=0,SUM($B$82)&lt;=1,SUM($B$83)&gt;=0),$B$80,IF(AND($B$175&gt;0,1179&gt;$B$175,ISNUMBER($B$75)),$B$75,$B$61)),"")</x:f>
        <x:v>0.0625</x:v>
      </x:c>
      <x:c r="D1579" s="441" t="n">
        <x:f>IF(AND(ISNUMBER(B1579),B1579=0),0,IF(AND($B$171=1,I1578=0,ISNUMBER(C1579),ISNUMBER(IF(AND(1179&lt;=$B$174,1179&lt;=$B$173),B1579*C1579/12,IF(AND(1179=$B$173+1,AND(1179&gt;$B$173,$B$78="Refinance",ISNUMBER($B$80),$B$80&gt;=0,$B$80&lt;=1,ROUND($B$81*12,0)&gt;=1,$B$81&lt;=100,SUM($B$82)&gt;=0,SUM($B$82)&lt;=1,SUM($B$83)&gt;=0)),IF(B1579=0,0,IF(C1579=0,B1579/ROUND($B$81*12,0),B1579*(C1579/12)/(1-(1+C1579/12)^(-ROUND($B$81*12,0))))),IF(AND(NOT(AND(1179&gt;$B$173,$B$78="Refinance",ISNUMBER($B$80),$B$80&gt;=0,$B$80&lt;=1,ROUND($B$81*12,0)&gt;=1,$B$81&lt;=100,SUM($B$82)&gt;=0,SUM($B$82)&lt;=1,SUM($B$83)&gt;=0)),OR(1179=1,1179=$B$174+1,AND($B$175&gt;0,1179=$B$175+1))),IF(AND($B$170=1,$B$66&gt;0,OR($B$175=0,1179&lt;=$B$175)),$B$66,IF($B$172-MAX(1179-1,$B$174)&gt;0,IF(B1579=0,0,IF(C1579=0,B1579/($B$172-MAX(1179-1,$B$174)),B1579*(C1579/12)/(1-(1+C1579/12)^(-($B$172-MAX(1179-1,$B$174)))))),"")),D1578))))),IF(IF(AND(1179&lt;=$B$174,1179&lt;=$B$173),B1579*C1579/12,IF(AND(1179=$B$173+1,AND(1179&gt;$B$173,$B$78="Refinance",ISNUMBER($B$80),$B$80&gt;=0,$B$80&lt;=1,ROUND($B$81*12,0)&gt;=1,$B$81&lt;=100,SUM($B$82)&gt;=0,SUM($B$82)&lt;=1,SUM($B$83)&gt;=0)),IF(B1579=0,0,IF(C1579=0,B1579/ROUND($B$81*12,0),B1579*(C1579/12)/(1-(1+C1579/12)^(-ROUND($B$81*12,0))))),IF(AND(NOT(AND(1179&gt;$B$173,$B$78="Refinance",ISNUMBER($B$80),$B$80&gt;=0,$B$80&lt;=1,ROUND($B$81*12,0)&gt;=1,$B$81&lt;=100,SUM($B$82)&gt;=0,SUM($B$82)&lt;=1,SUM($B$83)&gt;=0)),OR(1179=1,1179=$B$174+1,AND($B$175&gt;0,1179=$B$175+1))),IF(AND($B$170=1,$B$66&gt;0,OR($B$175=0,1179&lt;=$B$175)),$B$66,IF($B$172-MAX(1179-1,$B$174)&gt;0,IF(B1579=0,0,IF(C1579=0,B1579/($B$172-MAX(1179-1,$B$174)),B1579*(C1579/12)/(1-(1+C1579/12)^(-($B$172-MAX(1179-1,$B$174)))))),"")),D1578)))+0.0000001&gt;=B1579*C1579/12,MIN(B1579*(1+C1579/12),IF(AND(1179&lt;=$B$174,1179&lt;=$B$173),B1579*C1579/12,IF(AND(1179=$B$173+1,AND(1179&gt;$B$173,$B$78="Refinance",ISNUMBER($B$80),$B$80&gt;=0,$B$80&lt;=1,ROUND($B$81*12,0)&gt;=1,$B$81&lt;=100,SUM($B$82)&gt;=0,SUM($B$82)&lt;=1,SUM($B$83)&gt;=0)),IF(B1579=0,0,IF(C1579=0,B1579/ROUND($B$81*12,0),B1579*(C1579/12)/(1-(1+C1579/12)^(-ROUND($B$81*12,0))))),IF(AND(NOT(AND(1179&gt;$B$173,$B$78="Refinance",ISNUMBER($B$80),$B$80&gt;=0,$B$80&lt;=1,ROUND($B$81*12,0)&gt;=1,$B$81&lt;=100,SUM($B$82)&gt;=0,SUM($B$82)&lt;=1,SUM($B$83)&gt;=0)),OR(1179=1,1179=$B$174+1,AND($B$175&gt;0,1179=$B$175+1))),IF(AND($B$170=1,$B$66&gt;0,OR($B$175=0,1179&lt;=$B$175)),$B$66,IF($B$172-MAX(1179-1,$B$174)&gt;0,IF(B1579=0,0,IF(C1579=0,B1579/($B$172-MAX(1179-1,$B$174)),B1579*(C1579/12)/(1-(1+C1579/12)^(-($B$172-MAX(1179-1,$B$174)))))),"")),D1578)))),""),""))</x:f>
        <x:v>0</x:v>
      </x:c>
      <x:c r="E1579" s="441" t="n">
        <x:f>IF(AND(1179=$B$173,ISNUMBER(D1579)),IF(MAX(0,B1579*(1+C1579/12)-D1579)&lt;MAX(0.0000001,$E$17*0.00000000001),0,MAX(0,B1579*(1+C1579/12)-D1579)),0)</x:f>
        <x:v>0</x:v>
      </x:c>
      <x:c r="F1579" s="441" t="n">
        <x:f>IF($B$78="Cash payoff",E1579,0)</x:f>
        <x:v>0</x:v>
      </x:c>
      <x:c r="G1579" s="441" t="n">
        <x:f>IF(AND(E1579&gt;0,AND($B$78="Refinance",ISNUMBER($B$80),$B$80&gt;=0,$B$80&lt;=1,ROUND($B$81*12,0)&gt;=1,$B$81&lt;=100,SUM($B$82)&gt;=0,SUM($B$82)&lt;=1,SUM($B$83)&gt;=0)),E1579*SUM($B$82)+SUM($B$83),0)</x:f>
        <x:v>0</x:v>
      </x:c>
      <x:c r="H1579" s="441" t="n">
        <x:f>IF(ISNUMBER(D1579),IF(MAX(0,B1579*(1+C1579/12)-D1579-F1579)&lt;MAX(0.0000001,$E$17*0.00000000001),0,MAX(0,B1579*(1+C1579/12)-D1579-F1579)),IF(AND($B$171=1,I1578=1),B1579,""))</x:f>
        <x:v>0</x:v>
      </x:c>
      <x:c r="I1579" s="445" t="n">
        <x:f>IF(OR(I1578=1,AND(E1579&gt;0,$B$78&lt;&gt;"Cash payoff",NOT(AND($B$78="Refinance",ISNUMBER($B$80),$B$80&gt;=0,$B$80&lt;=1,ROUND($B$81*12,0)&gt;=1,$B$81&lt;=100,SUM($B$82)&gt;=0,SUM($B$82)&lt;=1,SUM($B$83)&gt;=0))),AND(ISNUMBER(B1579),B1579&gt;0,$B$171=1,NOT(ISNUMBER(D1579)))),1,0)</x:f>
        <x:v>0</x:v>
      </x:c>
      <x:c r="J1579" s="441" t="n">
        <x:f>IF(ISNUMBER(L1578),L1578,"")</x:f>
        <x:v>0</x:v>
      </x:c>
      <x:c r="K1579" s="441" t="n">
        <x:f>IF(AND(ISNUMBER(J1579),J1579=0),0,IF(AND($B$176=1,ISNUMBER(J1579)),MIN(J1579*(1+$B$87/12),IF($B$86=0,0,IF($B$87=0,$B$86/ROUND($B$88*12,0),$B$86*($B$87/12)/(1-(1+$B$87/12)^(-ROUND($B$88*12,0)))))),""))</x:f>
        <x:v>0</x:v>
      </x:c>
      <x:c r="L1579" s="441" t="n">
        <x:f>IF(ISNUMBER(K1579),IF(MAX(0,J1579*(1+SUM($B$87)/12)-K1579)&lt;MAX(0.0000001,$B$86*0.00000000001),0,MAX(0,J1579*(1+SUM($B$87)/12)-K1579)),"")</x:f>
        <x:v>0</x:v>
      </x:c>
      <x:c r="M1579" s="441" t="n">
        <x:f>IF(AND(ISNUMBER(D1579),ISNUMBER(K1579)),D1579+K1579,"")</x:f>
        <x:v>0</x:v>
      </x:c>
      <x:c r="N1579" s="441" t="n">
        <x:f>IF(AND(ISNUMBER(H1579),ISNUMBER(L1579)),H1579+L1579,"")</x:f>
        <x:v>0</x:v>
      </x:c>
    </x:row>
    <x:row r="1580">
      <x:c r="A1580" t="n">
        <x:f>1180</x:f>
        <x:v>1180</x:v>
      </x:c>
      <x:c r="B1580" s="441" t="n">
        <x:f>IF(ISNUMBER(H1579),H1579,"")</x:f>
        <x:v>0</x:v>
      </x:c>
      <x:c r="C1580" s="443" t="n">
        <x:f>IF(ISNUMBER(B1580),IF(AND(1180&gt;$B$173,$B$78="Refinance",ISNUMBER($B$80),$B$80&gt;=0,$B$80&lt;=1,ROUND($B$81*12,0)&gt;=1,$B$81&lt;=100,SUM($B$82)&gt;=0,SUM($B$82)&lt;=1,SUM($B$83)&gt;=0),$B$80,IF(AND($B$175&gt;0,1180&gt;$B$175,ISNUMBER($B$75)),$B$75,$B$61)),"")</x:f>
        <x:v>0.0625</x:v>
      </x:c>
      <x:c r="D1580" s="441" t="n">
        <x:f>IF(AND(ISNUMBER(B1580),B1580=0),0,IF(AND($B$171=1,I1579=0,ISNUMBER(C1580),ISNUMBER(IF(AND(1180&lt;=$B$174,1180&lt;=$B$173),B1580*C1580/12,IF(AND(1180=$B$173+1,AND(1180&gt;$B$173,$B$78="Refinance",ISNUMBER($B$80),$B$80&gt;=0,$B$80&lt;=1,ROUND($B$81*12,0)&gt;=1,$B$81&lt;=100,SUM($B$82)&gt;=0,SUM($B$82)&lt;=1,SUM($B$83)&gt;=0)),IF(B1580=0,0,IF(C1580=0,B1580/ROUND($B$81*12,0),B1580*(C1580/12)/(1-(1+C1580/12)^(-ROUND($B$81*12,0))))),IF(AND(NOT(AND(1180&gt;$B$173,$B$78="Refinance",ISNUMBER($B$80),$B$80&gt;=0,$B$80&lt;=1,ROUND($B$81*12,0)&gt;=1,$B$81&lt;=100,SUM($B$82)&gt;=0,SUM($B$82)&lt;=1,SUM($B$83)&gt;=0)),OR(1180=1,1180=$B$174+1,AND($B$175&gt;0,1180=$B$175+1))),IF(AND($B$170=1,$B$66&gt;0,OR($B$175=0,1180&lt;=$B$175)),$B$66,IF($B$172-MAX(1180-1,$B$174)&gt;0,IF(B1580=0,0,IF(C1580=0,B1580/($B$172-MAX(1180-1,$B$174)),B1580*(C1580/12)/(1-(1+C1580/12)^(-($B$172-MAX(1180-1,$B$174)))))),"")),D1579))))),IF(IF(AND(1180&lt;=$B$174,1180&lt;=$B$173),B1580*C1580/12,IF(AND(1180=$B$173+1,AND(1180&gt;$B$173,$B$78="Refinance",ISNUMBER($B$80),$B$80&gt;=0,$B$80&lt;=1,ROUND($B$81*12,0)&gt;=1,$B$81&lt;=100,SUM($B$82)&gt;=0,SUM($B$82)&lt;=1,SUM($B$83)&gt;=0)),IF(B1580=0,0,IF(C1580=0,B1580/ROUND($B$81*12,0),B1580*(C1580/12)/(1-(1+C1580/12)^(-ROUND($B$81*12,0))))),IF(AND(NOT(AND(1180&gt;$B$173,$B$78="Refinance",ISNUMBER($B$80),$B$80&gt;=0,$B$80&lt;=1,ROUND($B$81*12,0)&gt;=1,$B$81&lt;=100,SUM($B$82)&gt;=0,SUM($B$82)&lt;=1,SUM($B$83)&gt;=0)),OR(1180=1,1180=$B$174+1,AND($B$175&gt;0,1180=$B$175+1))),IF(AND($B$170=1,$B$66&gt;0,OR($B$175=0,1180&lt;=$B$175)),$B$66,IF($B$172-MAX(1180-1,$B$174)&gt;0,IF(B1580=0,0,IF(C1580=0,B1580/($B$172-MAX(1180-1,$B$174)),B1580*(C1580/12)/(1-(1+C1580/12)^(-($B$172-MAX(1180-1,$B$174)))))),"")),D1579)))+0.0000001&gt;=B1580*C1580/12,MIN(B1580*(1+C1580/12),IF(AND(1180&lt;=$B$174,1180&lt;=$B$173),B1580*C1580/12,IF(AND(1180=$B$173+1,AND(1180&gt;$B$173,$B$78="Refinance",ISNUMBER($B$80),$B$80&gt;=0,$B$80&lt;=1,ROUND($B$81*12,0)&gt;=1,$B$81&lt;=100,SUM($B$82)&gt;=0,SUM($B$82)&lt;=1,SUM($B$83)&gt;=0)),IF(B1580=0,0,IF(C1580=0,B1580/ROUND($B$81*12,0),B1580*(C1580/12)/(1-(1+C1580/12)^(-ROUND($B$81*12,0))))),IF(AND(NOT(AND(1180&gt;$B$173,$B$78="Refinance",ISNUMBER($B$80),$B$80&gt;=0,$B$80&lt;=1,ROUND($B$81*12,0)&gt;=1,$B$81&lt;=100,SUM($B$82)&gt;=0,SUM($B$82)&lt;=1,SUM($B$83)&gt;=0)),OR(1180=1,1180=$B$174+1,AND($B$175&gt;0,1180=$B$175+1))),IF(AND($B$170=1,$B$66&gt;0,OR($B$175=0,1180&lt;=$B$175)),$B$66,IF($B$172-MAX(1180-1,$B$174)&gt;0,IF(B1580=0,0,IF(C1580=0,B1580/($B$172-MAX(1180-1,$B$174)),B1580*(C1580/12)/(1-(1+C1580/12)^(-($B$172-MAX(1180-1,$B$174)))))),"")),D1579)))),""),""))</x:f>
        <x:v>0</x:v>
      </x:c>
      <x:c r="E1580" s="441" t="n">
        <x:f>IF(AND(1180=$B$173,ISNUMBER(D1580)),IF(MAX(0,B1580*(1+C1580/12)-D1580)&lt;MAX(0.0000001,$E$17*0.00000000001),0,MAX(0,B1580*(1+C1580/12)-D1580)),0)</x:f>
        <x:v>0</x:v>
      </x:c>
      <x:c r="F1580" s="441" t="n">
        <x:f>IF($B$78="Cash payoff",E1580,0)</x:f>
        <x:v>0</x:v>
      </x:c>
      <x:c r="G1580" s="441" t="n">
        <x:f>IF(AND(E1580&gt;0,AND($B$78="Refinance",ISNUMBER($B$80),$B$80&gt;=0,$B$80&lt;=1,ROUND($B$81*12,0)&gt;=1,$B$81&lt;=100,SUM($B$82)&gt;=0,SUM($B$82)&lt;=1,SUM($B$83)&gt;=0)),E1580*SUM($B$82)+SUM($B$83),0)</x:f>
        <x:v>0</x:v>
      </x:c>
      <x:c r="H1580" s="441" t="n">
        <x:f>IF(ISNUMBER(D1580),IF(MAX(0,B1580*(1+C1580/12)-D1580-F1580)&lt;MAX(0.0000001,$E$17*0.00000000001),0,MAX(0,B1580*(1+C1580/12)-D1580-F1580)),IF(AND($B$171=1,I1579=1),B1580,""))</x:f>
        <x:v>0</x:v>
      </x:c>
      <x:c r="I1580" s="445" t="n">
        <x:f>IF(OR(I1579=1,AND(E1580&gt;0,$B$78&lt;&gt;"Cash payoff",NOT(AND($B$78="Refinance",ISNUMBER($B$80),$B$80&gt;=0,$B$80&lt;=1,ROUND($B$81*12,0)&gt;=1,$B$81&lt;=100,SUM($B$82)&gt;=0,SUM($B$82)&lt;=1,SUM($B$83)&gt;=0))),AND(ISNUMBER(B1580),B1580&gt;0,$B$171=1,NOT(ISNUMBER(D1580)))),1,0)</x:f>
        <x:v>0</x:v>
      </x:c>
      <x:c r="J1580" s="441" t="n">
        <x:f>IF(ISNUMBER(L1579),L1579,"")</x:f>
        <x:v>0</x:v>
      </x:c>
      <x:c r="K1580" s="441" t="n">
        <x:f>IF(AND(ISNUMBER(J1580),J1580=0),0,IF(AND($B$176=1,ISNUMBER(J1580)),MIN(J1580*(1+$B$87/12),IF($B$86=0,0,IF($B$87=0,$B$86/ROUND($B$88*12,0),$B$86*($B$87/12)/(1-(1+$B$87/12)^(-ROUND($B$88*12,0)))))),""))</x:f>
        <x:v>0</x:v>
      </x:c>
      <x:c r="L1580" s="441" t="n">
        <x:f>IF(ISNUMBER(K1580),IF(MAX(0,J1580*(1+SUM($B$87)/12)-K1580)&lt;MAX(0.0000001,$B$86*0.00000000001),0,MAX(0,J1580*(1+SUM($B$87)/12)-K1580)),"")</x:f>
        <x:v>0</x:v>
      </x:c>
      <x:c r="M1580" s="441" t="n">
        <x:f>IF(AND(ISNUMBER(D1580),ISNUMBER(K1580)),D1580+K1580,"")</x:f>
        <x:v>0</x:v>
      </x:c>
      <x:c r="N1580" s="441" t="n">
        <x:f>IF(AND(ISNUMBER(H1580),ISNUMBER(L1580)),H1580+L1580,"")</x:f>
        <x:v>0</x:v>
      </x:c>
    </x:row>
    <x:row r="1581">
      <x:c r="A1581" t="n">
        <x:f>1181</x:f>
        <x:v>1181</x:v>
      </x:c>
      <x:c r="B1581" s="441" t="n">
        <x:f>IF(ISNUMBER(H1580),H1580,"")</x:f>
        <x:v>0</x:v>
      </x:c>
      <x:c r="C1581" s="443" t="n">
        <x:f>IF(ISNUMBER(B1581),IF(AND(1181&gt;$B$173,$B$78="Refinance",ISNUMBER($B$80),$B$80&gt;=0,$B$80&lt;=1,ROUND($B$81*12,0)&gt;=1,$B$81&lt;=100,SUM($B$82)&gt;=0,SUM($B$82)&lt;=1,SUM($B$83)&gt;=0),$B$80,IF(AND($B$175&gt;0,1181&gt;$B$175,ISNUMBER($B$75)),$B$75,$B$61)),"")</x:f>
        <x:v>0.0625</x:v>
      </x:c>
      <x:c r="D1581" s="441" t="n">
        <x:f>IF(AND(ISNUMBER(B1581),B1581=0),0,IF(AND($B$171=1,I1580=0,ISNUMBER(C1581),ISNUMBER(IF(AND(1181&lt;=$B$174,1181&lt;=$B$173),B1581*C1581/12,IF(AND(1181=$B$173+1,AND(1181&gt;$B$173,$B$78="Refinance",ISNUMBER($B$80),$B$80&gt;=0,$B$80&lt;=1,ROUND($B$81*12,0)&gt;=1,$B$81&lt;=100,SUM($B$82)&gt;=0,SUM($B$82)&lt;=1,SUM($B$83)&gt;=0)),IF(B1581=0,0,IF(C1581=0,B1581/ROUND($B$81*12,0),B1581*(C1581/12)/(1-(1+C1581/12)^(-ROUND($B$81*12,0))))),IF(AND(NOT(AND(1181&gt;$B$173,$B$78="Refinance",ISNUMBER($B$80),$B$80&gt;=0,$B$80&lt;=1,ROUND($B$81*12,0)&gt;=1,$B$81&lt;=100,SUM($B$82)&gt;=0,SUM($B$82)&lt;=1,SUM($B$83)&gt;=0)),OR(1181=1,1181=$B$174+1,AND($B$175&gt;0,1181=$B$175+1))),IF(AND($B$170=1,$B$66&gt;0,OR($B$175=0,1181&lt;=$B$175)),$B$66,IF($B$172-MAX(1181-1,$B$174)&gt;0,IF(B1581=0,0,IF(C1581=0,B1581/($B$172-MAX(1181-1,$B$174)),B1581*(C1581/12)/(1-(1+C1581/12)^(-($B$172-MAX(1181-1,$B$174)))))),"")),D1580))))),IF(IF(AND(1181&lt;=$B$174,1181&lt;=$B$173),B1581*C1581/12,IF(AND(1181=$B$173+1,AND(1181&gt;$B$173,$B$78="Refinance",ISNUMBER($B$80),$B$80&gt;=0,$B$80&lt;=1,ROUND($B$81*12,0)&gt;=1,$B$81&lt;=100,SUM($B$82)&gt;=0,SUM($B$82)&lt;=1,SUM($B$83)&gt;=0)),IF(B1581=0,0,IF(C1581=0,B1581/ROUND($B$81*12,0),B1581*(C1581/12)/(1-(1+C1581/12)^(-ROUND($B$81*12,0))))),IF(AND(NOT(AND(1181&gt;$B$173,$B$78="Refinance",ISNUMBER($B$80),$B$80&gt;=0,$B$80&lt;=1,ROUND($B$81*12,0)&gt;=1,$B$81&lt;=100,SUM($B$82)&gt;=0,SUM($B$82)&lt;=1,SUM($B$83)&gt;=0)),OR(1181=1,1181=$B$174+1,AND($B$175&gt;0,1181=$B$175+1))),IF(AND($B$170=1,$B$66&gt;0,OR($B$175=0,1181&lt;=$B$175)),$B$66,IF($B$172-MAX(1181-1,$B$174)&gt;0,IF(B1581=0,0,IF(C1581=0,B1581/($B$172-MAX(1181-1,$B$174)),B1581*(C1581/12)/(1-(1+C1581/12)^(-($B$172-MAX(1181-1,$B$174)))))),"")),D1580)))+0.0000001&gt;=B1581*C1581/12,MIN(B1581*(1+C1581/12),IF(AND(1181&lt;=$B$174,1181&lt;=$B$173),B1581*C1581/12,IF(AND(1181=$B$173+1,AND(1181&gt;$B$173,$B$78="Refinance",ISNUMBER($B$80),$B$80&gt;=0,$B$80&lt;=1,ROUND($B$81*12,0)&gt;=1,$B$81&lt;=100,SUM($B$82)&gt;=0,SUM($B$82)&lt;=1,SUM($B$83)&gt;=0)),IF(B1581=0,0,IF(C1581=0,B1581/ROUND($B$81*12,0),B1581*(C1581/12)/(1-(1+C1581/12)^(-ROUND($B$81*12,0))))),IF(AND(NOT(AND(1181&gt;$B$173,$B$78="Refinance",ISNUMBER($B$80),$B$80&gt;=0,$B$80&lt;=1,ROUND($B$81*12,0)&gt;=1,$B$81&lt;=100,SUM($B$82)&gt;=0,SUM($B$82)&lt;=1,SUM($B$83)&gt;=0)),OR(1181=1,1181=$B$174+1,AND($B$175&gt;0,1181=$B$175+1))),IF(AND($B$170=1,$B$66&gt;0,OR($B$175=0,1181&lt;=$B$175)),$B$66,IF($B$172-MAX(1181-1,$B$174)&gt;0,IF(B1581=0,0,IF(C1581=0,B1581/($B$172-MAX(1181-1,$B$174)),B1581*(C1581/12)/(1-(1+C1581/12)^(-($B$172-MAX(1181-1,$B$174)))))),"")),D1580)))),""),""))</x:f>
        <x:v>0</x:v>
      </x:c>
      <x:c r="E1581" s="441" t="n">
        <x:f>IF(AND(1181=$B$173,ISNUMBER(D1581)),IF(MAX(0,B1581*(1+C1581/12)-D1581)&lt;MAX(0.0000001,$E$17*0.00000000001),0,MAX(0,B1581*(1+C1581/12)-D1581)),0)</x:f>
        <x:v>0</x:v>
      </x:c>
      <x:c r="F1581" s="441" t="n">
        <x:f>IF($B$78="Cash payoff",E1581,0)</x:f>
        <x:v>0</x:v>
      </x:c>
      <x:c r="G1581" s="441" t="n">
        <x:f>IF(AND(E1581&gt;0,AND($B$78="Refinance",ISNUMBER($B$80),$B$80&gt;=0,$B$80&lt;=1,ROUND($B$81*12,0)&gt;=1,$B$81&lt;=100,SUM($B$82)&gt;=0,SUM($B$82)&lt;=1,SUM($B$83)&gt;=0)),E1581*SUM($B$82)+SUM($B$83),0)</x:f>
        <x:v>0</x:v>
      </x:c>
      <x:c r="H1581" s="441" t="n">
        <x:f>IF(ISNUMBER(D1581),IF(MAX(0,B1581*(1+C1581/12)-D1581-F1581)&lt;MAX(0.0000001,$E$17*0.00000000001),0,MAX(0,B1581*(1+C1581/12)-D1581-F1581)),IF(AND($B$171=1,I1580=1),B1581,""))</x:f>
        <x:v>0</x:v>
      </x:c>
      <x:c r="I1581" s="445" t="n">
        <x:f>IF(OR(I1580=1,AND(E1581&gt;0,$B$78&lt;&gt;"Cash payoff",NOT(AND($B$78="Refinance",ISNUMBER($B$80),$B$80&gt;=0,$B$80&lt;=1,ROUND($B$81*12,0)&gt;=1,$B$81&lt;=100,SUM($B$82)&gt;=0,SUM($B$82)&lt;=1,SUM($B$83)&gt;=0))),AND(ISNUMBER(B1581),B1581&gt;0,$B$171=1,NOT(ISNUMBER(D1581)))),1,0)</x:f>
        <x:v>0</x:v>
      </x:c>
      <x:c r="J1581" s="441" t="n">
        <x:f>IF(ISNUMBER(L1580),L1580,"")</x:f>
        <x:v>0</x:v>
      </x:c>
      <x:c r="K1581" s="441" t="n">
        <x:f>IF(AND(ISNUMBER(J1581),J1581=0),0,IF(AND($B$176=1,ISNUMBER(J1581)),MIN(J1581*(1+$B$87/12),IF($B$86=0,0,IF($B$87=0,$B$86/ROUND($B$88*12,0),$B$86*($B$87/12)/(1-(1+$B$87/12)^(-ROUND($B$88*12,0)))))),""))</x:f>
        <x:v>0</x:v>
      </x:c>
      <x:c r="L1581" s="441" t="n">
        <x:f>IF(ISNUMBER(K1581),IF(MAX(0,J1581*(1+SUM($B$87)/12)-K1581)&lt;MAX(0.0000001,$B$86*0.00000000001),0,MAX(0,J1581*(1+SUM($B$87)/12)-K1581)),"")</x:f>
        <x:v>0</x:v>
      </x:c>
      <x:c r="M1581" s="441" t="n">
        <x:f>IF(AND(ISNUMBER(D1581),ISNUMBER(K1581)),D1581+K1581,"")</x:f>
        <x:v>0</x:v>
      </x:c>
      <x:c r="N1581" s="441" t="n">
        <x:f>IF(AND(ISNUMBER(H1581),ISNUMBER(L1581)),H1581+L1581,"")</x:f>
        <x:v>0</x:v>
      </x:c>
    </x:row>
    <x:row r="1582">
      <x:c r="A1582" t="n">
        <x:f>1182</x:f>
        <x:v>1182</x:v>
      </x:c>
      <x:c r="B1582" s="441" t="n">
        <x:f>IF(ISNUMBER(H1581),H1581,"")</x:f>
        <x:v>0</x:v>
      </x:c>
      <x:c r="C1582" s="443" t="n">
        <x:f>IF(ISNUMBER(B1582),IF(AND(1182&gt;$B$173,$B$78="Refinance",ISNUMBER($B$80),$B$80&gt;=0,$B$80&lt;=1,ROUND($B$81*12,0)&gt;=1,$B$81&lt;=100,SUM($B$82)&gt;=0,SUM($B$82)&lt;=1,SUM($B$83)&gt;=0),$B$80,IF(AND($B$175&gt;0,1182&gt;$B$175,ISNUMBER($B$75)),$B$75,$B$61)),"")</x:f>
        <x:v>0.0625</x:v>
      </x:c>
      <x:c r="D1582" s="441" t="n">
        <x:f>IF(AND(ISNUMBER(B1582),B1582=0),0,IF(AND($B$171=1,I1581=0,ISNUMBER(C1582),ISNUMBER(IF(AND(1182&lt;=$B$174,1182&lt;=$B$173),B1582*C1582/12,IF(AND(1182=$B$173+1,AND(1182&gt;$B$173,$B$78="Refinance",ISNUMBER($B$80),$B$80&gt;=0,$B$80&lt;=1,ROUND($B$81*12,0)&gt;=1,$B$81&lt;=100,SUM($B$82)&gt;=0,SUM($B$82)&lt;=1,SUM($B$83)&gt;=0)),IF(B1582=0,0,IF(C1582=0,B1582/ROUND($B$81*12,0),B1582*(C1582/12)/(1-(1+C1582/12)^(-ROUND($B$81*12,0))))),IF(AND(NOT(AND(1182&gt;$B$173,$B$78="Refinance",ISNUMBER($B$80),$B$80&gt;=0,$B$80&lt;=1,ROUND($B$81*12,0)&gt;=1,$B$81&lt;=100,SUM($B$82)&gt;=0,SUM($B$82)&lt;=1,SUM($B$83)&gt;=0)),OR(1182=1,1182=$B$174+1,AND($B$175&gt;0,1182=$B$175+1))),IF(AND($B$170=1,$B$66&gt;0,OR($B$175=0,1182&lt;=$B$175)),$B$66,IF($B$172-MAX(1182-1,$B$174)&gt;0,IF(B1582=0,0,IF(C1582=0,B1582/($B$172-MAX(1182-1,$B$174)),B1582*(C1582/12)/(1-(1+C1582/12)^(-($B$172-MAX(1182-1,$B$174)))))),"")),D1581))))),IF(IF(AND(1182&lt;=$B$174,1182&lt;=$B$173),B1582*C1582/12,IF(AND(1182=$B$173+1,AND(1182&gt;$B$173,$B$78="Refinance",ISNUMBER($B$80),$B$80&gt;=0,$B$80&lt;=1,ROUND($B$81*12,0)&gt;=1,$B$81&lt;=100,SUM($B$82)&gt;=0,SUM($B$82)&lt;=1,SUM($B$83)&gt;=0)),IF(B1582=0,0,IF(C1582=0,B1582/ROUND($B$81*12,0),B1582*(C1582/12)/(1-(1+C1582/12)^(-ROUND($B$81*12,0))))),IF(AND(NOT(AND(1182&gt;$B$173,$B$78="Refinance",ISNUMBER($B$80),$B$80&gt;=0,$B$80&lt;=1,ROUND($B$81*12,0)&gt;=1,$B$81&lt;=100,SUM($B$82)&gt;=0,SUM($B$82)&lt;=1,SUM($B$83)&gt;=0)),OR(1182=1,1182=$B$174+1,AND($B$175&gt;0,1182=$B$175+1))),IF(AND($B$170=1,$B$66&gt;0,OR($B$175=0,1182&lt;=$B$175)),$B$66,IF($B$172-MAX(1182-1,$B$174)&gt;0,IF(B1582=0,0,IF(C1582=0,B1582/($B$172-MAX(1182-1,$B$174)),B1582*(C1582/12)/(1-(1+C1582/12)^(-($B$172-MAX(1182-1,$B$174)))))),"")),D1581)))+0.0000001&gt;=B1582*C1582/12,MIN(B1582*(1+C1582/12),IF(AND(1182&lt;=$B$174,1182&lt;=$B$173),B1582*C1582/12,IF(AND(1182=$B$173+1,AND(1182&gt;$B$173,$B$78="Refinance",ISNUMBER($B$80),$B$80&gt;=0,$B$80&lt;=1,ROUND($B$81*12,0)&gt;=1,$B$81&lt;=100,SUM($B$82)&gt;=0,SUM($B$82)&lt;=1,SUM($B$83)&gt;=0)),IF(B1582=0,0,IF(C1582=0,B1582/ROUND($B$81*12,0),B1582*(C1582/12)/(1-(1+C1582/12)^(-ROUND($B$81*12,0))))),IF(AND(NOT(AND(1182&gt;$B$173,$B$78="Refinance",ISNUMBER($B$80),$B$80&gt;=0,$B$80&lt;=1,ROUND($B$81*12,0)&gt;=1,$B$81&lt;=100,SUM($B$82)&gt;=0,SUM($B$82)&lt;=1,SUM($B$83)&gt;=0)),OR(1182=1,1182=$B$174+1,AND($B$175&gt;0,1182=$B$175+1))),IF(AND($B$170=1,$B$66&gt;0,OR($B$175=0,1182&lt;=$B$175)),$B$66,IF($B$172-MAX(1182-1,$B$174)&gt;0,IF(B1582=0,0,IF(C1582=0,B1582/($B$172-MAX(1182-1,$B$174)),B1582*(C1582/12)/(1-(1+C1582/12)^(-($B$172-MAX(1182-1,$B$174)))))),"")),D1581)))),""),""))</x:f>
        <x:v>0</x:v>
      </x:c>
      <x:c r="E1582" s="441" t="n">
        <x:f>IF(AND(1182=$B$173,ISNUMBER(D1582)),IF(MAX(0,B1582*(1+C1582/12)-D1582)&lt;MAX(0.0000001,$E$17*0.00000000001),0,MAX(0,B1582*(1+C1582/12)-D1582)),0)</x:f>
        <x:v>0</x:v>
      </x:c>
      <x:c r="F1582" s="441" t="n">
        <x:f>IF($B$78="Cash payoff",E1582,0)</x:f>
        <x:v>0</x:v>
      </x:c>
      <x:c r="G1582" s="441" t="n">
        <x:f>IF(AND(E1582&gt;0,AND($B$78="Refinance",ISNUMBER($B$80),$B$80&gt;=0,$B$80&lt;=1,ROUND($B$81*12,0)&gt;=1,$B$81&lt;=100,SUM($B$82)&gt;=0,SUM($B$82)&lt;=1,SUM($B$83)&gt;=0)),E1582*SUM($B$82)+SUM($B$83),0)</x:f>
        <x:v>0</x:v>
      </x:c>
      <x:c r="H1582" s="441" t="n">
        <x:f>IF(ISNUMBER(D1582),IF(MAX(0,B1582*(1+C1582/12)-D1582-F1582)&lt;MAX(0.0000001,$E$17*0.00000000001),0,MAX(0,B1582*(1+C1582/12)-D1582-F1582)),IF(AND($B$171=1,I1581=1),B1582,""))</x:f>
        <x:v>0</x:v>
      </x:c>
      <x:c r="I1582" s="445" t="n">
        <x:f>IF(OR(I1581=1,AND(E1582&gt;0,$B$78&lt;&gt;"Cash payoff",NOT(AND($B$78="Refinance",ISNUMBER($B$80),$B$80&gt;=0,$B$80&lt;=1,ROUND($B$81*12,0)&gt;=1,$B$81&lt;=100,SUM($B$82)&gt;=0,SUM($B$82)&lt;=1,SUM($B$83)&gt;=0))),AND(ISNUMBER(B1582),B1582&gt;0,$B$171=1,NOT(ISNUMBER(D1582)))),1,0)</x:f>
        <x:v>0</x:v>
      </x:c>
      <x:c r="J1582" s="441" t="n">
        <x:f>IF(ISNUMBER(L1581),L1581,"")</x:f>
        <x:v>0</x:v>
      </x:c>
      <x:c r="K1582" s="441" t="n">
        <x:f>IF(AND(ISNUMBER(J1582),J1582=0),0,IF(AND($B$176=1,ISNUMBER(J1582)),MIN(J1582*(1+$B$87/12),IF($B$86=0,0,IF($B$87=0,$B$86/ROUND($B$88*12,0),$B$86*($B$87/12)/(1-(1+$B$87/12)^(-ROUND($B$88*12,0)))))),""))</x:f>
        <x:v>0</x:v>
      </x:c>
      <x:c r="L1582" s="441" t="n">
        <x:f>IF(ISNUMBER(K1582),IF(MAX(0,J1582*(1+SUM($B$87)/12)-K1582)&lt;MAX(0.0000001,$B$86*0.00000000001),0,MAX(0,J1582*(1+SUM($B$87)/12)-K1582)),"")</x:f>
        <x:v>0</x:v>
      </x:c>
      <x:c r="M1582" s="441" t="n">
        <x:f>IF(AND(ISNUMBER(D1582),ISNUMBER(K1582)),D1582+K1582,"")</x:f>
        <x:v>0</x:v>
      </x:c>
      <x:c r="N1582" s="441" t="n">
        <x:f>IF(AND(ISNUMBER(H1582),ISNUMBER(L1582)),H1582+L1582,"")</x:f>
        <x:v>0</x:v>
      </x:c>
    </x:row>
    <x:row r="1583">
      <x:c r="A1583" t="n">
        <x:f>1183</x:f>
        <x:v>1183</x:v>
      </x:c>
      <x:c r="B1583" s="441" t="n">
        <x:f>IF(ISNUMBER(H1582),H1582,"")</x:f>
        <x:v>0</x:v>
      </x:c>
      <x:c r="C1583" s="443" t="n">
        <x:f>IF(ISNUMBER(B1583),IF(AND(1183&gt;$B$173,$B$78="Refinance",ISNUMBER($B$80),$B$80&gt;=0,$B$80&lt;=1,ROUND($B$81*12,0)&gt;=1,$B$81&lt;=100,SUM($B$82)&gt;=0,SUM($B$82)&lt;=1,SUM($B$83)&gt;=0),$B$80,IF(AND($B$175&gt;0,1183&gt;$B$175,ISNUMBER($B$75)),$B$75,$B$61)),"")</x:f>
        <x:v>0.0625</x:v>
      </x:c>
      <x:c r="D1583" s="441" t="n">
        <x:f>IF(AND(ISNUMBER(B1583),B1583=0),0,IF(AND($B$171=1,I1582=0,ISNUMBER(C1583),ISNUMBER(IF(AND(1183&lt;=$B$174,1183&lt;=$B$173),B1583*C1583/12,IF(AND(1183=$B$173+1,AND(1183&gt;$B$173,$B$78="Refinance",ISNUMBER($B$80),$B$80&gt;=0,$B$80&lt;=1,ROUND($B$81*12,0)&gt;=1,$B$81&lt;=100,SUM($B$82)&gt;=0,SUM($B$82)&lt;=1,SUM($B$83)&gt;=0)),IF(B1583=0,0,IF(C1583=0,B1583/ROUND($B$81*12,0),B1583*(C1583/12)/(1-(1+C1583/12)^(-ROUND($B$81*12,0))))),IF(AND(NOT(AND(1183&gt;$B$173,$B$78="Refinance",ISNUMBER($B$80),$B$80&gt;=0,$B$80&lt;=1,ROUND($B$81*12,0)&gt;=1,$B$81&lt;=100,SUM($B$82)&gt;=0,SUM($B$82)&lt;=1,SUM($B$83)&gt;=0)),OR(1183=1,1183=$B$174+1,AND($B$175&gt;0,1183=$B$175+1))),IF(AND($B$170=1,$B$66&gt;0,OR($B$175=0,1183&lt;=$B$175)),$B$66,IF($B$172-MAX(1183-1,$B$174)&gt;0,IF(B1583=0,0,IF(C1583=0,B1583/($B$172-MAX(1183-1,$B$174)),B1583*(C1583/12)/(1-(1+C1583/12)^(-($B$172-MAX(1183-1,$B$174)))))),"")),D1582))))),IF(IF(AND(1183&lt;=$B$174,1183&lt;=$B$173),B1583*C1583/12,IF(AND(1183=$B$173+1,AND(1183&gt;$B$173,$B$78="Refinance",ISNUMBER($B$80),$B$80&gt;=0,$B$80&lt;=1,ROUND($B$81*12,0)&gt;=1,$B$81&lt;=100,SUM($B$82)&gt;=0,SUM($B$82)&lt;=1,SUM($B$83)&gt;=0)),IF(B1583=0,0,IF(C1583=0,B1583/ROUND($B$81*12,0),B1583*(C1583/12)/(1-(1+C1583/12)^(-ROUND($B$81*12,0))))),IF(AND(NOT(AND(1183&gt;$B$173,$B$78="Refinance",ISNUMBER($B$80),$B$80&gt;=0,$B$80&lt;=1,ROUND($B$81*12,0)&gt;=1,$B$81&lt;=100,SUM($B$82)&gt;=0,SUM($B$82)&lt;=1,SUM($B$83)&gt;=0)),OR(1183=1,1183=$B$174+1,AND($B$175&gt;0,1183=$B$175+1))),IF(AND($B$170=1,$B$66&gt;0,OR($B$175=0,1183&lt;=$B$175)),$B$66,IF($B$172-MAX(1183-1,$B$174)&gt;0,IF(B1583=0,0,IF(C1583=0,B1583/($B$172-MAX(1183-1,$B$174)),B1583*(C1583/12)/(1-(1+C1583/12)^(-($B$172-MAX(1183-1,$B$174)))))),"")),D1582)))+0.0000001&gt;=B1583*C1583/12,MIN(B1583*(1+C1583/12),IF(AND(1183&lt;=$B$174,1183&lt;=$B$173),B1583*C1583/12,IF(AND(1183=$B$173+1,AND(1183&gt;$B$173,$B$78="Refinance",ISNUMBER($B$80),$B$80&gt;=0,$B$80&lt;=1,ROUND($B$81*12,0)&gt;=1,$B$81&lt;=100,SUM($B$82)&gt;=0,SUM($B$82)&lt;=1,SUM($B$83)&gt;=0)),IF(B1583=0,0,IF(C1583=0,B1583/ROUND($B$81*12,0),B1583*(C1583/12)/(1-(1+C1583/12)^(-ROUND($B$81*12,0))))),IF(AND(NOT(AND(1183&gt;$B$173,$B$78="Refinance",ISNUMBER($B$80),$B$80&gt;=0,$B$80&lt;=1,ROUND($B$81*12,0)&gt;=1,$B$81&lt;=100,SUM($B$82)&gt;=0,SUM($B$82)&lt;=1,SUM($B$83)&gt;=0)),OR(1183=1,1183=$B$174+1,AND($B$175&gt;0,1183=$B$175+1))),IF(AND($B$170=1,$B$66&gt;0,OR($B$175=0,1183&lt;=$B$175)),$B$66,IF($B$172-MAX(1183-1,$B$174)&gt;0,IF(B1583=0,0,IF(C1583=0,B1583/($B$172-MAX(1183-1,$B$174)),B1583*(C1583/12)/(1-(1+C1583/12)^(-($B$172-MAX(1183-1,$B$174)))))),"")),D1582)))),""),""))</x:f>
        <x:v>0</x:v>
      </x:c>
      <x:c r="E1583" s="441" t="n">
        <x:f>IF(AND(1183=$B$173,ISNUMBER(D1583)),IF(MAX(0,B1583*(1+C1583/12)-D1583)&lt;MAX(0.0000001,$E$17*0.00000000001),0,MAX(0,B1583*(1+C1583/12)-D1583)),0)</x:f>
        <x:v>0</x:v>
      </x:c>
      <x:c r="F1583" s="441" t="n">
        <x:f>IF($B$78="Cash payoff",E1583,0)</x:f>
        <x:v>0</x:v>
      </x:c>
      <x:c r="G1583" s="441" t="n">
        <x:f>IF(AND(E1583&gt;0,AND($B$78="Refinance",ISNUMBER($B$80),$B$80&gt;=0,$B$80&lt;=1,ROUND($B$81*12,0)&gt;=1,$B$81&lt;=100,SUM($B$82)&gt;=0,SUM($B$82)&lt;=1,SUM($B$83)&gt;=0)),E1583*SUM($B$82)+SUM($B$83),0)</x:f>
        <x:v>0</x:v>
      </x:c>
      <x:c r="H1583" s="441" t="n">
        <x:f>IF(ISNUMBER(D1583),IF(MAX(0,B1583*(1+C1583/12)-D1583-F1583)&lt;MAX(0.0000001,$E$17*0.00000000001),0,MAX(0,B1583*(1+C1583/12)-D1583-F1583)),IF(AND($B$171=1,I1582=1),B1583,""))</x:f>
        <x:v>0</x:v>
      </x:c>
      <x:c r="I1583" s="445" t="n">
        <x:f>IF(OR(I1582=1,AND(E1583&gt;0,$B$78&lt;&gt;"Cash payoff",NOT(AND($B$78="Refinance",ISNUMBER($B$80),$B$80&gt;=0,$B$80&lt;=1,ROUND($B$81*12,0)&gt;=1,$B$81&lt;=100,SUM($B$82)&gt;=0,SUM($B$82)&lt;=1,SUM($B$83)&gt;=0))),AND(ISNUMBER(B1583),B1583&gt;0,$B$171=1,NOT(ISNUMBER(D1583)))),1,0)</x:f>
        <x:v>0</x:v>
      </x:c>
      <x:c r="J1583" s="441" t="n">
        <x:f>IF(ISNUMBER(L1582),L1582,"")</x:f>
        <x:v>0</x:v>
      </x:c>
      <x:c r="K1583" s="441" t="n">
        <x:f>IF(AND(ISNUMBER(J1583),J1583=0),0,IF(AND($B$176=1,ISNUMBER(J1583)),MIN(J1583*(1+$B$87/12),IF($B$86=0,0,IF($B$87=0,$B$86/ROUND($B$88*12,0),$B$86*($B$87/12)/(1-(1+$B$87/12)^(-ROUND($B$88*12,0)))))),""))</x:f>
        <x:v>0</x:v>
      </x:c>
      <x:c r="L1583" s="441" t="n">
        <x:f>IF(ISNUMBER(K1583),IF(MAX(0,J1583*(1+SUM($B$87)/12)-K1583)&lt;MAX(0.0000001,$B$86*0.00000000001),0,MAX(0,J1583*(1+SUM($B$87)/12)-K1583)),"")</x:f>
        <x:v>0</x:v>
      </x:c>
      <x:c r="M1583" s="441" t="n">
        <x:f>IF(AND(ISNUMBER(D1583),ISNUMBER(K1583)),D1583+K1583,"")</x:f>
        <x:v>0</x:v>
      </x:c>
      <x:c r="N1583" s="441" t="n">
        <x:f>IF(AND(ISNUMBER(H1583),ISNUMBER(L1583)),H1583+L1583,"")</x:f>
        <x:v>0</x:v>
      </x:c>
    </x:row>
    <x:row r="1584">
      <x:c r="A1584" t="n">
        <x:f>1184</x:f>
        <x:v>1184</x:v>
      </x:c>
      <x:c r="B1584" s="441" t="n">
        <x:f>IF(ISNUMBER(H1583),H1583,"")</x:f>
        <x:v>0</x:v>
      </x:c>
      <x:c r="C1584" s="443" t="n">
        <x:f>IF(ISNUMBER(B1584),IF(AND(1184&gt;$B$173,$B$78="Refinance",ISNUMBER($B$80),$B$80&gt;=0,$B$80&lt;=1,ROUND($B$81*12,0)&gt;=1,$B$81&lt;=100,SUM($B$82)&gt;=0,SUM($B$82)&lt;=1,SUM($B$83)&gt;=0),$B$80,IF(AND($B$175&gt;0,1184&gt;$B$175,ISNUMBER($B$75)),$B$75,$B$61)),"")</x:f>
        <x:v>0.0625</x:v>
      </x:c>
      <x:c r="D1584" s="441" t="n">
        <x:f>IF(AND(ISNUMBER(B1584),B1584=0),0,IF(AND($B$171=1,I1583=0,ISNUMBER(C1584),ISNUMBER(IF(AND(1184&lt;=$B$174,1184&lt;=$B$173),B1584*C1584/12,IF(AND(1184=$B$173+1,AND(1184&gt;$B$173,$B$78="Refinance",ISNUMBER($B$80),$B$80&gt;=0,$B$80&lt;=1,ROUND($B$81*12,0)&gt;=1,$B$81&lt;=100,SUM($B$82)&gt;=0,SUM($B$82)&lt;=1,SUM($B$83)&gt;=0)),IF(B1584=0,0,IF(C1584=0,B1584/ROUND($B$81*12,0),B1584*(C1584/12)/(1-(1+C1584/12)^(-ROUND($B$81*12,0))))),IF(AND(NOT(AND(1184&gt;$B$173,$B$78="Refinance",ISNUMBER($B$80),$B$80&gt;=0,$B$80&lt;=1,ROUND($B$81*12,0)&gt;=1,$B$81&lt;=100,SUM($B$82)&gt;=0,SUM($B$82)&lt;=1,SUM($B$83)&gt;=0)),OR(1184=1,1184=$B$174+1,AND($B$175&gt;0,1184=$B$175+1))),IF(AND($B$170=1,$B$66&gt;0,OR($B$175=0,1184&lt;=$B$175)),$B$66,IF($B$172-MAX(1184-1,$B$174)&gt;0,IF(B1584=0,0,IF(C1584=0,B1584/($B$172-MAX(1184-1,$B$174)),B1584*(C1584/12)/(1-(1+C1584/12)^(-($B$172-MAX(1184-1,$B$174)))))),"")),D1583))))),IF(IF(AND(1184&lt;=$B$174,1184&lt;=$B$173),B1584*C1584/12,IF(AND(1184=$B$173+1,AND(1184&gt;$B$173,$B$78="Refinance",ISNUMBER($B$80),$B$80&gt;=0,$B$80&lt;=1,ROUND($B$81*12,0)&gt;=1,$B$81&lt;=100,SUM($B$82)&gt;=0,SUM($B$82)&lt;=1,SUM($B$83)&gt;=0)),IF(B1584=0,0,IF(C1584=0,B1584/ROUND($B$81*12,0),B1584*(C1584/12)/(1-(1+C1584/12)^(-ROUND($B$81*12,0))))),IF(AND(NOT(AND(1184&gt;$B$173,$B$78="Refinance",ISNUMBER($B$80),$B$80&gt;=0,$B$80&lt;=1,ROUND($B$81*12,0)&gt;=1,$B$81&lt;=100,SUM($B$82)&gt;=0,SUM($B$82)&lt;=1,SUM($B$83)&gt;=0)),OR(1184=1,1184=$B$174+1,AND($B$175&gt;0,1184=$B$175+1))),IF(AND($B$170=1,$B$66&gt;0,OR($B$175=0,1184&lt;=$B$175)),$B$66,IF($B$172-MAX(1184-1,$B$174)&gt;0,IF(B1584=0,0,IF(C1584=0,B1584/($B$172-MAX(1184-1,$B$174)),B1584*(C1584/12)/(1-(1+C1584/12)^(-($B$172-MAX(1184-1,$B$174)))))),"")),D1583)))+0.0000001&gt;=B1584*C1584/12,MIN(B1584*(1+C1584/12),IF(AND(1184&lt;=$B$174,1184&lt;=$B$173),B1584*C1584/12,IF(AND(1184=$B$173+1,AND(1184&gt;$B$173,$B$78="Refinance",ISNUMBER($B$80),$B$80&gt;=0,$B$80&lt;=1,ROUND($B$81*12,0)&gt;=1,$B$81&lt;=100,SUM($B$82)&gt;=0,SUM($B$82)&lt;=1,SUM($B$83)&gt;=0)),IF(B1584=0,0,IF(C1584=0,B1584/ROUND($B$81*12,0),B1584*(C1584/12)/(1-(1+C1584/12)^(-ROUND($B$81*12,0))))),IF(AND(NOT(AND(1184&gt;$B$173,$B$78="Refinance",ISNUMBER($B$80),$B$80&gt;=0,$B$80&lt;=1,ROUND($B$81*12,0)&gt;=1,$B$81&lt;=100,SUM($B$82)&gt;=0,SUM($B$82)&lt;=1,SUM($B$83)&gt;=0)),OR(1184=1,1184=$B$174+1,AND($B$175&gt;0,1184=$B$175+1))),IF(AND($B$170=1,$B$66&gt;0,OR($B$175=0,1184&lt;=$B$175)),$B$66,IF($B$172-MAX(1184-1,$B$174)&gt;0,IF(B1584=0,0,IF(C1584=0,B1584/($B$172-MAX(1184-1,$B$174)),B1584*(C1584/12)/(1-(1+C1584/12)^(-($B$172-MAX(1184-1,$B$174)))))),"")),D1583)))),""),""))</x:f>
        <x:v>0</x:v>
      </x:c>
      <x:c r="E1584" s="441" t="n">
        <x:f>IF(AND(1184=$B$173,ISNUMBER(D1584)),IF(MAX(0,B1584*(1+C1584/12)-D1584)&lt;MAX(0.0000001,$E$17*0.00000000001),0,MAX(0,B1584*(1+C1584/12)-D1584)),0)</x:f>
        <x:v>0</x:v>
      </x:c>
      <x:c r="F1584" s="441" t="n">
        <x:f>IF($B$78="Cash payoff",E1584,0)</x:f>
        <x:v>0</x:v>
      </x:c>
      <x:c r="G1584" s="441" t="n">
        <x:f>IF(AND(E1584&gt;0,AND($B$78="Refinance",ISNUMBER($B$80),$B$80&gt;=0,$B$80&lt;=1,ROUND($B$81*12,0)&gt;=1,$B$81&lt;=100,SUM($B$82)&gt;=0,SUM($B$82)&lt;=1,SUM($B$83)&gt;=0)),E1584*SUM($B$82)+SUM($B$83),0)</x:f>
        <x:v>0</x:v>
      </x:c>
      <x:c r="H1584" s="441" t="n">
        <x:f>IF(ISNUMBER(D1584),IF(MAX(0,B1584*(1+C1584/12)-D1584-F1584)&lt;MAX(0.0000001,$E$17*0.00000000001),0,MAX(0,B1584*(1+C1584/12)-D1584-F1584)),IF(AND($B$171=1,I1583=1),B1584,""))</x:f>
        <x:v>0</x:v>
      </x:c>
      <x:c r="I1584" s="445" t="n">
        <x:f>IF(OR(I1583=1,AND(E1584&gt;0,$B$78&lt;&gt;"Cash payoff",NOT(AND($B$78="Refinance",ISNUMBER($B$80),$B$80&gt;=0,$B$80&lt;=1,ROUND($B$81*12,0)&gt;=1,$B$81&lt;=100,SUM($B$82)&gt;=0,SUM($B$82)&lt;=1,SUM($B$83)&gt;=0))),AND(ISNUMBER(B1584),B1584&gt;0,$B$171=1,NOT(ISNUMBER(D1584)))),1,0)</x:f>
        <x:v>0</x:v>
      </x:c>
      <x:c r="J1584" s="441" t="n">
        <x:f>IF(ISNUMBER(L1583),L1583,"")</x:f>
        <x:v>0</x:v>
      </x:c>
      <x:c r="K1584" s="441" t="n">
        <x:f>IF(AND(ISNUMBER(J1584),J1584=0),0,IF(AND($B$176=1,ISNUMBER(J1584)),MIN(J1584*(1+$B$87/12),IF($B$86=0,0,IF($B$87=0,$B$86/ROUND($B$88*12,0),$B$86*($B$87/12)/(1-(1+$B$87/12)^(-ROUND($B$88*12,0)))))),""))</x:f>
        <x:v>0</x:v>
      </x:c>
      <x:c r="L1584" s="441" t="n">
        <x:f>IF(ISNUMBER(K1584),IF(MAX(0,J1584*(1+SUM($B$87)/12)-K1584)&lt;MAX(0.0000001,$B$86*0.00000000001),0,MAX(0,J1584*(1+SUM($B$87)/12)-K1584)),"")</x:f>
        <x:v>0</x:v>
      </x:c>
      <x:c r="M1584" s="441" t="n">
        <x:f>IF(AND(ISNUMBER(D1584),ISNUMBER(K1584)),D1584+K1584,"")</x:f>
        <x:v>0</x:v>
      </x:c>
      <x:c r="N1584" s="441" t="n">
        <x:f>IF(AND(ISNUMBER(H1584),ISNUMBER(L1584)),H1584+L1584,"")</x:f>
        <x:v>0</x:v>
      </x:c>
    </x:row>
    <x:row r="1585">
      <x:c r="A1585" t="n">
        <x:f>1185</x:f>
        <x:v>1185</x:v>
      </x:c>
      <x:c r="B1585" s="441" t="n">
        <x:f>IF(ISNUMBER(H1584),H1584,"")</x:f>
        <x:v>0</x:v>
      </x:c>
      <x:c r="C1585" s="443" t="n">
        <x:f>IF(ISNUMBER(B1585),IF(AND(1185&gt;$B$173,$B$78="Refinance",ISNUMBER($B$80),$B$80&gt;=0,$B$80&lt;=1,ROUND($B$81*12,0)&gt;=1,$B$81&lt;=100,SUM($B$82)&gt;=0,SUM($B$82)&lt;=1,SUM($B$83)&gt;=0),$B$80,IF(AND($B$175&gt;0,1185&gt;$B$175,ISNUMBER($B$75)),$B$75,$B$61)),"")</x:f>
        <x:v>0.0625</x:v>
      </x:c>
      <x:c r="D1585" s="441" t="n">
        <x:f>IF(AND(ISNUMBER(B1585),B1585=0),0,IF(AND($B$171=1,I1584=0,ISNUMBER(C1585),ISNUMBER(IF(AND(1185&lt;=$B$174,1185&lt;=$B$173),B1585*C1585/12,IF(AND(1185=$B$173+1,AND(1185&gt;$B$173,$B$78="Refinance",ISNUMBER($B$80),$B$80&gt;=0,$B$80&lt;=1,ROUND($B$81*12,0)&gt;=1,$B$81&lt;=100,SUM($B$82)&gt;=0,SUM($B$82)&lt;=1,SUM($B$83)&gt;=0)),IF(B1585=0,0,IF(C1585=0,B1585/ROUND($B$81*12,0),B1585*(C1585/12)/(1-(1+C1585/12)^(-ROUND($B$81*12,0))))),IF(AND(NOT(AND(1185&gt;$B$173,$B$78="Refinance",ISNUMBER($B$80),$B$80&gt;=0,$B$80&lt;=1,ROUND($B$81*12,0)&gt;=1,$B$81&lt;=100,SUM($B$82)&gt;=0,SUM($B$82)&lt;=1,SUM($B$83)&gt;=0)),OR(1185=1,1185=$B$174+1,AND($B$175&gt;0,1185=$B$175+1))),IF(AND($B$170=1,$B$66&gt;0,OR($B$175=0,1185&lt;=$B$175)),$B$66,IF($B$172-MAX(1185-1,$B$174)&gt;0,IF(B1585=0,0,IF(C1585=0,B1585/($B$172-MAX(1185-1,$B$174)),B1585*(C1585/12)/(1-(1+C1585/12)^(-($B$172-MAX(1185-1,$B$174)))))),"")),D1584))))),IF(IF(AND(1185&lt;=$B$174,1185&lt;=$B$173),B1585*C1585/12,IF(AND(1185=$B$173+1,AND(1185&gt;$B$173,$B$78="Refinance",ISNUMBER($B$80),$B$80&gt;=0,$B$80&lt;=1,ROUND($B$81*12,0)&gt;=1,$B$81&lt;=100,SUM($B$82)&gt;=0,SUM($B$82)&lt;=1,SUM($B$83)&gt;=0)),IF(B1585=0,0,IF(C1585=0,B1585/ROUND($B$81*12,0),B1585*(C1585/12)/(1-(1+C1585/12)^(-ROUND($B$81*12,0))))),IF(AND(NOT(AND(1185&gt;$B$173,$B$78="Refinance",ISNUMBER($B$80),$B$80&gt;=0,$B$80&lt;=1,ROUND($B$81*12,0)&gt;=1,$B$81&lt;=100,SUM($B$82)&gt;=0,SUM($B$82)&lt;=1,SUM($B$83)&gt;=0)),OR(1185=1,1185=$B$174+1,AND($B$175&gt;0,1185=$B$175+1))),IF(AND($B$170=1,$B$66&gt;0,OR($B$175=0,1185&lt;=$B$175)),$B$66,IF($B$172-MAX(1185-1,$B$174)&gt;0,IF(B1585=0,0,IF(C1585=0,B1585/($B$172-MAX(1185-1,$B$174)),B1585*(C1585/12)/(1-(1+C1585/12)^(-($B$172-MAX(1185-1,$B$174)))))),"")),D1584)))+0.0000001&gt;=B1585*C1585/12,MIN(B1585*(1+C1585/12),IF(AND(1185&lt;=$B$174,1185&lt;=$B$173),B1585*C1585/12,IF(AND(1185=$B$173+1,AND(1185&gt;$B$173,$B$78="Refinance",ISNUMBER($B$80),$B$80&gt;=0,$B$80&lt;=1,ROUND($B$81*12,0)&gt;=1,$B$81&lt;=100,SUM($B$82)&gt;=0,SUM($B$82)&lt;=1,SUM($B$83)&gt;=0)),IF(B1585=0,0,IF(C1585=0,B1585/ROUND($B$81*12,0),B1585*(C1585/12)/(1-(1+C1585/12)^(-ROUND($B$81*12,0))))),IF(AND(NOT(AND(1185&gt;$B$173,$B$78="Refinance",ISNUMBER($B$80),$B$80&gt;=0,$B$80&lt;=1,ROUND($B$81*12,0)&gt;=1,$B$81&lt;=100,SUM($B$82)&gt;=0,SUM($B$82)&lt;=1,SUM($B$83)&gt;=0)),OR(1185=1,1185=$B$174+1,AND($B$175&gt;0,1185=$B$175+1))),IF(AND($B$170=1,$B$66&gt;0,OR($B$175=0,1185&lt;=$B$175)),$B$66,IF($B$172-MAX(1185-1,$B$174)&gt;0,IF(B1585=0,0,IF(C1585=0,B1585/($B$172-MAX(1185-1,$B$174)),B1585*(C1585/12)/(1-(1+C1585/12)^(-($B$172-MAX(1185-1,$B$174)))))),"")),D1584)))),""),""))</x:f>
        <x:v>0</x:v>
      </x:c>
      <x:c r="E1585" s="441" t="n">
        <x:f>IF(AND(1185=$B$173,ISNUMBER(D1585)),IF(MAX(0,B1585*(1+C1585/12)-D1585)&lt;MAX(0.0000001,$E$17*0.00000000001),0,MAX(0,B1585*(1+C1585/12)-D1585)),0)</x:f>
        <x:v>0</x:v>
      </x:c>
      <x:c r="F1585" s="441" t="n">
        <x:f>IF($B$78="Cash payoff",E1585,0)</x:f>
        <x:v>0</x:v>
      </x:c>
      <x:c r="G1585" s="441" t="n">
        <x:f>IF(AND(E1585&gt;0,AND($B$78="Refinance",ISNUMBER($B$80),$B$80&gt;=0,$B$80&lt;=1,ROUND($B$81*12,0)&gt;=1,$B$81&lt;=100,SUM($B$82)&gt;=0,SUM($B$82)&lt;=1,SUM($B$83)&gt;=0)),E1585*SUM($B$82)+SUM($B$83),0)</x:f>
        <x:v>0</x:v>
      </x:c>
      <x:c r="H1585" s="441" t="n">
        <x:f>IF(ISNUMBER(D1585),IF(MAX(0,B1585*(1+C1585/12)-D1585-F1585)&lt;MAX(0.0000001,$E$17*0.00000000001),0,MAX(0,B1585*(1+C1585/12)-D1585-F1585)),IF(AND($B$171=1,I1584=1),B1585,""))</x:f>
        <x:v>0</x:v>
      </x:c>
      <x:c r="I1585" s="445" t="n">
        <x:f>IF(OR(I1584=1,AND(E1585&gt;0,$B$78&lt;&gt;"Cash payoff",NOT(AND($B$78="Refinance",ISNUMBER($B$80),$B$80&gt;=0,$B$80&lt;=1,ROUND($B$81*12,0)&gt;=1,$B$81&lt;=100,SUM($B$82)&gt;=0,SUM($B$82)&lt;=1,SUM($B$83)&gt;=0))),AND(ISNUMBER(B1585),B1585&gt;0,$B$171=1,NOT(ISNUMBER(D1585)))),1,0)</x:f>
        <x:v>0</x:v>
      </x:c>
      <x:c r="J1585" s="441" t="n">
        <x:f>IF(ISNUMBER(L1584),L1584,"")</x:f>
        <x:v>0</x:v>
      </x:c>
      <x:c r="K1585" s="441" t="n">
        <x:f>IF(AND(ISNUMBER(J1585),J1585=0),0,IF(AND($B$176=1,ISNUMBER(J1585)),MIN(J1585*(1+$B$87/12),IF($B$86=0,0,IF($B$87=0,$B$86/ROUND($B$88*12,0),$B$86*($B$87/12)/(1-(1+$B$87/12)^(-ROUND($B$88*12,0)))))),""))</x:f>
        <x:v>0</x:v>
      </x:c>
      <x:c r="L1585" s="441" t="n">
        <x:f>IF(ISNUMBER(K1585),IF(MAX(0,J1585*(1+SUM($B$87)/12)-K1585)&lt;MAX(0.0000001,$B$86*0.00000000001),0,MAX(0,J1585*(1+SUM($B$87)/12)-K1585)),"")</x:f>
        <x:v>0</x:v>
      </x:c>
      <x:c r="M1585" s="441" t="n">
        <x:f>IF(AND(ISNUMBER(D1585),ISNUMBER(K1585)),D1585+K1585,"")</x:f>
        <x:v>0</x:v>
      </x:c>
      <x:c r="N1585" s="441" t="n">
        <x:f>IF(AND(ISNUMBER(H1585),ISNUMBER(L1585)),H1585+L1585,"")</x:f>
        <x:v>0</x:v>
      </x:c>
    </x:row>
    <x:row r="1586">
      <x:c r="A1586" t="n">
        <x:f>1186</x:f>
        <x:v>1186</x:v>
      </x:c>
      <x:c r="B1586" s="441" t="n">
        <x:f>IF(ISNUMBER(H1585),H1585,"")</x:f>
        <x:v>0</x:v>
      </x:c>
      <x:c r="C1586" s="443" t="n">
        <x:f>IF(ISNUMBER(B1586),IF(AND(1186&gt;$B$173,$B$78="Refinance",ISNUMBER($B$80),$B$80&gt;=0,$B$80&lt;=1,ROUND($B$81*12,0)&gt;=1,$B$81&lt;=100,SUM($B$82)&gt;=0,SUM($B$82)&lt;=1,SUM($B$83)&gt;=0),$B$80,IF(AND($B$175&gt;0,1186&gt;$B$175,ISNUMBER($B$75)),$B$75,$B$61)),"")</x:f>
        <x:v>0.0625</x:v>
      </x:c>
      <x:c r="D1586" s="441" t="n">
        <x:f>IF(AND(ISNUMBER(B1586),B1586=0),0,IF(AND($B$171=1,I1585=0,ISNUMBER(C1586),ISNUMBER(IF(AND(1186&lt;=$B$174,1186&lt;=$B$173),B1586*C1586/12,IF(AND(1186=$B$173+1,AND(1186&gt;$B$173,$B$78="Refinance",ISNUMBER($B$80),$B$80&gt;=0,$B$80&lt;=1,ROUND($B$81*12,0)&gt;=1,$B$81&lt;=100,SUM($B$82)&gt;=0,SUM($B$82)&lt;=1,SUM($B$83)&gt;=0)),IF(B1586=0,0,IF(C1586=0,B1586/ROUND($B$81*12,0),B1586*(C1586/12)/(1-(1+C1586/12)^(-ROUND($B$81*12,0))))),IF(AND(NOT(AND(1186&gt;$B$173,$B$78="Refinance",ISNUMBER($B$80),$B$80&gt;=0,$B$80&lt;=1,ROUND($B$81*12,0)&gt;=1,$B$81&lt;=100,SUM($B$82)&gt;=0,SUM($B$82)&lt;=1,SUM($B$83)&gt;=0)),OR(1186=1,1186=$B$174+1,AND($B$175&gt;0,1186=$B$175+1))),IF(AND($B$170=1,$B$66&gt;0,OR($B$175=0,1186&lt;=$B$175)),$B$66,IF($B$172-MAX(1186-1,$B$174)&gt;0,IF(B1586=0,0,IF(C1586=0,B1586/($B$172-MAX(1186-1,$B$174)),B1586*(C1586/12)/(1-(1+C1586/12)^(-($B$172-MAX(1186-1,$B$174)))))),"")),D1585))))),IF(IF(AND(1186&lt;=$B$174,1186&lt;=$B$173),B1586*C1586/12,IF(AND(1186=$B$173+1,AND(1186&gt;$B$173,$B$78="Refinance",ISNUMBER($B$80),$B$80&gt;=0,$B$80&lt;=1,ROUND($B$81*12,0)&gt;=1,$B$81&lt;=100,SUM($B$82)&gt;=0,SUM($B$82)&lt;=1,SUM($B$83)&gt;=0)),IF(B1586=0,0,IF(C1586=0,B1586/ROUND($B$81*12,0),B1586*(C1586/12)/(1-(1+C1586/12)^(-ROUND($B$81*12,0))))),IF(AND(NOT(AND(1186&gt;$B$173,$B$78="Refinance",ISNUMBER($B$80),$B$80&gt;=0,$B$80&lt;=1,ROUND($B$81*12,0)&gt;=1,$B$81&lt;=100,SUM($B$82)&gt;=0,SUM($B$82)&lt;=1,SUM($B$83)&gt;=0)),OR(1186=1,1186=$B$174+1,AND($B$175&gt;0,1186=$B$175+1))),IF(AND($B$170=1,$B$66&gt;0,OR($B$175=0,1186&lt;=$B$175)),$B$66,IF($B$172-MAX(1186-1,$B$174)&gt;0,IF(B1586=0,0,IF(C1586=0,B1586/($B$172-MAX(1186-1,$B$174)),B1586*(C1586/12)/(1-(1+C1586/12)^(-($B$172-MAX(1186-1,$B$174)))))),"")),D1585)))+0.0000001&gt;=B1586*C1586/12,MIN(B1586*(1+C1586/12),IF(AND(1186&lt;=$B$174,1186&lt;=$B$173),B1586*C1586/12,IF(AND(1186=$B$173+1,AND(1186&gt;$B$173,$B$78="Refinance",ISNUMBER($B$80),$B$80&gt;=0,$B$80&lt;=1,ROUND($B$81*12,0)&gt;=1,$B$81&lt;=100,SUM($B$82)&gt;=0,SUM($B$82)&lt;=1,SUM($B$83)&gt;=0)),IF(B1586=0,0,IF(C1586=0,B1586/ROUND($B$81*12,0),B1586*(C1586/12)/(1-(1+C1586/12)^(-ROUND($B$81*12,0))))),IF(AND(NOT(AND(1186&gt;$B$173,$B$78="Refinance",ISNUMBER($B$80),$B$80&gt;=0,$B$80&lt;=1,ROUND($B$81*12,0)&gt;=1,$B$81&lt;=100,SUM($B$82)&gt;=0,SUM($B$82)&lt;=1,SUM($B$83)&gt;=0)),OR(1186=1,1186=$B$174+1,AND($B$175&gt;0,1186=$B$175+1))),IF(AND($B$170=1,$B$66&gt;0,OR($B$175=0,1186&lt;=$B$175)),$B$66,IF($B$172-MAX(1186-1,$B$174)&gt;0,IF(B1586=0,0,IF(C1586=0,B1586/($B$172-MAX(1186-1,$B$174)),B1586*(C1586/12)/(1-(1+C1586/12)^(-($B$172-MAX(1186-1,$B$174)))))),"")),D1585)))),""),""))</x:f>
        <x:v>0</x:v>
      </x:c>
      <x:c r="E1586" s="441" t="n">
        <x:f>IF(AND(1186=$B$173,ISNUMBER(D1586)),IF(MAX(0,B1586*(1+C1586/12)-D1586)&lt;MAX(0.0000001,$E$17*0.00000000001),0,MAX(0,B1586*(1+C1586/12)-D1586)),0)</x:f>
        <x:v>0</x:v>
      </x:c>
      <x:c r="F1586" s="441" t="n">
        <x:f>IF($B$78="Cash payoff",E1586,0)</x:f>
        <x:v>0</x:v>
      </x:c>
      <x:c r="G1586" s="441" t="n">
        <x:f>IF(AND(E1586&gt;0,AND($B$78="Refinance",ISNUMBER($B$80),$B$80&gt;=0,$B$80&lt;=1,ROUND($B$81*12,0)&gt;=1,$B$81&lt;=100,SUM($B$82)&gt;=0,SUM($B$82)&lt;=1,SUM($B$83)&gt;=0)),E1586*SUM($B$82)+SUM($B$83),0)</x:f>
        <x:v>0</x:v>
      </x:c>
      <x:c r="H1586" s="441" t="n">
        <x:f>IF(ISNUMBER(D1586),IF(MAX(0,B1586*(1+C1586/12)-D1586-F1586)&lt;MAX(0.0000001,$E$17*0.00000000001),0,MAX(0,B1586*(1+C1586/12)-D1586-F1586)),IF(AND($B$171=1,I1585=1),B1586,""))</x:f>
        <x:v>0</x:v>
      </x:c>
      <x:c r="I1586" s="445" t="n">
        <x:f>IF(OR(I1585=1,AND(E1586&gt;0,$B$78&lt;&gt;"Cash payoff",NOT(AND($B$78="Refinance",ISNUMBER($B$80),$B$80&gt;=0,$B$80&lt;=1,ROUND($B$81*12,0)&gt;=1,$B$81&lt;=100,SUM($B$82)&gt;=0,SUM($B$82)&lt;=1,SUM($B$83)&gt;=0))),AND(ISNUMBER(B1586),B1586&gt;0,$B$171=1,NOT(ISNUMBER(D1586)))),1,0)</x:f>
        <x:v>0</x:v>
      </x:c>
      <x:c r="J1586" s="441" t="n">
        <x:f>IF(ISNUMBER(L1585),L1585,"")</x:f>
        <x:v>0</x:v>
      </x:c>
      <x:c r="K1586" s="441" t="n">
        <x:f>IF(AND(ISNUMBER(J1586),J1586=0),0,IF(AND($B$176=1,ISNUMBER(J1586)),MIN(J1586*(1+$B$87/12),IF($B$86=0,0,IF($B$87=0,$B$86/ROUND($B$88*12,0),$B$86*($B$87/12)/(1-(1+$B$87/12)^(-ROUND($B$88*12,0)))))),""))</x:f>
        <x:v>0</x:v>
      </x:c>
      <x:c r="L1586" s="441" t="n">
        <x:f>IF(ISNUMBER(K1586),IF(MAX(0,J1586*(1+SUM($B$87)/12)-K1586)&lt;MAX(0.0000001,$B$86*0.00000000001),0,MAX(0,J1586*(1+SUM($B$87)/12)-K1586)),"")</x:f>
        <x:v>0</x:v>
      </x:c>
      <x:c r="M1586" s="441" t="n">
        <x:f>IF(AND(ISNUMBER(D1586),ISNUMBER(K1586)),D1586+K1586,"")</x:f>
        <x:v>0</x:v>
      </x:c>
      <x:c r="N1586" s="441" t="n">
        <x:f>IF(AND(ISNUMBER(H1586),ISNUMBER(L1586)),H1586+L1586,"")</x:f>
        <x:v>0</x:v>
      </x:c>
    </x:row>
    <x:row r="1587">
      <x:c r="A1587" t="n">
        <x:f>1187</x:f>
        <x:v>1187</x:v>
      </x:c>
      <x:c r="B1587" s="441" t="n">
        <x:f>IF(ISNUMBER(H1586),H1586,"")</x:f>
        <x:v>0</x:v>
      </x:c>
      <x:c r="C1587" s="443" t="n">
        <x:f>IF(ISNUMBER(B1587),IF(AND(1187&gt;$B$173,$B$78="Refinance",ISNUMBER($B$80),$B$80&gt;=0,$B$80&lt;=1,ROUND($B$81*12,0)&gt;=1,$B$81&lt;=100,SUM($B$82)&gt;=0,SUM($B$82)&lt;=1,SUM($B$83)&gt;=0),$B$80,IF(AND($B$175&gt;0,1187&gt;$B$175,ISNUMBER($B$75)),$B$75,$B$61)),"")</x:f>
        <x:v>0.0625</x:v>
      </x:c>
      <x:c r="D1587" s="441" t="n">
        <x:f>IF(AND(ISNUMBER(B1587),B1587=0),0,IF(AND($B$171=1,I1586=0,ISNUMBER(C1587),ISNUMBER(IF(AND(1187&lt;=$B$174,1187&lt;=$B$173),B1587*C1587/12,IF(AND(1187=$B$173+1,AND(1187&gt;$B$173,$B$78="Refinance",ISNUMBER($B$80),$B$80&gt;=0,$B$80&lt;=1,ROUND($B$81*12,0)&gt;=1,$B$81&lt;=100,SUM($B$82)&gt;=0,SUM($B$82)&lt;=1,SUM($B$83)&gt;=0)),IF(B1587=0,0,IF(C1587=0,B1587/ROUND($B$81*12,0),B1587*(C1587/12)/(1-(1+C1587/12)^(-ROUND($B$81*12,0))))),IF(AND(NOT(AND(1187&gt;$B$173,$B$78="Refinance",ISNUMBER($B$80),$B$80&gt;=0,$B$80&lt;=1,ROUND($B$81*12,0)&gt;=1,$B$81&lt;=100,SUM($B$82)&gt;=0,SUM($B$82)&lt;=1,SUM($B$83)&gt;=0)),OR(1187=1,1187=$B$174+1,AND($B$175&gt;0,1187=$B$175+1))),IF(AND($B$170=1,$B$66&gt;0,OR($B$175=0,1187&lt;=$B$175)),$B$66,IF($B$172-MAX(1187-1,$B$174)&gt;0,IF(B1587=0,0,IF(C1587=0,B1587/($B$172-MAX(1187-1,$B$174)),B1587*(C1587/12)/(1-(1+C1587/12)^(-($B$172-MAX(1187-1,$B$174)))))),"")),D1586))))),IF(IF(AND(1187&lt;=$B$174,1187&lt;=$B$173),B1587*C1587/12,IF(AND(1187=$B$173+1,AND(1187&gt;$B$173,$B$78="Refinance",ISNUMBER($B$80),$B$80&gt;=0,$B$80&lt;=1,ROUND($B$81*12,0)&gt;=1,$B$81&lt;=100,SUM($B$82)&gt;=0,SUM($B$82)&lt;=1,SUM($B$83)&gt;=0)),IF(B1587=0,0,IF(C1587=0,B1587/ROUND($B$81*12,0),B1587*(C1587/12)/(1-(1+C1587/12)^(-ROUND($B$81*12,0))))),IF(AND(NOT(AND(1187&gt;$B$173,$B$78="Refinance",ISNUMBER($B$80),$B$80&gt;=0,$B$80&lt;=1,ROUND($B$81*12,0)&gt;=1,$B$81&lt;=100,SUM($B$82)&gt;=0,SUM($B$82)&lt;=1,SUM($B$83)&gt;=0)),OR(1187=1,1187=$B$174+1,AND($B$175&gt;0,1187=$B$175+1))),IF(AND($B$170=1,$B$66&gt;0,OR($B$175=0,1187&lt;=$B$175)),$B$66,IF($B$172-MAX(1187-1,$B$174)&gt;0,IF(B1587=0,0,IF(C1587=0,B1587/($B$172-MAX(1187-1,$B$174)),B1587*(C1587/12)/(1-(1+C1587/12)^(-($B$172-MAX(1187-1,$B$174)))))),"")),D1586)))+0.0000001&gt;=B1587*C1587/12,MIN(B1587*(1+C1587/12),IF(AND(1187&lt;=$B$174,1187&lt;=$B$173),B1587*C1587/12,IF(AND(1187=$B$173+1,AND(1187&gt;$B$173,$B$78="Refinance",ISNUMBER($B$80),$B$80&gt;=0,$B$80&lt;=1,ROUND($B$81*12,0)&gt;=1,$B$81&lt;=100,SUM($B$82)&gt;=0,SUM($B$82)&lt;=1,SUM($B$83)&gt;=0)),IF(B1587=0,0,IF(C1587=0,B1587/ROUND($B$81*12,0),B1587*(C1587/12)/(1-(1+C1587/12)^(-ROUND($B$81*12,0))))),IF(AND(NOT(AND(1187&gt;$B$173,$B$78="Refinance",ISNUMBER($B$80),$B$80&gt;=0,$B$80&lt;=1,ROUND($B$81*12,0)&gt;=1,$B$81&lt;=100,SUM($B$82)&gt;=0,SUM($B$82)&lt;=1,SUM($B$83)&gt;=0)),OR(1187=1,1187=$B$174+1,AND($B$175&gt;0,1187=$B$175+1))),IF(AND($B$170=1,$B$66&gt;0,OR($B$175=0,1187&lt;=$B$175)),$B$66,IF($B$172-MAX(1187-1,$B$174)&gt;0,IF(B1587=0,0,IF(C1587=0,B1587/($B$172-MAX(1187-1,$B$174)),B1587*(C1587/12)/(1-(1+C1587/12)^(-($B$172-MAX(1187-1,$B$174)))))),"")),D1586)))),""),""))</x:f>
        <x:v>0</x:v>
      </x:c>
      <x:c r="E1587" s="441" t="n">
        <x:f>IF(AND(1187=$B$173,ISNUMBER(D1587)),IF(MAX(0,B1587*(1+C1587/12)-D1587)&lt;MAX(0.0000001,$E$17*0.00000000001),0,MAX(0,B1587*(1+C1587/12)-D1587)),0)</x:f>
        <x:v>0</x:v>
      </x:c>
      <x:c r="F1587" s="441" t="n">
        <x:f>IF($B$78="Cash payoff",E1587,0)</x:f>
        <x:v>0</x:v>
      </x:c>
      <x:c r="G1587" s="441" t="n">
        <x:f>IF(AND(E1587&gt;0,AND($B$78="Refinance",ISNUMBER($B$80),$B$80&gt;=0,$B$80&lt;=1,ROUND($B$81*12,0)&gt;=1,$B$81&lt;=100,SUM($B$82)&gt;=0,SUM($B$82)&lt;=1,SUM($B$83)&gt;=0)),E1587*SUM($B$82)+SUM($B$83),0)</x:f>
        <x:v>0</x:v>
      </x:c>
      <x:c r="H1587" s="441" t="n">
        <x:f>IF(ISNUMBER(D1587),IF(MAX(0,B1587*(1+C1587/12)-D1587-F1587)&lt;MAX(0.0000001,$E$17*0.00000000001),0,MAX(0,B1587*(1+C1587/12)-D1587-F1587)),IF(AND($B$171=1,I1586=1),B1587,""))</x:f>
        <x:v>0</x:v>
      </x:c>
      <x:c r="I1587" s="445" t="n">
        <x:f>IF(OR(I1586=1,AND(E1587&gt;0,$B$78&lt;&gt;"Cash payoff",NOT(AND($B$78="Refinance",ISNUMBER($B$80),$B$80&gt;=0,$B$80&lt;=1,ROUND($B$81*12,0)&gt;=1,$B$81&lt;=100,SUM($B$82)&gt;=0,SUM($B$82)&lt;=1,SUM($B$83)&gt;=0))),AND(ISNUMBER(B1587),B1587&gt;0,$B$171=1,NOT(ISNUMBER(D1587)))),1,0)</x:f>
        <x:v>0</x:v>
      </x:c>
      <x:c r="J1587" s="441" t="n">
        <x:f>IF(ISNUMBER(L1586),L1586,"")</x:f>
        <x:v>0</x:v>
      </x:c>
      <x:c r="K1587" s="441" t="n">
        <x:f>IF(AND(ISNUMBER(J1587),J1587=0),0,IF(AND($B$176=1,ISNUMBER(J1587)),MIN(J1587*(1+$B$87/12),IF($B$86=0,0,IF($B$87=0,$B$86/ROUND($B$88*12,0),$B$86*($B$87/12)/(1-(1+$B$87/12)^(-ROUND($B$88*12,0)))))),""))</x:f>
        <x:v>0</x:v>
      </x:c>
      <x:c r="L1587" s="441" t="n">
        <x:f>IF(ISNUMBER(K1587),IF(MAX(0,J1587*(1+SUM($B$87)/12)-K1587)&lt;MAX(0.0000001,$B$86*0.00000000001),0,MAX(0,J1587*(1+SUM($B$87)/12)-K1587)),"")</x:f>
        <x:v>0</x:v>
      </x:c>
      <x:c r="M1587" s="441" t="n">
        <x:f>IF(AND(ISNUMBER(D1587),ISNUMBER(K1587)),D1587+K1587,"")</x:f>
        <x:v>0</x:v>
      </x:c>
      <x:c r="N1587" s="441" t="n">
        <x:f>IF(AND(ISNUMBER(H1587),ISNUMBER(L1587)),H1587+L1587,"")</x:f>
        <x:v>0</x:v>
      </x:c>
    </x:row>
    <x:row r="1588">
      <x:c r="A1588" t="n">
        <x:f>1188</x:f>
        <x:v>1188</x:v>
      </x:c>
      <x:c r="B1588" s="441" t="n">
        <x:f>IF(ISNUMBER(H1587),H1587,"")</x:f>
        <x:v>0</x:v>
      </x:c>
      <x:c r="C1588" s="443" t="n">
        <x:f>IF(ISNUMBER(B1588),IF(AND(1188&gt;$B$173,$B$78="Refinance",ISNUMBER($B$80),$B$80&gt;=0,$B$80&lt;=1,ROUND($B$81*12,0)&gt;=1,$B$81&lt;=100,SUM($B$82)&gt;=0,SUM($B$82)&lt;=1,SUM($B$83)&gt;=0),$B$80,IF(AND($B$175&gt;0,1188&gt;$B$175,ISNUMBER($B$75)),$B$75,$B$61)),"")</x:f>
        <x:v>0.0625</x:v>
      </x:c>
      <x:c r="D1588" s="441" t="n">
        <x:f>IF(AND(ISNUMBER(B1588),B1588=0),0,IF(AND($B$171=1,I1587=0,ISNUMBER(C1588),ISNUMBER(IF(AND(1188&lt;=$B$174,1188&lt;=$B$173),B1588*C1588/12,IF(AND(1188=$B$173+1,AND(1188&gt;$B$173,$B$78="Refinance",ISNUMBER($B$80),$B$80&gt;=0,$B$80&lt;=1,ROUND($B$81*12,0)&gt;=1,$B$81&lt;=100,SUM($B$82)&gt;=0,SUM($B$82)&lt;=1,SUM($B$83)&gt;=0)),IF(B1588=0,0,IF(C1588=0,B1588/ROUND($B$81*12,0),B1588*(C1588/12)/(1-(1+C1588/12)^(-ROUND($B$81*12,0))))),IF(AND(NOT(AND(1188&gt;$B$173,$B$78="Refinance",ISNUMBER($B$80),$B$80&gt;=0,$B$80&lt;=1,ROUND($B$81*12,0)&gt;=1,$B$81&lt;=100,SUM($B$82)&gt;=0,SUM($B$82)&lt;=1,SUM($B$83)&gt;=0)),OR(1188=1,1188=$B$174+1,AND($B$175&gt;0,1188=$B$175+1))),IF(AND($B$170=1,$B$66&gt;0,OR($B$175=0,1188&lt;=$B$175)),$B$66,IF($B$172-MAX(1188-1,$B$174)&gt;0,IF(B1588=0,0,IF(C1588=0,B1588/($B$172-MAX(1188-1,$B$174)),B1588*(C1588/12)/(1-(1+C1588/12)^(-($B$172-MAX(1188-1,$B$174)))))),"")),D1587))))),IF(IF(AND(1188&lt;=$B$174,1188&lt;=$B$173),B1588*C1588/12,IF(AND(1188=$B$173+1,AND(1188&gt;$B$173,$B$78="Refinance",ISNUMBER($B$80),$B$80&gt;=0,$B$80&lt;=1,ROUND($B$81*12,0)&gt;=1,$B$81&lt;=100,SUM($B$82)&gt;=0,SUM($B$82)&lt;=1,SUM($B$83)&gt;=0)),IF(B1588=0,0,IF(C1588=0,B1588/ROUND($B$81*12,0),B1588*(C1588/12)/(1-(1+C1588/12)^(-ROUND($B$81*12,0))))),IF(AND(NOT(AND(1188&gt;$B$173,$B$78="Refinance",ISNUMBER($B$80),$B$80&gt;=0,$B$80&lt;=1,ROUND($B$81*12,0)&gt;=1,$B$81&lt;=100,SUM($B$82)&gt;=0,SUM($B$82)&lt;=1,SUM($B$83)&gt;=0)),OR(1188=1,1188=$B$174+1,AND($B$175&gt;0,1188=$B$175+1))),IF(AND($B$170=1,$B$66&gt;0,OR($B$175=0,1188&lt;=$B$175)),$B$66,IF($B$172-MAX(1188-1,$B$174)&gt;0,IF(B1588=0,0,IF(C1588=0,B1588/($B$172-MAX(1188-1,$B$174)),B1588*(C1588/12)/(1-(1+C1588/12)^(-($B$172-MAX(1188-1,$B$174)))))),"")),D1587)))+0.0000001&gt;=B1588*C1588/12,MIN(B1588*(1+C1588/12),IF(AND(1188&lt;=$B$174,1188&lt;=$B$173),B1588*C1588/12,IF(AND(1188=$B$173+1,AND(1188&gt;$B$173,$B$78="Refinance",ISNUMBER($B$80),$B$80&gt;=0,$B$80&lt;=1,ROUND($B$81*12,0)&gt;=1,$B$81&lt;=100,SUM($B$82)&gt;=0,SUM($B$82)&lt;=1,SUM($B$83)&gt;=0)),IF(B1588=0,0,IF(C1588=0,B1588/ROUND($B$81*12,0),B1588*(C1588/12)/(1-(1+C1588/12)^(-ROUND($B$81*12,0))))),IF(AND(NOT(AND(1188&gt;$B$173,$B$78="Refinance",ISNUMBER($B$80),$B$80&gt;=0,$B$80&lt;=1,ROUND($B$81*12,0)&gt;=1,$B$81&lt;=100,SUM($B$82)&gt;=0,SUM($B$82)&lt;=1,SUM($B$83)&gt;=0)),OR(1188=1,1188=$B$174+1,AND($B$175&gt;0,1188=$B$175+1))),IF(AND($B$170=1,$B$66&gt;0,OR($B$175=0,1188&lt;=$B$175)),$B$66,IF($B$172-MAX(1188-1,$B$174)&gt;0,IF(B1588=0,0,IF(C1588=0,B1588/($B$172-MAX(1188-1,$B$174)),B1588*(C1588/12)/(1-(1+C1588/12)^(-($B$172-MAX(1188-1,$B$174)))))),"")),D1587)))),""),""))</x:f>
        <x:v>0</x:v>
      </x:c>
      <x:c r="E1588" s="441" t="n">
        <x:f>IF(AND(1188=$B$173,ISNUMBER(D1588)),IF(MAX(0,B1588*(1+C1588/12)-D1588)&lt;MAX(0.0000001,$E$17*0.00000000001),0,MAX(0,B1588*(1+C1588/12)-D1588)),0)</x:f>
        <x:v>0</x:v>
      </x:c>
      <x:c r="F1588" s="441" t="n">
        <x:f>IF($B$78="Cash payoff",E1588,0)</x:f>
        <x:v>0</x:v>
      </x:c>
      <x:c r="G1588" s="441" t="n">
        <x:f>IF(AND(E1588&gt;0,AND($B$78="Refinance",ISNUMBER($B$80),$B$80&gt;=0,$B$80&lt;=1,ROUND($B$81*12,0)&gt;=1,$B$81&lt;=100,SUM($B$82)&gt;=0,SUM($B$82)&lt;=1,SUM($B$83)&gt;=0)),E1588*SUM($B$82)+SUM($B$83),0)</x:f>
        <x:v>0</x:v>
      </x:c>
      <x:c r="H1588" s="441" t="n">
        <x:f>IF(ISNUMBER(D1588),IF(MAX(0,B1588*(1+C1588/12)-D1588-F1588)&lt;MAX(0.0000001,$E$17*0.00000000001),0,MAX(0,B1588*(1+C1588/12)-D1588-F1588)),IF(AND($B$171=1,I1587=1),B1588,""))</x:f>
        <x:v>0</x:v>
      </x:c>
      <x:c r="I1588" s="445" t="n">
        <x:f>IF(OR(I1587=1,AND(E1588&gt;0,$B$78&lt;&gt;"Cash payoff",NOT(AND($B$78="Refinance",ISNUMBER($B$80),$B$80&gt;=0,$B$80&lt;=1,ROUND($B$81*12,0)&gt;=1,$B$81&lt;=100,SUM($B$82)&gt;=0,SUM($B$82)&lt;=1,SUM($B$83)&gt;=0))),AND(ISNUMBER(B1588),B1588&gt;0,$B$171=1,NOT(ISNUMBER(D1588)))),1,0)</x:f>
        <x:v>0</x:v>
      </x:c>
      <x:c r="J1588" s="441" t="n">
        <x:f>IF(ISNUMBER(L1587),L1587,"")</x:f>
        <x:v>0</x:v>
      </x:c>
      <x:c r="K1588" s="441" t="n">
        <x:f>IF(AND(ISNUMBER(J1588),J1588=0),0,IF(AND($B$176=1,ISNUMBER(J1588)),MIN(J1588*(1+$B$87/12),IF($B$86=0,0,IF($B$87=0,$B$86/ROUND($B$88*12,0),$B$86*($B$87/12)/(1-(1+$B$87/12)^(-ROUND($B$88*12,0)))))),""))</x:f>
        <x:v>0</x:v>
      </x:c>
      <x:c r="L1588" s="441" t="n">
        <x:f>IF(ISNUMBER(K1588),IF(MAX(0,J1588*(1+SUM($B$87)/12)-K1588)&lt;MAX(0.0000001,$B$86*0.00000000001),0,MAX(0,J1588*(1+SUM($B$87)/12)-K1588)),"")</x:f>
        <x:v>0</x:v>
      </x:c>
      <x:c r="M1588" s="441" t="n">
        <x:f>IF(AND(ISNUMBER(D1588),ISNUMBER(K1588)),D1588+K1588,"")</x:f>
        <x:v>0</x:v>
      </x:c>
      <x:c r="N1588" s="441" t="n">
        <x:f>IF(AND(ISNUMBER(H1588),ISNUMBER(L1588)),H1588+L1588,"")</x:f>
        <x:v>0</x:v>
      </x:c>
    </x:row>
    <x:row r="1589">
      <x:c r="A1589" t="n">
        <x:f>1189</x:f>
        <x:v>1189</x:v>
      </x:c>
      <x:c r="B1589" s="441" t="n">
        <x:f>IF(ISNUMBER(H1588),H1588,"")</x:f>
        <x:v>0</x:v>
      </x:c>
      <x:c r="C1589" s="443" t="n">
        <x:f>IF(ISNUMBER(B1589),IF(AND(1189&gt;$B$173,$B$78="Refinance",ISNUMBER($B$80),$B$80&gt;=0,$B$80&lt;=1,ROUND($B$81*12,0)&gt;=1,$B$81&lt;=100,SUM($B$82)&gt;=0,SUM($B$82)&lt;=1,SUM($B$83)&gt;=0),$B$80,IF(AND($B$175&gt;0,1189&gt;$B$175,ISNUMBER($B$75)),$B$75,$B$61)),"")</x:f>
        <x:v>0.0625</x:v>
      </x:c>
      <x:c r="D1589" s="441" t="n">
        <x:f>IF(AND(ISNUMBER(B1589),B1589=0),0,IF(AND($B$171=1,I1588=0,ISNUMBER(C1589),ISNUMBER(IF(AND(1189&lt;=$B$174,1189&lt;=$B$173),B1589*C1589/12,IF(AND(1189=$B$173+1,AND(1189&gt;$B$173,$B$78="Refinance",ISNUMBER($B$80),$B$80&gt;=0,$B$80&lt;=1,ROUND($B$81*12,0)&gt;=1,$B$81&lt;=100,SUM($B$82)&gt;=0,SUM($B$82)&lt;=1,SUM($B$83)&gt;=0)),IF(B1589=0,0,IF(C1589=0,B1589/ROUND($B$81*12,0),B1589*(C1589/12)/(1-(1+C1589/12)^(-ROUND($B$81*12,0))))),IF(AND(NOT(AND(1189&gt;$B$173,$B$78="Refinance",ISNUMBER($B$80),$B$80&gt;=0,$B$80&lt;=1,ROUND($B$81*12,0)&gt;=1,$B$81&lt;=100,SUM($B$82)&gt;=0,SUM($B$82)&lt;=1,SUM($B$83)&gt;=0)),OR(1189=1,1189=$B$174+1,AND($B$175&gt;0,1189=$B$175+1))),IF(AND($B$170=1,$B$66&gt;0,OR($B$175=0,1189&lt;=$B$175)),$B$66,IF($B$172-MAX(1189-1,$B$174)&gt;0,IF(B1589=0,0,IF(C1589=0,B1589/($B$172-MAX(1189-1,$B$174)),B1589*(C1589/12)/(1-(1+C1589/12)^(-($B$172-MAX(1189-1,$B$174)))))),"")),D1588))))),IF(IF(AND(1189&lt;=$B$174,1189&lt;=$B$173),B1589*C1589/12,IF(AND(1189=$B$173+1,AND(1189&gt;$B$173,$B$78="Refinance",ISNUMBER($B$80),$B$80&gt;=0,$B$80&lt;=1,ROUND($B$81*12,0)&gt;=1,$B$81&lt;=100,SUM($B$82)&gt;=0,SUM($B$82)&lt;=1,SUM($B$83)&gt;=0)),IF(B1589=0,0,IF(C1589=0,B1589/ROUND($B$81*12,0),B1589*(C1589/12)/(1-(1+C1589/12)^(-ROUND($B$81*12,0))))),IF(AND(NOT(AND(1189&gt;$B$173,$B$78="Refinance",ISNUMBER($B$80),$B$80&gt;=0,$B$80&lt;=1,ROUND($B$81*12,0)&gt;=1,$B$81&lt;=100,SUM($B$82)&gt;=0,SUM($B$82)&lt;=1,SUM($B$83)&gt;=0)),OR(1189=1,1189=$B$174+1,AND($B$175&gt;0,1189=$B$175+1))),IF(AND($B$170=1,$B$66&gt;0,OR($B$175=0,1189&lt;=$B$175)),$B$66,IF($B$172-MAX(1189-1,$B$174)&gt;0,IF(B1589=0,0,IF(C1589=0,B1589/($B$172-MAX(1189-1,$B$174)),B1589*(C1589/12)/(1-(1+C1589/12)^(-($B$172-MAX(1189-1,$B$174)))))),"")),D1588)))+0.0000001&gt;=B1589*C1589/12,MIN(B1589*(1+C1589/12),IF(AND(1189&lt;=$B$174,1189&lt;=$B$173),B1589*C1589/12,IF(AND(1189=$B$173+1,AND(1189&gt;$B$173,$B$78="Refinance",ISNUMBER($B$80),$B$80&gt;=0,$B$80&lt;=1,ROUND($B$81*12,0)&gt;=1,$B$81&lt;=100,SUM($B$82)&gt;=0,SUM($B$82)&lt;=1,SUM($B$83)&gt;=0)),IF(B1589=0,0,IF(C1589=0,B1589/ROUND($B$81*12,0),B1589*(C1589/12)/(1-(1+C1589/12)^(-ROUND($B$81*12,0))))),IF(AND(NOT(AND(1189&gt;$B$173,$B$78="Refinance",ISNUMBER($B$80),$B$80&gt;=0,$B$80&lt;=1,ROUND($B$81*12,0)&gt;=1,$B$81&lt;=100,SUM($B$82)&gt;=0,SUM($B$82)&lt;=1,SUM($B$83)&gt;=0)),OR(1189=1,1189=$B$174+1,AND($B$175&gt;0,1189=$B$175+1))),IF(AND($B$170=1,$B$66&gt;0,OR($B$175=0,1189&lt;=$B$175)),$B$66,IF($B$172-MAX(1189-1,$B$174)&gt;0,IF(B1589=0,0,IF(C1589=0,B1589/($B$172-MAX(1189-1,$B$174)),B1589*(C1589/12)/(1-(1+C1589/12)^(-($B$172-MAX(1189-1,$B$174)))))),"")),D1588)))),""),""))</x:f>
        <x:v>0</x:v>
      </x:c>
      <x:c r="E1589" s="441" t="n">
        <x:f>IF(AND(1189=$B$173,ISNUMBER(D1589)),IF(MAX(0,B1589*(1+C1589/12)-D1589)&lt;MAX(0.0000001,$E$17*0.00000000001),0,MAX(0,B1589*(1+C1589/12)-D1589)),0)</x:f>
        <x:v>0</x:v>
      </x:c>
      <x:c r="F1589" s="441" t="n">
        <x:f>IF($B$78="Cash payoff",E1589,0)</x:f>
        <x:v>0</x:v>
      </x:c>
      <x:c r="G1589" s="441" t="n">
        <x:f>IF(AND(E1589&gt;0,AND($B$78="Refinance",ISNUMBER($B$80),$B$80&gt;=0,$B$80&lt;=1,ROUND($B$81*12,0)&gt;=1,$B$81&lt;=100,SUM($B$82)&gt;=0,SUM($B$82)&lt;=1,SUM($B$83)&gt;=0)),E1589*SUM($B$82)+SUM($B$83),0)</x:f>
        <x:v>0</x:v>
      </x:c>
      <x:c r="H1589" s="441" t="n">
        <x:f>IF(ISNUMBER(D1589),IF(MAX(0,B1589*(1+C1589/12)-D1589-F1589)&lt;MAX(0.0000001,$E$17*0.00000000001),0,MAX(0,B1589*(1+C1589/12)-D1589-F1589)),IF(AND($B$171=1,I1588=1),B1589,""))</x:f>
        <x:v>0</x:v>
      </x:c>
      <x:c r="I1589" s="445" t="n">
        <x:f>IF(OR(I1588=1,AND(E1589&gt;0,$B$78&lt;&gt;"Cash payoff",NOT(AND($B$78="Refinance",ISNUMBER($B$80),$B$80&gt;=0,$B$80&lt;=1,ROUND($B$81*12,0)&gt;=1,$B$81&lt;=100,SUM($B$82)&gt;=0,SUM($B$82)&lt;=1,SUM($B$83)&gt;=0))),AND(ISNUMBER(B1589),B1589&gt;0,$B$171=1,NOT(ISNUMBER(D1589)))),1,0)</x:f>
        <x:v>0</x:v>
      </x:c>
      <x:c r="J1589" s="441" t="n">
        <x:f>IF(ISNUMBER(L1588),L1588,"")</x:f>
        <x:v>0</x:v>
      </x:c>
      <x:c r="K1589" s="441" t="n">
        <x:f>IF(AND(ISNUMBER(J1589),J1589=0),0,IF(AND($B$176=1,ISNUMBER(J1589)),MIN(J1589*(1+$B$87/12),IF($B$86=0,0,IF($B$87=0,$B$86/ROUND($B$88*12,0),$B$86*($B$87/12)/(1-(1+$B$87/12)^(-ROUND($B$88*12,0)))))),""))</x:f>
        <x:v>0</x:v>
      </x:c>
      <x:c r="L1589" s="441" t="n">
        <x:f>IF(ISNUMBER(K1589),IF(MAX(0,J1589*(1+SUM($B$87)/12)-K1589)&lt;MAX(0.0000001,$B$86*0.00000000001),0,MAX(0,J1589*(1+SUM($B$87)/12)-K1589)),"")</x:f>
        <x:v>0</x:v>
      </x:c>
      <x:c r="M1589" s="441" t="n">
        <x:f>IF(AND(ISNUMBER(D1589),ISNUMBER(K1589)),D1589+K1589,"")</x:f>
        <x:v>0</x:v>
      </x:c>
      <x:c r="N1589" s="441" t="n">
        <x:f>IF(AND(ISNUMBER(H1589),ISNUMBER(L1589)),H1589+L1589,"")</x:f>
        <x:v>0</x:v>
      </x:c>
    </x:row>
    <x:row r="1590">
      <x:c r="A1590" t="n">
        <x:f>1190</x:f>
        <x:v>1190</x:v>
      </x:c>
      <x:c r="B1590" s="441" t="n">
        <x:f>IF(ISNUMBER(H1589),H1589,"")</x:f>
        <x:v>0</x:v>
      </x:c>
      <x:c r="C1590" s="443" t="n">
        <x:f>IF(ISNUMBER(B1590),IF(AND(1190&gt;$B$173,$B$78="Refinance",ISNUMBER($B$80),$B$80&gt;=0,$B$80&lt;=1,ROUND($B$81*12,0)&gt;=1,$B$81&lt;=100,SUM($B$82)&gt;=0,SUM($B$82)&lt;=1,SUM($B$83)&gt;=0),$B$80,IF(AND($B$175&gt;0,1190&gt;$B$175,ISNUMBER($B$75)),$B$75,$B$61)),"")</x:f>
        <x:v>0.0625</x:v>
      </x:c>
      <x:c r="D1590" s="441" t="n">
        <x:f>IF(AND(ISNUMBER(B1590),B1590=0),0,IF(AND($B$171=1,I1589=0,ISNUMBER(C1590),ISNUMBER(IF(AND(1190&lt;=$B$174,1190&lt;=$B$173),B1590*C1590/12,IF(AND(1190=$B$173+1,AND(1190&gt;$B$173,$B$78="Refinance",ISNUMBER($B$80),$B$80&gt;=0,$B$80&lt;=1,ROUND($B$81*12,0)&gt;=1,$B$81&lt;=100,SUM($B$82)&gt;=0,SUM($B$82)&lt;=1,SUM($B$83)&gt;=0)),IF(B1590=0,0,IF(C1590=0,B1590/ROUND($B$81*12,0),B1590*(C1590/12)/(1-(1+C1590/12)^(-ROUND($B$81*12,0))))),IF(AND(NOT(AND(1190&gt;$B$173,$B$78="Refinance",ISNUMBER($B$80),$B$80&gt;=0,$B$80&lt;=1,ROUND($B$81*12,0)&gt;=1,$B$81&lt;=100,SUM($B$82)&gt;=0,SUM($B$82)&lt;=1,SUM($B$83)&gt;=0)),OR(1190=1,1190=$B$174+1,AND($B$175&gt;0,1190=$B$175+1))),IF(AND($B$170=1,$B$66&gt;0,OR($B$175=0,1190&lt;=$B$175)),$B$66,IF($B$172-MAX(1190-1,$B$174)&gt;0,IF(B1590=0,0,IF(C1590=0,B1590/($B$172-MAX(1190-1,$B$174)),B1590*(C1590/12)/(1-(1+C1590/12)^(-($B$172-MAX(1190-1,$B$174)))))),"")),D1589))))),IF(IF(AND(1190&lt;=$B$174,1190&lt;=$B$173),B1590*C1590/12,IF(AND(1190=$B$173+1,AND(1190&gt;$B$173,$B$78="Refinance",ISNUMBER($B$80),$B$80&gt;=0,$B$80&lt;=1,ROUND($B$81*12,0)&gt;=1,$B$81&lt;=100,SUM($B$82)&gt;=0,SUM($B$82)&lt;=1,SUM($B$83)&gt;=0)),IF(B1590=0,0,IF(C1590=0,B1590/ROUND($B$81*12,0),B1590*(C1590/12)/(1-(1+C1590/12)^(-ROUND($B$81*12,0))))),IF(AND(NOT(AND(1190&gt;$B$173,$B$78="Refinance",ISNUMBER($B$80),$B$80&gt;=0,$B$80&lt;=1,ROUND($B$81*12,0)&gt;=1,$B$81&lt;=100,SUM($B$82)&gt;=0,SUM($B$82)&lt;=1,SUM($B$83)&gt;=0)),OR(1190=1,1190=$B$174+1,AND($B$175&gt;0,1190=$B$175+1))),IF(AND($B$170=1,$B$66&gt;0,OR($B$175=0,1190&lt;=$B$175)),$B$66,IF($B$172-MAX(1190-1,$B$174)&gt;0,IF(B1590=0,0,IF(C1590=0,B1590/($B$172-MAX(1190-1,$B$174)),B1590*(C1590/12)/(1-(1+C1590/12)^(-($B$172-MAX(1190-1,$B$174)))))),"")),D1589)))+0.0000001&gt;=B1590*C1590/12,MIN(B1590*(1+C1590/12),IF(AND(1190&lt;=$B$174,1190&lt;=$B$173),B1590*C1590/12,IF(AND(1190=$B$173+1,AND(1190&gt;$B$173,$B$78="Refinance",ISNUMBER($B$80),$B$80&gt;=0,$B$80&lt;=1,ROUND($B$81*12,0)&gt;=1,$B$81&lt;=100,SUM($B$82)&gt;=0,SUM($B$82)&lt;=1,SUM($B$83)&gt;=0)),IF(B1590=0,0,IF(C1590=0,B1590/ROUND($B$81*12,0),B1590*(C1590/12)/(1-(1+C1590/12)^(-ROUND($B$81*12,0))))),IF(AND(NOT(AND(1190&gt;$B$173,$B$78="Refinance",ISNUMBER($B$80),$B$80&gt;=0,$B$80&lt;=1,ROUND($B$81*12,0)&gt;=1,$B$81&lt;=100,SUM($B$82)&gt;=0,SUM($B$82)&lt;=1,SUM($B$83)&gt;=0)),OR(1190=1,1190=$B$174+1,AND($B$175&gt;0,1190=$B$175+1))),IF(AND($B$170=1,$B$66&gt;0,OR($B$175=0,1190&lt;=$B$175)),$B$66,IF($B$172-MAX(1190-1,$B$174)&gt;0,IF(B1590=0,0,IF(C1590=0,B1590/($B$172-MAX(1190-1,$B$174)),B1590*(C1590/12)/(1-(1+C1590/12)^(-($B$172-MAX(1190-1,$B$174)))))),"")),D1589)))),""),""))</x:f>
        <x:v>0</x:v>
      </x:c>
      <x:c r="E1590" s="441" t="n">
        <x:f>IF(AND(1190=$B$173,ISNUMBER(D1590)),IF(MAX(0,B1590*(1+C1590/12)-D1590)&lt;MAX(0.0000001,$E$17*0.00000000001),0,MAX(0,B1590*(1+C1590/12)-D1590)),0)</x:f>
        <x:v>0</x:v>
      </x:c>
      <x:c r="F1590" s="441" t="n">
        <x:f>IF($B$78="Cash payoff",E1590,0)</x:f>
        <x:v>0</x:v>
      </x:c>
      <x:c r="G1590" s="441" t="n">
        <x:f>IF(AND(E1590&gt;0,AND($B$78="Refinance",ISNUMBER($B$80),$B$80&gt;=0,$B$80&lt;=1,ROUND($B$81*12,0)&gt;=1,$B$81&lt;=100,SUM($B$82)&gt;=0,SUM($B$82)&lt;=1,SUM($B$83)&gt;=0)),E1590*SUM($B$82)+SUM($B$83),0)</x:f>
        <x:v>0</x:v>
      </x:c>
      <x:c r="H1590" s="441" t="n">
        <x:f>IF(ISNUMBER(D1590),IF(MAX(0,B1590*(1+C1590/12)-D1590-F1590)&lt;MAX(0.0000001,$E$17*0.00000000001),0,MAX(0,B1590*(1+C1590/12)-D1590-F1590)),IF(AND($B$171=1,I1589=1),B1590,""))</x:f>
        <x:v>0</x:v>
      </x:c>
      <x:c r="I1590" s="445" t="n">
        <x:f>IF(OR(I1589=1,AND(E1590&gt;0,$B$78&lt;&gt;"Cash payoff",NOT(AND($B$78="Refinance",ISNUMBER($B$80),$B$80&gt;=0,$B$80&lt;=1,ROUND($B$81*12,0)&gt;=1,$B$81&lt;=100,SUM($B$82)&gt;=0,SUM($B$82)&lt;=1,SUM($B$83)&gt;=0))),AND(ISNUMBER(B1590),B1590&gt;0,$B$171=1,NOT(ISNUMBER(D1590)))),1,0)</x:f>
        <x:v>0</x:v>
      </x:c>
      <x:c r="J1590" s="441" t="n">
        <x:f>IF(ISNUMBER(L1589),L1589,"")</x:f>
        <x:v>0</x:v>
      </x:c>
      <x:c r="K1590" s="441" t="n">
        <x:f>IF(AND(ISNUMBER(J1590),J1590=0),0,IF(AND($B$176=1,ISNUMBER(J1590)),MIN(J1590*(1+$B$87/12),IF($B$86=0,0,IF($B$87=0,$B$86/ROUND($B$88*12,0),$B$86*($B$87/12)/(1-(1+$B$87/12)^(-ROUND($B$88*12,0)))))),""))</x:f>
        <x:v>0</x:v>
      </x:c>
      <x:c r="L1590" s="441" t="n">
        <x:f>IF(ISNUMBER(K1590),IF(MAX(0,J1590*(1+SUM($B$87)/12)-K1590)&lt;MAX(0.0000001,$B$86*0.00000000001),0,MAX(0,J1590*(1+SUM($B$87)/12)-K1590)),"")</x:f>
        <x:v>0</x:v>
      </x:c>
      <x:c r="M1590" s="441" t="n">
        <x:f>IF(AND(ISNUMBER(D1590),ISNUMBER(K1590)),D1590+K1590,"")</x:f>
        <x:v>0</x:v>
      </x:c>
      <x:c r="N1590" s="441" t="n">
        <x:f>IF(AND(ISNUMBER(H1590),ISNUMBER(L1590)),H1590+L1590,"")</x:f>
        <x:v>0</x:v>
      </x:c>
    </x:row>
    <x:row r="1591">
      <x:c r="A1591" t="n">
        <x:f>1191</x:f>
        <x:v>1191</x:v>
      </x:c>
      <x:c r="B1591" s="441" t="n">
        <x:f>IF(ISNUMBER(H1590),H1590,"")</x:f>
        <x:v>0</x:v>
      </x:c>
      <x:c r="C1591" s="443" t="n">
        <x:f>IF(ISNUMBER(B1591),IF(AND(1191&gt;$B$173,$B$78="Refinance",ISNUMBER($B$80),$B$80&gt;=0,$B$80&lt;=1,ROUND($B$81*12,0)&gt;=1,$B$81&lt;=100,SUM($B$82)&gt;=0,SUM($B$82)&lt;=1,SUM($B$83)&gt;=0),$B$80,IF(AND($B$175&gt;0,1191&gt;$B$175,ISNUMBER($B$75)),$B$75,$B$61)),"")</x:f>
        <x:v>0.0625</x:v>
      </x:c>
      <x:c r="D1591" s="441" t="n">
        <x:f>IF(AND(ISNUMBER(B1591),B1591=0),0,IF(AND($B$171=1,I1590=0,ISNUMBER(C1591),ISNUMBER(IF(AND(1191&lt;=$B$174,1191&lt;=$B$173),B1591*C1591/12,IF(AND(1191=$B$173+1,AND(1191&gt;$B$173,$B$78="Refinance",ISNUMBER($B$80),$B$80&gt;=0,$B$80&lt;=1,ROUND($B$81*12,0)&gt;=1,$B$81&lt;=100,SUM($B$82)&gt;=0,SUM($B$82)&lt;=1,SUM($B$83)&gt;=0)),IF(B1591=0,0,IF(C1591=0,B1591/ROUND($B$81*12,0),B1591*(C1591/12)/(1-(1+C1591/12)^(-ROUND($B$81*12,0))))),IF(AND(NOT(AND(1191&gt;$B$173,$B$78="Refinance",ISNUMBER($B$80),$B$80&gt;=0,$B$80&lt;=1,ROUND($B$81*12,0)&gt;=1,$B$81&lt;=100,SUM($B$82)&gt;=0,SUM($B$82)&lt;=1,SUM($B$83)&gt;=0)),OR(1191=1,1191=$B$174+1,AND($B$175&gt;0,1191=$B$175+1))),IF(AND($B$170=1,$B$66&gt;0,OR($B$175=0,1191&lt;=$B$175)),$B$66,IF($B$172-MAX(1191-1,$B$174)&gt;0,IF(B1591=0,0,IF(C1591=0,B1591/($B$172-MAX(1191-1,$B$174)),B1591*(C1591/12)/(1-(1+C1591/12)^(-($B$172-MAX(1191-1,$B$174)))))),"")),D1590))))),IF(IF(AND(1191&lt;=$B$174,1191&lt;=$B$173),B1591*C1591/12,IF(AND(1191=$B$173+1,AND(1191&gt;$B$173,$B$78="Refinance",ISNUMBER($B$80),$B$80&gt;=0,$B$80&lt;=1,ROUND($B$81*12,0)&gt;=1,$B$81&lt;=100,SUM($B$82)&gt;=0,SUM($B$82)&lt;=1,SUM($B$83)&gt;=0)),IF(B1591=0,0,IF(C1591=0,B1591/ROUND($B$81*12,0),B1591*(C1591/12)/(1-(1+C1591/12)^(-ROUND($B$81*12,0))))),IF(AND(NOT(AND(1191&gt;$B$173,$B$78="Refinance",ISNUMBER($B$80),$B$80&gt;=0,$B$80&lt;=1,ROUND($B$81*12,0)&gt;=1,$B$81&lt;=100,SUM($B$82)&gt;=0,SUM($B$82)&lt;=1,SUM($B$83)&gt;=0)),OR(1191=1,1191=$B$174+1,AND($B$175&gt;0,1191=$B$175+1))),IF(AND($B$170=1,$B$66&gt;0,OR($B$175=0,1191&lt;=$B$175)),$B$66,IF($B$172-MAX(1191-1,$B$174)&gt;0,IF(B1591=0,0,IF(C1591=0,B1591/($B$172-MAX(1191-1,$B$174)),B1591*(C1591/12)/(1-(1+C1591/12)^(-($B$172-MAX(1191-1,$B$174)))))),"")),D1590)))+0.0000001&gt;=B1591*C1591/12,MIN(B1591*(1+C1591/12),IF(AND(1191&lt;=$B$174,1191&lt;=$B$173),B1591*C1591/12,IF(AND(1191=$B$173+1,AND(1191&gt;$B$173,$B$78="Refinance",ISNUMBER($B$80),$B$80&gt;=0,$B$80&lt;=1,ROUND($B$81*12,0)&gt;=1,$B$81&lt;=100,SUM($B$82)&gt;=0,SUM($B$82)&lt;=1,SUM($B$83)&gt;=0)),IF(B1591=0,0,IF(C1591=0,B1591/ROUND($B$81*12,0),B1591*(C1591/12)/(1-(1+C1591/12)^(-ROUND($B$81*12,0))))),IF(AND(NOT(AND(1191&gt;$B$173,$B$78="Refinance",ISNUMBER($B$80),$B$80&gt;=0,$B$80&lt;=1,ROUND($B$81*12,0)&gt;=1,$B$81&lt;=100,SUM($B$82)&gt;=0,SUM($B$82)&lt;=1,SUM($B$83)&gt;=0)),OR(1191=1,1191=$B$174+1,AND($B$175&gt;0,1191=$B$175+1))),IF(AND($B$170=1,$B$66&gt;0,OR($B$175=0,1191&lt;=$B$175)),$B$66,IF($B$172-MAX(1191-1,$B$174)&gt;0,IF(B1591=0,0,IF(C1591=0,B1591/($B$172-MAX(1191-1,$B$174)),B1591*(C1591/12)/(1-(1+C1591/12)^(-($B$172-MAX(1191-1,$B$174)))))),"")),D1590)))),""),""))</x:f>
        <x:v>0</x:v>
      </x:c>
      <x:c r="E1591" s="441" t="n">
        <x:f>IF(AND(1191=$B$173,ISNUMBER(D1591)),IF(MAX(0,B1591*(1+C1591/12)-D1591)&lt;MAX(0.0000001,$E$17*0.00000000001),0,MAX(0,B1591*(1+C1591/12)-D1591)),0)</x:f>
        <x:v>0</x:v>
      </x:c>
      <x:c r="F1591" s="441" t="n">
        <x:f>IF($B$78="Cash payoff",E1591,0)</x:f>
        <x:v>0</x:v>
      </x:c>
      <x:c r="G1591" s="441" t="n">
        <x:f>IF(AND(E1591&gt;0,AND($B$78="Refinance",ISNUMBER($B$80),$B$80&gt;=0,$B$80&lt;=1,ROUND($B$81*12,0)&gt;=1,$B$81&lt;=100,SUM($B$82)&gt;=0,SUM($B$82)&lt;=1,SUM($B$83)&gt;=0)),E1591*SUM($B$82)+SUM($B$83),0)</x:f>
        <x:v>0</x:v>
      </x:c>
      <x:c r="H1591" s="441" t="n">
        <x:f>IF(ISNUMBER(D1591),IF(MAX(0,B1591*(1+C1591/12)-D1591-F1591)&lt;MAX(0.0000001,$E$17*0.00000000001),0,MAX(0,B1591*(1+C1591/12)-D1591-F1591)),IF(AND($B$171=1,I1590=1),B1591,""))</x:f>
        <x:v>0</x:v>
      </x:c>
      <x:c r="I1591" s="445" t="n">
        <x:f>IF(OR(I1590=1,AND(E1591&gt;0,$B$78&lt;&gt;"Cash payoff",NOT(AND($B$78="Refinance",ISNUMBER($B$80),$B$80&gt;=0,$B$80&lt;=1,ROUND($B$81*12,0)&gt;=1,$B$81&lt;=100,SUM($B$82)&gt;=0,SUM($B$82)&lt;=1,SUM($B$83)&gt;=0))),AND(ISNUMBER(B1591),B1591&gt;0,$B$171=1,NOT(ISNUMBER(D1591)))),1,0)</x:f>
        <x:v>0</x:v>
      </x:c>
      <x:c r="J1591" s="441" t="n">
        <x:f>IF(ISNUMBER(L1590),L1590,"")</x:f>
        <x:v>0</x:v>
      </x:c>
      <x:c r="K1591" s="441" t="n">
        <x:f>IF(AND(ISNUMBER(J1591),J1591=0),0,IF(AND($B$176=1,ISNUMBER(J1591)),MIN(J1591*(1+$B$87/12),IF($B$86=0,0,IF($B$87=0,$B$86/ROUND($B$88*12,0),$B$86*($B$87/12)/(1-(1+$B$87/12)^(-ROUND($B$88*12,0)))))),""))</x:f>
        <x:v>0</x:v>
      </x:c>
      <x:c r="L1591" s="441" t="n">
        <x:f>IF(ISNUMBER(K1591),IF(MAX(0,J1591*(1+SUM($B$87)/12)-K1591)&lt;MAX(0.0000001,$B$86*0.00000000001),0,MAX(0,J1591*(1+SUM($B$87)/12)-K1591)),"")</x:f>
        <x:v>0</x:v>
      </x:c>
      <x:c r="M1591" s="441" t="n">
        <x:f>IF(AND(ISNUMBER(D1591),ISNUMBER(K1591)),D1591+K1591,"")</x:f>
        <x:v>0</x:v>
      </x:c>
      <x:c r="N1591" s="441" t="n">
        <x:f>IF(AND(ISNUMBER(H1591),ISNUMBER(L1591)),H1591+L1591,"")</x:f>
        <x:v>0</x:v>
      </x:c>
    </x:row>
    <x:row r="1592">
      <x:c r="A1592" t="n">
        <x:f>1192</x:f>
        <x:v>1192</x:v>
      </x:c>
      <x:c r="B1592" s="441" t="n">
        <x:f>IF(ISNUMBER(H1591),H1591,"")</x:f>
        <x:v>0</x:v>
      </x:c>
      <x:c r="C1592" s="443" t="n">
        <x:f>IF(ISNUMBER(B1592),IF(AND(1192&gt;$B$173,$B$78="Refinance",ISNUMBER($B$80),$B$80&gt;=0,$B$80&lt;=1,ROUND($B$81*12,0)&gt;=1,$B$81&lt;=100,SUM($B$82)&gt;=0,SUM($B$82)&lt;=1,SUM($B$83)&gt;=0),$B$80,IF(AND($B$175&gt;0,1192&gt;$B$175,ISNUMBER($B$75)),$B$75,$B$61)),"")</x:f>
        <x:v>0.0625</x:v>
      </x:c>
      <x:c r="D1592" s="441" t="n">
        <x:f>IF(AND(ISNUMBER(B1592),B1592=0),0,IF(AND($B$171=1,I1591=0,ISNUMBER(C1592),ISNUMBER(IF(AND(1192&lt;=$B$174,1192&lt;=$B$173),B1592*C1592/12,IF(AND(1192=$B$173+1,AND(1192&gt;$B$173,$B$78="Refinance",ISNUMBER($B$80),$B$80&gt;=0,$B$80&lt;=1,ROUND($B$81*12,0)&gt;=1,$B$81&lt;=100,SUM($B$82)&gt;=0,SUM($B$82)&lt;=1,SUM($B$83)&gt;=0)),IF(B1592=0,0,IF(C1592=0,B1592/ROUND($B$81*12,0),B1592*(C1592/12)/(1-(1+C1592/12)^(-ROUND($B$81*12,0))))),IF(AND(NOT(AND(1192&gt;$B$173,$B$78="Refinance",ISNUMBER($B$80),$B$80&gt;=0,$B$80&lt;=1,ROUND($B$81*12,0)&gt;=1,$B$81&lt;=100,SUM($B$82)&gt;=0,SUM($B$82)&lt;=1,SUM($B$83)&gt;=0)),OR(1192=1,1192=$B$174+1,AND($B$175&gt;0,1192=$B$175+1))),IF(AND($B$170=1,$B$66&gt;0,OR($B$175=0,1192&lt;=$B$175)),$B$66,IF($B$172-MAX(1192-1,$B$174)&gt;0,IF(B1592=0,0,IF(C1592=0,B1592/($B$172-MAX(1192-1,$B$174)),B1592*(C1592/12)/(1-(1+C1592/12)^(-($B$172-MAX(1192-1,$B$174)))))),"")),D1591))))),IF(IF(AND(1192&lt;=$B$174,1192&lt;=$B$173),B1592*C1592/12,IF(AND(1192=$B$173+1,AND(1192&gt;$B$173,$B$78="Refinance",ISNUMBER($B$80),$B$80&gt;=0,$B$80&lt;=1,ROUND($B$81*12,0)&gt;=1,$B$81&lt;=100,SUM($B$82)&gt;=0,SUM($B$82)&lt;=1,SUM($B$83)&gt;=0)),IF(B1592=0,0,IF(C1592=0,B1592/ROUND($B$81*12,0),B1592*(C1592/12)/(1-(1+C1592/12)^(-ROUND($B$81*12,0))))),IF(AND(NOT(AND(1192&gt;$B$173,$B$78="Refinance",ISNUMBER($B$80),$B$80&gt;=0,$B$80&lt;=1,ROUND($B$81*12,0)&gt;=1,$B$81&lt;=100,SUM($B$82)&gt;=0,SUM($B$82)&lt;=1,SUM($B$83)&gt;=0)),OR(1192=1,1192=$B$174+1,AND($B$175&gt;0,1192=$B$175+1))),IF(AND($B$170=1,$B$66&gt;0,OR($B$175=0,1192&lt;=$B$175)),$B$66,IF($B$172-MAX(1192-1,$B$174)&gt;0,IF(B1592=0,0,IF(C1592=0,B1592/($B$172-MAX(1192-1,$B$174)),B1592*(C1592/12)/(1-(1+C1592/12)^(-($B$172-MAX(1192-1,$B$174)))))),"")),D1591)))+0.0000001&gt;=B1592*C1592/12,MIN(B1592*(1+C1592/12),IF(AND(1192&lt;=$B$174,1192&lt;=$B$173),B1592*C1592/12,IF(AND(1192=$B$173+1,AND(1192&gt;$B$173,$B$78="Refinance",ISNUMBER($B$80),$B$80&gt;=0,$B$80&lt;=1,ROUND($B$81*12,0)&gt;=1,$B$81&lt;=100,SUM($B$82)&gt;=0,SUM($B$82)&lt;=1,SUM($B$83)&gt;=0)),IF(B1592=0,0,IF(C1592=0,B1592/ROUND($B$81*12,0),B1592*(C1592/12)/(1-(1+C1592/12)^(-ROUND($B$81*12,0))))),IF(AND(NOT(AND(1192&gt;$B$173,$B$78="Refinance",ISNUMBER($B$80),$B$80&gt;=0,$B$80&lt;=1,ROUND($B$81*12,0)&gt;=1,$B$81&lt;=100,SUM($B$82)&gt;=0,SUM($B$82)&lt;=1,SUM($B$83)&gt;=0)),OR(1192=1,1192=$B$174+1,AND($B$175&gt;0,1192=$B$175+1))),IF(AND($B$170=1,$B$66&gt;0,OR($B$175=0,1192&lt;=$B$175)),$B$66,IF($B$172-MAX(1192-1,$B$174)&gt;0,IF(B1592=0,0,IF(C1592=0,B1592/($B$172-MAX(1192-1,$B$174)),B1592*(C1592/12)/(1-(1+C1592/12)^(-($B$172-MAX(1192-1,$B$174)))))),"")),D1591)))),""),""))</x:f>
        <x:v>0</x:v>
      </x:c>
      <x:c r="E1592" s="441" t="n">
        <x:f>IF(AND(1192=$B$173,ISNUMBER(D1592)),IF(MAX(0,B1592*(1+C1592/12)-D1592)&lt;MAX(0.0000001,$E$17*0.00000000001),0,MAX(0,B1592*(1+C1592/12)-D1592)),0)</x:f>
        <x:v>0</x:v>
      </x:c>
      <x:c r="F1592" s="441" t="n">
        <x:f>IF($B$78="Cash payoff",E1592,0)</x:f>
        <x:v>0</x:v>
      </x:c>
      <x:c r="G1592" s="441" t="n">
        <x:f>IF(AND(E1592&gt;0,AND($B$78="Refinance",ISNUMBER($B$80),$B$80&gt;=0,$B$80&lt;=1,ROUND($B$81*12,0)&gt;=1,$B$81&lt;=100,SUM($B$82)&gt;=0,SUM($B$82)&lt;=1,SUM($B$83)&gt;=0)),E1592*SUM($B$82)+SUM($B$83),0)</x:f>
        <x:v>0</x:v>
      </x:c>
      <x:c r="H1592" s="441" t="n">
        <x:f>IF(ISNUMBER(D1592),IF(MAX(0,B1592*(1+C1592/12)-D1592-F1592)&lt;MAX(0.0000001,$E$17*0.00000000001),0,MAX(0,B1592*(1+C1592/12)-D1592-F1592)),IF(AND($B$171=1,I1591=1),B1592,""))</x:f>
        <x:v>0</x:v>
      </x:c>
      <x:c r="I1592" s="445" t="n">
        <x:f>IF(OR(I1591=1,AND(E1592&gt;0,$B$78&lt;&gt;"Cash payoff",NOT(AND($B$78="Refinance",ISNUMBER($B$80),$B$80&gt;=0,$B$80&lt;=1,ROUND($B$81*12,0)&gt;=1,$B$81&lt;=100,SUM($B$82)&gt;=0,SUM($B$82)&lt;=1,SUM($B$83)&gt;=0))),AND(ISNUMBER(B1592),B1592&gt;0,$B$171=1,NOT(ISNUMBER(D1592)))),1,0)</x:f>
        <x:v>0</x:v>
      </x:c>
      <x:c r="J1592" s="441" t="n">
        <x:f>IF(ISNUMBER(L1591),L1591,"")</x:f>
        <x:v>0</x:v>
      </x:c>
      <x:c r="K1592" s="441" t="n">
        <x:f>IF(AND(ISNUMBER(J1592),J1592=0),0,IF(AND($B$176=1,ISNUMBER(J1592)),MIN(J1592*(1+$B$87/12),IF($B$86=0,0,IF($B$87=0,$B$86/ROUND($B$88*12,0),$B$86*($B$87/12)/(1-(1+$B$87/12)^(-ROUND($B$88*12,0)))))),""))</x:f>
        <x:v>0</x:v>
      </x:c>
      <x:c r="L1592" s="441" t="n">
        <x:f>IF(ISNUMBER(K1592),IF(MAX(0,J1592*(1+SUM($B$87)/12)-K1592)&lt;MAX(0.0000001,$B$86*0.00000000001),0,MAX(0,J1592*(1+SUM($B$87)/12)-K1592)),"")</x:f>
        <x:v>0</x:v>
      </x:c>
      <x:c r="M1592" s="441" t="n">
        <x:f>IF(AND(ISNUMBER(D1592),ISNUMBER(K1592)),D1592+K1592,"")</x:f>
        <x:v>0</x:v>
      </x:c>
      <x:c r="N1592" s="441" t="n">
        <x:f>IF(AND(ISNUMBER(H1592),ISNUMBER(L1592)),H1592+L1592,"")</x:f>
        <x:v>0</x:v>
      </x:c>
    </x:row>
    <x:row r="1593">
      <x:c r="A1593" t="n">
        <x:f>1193</x:f>
        <x:v>1193</x:v>
      </x:c>
      <x:c r="B1593" s="441" t="n">
        <x:f>IF(ISNUMBER(H1592),H1592,"")</x:f>
        <x:v>0</x:v>
      </x:c>
      <x:c r="C1593" s="443" t="n">
        <x:f>IF(ISNUMBER(B1593),IF(AND(1193&gt;$B$173,$B$78="Refinance",ISNUMBER($B$80),$B$80&gt;=0,$B$80&lt;=1,ROUND($B$81*12,0)&gt;=1,$B$81&lt;=100,SUM($B$82)&gt;=0,SUM($B$82)&lt;=1,SUM($B$83)&gt;=0),$B$80,IF(AND($B$175&gt;0,1193&gt;$B$175,ISNUMBER($B$75)),$B$75,$B$61)),"")</x:f>
        <x:v>0.0625</x:v>
      </x:c>
      <x:c r="D1593" s="441" t="n">
        <x:f>IF(AND(ISNUMBER(B1593),B1593=0),0,IF(AND($B$171=1,I1592=0,ISNUMBER(C1593),ISNUMBER(IF(AND(1193&lt;=$B$174,1193&lt;=$B$173),B1593*C1593/12,IF(AND(1193=$B$173+1,AND(1193&gt;$B$173,$B$78="Refinance",ISNUMBER($B$80),$B$80&gt;=0,$B$80&lt;=1,ROUND($B$81*12,0)&gt;=1,$B$81&lt;=100,SUM($B$82)&gt;=0,SUM($B$82)&lt;=1,SUM($B$83)&gt;=0)),IF(B1593=0,0,IF(C1593=0,B1593/ROUND($B$81*12,0),B1593*(C1593/12)/(1-(1+C1593/12)^(-ROUND($B$81*12,0))))),IF(AND(NOT(AND(1193&gt;$B$173,$B$78="Refinance",ISNUMBER($B$80),$B$80&gt;=0,$B$80&lt;=1,ROUND($B$81*12,0)&gt;=1,$B$81&lt;=100,SUM($B$82)&gt;=0,SUM($B$82)&lt;=1,SUM($B$83)&gt;=0)),OR(1193=1,1193=$B$174+1,AND($B$175&gt;0,1193=$B$175+1))),IF(AND($B$170=1,$B$66&gt;0,OR($B$175=0,1193&lt;=$B$175)),$B$66,IF($B$172-MAX(1193-1,$B$174)&gt;0,IF(B1593=0,0,IF(C1593=0,B1593/($B$172-MAX(1193-1,$B$174)),B1593*(C1593/12)/(1-(1+C1593/12)^(-($B$172-MAX(1193-1,$B$174)))))),"")),D1592))))),IF(IF(AND(1193&lt;=$B$174,1193&lt;=$B$173),B1593*C1593/12,IF(AND(1193=$B$173+1,AND(1193&gt;$B$173,$B$78="Refinance",ISNUMBER($B$80),$B$80&gt;=0,$B$80&lt;=1,ROUND($B$81*12,0)&gt;=1,$B$81&lt;=100,SUM($B$82)&gt;=0,SUM($B$82)&lt;=1,SUM($B$83)&gt;=0)),IF(B1593=0,0,IF(C1593=0,B1593/ROUND($B$81*12,0),B1593*(C1593/12)/(1-(1+C1593/12)^(-ROUND($B$81*12,0))))),IF(AND(NOT(AND(1193&gt;$B$173,$B$78="Refinance",ISNUMBER($B$80),$B$80&gt;=0,$B$80&lt;=1,ROUND($B$81*12,0)&gt;=1,$B$81&lt;=100,SUM($B$82)&gt;=0,SUM($B$82)&lt;=1,SUM($B$83)&gt;=0)),OR(1193=1,1193=$B$174+1,AND($B$175&gt;0,1193=$B$175+1))),IF(AND($B$170=1,$B$66&gt;0,OR($B$175=0,1193&lt;=$B$175)),$B$66,IF($B$172-MAX(1193-1,$B$174)&gt;0,IF(B1593=0,0,IF(C1593=0,B1593/($B$172-MAX(1193-1,$B$174)),B1593*(C1593/12)/(1-(1+C1593/12)^(-($B$172-MAX(1193-1,$B$174)))))),"")),D1592)))+0.0000001&gt;=B1593*C1593/12,MIN(B1593*(1+C1593/12),IF(AND(1193&lt;=$B$174,1193&lt;=$B$173),B1593*C1593/12,IF(AND(1193=$B$173+1,AND(1193&gt;$B$173,$B$78="Refinance",ISNUMBER($B$80),$B$80&gt;=0,$B$80&lt;=1,ROUND($B$81*12,0)&gt;=1,$B$81&lt;=100,SUM($B$82)&gt;=0,SUM($B$82)&lt;=1,SUM($B$83)&gt;=0)),IF(B1593=0,0,IF(C1593=0,B1593/ROUND($B$81*12,0),B1593*(C1593/12)/(1-(1+C1593/12)^(-ROUND($B$81*12,0))))),IF(AND(NOT(AND(1193&gt;$B$173,$B$78="Refinance",ISNUMBER($B$80),$B$80&gt;=0,$B$80&lt;=1,ROUND($B$81*12,0)&gt;=1,$B$81&lt;=100,SUM($B$82)&gt;=0,SUM($B$82)&lt;=1,SUM($B$83)&gt;=0)),OR(1193=1,1193=$B$174+1,AND($B$175&gt;0,1193=$B$175+1))),IF(AND($B$170=1,$B$66&gt;0,OR($B$175=0,1193&lt;=$B$175)),$B$66,IF($B$172-MAX(1193-1,$B$174)&gt;0,IF(B1593=0,0,IF(C1593=0,B1593/($B$172-MAX(1193-1,$B$174)),B1593*(C1593/12)/(1-(1+C1593/12)^(-($B$172-MAX(1193-1,$B$174)))))),"")),D1592)))),""),""))</x:f>
        <x:v>0</x:v>
      </x:c>
      <x:c r="E1593" s="441" t="n">
        <x:f>IF(AND(1193=$B$173,ISNUMBER(D1593)),IF(MAX(0,B1593*(1+C1593/12)-D1593)&lt;MAX(0.0000001,$E$17*0.00000000001),0,MAX(0,B1593*(1+C1593/12)-D1593)),0)</x:f>
        <x:v>0</x:v>
      </x:c>
      <x:c r="F1593" s="441" t="n">
        <x:f>IF($B$78="Cash payoff",E1593,0)</x:f>
        <x:v>0</x:v>
      </x:c>
      <x:c r="G1593" s="441" t="n">
        <x:f>IF(AND(E1593&gt;0,AND($B$78="Refinance",ISNUMBER($B$80),$B$80&gt;=0,$B$80&lt;=1,ROUND($B$81*12,0)&gt;=1,$B$81&lt;=100,SUM($B$82)&gt;=0,SUM($B$82)&lt;=1,SUM($B$83)&gt;=0)),E1593*SUM($B$82)+SUM($B$83),0)</x:f>
        <x:v>0</x:v>
      </x:c>
      <x:c r="H1593" s="441" t="n">
        <x:f>IF(ISNUMBER(D1593),IF(MAX(0,B1593*(1+C1593/12)-D1593-F1593)&lt;MAX(0.0000001,$E$17*0.00000000001),0,MAX(0,B1593*(1+C1593/12)-D1593-F1593)),IF(AND($B$171=1,I1592=1),B1593,""))</x:f>
        <x:v>0</x:v>
      </x:c>
      <x:c r="I1593" s="445" t="n">
        <x:f>IF(OR(I1592=1,AND(E1593&gt;0,$B$78&lt;&gt;"Cash payoff",NOT(AND($B$78="Refinance",ISNUMBER($B$80),$B$80&gt;=0,$B$80&lt;=1,ROUND($B$81*12,0)&gt;=1,$B$81&lt;=100,SUM($B$82)&gt;=0,SUM($B$82)&lt;=1,SUM($B$83)&gt;=0))),AND(ISNUMBER(B1593),B1593&gt;0,$B$171=1,NOT(ISNUMBER(D1593)))),1,0)</x:f>
        <x:v>0</x:v>
      </x:c>
      <x:c r="J1593" s="441" t="n">
        <x:f>IF(ISNUMBER(L1592),L1592,"")</x:f>
        <x:v>0</x:v>
      </x:c>
      <x:c r="K1593" s="441" t="n">
        <x:f>IF(AND(ISNUMBER(J1593),J1593=0),0,IF(AND($B$176=1,ISNUMBER(J1593)),MIN(J1593*(1+$B$87/12),IF($B$86=0,0,IF($B$87=0,$B$86/ROUND($B$88*12,0),$B$86*($B$87/12)/(1-(1+$B$87/12)^(-ROUND($B$88*12,0)))))),""))</x:f>
        <x:v>0</x:v>
      </x:c>
      <x:c r="L1593" s="441" t="n">
        <x:f>IF(ISNUMBER(K1593),IF(MAX(0,J1593*(1+SUM($B$87)/12)-K1593)&lt;MAX(0.0000001,$B$86*0.00000000001),0,MAX(0,J1593*(1+SUM($B$87)/12)-K1593)),"")</x:f>
        <x:v>0</x:v>
      </x:c>
      <x:c r="M1593" s="441" t="n">
        <x:f>IF(AND(ISNUMBER(D1593),ISNUMBER(K1593)),D1593+K1593,"")</x:f>
        <x:v>0</x:v>
      </x:c>
      <x:c r="N1593" s="441" t="n">
        <x:f>IF(AND(ISNUMBER(H1593),ISNUMBER(L1593)),H1593+L1593,"")</x:f>
        <x:v>0</x:v>
      </x:c>
    </x:row>
    <x:row r="1594">
      <x:c r="A1594" t="n">
        <x:f>1194</x:f>
        <x:v>1194</x:v>
      </x:c>
      <x:c r="B1594" s="441" t="n">
        <x:f>IF(ISNUMBER(H1593),H1593,"")</x:f>
        <x:v>0</x:v>
      </x:c>
      <x:c r="C1594" s="443" t="n">
        <x:f>IF(ISNUMBER(B1594),IF(AND(1194&gt;$B$173,$B$78="Refinance",ISNUMBER($B$80),$B$80&gt;=0,$B$80&lt;=1,ROUND($B$81*12,0)&gt;=1,$B$81&lt;=100,SUM($B$82)&gt;=0,SUM($B$82)&lt;=1,SUM($B$83)&gt;=0),$B$80,IF(AND($B$175&gt;0,1194&gt;$B$175,ISNUMBER($B$75)),$B$75,$B$61)),"")</x:f>
        <x:v>0.0625</x:v>
      </x:c>
      <x:c r="D1594" s="441" t="n">
        <x:f>IF(AND(ISNUMBER(B1594),B1594=0),0,IF(AND($B$171=1,I1593=0,ISNUMBER(C1594),ISNUMBER(IF(AND(1194&lt;=$B$174,1194&lt;=$B$173),B1594*C1594/12,IF(AND(1194=$B$173+1,AND(1194&gt;$B$173,$B$78="Refinance",ISNUMBER($B$80),$B$80&gt;=0,$B$80&lt;=1,ROUND($B$81*12,0)&gt;=1,$B$81&lt;=100,SUM($B$82)&gt;=0,SUM($B$82)&lt;=1,SUM($B$83)&gt;=0)),IF(B1594=0,0,IF(C1594=0,B1594/ROUND($B$81*12,0),B1594*(C1594/12)/(1-(1+C1594/12)^(-ROUND($B$81*12,0))))),IF(AND(NOT(AND(1194&gt;$B$173,$B$78="Refinance",ISNUMBER($B$80),$B$80&gt;=0,$B$80&lt;=1,ROUND($B$81*12,0)&gt;=1,$B$81&lt;=100,SUM($B$82)&gt;=0,SUM($B$82)&lt;=1,SUM($B$83)&gt;=0)),OR(1194=1,1194=$B$174+1,AND($B$175&gt;0,1194=$B$175+1))),IF(AND($B$170=1,$B$66&gt;0,OR($B$175=0,1194&lt;=$B$175)),$B$66,IF($B$172-MAX(1194-1,$B$174)&gt;0,IF(B1594=0,0,IF(C1594=0,B1594/($B$172-MAX(1194-1,$B$174)),B1594*(C1594/12)/(1-(1+C1594/12)^(-($B$172-MAX(1194-1,$B$174)))))),"")),D1593))))),IF(IF(AND(1194&lt;=$B$174,1194&lt;=$B$173),B1594*C1594/12,IF(AND(1194=$B$173+1,AND(1194&gt;$B$173,$B$78="Refinance",ISNUMBER($B$80),$B$80&gt;=0,$B$80&lt;=1,ROUND($B$81*12,0)&gt;=1,$B$81&lt;=100,SUM($B$82)&gt;=0,SUM($B$82)&lt;=1,SUM($B$83)&gt;=0)),IF(B1594=0,0,IF(C1594=0,B1594/ROUND($B$81*12,0),B1594*(C1594/12)/(1-(1+C1594/12)^(-ROUND($B$81*12,0))))),IF(AND(NOT(AND(1194&gt;$B$173,$B$78="Refinance",ISNUMBER($B$80),$B$80&gt;=0,$B$80&lt;=1,ROUND($B$81*12,0)&gt;=1,$B$81&lt;=100,SUM($B$82)&gt;=0,SUM($B$82)&lt;=1,SUM($B$83)&gt;=0)),OR(1194=1,1194=$B$174+1,AND($B$175&gt;0,1194=$B$175+1))),IF(AND($B$170=1,$B$66&gt;0,OR($B$175=0,1194&lt;=$B$175)),$B$66,IF($B$172-MAX(1194-1,$B$174)&gt;0,IF(B1594=0,0,IF(C1594=0,B1594/($B$172-MAX(1194-1,$B$174)),B1594*(C1594/12)/(1-(1+C1594/12)^(-($B$172-MAX(1194-1,$B$174)))))),"")),D1593)))+0.0000001&gt;=B1594*C1594/12,MIN(B1594*(1+C1594/12),IF(AND(1194&lt;=$B$174,1194&lt;=$B$173),B1594*C1594/12,IF(AND(1194=$B$173+1,AND(1194&gt;$B$173,$B$78="Refinance",ISNUMBER($B$80),$B$80&gt;=0,$B$80&lt;=1,ROUND($B$81*12,0)&gt;=1,$B$81&lt;=100,SUM($B$82)&gt;=0,SUM($B$82)&lt;=1,SUM($B$83)&gt;=0)),IF(B1594=0,0,IF(C1594=0,B1594/ROUND($B$81*12,0),B1594*(C1594/12)/(1-(1+C1594/12)^(-ROUND($B$81*12,0))))),IF(AND(NOT(AND(1194&gt;$B$173,$B$78="Refinance",ISNUMBER($B$80),$B$80&gt;=0,$B$80&lt;=1,ROUND($B$81*12,0)&gt;=1,$B$81&lt;=100,SUM($B$82)&gt;=0,SUM($B$82)&lt;=1,SUM($B$83)&gt;=0)),OR(1194=1,1194=$B$174+1,AND($B$175&gt;0,1194=$B$175+1))),IF(AND($B$170=1,$B$66&gt;0,OR($B$175=0,1194&lt;=$B$175)),$B$66,IF($B$172-MAX(1194-1,$B$174)&gt;0,IF(B1594=0,0,IF(C1594=0,B1594/($B$172-MAX(1194-1,$B$174)),B1594*(C1594/12)/(1-(1+C1594/12)^(-($B$172-MAX(1194-1,$B$174)))))),"")),D1593)))),""),""))</x:f>
        <x:v>0</x:v>
      </x:c>
      <x:c r="E1594" s="441" t="n">
        <x:f>IF(AND(1194=$B$173,ISNUMBER(D1594)),IF(MAX(0,B1594*(1+C1594/12)-D1594)&lt;MAX(0.0000001,$E$17*0.00000000001),0,MAX(0,B1594*(1+C1594/12)-D1594)),0)</x:f>
        <x:v>0</x:v>
      </x:c>
      <x:c r="F1594" s="441" t="n">
        <x:f>IF($B$78="Cash payoff",E1594,0)</x:f>
        <x:v>0</x:v>
      </x:c>
      <x:c r="G1594" s="441" t="n">
        <x:f>IF(AND(E1594&gt;0,AND($B$78="Refinance",ISNUMBER($B$80),$B$80&gt;=0,$B$80&lt;=1,ROUND($B$81*12,0)&gt;=1,$B$81&lt;=100,SUM($B$82)&gt;=0,SUM($B$82)&lt;=1,SUM($B$83)&gt;=0)),E1594*SUM($B$82)+SUM($B$83),0)</x:f>
        <x:v>0</x:v>
      </x:c>
      <x:c r="H1594" s="441" t="n">
        <x:f>IF(ISNUMBER(D1594),IF(MAX(0,B1594*(1+C1594/12)-D1594-F1594)&lt;MAX(0.0000001,$E$17*0.00000000001),0,MAX(0,B1594*(1+C1594/12)-D1594-F1594)),IF(AND($B$171=1,I1593=1),B1594,""))</x:f>
        <x:v>0</x:v>
      </x:c>
      <x:c r="I1594" s="445" t="n">
        <x:f>IF(OR(I1593=1,AND(E1594&gt;0,$B$78&lt;&gt;"Cash payoff",NOT(AND($B$78="Refinance",ISNUMBER($B$80),$B$80&gt;=0,$B$80&lt;=1,ROUND($B$81*12,0)&gt;=1,$B$81&lt;=100,SUM($B$82)&gt;=0,SUM($B$82)&lt;=1,SUM($B$83)&gt;=0))),AND(ISNUMBER(B1594),B1594&gt;0,$B$171=1,NOT(ISNUMBER(D1594)))),1,0)</x:f>
        <x:v>0</x:v>
      </x:c>
      <x:c r="J1594" s="441" t="n">
        <x:f>IF(ISNUMBER(L1593),L1593,"")</x:f>
        <x:v>0</x:v>
      </x:c>
      <x:c r="K1594" s="441" t="n">
        <x:f>IF(AND(ISNUMBER(J1594),J1594=0),0,IF(AND($B$176=1,ISNUMBER(J1594)),MIN(J1594*(1+$B$87/12),IF($B$86=0,0,IF($B$87=0,$B$86/ROUND($B$88*12,0),$B$86*($B$87/12)/(1-(1+$B$87/12)^(-ROUND($B$88*12,0)))))),""))</x:f>
        <x:v>0</x:v>
      </x:c>
      <x:c r="L1594" s="441" t="n">
        <x:f>IF(ISNUMBER(K1594),IF(MAX(0,J1594*(1+SUM($B$87)/12)-K1594)&lt;MAX(0.0000001,$B$86*0.00000000001),0,MAX(0,J1594*(1+SUM($B$87)/12)-K1594)),"")</x:f>
        <x:v>0</x:v>
      </x:c>
      <x:c r="M1594" s="441" t="n">
        <x:f>IF(AND(ISNUMBER(D1594),ISNUMBER(K1594)),D1594+K1594,"")</x:f>
        <x:v>0</x:v>
      </x:c>
      <x:c r="N1594" s="441" t="n">
        <x:f>IF(AND(ISNUMBER(H1594),ISNUMBER(L1594)),H1594+L1594,"")</x:f>
        <x:v>0</x:v>
      </x:c>
    </x:row>
    <x:row r="1595">
      <x:c r="A1595" t="n">
        <x:f>1195</x:f>
        <x:v>1195</x:v>
      </x:c>
      <x:c r="B1595" s="441" t="n">
        <x:f>IF(ISNUMBER(H1594),H1594,"")</x:f>
        <x:v>0</x:v>
      </x:c>
      <x:c r="C1595" s="443" t="n">
        <x:f>IF(ISNUMBER(B1595),IF(AND(1195&gt;$B$173,$B$78="Refinance",ISNUMBER($B$80),$B$80&gt;=0,$B$80&lt;=1,ROUND($B$81*12,0)&gt;=1,$B$81&lt;=100,SUM($B$82)&gt;=0,SUM($B$82)&lt;=1,SUM($B$83)&gt;=0),$B$80,IF(AND($B$175&gt;0,1195&gt;$B$175,ISNUMBER($B$75)),$B$75,$B$61)),"")</x:f>
        <x:v>0.0625</x:v>
      </x:c>
      <x:c r="D1595" s="441" t="n">
        <x:f>IF(AND(ISNUMBER(B1595),B1595=0),0,IF(AND($B$171=1,I1594=0,ISNUMBER(C1595),ISNUMBER(IF(AND(1195&lt;=$B$174,1195&lt;=$B$173),B1595*C1595/12,IF(AND(1195=$B$173+1,AND(1195&gt;$B$173,$B$78="Refinance",ISNUMBER($B$80),$B$80&gt;=0,$B$80&lt;=1,ROUND($B$81*12,0)&gt;=1,$B$81&lt;=100,SUM($B$82)&gt;=0,SUM($B$82)&lt;=1,SUM($B$83)&gt;=0)),IF(B1595=0,0,IF(C1595=0,B1595/ROUND($B$81*12,0),B1595*(C1595/12)/(1-(1+C1595/12)^(-ROUND($B$81*12,0))))),IF(AND(NOT(AND(1195&gt;$B$173,$B$78="Refinance",ISNUMBER($B$80),$B$80&gt;=0,$B$80&lt;=1,ROUND($B$81*12,0)&gt;=1,$B$81&lt;=100,SUM($B$82)&gt;=0,SUM($B$82)&lt;=1,SUM($B$83)&gt;=0)),OR(1195=1,1195=$B$174+1,AND($B$175&gt;0,1195=$B$175+1))),IF(AND($B$170=1,$B$66&gt;0,OR($B$175=0,1195&lt;=$B$175)),$B$66,IF($B$172-MAX(1195-1,$B$174)&gt;0,IF(B1595=0,0,IF(C1595=0,B1595/($B$172-MAX(1195-1,$B$174)),B1595*(C1595/12)/(1-(1+C1595/12)^(-($B$172-MAX(1195-1,$B$174)))))),"")),D1594))))),IF(IF(AND(1195&lt;=$B$174,1195&lt;=$B$173),B1595*C1595/12,IF(AND(1195=$B$173+1,AND(1195&gt;$B$173,$B$78="Refinance",ISNUMBER($B$80),$B$80&gt;=0,$B$80&lt;=1,ROUND($B$81*12,0)&gt;=1,$B$81&lt;=100,SUM($B$82)&gt;=0,SUM($B$82)&lt;=1,SUM($B$83)&gt;=0)),IF(B1595=0,0,IF(C1595=0,B1595/ROUND($B$81*12,0),B1595*(C1595/12)/(1-(1+C1595/12)^(-ROUND($B$81*12,0))))),IF(AND(NOT(AND(1195&gt;$B$173,$B$78="Refinance",ISNUMBER($B$80),$B$80&gt;=0,$B$80&lt;=1,ROUND($B$81*12,0)&gt;=1,$B$81&lt;=100,SUM($B$82)&gt;=0,SUM($B$82)&lt;=1,SUM($B$83)&gt;=0)),OR(1195=1,1195=$B$174+1,AND($B$175&gt;0,1195=$B$175+1))),IF(AND($B$170=1,$B$66&gt;0,OR($B$175=0,1195&lt;=$B$175)),$B$66,IF($B$172-MAX(1195-1,$B$174)&gt;0,IF(B1595=0,0,IF(C1595=0,B1595/($B$172-MAX(1195-1,$B$174)),B1595*(C1595/12)/(1-(1+C1595/12)^(-($B$172-MAX(1195-1,$B$174)))))),"")),D1594)))+0.0000001&gt;=B1595*C1595/12,MIN(B1595*(1+C1595/12),IF(AND(1195&lt;=$B$174,1195&lt;=$B$173),B1595*C1595/12,IF(AND(1195=$B$173+1,AND(1195&gt;$B$173,$B$78="Refinance",ISNUMBER($B$80),$B$80&gt;=0,$B$80&lt;=1,ROUND($B$81*12,0)&gt;=1,$B$81&lt;=100,SUM($B$82)&gt;=0,SUM($B$82)&lt;=1,SUM($B$83)&gt;=0)),IF(B1595=0,0,IF(C1595=0,B1595/ROUND($B$81*12,0),B1595*(C1595/12)/(1-(1+C1595/12)^(-ROUND($B$81*12,0))))),IF(AND(NOT(AND(1195&gt;$B$173,$B$78="Refinance",ISNUMBER($B$80),$B$80&gt;=0,$B$80&lt;=1,ROUND($B$81*12,0)&gt;=1,$B$81&lt;=100,SUM($B$82)&gt;=0,SUM($B$82)&lt;=1,SUM($B$83)&gt;=0)),OR(1195=1,1195=$B$174+1,AND($B$175&gt;0,1195=$B$175+1))),IF(AND($B$170=1,$B$66&gt;0,OR($B$175=0,1195&lt;=$B$175)),$B$66,IF($B$172-MAX(1195-1,$B$174)&gt;0,IF(B1595=0,0,IF(C1595=0,B1595/($B$172-MAX(1195-1,$B$174)),B1595*(C1595/12)/(1-(1+C1595/12)^(-($B$172-MAX(1195-1,$B$174)))))),"")),D1594)))),""),""))</x:f>
        <x:v>0</x:v>
      </x:c>
      <x:c r="E1595" s="441" t="n">
        <x:f>IF(AND(1195=$B$173,ISNUMBER(D1595)),IF(MAX(0,B1595*(1+C1595/12)-D1595)&lt;MAX(0.0000001,$E$17*0.00000000001),0,MAX(0,B1595*(1+C1595/12)-D1595)),0)</x:f>
        <x:v>0</x:v>
      </x:c>
      <x:c r="F1595" s="441" t="n">
        <x:f>IF($B$78="Cash payoff",E1595,0)</x:f>
        <x:v>0</x:v>
      </x:c>
      <x:c r="G1595" s="441" t="n">
        <x:f>IF(AND(E1595&gt;0,AND($B$78="Refinance",ISNUMBER($B$80),$B$80&gt;=0,$B$80&lt;=1,ROUND($B$81*12,0)&gt;=1,$B$81&lt;=100,SUM($B$82)&gt;=0,SUM($B$82)&lt;=1,SUM($B$83)&gt;=0)),E1595*SUM($B$82)+SUM($B$83),0)</x:f>
        <x:v>0</x:v>
      </x:c>
      <x:c r="H1595" s="441" t="n">
        <x:f>IF(ISNUMBER(D1595),IF(MAX(0,B1595*(1+C1595/12)-D1595-F1595)&lt;MAX(0.0000001,$E$17*0.00000000001),0,MAX(0,B1595*(1+C1595/12)-D1595-F1595)),IF(AND($B$171=1,I1594=1),B1595,""))</x:f>
        <x:v>0</x:v>
      </x:c>
      <x:c r="I1595" s="445" t="n">
        <x:f>IF(OR(I1594=1,AND(E1595&gt;0,$B$78&lt;&gt;"Cash payoff",NOT(AND($B$78="Refinance",ISNUMBER($B$80),$B$80&gt;=0,$B$80&lt;=1,ROUND($B$81*12,0)&gt;=1,$B$81&lt;=100,SUM($B$82)&gt;=0,SUM($B$82)&lt;=1,SUM($B$83)&gt;=0))),AND(ISNUMBER(B1595),B1595&gt;0,$B$171=1,NOT(ISNUMBER(D1595)))),1,0)</x:f>
        <x:v>0</x:v>
      </x:c>
      <x:c r="J1595" s="441" t="n">
        <x:f>IF(ISNUMBER(L1594),L1594,"")</x:f>
        <x:v>0</x:v>
      </x:c>
      <x:c r="K1595" s="441" t="n">
        <x:f>IF(AND(ISNUMBER(J1595),J1595=0),0,IF(AND($B$176=1,ISNUMBER(J1595)),MIN(J1595*(1+$B$87/12),IF($B$86=0,0,IF($B$87=0,$B$86/ROUND($B$88*12,0),$B$86*($B$87/12)/(1-(1+$B$87/12)^(-ROUND($B$88*12,0)))))),""))</x:f>
        <x:v>0</x:v>
      </x:c>
      <x:c r="L1595" s="441" t="n">
        <x:f>IF(ISNUMBER(K1595),IF(MAX(0,J1595*(1+SUM($B$87)/12)-K1595)&lt;MAX(0.0000001,$B$86*0.00000000001),0,MAX(0,J1595*(1+SUM($B$87)/12)-K1595)),"")</x:f>
        <x:v>0</x:v>
      </x:c>
      <x:c r="M1595" s="441" t="n">
        <x:f>IF(AND(ISNUMBER(D1595),ISNUMBER(K1595)),D1595+K1595,"")</x:f>
        <x:v>0</x:v>
      </x:c>
      <x:c r="N1595" s="441" t="n">
        <x:f>IF(AND(ISNUMBER(H1595),ISNUMBER(L1595)),H1595+L1595,"")</x:f>
        <x:v>0</x:v>
      </x:c>
    </x:row>
    <x:row r="1596">
      <x:c r="A1596" t="n">
        <x:f>1196</x:f>
        <x:v>1196</x:v>
      </x:c>
      <x:c r="B1596" s="441" t="n">
        <x:f>IF(ISNUMBER(H1595),H1595,"")</x:f>
        <x:v>0</x:v>
      </x:c>
      <x:c r="C1596" s="443" t="n">
        <x:f>IF(ISNUMBER(B1596),IF(AND(1196&gt;$B$173,$B$78="Refinance",ISNUMBER($B$80),$B$80&gt;=0,$B$80&lt;=1,ROUND($B$81*12,0)&gt;=1,$B$81&lt;=100,SUM($B$82)&gt;=0,SUM($B$82)&lt;=1,SUM($B$83)&gt;=0),$B$80,IF(AND($B$175&gt;0,1196&gt;$B$175,ISNUMBER($B$75)),$B$75,$B$61)),"")</x:f>
        <x:v>0.0625</x:v>
      </x:c>
      <x:c r="D1596" s="441" t="n">
        <x:f>IF(AND(ISNUMBER(B1596),B1596=0),0,IF(AND($B$171=1,I1595=0,ISNUMBER(C1596),ISNUMBER(IF(AND(1196&lt;=$B$174,1196&lt;=$B$173),B1596*C1596/12,IF(AND(1196=$B$173+1,AND(1196&gt;$B$173,$B$78="Refinance",ISNUMBER($B$80),$B$80&gt;=0,$B$80&lt;=1,ROUND($B$81*12,0)&gt;=1,$B$81&lt;=100,SUM($B$82)&gt;=0,SUM($B$82)&lt;=1,SUM($B$83)&gt;=0)),IF(B1596=0,0,IF(C1596=0,B1596/ROUND($B$81*12,0),B1596*(C1596/12)/(1-(1+C1596/12)^(-ROUND($B$81*12,0))))),IF(AND(NOT(AND(1196&gt;$B$173,$B$78="Refinance",ISNUMBER($B$80),$B$80&gt;=0,$B$80&lt;=1,ROUND($B$81*12,0)&gt;=1,$B$81&lt;=100,SUM($B$82)&gt;=0,SUM($B$82)&lt;=1,SUM($B$83)&gt;=0)),OR(1196=1,1196=$B$174+1,AND($B$175&gt;0,1196=$B$175+1))),IF(AND($B$170=1,$B$66&gt;0,OR($B$175=0,1196&lt;=$B$175)),$B$66,IF($B$172-MAX(1196-1,$B$174)&gt;0,IF(B1596=0,0,IF(C1596=0,B1596/($B$172-MAX(1196-1,$B$174)),B1596*(C1596/12)/(1-(1+C1596/12)^(-($B$172-MAX(1196-1,$B$174)))))),"")),D1595))))),IF(IF(AND(1196&lt;=$B$174,1196&lt;=$B$173),B1596*C1596/12,IF(AND(1196=$B$173+1,AND(1196&gt;$B$173,$B$78="Refinance",ISNUMBER($B$80),$B$80&gt;=0,$B$80&lt;=1,ROUND($B$81*12,0)&gt;=1,$B$81&lt;=100,SUM($B$82)&gt;=0,SUM($B$82)&lt;=1,SUM($B$83)&gt;=0)),IF(B1596=0,0,IF(C1596=0,B1596/ROUND($B$81*12,0),B1596*(C1596/12)/(1-(1+C1596/12)^(-ROUND($B$81*12,0))))),IF(AND(NOT(AND(1196&gt;$B$173,$B$78="Refinance",ISNUMBER($B$80),$B$80&gt;=0,$B$80&lt;=1,ROUND($B$81*12,0)&gt;=1,$B$81&lt;=100,SUM($B$82)&gt;=0,SUM($B$82)&lt;=1,SUM($B$83)&gt;=0)),OR(1196=1,1196=$B$174+1,AND($B$175&gt;0,1196=$B$175+1))),IF(AND($B$170=1,$B$66&gt;0,OR($B$175=0,1196&lt;=$B$175)),$B$66,IF($B$172-MAX(1196-1,$B$174)&gt;0,IF(B1596=0,0,IF(C1596=0,B1596/($B$172-MAX(1196-1,$B$174)),B1596*(C1596/12)/(1-(1+C1596/12)^(-($B$172-MAX(1196-1,$B$174)))))),"")),D1595)))+0.0000001&gt;=B1596*C1596/12,MIN(B1596*(1+C1596/12),IF(AND(1196&lt;=$B$174,1196&lt;=$B$173),B1596*C1596/12,IF(AND(1196=$B$173+1,AND(1196&gt;$B$173,$B$78="Refinance",ISNUMBER($B$80),$B$80&gt;=0,$B$80&lt;=1,ROUND($B$81*12,0)&gt;=1,$B$81&lt;=100,SUM($B$82)&gt;=0,SUM($B$82)&lt;=1,SUM($B$83)&gt;=0)),IF(B1596=0,0,IF(C1596=0,B1596/ROUND($B$81*12,0),B1596*(C1596/12)/(1-(1+C1596/12)^(-ROUND($B$81*12,0))))),IF(AND(NOT(AND(1196&gt;$B$173,$B$78="Refinance",ISNUMBER($B$80),$B$80&gt;=0,$B$80&lt;=1,ROUND($B$81*12,0)&gt;=1,$B$81&lt;=100,SUM($B$82)&gt;=0,SUM($B$82)&lt;=1,SUM($B$83)&gt;=0)),OR(1196=1,1196=$B$174+1,AND($B$175&gt;0,1196=$B$175+1))),IF(AND($B$170=1,$B$66&gt;0,OR($B$175=0,1196&lt;=$B$175)),$B$66,IF($B$172-MAX(1196-1,$B$174)&gt;0,IF(B1596=0,0,IF(C1596=0,B1596/($B$172-MAX(1196-1,$B$174)),B1596*(C1596/12)/(1-(1+C1596/12)^(-($B$172-MAX(1196-1,$B$174)))))),"")),D1595)))),""),""))</x:f>
        <x:v>0</x:v>
      </x:c>
      <x:c r="E1596" s="441" t="n">
        <x:f>IF(AND(1196=$B$173,ISNUMBER(D1596)),IF(MAX(0,B1596*(1+C1596/12)-D1596)&lt;MAX(0.0000001,$E$17*0.00000000001),0,MAX(0,B1596*(1+C1596/12)-D1596)),0)</x:f>
        <x:v>0</x:v>
      </x:c>
      <x:c r="F1596" s="441" t="n">
        <x:f>IF($B$78="Cash payoff",E1596,0)</x:f>
        <x:v>0</x:v>
      </x:c>
      <x:c r="G1596" s="441" t="n">
        <x:f>IF(AND(E1596&gt;0,AND($B$78="Refinance",ISNUMBER($B$80),$B$80&gt;=0,$B$80&lt;=1,ROUND($B$81*12,0)&gt;=1,$B$81&lt;=100,SUM($B$82)&gt;=0,SUM($B$82)&lt;=1,SUM($B$83)&gt;=0)),E1596*SUM($B$82)+SUM($B$83),0)</x:f>
        <x:v>0</x:v>
      </x:c>
      <x:c r="H1596" s="441" t="n">
        <x:f>IF(ISNUMBER(D1596),IF(MAX(0,B1596*(1+C1596/12)-D1596-F1596)&lt;MAX(0.0000001,$E$17*0.00000000001),0,MAX(0,B1596*(1+C1596/12)-D1596-F1596)),IF(AND($B$171=1,I1595=1),B1596,""))</x:f>
        <x:v>0</x:v>
      </x:c>
      <x:c r="I1596" s="445" t="n">
        <x:f>IF(OR(I1595=1,AND(E1596&gt;0,$B$78&lt;&gt;"Cash payoff",NOT(AND($B$78="Refinance",ISNUMBER($B$80),$B$80&gt;=0,$B$80&lt;=1,ROUND($B$81*12,0)&gt;=1,$B$81&lt;=100,SUM($B$82)&gt;=0,SUM($B$82)&lt;=1,SUM($B$83)&gt;=0))),AND(ISNUMBER(B1596),B1596&gt;0,$B$171=1,NOT(ISNUMBER(D1596)))),1,0)</x:f>
        <x:v>0</x:v>
      </x:c>
      <x:c r="J1596" s="441" t="n">
        <x:f>IF(ISNUMBER(L1595),L1595,"")</x:f>
        <x:v>0</x:v>
      </x:c>
      <x:c r="K1596" s="441" t="n">
        <x:f>IF(AND(ISNUMBER(J1596),J1596=0),0,IF(AND($B$176=1,ISNUMBER(J1596)),MIN(J1596*(1+$B$87/12),IF($B$86=0,0,IF($B$87=0,$B$86/ROUND($B$88*12,0),$B$86*($B$87/12)/(1-(1+$B$87/12)^(-ROUND($B$88*12,0)))))),""))</x:f>
        <x:v>0</x:v>
      </x:c>
      <x:c r="L1596" s="441" t="n">
        <x:f>IF(ISNUMBER(K1596),IF(MAX(0,J1596*(1+SUM($B$87)/12)-K1596)&lt;MAX(0.0000001,$B$86*0.00000000001),0,MAX(0,J1596*(1+SUM($B$87)/12)-K1596)),"")</x:f>
        <x:v>0</x:v>
      </x:c>
      <x:c r="M1596" s="441" t="n">
        <x:f>IF(AND(ISNUMBER(D1596),ISNUMBER(K1596)),D1596+K1596,"")</x:f>
        <x:v>0</x:v>
      </x:c>
      <x:c r="N1596" s="441" t="n">
        <x:f>IF(AND(ISNUMBER(H1596),ISNUMBER(L1596)),H1596+L1596,"")</x:f>
        <x:v>0</x:v>
      </x:c>
    </x:row>
    <x:row r="1597">
      <x:c r="A1597" t="n">
        <x:f>1197</x:f>
        <x:v>1197</x:v>
      </x:c>
      <x:c r="B1597" s="441" t="n">
        <x:f>IF(ISNUMBER(H1596),H1596,"")</x:f>
        <x:v>0</x:v>
      </x:c>
      <x:c r="C1597" s="443" t="n">
        <x:f>IF(ISNUMBER(B1597),IF(AND(1197&gt;$B$173,$B$78="Refinance",ISNUMBER($B$80),$B$80&gt;=0,$B$80&lt;=1,ROUND($B$81*12,0)&gt;=1,$B$81&lt;=100,SUM($B$82)&gt;=0,SUM($B$82)&lt;=1,SUM($B$83)&gt;=0),$B$80,IF(AND($B$175&gt;0,1197&gt;$B$175,ISNUMBER($B$75)),$B$75,$B$61)),"")</x:f>
        <x:v>0.0625</x:v>
      </x:c>
      <x:c r="D1597" s="441" t="n">
        <x:f>IF(AND(ISNUMBER(B1597),B1597=0),0,IF(AND($B$171=1,I1596=0,ISNUMBER(C1597),ISNUMBER(IF(AND(1197&lt;=$B$174,1197&lt;=$B$173),B1597*C1597/12,IF(AND(1197=$B$173+1,AND(1197&gt;$B$173,$B$78="Refinance",ISNUMBER($B$80),$B$80&gt;=0,$B$80&lt;=1,ROUND($B$81*12,0)&gt;=1,$B$81&lt;=100,SUM($B$82)&gt;=0,SUM($B$82)&lt;=1,SUM($B$83)&gt;=0)),IF(B1597=0,0,IF(C1597=0,B1597/ROUND($B$81*12,0),B1597*(C1597/12)/(1-(1+C1597/12)^(-ROUND($B$81*12,0))))),IF(AND(NOT(AND(1197&gt;$B$173,$B$78="Refinance",ISNUMBER($B$80),$B$80&gt;=0,$B$80&lt;=1,ROUND($B$81*12,0)&gt;=1,$B$81&lt;=100,SUM($B$82)&gt;=0,SUM($B$82)&lt;=1,SUM($B$83)&gt;=0)),OR(1197=1,1197=$B$174+1,AND($B$175&gt;0,1197=$B$175+1))),IF(AND($B$170=1,$B$66&gt;0,OR($B$175=0,1197&lt;=$B$175)),$B$66,IF($B$172-MAX(1197-1,$B$174)&gt;0,IF(B1597=0,0,IF(C1597=0,B1597/($B$172-MAX(1197-1,$B$174)),B1597*(C1597/12)/(1-(1+C1597/12)^(-($B$172-MAX(1197-1,$B$174)))))),"")),D1596))))),IF(IF(AND(1197&lt;=$B$174,1197&lt;=$B$173),B1597*C1597/12,IF(AND(1197=$B$173+1,AND(1197&gt;$B$173,$B$78="Refinance",ISNUMBER($B$80),$B$80&gt;=0,$B$80&lt;=1,ROUND($B$81*12,0)&gt;=1,$B$81&lt;=100,SUM($B$82)&gt;=0,SUM($B$82)&lt;=1,SUM($B$83)&gt;=0)),IF(B1597=0,0,IF(C1597=0,B1597/ROUND($B$81*12,0),B1597*(C1597/12)/(1-(1+C1597/12)^(-ROUND($B$81*12,0))))),IF(AND(NOT(AND(1197&gt;$B$173,$B$78="Refinance",ISNUMBER($B$80),$B$80&gt;=0,$B$80&lt;=1,ROUND($B$81*12,0)&gt;=1,$B$81&lt;=100,SUM($B$82)&gt;=0,SUM($B$82)&lt;=1,SUM($B$83)&gt;=0)),OR(1197=1,1197=$B$174+1,AND($B$175&gt;0,1197=$B$175+1))),IF(AND($B$170=1,$B$66&gt;0,OR($B$175=0,1197&lt;=$B$175)),$B$66,IF($B$172-MAX(1197-1,$B$174)&gt;0,IF(B1597=0,0,IF(C1597=0,B1597/($B$172-MAX(1197-1,$B$174)),B1597*(C1597/12)/(1-(1+C1597/12)^(-($B$172-MAX(1197-1,$B$174)))))),"")),D1596)))+0.0000001&gt;=B1597*C1597/12,MIN(B1597*(1+C1597/12),IF(AND(1197&lt;=$B$174,1197&lt;=$B$173),B1597*C1597/12,IF(AND(1197=$B$173+1,AND(1197&gt;$B$173,$B$78="Refinance",ISNUMBER($B$80),$B$80&gt;=0,$B$80&lt;=1,ROUND($B$81*12,0)&gt;=1,$B$81&lt;=100,SUM($B$82)&gt;=0,SUM($B$82)&lt;=1,SUM($B$83)&gt;=0)),IF(B1597=0,0,IF(C1597=0,B1597/ROUND($B$81*12,0),B1597*(C1597/12)/(1-(1+C1597/12)^(-ROUND($B$81*12,0))))),IF(AND(NOT(AND(1197&gt;$B$173,$B$78="Refinance",ISNUMBER($B$80),$B$80&gt;=0,$B$80&lt;=1,ROUND($B$81*12,0)&gt;=1,$B$81&lt;=100,SUM($B$82)&gt;=0,SUM($B$82)&lt;=1,SUM($B$83)&gt;=0)),OR(1197=1,1197=$B$174+1,AND($B$175&gt;0,1197=$B$175+1))),IF(AND($B$170=1,$B$66&gt;0,OR($B$175=0,1197&lt;=$B$175)),$B$66,IF($B$172-MAX(1197-1,$B$174)&gt;0,IF(B1597=0,0,IF(C1597=0,B1597/($B$172-MAX(1197-1,$B$174)),B1597*(C1597/12)/(1-(1+C1597/12)^(-($B$172-MAX(1197-1,$B$174)))))),"")),D1596)))),""),""))</x:f>
        <x:v>0</x:v>
      </x:c>
      <x:c r="E1597" s="441" t="n">
        <x:f>IF(AND(1197=$B$173,ISNUMBER(D1597)),IF(MAX(0,B1597*(1+C1597/12)-D1597)&lt;MAX(0.0000001,$E$17*0.00000000001),0,MAX(0,B1597*(1+C1597/12)-D1597)),0)</x:f>
        <x:v>0</x:v>
      </x:c>
      <x:c r="F1597" s="441" t="n">
        <x:f>IF($B$78="Cash payoff",E1597,0)</x:f>
        <x:v>0</x:v>
      </x:c>
      <x:c r="G1597" s="441" t="n">
        <x:f>IF(AND(E1597&gt;0,AND($B$78="Refinance",ISNUMBER($B$80),$B$80&gt;=0,$B$80&lt;=1,ROUND($B$81*12,0)&gt;=1,$B$81&lt;=100,SUM($B$82)&gt;=0,SUM($B$82)&lt;=1,SUM($B$83)&gt;=0)),E1597*SUM($B$82)+SUM($B$83),0)</x:f>
        <x:v>0</x:v>
      </x:c>
      <x:c r="H1597" s="441" t="n">
        <x:f>IF(ISNUMBER(D1597),IF(MAX(0,B1597*(1+C1597/12)-D1597-F1597)&lt;MAX(0.0000001,$E$17*0.00000000001),0,MAX(0,B1597*(1+C1597/12)-D1597-F1597)),IF(AND($B$171=1,I1596=1),B1597,""))</x:f>
        <x:v>0</x:v>
      </x:c>
      <x:c r="I1597" s="445" t="n">
        <x:f>IF(OR(I1596=1,AND(E1597&gt;0,$B$78&lt;&gt;"Cash payoff",NOT(AND($B$78="Refinance",ISNUMBER($B$80),$B$80&gt;=0,$B$80&lt;=1,ROUND($B$81*12,0)&gt;=1,$B$81&lt;=100,SUM($B$82)&gt;=0,SUM($B$82)&lt;=1,SUM($B$83)&gt;=0))),AND(ISNUMBER(B1597),B1597&gt;0,$B$171=1,NOT(ISNUMBER(D1597)))),1,0)</x:f>
        <x:v>0</x:v>
      </x:c>
      <x:c r="J1597" s="441" t="n">
        <x:f>IF(ISNUMBER(L1596),L1596,"")</x:f>
        <x:v>0</x:v>
      </x:c>
      <x:c r="K1597" s="441" t="n">
        <x:f>IF(AND(ISNUMBER(J1597),J1597=0),0,IF(AND($B$176=1,ISNUMBER(J1597)),MIN(J1597*(1+$B$87/12),IF($B$86=0,0,IF($B$87=0,$B$86/ROUND($B$88*12,0),$B$86*($B$87/12)/(1-(1+$B$87/12)^(-ROUND($B$88*12,0)))))),""))</x:f>
        <x:v>0</x:v>
      </x:c>
      <x:c r="L1597" s="441" t="n">
        <x:f>IF(ISNUMBER(K1597),IF(MAX(0,J1597*(1+SUM($B$87)/12)-K1597)&lt;MAX(0.0000001,$B$86*0.00000000001),0,MAX(0,J1597*(1+SUM($B$87)/12)-K1597)),"")</x:f>
        <x:v>0</x:v>
      </x:c>
      <x:c r="M1597" s="441" t="n">
        <x:f>IF(AND(ISNUMBER(D1597),ISNUMBER(K1597)),D1597+K1597,"")</x:f>
        <x:v>0</x:v>
      </x:c>
      <x:c r="N1597" s="441" t="n">
        <x:f>IF(AND(ISNUMBER(H1597),ISNUMBER(L1597)),H1597+L1597,"")</x:f>
        <x:v>0</x:v>
      </x:c>
    </x:row>
    <x:row r="1598">
      <x:c r="A1598" t="n">
        <x:f>1198</x:f>
        <x:v>1198</x:v>
      </x:c>
      <x:c r="B1598" s="441" t="n">
        <x:f>IF(ISNUMBER(H1597),H1597,"")</x:f>
        <x:v>0</x:v>
      </x:c>
      <x:c r="C1598" s="443" t="n">
        <x:f>IF(ISNUMBER(B1598),IF(AND(1198&gt;$B$173,$B$78="Refinance",ISNUMBER($B$80),$B$80&gt;=0,$B$80&lt;=1,ROUND($B$81*12,0)&gt;=1,$B$81&lt;=100,SUM($B$82)&gt;=0,SUM($B$82)&lt;=1,SUM($B$83)&gt;=0),$B$80,IF(AND($B$175&gt;0,1198&gt;$B$175,ISNUMBER($B$75)),$B$75,$B$61)),"")</x:f>
        <x:v>0.0625</x:v>
      </x:c>
      <x:c r="D1598" s="441" t="n">
        <x:f>IF(AND(ISNUMBER(B1598),B1598=0),0,IF(AND($B$171=1,I1597=0,ISNUMBER(C1598),ISNUMBER(IF(AND(1198&lt;=$B$174,1198&lt;=$B$173),B1598*C1598/12,IF(AND(1198=$B$173+1,AND(1198&gt;$B$173,$B$78="Refinance",ISNUMBER($B$80),$B$80&gt;=0,$B$80&lt;=1,ROUND($B$81*12,0)&gt;=1,$B$81&lt;=100,SUM($B$82)&gt;=0,SUM($B$82)&lt;=1,SUM($B$83)&gt;=0)),IF(B1598=0,0,IF(C1598=0,B1598/ROUND($B$81*12,0),B1598*(C1598/12)/(1-(1+C1598/12)^(-ROUND($B$81*12,0))))),IF(AND(NOT(AND(1198&gt;$B$173,$B$78="Refinance",ISNUMBER($B$80),$B$80&gt;=0,$B$80&lt;=1,ROUND($B$81*12,0)&gt;=1,$B$81&lt;=100,SUM($B$82)&gt;=0,SUM($B$82)&lt;=1,SUM($B$83)&gt;=0)),OR(1198=1,1198=$B$174+1,AND($B$175&gt;0,1198=$B$175+1))),IF(AND($B$170=1,$B$66&gt;0,OR($B$175=0,1198&lt;=$B$175)),$B$66,IF($B$172-MAX(1198-1,$B$174)&gt;0,IF(B1598=0,0,IF(C1598=0,B1598/($B$172-MAX(1198-1,$B$174)),B1598*(C1598/12)/(1-(1+C1598/12)^(-($B$172-MAX(1198-1,$B$174)))))),"")),D1597))))),IF(IF(AND(1198&lt;=$B$174,1198&lt;=$B$173),B1598*C1598/12,IF(AND(1198=$B$173+1,AND(1198&gt;$B$173,$B$78="Refinance",ISNUMBER($B$80),$B$80&gt;=0,$B$80&lt;=1,ROUND($B$81*12,0)&gt;=1,$B$81&lt;=100,SUM($B$82)&gt;=0,SUM($B$82)&lt;=1,SUM($B$83)&gt;=0)),IF(B1598=0,0,IF(C1598=0,B1598/ROUND($B$81*12,0),B1598*(C1598/12)/(1-(1+C1598/12)^(-ROUND($B$81*12,0))))),IF(AND(NOT(AND(1198&gt;$B$173,$B$78="Refinance",ISNUMBER($B$80),$B$80&gt;=0,$B$80&lt;=1,ROUND($B$81*12,0)&gt;=1,$B$81&lt;=100,SUM($B$82)&gt;=0,SUM($B$82)&lt;=1,SUM($B$83)&gt;=0)),OR(1198=1,1198=$B$174+1,AND($B$175&gt;0,1198=$B$175+1))),IF(AND($B$170=1,$B$66&gt;0,OR($B$175=0,1198&lt;=$B$175)),$B$66,IF($B$172-MAX(1198-1,$B$174)&gt;0,IF(B1598=0,0,IF(C1598=0,B1598/($B$172-MAX(1198-1,$B$174)),B1598*(C1598/12)/(1-(1+C1598/12)^(-($B$172-MAX(1198-1,$B$174)))))),"")),D1597)))+0.0000001&gt;=B1598*C1598/12,MIN(B1598*(1+C1598/12),IF(AND(1198&lt;=$B$174,1198&lt;=$B$173),B1598*C1598/12,IF(AND(1198=$B$173+1,AND(1198&gt;$B$173,$B$78="Refinance",ISNUMBER($B$80),$B$80&gt;=0,$B$80&lt;=1,ROUND($B$81*12,0)&gt;=1,$B$81&lt;=100,SUM($B$82)&gt;=0,SUM($B$82)&lt;=1,SUM($B$83)&gt;=0)),IF(B1598=0,0,IF(C1598=0,B1598/ROUND($B$81*12,0),B1598*(C1598/12)/(1-(1+C1598/12)^(-ROUND($B$81*12,0))))),IF(AND(NOT(AND(1198&gt;$B$173,$B$78="Refinance",ISNUMBER($B$80),$B$80&gt;=0,$B$80&lt;=1,ROUND($B$81*12,0)&gt;=1,$B$81&lt;=100,SUM($B$82)&gt;=0,SUM($B$82)&lt;=1,SUM($B$83)&gt;=0)),OR(1198=1,1198=$B$174+1,AND($B$175&gt;0,1198=$B$175+1))),IF(AND($B$170=1,$B$66&gt;0,OR($B$175=0,1198&lt;=$B$175)),$B$66,IF($B$172-MAX(1198-1,$B$174)&gt;0,IF(B1598=0,0,IF(C1598=0,B1598/($B$172-MAX(1198-1,$B$174)),B1598*(C1598/12)/(1-(1+C1598/12)^(-($B$172-MAX(1198-1,$B$174)))))),"")),D1597)))),""),""))</x:f>
        <x:v>0</x:v>
      </x:c>
      <x:c r="E1598" s="441" t="n">
        <x:f>IF(AND(1198=$B$173,ISNUMBER(D1598)),IF(MAX(0,B1598*(1+C1598/12)-D1598)&lt;MAX(0.0000001,$E$17*0.00000000001),0,MAX(0,B1598*(1+C1598/12)-D1598)),0)</x:f>
        <x:v>0</x:v>
      </x:c>
      <x:c r="F1598" s="441" t="n">
        <x:f>IF($B$78="Cash payoff",E1598,0)</x:f>
        <x:v>0</x:v>
      </x:c>
      <x:c r="G1598" s="441" t="n">
        <x:f>IF(AND(E1598&gt;0,AND($B$78="Refinance",ISNUMBER($B$80),$B$80&gt;=0,$B$80&lt;=1,ROUND($B$81*12,0)&gt;=1,$B$81&lt;=100,SUM($B$82)&gt;=0,SUM($B$82)&lt;=1,SUM($B$83)&gt;=0)),E1598*SUM($B$82)+SUM($B$83),0)</x:f>
        <x:v>0</x:v>
      </x:c>
      <x:c r="H1598" s="441" t="n">
        <x:f>IF(ISNUMBER(D1598),IF(MAX(0,B1598*(1+C1598/12)-D1598-F1598)&lt;MAX(0.0000001,$E$17*0.00000000001),0,MAX(0,B1598*(1+C1598/12)-D1598-F1598)),IF(AND($B$171=1,I1597=1),B1598,""))</x:f>
        <x:v>0</x:v>
      </x:c>
      <x:c r="I1598" s="445" t="n">
        <x:f>IF(OR(I1597=1,AND(E1598&gt;0,$B$78&lt;&gt;"Cash payoff",NOT(AND($B$78="Refinance",ISNUMBER($B$80),$B$80&gt;=0,$B$80&lt;=1,ROUND($B$81*12,0)&gt;=1,$B$81&lt;=100,SUM($B$82)&gt;=0,SUM($B$82)&lt;=1,SUM($B$83)&gt;=0))),AND(ISNUMBER(B1598),B1598&gt;0,$B$171=1,NOT(ISNUMBER(D1598)))),1,0)</x:f>
        <x:v>0</x:v>
      </x:c>
      <x:c r="J1598" s="441" t="n">
        <x:f>IF(ISNUMBER(L1597),L1597,"")</x:f>
        <x:v>0</x:v>
      </x:c>
      <x:c r="K1598" s="441" t="n">
        <x:f>IF(AND(ISNUMBER(J1598),J1598=0),0,IF(AND($B$176=1,ISNUMBER(J1598)),MIN(J1598*(1+$B$87/12),IF($B$86=0,0,IF($B$87=0,$B$86/ROUND($B$88*12,0),$B$86*($B$87/12)/(1-(1+$B$87/12)^(-ROUND($B$88*12,0)))))),""))</x:f>
        <x:v>0</x:v>
      </x:c>
      <x:c r="L1598" s="441" t="n">
        <x:f>IF(ISNUMBER(K1598),IF(MAX(0,J1598*(1+SUM($B$87)/12)-K1598)&lt;MAX(0.0000001,$B$86*0.00000000001),0,MAX(0,J1598*(1+SUM($B$87)/12)-K1598)),"")</x:f>
        <x:v>0</x:v>
      </x:c>
      <x:c r="M1598" s="441" t="n">
        <x:f>IF(AND(ISNUMBER(D1598),ISNUMBER(K1598)),D1598+K1598,"")</x:f>
        <x:v>0</x:v>
      </x:c>
      <x:c r="N1598" s="441" t="n">
        <x:f>IF(AND(ISNUMBER(H1598),ISNUMBER(L1598)),H1598+L1598,"")</x:f>
        <x:v>0</x:v>
      </x:c>
    </x:row>
    <x:row r="1599">
      <x:c r="A1599" t="n">
        <x:f>1199</x:f>
        <x:v>1199</x:v>
      </x:c>
      <x:c r="B1599" s="441" t="n">
        <x:f>IF(ISNUMBER(H1598),H1598,"")</x:f>
        <x:v>0</x:v>
      </x:c>
      <x:c r="C1599" s="443" t="n">
        <x:f>IF(ISNUMBER(B1599),IF(AND(1199&gt;$B$173,$B$78="Refinance",ISNUMBER($B$80),$B$80&gt;=0,$B$80&lt;=1,ROUND($B$81*12,0)&gt;=1,$B$81&lt;=100,SUM($B$82)&gt;=0,SUM($B$82)&lt;=1,SUM($B$83)&gt;=0),$B$80,IF(AND($B$175&gt;0,1199&gt;$B$175,ISNUMBER($B$75)),$B$75,$B$61)),"")</x:f>
        <x:v>0.0625</x:v>
      </x:c>
      <x:c r="D1599" s="441" t="n">
        <x:f>IF(AND(ISNUMBER(B1599),B1599=0),0,IF(AND($B$171=1,I1598=0,ISNUMBER(C1599),ISNUMBER(IF(AND(1199&lt;=$B$174,1199&lt;=$B$173),B1599*C1599/12,IF(AND(1199=$B$173+1,AND(1199&gt;$B$173,$B$78="Refinance",ISNUMBER($B$80),$B$80&gt;=0,$B$80&lt;=1,ROUND($B$81*12,0)&gt;=1,$B$81&lt;=100,SUM($B$82)&gt;=0,SUM($B$82)&lt;=1,SUM($B$83)&gt;=0)),IF(B1599=0,0,IF(C1599=0,B1599/ROUND($B$81*12,0),B1599*(C1599/12)/(1-(1+C1599/12)^(-ROUND($B$81*12,0))))),IF(AND(NOT(AND(1199&gt;$B$173,$B$78="Refinance",ISNUMBER($B$80),$B$80&gt;=0,$B$80&lt;=1,ROUND($B$81*12,0)&gt;=1,$B$81&lt;=100,SUM($B$82)&gt;=0,SUM($B$82)&lt;=1,SUM($B$83)&gt;=0)),OR(1199=1,1199=$B$174+1,AND($B$175&gt;0,1199=$B$175+1))),IF(AND($B$170=1,$B$66&gt;0,OR($B$175=0,1199&lt;=$B$175)),$B$66,IF($B$172-MAX(1199-1,$B$174)&gt;0,IF(B1599=0,0,IF(C1599=0,B1599/($B$172-MAX(1199-1,$B$174)),B1599*(C1599/12)/(1-(1+C1599/12)^(-($B$172-MAX(1199-1,$B$174)))))),"")),D1598))))),IF(IF(AND(1199&lt;=$B$174,1199&lt;=$B$173),B1599*C1599/12,IF(AND(1199=$B$173+1,AND(1199&gt;$B$173,$B$78="Refinance",ISNUMBER($B$80),$B$80&gt;=0,$B$80&lt;=1,ROUND($B$81*12,0)&gt;=1,$B$81&lt;=100,SUM($B$82)&gt;=0,SUM($B$82)&lt;=1,SUM($B$83)&gt;=0)),IF(B1599=0,0,IF(C1599=0,B1599/ROUND($B$81*12,0),B1599*(C1599/12)/(1-(1+C1599/12)^(-ROUND($B$81*12,0))))),IF(AND(NOT(AND(1199&gt;$B$173,$B$78="Refinance",ISNUMBER($B$80),$B$80&gt;=0,$B$80&lt;=1,ROUND($B$81*12,0)&gt;=1,$B$81&lt;=100,SUM($B$82)&gt;=0,SUM($B$82)&lt;=1,SUM($B$83)&gt;=0)),OR(1199=1,1199=$B$174+1,AND($B$175&gt;0,1199=$B$175+1))),IF(AND($B$170=1,$B$66&gt;0,OR($B$175=0,1199&lt;=$B$175)),$B$66,IF($B$172-MAX(1199-1,$B$174)&gt;0,IF(B1599=0,0,IF(C1599=0,B1599/($B$172-MAX(1199-1,$B$174)),B1599*(C1599/12)/(1-(1+C1599/12)^(-($B$172-MAX(1199-1,$B$174)))))),"")),D1598)))+0.0000001&gt;=B1599*C1599/12,MIN(B1599*(1+C1599/12),IF(AND(1199&lt;=$B$174,1199&lt;=$B$173),B1599*C1599/12,IF(AND(1199=$B$173+1,AND(1199&gt;$B$173,$B$78="Refinance",ISNUMBER($B$80),$B$80&gt;=0,$B$80&lt;=1,ROUND($B$81*12,0)&gt;=1,$B$81&lt;=100,SUM($B$82)&gt;=0,SUM($B$82)&lt;=1,SUM($B$83)&gt;=0)),IF(B1599=0,0,IF(C1599=0,B1599/ROUND($B$81*12,0),B1599*(C1599/12)/(1-(1+C1599/12)^(-ROUND($B$81*12,0))))),IF(AND(NOT(AND(1199&gt;$B$173,$B$78="Refinance",ISNUMBER($B$80),$B$80&gt;=0,$B$80&lt;=1,ROUND($B$81*12,0)&gt;=1,$B$81&lt;=100,SUM($B$82)&gt;=0,SUM($B$82)&lt;=1,SUM($B$83)&gt;=0)),OR(1199=1,1199=$B$174+1,AND($B$175&gt;0,1199=$B$175+1))),IF(AND($B$170=1,$B$66&gt;0,OR($B$175=0,1199&lt;=$B$175)),$B$66,IF($B$172-MAX(1199-1,$B$174)&gt;0,IF(B1599=0,0,IF(C1599=0,B1599/($B$172-MAX(1199-1,$B$174)),B1599*(C1599/12)/(1-(1+C1599/12)^(-($B$172-MAX(1199-1,$B$174)))))),"")),D1598)))),""),""))</x:f>
        <x:v>0</x:v>
      </x:c>
      <x:c r="E1599" s="441" t="n">
        <x:f>IF(AND(1199=$B$173,ISNUMBER(D1599)),IF(MAX(0,B1599*(1+C1599/12)-D1599)&lt;MAX(0.0000001,$E$17*0.00000000001),0,MAX(0,B1599*(1+C1599/12)-D1599)),0)</x:f>
        <x:v>0</x:v>
      </x:c>
      <x:c r="F1599" s="441" t="n">
        <x:f>IF($B$78="Cash payoff",E1599,0)</x:f>
        <x:v>0</x:v>
      </x:c>
      <x:c r="G1599" s="441" t="n">
        <x:f>IF(AND(E1599&gt;0,AND($B$78="Refinance",ISNUMBER($B$80),$B$80&gt;=0,$B$80&lt;=1,ROUND($B$81*12,0)&gt;=1,$B$81&lt;=100,SUM($B$82)&gt;=0,SUM($B$82)&lt;=1,SUM($B$83)&gt;=0)),E1599*SUM($B$82)+SUM($B$83),0)</x:f>
        <x:v>0</x:v>
      </x:c>
      <x:c r="H1599" s="441" t="n">
        <x:f>IF(ISNUMBER(D1599),IF(MAX(0,B1599*(1+C1599/12)-D1599-F1599)&lt;MAX(0.0000001,$E$17*0.00000000001),0,MAX(0,B1599*(1+C1599/12)-D1599-F1599)),IF(AND($B$171=1,I1598=1),B1599,""))</x:f>
        <x:v>0</x:v>
      </x:c>
      <x:c r="I1599" s="445" t="n">
        <x:f>IF(OR(I1598=1,AND(E1599&gt;0,$B$78&lt;&gt;"Cash payoff",NOT(AND($B$78="Refinance",ISNUMBER($B$80),$B$80&gt;=0,$B$80&lt;=1,ROUND($B$81*12,0)&gt;=1,$B$81&lt;=100,SUM($B$82)&gt;=0,SUM($B$82)&lt;=1,SUM($B$83)&gt;=0))),AND(ISNUMBER(B1599),B1599&gt;0,$B$171=1,NOT(ISNUMBER(D1599)))),1,0)</x:f>
        <x:v>0</x:v>
      </x:c>
      <x:c r="J1599" s="441" t="n">
        <x:f>IF(ISNUMBER(L1598),L1598,"")</x:f>
        <x:v>0</x:v>
      </x:c>
      <x:c r="K1599" s="441" t="n">
        <x:f>IF(AND(ISNUMBER(J1599),J1599=0),0,IF(AND($B$176=1,ISNUMBER(J1599)),MIN(J1599*(1+$B$87/12),IF($B$86=0,0,IF($B$87=0,$B$86/ROUND($B$88*12,0),$B$86*($B$87/12)/(1-(1+$B$87/12)^(-ROUND($B$88*12,0)))))),""))</x:f>
        <x:v>0</x:v>
      </x:c>
      <x:c r="L1599" s="441" t="n">
        <x:f>IF(ISNUMBER(K1599),IF(MAX(0,J1599*(1+SUM($B$87)/12)-K1599)&lt;MAX(0.0000001,$B$86*0.00000000001),0,MAX(0,J1599*(1+SUM($B$87)/12)-K1599)),"")</x:f>
        <x:v>0</x:v>
      </x:c>
      <x:c r="M1599" s="441" t="n">
        <x:f>IF(AND(ISNUMBER(D1599),ISNUMBER(K1599)),D1599+K1599,"")</x:f>
        <x:v>0</x:v>
      </x:c>
      <x:c r="N1599" s="441" t="n">
        <x:f>IF(AND(ISNUMBER(H1599),ISNUMBER(L1599)),H1599+L1599,"")</x:f>
        <x:v>0</x:v>
      </x:c>
    </x:row>
    <x:row r="1600">
      <x:c r="A1600" t="n">
        <x:f>1200</x:f>
        <x:v>1200</x:v>
      </x:c>
      <x:c r="B1600" s="441" t="n">
        <x:f>IF(ISNUMBER(H1599),H1599,"")</x:f>
        <x:v>0</x:v>
      </x:c>
      <x:c r="C1600" s="443" t="n">
        <x:f>IF(ISNUMBER(B1600),IF(AND(1200&gt;$B$173,$B$78="Refinance",ISNUMBER($B$80),$B$80&gt;=0,$B$80&lt;=1,ROUND($B$81*12,0)&gt;=1,$B$81&lt;=100,SUM($B$82)&gt;=0,SUM($B$82)&lt;=1,SUM($B$83)&gt;=0),$B$80,IF(AND($B$175&gt;0,1200&gt;$B$175,ISNUMBER($B$75)),$B$75,$B$61)),"")</x:f>
        <x:v>0.0625</x:v>
      </x:c>
      <x:c r="D1600" s="441" t="n">
        <x:f>IF(AND(ISNUMBER(B1600),B1600=0),0,IF(AND($B$171=1,I1599=0,ISNUMBER(C1600),ISNUMBER(IF(AND(1200&lt;=$B$174,1200&lt;=$B$173),B1600*C1600/12,IF(AND(1200=$B$173+1,AND(1200&gt;$B$173,$B$78="Refinance",ISNUMBER($B$80),$B$80&gt;=0,$B$80&lt;=1,ROUND($B$81*12,0)&gt;=1,$B$81&lt;=100,SUM($B$82)&gt;=0,SUM($B$82)&lt;=1,SUM($B$83)&gt;=0)),IF(B1600=0,0,IF(C1600=0,B1600/ROUND($B$81*12,0),B1600*(C1600/12)/(1-(1+C1600/12)^(-ROUND($B$81*12,0))))),IF(AND(NOT(AND(1200&gt;$B$173,$B$78="Refinance",ISNUMBER($B$80),$B$80&gt;=0,$B$80&lt;=1,ROUND($B$81*12,0)&gt;=1,$B$81&lt;=100,SUM($B$82)&gt;=0,SUM($B$82)&lt;=1,SUM($B$83)&gt;=0)),OR(1200=1,1200=$B$174+1,AND($B$175&gt;0,1200=$B$175+1))),IF(AND($B$170=1,$B$66&gt;0,OR($B$175=0,1200&lt;=$B$175)),$B$66,IF($B$172-MAX(1200-1,$B$174)&gt;0,IF(B1600=0,0,IF(C1600=0,B1600/($B$172-MAX(1200-1,$B$174)),B1600*(C1600/12)/(1-(1+C1600/12)^(-($B$172-MAX(1200-1,$B$174)))))),"")),D1599))))),IF(IF(AND(1200&lt;=$B$174,1200&lt;=$B$173),B1600*C1600/12,IF(AND(1200=$B$173+1,AND(1200&gt;$B$173,$B$78="Refinance",ISNUMBER($B$80),$B$80&gt;=0,$B$80&lt;=1,ROUND($B$81*12,0)&gt;=1,$B$81&lt;=100,SUM($B$82)&gt;=0,SUM($B$82)&lt;=1,SUM($B$83)&gt;=0)),IF(B1600=0,0,IF(C1600=0,B1600/ROUND($B$81*12,0),B1600*(C1600/12)/(1-(1+C1600/12)^(-ROUND($B$81*12,0))))),IF(AND(NOT(AND(1200&gt;$B$173,$B$78="Refinance",ISNUMBER($B$80),$B$80&gt;=0,$B$80&lt;=1,ROUND($B$81*12,0)&gt;=1,$B$81&lt;=100,SUM($B$82)&gt;=0,SUM($B$82)&lt;=1,SUM($B$83)&gt;=0)),OR(1200=1,1200=$B$174+1,AND($B$175&gt;0,1200=$B$175+1))),IF(AND($B$170=1,$B$66&gt;0,OR($B$175=0,1200&lt;=$B$175)),$B$66,IF($B$172-MAX(1200-1,$B$174)&gt;0,IF(B1600=0,0,IF(C1600=0,B1600/($B$172-MAX(1200-1,$B$174)),B1600*(C1600/12)/(1-(1+C1600/12)^(-($B$172-MAX(1200-1,$B$174)))))),"")),D1599)))+0.0000001&gt;=B1600*C1600/12,MIN(B1600*(1+C1600/12),IF(AND(1200&lt;=$B$174,1200&lt;=$B$173),B1600*C1600/12,IF(AND(1200=$B$173+1,AND(1200&gt;$B$173,$B$78="Refinance",ISNUMBER($B$80),$B$80&gt;=0,$B$80&lt;=1,ROUND($B$81*12,0)&gt;=1,$B$81&lt;=100,SUM($B$82)&gt;=0,SUM($B$82)&lt;=1,SUM($B$83)&gt;=0)),IF(B1600=0,0,IF(C1600=0,B1600/ROUND($B$81*12,0),B1600*(C1600/12)/(1-(1+C1600/12)^(-ROUND($B$81*12,0))))),IF(AND(NOT(AND(1200&gt;$B$173,$B$78="Refinance",ISNUMBER($B$80),$B$80&gt;=0,$B$80&lt;=1,ROUND($B$81*12,0)&gt;=1,$B$81&lt;=100,SUM($B$82)&gt;=0,SUM($B$82)&lt;=1,SUM($B$83)&gt;=0)),OR(1200=1,1200=$B$174+1,AND($B$175&gt;0,1200=$B$175+1))),IF(AND($B$170=1,$B$66&gt;0,OR($B$175=0,1200&lt;=$B$175)),$B$66,IF($B$172-MAX(1200-1,$B$174)&gt;0,IF(B1600=0,0,IF(C1600=0,B1600/($B$172-MAX(1200-1,$B$174)),B1600*(C1600/12)/(1-(1+C1600/12)^(-($B$172-MAX(1200-1,$B$174)))))),"")),D1599)))),""),""))</x:f>
        <x:v>0</x:v>
      </x:c>
      <x:c r="E1600" s="441" t="n">
        <x:f>IF(AND(1200=$B$173,ISNUMBER(D1600)),IF(MAX(0,B1600*(1+C1600/12)-D1600)&lt;MAX(0.0000001,$E$17*0.00000000001),0,MAX(0,B1600*(1+C1600/12)-D1600)),0)</x:f>
        <x:v>0</x:v>
      </x:c>
      <x:c r="F1600" s="441" t="n">
        <x:f>IF($B$78="Cash payoff",E1600,0)</x:f>
        <x:v>0</x:v>
      </x:c>
      <x:c r="G1600" s="441" t="n">
        <x:f>IF(AND(E1600&gt;0,AND($B$78="Refinance",ISNUMBER($B$80),$B$80&gt;=0,$B$80&lt;=1,ROUND($B$81*12,0)&gt;=1,$B$81&lt;=100,SUM($B$82)&gt;=0,SUM($B$82)&lt;=1,SUM($B$83)&gt;=0)),E1600*SUM($B$82)+SUM($B$83),0)</x:f>
        <x:v>0</x:v>
      </x:c>
      <x:c r="H1600" s="441" t="n">
        <x:f>IF(ISNUMBER(D1600),IF(MAX(0,B1600*(1+C1600/12)-D1600-F1600)&lt;MAX(0.0000001,$E$17*0.00000000001),0,MAX(0,B1600*(1+C1600/12)-D1600-F1600)),IF(AND($B$171=1,I1599=1),B1600,""))</x:f>
        <x:v>0</x:v>
      </x:c>
      <x:c r="I1600" s="445" t="n">
        <x:f>IF(OR(I1599=1,AND(E1600&gt;0,$B$78&lt;&gt;"Cash payoff",NOT(AND($B$78="Refinance",ISNUMBER($B$80),$B$80&gt;=0,$B$80&lt;=1,ROUND($B$81*12,0)&gt;=1,$B$81&lt;=100,SUM($B$82)&gt;=0,SUM($B$82)&lt;=1,SUM($B$83)&gt;=0))),AND(ISNUMBER(B1600),B1600&gt;0,$B$171=1,NOT(ISNUMBER(D1600)))),1,0)</x:f>
        <x:v>0</x:v>
      </x:c>
      <x:c r="J1600" s="441" t="n">
        <x:f>IF(ISNUMBER(L1599),L1599,"")</x:f>
        <x:v>0</x:v>
      </x:c>
      <x:c r="K1600" s="441" t="n">
        <x:f>IF(AND(ISNUMBER(J1600),J1600=0),0,IF(AND($B$176=1,ISNUMBER(J1600)),MIN(J1600*(1+$B$87/12),IF($B$86=0,0,IF($B$87=0,$B$86/ROUND($B$88*12,0),$B$86*($B$87/12)/(1-(1+$B$87/12)^(-ROUND($B$88*12,0)))))),""))</x:f>
        <x:v>0</x:v>
      </x:c>
      <x:c r="L1600" s="441" t="n">
        <x:f>IF(ISNUMBER(K1600),IF(MAX(0,J1600*(1+SUM($B$87)/12)-K1600)&lt;MAX(0.0000001,$B$86*0.00000000001),0,MAX(0,J1600*(1+SUM($B$87)/12)-K1600)),"")</x:f>
        <x:v>0</x:v>
      </x:c>
      <x:c r="M1600" s="441" t="n">
        <x:f>IF(AND(ISNUMBER(D1600),ISNUMBER(K1600)),D1600+K1600,"")</x:f>
        <x:v>0</x:v>
      </x:c>
      <x:c r="N1600" s="441" t="n">
        <x:f>IF(AND(ISNUMBER(H1600),ISNUMBER(L1600)),H1600+L1600,"")</x:f>
        <x:v>0</x:v>
      </x:c>
    </x:row>
    <x:row r="1605" ht="32" customHeight="1">
      <x:c r="A1605" s="428" t="str">
        <x:v>IRR UNIQUENESS CHECK</x:v>
      </x:c>
      <x:c r="B1605" s="429"/>
      <x:c r="C1605" s="429"/>
      <x:c r="D1605" s="430"/>
    </x:row>
    <x:row r="1609" ht="40" customHeight="1">
      <x:c r="A1609" s="447" t="str">
        <x:v>log(1 + return)</x:v>
      </x:c>
      <x:c r="B1609" s="447" t="str">
        <x:v>Scaled NPV</x:v>
      </x:c>
      <x:c r="C1609" s="447" t="str">
        <x:v>Root interval</x:v>
      </x:c>
      <x:c r="D1609" s="447" t="str">
        <x:v>IRR starting guess</x:v>
      </x:c>
    </x:row>
    <x:row r="1610" ht="20" customHeight="1">
      <x:c r="A1610" s="256" t="n">
        <x:f>-12+0*0.01</x:f>
        <x:v>-12</x:v>
      </x:c>
      <x:c r="B1610" s="256" t="n">
        <x:f>IF(COUNT($B$129:$L$129)=11,B$129*EXP(IF(A1610&lt;0,(10-0)*A1610,-0*A1610))+C$129*EXP(IF(A1610&lt;0,(10-1)*A1610,-1*A1610))+D$129*EXP(IF(A1610&lt;0,(10-2)*A1610,-2*A1610))+E$129*EXP(IF(A1610&lt;0,(10-3)*A1610,-3*A1610))+F$129*EXP(IF(A1610&lt;0,(10-4)*A1610,-4*A1610))+G$129*EXP(IF(A1610&lt;0,(10-5)*A1610,-5*A1610))+H$129*EXP(IF(A1610&lt;0,(10-6)*A1610,-6*A1610))+I$129*EXP(IF(A1610&lt;0,(10-7)*A1610,-7*A1610))+J$129*EXP(IF(A1610&lt;0,(10-8)*A1610,-8*A1610))+K$129*EXP(IF(A1610&lt;0,(10-9)*A1610,-9*A1610))+L$129*EXP(IF(A1610&lt;0,(10-10)*A1610,-10*A1610)),0)</x:f>
        <x:v>781747.2473804819</x:v>
      </x:c>
      <x:c r="C1610" s="256" t="n">
        <x:f>0</x:f>
        <x:v>0</x:v>
      </x:c>
      <x:c r="D1610" s="256" t="n">
        <x:f>EXP(A1610-0.005)-1</x:f>
        <x:v>-0.9999938864320336</x:v>
      </x:c>
    </x:row>
    <x:row r="1611" ht="20" customHeight="1">
      <x:c r="A1611" s="256" t="n">
        <x:f>-12+1*0.01</x:f>
        <x:v>-11.99</x:v>
      </x:c>
      <x:c r="B1611" s="256" t="n">
        <x:f>IF(COUNT($B$129:$L$129)=11,B$129*EXP(IF(A1611&lt;0,(10-0)*A1611,-0*A1611))+C$129*EXP(IF(A1611&lt;0,(10-1)*A1611,-1*A1611))+D$129*EXP(IF(A1611&lt;0,(10-2)*A1611,-2*A1611))+E$129*EXP(IF(A1611&lt;0,(10-3)*A1611,-3*A1611))+F$129*EXP(IF(A1611&lt;0,(10-4)*A1611,-4*A1611))+G$129*EXP(IF(A1611&lt;0,(10-5)*A1611,-5*A1611))+H$129*EXP(IF(A1611&lt;0,(10-6)*A1611,-6*A1611))+I$129*EXP(IF(A1611&lt;0,(10-7)*A1611,-7*A1611))+J$129*EXP(IF(A1611&lt;0,(10-8)*A1611,-8*A1611))+K$129*EXP(IF(A1611&lt;0,(10-9)*A1611,-9*A1611))+L$129*EXP(IF(A1611&lt;0,(10-10)*A1611,-10*A1611)),0)</x:f>
        <x:v>781747.248158042</x:v>
      </x:c>
      <x:c r="C1611" s="256" t="n">
        <x:f>IF(B1611=0,IF(B1610=0,0,1),IF(B1610=0,0,IF(SIGN(B1611)&lt;&gt;SIGN(B1610),1,0)))</x:f>
        <x:v>0</x:v>
      </x:c>
      <x:c r="D1611" s="256" t="n">
        <x:f>EXP(A1611-0.005)-1</x:f>
        <x:v>-0.9999938249896541</x:v>
      </x:c>
    </x:row>
    <x:row r="1612" ht="20" customHeight="1">
      <x:c r="A1612" s="256" t="n">
        <x:f>-12+2*0.01</x:f>
        <x:v>-11.98</x:v>
      </x:c>
      <x:c r="B1612" s="256" t="n">
        <x:f>IF(COUNT($B$129:$L$129)=11,B$129*EXP(IF(A1612&lt;0,(10-0)*A1612,-0*A1612))+C$129*EXP(IF(A1612&lt;0,(10-1)*A1612,-1*A1612))+D$129*EXP(IF(A1612&lt;0,(10-2)*A1612,-2*A1612))+E$129*EXP(IF(A1612&lt;0,(10-3)*A1612,-3*A1612))+F$129*EXP(IF(A1612&lt;0,(10-4)*A1612,-4*A1612))+G$129*EXP(IF(A1612&lt;0,(10-5)*A1612,-5*A1612))+H$129*EXP(IF(A1612&lt;0,(10-6)*A1612,-6*A1612))+I$129*EXP(IF(A1612&lt;0,(10-7)*A1612,-7*A1612))+J$129*EXP(IF(A1612&lt;0,(10-8)*A1612,-8*A1612))+K$129*EXP(IF(A1612&lt;0,(10-9)*A1612,-9*A1612))+L$129*EXP(IF(A1612&lt;0,(10-10)*A1612,-10*A1612)),0)</x:f>
        <x:v>781747.2489434169</x:v>
      </x:c>
      <x:c r="C1612" s="256" t="n">
        <x:f>IF(B1612=0,IF(B1611=0,0,1),IF(B1611=0,0,IF(SIGN(B1612)&lt;&gt;SIGN(B1611),1,0)))</x:f>
        <x:v>0</x:v>
      </x:c>
      <x:c r="D1612" s="256" t="n">
        <x:f>EXP(A1612-0.005)-1</x:f>
        <x:v>-0.9999937629297684</x:v>
      </x:c>
    </x:row>
    <x:row r="1613" ht="20" customHeight="1">
      <x:c r="A1613" s="256" t="n">
        <x:f>-12+3*0.01</x:f>
        <x:v>-11.97</x:v>
      </x:c>
      <x:c r="B1613" s="256" t="n">
        <x:f>IF(COUNT($B$129:$L$129)=11,B$129*EXP(IF(A1613&lt;0,(10-0)*A1613,-0*A1613))+C$129*EXP(IF(A1613&lt;0,(10-1)*A1613,-1*A1613))+D$129*EXP(IF(A1613&lt;0,(10-2)*A1613,-2*A1613))+E$129*EXP(IF(A1613&lt;0,(10-3)*A1613,-3*A1613))+F$129*EXP(IF(A1613&lt;0,(10-4)*A1613,-4*A1613))+G$129*EXP(IF(A1613&lt;0,(10-5)*A1613,-5*A1613))+H$129*EXP(IF(A1613&lt;0,(10-6)*A1613,-6*A1613))+I$129*EXP(IF(A1613&lt;0,(10-7)*A1613,-7*A1613))+J$129*EXP(IF(A1613&lt;0,(10-8)*A1613,-8*A1613))+K$129*EXP(IF(A1613&lt;0,(10-9)*A1613,-9*A1613))+L$129*EXP(IF(A1613&lt;0,(10-10)*A1613,-10*A1613)),0)</x:f>
        <x:v>781747.2497366848</x:v>
      </x:c>
      <x:c r="C1613" s="256" t="n">
        <x:f>IF(B1613=0,IF(B1612=0,0,1),IF(B1612=0,0,IF(SIGN(B1613)&lt;&gt;SIGN(B1612),1,0)))</x:f>
        <x:v>0</x:v>
      </x:c>
      <x:c r="D1613" s="256" t="n">
        <x:f>EXP(A1613-0.005)-1</x:f>
        <x:v>-0.9999937002461704</x:v>
      </x:c>
    </x:row>
    <x:row r="1614" ht="20" customHeight="1">
      <x:c r="A1614" s="256" t="n">
        <x:f>-12+4*0.01</x:f>
        <x:v>-11.96</x:v>
      </x:c>
      <x:c r="B1614" s="256" t="n">
        <x:f>IF(COUNT($B$129:$L$129)=11,B$129*EXP(IF(A1614&lt;0,(10-0)*A1614,-0*A1614))+C$129*EXP(IF(A1614&lt;0,(10-1)*A1614,-1*A1614))+D$129*EXP(IF(A1614&lt;0,(10-2)*A1614,-2*A1614))+E$129*EXP(IF(A1614&lt;0,(10-3)*A1614,-3*A1614))+F$129*EXP(IF(A1614&lt;0,(10-4)*A1614,-4*A1614))+G$129*EXP(IF(A1614&lt;0,(10-5)*A1614,-5*A1614))+H$129*EXP(IF(A1614&lt;0,(10-6)*A1614,-6*A1614))+I$129*EXP(IF(A1614&lt;0,(10-7)*A1614,-7*A1614))+J$129*EXP(IF(A1614&lt;0,(10-8)*A1614,-8*A1614))+K$129*EXP(IF(A1614&lt;0,(10-9)*A1614,-9*A1614))+L$129*EXP(IF(A1614&lt;0,(10-10)*A1614,-10*A1614)),0)</x:f>
        <x:v>781747.2505379254</x:v>
      </x:c>
      <x:c r="C1614" s="256" t="n">
        <x:f>IF(B1614=0,IF(B1613=0,0,1),IF(B1613=0,0,IF(SIGN(B1614)&lt;&gt;SIGN(B1613),1,0)))</x:f>
        <x:v>0</x:v>
      </x:c>
      <x:c r="D1614" s="256" t="n">
        <x:f>EXP(A1614-0.005)-1</x:f>
        <x:v>-0.9999936369325918</x:v>
      </x:c>
    </x:row>
    <x:row r="1615" ht="20" customHeight="1">
      <x:c r="A1615" s="256" t="n">
        <x:f>-12+5*0.01</x:f>
        <x:v>-11.95</x:v>
      </x:c>
      <x:c r="B1615" s="256" t="n">
        <x:f>IF(COUNT($B$129:$L$129)=11,B$129*EXP(IF(A1615&lt;0,(10-0)*A1615,-0*A1615))+C$129*EXP(IF(A1615&lt;0,(10-1)*A1615,-1*A1615))+D$129*EXP(IF(A1615&lt;0,(10-2)*A1615,-2*A1615))+E$129*EXP(IF(A1615&lt;0,(10-3)*A1615,-3*A1615))+F$129*EXP(IF(A1615&lt;0,(10-4)*A1615,-4*A1615))+G$129*EXP(IF(A1615&lt;0,(10-5)*A1615,-5*A1615))+H$129*EXP(IF(A1615&lt;0,(10-6)*A1615,-6*A1615))+I$129*EXP(IF(A1615&lt;0,(10-7)*A1615,-7*A1615))+J$129*EXP(IF(A1615&lt;0,(10-8)*A1615,-8*A1615))+K$129*EXP(IF(A1615&lt;0,(10-9)*A1615,-9*A1615))+L$129*EXP(IF(A1615&lt;0,(10-10)*A1615,-10*A1615)),0)</x:f>
        <x:v>781747.2513472188</x:v>
      </x:c>
      <x:c r="C1615" s="256" t="n">
        <x:f>IF(B1615=0,IF(B1614=0,0,1),IF(B1614=0,0,IF(SIGN(B1615)&lt;&gt;SIGN(B1614),1,0)))</x:f>
        <x:v>0</x:v>
      </x:c>
      <x:c r="D1615" s="256" t="n">
        <x:f>EXP(A1615-0.005)-1</x:f>
        <x:v>-0.9999935729827012</x:v>
      </x:c>
    </x:row>
    <x:row r="1616" ht="20" customHeight="1">
      <x:c r="A1616" s="256" t="n">
        <x:f>-12+6*0.01</x:f>
        <x:v>-11.94</x:v>
      </x:c>
      <x:c r="B1616" s="256" t="n">
        <x:f>IF(COUNT($B$129:$L$129)=11,B$129*EXP(IF(A1616&lt;0,(10-0)*A1616,-0*A1616))+C$129*EXP(IF(A1616&lt;0,(10-1)*A1616,-1*A1616))+D$129*EXP(IF(A1616&lt;0,(10-2)*A1616,-2*A1616))+E$129*EXP(IF(A1616&lt;0,(10-3)*A1616,-3*A1616))+F$129*EXP(IF(A1616&lt;0,(10-4)*A1616,-4*A1616))+G$129*EXP(IF(A1616&lt;0,(10-5)*A1616,-5*A1616))+H$129*EXP(IF(A1616&lt;0,(10-6)*A1616,-6*A1616))+I$129*EXP(IF(A1616&lt;0,(10-7)*A1616,-7*A1616))+J$129*EXP(IF(A1616&lt;0,(10-8)*A1616,-8*A1616))+K$129*EXP(IF(A1616&lt;0,(10-9)*A1616,-9*A1616))+L$129*EXP(IF(A1616&lt;0,(10-10)*A1616,-10*A1616)),0)</x:f>
        <x:v>781747.2521646456</x:v>
      </x:c>
      <x:c r="C1616" s="256" t="n">
        <x:f>IF(B1616=0,IF(B1615=0,0,1),IF(B1615=0,0,IF(SIGN(B1616)&lt;&gt;SIGN(B1615),1,0)))</x:f>
        <x:v>0</x:v>
      </x:c>
      <x:c r="D1616" s="256" t="n">
        <x:f>EXP(A1616-0.005)-1</x:f>
        <x:v>-0.9999935083901035</x:v>
      </x:c>
    </x:row>
    <x:row r="1617" ht="20" customHeight="1">
      <x:c r="A1617" s="256" t="n">
        <x:f>-12+7*0.01</x:f>
        <x:v>-11.93</x:v>
      </x:c>
      <x:c r="B1617" s="256" t="n">
        <x:f>IF(COUNT($B$129:$L$129)=11,B$129*EXP(IF(A1617&lt;0,(10-0)*A1617,-0*A1617))+C$129*EXP(IF(A1617&lt;0,(10-1)*A1617,-1*A1617))+D$129*EXP(IF(A1617&lt;0,(10-2)*A1617,-2*A1617))+E$129*EXP(IF(A1617&lt;0,(10-3)*A1617,-3*A1617))+F$129*EXP(IF(A1617&lt;0,(10-4)*A1617,-4*A1617))+G$129*EXP(IF(A1617&lt;0,(10-5)*A1617,-5*A1617))+H$129*EXP(IF(A1617&lt;0,(10-6)*A1617,-6*A1617))+I$129*EXP(IF(A1617&lt;0,(10-7)*A1617,-7*A1617))+J$129*EXP(IF(A1617&lt;0,(10-8)*A1617,-8*A1617))+K$129*EXP(IF(A1617&lt;0,(10-9)*A1617,-9*A1617))+L$129*EXP(IF(A1617&lt;0,(10-10)*A1617,-10*A1617)),0)</x:f>
        <x:v>781747.2529902878</x:v>
      </x:c>
      <x:c r="C1617" s="256" t="n">
        <x:f>IF(B1617=0,IF(B1616=0,0,1),IF(B1616=0,0,IF(SIGN(B1617)&lt;&gt;SIGN(B1616),1,0)))</x:f>
        <x:v>0</x:v>
      </x:c>
      <x:c r="D1617" s="256" t="n">
        <x:f>EXP(A1617-0.005)-1</x:f>
        <x:v>-0.9999934431483394</x:v>
      </x:c>
    </x:row>
    <x:row r="1618" ht="20" customHeight="1">
      <x:c r="A1618" s="256" t="n">
        <x:f>-12+8*0.01</x:f>
        <x:v>-11.92</x:v>
      </x:c>
      <x:c r="B1618" s="256" t="n">
        <x:f>IF(COUNT($B$129:$L$129)=11,B$129*EXP(IF(A1618&lt;0,(10-0)*A1618,-0*A1618))+C$129*EXP(IF(A1618&lt;0,(10-1)*A1618,-1*A1618))+D$129*EXP(IF(A1618&lt;0,(10-2)*A1618,-2*A1618))+E$129*EXP(IF(A1618&lt;0,(10-3)*A1618,-3*A1618))+F$129*EXP(IF(A1618&lt;0,(10-4)*A1618,-4*A1618))+G$129*EXP(IF(A1618&lt;0,(10-5)*A1618,-5*A1618))+H$129*EXP(IF(A1618&lt;0,(10-6)*A1618,-6*A1618))+I$129*EXP(IF(A1618&lt;0,(10-7)*A1618,-7*A1618))+J$129*EXP(IF(A1618&lt;0,(10-8)*A1618,-8*A1618))+K$129*EXP(IF(A1618&lt;0,(10-9)*A1618,-9*A1618))+L$129*EXP(IF(A1618&lt;0,(10-10)*A1618,-10*A1618)),0)</x:f>
        <x:v>781747.253824228</x:v>
      </x:c>
      <x:c r="C1618" s="256" t="n">
        <x:f>IF(B1618=0,IF(B1617=0,0,1),IF(B1617=0,0,IF(SIGN(B1618)&lt;&gt;SIGN(B1617),1,0)))</x:f>
        <x:v>0</x:v>
      </x:c>
      <x:c r="D1618" s="256" t="n">
        <x:f>EXP(A1618-0.005)-1</x:f>
        <x:v>-0.9999933772508847</x:v>
      </x:c>
    </x:row>
    <x:row r="1619" ht="20" customHeight="1">
      <x:c r="A1619" s="256" t="n">
        <x:f>-12+9*0.01</x:f>
        <x:v>-11.91</x:v>
      </x:c>
      <x:c r="B1619" s="256" t="n">
        <x:f>IF(COUNT($B$129:$L$129)=11,B$129*EXP(IF(A1619&lt;0,(10-0)*A1619,-0*A1619))+C$129*EXP(IF(A1619&lt;0,(10-1)*A1619,-1*A1619))+D$129*EXP(IF(A1619&lt;0,(10-2)*A1619,-2*A1619))+E$129*EXP(IF(A1619&lt;0,(10-3)*A1619,-3*A1619))+F$129*EXP(IF(A1619&lt;0,(10-4)*A1619,-4*A1619))+G$129*EXP(IF(A1619&lt;0,(10-5)*A1619,-5*A1619))+H$129*EXP(IF(A1619&lt;0,(10-6)*A1619,-6*A1619))+I$129*EXP(IF(A1619&lt;0,(10-7)*A1619,-7*A1619))+J$129*EXP(IF(A1619&lt;0,(10-8)*A1619,-8*A1619))+K$129*EXP(IF(A1619&lt;0,(10-9)*A1619,-9*A1619))+L$129*EXP(IF(A1619&lt;0,(10-10)*A1619,-10*A1619)),0)</x:f>
        <x:v>781747.2546665495</x:v>
      </x:c>
      <x:c r="C1619" s="256" t="n">
        <x:f>IF(B1619=0,IF(B1618=0,0,1),IF(B1618=0,0,IF(SIGN(B1619)&lt;&gt;SIGN(B1618),1,0)))</x:f>
        <x:v>0</x:v>
      </x:c>
      <x:c r="D1619" s="256" t="n">
        <x:f>EXP(A1619-0.005)-1</x:f>
        <x:v>-0.9999933106911495</x:v>
      </x:c>
    </x:row>
    <x:row r="1620" ht="20" customHeight="1">
      <x:c r="A1620" s="256" t="n">
        <x:f>-12+10*0.01</x:f>
        <x:v>-11.9</x:v>
      </x:c>
      <x:c r="B1620" s="256" t="n">
        <x:f>IF(COUNT($B$129:$L$129)=11,B$129*EXP(IF(A1620&lt;0,(10-0)*A1620,-0*A1620))+C$129*EXP(IF(A1620&lt;0,(10-1)*A1620,-1*A1620))+D$129*EXP(IF(A1620&lt;0,(10-2)*A1620,-2*A1620))+E$129*EXP(IF(A1620&lt;0,(10-3)*A1620,-3*A1620))+F$129*EXP(IF(A1620&lt;0,(10-4)*A1620,-4*A1620))+G$129*EXP(IF(A1620&lt;0,(10-5)*A1620,-5*A1620))+H$129*EXP(IF(A1620&lt;0,(10-6)*A1620,-6*A1620))+I$129*EXP(IF(A1620&lt;0,(10-7)*A1620,-7*A1620))+J$129*EXP(IF(A1620&lt;0,(10-8)*A1620,-8*A1620))+K$129*EXP(IF(A1620&lt;0,(10-9)*A1620,-9*A1620))+L$129*EXP(IF(A1620&lt;0,(10-10)*A1620,-10*A1620)),0)</x:f>
        <x:v>781747.2555173365</x:v>
      </x:c>
      <x:c r="C1620" s="256" t="n">
        <x:f>IF(B1620=0,IF(B1619=0,0,1),IF(B1619=0,0,IF(SIGN(B1620)&lt;&gt;SIGN(B1619),1,0)))</x:f>
        <x:v>0</x:v>
      </x:c>
      <x:c r="D1620" s="256" t="n">
        <x:f>EXP(A1620-0.005)-1</x:f>
        <x:v>-0.9999932434624779</x:v>
      </x:c>
    </x:row>
    <x:row r="1621" ht="20" customHeight="1">
      <x:c r="A1621" s="256" t="n">
        <x:f>-12+11*0.01</x:f>
        <x:v>-11.89</x:v>
      </x:c>
      <x:c r="B1621" s="256" t="n">
        <x:f>IF(COUNT($B$129:$L$129)=11,B$129*EXP(IF(A1621&lt;0,(10-0)*A1621,-0*A1621))+C$129*EXP(IF(A1621&lt;0,(10-1)*A1621,-1*A1621))+D$129*EXP(IF(A1621&lt;0,(10-2)*A1621,-2*A1621))+E$129*EXP(IF(A1621&lt;0,(10-3)*A1621,-3*A1621))+F$129*EXP(IF(A1621&lt;0,(10-4)*A1621,-4*A1621))+G$129*EXP(IF(A1621&lt;0,(10-5)*A1621,-5*A1621))+H$129*EXP(IF(A1621&lt;0,(10-6)*A1621,-6*A1621))+I$129*EXP(IF(A1621&lt;0,(10-7)*A1621,-7*A1621))+J$129*EXP(IF(A1621&lt;0,(10-8)*A1621,-8*A1621))+K$129*EXP(IF(A1621&lt;0,(10-9)*A1621,-9*A1621))+L$129*EXP(IF(A1621&lt;0,(10-10)*A1621,-10*A1621)),0)</x:f>
        <x:v>781747.2563766743</x:v>
      </x:c>
      <x:c r="C1621" s="256" t="n">
        <x:f>IF(B1621=0,IF(B1620=0,0,1),IF(B1620=0,0,IF(SIGN(B1621)&lt;&gt;SIGN(B1620),1,0)))</x:f>
        <x:v>0</x:v>
      </x:c>
      <x:c r="D1621" s="256" t="n">
        <x:f>EXP(A1621-0.005)-1</x:f>
        <x:v>-0.9999931755581469</x:v>
      </x:c>
    </x:row>
    <x:row r="1622" ht="20" customHeight="1">
      <x:c r="A1622" s="256" t="n">
        <x:f>-12+12*0.01</x:f>
        <x:v>-11.88</x:v>
      </x:c>
      <x:c r="B1622" s="256" t="n">
        <x:f>IF(COUNT($B$129:$L$129)=11,B$129*EXP(IF(A1622&lt;0,(10-0)*A1622,-0*A1622))+C$129*EXP(IF(A1622&lt;0,(10-1)*A1622,-1*A1622))+D$129*EXP(IF(A1622&lt;0,(10-2)*A1622,-2*A1622))+E$129*EXP(IF(A1622&lt;0,(10-3)*A1622,-3*A1622))+F$129*EXP(IF(A1622&lt;0,(10-4)*A1622,-4*A1622))+G$129*EXP(IF(A1622&lt;0,(10-5)*A1622,-5*A1622))+H$129*EXP(IF(A1622&lt;0,(10-6)*A1622,-6*A1622))+I$129*EXP(IF(A1622&lt;0,(10-7)*A1622,-7*A1622))+J$129*EXP(IF(A1622&lt;0,(10-8)*A1622,-8*A1622))+K$129*EXP(IF(A1622&lt;0,(10-9)*A1622,-9*A1622))+L$129*EXP(IF(A1622&lt;0,(10-10)*A1622,-10*A1622)),0)</x:f>
        <x:v>781747.2572446485</x:v>
      </x:c>
      <x:c r="C1622" s="256" t="n">
        <x:f>IF(B1622=0,IF(B1621=0,0,1),IF(B1621=0,0,IF(SIGN(B1622)&lt;&gt;SIGN(B1621),1,0)))</x:f>
        <x:v>0</x:v>
      </x:c>
      <x:c r="D1622" s="256" t="n">
        <x:f>EXP(A1622-0.005)-1</x:f>
        <x:v>-0.999993106971366</x:v>
      </x:c>
    </x:row>
    <x:row r="1623" ht="20" customHeight="1">
      <x:c r="A1623" s="256" t="n">
        <x:f>-12+13*0.01</x:f>
        <x:v>-11.87</x:v>
      </x:c>
      <x:c r="B1623" s="256" t="n">
        <x:f>IF(COUNT($B$129:$L$129)=11,B$129*EXP(IF(A1623&lt;0,(10-0)*A1623,-0*A1623))+C$129*EXP(IF(A1623&lt;0,(10-1)*A1623,-1*A1623))+D$129*EXP(IF(A1623&lt;0,(10-2)*A1623,-2*A1623))+E$129*EXP(IF(A1623&lt;0,(10-3)*A1623,-3*A1623))+F$129*EXP(IF(A1623&lt;0,(10-4)*A1623,-4*A1623))+G$129*EXP(IF(A1623&lt;0,(10-5)*A1623,-5*A1623))+H$129*EXP(IF(A1623&lt;0,(10-6)*A1623,-6*A1623))+I$129*EXP(IF(A1623&lt;0,(10-7)*A1623,-7*A1623))+J$129*EXP(IF(A1623&lt;0,(10-8)*A1623,-8*A1623))+K$129*EXP(IF(A1623&lt;0,(10-9)*A1623,-9*A1623))+L$129*EXP(IF(A1623&lt;0,(10-10)*A1623,-10*A1623)),0)</x:f>
        <x:v>781747.2581213461</x:v>
      </x:c>
      <x:c r="C1623" s="256" t="n">
        <x:f>IF(B1623=0,IF(B1622=0,0,1),IF(B1622=0,0,IF(SIGN(B1623)&lt;&gt;SIGN(B1622),1,0)))</x:f>
        <x:v>0</x:v>
      </x:c>
      <x:c r="D1623" s="256" t="n">
        <x:f>EXP(A1623-0.005)-1</x:f>
        <x:v>-0.9999930376952765</x:v>
      </x:c>
    </x:row>
    <x:row r="1624" ht="20" customHeight="1">
      <x:c r="A1624" s="256" t="n">
        <x:f>-12+14*0.01</x:f>
        <x:v>-11.86</x:v>
      </x:c>
      <x:c r="B1624" s="256" t="n">
        <x:f>IF(COUNT($B$129:$L$129)=11,B$129*EXP(IF(A1624&lt;0,(10-0)*A1624,-0*A1624))+C$129*EXP(IF(A1624&lt;0,(10-1)*A1624,-1*A1624))+D$129*EXP(IF(A1624&lt;0,(10-2)*A1624,-2*A1624))+E$129*EXP(IF(A1624&lt;0,(10-3)*A1624,-3*A1624))+F$129*EXP(IF(A1624&lt;0,(10-4)*A1624,-4*A1624))+G$129*EXP(IF(A1624&lt;0,(10-5)*A1624,-5*A1624))+H$129*EXP(IF(A1624&lt;0,(10-6)*A1624,-6*A1624))+I$129*EXP(IF(A1624&lt;0,(10-7)*A1624,-7*A1624))+J$129*EXP(IF(A1624&lt;0,(10-8)*A1624,-8*A1624))+K$129*EXP(IF(A1624&lt;0,(10-9)*A1624,-9*A1624))+L$129*EXP(IF(A1624&lt;0,(10-10)*A1624,-10*A1624)),0)</x:f>
        <x:v>781747.2590068548</x:v>
      </x:c>
      <x:c r="C1624" s="256" t="n">
        <x:f>IF(B1624=0,IF(B1623=0,0,1),IF(B1623=0,0,IF(SIGN(B1624)&lt;&gt;SIGN(B1623),1,0)))</x:f>
        <x:v>0</x:v>
      </x:c>
      <x:c r="D1624" s="256" t="n">
        <x:f>EXP(A1624-0.005)-1</x:f>
        <x:v>-0.9999929677229508</x:v>
      </x:c>
    </x:row>
    <x:row r="1625" ht="20" customHeight="1">
      <x:c r="A1625" s="256" t="n">
        <x:f>-12+15*0.01</x:f>
        <x:v>-11.85</x:v>
      </x:c>
      <x:c r="B1625" s="256" t="n">
        <x:f>IF(COUNT($B$129:$L$129)=11,B$129*EXP(IF(A1625&lt;0,(10-0)*A1625,-0*A1625))+C$129*EXP(IF(A1625&lt;0,(10-1)*A1625,-1*A1625))+D$129*EXP(IF(A1625&lt;0,(10-2)*A1625,-2*A1625))+E$129*EXP(IF(A1625&lt;0,(10-3)*A1625,-3*A1625))+F$129*EXP(IF(A1625&lt;0,(10-4)*A1625,-4*A1625))+G$129*EXP(IF(A1625&lt;0,(10-5)*A1625,-5*A1625))+H$129*EXP(IF(A1625&lt;0,(10-6)*A1625,-6*A1625))+I$129*EXP(IF(A1625&lt;0,(10-7)*A1625,-7*A1625))+J$129*EXP(IF(A1625&lt;0,(10-8)*A1625,-8*A1625))+K$129*EXP(IF(A1625&lt;0,(10-9)*A1625,-9*A1625))+L$129*EXP(IF(A1625&lt;0,(10-10)*A1625,-10*A1625)),0)</x:f>
        <x:v>781747.2599012632</x:v>
      </x:c>
      <x:c r="C1625" s="256" t="n">
        <x:f>IF(B1625=0,IF(B1624=0,0,1),IF(B1624=0,0,IF(SIGN(B1625)&lt;&gt;SIGN(B1624),1,0)))</x:f>
        <x:v>0</x:v>
      </x:c>
      <x:c r="D1625" s="256" t="n">
        <x:f>EXP(A1625-0.005)-1</x:f>
        <x:v>-0.9999928970473915</x:v>
      </x:c>
    </x:row>
    <x:row r="1626" ht="20" customHeight="1">
      <x:c r="A1626" s="256" t="n">
        <x:f>-12+16*0.01</x:f>
        <x:v>-11.84</x:v>
      </x:c>
      <x:c r="B1626" s="256" t="n">
        <x:f>IF(COUNT($B$129:$L$129)=11,B$129*EXP(IF(A1626&lt;0,(10-0)*A1626,-0*A1626))+C$129*EXP(IF(A1626&lt;0,(10-1)*A1626,-1*A1626))+D$129*EXP(IF(A1626&lt;0,(10-2)*A1626,-2*A1626))+E$129*EXP(IF(A1626&lt;0,(10-3)*A1626,-3*A1626))+F$129*EXP(IF(A1626&lt;0,(10-4)*A1626,-4*A1626))+G$129*EXP(IF(A1626&lt;0,(10-5)*A1626,-5*A1626))+H$129*EXP(IF(A1626&lt;0,(10-6)*A1626,-6*A1626))+I$129*EXP(IF(A1626&lt;0,(10-7)*A1626,-7*A1626))+J$129*EXP(IF(A1626&lt;0,(10-8)*A1626,-8*A1626))+K$129*EXP(IF(A1626&lt;0,(10-9)*A1626,-9*A1626))+L$129*EXP(IF(A1626&lt;0,(10-10)*A1626,-10*A1626)),0)</x:f>
        <x:v>781747.2608046605</x:v>
      </x:c>
      <x:c r="C1626" s="256" t="n">
        <x:f>IF(B1626=0,IF(B1625=0,0,1),IF(B1625=0,0,IF(SIGN(B1626)&lt;&gt;SIGN(B1625),1,0)))</x:f>
        <x:v>0</x:v>
      </x:c>
      <x:c r="D1626" s="256" t="n">
        <x:f>EXP(A1626-0.005)-1</x:f>
        <x:v>-0.9999928256615309</x:v>
      </x:c>
    </x:row>
    <x:row r="1627" ht="20" customHeight="1">
      <x:c r="A1627" s="256" t="n">
        <x:f>-12+17*0.01</x:f>
        <x:v>-11.83</x:v>
      </x:c>
      <x:c r="B1627" s="256" t="n">
        <x:f>IF(COUNT($B$129:$L$129)=11,B$129*EXP(IF(A1627&lt;0,(10-0)*A1627,-0*A1627))+C$129*EXP(IF(A1627&lt;0,(10-1)*A1627,-1*A1627))+D$129*EXP(IF(A1627&lt;0,(10-2)*A1627,-2*A1627))+E$129*EXP(IF(A1627&lt;0,(10-3)*A1627,-3*A1627))+F$129*EXP(IF(A1627&lt;0,(10-4)*A1627,-4*A1627))+G$129*EXP(IF(A1627&lt;0,(10-5)*A1627,-5*A1627))+H$129*EXP(IF(A1627&lt;0,(10-6)*A1627,-6*A1627))+I$129*EXP(IF(A1627&lt;0,(10-7)*A1627,-7*A1627))+J$129*EXP(IF(A1627&lt;0,(10-8)*A1627,-8*A1627))+K$129*EXP(IF(A1627&lt;0,(10-9)*A1627,-9*A1627))+L$129*EXP(IF(A1627&lt;0,(10-10)*A1627,-10*A1627)),0)</x:f>
        <x:v>781747.2617171373</x:v>
      </x:c>
      <x:c r="C1627" s="256" t="n">
        <x:f>IF(B1627=0,IF(B1626=0,0,1),IF(B1626=0,0,IF(SIGN(B1627)&lt;&gt;SIGN(B1626),1,0)))</x:f>
        <x:v>0</x:v>
      </x:c>
      <x:c r="D1627" s="256" t="n">
        <x:f>EXP(A1627-0.005)-1</x:f>
        <x:v>-0.9999927535582306</x:v>
      </x:c>
    </x:row>
    <x:row r="1628" ht="20" customHeight="1">
      <x:c r="A1628" s="256" t="n">
        <x:f>-12+18*0.01</x:f>
        <x:v>-11.82</x:v>
      </x:c>
      <x:c r="B1628" s="256" t="n">
        <x:f>IF(COUNT($B$129:$L$129)=11,B$129*EXP(IF(A1628&lt;0,(10-0)*A1628,-0*A1628))+C$129*EXP(IF(A1628&lt;0,(10-1)*A1628,-1*A1628))+D$129*EXP(IF(A1628&lt;0,(10-2)*A1628,-2*A1628))+E$129*EXP(IF(A1628&lt;0,(10-3)*A1628,-3*A1628))+F$129*EXP(IF(A1628&lt;0,(10-4)*A1628,-4*A1628))+G$129*EXP(IF(A1628&lt;0,(10-5)*A1628,-5*A1628))+H$129*EXP(IF(A1628&lt;0,(10-6)*A1628,-6*A1628))+I$129*EXP(IF(A1628&lt;0,(10-7)*A1628,-7*A1628))+J$129*EXP(IF(A1628&lt;0,(10-8)*A1628,-8*A1628))+K$129*EXP(IF(A1628&lt;0,(10-9)*A1628,-9*A1628))+L$129*EXP(IF(A1628&lt;0,(10-10)*A1628,-10*A1628)),0)</x:f>
        <x:v>781747.2626387847</x:v>
      </x:c>
      <x:c r="C1628" s="256" t="n">
        <x:f>IF(B1628=0,IF(B1627=0,0,1),IF(B1627=0,0,IF(SIGN(B1628)&lt;&gt;SIGN(B1627),1,0)))</x:f>
        <x:v>0</x:v>
      </x:c>
      <x:c r="D1628" s="256" t="n">
        <x:f>EXP(A1628-0.005)-1</x:f>
        <x:v>-0.99999268073028</x:v>
      </x:c>
    </x:row>
    <x:row r="1629" ht="20" customHeight="1">
      <x:c r="A1629" s="256" t="n">
        <x:f>-12+19*0.01</x:f>
        <x:v>-11.81</x:v>
      </x:c>
      <x:c r="B1629" s="256" t="n">
        <x:f>IF(COUNT($B$129:$L$129)=11,B$129*EXP(IF(A1629&lt;0,(10-0)*A1629,-0*A1629))+C$129*EXP(IF(A1629&lt;0,(10-1)*A1629,-1*A1629))+D$129*EXP(IF(A1629&lt;0,(10-2)*A1629,-2*A1629))+E$129*EXP(IF(A1629&lt;0,(10-3)*A1629,-3*A1629))+F$129*EXP(IF(A1629&lt;0,(10-4)*A1629,-4*A1629))+G$129*EXP(IF(A1629&lt;0,(10-5)*A1629,-5*A1629))+H$129*EXP(IF(A1629&lt;0,(10-6)*A1629,-6*A1629))+I$129*EXP(IF(A1629&lt;0,(10-7)*A1629,-7*A1629))+J$129*EXP(IF(A1629&lt;0,(10-8)*A1629,-8*A1629))+K$129*EXP(IF(A1629&lt;0,(10-9)*A1629,-9*A1629))+L$129*EXP(IF(A1629&lt;0,(10-10)*A1629,-10*A1629)),0)</x:f>
        <x:v>781747.263569695</x:v>
      </x:c>
      <x:c r="C1629" s="256" t="n">
        <x:f>IF(B1629=0,IF(B1628=0,0,1),IF(B1628=0,0,IF(SIGN(B1629)&lt;&gt;SIGN(B1628),1,0)))</x:f>
        <x:v>0</x:v>
      </x:c>
      <x:c r="D1629" s="256" t="n">
        <x:f>EXP(A1629-0.005)-1</x:f>
        <x:v>-0.9999926071703964</x:v>
      </x:c>
    </x:row>
    <x:row r="1630" ht="20" customHeight="1">
      <x:c r="A1630" s="256" t="n">
        <x:f>-12+20*0.01</x:f>
        <x:v>-11.8</x:v>
      </x:c>
      <x:c r="B1630" s="256" t="n">
        <x:f>IF(COUNT($B$129:$L$129)=11,B$129*EXP(IF(A1630&lt;0,(10-0)*A1630,-0*A1630))+C$129*EXP(IF(A1630&lt;0,(10-1)*A1630,-1*A1630))+D$129*EXP(IF(A1630&lt;0,(10-2)*A1630,-2*A1630))+E$129*EXP(IF(A1630&lt;0,(10-3)*A1630,-3*A1630))+F$129*EXP(IF(A1630&lt;0,(10-4)*A1630,-4*A1630))+G$129*EXP(IF(A1630&lt;0,(10-5)*A1630,-5*A1630))+H$129*EXP(IF(A1630&lt;0,(10-6)*A1630,-6*A1630))+I$129*EXP(IF(A1630&lt;0,(10-7)*A1630,-7*A1630))+J$129*EXP(IF(A1630&lt;0,(10-8)*A1630,-8*A1630))+K$129*EXP(IF(A1630&lt;0,(10-9)*A1630,-9*A1630))+L$129*EXP(IF(A1630&lt;0,(10-10)*A1630,-10*A1630)),0)</x:f>
        <x:v>781747.264509961</x:v>
      </x:c>
      <x:c r="C1630" s="256" t="n">
        <x:f>IF(B1630=0,IF(B1629=0,0,1),IF(B1629=0,0,IF(SIGN(B1630)&lt;&gt;SIGN(B1629),1,0)))</x:f>
        <x:v>0</x:v>
      </x:c>
      <x:c r="D1630" s="256" t="n">
        <x:f>EXP(A1630-0.005)-1</x:f>
        <x:v>-0.9999925328712237</x:v>
      </x:c>
    </x:row>
    <x:row r="1631" ht="20" customHeight="1">
      <x:c r="A1631" s="256" t="n">
        <x:f>-12+21*0.01</x:f>
        <x:v>-11.79</x:v>
      </x:c>
      <x:c r="B1631" s="256" t="n">
        <x:f>IF(COUNT($B$129:$L$129)=11,B$129*EXP(IF(A1631&lt;0,(10-0)*A1631,-0*A1631))+C$129*EXP(IF(A1631&lt;0,(10-1)*A1631,-1*A1631))+D$129*EXP(IF(A1631&lt;0,(10-2)*A1631,-2*A1631))+E$129*EXP(IF(A1631&lt;0,(10-3)*A1631,-3*A1631))+F$129*EXP(IF(A1631&lt;0,(10-4)*A1631,-4*A1631))+G$129*EXP(IF(A1631&lt;0,(10-5)*A1631,-5*A1631))+H$129*EXP(IF(A1631&lt;0,(10-6)*A1631,-6*A1631))+I$129*EXP(IF(A1631&lt;0,(10-7)*A1631,-7*A1631))+J$129*EXP(IF(A1631&lt;0,(10-8)*A1631,-8*A1631))+K$129*EXP(IF(A1631&lt;0,(10-9)*A1631,-9*A1631))+L$129*EXP(IF(A1631&lt;0,(10-10)*A1631,-10*A1631)),0)</x:f>
        <x:v>781747.2654596771</x:v>
      </x:c>
      <x:c r="C1631" s="256" t="n">
        <x:f>IF(B1631=0,IF(B1630=0,0,1),IF(B1630=0,0,IF(SIGN(B1631)&lt;&gt;SIGN(B1630),1,0)))</x:f>
        <x:v>0</x:v>
      </x:c>
      <x:c r="D1631" s="256" t="n">
        <x:f>EXP(A1631-0.005)-1</x:f>
        <x:v>-0.9999924578253319</x:v>
      </x:c>
    </x:row>
    <x:row r="1632" ht="20" customHeight="1">
      <x:c r="A1632" s="256" t="n">
        <x:f>-12+22*0.01</x:f>
        <x:v>-11.78</x:v>
      </x:c>
      <x:c r="B1632" s="256" t="n">
        <x:f>IF(COUNT($B$129:$L$129)=11,B$129*EXP(IF(A1632&lt;0,(10-0)*A1632,-0*A1632))+C$129*EXP(IF(A1632&lt;0,(10-1)*A1632,-1*A1632))+D$129*EXP(IF(A1632&lt;0,(10-2)*A1632,-2*A1632))+E$129*EXP(IF(A1632&lt;0,(10-3)*A1632,-3*A1632))+F$129*EXP(IF(A1632&lt;0,(10-4)*A1632,-4*A1632))+G$129*EXP(IF(A1632&lt;0,(10-5)*A1632,-5*A1632))+H$129*EXP(IF(A1632&lt;0,(10-6)*A1632,-6*A1632))+I$129*EXP(IF(A1632&lt;0,(10-7)*A1632,-7*A1632))+J$129*EXP(IF(A1632&lt;0,(10-8)*A1632,-8*A1632))+K$129*EXP(IF(A1632&lt;0,(10-9)*A1632,-9*A1632))+L$129*EXP(IF(A1632&lt;0,(10-10)*A1632,-10*A1632)),0)</x:f>
        <x:v>781747.2664189381</x:v>
      </x:c>
      <x:c r="C1632" s="256" t="n">
        <x:f>IF(B1632=0,IF(B1631=0,0,1),IF(B1631=0,0,IF(SIGN(B1632)&lt;&gt;SIGN(B1631),1,0)))</x:f>
        <x:v>0</x:v>
      </x:c>
      <x:c r="D1632" s="256" t="n">
        <x:f>EXP(A1632-0.005)-1</x:f>
        <x:v>-0.9999923820252162</x:v>
      </x:c>
    </x:row>
    <x:row r="1633" ht="20" customHeight="1">
      <x:c r="A1633" s="256" t="n">
        <x:f>-12+23*0.01</x:f>
        <x:v>-11.77</x:v>
      </x:c>
      <x:c r="B1633" s="256" t="n">
        <x:f>IF(COUNT($B$129:$L$129)=11,B$129*EXP(IF(A1633&lt;0,(10-0)*A1633,-0*A1633))+C$129*EXP(IF(A1633&lt;0,(10-1)*A1633,-1*A1633))+D$129*EXP(IF(A1633&lt;0,(10-2)*A1633,-2*A1633))+E$129*EXP(IF(A1633&lt;0,(10-3)*A1633,-3*A1633))+F$129*EXP(IF(A1633&lt;0,(10-4)*A1633,-4*A1633))+G$129*EXP(IF(A1633&lt;0,(10-5)*A1633,-5*A1633))+H$129*EXP(IF(A1633&lt;0,(10-6)*A1633,-6*A1633))+I$129*EXP(IF(A1633&lt;0,(10-7)*A1633,-7*A1633))+J$129*EXP(IF(A1633&lt;0,(10-8)*A1633,-8*A1633))+K$129*EXP(IF(A1633&lt;0,(10-9)*A1633,-9*A1633))+L$129*EXP(IF(A1633&lt;0,(10-10)*A1633,-10*A1633)),0)</x:f>
        <x:v>781747.2673878398</x:v>
      </x:c>
      <x:c r="C1633" s="256" t="n">
        <x:f>IF(B1633=0,IF(B1632=0,0,1),IF(B1632=0,0,IF(SIGN(B1633)&lt;&gt;SIGN(B1632),1,0)))</x:f>
        <x:v>0</x:v>
      </x:c>
      <x:c r="D1633" s="256" t="n">
        <x:f>EXP(A1633-0.005)-1</x:f>
        <x:v>-0.9999923054632969</x:v>
      </x:c>
    </x:row>
    <x:row r="1634" ht="20" customHeight="1">
      <x:c r="A1634" s="256" t="n">
        <x:f>-12+24*0.01</x:f>
        <x:v>-11.76</x:v>
      </x:c>
      <x:c r="B1634" s="256" t="n">
        <x:f>IF(COUNT($B$129:$L$129)=11,B$129*EXP(IF(A1634&lt;0,(10-0)*A1634,-0*A1634))+C$129*EXP(IF(A1634&lt;0,(10-1)*A1634,-1*A1634))+D$129*EXP(IF(A1634&lt;0,(10-2)*A1634,-2*A1634))+E$129*EXP(IF(A1634&lt;0,(10-3)*A1634,-3*A1634))+F$129*EXP(IF(A1634&lt;0,(10-4)*A1634,-4*A1634))+G$129*EXP(IF(A1634&lt;0,(10-5)*A1634,-5*A1634))+H$129*EXP(IF(A1634&lt;0,(10-6)*A1634,-6*A1634))+I$129*EXP(IF(A1634&lt;0,(10-7)*A1634,-7*A1634))+J$129*EXP(IF(A1634&lt;0,(10-8)*A1634,-8*A1634))+K$129*EXP(IF(A1634&lt;0,(10-9)*A1634,-9*A1634))+L$129*EXP(IF(A1634&lt;0,(10-10)*A1634,-10*A1634)),0)</x:f>
        <x:v>781747.2683664794</x:v>
      </x:c>
      <x:c r="C1634" s="256" t="n">
        <x:f>IF(B1634=0,IF(B1633=0,0,1),IF(B1633=0,0,IF(SIGN(B1634)&lt;&gt;SIGN(B1633),1,0)))</x:f>
        <x:v>0</x:v>
      </x:c>
      <x:c r="D1634" s="256" t="n">
        <x:f>EXP(A1634-0.005)-1</x:f>
        <x:v>-0.9999922281319173</x:v>
      </x:c>
    </x:row>
    <x:row r="1635" ht="20" customHeight="1">
      <x:c r="A1635" s="256" t="n">
        <x:f>-12+25*0.01</x:f>
        <x:v>-11.75</x:v>
      </x:c>
      <x:c r="B1635" s="256" t="n">
        <x:f>IF(COUNT($B$129:$L$129)=11,B$129*EXP(IF(A1635&lt;0,(10-0)*A1635,-0*A1635))+C$129*EXP(IF(A1635&lt;0,(10-1)*A1635,-1*A1635))+D$129*EXP(IF(A1635&lt;0,(10-2)*A1635,-2*A1635))+E$129*EXP(IF(A1635&lt;0,(10-3)*A1635,-3*A1635))+F$129*EXP(IF(A1635&lt;0,(10-4)*A1635,-4*A1635))+G$129*EXP(IF(A1635&lt;0,(10-5)*A1635,-5*A1635))+H$129*EXP(IF(A1635&lt;0,(10-6)*A1635,-6*A1635))+I$129*EXP(IF(A1635&lt;0,(10-7)*A1635,-7*A1635))+J$129*EXP(IF(A1635&lt;0,(10-8)*A1635,-8*A1635))+K$129*EXP(IF(A1635&lt;0,(10-9)*A1635,-9*A1635))+L$129*EXP(IF(A1635&lt;0,(10-10)*A1635,-10*A1635)),0)</x:f>
        <x:v>781747.2693549546</x:v>
      </x:c>
      <x:c r="C1635" s="256" t="n">
        <x:f>IF(B1635=0,IF(B1634=0,0,1),IF(B1634=0,0,IF(SIGN(B1635)&lt;&gt;SIGN(B1634),1,0)))</x:f>
        <x:v>0</x:v>
      </x:c>
      <x:c r="D1635" s="256" t="n">
        <x:f>EXP(A1635-0.005)-1</x:f>
        <x:v>-0.9999921500233445</x:v>
      </x:c>
    </x:row>
    <x:row r="1636" ht="20" customHeight="1">
      <x:c r="A1636" s="256" t="n">
        <x:f>-12+26*0.01</x:f>
        <x:v>-11.74</x:v>
      </x:c>
      <x:c r="B1636" s="256" t="n">
        <x:f>IF(COUNT($B$129:$L$129)=11,B$129*EXP(IF(A1636&lt;0,(10-0)*A1636,-0*A1636))+C$129*EXP(IF(A1636&lt;0,(10-1)*A1636,-1*A1636))+D$129*EXP(IF(A1636&lt;0,(10-2)*A1636,-2*A1636))+E$129*EXP(IF(A1636&lt;0,(10-3)*A1636,-3*A1636))+F$129*EXP(IF(A1636&lt;0,(10-4)*A1636,-4*A1636))+G$129*EXP(IF(A1636&lt;0,(10-5)*A1636,-5*A1636))+H$129*EXP(IF(A1636&lt;0,(10-6)*A1636,-6*A1636))+I$129*EXP(IF(A1636&lt;0,(10-7)*A1636,-7*A1636))+J$129*EXP(IF(A1636&lt;0,(10-8)*A1636,-8*A1636))+K$129*EXP(IF(A1636&lt;0,(10-9)*A1636,-9*A1636))+L$129*EXP(IF(A1636&lt;0,(10-10)*A1636,-10*A1636)),0)</x:f>
        <x:v>781747.2703533643</x:v>
      </x:c>
      <x:c r="C1636" s="256" t="n">
        <x:f>IF(B1636=0,IF(B1635=0,0,1),IF(B1635=0,0,IF(SIGN(B1636)&lt;&gt;SIGN(B1635),1,0)))</x:f>
        <x:v>0</x:v>
      </x:c>
      <x:c r="D1636" s="256" t="n">
        <x:f>EXP(A1636-0.005)-1</x:f>
        <x:v>-0.9999920711297675</x:v>
      </x:c>
    </x:row>
    <x:row r="1637" ht="20" customHeight="1">
      <x:c r="A1637" s="256" t="n">
        <x:f>-12+27*0.01</x:f>
        <x:v>-11.73</x:v>
      </x:c>
      <x:c r="B1637" s="256" t="n">
        <x:f>IF(COUNT($B$129:$L$129)=11,B$129*EXP(IF(A1637&lt;0,(10-0)*A1637,-0*A1637))+C$129*EXP(IF(A1637&lt;0,(10-1)*A1637,-1*A1637))+D$129*EXP(IF(A1637&lt;0,(10-2)*A1637,-2*A1637))+E$129*EXP(IF(A1637&lt;0,(10-3)*A1637,-3*A1637))+F$129*EXP(IF(A1637&lt;0,(10-4)*A1637,-4*A1637))+G$129*EXP(IF(A1637&lt;0,(10-5)*A1637,-5*A1637))+H$129*EXP(IF(A1637&lt;0,(10-6)*A1637,-6*A1637))+I$129*EXP(IF(A1637&lt;0,(10-7)*A1637,-7*A1637))+J$129*EXP(IF(A1637&lt;0,(10-8)*A1637,-8*A1637))+K$129*EXP(IF(A1637&lt;0,(10-9)*A1637,-9*A1637))+L$129*EXP(IF(A1637&lt;0,(10-10)*A1637,-10*A1637)),0)</x:f>
        <x:v>781747.2713618082</x:v>
      </x:c>
      <x:c r="C1637" s="256" t="n">
        <x:f>IF(B1637=0,IF(B1636=0,0,1),IF(B1636=0,0,IF(SIGN(B1637)&lt;&gt;SIGN(B1636),1,0)))</x:f>
        <x:v>0</x:v>
      </x:c>
      <x:c r="D1637" s="256" t="n">
        <x:f>EXP(A1637-0.005)-1</x:f>
        <x:v>-0.9999919914432969</x:v>
      </x:c>
    </x:row>
    <x:row r="1638" ht="20" customHeight="1">
      <x:c r="A1638" s="256" t="n">
        <x:f>-12+28*0.01</x:f>
        <x:v>-11.72</x:v>
      </x:c>
      <x:c r="B1638" s="256" t="n">
        <x:f>IF(COUNT($B$129:$L$129)=11,B$129*EXP(IF(A1638&lt;0,(10-0)*A1638,-0*A1638))+C$129*EXP(IF(A1638&lt;0,(10-1)*A1638,-1*A1638))+D$129*EXP(IF(A1638&lt;0,(10-2)*A1638,-2*A1638))+E$129*EXP(IF(A1638&lt;0,(10-3)*A1638,-3*A1638))+F$129*EXP(IF(A1638&lt;0,(10-4)*A1638,-4*A1638))+G$129*EXP(IF(A1638&lt;0,(10-5)*A1638,-5*A1638))+H$129*EXP(IF(A1638&lt;0,(10-6)*A1638,-6*A1638))+I$129*EXP(IF(A1638&lt;0,(10-7)*A1638,-7*A1638))+J$129*EXP(IF(A1638&lt;0,(10-8)*A1638,-8*A1638))+K$129*EXP(IF(A1638&lt;0,(10-9)*A1638,-9*A1638))+L$129*EXP(IF(A1638&lt;0,(10-10)*A1638,-10*A1638)),0)</x:f>
        <x:v>781747.2723803873</x:v>
      </x:c>
      <x:c r="C1638" s="256" t="n">
        <x:f>IF(B1638=0,IF(B1637=0,0,1),IF(B1637=0,0,IF(SIGN(B1638)&lt;&gt;SIGN(B1637),1,0)))</x:f>
        <x:v>0</x:v>
      </x:c>
      <x:c r="D1638" s="256" t="n">
        <x:f>EXP(A1638-0.005)-1</x:f>
        <x:v>-0.999991910955964</x:v>
      </x:c>
    </x:row>
    <x:row r="1639" ht="20" customHeight="1">
      <x:c r="A1639" s="256" t="n">
        <x:f>-12+29*0.01</x:f>
        <x:v>-11.71</x:v>
      </x:c>
      <x:c r="B1639" s="256" t="n">
        <x:f>IF(COUNT($B$129:$L$129)=11,B$129*EXP(IF(A1639&lt;0,(10-0)*A1639,-0*A1639))+C$129*EXP(IF(A1639&lt;0,(10-1)*A1639,-1*A1639))+D$129*EXP(IF(A1639&lt;0,(10-2)*A1639,-2*A1639))+E$129*EXP(IF(A1639&lt;0,(10-3)*A1639,-3*A1639))+F$129*EXP(IF(A1639&lt;0,(10-4)*A1639,-4*A1639))+G$129*EXP(IF(A1639&lt;0,(10-5)*A1639,-5*A1639))+H$129*EXP(IF(A1639&lt;0,(10-6)*A1639,-6*A1639))+I$129*EXP(IF(A1639&lt;0,(10-7)*A1639,-7*A1639))+J$129*EXP(IF(A1639&lt;0,(10-8)*A1639,-8*A1639))+K$129*EXP(IF(A1639&lt;0,(10-9)*A1639,-9*A1639))+L$129*EXP(IF(A1639&lt;0,(10-10)*A1639,-10*A1639)),0)</x:f>
        <x:v>781747.2734092034</x:v>
      </x:c>
      <x:c r="C1639" s="256" t="n">
        <x:f>IF(B1639=0,IF(B1638=0,0,1),IF(B1638=0,0,IF(SIGN(B1639)&lt;&gt;SIGN(B1638),1,0)))</x:f>
        <x:v>0</x:v>
      </x:c>
      <x:c r="D1639" s="256" t="n">
        <x:f>EXP(A1639-0.005)-1</x:f>
        <x:v>-0.9999918296597198</x:v>
      </x:c>
    </x:row>
    <x:row r="1640" ht="20" customHeight="1">
      <x:c r="A1640" s="256" t="n">
        <x:f>-12+30*0.01</x:f>
        <x:v>-11.7</x:v>
      </x:c>
      <x:c r="B1640" s="256" t="n">
        <x:f>IF(COUNT($B$129:$L$129)=11,B$129*EXP(IF(A1640&lt;0,(10-0)*A1640,-0*A1640))+C$129*EXP(IF(A1640&lt;0,(10-1)*A1640,-1*A1640))+D$129*EXP(IF(A1640&lt;0,(10-2)*A1640,-2*A1640))+E$129*EXP(IF(A1640&lt;0,(10-3)*A1640,-3*A1640))+F$129*EXP(IF(A1640&lt;0,(10-4)*A1640,-4*A1640))+G$129*EXP(IF(A1640&lt;0,(10-5)*A1640,-5*A1640))+H$129*EXP(IF(A1640&lt;0,(10-6)*A1640,-6*A1640))+I$129*EXP(IF(A1640&lt;0,(10-7)*A1640,-7*A1640))+J$129*EXP(IF(A1640&lt;0,(10-8)*A1640,-8*A1640))+K$129*EXP(IF(A1640&lt;0,(10-9)*A1640,-9*A1640))+L$129*EXP(IF(A1640&lt;0,(10-10)*A1640,-10*A1640)),0)</x:f>
        <x:v>781747.2744483594</x:v>
      </x:c>
      <x:c r="C1640" s="256" t="n">
        <x:f>IF(B1640=0,IF(B1639=0,0,1),IF(B1639=0,0,IF(SIGN(B1640)&lt;&gt;SIGN(B1639),1,0)))</x:f>
        <x:v>0</x:v>
      </x:c>
      <x:c r="D1640" s="256" t="n">
        <x:f>EXP(A1640-0.005)-1</x:f>
        <x:v>-0.9999917475464348</x:v>
      </x:c>
    </x:row>
    <x:row r="1641" ht="20" customHeight="1">
      <x:c r="A1641" s="256" t="n">
        <x:f>-12+31*0.01</x:f>
        <x:v>-11.69</x:v>
      </x:c>
      <x:c r="B1641" s="256" t="n">
        <x:f>IF(COUNT($B$129:$L$129)=11,B$129*EXP(IF(A1641&lt;0,(10-0)*A1641,-0*A1641))+C$129*EXP(IF(A1641&lt;0,(10-1)*A1641,-1*A1641))+D$129*EXP(IF(A1641&lt;0,(10-2)*A1641,-2*A1641))+E$129*EXP(IF(A1641&lt;0,(10-3)*A1641,-3*A1641))+F$129*EXP(IF(A1641&lt;0,(10-4)*A1641,-4*A1641))+G$129*EXP(IF(A1641&lt;0,(10-5)*A1641,-5*A1641))+H$129*EXP(IF(A1641&lt;0,(10-6)*A1641,-6*A1641))+I$129*EXP(IF(A1641&lt;0,(10-7)*A1641,-7*A1641))+J$129*EXP(IF(A1641&lt;0,(10-8)*A1641,-8*A1641))+K$129*EXP(IF(A1641&lt;0,(10-9)*A1641,-9*A1641))+L$129*EXP(IF(A1641&lt;0,(10-10)*A1641,-10*A1641)),0)</x:f>
        <x:v>781747.2754979592</x:v>
      </x:c>
      <x:c r="C1641" s="256" t="n">
        <x:f>IF(B1641=0,IF(B1640=0,0,1),IF(B1640=0,0,IF(SIGN(B1641)&lt;&gt;SIGN(B1640),1,0)))</x:f>
        <x:v>0</x:v>
      </x:c>
      <x:c r="D1641" s="256" t="n">
        <x:f>EXP(A1641-0.005)-1</x:f>
        <x:v>-0.9999916646078977</x:v>
      </x:c>
    </x:row>
    <x:row r="1642" ht="20" customHeight="1">
      <x:c r="A1642" s="256" t="n">
        <x:f>-12+32*0.01</x:f>
        <x:v>-11.68</x:v>
      </x:c>
      <x:c r="B1642" s="256" t="n">
        <x:f>IF(COUNT($B$129:$L$129)=11,B$129*EXP(IF(A1642&lt;0,(10-0)*A1642,-0*A1642))+C$129*EXP(IF(A1642&lt;0,(10-1)*A1642,-1*A1642))+D$129*EXP(IF(A1642&lt;0,(10-2)*A1642,-2*A1642))+E$129*EXP(IF(A1642&lt;0,(10-3)*A1642,-3*A1642))+F$129*EXP(IF(A1642&lt;0,(10-4)*A1642,-4*A1642))+G$129*EXP(IF(A1642&lt;0,(10-5)*A1642,-5*A1642))+H$129*EXP(IF(A1642&lt;0,(10-6)*A1642,-6*A1642))+I$129*EXP(IF(A1642&lt;0,(10-7)*A1642,-7*A1642))+J$129*EXP(IF(A1642&lt;0,(10-8)*A1642,-8*A1642))+K$129*EXP(IF(A1642&lt;0,(10-9)*A1642,-9*A1642))+L$129*EXP(IF(A1642&lt;0,(10-10)*A1642,-10*A1642)),0)</x:f>
        <x:v>781747.2765581079</x:v>
      </x:c>
      <x:c r="C1642" s="256" t="n">
        <x:f>IF(B1642=0,IF(B1641=0,0,1),IF(B1641=0,0,IF(SIGN(B1642)&lt;&gt;SIGN(B1641),1,0)))</x:f>
        <x:v>0</x:v>
      </x:c>
      <x:c r="D1642" s="256" t="n">
        <x:f>EXP(A1642-0.005)-1</x:f>
        <x:v>-0.9999915808358144</x:v>
      </x:c>
    </x:row>
    <x:row r="1643" ht="20" customHeight="1">
      <x:c r="A1643" s="256" t="n">
        <x:f>-12+33*0.01</x:f>
        <x:v>-11.67</x:v>
      </x:c>
      <x:c r="B1643" s="256" t="n">
        <x:f>IF(COUNT($B$129:$L$129)=11,B$129*EXP(IF(A1643&lt;0,(10-0)*A1643,-0*A1643))+C$129*EXP(IF(A1643&lt;0,(10-1)*A1643,-1*A1643))+D$129*EXP(IF(A1643&lt;0,(10-2)*A1643,-2*A1643))+E$129*EXP(IF(A1643&lt;0,(10-3)*A1643,-3*A1643))+F$129*EXP(IF(A1643&lt;0,(10-4)*A1643,-4*A1643))+G$129*EXP(IF(A1643&lt;0,(10-5)*A1643,-5*A1643))+H$129*EXP(IF(A1643&lt;0,(10-6)*A1643,-6*A1643))+I$129*EXP(IF(A1643&lt;0,(10-7)*A1643,-7*A1643))+J$129*EXP(IF(A1643&lt;0,(10-8)*A1643,-8*A1643))+K$129*EXP(IF(A1643&lt;0,(10-9)*A1643,-9*A1643))+L$129*EXP(IF(A1643&lt;0,(10-10)*A1643,-10*A1643)),0)</x:f>
        <x:v>781747.2776289113</x:v>
      </x:c>
      <x:c r="C1643" s="256" t="n">
        <x:f>IF(B1643=0,IF(B1642=0,0,1),IF(B1642=0,0,IF(SIGN(B1643)&lt;&gt;SIGN(B1642),1,0)))</x:f>
        <x:v>0</x:v>
      </x:c>
      <x:c r="D1643" s="256" t="n">
        <x:f>EXP(A1643-0.005)-1</x:f>
        <x:v>-0.9999914962218076</x:v>
      </x:c>
    </x:row>
    <x:row r="1644" ht="20" customHeight="1">
      <x:c r="A1644" s="256" t="n">
        <x:f>-12+34*0.01</x:f>
        <x:v>-11.66</x:v>
      </x:c>
      <x:c r="B1644" s="256" t="n">
        <x:f>IF(COUNT($B$129:$L$129)=11,B$129*EXP(IF(A1644&lt;0,(10-0)*A1644,-0*A1644))+C$129*EXP(IF(A1644&lt;0,(10-1)*A1644,-1*A1644))+D$129*EXP(IF(A1644&lt;0,(10-2)*A1644,-2*A1644))+E$129*EXP(IF(A1644&lt;0,(10-3)*A1644,-3*A1644))+F$129*EXP(IF(A1644&lt;0,(10-4)*A1644,-4*A1644))+G$129*EXP(IF(A1644&lt;0,(10-5)*A1644,-5*A1644))+H$129*EXP(IF(A1644&lt;0,(10-6)*A1644,-6*A1644))+I$129*EXP(IF(A1644&lt;0,(10-7)*A1644,-7*A1644))+J$129*EXP(IF(A1644&lt;0,(10-8)*A1644,-8*A1644))+K$129*EXP(IF(A1644&lt;0,(10-9)*A1644,-9*A1644))+L$129*EXP(IF(A1644&lt;0,(10-10)*A1644,-10*A1644)),0)</x:f>
        <x:v>781747.2787104767</x:v>
      </x:c>
      <x:c r="C1644" s="256" t="n">
        <x:f>IF(B1644=0,IF(B1643=0,0,1),IF(B1643=0,0,IF(SIGN(B1644)&lt;&gt;SIGN(B1643),1,0)))</x:f>
        <x:v>0</x:v>
      </x:c>
      <x:c r="D1644" s="256" t="n">
        <x:f>EXP(A1644-0.005)-1</x:f>
        <x:v>-0.9999914107574159</x:v>
      </x:c>
    </x:row>
    <x:row r="1645" ht="20" customHeight="1">
      <x:c r="A1645" s="256" t="n">
        <x:f>-12+35*0.01</x:f>
        <x:v>-11.65</x:v>
      </x:c>
      <x:c r="B1645" s="256" t="n">
        <x:f>IF(COUNT($B$129:$L$129)=11,B$129*EXP(IF(A1645&lt;0,(10-0)*A1645,-0*A1645))+C$129*EXP(IF(A1645&lt;0,(10-1)*A1645,-1*A1645))+D$129*EXP(IF(A1645&lt;0,(10-2)*A1645,-2*A1645))+E$129*EXP(IF(A1645&lt;0,(10-3)*A1645,-3*A1645))+F$129*EXP(IF(A1645&lt;0,(10-4)*A1645,-4*A1645))+G$129*EXP(IF(A1645&lt;0,(10-5)*A1645,-5*A1645))+H$129*EXP(IF(A1645&lt;0,(10-6)*A1645,-6*A1645))+I$129*EXP(IF(A1645&lt;0,(10-7)*A1645,-7*A1645))+J$129*EXP(IF(A1645&lt;0,(10-8)*A1645,-8*A1645))+K$129*EXP(IF(A1645&lt;0,(10-9)*A1645,-9*A1645))+L$129*EXP(IF(A1645&lt;0,(10-10)*A1645,-10*A1645)),0)</x:f>
        <x:v>781747.279802912</x:v>
      </x:c>
      <x:c r="C1645" s="256" t="n">
        <x:f>IF(B1645=0,IF(B1644=0,0,1),IF(B1644=0,0,IF(SIGN(B1645)&lt;&gt;SIGN(B1644),1,0)))</x:f>
        <x:v>0</x:v>
      </x:c>
      <x:c r="D1645" s="256" t="n">
        <x:f>EXP(A1645-0.005)-1</x:f>
        <x:v>-0.9999913244340928</x:v>
      </x:c>
    </x:row>
    <x:row r="1646" ht="20" customHeight="1">
      <x:c r="A1646" s="256" t="n">
        <x:f>-12+36*0.01</x:f>
        <x:v>-11.64</x:v>
      </x:c>
      <x:c r="B1646" s="256" t="n">
        <x:f>IF(COUNT($B$129:$L$129)=11,B$129*EXP(IF(A1646&lt;0,(10-0)*A1646,-0*A1646))+C$129*EXP(IF(A1646&lt;0,(10-1)*A1646,-1*A1646))+D$129*EXP(IF(A1646&lt;0,(10-2)*A1646,-2*A1646))+E$129*EXP(IF(A1646&lt;0,(10-3)*A1646,-3*A1646))+F$129*EXP(IF(A1646&lt;0,(10-4)*A1646,-4*A1646))+G$129*EXP(IF(A1646&lt;0,(10-5)*A1646,-5*A1646))+H$129*EXP(IF(A1646&lt;0,(10-6)*A1646,-6*A1646))+I$129*EXP(IF(A1646&lt;0,(10-7)*A1646,-7*A1646))+J$129*EXP(IF(A1646&lt;0,(10-8)*A1646,-8*A1646))+K$129*EXP(IF(A1646&lt;0,(10-9)*A1646,-9*A1646))+L$129*EXP(IF(A1646&lt;0,(10-10)*A1646,-10*A1646)),0)</x:f>
        <x:v>781747.2809063267</x:v>
      </x:c>
      <x:c r="C1646" s="256" t="n">
        <x:f>IF(B1646=0,IF(B1645=0,0,1),IF(B1645=0,0,IF(SIGN(B1646)&lt;&gt;SIGN(B1645),1,0)))</x:f>
        <x:v>0</x:v>
      </x:c>
      <x:c r="D1646" s="256" t="n">
        <x:f>EXP(A1646-0.005)-1</x:f>
        <x:v>-0.9999912372432059</x:v>
      </x:c>
    </x:row>
    <x:row r="1647" ht="20" customHeight="1">
      <x:c r="A1647" s="256" t="n">
        <x:f>-12+37*0.01</x:f>
        <x:v>-11.63</x:v>
      </x:c>
      <x:c r="B1647" s="256" t="n">
        <x:f>IF(COUNT($B$129:$L$129)=11,B$129*EXP(IF(A1647&lt;0,(10-0)*A1647,-0*A1647))+C$129*EXP(IF(A1647&lt;0,(10-1)*A1647,-1*A1647))+D$129*EXP(IF(A1647&lt;0,(10-2)*A1647,-2*A1647))+E$129*EXP(IF(A1647&lt;0,(10-3)*A1647,-3*A1647))+F$129*EXP(IF(A1647&lt;0,(10-4)*A1647,-4*A1647))+G$129*EXP(IF(A1647&lt;0,(10-5)*A1647,-5*A1647))+H$129*EXP(IF(A1647&lt;0,(10-6)*A1647,-6*A1647))+I$129*EXP(IF(A1647&lt;0,(10-7)*A1647,-7*A1647))+J$129*EXP(IF(A1647&lt;0,(10-8)*A1647,-8*A1647))+K$129*EXP(IF(A1647&lt;0,(10-9)*A1647,-9*A1647))+L$129*EXP(IF(A1647&lt;0,(10-10)*A1647,-10*A1647)),0)</x:f>
        <x:v>781747.2820208311</x:v>
      </x:c>
      <x:c r="C1647" s="256" t="n">
        <x:f>IF(B1647=0,IF(B1646=0,0,1),IF(B1646=0,0,IF(SIGN(B1647)&lt;&gt;SIGN(B1646),1,0)))</x:f>
        <x:v>0</x:v>
      </x:c>
      <x:c r="D1647" s="256" t="n">
        <x:f>EXP(A1647-0.005)-1</x:f>
        <x:v>-0.999991149176036</x:v>
      </x:c>
    </x:row>
    <x:row r="1648" ht="20" customHeight="1">
      <x:c r="A1648" s="256" t="n">
        <x:f>-12+38*0.01</x:f>
        <x:v>-11.62</x:v>
      </x:c>
      <x:c r="B1648" s="256" t="n">
        <x:f>IF(COUNT($B$129:$L$129)=11,B$129*EXP(IF(A1648&lt;0,(10-0)*A1648,-0*A1648))+C$129*EXP(IF(A1648&lt;0,(10-1)*A1648,-1*A1648))+D$129*EXP(IF(A1648&lt;0,(10-2)*A1648,-2*A1648))+E$129*EXP(IF(A1648&lt;0,(10-3)*A1648,-3*A1648))+F$129*EXP(IF(A1648&lt;0,(10-4)*A1648,-4*A1648))+G$129*EXP(IF(A1648&lt;0,(10-5)*A1648,-5*A1648))+H$129*EXP(IF(A1648&lt;0,(10-6)*A1648,-6*A1648))+I$129*EXP(IF(A1648&lt;0,(10-7)*A1648,-7*A1648))+J$129*EXP(IF(A1648&lt;0,(10-8)*A1648,-8*A1648))+K$129*EXP(IF(A1648&lt;0,(10-9)*A1648,-9*A1648))+L$129*EXP(IF(A1648&lt;0,(10-10)*A1648,-10*A1648)),0)</x:f>
        <x:v>781747.2831465366</x:v>
      </x:c>
      <x:c r="C1648" s="256" t="n">
        <x:f>IF(B1648=0,IF(B1647=0,0,1),IF(B1647=0,0,IF(SIGN(B1648)&lt;&gt;SIGN(B1647),1,0)))</x:f>
        <x:v>0</x:v>
      </x:c>
      <x:c r="D1648" s="256" t="n">
        <x:f>EXP(A1648-0.005)-1</x:f>
        <x:v>-0.9999910602237763</x:v>
      </x:c>
    </x:row>
    <x:row r="1649" ht="20" customHeight="1">
      <x:c r="A1649" s="256" t="n">
        <x:f>-12+39*0.01</x:f>
        <x:v>-11.61</x:v>
      </x:c>
      <x:c r="B1649" s="256" t="n">
        <x:f>IF(COUNT($B$129:$L$129)=11,B$129*EXP(IF(A1649&lt;0,(10-0)*A1649,-0*A1649))+C$129*EXP(IF(A1649&lt;0,(10-1)*A1649,-1*A1649))+D$129*EXP(IF(A1649&lt;0,(10-2)*A1649,-2*A1649))+E$129*EXP(IF(A1649&lt;0,(10-3)*A1649,-3*A1649))+F$129*EXP(IF(A1649&lt;0,(10-4)*A1649,-4*A1649))+G$129*EXP(IF(A1649&lt;0,(10-5)*A1649,-5*A1649))+H$129*EXP(IF(A1649&lt;0,(10-6)*A1649,-6*A1649))+I$129*EXP(IF(A1649&lt;0,(10-7)*A1649,-7*A1649))+J$129*EXP(IF(A1649&lt;0,(10-8)*A1649,-8*A1649))+K$129*EXP(IF(A1649&lt;0,(10-9)*A1649,-9*A1649))+L$129*EXP(IF(A1649&lt;0,(10-10)*A1649,-10*A1649)),0)</x:f>
        <x:v>781747.2842835557</x:v>
      </x:c>
      <x:c r="C1649" s="256" t="n">
        <x:f>IF(B1649=0,IF(B1648=0,0,1),IF(B1648=0,0,IF(SIGN(B1649)&lt;&gt;SIGN(B1648),1,0)))</x:f>
        <x:v>0</x:v>
      </x:c>
      <x:c r="D1649" s="256" t="n">
        <x:f>EXP(A1649-0.005)-1</x:f>
        <x:v>-0.9999909703775316</x:v>
      </x:c>
    </x:row>
    <x:row r="1650" ht="20" customHeight="1">
      <x:c r="A1650" s="256" t="n">
        <x:f>-12+40*0.01</x:f>
        <x:v>-11.6</x:v>
      </x:c>
      <x:c r="B1650" s="256" t="n">
        <x:f>IF(COUNT($B$129:$L$129)=11,B$129*EXP(IF(A1650&lt;0,(10-0)*A1650,-0*A1650))+C$129*EXP(IF(A1650&lt;0,(10-1)*A1650,-1*A1650))+D$129*EXP(IF(A1650&lt;0,(10-2)*A1650,-2*A1650))+E$129*EXP(IF(A1650&lt;0,(10-3)*A1650,-3*A1650))+F$129*EXP(IF(A1650&lt;0,(10-4)*A1650,-4*A1650))+G$129*EXP(IF(A1650&lt;0,(10-5)*A1650,-5*A1650))+H$129*EXP(IF(A1650&lt;0,(10-6)*A1650,-6*A1650))+I$129*EXP(IF(A1650&lt;0,(10-7)*A1650,-7*A1650))+J$129*EXP(IF(A1650&lt;0,(10-8)*A1650,-8*A1650))+K$129*EXP(IF(A1650&lt;0,(10-9)*A1650,-9*A1650))+L$129*EXP(IF(A1650&lt;0,(10-10)*A1650,-10*A1650)),0)</x:f>
        <x:v>781747.2854320023</x:v>
      </x:c>
      <x:c r="C1650" s="256" t="n">
        <x:f>IF(B1650=0,IF(B1649=0,0,1),IF(B1649=0,0,IF(SIGN(B1650)&lt;&gt;SIGN(B1649),1,0)))</x:f>
        <x:v>0</x:v>
      </x:c>
      <x:c r="D1650" s="256" t="n">
        <x:f>EXP(A1650-0.005)-1</x:f>
        <x:v>-0.999990879628317</x:v>
      </x:c>
    </x:row>
    <x:row r="1651" ht="20" customHeight="1">
      <x:c r="A1651" s="256" t="n">
        <x:f>-12+41*0.01</x:f>
        <x:v>-11.59</x:v>
      </x:c>
      <x:c r="B1651" s="256" t="n">
        <x:f>IF(COUNT($B$129:$L$129)=11,B$129*EXP(IF(A1651&lt;0,(10-0)*A1651,-0*A1651))+C$129*EXP(IF(A1651&lt;0,(10-1)*A1651,-1*A1651))+D$129*EXP(IF(A1651&lt;0,(10-2)*A1651,-2*A1651))+E$129*EXP(IF(A1651&lt;0,(10-3)*A1651,-3*A1651))+F$129*EXP(IF(A1651&lt;0,(10-4)*A1651,-4*A1651))+G$129*EXP(IF(A1651&lt;0,(10-5)*A1651,-5*A1651))+H$129*EXP(IF(A1651&lt;0,(10-6)*A1651,-6*A1651))+I$129*EXP(IF(A1651&lt;0,(10-7)*A1651,-7*A1651))+J$129*EXP(IF(A1651&lt;0,(10-8)*A1651,-8*A1651))+K$129*EXP(IF(A1651&lt;0,(10-9)*A1651,-9*A1651))+L$129*EXP(IF(A1651&lt;0,(10-10)*A1651,-10*A1651)),0)</x:f>
        <x:v>781747.286591991</x:v>
      </x:c>
      <x:c r="C1651" s="256" t="n">
        <x:f>IF(B1651=0,IF(B1650=0,0,1),IF(B1650=0,0,IF(SIGN(B1651)&lt;&gt;SIGN(B1650),1,0)))</x:f>
        <x:v>0</x:v>
      </x:c>
      <x:c r="D1651" s="256" t="n">
        <x:f>EXP(A1651-0.005)-1</x:f>
        <x:v>-0.9999907879670578</x:v>
      </x:c>
    </x:row>
    <x:row r="1652" ht="20" customHeight="1">
      <x:c r="A1652" s="256" t="n">
        <x:f>-12+42*0.01</x:f>
        <x:v>-11.58</x:v>
      </x:c>
      <x:c r="B1652" s="256" t="n">
        <x:f>IF(COUNT($B$129:$L$129)=11,B$129*EXP(IF(A1652&lt;0,(10-0)*A1652,-0*A1652))+C$129*EXP(IF(A1652&lt;0,(10-1)*A1652,-1*A1652))+D$129*EXP(IF(A1652&lt;0,(10-2)*A1652,-2*A1652))+E$129*EXP(IF(A1652&lt;0,(10-3)*A1652,-3*A1652))+F$129*EXP(IF(A1652&lt;0,(10-4)*A1652,-4*A1652))+G$129*EXP(IF(A1652&lt;0,(10-5)*A1652,-5*A1652))+H$129*EXP(IF(A1652&lt;0,(10-6)*A1652,-6*A1652))+I$129*EXP(IF(A1652&lt;0,(10-7)*A1652,-7*A1652))+J$129*EXP(IF(A1652&lt;0,(10-8)*A1652,-8*A1652))+K$129*EXP(IF(A1652&lt;0,(10-9)*A1652,-9*A1652))+L$129*EXP(IF(A1652&lt;0,(10-10)*A1652,-10*A1652)),0)</x:f>
        <x:v>781747.2877636381</x:v>
      </x:c>
      <x:c r="C1652" s="256" t="n">
        <x:f>IF(B1652=0,IF(B1651=0,0,1),IF(B1651=0,0,IF(SIGN(B1652)&lt;&gt;SIGN(B1651),1,0)))</x:f>
        <x:v>0</x:v>
      </x:c>
      <x:c r="D1652" s="256" t="n">
        <x:f>EXP(A1652-0.005)-1</x:f>
        <x:v>-0.9999906953845875</x:v>
      </x:c>
    </x:row>
    <x:row r="1653" ht="20" customHeight="1">
      <x:c r="A1653" s="256" t="n">
        <x:f>-12+43*0.01</x:f>
        <x:v>-11.57</x:v>
      </x:c>
      <x:c r="B1653" s="256" t="n">
        <x:f>IF(COUNT($B$129:$L$129)=11,B$129*EXP(IF(A1653&lt;0,(10-0)*A1653,-0*A1653))+C$129*EXP(IF(A1653&lt;0,(10-1)*A1653,-1*A1653))+D$129*EXP(IF(A1653&lt;0,(10-2)*A1653,-2*A1653))+E$129*EXP(IF(A1653&lt;0,(10-3)*A1653,-3*A1653))+F$129*EXP(IF(A1653&lt;0,(10-4)*A1653,-4*A1653))+G$129*EXP(IF(A1653&lt;0,(10-5)*A1653,-5*A1653))+H$129*EXP(IF(A1653&lt;0,(10-6)*A1653,-6*A1653))+I$129*EXP(IF(A1653&lt;0,(10-7)*A1653,-7*A1653))+J$129*EXP(IF(A1653&lt;0,(10-8)*A1653,-8*A1653))+K$129*EXP(IF(A1653&lt;0,(10-9)*A1653,-9*A1653))+L$129*EXP(IF(A1653&lt;0,(10-10)*A1653,-10*A1653)),0)</x:f>
        <x:v>781747.2889470605</x:v>
      </x:c>
      <x:c r="C1653" s="256" t="n">
        <x:f>IF(B1653=0,IF(B1652=0,0,1),IF(B1652=0,0,IF(SIGN(B1653)&lt;&gt;SIGN(B1652),1,0)))</x:f>
        <x:v>0</x:v>
      </x:c>
      <x:c r="D1653" s="256" t="n">
        <x:f>EXP(A1653-0.005)-1</x:f>
        <x:v>-0.999990601871648</x:v>
      </x:c>
    </x:row>
    <x:row r="1654" ht="20" customHeight="1">
      <x:c r="A1654" s="256" t="n">
        <x:f>-12+44*0.01</x:f>
        <x:v>-11.56</x:v>
      </x:c>
      <x:c r="B1654" s="256" t="n">
        <x:f>IF(COUNT($B$129:$L$129)=11,B$129*EXP(IF(A1654&lt;0,(10-0)*A1654,-0*A1654))+C$129*EXP(IF(A1654&lt;0,(10-1)*A1654,-1*A1654))+D$129*EXP(IF(A1654&lt;0,(10-2)*A1654,-2*A1654))+E$129*EXP(IF(A1654&lt;0,(10-3)*A1654,-3*A1654))+F$129*EXP(IF(A1654&lt;0,(10-4)*A1654,-4*A1654))+G$129*EXP(IF(A1654&lt;0,(10-5)*A1654,-5*A1654))+H$129*EXP(IF(A1654&lt;0,(10-6)*A1654,-6*A1654))+I$129*EXP(IF(A1654&lt;0,(10-7)*A1654,-7*A1654))+J$129*EXP(IF(A1654&lt;0,(10-8)*A1654,-8*A1654))+K$129*EXP(IF(A1654&lt;0,(10-9)*A1654,-9*A1654))+L$129*EXP(IF(A1654&lt;0,(10-10)*A1654,-10*A1654)),0)</x:f>
        <x:v>781747.2901423767</x:v>
      </x:c>
      <x:c r="C1654" s="256" t="n">
        <x:f>IF(B1654=0,IF(B1653=0,0,1),IF(B1653=0,0,IF(SIGN(B1654)&lt;&gt;SIGN(B1653),1,0)))</x:f>
        <x:v>0</x:v>
      </x:c>
      <x:c r="D1654" s="256" t="n">
        <x:f>EXP(A1654-0.005)-1</x:f>
        <x:v>-0.9999905074188877</x:v>
      </x:c>
    </x:row>
    <x:row r="1655" ht="20" customHeight="1">
      <x:c r="A1655" s="256" t="n">
        <x:f>-12+45*0.01</x:f>
        <x:v>-11.55</x:v>
      </x:c>
      <x:c r="B1655" s="256" t="n">
        <x:f>IF(COUNT($B$129:$L$129)=11,B$129*EXP(IF(A1655&lt;0,(10-0)*A1655,-0*A1655))+C$129*EXP(IF(A1655&lt;0,(10-1)*A1655,-1*A1655))+D$129*EXP(IF(A1655&lt;0,(10-2)*A1655,-2*A1655))+E$129*EXP(IF(A1655&lt;0,(10-3)*A1655,-3*A1655))+F$129*EXP(IF(A1655&lt;0,(10-4)*A1655,-4*A1655))+G$129*EXP(IF(A1655&lt;0,(10-5)*A1655,-5*A1655))+H$129*EXP(IF(A1655&lt;0,(10-6)*A1655,-6*A1655))+I$129*EXP(IF(A1655&lt;0,(10-7)*A1655,-7*A1655))+J$129*EXP(IF(A1655&lt;0,(10-8)*A1655,-8*A1655))+K$129*EXP(IF(A1655&lt;0,(10-9)*A1655,-9*A1655))+L$129*EXP(IF(A1655&lt;0,(10-10)*A1655,-10*A1655)),0)</x:f>
        <x:v>781747.2913497061</x:v>
      </x:c>
      <x:c r="C1655" s="256" t="n">
        <x:f>IF(B1655=0,IF(B1654=0,0,1),IF(B1654=0,0,IF(SIGN(B1655)&lt;&gt;SIGN(B1654),1,0)))</x:f>
        <x:v>0</x:v>
      </x:c>
      <x:c r="D1655" s="256" t="n">
        <x:f>EXP(A1655-0.005)-1</x:f>
        <x:v>-0.9999904120168616</x:v>
      </x:c>
    </x:row>
    <x:row r="1656" ht="20" customHeight="1">
      <x:c r="A1656" s="256" t="n">
        <x:f>-12+46*0.01</x:f>
        <x:v>-11.54</x:v>
      </x:c>
      <x:c r="B1656" s="256" t="n">
        <x:f>IF(COUNT($B$129:$L$129)=11,B$129*EXP(IF(A1656&lt;0,(10-0)*A1656,-0*A1656))+C$129*EXP(IF(A1656&lt;0,(10-1)*A1656,-1*A1656))+D$129*EXP(IF(A1656&lt;0,(10-2)*A1656,-2*A1656))+E$129*EXP(IF(A1656&lt;0,(10-3)*A1656,-3*A1656))+F$129*EXP(IF(A1656&lt;0,(10-4)*A1656,-4*A1656))+G$129*EXP(IF(A1656&lt;0,(10-5)*A1656,-5*A1656))+H$129*EXP(IF(A1656&lt;0,(10-6)*A1656,-6*A1656))+I$129*EXP(IF(A1656&lt;0,(10-7)*A1656,-7*A1656))+J$129*EXP(IF(A1656&lt;0,(10-8)*A1656,-8*A1656))+K$129*EXP(IF(A1656&lt;0,(10-9)*A1656,-9*A1656))+L$129*EXP(IF(A1656&lt;0,(10-10)*A1656,-10*A1656)),0)</x:f>
        <x:v>781747.2925691697</x:v>
      </x:c>
      <x:c r="C1656" s="256" t="n">
        <x:f>IF(B1656=0,IF(B1655=0,0,1),IF(B1655=0,0,IF(SIGN(B1656)&lt;&gt;SIGN(B1655),1,0)))</x:f>
        <x:v>0</x:v>
      </x:c>
      <x:c r="D1656" s="256" t="n">
        <x:f>EXP(A1656-0.005)-1</x:f>
        <x:v>-0.999990315656029</x:v>
      </x:c>
    </x:row>
    <x:row r="1657" ht="20" customHeight="1">
      <x:c r="A1657" s="256" t="n">
        <x:f>-12+47*0.01</x:f>
        <x:v>-11.53</x:v>
      </x:c>
      <x:c r="B1657" s="256" t="n">
        <x:f>IF(COUNT($B$129:$L$129)=11,B$129*EXP(IF(A1657&lt;0,(10-0)*A1657,-0*A1657))+C$129*EXP(IF(A1657&lt;0,(10-1)*A1657,-1*A1657))+D$129*EXP(IF(A1657&lt;0,(10-2)*A1657,-2*A1657))+E$129*EXP(IF(A1657&lt;0,(10-3)*A1657,-3*A1657))+F$129*EXP(IF(A1657&lt;0,(10-4)*A1657,-4*A1657))+G$129*EXP(IF(A1657&lt;0,(10-5)*A1657,-5*A1657))+H$129*EXP(IF(A1657&lt;0,(10-6)*A1657,-6*A1657))+I$129*EXP(IF(A1657&lt;0,(10-7)*A1657,-7*A1657))+J$129*EXP(IF(A1657&lt;0,(10-8)*A1657,-8*A1657))+K$129*EXP(IF(A1657&lt;0,(10-9)*A1657,-9*A1657))+L$129*EXP(IF(A1657&lt;0,(10-10)*A1657,-10*A1657)),0)</x:f>
        <x:v>781747.2938008893</x:v>
      </x:c>
      <x:c r="C1657" s="256" t="n">
        <x:f>IF(B1657=0,IF(B1656=0,0,1),IF(B1656=0,0,IF(SIGN(B1657)&lt;&gt;SIGN(B1656),1,0)))</x:f>
        <x:v>0</x:v>
      </x:c>
      <x:c r="D1657" s="256" t="n">
        <x:f>EXP(A1657-0.005)-1</x:f>
        <x:v>-0.9999902183267539</x:v>
      </x:c>
    </x:row>
    <x:row r="1658" ht="20" customHeight="1">
      <x:c r="A1658" s="256" t="n">
        <x:f>-12+48*0.01</x:f>
        <x:v>-11.52</x:v>
      </x:c>
      <x:c r="B1658" s="256" t="n">
        <x:f>IF(COUNT($B$129:$L$129)=11,B$129*EXP(IF(A1658&lt;0,(10-0)*A1658,-0*A1658))+C$129*EXP(IF(A1658&lt;0,(10-1)*A1658,-1*A1658))+D$129*EXP(IF(A1658&lt;0,(10-2)*A1658,-2*A1658))+E$129*EXP(IF(A1658&lt;0,(10-3)*A1658,-3*A1658))+F$129*EXP(IF(A1658&lt;0,(10-4)*A1658,-4*A1658))+G$129*EXP(IF(A1658&lt;0,(10-5)*A1658,-5*A1658))+H$129*EXP(IF(A1658&lt;0,(10-6)*A1658,-6*A1658))+I$129*EXP(IF(A1658&lt;0,(10-7)*A1658,-7*A1658))+J$129*EXP(IF(A1658&lt;0,(10-8)*A1658,-8*A1658))+K$129*EXP(IF(A1658&lt;0,(10-9)*A1658,-9*A1658))+L$129*EXP(IF(A1658&lt;0,(10-10)*A1658,-10*A1658)),0)</x:f>
        <x:v>781747.2950449879</x:v>
      </x:c>
      <x:c r="C1658" s="256" t="n">
        <x:f>IF(B1658=0,IF(B1657=0,0,1),IF(B1657=0,0,IF(SIGN(B1658)&lt;&gt;SIGN(B1657),1,0)))</x:f>
        <x:v>0</x:v>
      </x:c>
      <x:c r="D1658" s="256" t="n">
        <x:f>EXP(A1658-0.005)-1</x:f>
        <x:v>-0.9999901200193034</x:v>
      </x:c>
    </x:row>
    <x:row r="1659" ht="20" customHeight="1">
      <x:c r="A1659" s="256" t="n">
        <x:f>-12+49*0.01</x:f>
        <x:v>-11.51</x:v>
      </x:c>
      <x:c r="B1659" s="256" t="n">
        <x:f>IF(COUNT($B$129:$L$129)=11,B$129*EXP(IF(A1659&lt;0,(10-0)*A1659,-0*A1659))+C$129*EXP(IF(A1659&lt;0,(10-1)*A1659,-1*A1659))+D$129*EXP(IF(A1659&lt;0,(10-2)*A1659,-2*A1659))+E$129*EXP(IF(A1659&lt;0,(10-3)*A1659,-3*A1659))+F$129*EXP(IF(A1659&lt;0,(10-4)*A1659,-4*A1659))+G$129*EXP(IF(A1659&lt;0,(10-5)*A1659,-5*A1659))+H$129*EXP(IF(A1659&lt;0,(10-6)*A1659,-6*A1659))+I$129*EXP(IF(A1659&lt;0,(10-7)*A1659,-7*A1659))+J$129*EXP(IF(A1659&lt;0,(10-8)*A1659,-8*A1659))+K$129*EXP(IF(A1659&lt;0,(10-9)*A1659,-9*A1659))+L$129*EXP(IF(A1659&lt;0,(10-10)*A1659,-10*A1659)),0)</x:f>
        <x:v>781747.2963015903</x:v>
      </x:c>
      <x:c r="C1659" s="256" t="n">
        <x:f>IF(B1659=0,IF(B1658=0,0,1),IF(B1658=0,0,IF(SIGN(B1659)&lt;&gt;SIGN(B1658),1,0)))</x:f>
        <x:v>0</x:v>
      </x:c>
      <x:c r="D1659" s="256" t="n">
        <x:f>EXP(A1659-0.005)-1</x:f>
        <x:v>-0.9999900207238467</x:v>
      </x:c>
    </x:row>
    <x:row r="1660" ht="20" customHeight="1">
      <x:c r="A1660" s="256" t="n">
        <x:f>-12+50*0.01</x:f>
        <x:v>-11.5</x:v>
      </x:c>
      <x:c r="B1660" s="256" t="n">
        <x:f>IF(COUNT($B$129:$L$129)=11,B$129*EXP(IF(A1660&lt;0,(10-0)*A1660,-0*A1660))+C$129*EXP(IF(A1660&lt;0,(10-1)*A1660,-1*A1660))+D$129*EXP(IF(A1660&lt;0,(10-2)*A1660,-2*A1660))+E$129*EXP(IF(A1660&lt;0,(10-3)*A1660,-3*A1660))+F$129*EXP(IF(A1660&lt;0,(10-4)*A1660,-4*A1660))+G$129*EXP(IF(A1660&lt;0,(10-5)*A1660,-5*A1660))+H$129*EXP(IF(A1660&lt;0,(10-6)*A1660,-6*A1660))+I$129*EXP(IF(A1660&lt;0,(10-7)*A1660,-7*A1660))+J$129*EXP(IF(A1660&lt;0,(10-8)*A1660,-8*A1660))+K$129*EXP(IF(A1660&lt;0,(10-9)*A1660,-9*A1660))+L$129*EXP(IF(A1660&lt;0,(10-10)*A1660,-10*A1660)),0)</x:f>
        <x:v>781747.2975708218</x:v>
      </x:c>
      <x:c r="C1660" s="256" t="n">
        <x:f>IF(B1660=0,IF(B1659=0,0,1),IF(B1659=0,0,IF(SIGN(B1660)&lt;&gt;SIGN(B1659),1,0)))</x:f>
        <x:v>0</x:v>
      </x:c>
      <x:c r="D1660" s="256" t="n">
        <x:f>EXP(A1660-0.005)-1</x:f>
        <x:v>-0.999989920430454</x:v>
      </x:c>
    </x:row>
    <x:row r="1661" ht="20" customHeight="1">
      <x:c r="A1661" s="256" t="n">
        <x:f>-12+51*0.01</x:f>
        <x:v>-11.49</x:v>
      </x:c>
      <x:c r="B1661" s="256" t="n">
        <x:f>IF(COUNT($B$129:$L$129)=11,B$129*EXP(IF(A1661&lt;0,(10-0)*A1661,-0*A1661))+C$129*EXP(IF(A1661&lt;0,(10-1)*A1661,-1*A1661))+D$129*EXP(IF(A1661&lt;0,(10-2)*A1661,-2*A1661))+E$129*EXP(IF(A1661&lt;0,(10-3)*A1661,-3*A1661))+F$129*EXP(IF(A1661&lt;0,(10-4)*A1661,-4*A1661))+G$129*EXP(IF(A1661&lt;0,(10-5)*A1661,-5*A1661))+H$129*EXP(IF(A1661&lt;0,(10-6)*A1661,-6*A1661))+I$129*EXP(IF(A1661&lt;0,(10-7)*A1661,-7*A1661))+J$129*EXP(IF(A1661&lt;0,(10-8)*A1661,-8*A1661))+K$129*EXP(IF(A1661&lt;0,(10-9)*A1661,-9*A1661))+L$129*EXP(IF(A1661&lt;0,(10-10)*A1661,-10*A1661)),0)</x:f>
        <x:v>781747.2988528096</x:v>
      </x:c>
      <x:c r="C1661" s="256" t="n">
        <x:f>IF(B1661=0,IF(B1660=0,0,1),IF(B1660=0,0,IF(SIGN(B1661)&lt;&gt;SIGN(B1660),1,0)))</x:f>
        <x:v>0</x:v>
      </x:c>
      <x:c r="D1661" s="256" t="n">
        <x:f>EXP(A1661-0.005)-1</x:f>
        <x:v>-0.9999898191290959</x:v>
      </x:c>
    </x:row>
    <x:row r="1662" ht="20" customHeight="1">
      <x:c r="A1662" s="256" t="n">
        <x:f>-12+52*0.01</x:f>
        <x:v>-11.48</x:v>
      </x:c>
      <x:c r="B1662" s="256" t="n">
        <x:f>IF(COUNT($B$129:$L$129)=11,B$129*EXP(IF(A1662&lt;0,(10-0)*A1662,-0*A1662))+C$129*EXP(IF(A1662&lt;0,(10-1)*A1662,-1*A1662))+D$129*EXP(IF(A1662&lt;0,(10-2)*A1662,-2*A1662))+E$129*EXP(IF(A1662&lt;0,(10-3)*A1662,-3*A1662))+F$129*EXP(IF(A1662&lt;0,(10-4)*A1662,-4*A1662))+G$129*EXP(IF(A1662&lt;0,(10-5)*A1662,-5*A1662))+H$129*EXP(IF(A1662&lt;0,(10-6)*A1662,-6*A1662))+I$129*EXP(IF(A1662&lt;0,(10-7)*A1662,-7*A1662))+J$129*EXP(IF(A1662&lt;0,(10-8)*A1662,-8*A1662))+K$129*EXP(IF(A1662&lt;0,(10-9)*A1662,-9*A1662))+L$129*EXP(IF(A1662&lt;0,(10-10)*A1662,-10*A1662)),0)</x:f>
        <x:v>781747.3001476817</x:v>
      </x:c>
      <x:c r="C1662" s="256" t="n">
        <x:f>IF(B1662=0,IF(B1661=0,0,1),IF(B1661=0,0,IF(SIGN(B1662)&lt;&gt;SIGN(B1661),1,0)))</x:f>
        <x:v>0</x:v>
      </x:c>
      <x:c r="D1662" s="256" t="n">
        <x:f>EXP(A1662-0.005)-1</x:f>
        <x:v>-0.9999897168096422</x:v>
      </x:c>
    </x:row>
    <x:row r="1663" ht="20" customHeight="1">
      <x:c r="A1663" s="256" t="n">
        <x:f>-12+53*0.01</x:f>
        <x:v>-11.47</x:v>
      </x:c>
      <x:c r="B1663" s="256" t="n">
        <x:f>IF(COUNT($B$129:$L$129)=11,B$129*EXP(IF(A1663&lt;0,(10-0)*A1663,-0*A1663))+C$129*EXP(IF(A1663&lt;0,(10-1)*A1663,-1*A1663))+D$129*EXP(IF(A1663&lt;0,(10-2)*A1663,-2*A1663))+E$129*EXP(IF(A1663&lt;0,(10-3)*A1663,-3*A1663))+F$129*EXP(IF(A1663&lt;0,(10-4)*A1663,-4*A1663))+G$129*EXP(IF(A1663&lt;0,(10-5)*A1663,-5*A1663))+H$129*EXP(IF(A1663&lt;0,(10-6)*A1663,-6*A1663))+I$129*EXP(IF(A1663&lt;0,(10-7)*A1663,-7*A1663))+J$129*EXP(IF(A1663&lt;0,(10-8)*A1663,-8*A1663))+K$129*EXP(IF(A1663&lt;0,(10-9)*A1663,-9*A1663))+L$129*EXP(IF(A1663&lt;0,(10-10)*A1663,-10*A1663)),0)</x:f>
        <x:v>781747.3014555677</x:v>
      </x:c>
      <x:c r="C1663" s="256" t="n">
        <x:f>IF(B1663=0,IF(B1662=0,0,1),IF(B1662=0,0,IF(SIGN(B1663)&lt;&gt;SIGN(B1662),1,0)))</x:f>
        <x:v>0</x:v>
      </x:c>
      <x:c r="D1663" s="256" t="n">
        <x:f>EXP(A1663-0.005)-1</x:f>
        <x:v>-0.999989613461861</x:v>
      </x:c>
    </x:row>
    <x:row r="1664" ht="20" customHeight="1">
      <x:c r="A1664" s="256" t="n">
        <x:f>-12+54*0.01</x:f>
        <x:v>-11.46</x:v>
      </x:c>
      <x:c r="B1664" s="256" t="n">
        <x:f>IF(COUNT($B$129:$L$129)=11,B$129*EXP(IF(A1664&lt;0,(10-0)*A1664,-0*A1664))+C$129*EXP(IF(A1664&lt;0,(10-1)*A1664,-1*A1664))+D$129*EXP(IF(A1664&lt;0,(10-2)*A1664,-2*A1664))+E$129*EXP(IF(A1664&lt;0,(10-3)*A1664,-3*A1664))+F$129*EXP(IF(A1664&lt;0,(10-4)*A1664,-4*A1664))+G$129*EXP(IF(A1664&lt;0,(10-5)*A1664,-5*A1664))+H$129*EXP(IF(A1664&lt;0,(10-6)*A1664,-6*A1664))+I$129*EXP(IF(A1664&lt;0,(10-7)*A1664,-7*A1664))+J$129*EXP(IF(A1664&lt;0,(10-8)*A1664,-8*A1664))+K$129*EXP(IF(A1664&lt;0,(10-9)*A1664,-9*A1664))+L$129*EXP(IF(A1664&lt;0,(10-10)*A1664,-10*A1664)),0)</x:f>
        <x:v>781747.3027765985</x:v>
      </x:c>
      <x:c r="C1664" s="256" t="n">
        <x:f>IF(B1664=0,IF(B1663=0,0,1),IF(B1663=0,0,IF(SIGN(B1664)&lt;&gt;SIGN(B1663),1,0)))</x:f>
        <x:v>0</x:v>
      </x:c>
      <x:c r="D1664" s="256" t="n">
        <x:f>EXP(A1664-0.005)-1</x:f>
        <x:v>-0.9999895090754173</x:v>
      </x:c>
    </x:row>
    <x:row r="1665" ht="20" customHeight="1">
      <x:c r="A1665" s="256" t="n">
        <x:f>-12+55*0.01</x:f>
        <x:v>-11.45</x:v>
      </x:c>
      <x:c r="B1665" s="256" t="n">
        <x:f>IF(COUNT($B$129:$L$129)=11,B$129*EXP(IF(A1665&lt;0,(10-0)*A1665,-0*A1665))+C$129*EXP(IF(A1665&lt;0,(10-1)*A1665,-1*A1665))+D$129*EXP(IF(A1665&lt;0,(10-2)*A1665,-2*A1665))+E$129*EXP(IF(A1665&lt;0,(10-3)*A1665,-3*A1665))+F$129*EXP(IF(A1665&lt;0,(10-4)*A1665,-4*A1665))+G$129*EXP(IF(A1665&lt;0,(10-5)*A1665,-5*A1665))+H$129*EXP(IF(A1665&lt;0,(10-6)*A1665,-6*A1665))+I$129*EXP(IF(A1665&lt;0,(10-7)*A1665,-7*A1665))+J$129*EXP(IF(A1665&lt;0,(10-8)*A1665,-8*A1665))+K$129*EXP(IF(A1665&lt;0,(10-9)*A1665,-9*A1665))+L$129*EXP(IF(A1665&lt;0,(10-10)*A1665,-10*A1665)),0)</x:f>
        <x:v>781747.304110906</x:v>
      </x:c>
      <x:c r="C1665" s="256" t="n">
        <x:f>IF(B1665=0,IF(B1664=0,0,1),IF(B1664=0,0,IF(SIGN(B1665)&lt;&gt;SIGN(B1664),1,0)))</x:f>
        <x:v>0</x:v>
      </x:c>
      <x:c r="D1665" s="256" t="n">
        <x:f>EXP(A1665-0.005)-1</x:f>
        <x:v>-0.9999894036398723</x:v>
      </x:c>
    </x:row>
    <x:row r="1666" ht="20" customHeight="1">
      <x:c r="A1666" s="256" t="n">
        <x:f>-12+56*0.01</x:f>
        <x:v>-11.44</x:v>
      </x:c>
      <x:c r="B1666" s="256" t="n">
        <x:f>IF(COUNT($B$129:$L$129)=11,B$129*EXP(IF(A1666&lt;0,(10-0)*A1666,-0*A1666))+C$129*EXP(IF(A1666&lt;0,(10-1)*A1666,-1*A1666))+D$129*EXP(IF(A1666&lt;0,(10-2)*A1666,-2*A1666))+E$129*EXP(IF(A1666&lt;0,(10-3)*A1666,-3*A1666))+F$129*EXP(IF(A1666&lt;0,(10-4)*A1666,-4*A1666))+G$129*EXP(IF(A1666&lt;0,(10-5)*A1666,-5*A1666))+H$129*EXP(IF(A1666&lt;0,(10-6)*A1666,-6*A1666))+I$129*EXP(IF(A1666&lt;0,(10-7)*A1666,-7*A1666))+J$129*EXP(IF(A1666&lt;0,(10-8)*A1666,-8*A1666))+K$129*EXP(IF(A1666&lt;0,(10-9)*A1666,-9*A1666))+L$129*EXP(IF(A1666&lt;0,(10-10)*A1666,-10*A1666)),0)</x:f>
        <x:v>781747.3054586237</x:v>
      </x:c>
      <x:c r="C1666" s="256" t="n">
        <x:f>IF(B1666=0,IF(B1665=0,0,1),IF(B1665=0,0,IF(SIGN(B1666)&lt;&gt;SIGN(B1665),1,0)))</x:f>
        <x:v>0</x:v>
      </x:c>
      <x:c r="D1666" s="256" t="n">
        <x:f>EXP(A1666-0.005)-1</x:f>
        <x:v>-0.9999892971446825</x:v>
      </x:c>
    </x:row>
    <x:row r="1667" ht="20" customHeight="1">
      <x:c r="A1667" s="256" t="n">
        <x:f>-12+57*0.01</x:f>
        <x:v>-11.43</x:v>
      </x:c>
      <x:c r="B1667" s="256" t="n">
        <x:f>IF(COUNT($B$129:$L$129)=11,B$129*EXP(IF(A1667&lt;0,(10-0)*A1667,-0*A1667))+C$129*EXP(IF(A1667&lt;0,(10-1)*A1667,-1*A1667))+D$129*EXP(IF(A1667&lt;0,(10-2)*A1667,-2*A1667))+E$129*EXP(IF(A1667&lt;0,(10-3)*A1667,-3*A1667))+F$129*EXP(IF(A1667&lt;0,(10-4)*A1667,-4*A1667))+G$129*EXP(IF(A1667&lt;0,(10-5)*A1667,-5*A1667))+H$129*EXP(IF(A1667&lt;0,(10-6)*A1667,-6*A1667))+I$129*EXP(IF(A1667&lt;0,(10-7)*A1667,-7*A1667))+J$129*EXP(IF(A1667&lt;0,(10-8)*A1667,-8*A1667))+K$129*EXP(IF(A1667&lt;0,(10-9)*A1667,-9*A1667))+L$129*EXP(IF(A1667&lt;0,(10-10)*A1667,-10*A1667)),0)</x:f>
        <x:v>781747.3068198864</x:v>
      </x:c>
      <x:c r="C1667" s="256" t="n">
        <x:f>IF(B1667=0,IF(B1666=0,0,1),IF(B1666=0,0,IF(SIGN(B1667)&lt;&gt;SIGN(B1666),1,0)))</x:f>
        <x:v>0</x:v>
      </x:c>
      <x:c r="D1667" s="256" t="n">
        <x:f>EXP(A1667-0.005)-1</x:f>
        <x:v>-0.9999891895791984</x:v>
      </x:c>
    </x:row>
    <x:row r="1668" ht="20" customHeight="1">
      <x:c r="A1668" s="256" t="n">
        <x:f>-12+58*0.01</x:f>
        <x:v>-11.42</x:v>
      </x:c>
      <x:c r="B1668" s="256" t="n">
        <x:f>IF(COUNT($B$129:$L$129)=11,B$129*EXP(IF(A1668&lt;0,(10-0)*A1668,-0*A1668))+C$129*EXP(IF(A1668&lt;0,(10-1)*A1668,-1*A1668))+D$129*EXP(IF(A1668&lt;0,(10-2)*A1668,-2*A1668))+E$129*EXP(IF(A1668&lt;0,(10-3)*A1668,-3*A1668))+F$129*EXP(IF(A1668&lt;0,(10-4)*A1668,-4*A1668))+G$129*EXP(IF(A1668&lt;0,(10-5)*A1668,-5*A1668))+H$129*EXP(IF(A1668&lt;0,(10-6)*A1668,-6*A1668))+I$129*EXP(IF(A1668&lt;0,(10-7)*A1668,-7*A1668))+J$129*EXP(IF(A1668&lt;0,(10-8)*A1668,-8*A1668))+K$129*EXP(IF(A1668&lt;0,(10-9)*A1668,-9*A1668))+L$129*EXP(IF(A1668&lt;0,(10-10)*A1668,-10*A1668)),0)</x:f>
        <x:v>781747.3081948303</x:v>
      </x:c>
      <x:c r="C1668" s="256" t="n">
        <x:f>IF(B1668=0,IF(B1667=0,0,1),IF(B1667=0,0,IF(SIGN(B1668)&lt;&gt;SIGN(B1667),1,0)))</x:f>
        <x:v>0</x:v>
      </x:c>
      <x:c r="D1668" s="256" t="n">
        <x:f>EXP(A1668-0.005)-1</x:f>
        <x:v>-0.999989080932663</x:v>
      </x:c>
    </x:row>
    <x:row r="1669" ht="20" customHeight="1">
      <x:c r="A1669" s="256" t="n">
        <x:f>-12+59*0.01</x:f>
        <x:v>-11.41</x:v>
      </x:c>
      <x:c r="B1669" s="256" t="n">
        <x:f>IF(COUNT($B$129:$L$129)=11,B$129*EXP(IF(A1669&lt;0,(10-0)*A1669,-0*A1669))+C$129*EXP(IF(A1669&lt;0,(10-1)*A1669,-1*A1669))+D$129*EXP(IF(A1669&lt;0,(10-2)*A1669,-2*A1669))+E$129*EXP(IF(A1669&lt;0,(10-3)*A1669,-3*A1669))+F$129*EXP(IF(A1669&lt;0,(10-4)*A1669,-4*A1669))+G$129*EXP(IF(A1669&lt;0,(10-5)*A1669,-5*A1669))+H$129*EXP(IF(A1669&lt;0,(10-6)*A1669,-6*A1669))+I$129*EXP(IF(A1669&lt;0,(10-7)*A1669,-7*A1669))+J$129*EXP(IF(A1669&lt;0,(10-8)*A1669,-8*A1669))+K$129*EXP(IF(A1669&lt;0,(10-9)*A1669,-9*A1669))+L$129*EXP(IF(A1669&lt;0,(10-10)*A1669,-10*A1669)),0)</x:f>
        <x:v>781747.3095835928</x:v>
      </x:c>
      <x:c r="C1669" s="256" t="n">
        <x:f>IF(B1669=0,IF(B1668=0,0,1),IF(B1668=0,0,IF(SIGN(B1669)&lt;&gt;SIGN(B1668),1,0)))</x:f>
        <x:v>0</x:v>
      </x:c>
      <x:c r="D1669" s="256" t="n">
        <x:f>EXP(A1669-0.005)-1</x:f>
        <x:v>-0.9999889711942119</x:v>
      </x:c>
    </x:row>
    <x:row r="1670" ht="20" customHeight="1">
      <x:c r="A1670" s="256" t="n">
        <x:f>-12+60*0.01</x:f>
        <x:v>-11.4</x:v>
      </x:c>
      <x:c r="B1670" s="256" t="n">
        <x:f>IF(COUNT($B$129:$L$129)=11,B$129*EXP(IF(A1670&lt;0,(10-0)*A1670,-0*A1670))+C$129*EXP(IF(A1670&lt;0,(10-1)*A1670,-1*A1670))+D$129*EXP(IF(A1670&lt;0,(10-2)*A1670,-2*A1670))+E$129*EXP(IF(A1670&lt;0,(10-3)*A1670,-3*A1670))+F$129*EXP(IF(A1670&lt;0,(10-4)*A1670,-4*A1670))+G$129*EXP(IF(A1670&lt;0,(10-5)*A1670,-5*A1670))+H$129*EXP(IF(A1670&lt;0,(10-6)*A1670,-6*A1670))+I$129*EXP(IF(A1670&lt;0,(10-7)*A1670,-7*A1670))+J$129*EXP(IF(A1670&lt;0,(10-8)*A1670,-8*A1670))+K$129*EXP(IF(A1670&lt;0,(10-9)*A1670,-9*A1670))+L$129*EXP(IF(A1670&lt;0,(10-10)*A1670,-10*A1670)),0)</x:f>
        <x:v>781747.3109863129</x:v>
      </x:c>
      <x:c r="C1670" s="256" t="n">
        <x:f>IF(B1670=0,IF(B1669=0,0,1),IF(B1669=0,0,IF(SIGN(B1670)&lt;&gt;SIGN(B1669),1,0)))</x:f>
        <x:v>0</x:v>
      </x:c>
      <x:c r="D1670" s="256" t="n">
        <x:f>EXP(A1670-0.005)-1</x:f>
        <x:v>-0.999988860352871</x:v>
      </x:c>
    </x:row>
    <x:row r="1671" ht="20" customHeight="1">
      <x:c r="A1671" s="256" t="n">
        <x:f>-12+61*0.01</x:f>
        <x:v>-11.39</x:v>
      </x:c>
      <x:c r="B1671" s="256" t="n">
        <x:f>IF(COUNT($B$129:$L$129)=11,B$129*EXP(IF(A1671&lt;0,(10-0)*A1671,-0*A1671))+C$129*EXP(IF(A1671&lt;0,(10-1)*A1671,-1*A1671))+D$129*EXP(IF(A1671&lt;0,(10-2)*A1671,-2*A1671))+E$129*EXP(IF(A1671&lt;0,(10-3)*A1671,-3*A1671))+F$129*EXP(IF(A1671&lt;0,(10-4)*A1671,-4*A1671))+G$129*EXP(IF(A1671&lt;0,(10-5)*A1671,-5*A1671))+H$129*EXP(IF(A1671&lt;0,(10-6)*A1671,-6*A1671))+I$129*EXP(IF(A1671&lt;0,(10-7)*A1671,-7*A1671))+J$129*EXP(IF(A1671&lt;0,(10-8)*A1671,-8*A1671))+K$129*EXP(IF(A1671&lt;0,(10-9)*A1671,-9*A1671))+L$129*EXP(IF(A1671&lt;0,(10-10)*A1671,-10*A1671)),0)</x:f>
        <x:v>781747.3124031308</x:v>
      </x:c>
      <x:c r="C1671" s="256" t="n">
        <x:f>IF(B1671=0,IF(B1670=0,0,1),IF(B1670=0,0,IF(SIGN(B1671)&lt;&gt;SIGN(B1670),1,0)))</x:f>
        <x:v>0</x:v>
      </x:c>
      <x:c r="D1671" s="256" t="n">
        <x:f>EXP(A1671-0.005)-1</x:f>
        <x:v>-0.9999887483975561</x:v>
      </x:c>
    </x:row>
    <x:row r="1672" ht="20" customHeight="1">
      <x:c r="A1672" s="256" t="n">
        <x:f>-12+62*0.01</x:f>
        <x:v>-11.38</x:v>
      </x:c>
      <x:c r="B1672" s="256" t="n">
        <x:f>IF(COUNT($B$129:$L$129)=11,B$129*EXP(IF(A1672&lt;0,(10-0)*A1672,-0*A1672))+C$129*EXP(IF(A1672&lt;0,(10-1)*A1672,-1*A1672))+D$129*EXP(IF(A1672&lt;0,(10-2)*A1672,-2*A1672))+E$129*EXP(IF(A1672&lt;0,(10-3)*A1672,-3*A1672))+F$129*EXP(IF(A1672&lt;0,(10-4)*A1672,-4*A1672))+G$129*EXP(IF(A1672&lt;0,(10-5)*A1672,-5*A1672))+H$129*EXP(IF(A1672&lt;0,(10-6)*A1672,-6*A1672))+I$129*EXP(IF(A1672&lt;0,(10-7)*A1672,-7*A1672))+J$129*EXP(IF(A1672&lt;0,(10-8)*A1672,-8*A1672))+K$129*EXP(IF(A1672&lt;0,(10-9)*A1672,-9*A1672))+L$129*EXP(IF(A1672&lt;0,(10-10)*A1672,-10*A1672)),0)</x:f>
        <x:v>781747.3138341883</x:v>
      </x:c>
      <x:c r="C1672" s="256" t="n">
        <x:f>IF(B1672=0,IF(B1671=0,0,1),IF(B1671=0,0,IF(SIGN(B1672)&lt;&gt;SIGN(B1671),1,0)))</x:f>
        <x:v>0</x:v>
      </x:c>
      <x:c r="D1672" s="256" t="n">
        <x:f>EXP(A1672-0.005)-1</x:f>
        <x:v>-0.9999886353170716</x:v>
      </x:c>
    </x:row>
    <x:row r="1673" ht="20" customHeight="1">
      <x:c r="A1673" s="256" t="n">
        <x:f>-12+63*0.01</x:f>
        <x:v>-11.37</x:v>
      </x:c>
      <x:c r="B1673" s="256" t="n">
        <x:f>IF(COUNT($B$129:$L$129)=11,B$129*EXP(IF(A1673&lt;0,(10-0)*A1673,-0*A1673))+C$129*EXP(IF(A1673&lt;0,(10-1)*A1673,-1*A1673))+D$129*EXP(IF(A1673&lt;0,(10-2)*A1673,-2*A1673))+E$129*EXP(IF(A1673&lt;0,(10-3)*A1673,-3*A1673))+F$129*EXP(IF(A1673&lt;0,(10-4)*A1673,-4*A1673))+G$129*EXP(IF(A1673&lt;0,(10-5)*A1673,-5*A1673))+H$129*EXP(IF(A1673&lt;0,(10-6)*A1673,-6*A1673))+I$129*EXP(IF(A1673&lt;0,(10-7)*A1673,-7*A1673))+J$129*EXP(IF(A1673&lt;0,(10-8)*A1673,-8*A1673))+K$129*EXP(IF(A1673&lt;0,(10-9)*A1673,-9*A1673))+L$129*EXP(IF(A1673&lt;0,(10-10)*A1673,-10*A1673)),0)</x:f>
        <x:v>781747.3152796283</x:v>
      </x:c>
      <x:c r="C1673" s="256" t="n">
        <x:f>IF(B1673=0,IF(B1672=0,0,1),IF(B1672=0,0,IF(SIGN(B1673)&lt;&gt;SIGN(B1672),1,0)))</x:f>
        <x:v>0</x:v>
      </x:c>
      <x:c r="D1673" s="256" t="n">
        <x:f>EXP(A1673-0.005)-1</x:f>
        <x:v>-0.9999885211001093</x:v>
      </x:c>
    </x:row>
    <x:row r="1674" ht="20" customHeight="1">
      <x:c r="A1674" s="256" t="n">
        <x:f>-12+64*0.01</x:f>
        <x:v>-11.36</x:v>
      </x:c>
      <x:c r="B1674" s="256" t="n">
        <x:f>IF(COUNT($B$129:$L$129)=11,B$129*EXP(IF(A1674&lt;0,(10-0)*A1674,-0*A1674))+C$129*EXP(IF(A1674&lt;0,(10-1)*A1674,-1*A1674))+D$129*EXP(IF(A1674&lt;0,(10-2)*A1674,-2*A1674))+E$129*EXP(IF(A1674&lt;0,(10-3)*A1674,-3*A1674))+F$129*EXP(IF(A1674&lt;0,(10-4)*A1674,-4*A1674))+G$129*EXP(IF(A1674&lt;0,(10-5)*A1674,-5*A1674))+H$129*EXP(IF(A1674&lt;0,(10-6)*A1674,-6*A1674))+I$129*EXP(IF(A1674&lt;0,(10-7)*A1674,-7*A1674))+J$129*EXP(IF(A1674&lt;0,(10-8)*A1674,-8*A1674))+K$129*EXP(IF(A1674&lt;0,(10-9)*A1674,-9*A1674))+L$129*EXP(IF(A1674&lt;0,(10-10)*A1674,-10*A1674)),0)</x:f>
        <x:v>781747.3167395954</x:v>
      </x:c>
      <x:c r="C1674" s="256" t="n">
        <x:f>IF(B1674=0,IF(B1673=0,0,1),IF(B1673=0,0,IF(SIGN(B1674)&lt;&gt;SIGN(B1673),1,0)))</x:f>
        <x:v>0</x:v>
      </x:c>
      <x:c r="D1674" s="256" t="n">
        <x:f>EXP(A1674-0.005)-1</x:f>
        <x:v>-0.9999884057352475</x:v>
      </x:c>
    </x:row>
    <x:row r="1675" ht="20" customHeight="1">
      <x:c r="A1675" s="256" t="n">
        <x:f>-12+65*0.01</x:f>
        <x:v>-11.35</x:v>
      </x:c>
      <x:c r="B1675" s="256" t="n">
        <x:f>IF(COUNT($B$129:$L$129)=11,B$129*EXP(IF(A1675&lt;0,(10-0)*A1675,-0*A1675))+C$129*EXP(IF(A1675&lt;0,(10-1)*A1675,-1*A1675))+D$129*EXP(IF(A1675&lt;0,(10-2)*A1675,-2*A1675))+E$129*EXP(IF(A1675&lt;0,(10-3)*A1675,-3*A1675))+F$129*EXP(IF(A1675&lt;0,(10-4)*A1675,-4*A1675))+G$129*EXP(IF(A1675&lt;0,(10-5)*A1675,-5*A1675))+H$129*EXP(IF(A1675&lt;0,(10-6)*A1675,-6*A1675))+I$129*EXP(IF(A1675&lt;0,(10-7)*A1675,-7*A1675))+J$129*EXP(IF(A1675&lt;0,(10-8)*A1675,-8*A1675))+K$129*EXP(IF(A1675&lt;0,(10-9)*A1675,-9*A1675))+L$129*EXP(IF(A1675&lt;0,(10-10)*A1675,-10*A1675)),0)</x:f>
        <x:v>781747.3182142357</x:v>
      </x:c>
      <x:c r="C1675" s="256" t="n">
        <x:f>IF(B1675=0,IF(B1674=0,0,1),IF(B1674=0,0,IF(SIGN(B1675)&lt;&gt;SIGN(B1674),1,0)))</x:f>
        <x:v>0</x:v>
      </x:c>
      <x:c r="D1675" s="256" t="n">
        <x:f>EXP(A1675-0.005)-1</x:f>
        <x:v>-0.9999882892109495</x:v>
      </x:c>
    </x:row>
    <x:row r="1676" ht="20" customHeight="1">
      <x:c r="A1676" s="256" t="n">
        <x:f>-12+66*0.01</x:f>
        <x:v>-11.34</x:v>
      </x:c>
      <x:c r="B1676" s="256" t="n">
        <x:f>IF(COUNT($B$129:$L$129)=11,B$129*EXP(IF(A1676&lt;0,(10-0)*A1676,-0*A1676))+C$129*EXP(IF(A1676&lt;0,(10-1)*A1676,-1*A1676))+D$129*EXP(IF(A1676&lt;0,(10-2)*A1676,-2*A1676))+E$129*EXP(IF(A1676&lt;0,(10-3)*A1676,-3*A1676))+F$129*EXP(IF(A1676&lt;0,(10-4)*A1676,-4*A1676))+G$129*EXP(IF(A1676&lt;0,(10-5)*A1676,-5*A1676))+H$129*EXP(IF(A1676&lt;0,(10-6)*A1676,-6*A1676))+I$129*EXP(IF(A1676&lt;0,(10-7)*A1676,-7*A1676))+J$129*EXP(IF(A1676&lt;0,(10-8)*A1676,-8*A1676))+K$129*EXP(IF(A1676&lt;0,(10-9)*A1676,-9*A1676))+L$129*EXP(IF(A1676&lt;0,(10-10)*A1676,-10*A1676)),0)</x:f>
        <x:v>781747.3197036968</x:v>
      </x:c>
      <x:c r="C1676" s="256" t="n">
        <x:f>IF(B1676=0,IF(B1675=0,0,1),IF(B1675=0,0,IF(SIGN(B1676)&lt;&gt;SIGN(B1675),1,0)))</x:f>
        <x:v>0</x:v>
      </x:c>
      <x:c r="D1676" s="256" t="n">
        <x:f>EXP(A1676-0.005)-1</x:f>
        <x:v>-0.9999881715155629</x:v>
      </x:c>
    </x:row>
    <x:row r="1677" ht="20" customHeight="1">
      <x:c r="A1677" s="256" t="n">
        <x:f>-12+67*0.01</x:f>
        <x:v>-11.33</x:v>
      </x:c>
      <x:c r="B1677" s="256" t="n">
        <x:f>IF(COUNT($B$129:$L$129)=11,B$129*EXP(IF(A1677&lt;0,(10-0)*A1677,-0*A1677))+C$129*EXP(IF(A1677&lt;0,(10-1)*A1677,-1*A1677))+D$129*EXP(IF(A1677&lt;0,(10-2)*A1677,-2*A1677))+E$129*EXP(IF(A1677&lt;0,(10-3)*A1677,-3*A1677))+F$129*EXP(IF(A1677&lt;0,(10-4)*A1677,-4*A1677))+G$129*EXP(IF(A1677&lt;0,(10-5)*A1677,-5*A1677))+H$129*EXP(IF(A1677&lt;0,(10-6)*A1677,-6*A1677))+I$129*EXP(IF(A1677&lt;0,(10-7)*A1677,-7*A1677))+J$129*EXP(IF(A1677&lt;0,(10-8)*A1677,-8*A1677))+K$129*EXP(IF(A1677&lt;0,(10-9)*A1677,-9*A1677))+L$129*EXP(IF(A1677&lt;0,(10-10)*A1677,-10*A1677)),0)</x:f>
        <x:v>781747.3212081274</x:v>
      </x:c>
      <x:c r="C1677" s="256" t="n">
        <x:f>IF(B1677=0,IF(B1676=0,0,1),IF(B1676=0,0,IF(SIGN(B1677)&lt;&gt;SIGN(B1676),1,0)))</x:f>
        <x:v>0</x:v>
      </x:c>
      <x:c r="D1677" s="256" t="n">
        <x:f>EXP(A1677-0.005)-1</x:f>
        <x:v>-0.9999880526373178</x:v>
      </x:c>
    </x:row>
    <x:row r="1678" ht="20" customHeight="1">
      <x:c r="A1678" s="256" t="n">
        <x:f>-12+68*0.01</x:f>
        <x:v>-11.32</x:v>
      </x:c>
      <x:c r="B1678" s="256" t="n">
        <x:f>IF(COUNT($B$129:$L$129)=11,B$129*EXP(IF(A1678&lt;0,(10-0)*A1678,-0*A1678))+C$129*EXP(IF(A1678&lt;0,(10-1)*A1678,-1*A1678))+D$129*EXP(IF(A1678&lt;0,(10-2)*A1678,-2*A1678))+E$129*EXP(IF(A1678&lt;0,(10-3)*A1678,-3*A1678))+F$129*EXP(IF(A1678&lt;0,(10-4)*A1678,-4*A1678))+G$129*EXP(IF(A1678&lt;0,(10-5)*A1678,-5*A1678))+H$129*EXP(IF(A1678&lt;0,(10-6)*A1678,-6*A1678))+I$129*EXP(IF(A1678&lt;0,(10-7)*A1678,-7*A1678))+J$129*EXP(IF(A1678&lt;0,(10-8)*A1678,-8*A1678))+K$129*EXP(IF(A1678&lt;0,(10-9)*A1678,-9*A1678))+L$129*EXP(IF(A1678&lt;0,(10-10)*A1678,-10*A1678)),0)</x:f>
        <x:v>781747.322727678</x:v>
      </x:c>
      <x:c r="C1678" s="256" t="n">
        <x:f>IF(B1678=0,IF(B1677=0,0,1),IF(B1677=0,0,IF(SIGN(B1678)&lt;&gt;SIGN(B1677),1,0)))</x:f>
        <x:v>0</x:v>
      </x:c>
      <x:c r="D1678" s="256" t="n">
        <x:f>EXP(A1678-0.005)-1</x:f>
        <x:v>-0.9999879325643267</x:v>
      </x:c>
    </x:row>
    <x:row r="1679" ht="20" customHeight="1">
      <x:c r="A1679" s="256" t="n">
        <x:f>-12+69*0.01</x:f>
        <x:v>-11.31</x:v>
      </x:c>
      <x:c r="B1679" s="256" t="n">
        <x:f>IF(COUNT($B$129:$L$129)=11,B$129*EXP(IF(A1679&lt;0,(10-0)*A1679,-0*A1679))+C$129*EXP(IF(A1679&lt;0,(10-1)*A1679,-1*A1679))+D$129*EXP(IF(A1679&lt;0,(10-2)*A1679,-2*A1679))+E$129*EXP(IF(A1679&lt;0,(10-3)*A1679,-3*A1679))+F$129*EXP(IF(A1679&lt;0,(10-4)*A1679,-4*A1679))+G$129*EXP(IF(A1679&lt;0,(10-5)*A1679,-5*A1679))+H$129*EXP(IF(A1679&lt;0,(10-6)*A1679,-6*A1679))+I$129*EXP(IF(A1679&lt;0,(10-7)*A1679,-7*A1679))+J$129*EXP(IF(A1679&lt;0,(10-8)*A1679,-8*A1679))+K$129*EXP(IF(A1679&lt;0,(10-9)*A1679,-9*A1679))+L$129*EXP(IF(A1679&lt;0,(10-10)*A1679,-10*A1679)),0)</x:f>
        <x:v>781747.3242625007</x:v>
      </x:c>
      <x:c r="C1679" s="256" t="n">
        <x:f>IF(B1679=0,IF(B1678=0,0,1),IF(B1678=0,0,IF(SIGN(B1679)&lt;&gt;SIGN(B1678),1,0)))</x:f>
        <x:v>0</x:v>
      </x:c>
      <x:c r="D1679" s="256" t="n">
        <x:f>EXP(A1679-0.005)-1</x:f>
        <x:v>-0.9999878112845819</x:v>
      </x:c>
    </x:row>
    <x:row r="1680" ht="20" customHeight="1">
      <x:c r="A1680" s="256" t="n">
        <x:f>-12+70*0.01</x:f>
        <x:v>-11.3</x:v>
      </x:c>
      <x:c r="B1680" s="256" t="n">
        <x:f>IF(COUNT($B$129:$L$129)=11,B$129*EXP(IF(A1680&lt;0,(10-0)*A1680,-0*A1680))+C$129*EXP(IF(A1680&lt;0,(10-1)*A1680,-1*A1680))+D$129*EXP(IF(A1680&lt;0,(10-2)*A1680,-2*A1680))+E$129*EXP(IF(A1680&lt;0,(10-3)*A1680,-3*A1680))+F$129*EXP(IF(A1680&lt;0,(10-4)*A1680,-4*A1680))+G$129*EXP(IF(A1680&lt;0,(10-5)*A1680,-5*A1680))+H$129*EXP(IF(A1680&lt;0,(10-6)*A1680,-6*A1680))+I$129*EXP(IF(A1680&lt;0,(10-7)*A1680,-7*A1680))+J$129*EXP(IF(A1680&lt;0,(10-8)*A1680,-8*A1680))+K$129*EXP(IF(A1680&lt;0,(10-9)*A1680,-9*A1680))+L$129*EXP(IF(A1680&lt;0,(10-10)*A1680,-10*A1680)),0)</x:f>
        <x:v>781747.3258127489</x:v>
      </x:c>
      <x:c r="C1680" s="256" t="n">
        <x:f>IF(B1680=0,IF(B1679=0,0,1),IF(B1679=0,0,IF(SIGN(B1680)&lt;&gt;SIGN(B1679),1,0)))</x:f>
        <x:v>0</x:v>
      </x:c>
      <x:c r="D1680" s="256" t="n">
        <x:f>EXP(A1680-0.005)-1</x:f>
        <x:v>-0.9999876887859555</x:v>
      </x:c>
    </x:row>
    <x:row r="1681" ht="20" customHeight="1">
      <x:c r="A1681" s="256" t="n">
        <x:f>-12+71*0.01</x:f>
        <x:v>-11.29</x:v>
      </x:c>
      <x:c r="B1681" s="256" t="n">
        <x:f>IF(COUNT($B$129:$L$129)=11,B$129*EXP(IF(A1681&lt;0,(10-0)*A1681,-0*A1681))+C$129*EXP(IF(A1681&lt;0,(10-1)*A1681,-1*A1681))+D$129*EXP(IF(A1681&lt;0,(10-2)*A1681,-2*A1681))+E$129*EXP(IF(A1681&lt;0,(10-3)*A1681,-3*A1681))+F$129*EXP(IF(A1681&lt;0,(10-4)*A1681,-4*A1681))+G$129*EXP(IF(A1681&lt;0,(10-5)*A1681,-5*A1681))+H$129*EXP(IF(A1681&lt;0,(10-6)*A1681,-6*A1681))+I$129*EXP(IF(A1681&lt;0,(10-7)*A1681,-7*A1681))+J$129*EXP(IF(A1681&lt;0,(10-8)*A1681,-8*A1681))+K$129*EXP(IF(A1681&lt;0,(10-9)*A1681,-9*A1681))+L$129*EXP(IF(A1681&lt;0,(10-10)*A1681,-10*A1681)),0)</x:f>
        <x:v>781747.3273785777</x:v>
      </x:c>
      <x:c r="C1681" s="256" t="n">
        <x:f>IF(B1681=0,IF(B1680=0,0,1),IF(B1680=0,0,IF(SIGN(B1681)&lt;&gt;SIGN(B1680),1,0)))</x:f>
        <x:v>0</x:v>
      </x:c>
      <x:c r="D1681" s="256" t="n">
        <x:f>EXP(A1681-0.005)-1</x:f>
        <x:v>-0.9999875650561972</x:v>
      </x:c>
    </x:row>
    <x:row r="1682" ht="20" customHeight="1">
      <x:c r="A1682" s="256" t="n">
        <x:f>-12+72*0.01</x:f>
        <x:v>-11.28</x:v>
      </x:c>
      <x:c r="B1682" s="256" t="n">
        <x:f>IF(COUNT($B$129:$L$129)=11,B$129*EXP(IF(A1682&lt;0,(10-0)*A1682,-0*A1682))+C$129*EXP(IF(A1682&lt;0,(10-1)*A1682,-1*A1682))+D$129*EXP(IF(A1682&lt;0,(10-2)*A1682,-2*A1682))+E$129*EXP(IF(A1682&lt;0,(10-3)*A1682,-3*A1682))+F$129*EXP(IF(A1682&lt;0,(10-4)*A1682,-4*A1682))+G$129*EXP(IF(A1682&lt;0,(10-5)*A1682,-5*A1682))+H$129*EXP(IF(A1682&lt;0,(10-6)*A1682,-6*A1682))+I$129*EXP(IF(A1682&lt;0,(10-7)*A1682,-7*A1682))+J$129*EXP(IF(A1682&lt;0,(10-8)*A1682,-8*A1682))+K$129*EXP(IF(A1682&lt;0,(10-9)*A1682,-9*A1682))+L$129*EXP(IF(A1682&lt;0,(10-10)*A1682,-10*A1682)),0)</x:f>
        <x:v>781747.3289601436</x:v>
      </x:c>
      <x:c r="C1682" s="256" t="n">
        <x:f>IF(B1682=0,IF(B1681=0,0,1),IF(B1681=0,0,IF(SIGN(B1682)&lt;&gt;SIGN(B1681),1,0)))</x:f>
        <x:v>0</x:v>
      </x:c>
      <x:c r="D1682" s="256" t="n">
        <x:f>EXP(A1682-0.005)-1</x:f>
        <x:v>-0.9999874400829344</x:v>
      </x:c>
    </x:row>
    <x:row r="1683" ht="20" customHeight="1">
      <x:c r="A1683" s="256" t="n">
        <x:f>-12+73*0.01</x:f>
        <x:v>-11.27</x:v>
      </x:c>
      <x:c r="B1683" s="256" t="n">
        <x:f>IF(COUNT($B$129:$L$129)=11,B$129*EXP(IF(A1683&lt;0,(10-0)*A1683,-0*A1683))+C$129*EXP(IF(A1683&lt;0,(10-1)*A1683,-1*A1683))+D$129*EXP(IF(A1683&lt;0,(10-2)*A1683,-2*A1683))+E$129*EXP(IF(A1683&lt;0,(10-3)*A1683,-3*A1683))+F$129*EXP(IF(A1683&lt;0,(10-4)*A1683,-4*A1683))+G$129*EXP(IF(A1683&lt;0,(10-5)*A1683,-5*A1683))+H$129*EXP(IF(A1683&lt;0,(10-6)*A1683,-6*A1683))+I$129*EXP(IF(A1683&lt;0,(10-7)*A1683,-7*A1683))+J$129*EXP(IF(A1683&lt;0,(10-8)*A1683,-8*A1683))+K$129*EXP(IF(A1683&lt;0,(10-9)*A1683,-9*A1683))+L$129*EXP(IF(A1683&lt;0,(10-10)*A1683,-10*A1683)),0)</x:f>
        <x:v>781747.3305576048</x:v>
      </x:c>
      <x:c r="C1683" s="256" t="n">
        <x:f>IF(B1683=0,IF(B1682=0,0,1),IF(B1682=0,0,IF(SIGN(B1683)&lt;&gt;SIGN(B1682),1,0)))</x:f>
        <x:v>0</x:v>
      </x:c>
      <x:c r="D1683" s="256" t="n">
        <x:f>EXP(A1683-0.005)-1</x:f>
        <x:v>-0.9999873138536692</x:v>
      </x:c>
    </x:row>
    <x:row r="1684" ht="20" customHeight="1">
      <x:c r="A1684" s="256" t="n">
        <x:f>-12+74*0.01</x:f>
        <x:v>-11.26</x:v>
      </x:c>
      <x:c r="B1684" s="256" t="n">
        <x:f>IF(COUNT($B$129:$L$129)=11,B$129*EXP(IF(A1684&lt;0,(10-0)*A1684,-0*A1684))+C$129*EXP(IF(A1684&lt;0,(10-1)*A1684,-1*A1684))+D$129*EXP(IF(A1684&lt;0,(10-2)*A1684,-2*A1684))+E$129*EXP(IF(A1684&lt;0,(10-3)*A1684,-3*A1684))+F$129*EXP(IF(A1684&lt;0,(10-4)*A1684,-4*A1684))+G$129*EXP(IF(A1684&lt;0,(10-5)*A1684,-5*A1684))+H$129*EXP(IF(A1684&lt;0,(10-6)*A1684,-6*A1684))+I$129*EXP(IF(A1684&lt;0,(10-7)*A1684,-7*A1684))+J$129*EXP(IF(A1684&lt;0,(10-8)*A1684,-8*A1684))+K$129*EXP(IF(A1684&lt;0,(10-9)*A1684,-9*A1684))+L$129*EXP(IF(A1684&lt;0,(10-10)*A1684,-10*A1684)),0)</x:f>
        <x:v>781747.332171121</x:v>
      </x:c>
      <x:c r="C1684" s="256" t="n">
        <x:f>IF(B1684=0,IF(B1683=0,0,1),IF(B1683=0,0,IF(SIGN(B1684)&lt;&gt;SIGN(B1683),1,0)))</x:f>
        <x:v>0</x:v>
      </x:c>
      <x:c r="D1684" s="256" t="n">
        <x:f>EXP(A1684-0.005)-1</x:f>
        <x:v>-0.999987186355779</x:v>
      </x:c>
    </x:row>
    <x:row r="1685" ht="20" customHeight="1">
      <x:c r="A1685" s="256" t="n">
        <x:f>-12+75*0.01</x:f>
        <x:v>-11.25</x:v>
      </x:c>
      <x:c r="B1685" s="256" t="n">
        <x:f>IF(COUNT($B$129:$L$129)=11,B$129*EXP(IF(A1685&lt;0,(10-0)*A1685,-0*A1685))+C$129*EXP(IF(A1685&lt;0,(10-1)*A1685,-1*A1685))+D$129*EXP(IF(A1685&lt;0,(10-2)*A1685,-2*A1685))+E$129*EXP(IF(A1685&lt;0,(10-3)*A1685,-3*A1685))+F$129*EXP(IF(A1685&lt;0,(10-4)*A1685,-4*A1685))+G$129*EXP(IF(A1685&lt;0,(10-5)*A1685,-5*A1685))+H$129*EXP(IF(A1685&lt;0,(10-6)*A1685,-6*A1685))+I$129*EXP(IF(A1685&lt;0,(10-7)*A1685,-7*A1685))+J$129*EXP(IF(A1685&lt;0,(10-8)*A1685,-8*A1685))+K$129*EXP(IF(A1685&lt;0,(10-9)*A1685,-9*A1685))+L$129*EXP(IF(A1685&lt;0,(10-10)*A1685,-10*A1685)),0)</x:f>
        <x:v>781747.3338008537</x:v>
      </x:c>
      <x:c r="C1685" s="256" t="n">
        <x:f>IF(B1685=0,IF(B1684=0,0,1),IF(B1684=0,0,IF(SIGN(B1685)&lt;&gt;SIGN(B1684),1,0)))</x:f>
        <x:v>0</x:v>
      </x:c>
      <x:c r="D1685" s="256" t="n">
        <x:f>EXP(A1685-0.005)-1</x:f>
        <x:v>-0.9999870575765136</x:v>
      </x:c>
    </x:row>
    <x:row r="1686" ht="20" customHeight="1">
      <x:c r="A1686" s="256" t="n">
        <x:f>-12+76*0.01</x:f>
        <x:v>-11.24</x:v>
      </x:c>
      <x:c r="B1686" s="256" t="n">
        <x:f>IF(COUNT($B$129:$L$129)=11,B$129*EXP(IF(A1686&lt;0,(10-0)*A1686,-0*A1686))+C$129*EXP(IF(A1686&lt;0,(10-1)*A1686,-1*A1686))+D$129*EXP(IF(A1686&lt;0,(10-2)*A1686,-2*A1686))+E$129*EXP(IF(A1686&lt;0,(10-3)*A1686,-3*A1686))+F$129*EXP(IF(A1686&lt;0,(10-4)*A1686,-4*A1686))+G$129*EXP(IF(A1686&lt;0,(10-5)*A1686,-5*A1686))+H$129*EXP(IF(A1686&lt;0,(10-6)*A1686,-6*A1686))+I$129*EXP(IF(A1686&lt;0,(10-7)*A1686,-7*A1686))+J$129*EXP(IF(A1686&lt;0,(10-8)*A1686,-8*A1686))+K$129*EXP(IF(A1686&lt;0,(10-9)*A1686,-9*A1686))+L$129*EXP(IF(A1686&lt;0,(10-10)*A1686,-10*A1686)),0)</x:f>
        <x:v>781747.3354469658</x:v>
      </x:c>
      <x:c r="C1686" s="256" t="n">
        <x:f>IF(B1686=0,IF(B1685=0,0,1),IF(B1685=0,0,IF(SIGN(B1686)&lt;&gt;SIGN(B1685),1,0)))</x:f>
        <x:v>0</x:v>
      </x:c>
      <x:c r="D1686" s="256" t="n">
        <x:f>EXP(A1686-0.005)-1</x:f>
        <x:v>-0.9999869275029951</x:v>
      </x:c>
    </x:row>
    <x:row r="1687" ht="20" customHeight="1">
      <x:c r="A1687" s="256" t="n">
        <x:f>-12+77*0.01</x:f>
        <x:v>-11.23</x:v>
      </x:c>
      <x:c r="B1687" s="256" t="n">
        <x:f>IF(COUNT($B$129:$L$129)=11,B$129*EXP(IF(A1687&lt;0,(10-0)*A1687,-0*A1687))+C$129*EXP(IF(A1687&lt;0,(10-1)*A1687,-1*A1687))+D$129*EXP(IF(A1687&lt;0,(10-2)*A1687,-2*A1687))+E$129*EXP(IF(A1687&lt;0,(10-3)*A1687,-3*A1687))+F$129*EXP(IF(A1687&lt;0,(10-4)*A1687,-4*A1687))+G$129*EXP(IF(A1687&lt;0,(10-5)*A1687,-5*A1687))+H$129*EXP(IF(A1687&lt;0,(10-6)*A1687,-6*A1687))+I$129*EXP(IF(A1687&lt;0,(10-7)*A1687,-7*A1687))+J$129*EXP(IF(A1687&lt;0,(10-8)*A1687,-8*A1687))+K$129*EXP(IF(A1687&lt;0,(10-9)*A1687,-9*A1687))+L$129*EXP(IF(A1687&lt;0,(10-10)*A1687,-10*A1687)),0)</x:f>
        <x:v>781747.337109622</x:v>
      </x:c>
      <x:c r="C1687" s="256" t="n">
        <x:f>IF(B1687=0,IF(B1686=0,0,1),IF(B1686=0,0,IF(SIGN(B1687)&lt;&gt;SIGN(B1686),1,0)))</x:f>
        <x:v>0</x:v>
      </x:c>
      <x:c r="D1687" s="256" t="n">
        <x:f>EXP(A1687-0.005)-1</x:f>
        <x:v>-0.999986796122216</x:v>
      </x:c>
    </x:row>
    <x:row r="1688" ht="20" customHeight="1">
      <x:c r="A1688" s="256" t="n">
        <x:f>-12+78*0.01</x:f>
        <x:v>-11.22</x:v>
      </x:c>
      <x:c r="B1688" s="256" t="n">
        <x:f>IF(COUNT($B$129:$L$129)=11,B$129*EXP(IF(A1688&lt;0,(10-0)*A1688,-0*A1688))+C$129*EXP(IF(A1688&lt;0,(10-1)*A1688,-1*A1688))+D$129*EXP(IF(A1688&lt;0,(10-2)*A1688,-2*A1688))+E$129*EXP(IF(A1688&lt;0,(10-3)*A1688,-3*A1688))+F$129*EXP(IF(A1688&lt;0,(10-4)*A1688,-4*A1688))+G$129*EXP(IF(A1688&lt;0,(10-5)*A1688,-5*A1688))+H$129*EXP(IF(A1688&lt;0,(10-6)*A1688,-6*A1688))+I$129*EXP(IF(A1688&lt;0,(10-7)*A1688,-7*A1688))+J$129*EXP(IF(A1688&lt;0,(10-8)*A1688,-8*A1688))+K$129*EXP(IF(A1688&lt;0,(10-9)*A1688,-9*A1688))+L$129*EXP(IF(A1688&lt;0,(10-10)*A1688,-10*A1688)),0)</x:f>
        <x:v>781747.3387889884</x:v>
      </x:c>
      <x:c r="C1688" s="256" t="n">
        <x:f>IF(B1688=0,IF(B1687=0,0,1),IF(B1687=0,0,IF(SIGN(B1688)&lt;&gt;SIGN(B1687),1,0)))</x:f>
        <x:v>0</x:v>
      </x:c>
      <x:c r="D1688" s="256" t="n">
        <x:f>EXP(A1688-0.005)-1</x:f>
        <x:v>-0.9999866634210381</x:v>
      </x:c>
    </x:row>
    <x:row r="1689" ht="20" customHeight="1">
      <x:c r="A1689" s="256" t="n">
        <x:f>-12+79*0.01</x:f>
        <x:v>-11.21</x:v>
      </x:c>
      <x:c r="B1689" s="256" t="n">
        <x:f>IF(COUNT($B$129:$L$129)=11,B$129*EXP(IF(A1689&lt;0,(10-0)*A1689,-0*A1689))+C$129*EXP(IF(A1689&lt;0,(10-1)*A1689,-1*A1689))+D$129*EXP(IF(A1689&lt;0,(10-2)*A1689,-2*A1689))+E$129*EXP(IF(A1689&lt;0,(10-3)*A1689,-3*A1689))+F$129*EXP(IF(A1689&lt;0,(10-4)*A1689,-4*A1689))+G$129*EXP(IF(A1689&lt;0,(10-5)*A1689,-5*A1689))+H$129*EXP(IF(A1689&lt;0,(10-6)*A1689,-6*A1689))+I$129*EXP(IF(A1689&lt;0,(10-7)*A1689,-7*A1689))+J$129*EXP(IF(A1689&lt;0,(10-8)*A1689,-8*A1689))+K$129*EXP(IF(A1689&lt;0,(10-9)*A1689,-9*A1689))+L$129*EXP(IF(A1689&lt;0,(10-10)*A1689,-10*A1689)),0)</x:f>
        <x:v>781747.3404852331</x:v>
      </x:c>
      <x:c r="C1689" s="256" t="n">
        <x:f>IF(B1689=0,IF(B1688=0,0,1),IF(B1688=0,0,IF(SIGN(B1689)&lt;&gt;SIGN(B1688),1,0)))</x:f>
        <x:v>0</x:v>
      </x:c>
      <x:c r="D1689" s="256" t="n">
        <x:f>EXP(A1689-0.005)-1</x:f>
        <x:v>-0.9999865293861913</x:v>
      </x:c>
    </x:row>
    <x:row r="1690" ht="20" customHeight="1">
      <x:c r="A1690" s="256" t="n">
        <x:f>-12+80*0.01</x:f>
        <x:v>-11.2</x:v>
      </x:c>
      <x:c r="B1690" s="256" t="n">
        <x:f>IF(COUNT($B$129:$L$129)=11,B$129*EXP(IF(A1690&lt;0,(10-0)*A1690,-0*A1690))+C$129*EXP(IF(A1690&lt;0,(10-1)*A1690,-1*A1690))+D$129*EXP(IF(A1690&lt;0,(10-2)*A1690,-2*A1690))+E$129*EXP(IF(A1690&lt;0,(10-3)*A1690,-3*A1690))+F$129*EXP(IF(A1690&lt;0,(10-4)*A1690,-4*A1690))+G$129*EXP(IF(A1690&lt;0,(10-5)*A1690,-5*A1690))+H$129*EXP(IF(A1690&lt;0,(10-6)*A1690,-6*A1690))+I$129*EXP(IF(A1690&lt;0,(10-7)*A1690,-7*A1690))+J$129*EXP(IF(A1690&lt;0,(10-8)*A1690,-8*A1690))+K$129*EXP(IF(A1690&lt;0,(10-9)*A1690,-9*A1690))+L$129*EXP(IF(A1690&lt;0,(10-10)*A1690,-10*A1690)),0)</x:f>
        <x:v>781747.3421985257</x:v>
      </x:c>
      <x:c r="C1690" s="256" t="n">
        <x:f>IF(B1690=0,IF(B1689=0,0,1),IF(B1689=0,0,IF(SIGN(B1690)&lt;&gt;SIGN(B1689),1,0)))</x:f>
        <x:v>0</x:v>
      </x:c>
      <x:c r="D1690" s="256" t="n">
        <x:f>EXP(A1690-0.005)-1</x:f>
        <x:v>-0.9999863940042717</x:v>
      </x:c>
    </x:row>
    <x:row r="1691" ht="20" customHeight="1">
      <x:c r="A1691" s="256" t="n">
        <x:f>-12+81*0.01</x:f>
        <x:v>-11.19</x:v>
      </x:c>
      <x:c r="B1691" s="256" t="n">
        <x:f>IF(COUNT($B$129:$L$129)=11,B$129*EXP(IF(A1691&lt;0,(10-0)*A1691,-0*A1691))+C$129*EXP(IF(A1691&lt;0,(10-1)*A1691,-1*A1691))+D$129*EXP(IF(A1691&lt;0,(10-2)*A1691,-2*A1691))+E$129*EXP(IF(A1691&lt;0,(10-3)*A1691,-3*A1691))+F$129*EXP(IF(A1691&lt;0,(10-4)*A1691,-4*A1691))+G$129*EXP(IF(A1691&lt;0,(10-5)*A1691,-5*A1691))+H$129*EXP(IF(A1691&lt;0,(10-6)*A1691,-6*A1691))+I$129*EXP(IF(A1691&lt;0,(10-7)*A1691,-7*A1691))+J$129*EXP(IF(A1691&lt;0,(10-8)*A1691,-8*A1691))+K$129*EXP(IF(A1691&lt;0,(10-9)*A1691,-9*A1691))+L$129*EXP(IF(A1691&lt;0,(10-10)*A1691,-10*A1691)),0)</x:f>
        <x:v>781747.3439290376</x:v>
      </x:c>
      <x:c r="C1691" s="256" t="n">
        <x:f>IF(B1691=0,IF(B1690=0,0,1),IF(B1690=0,0,IF(SIGN(B1691)&lt;&gt;SIGN(B1690),1,0)))</x:f>
        <x:v>0</x:v>
      </x:c>
      <x:c r="D1691" s="256" t="n">
        <x:f>EXP(A1691-0.005)-1</x:f>
        <x:v>-0.9999862572617413</x:v>
      </x:c>
    </x:row>
    <x:row r="1692" ht="20" customHeight="1">
      <x:c r="A1692" s="256" t="n">
        <x:f>-12+82*0.01</x:f>
        <x:v>-11.18</x:v>
      </x:c>
      <x:c r="B1692" s="256" t="n">
        <x:f>IF(COUNT($B$129:$L$129)=11,B$129*EXP(IF(A1692&lt;0,(10-0)*A1692,-0*A1692))+C$129*EXP(IF(A1692&lt;0,(10-1)*A1692,-1*A1692))+D$129*EXP(IF(A1692&lt;0,(10-2)*A1692,-2*A1692))+E$129*EXP(IF(A1692&lt;0,(10-3)*A1692,-3*A1692))+F$129*EXP(IF(A1692&lt;0,(10-4)*A1692,-4*A1692))+G$129*EXP(IF(A1692&lt;0,(10-5)*A1692,-5*A1692))+H$129*EXP(IF(A1692&lt;0,(10-6)*A1692,-6*A1692))+I$129*EXP(IF(A1692&lt;0,(10-7)*A1692,-7*A1692))+J$129*EXP(IF(A1692&lt;0,(10-8)*A1692,-8*A1692))+K$129*EXP(IF(A1692&lt;0,(10-9)*A1692,-9*A1692))+L$129*EXP(IF(A1692&lt;0,(10-10)*A1692,-10*A1692)),0)</x:f>
        <x:v>781747.3456769417</x:v>
      </x:c>
      <x:c r="C1692" s="256" t="n">
        <x:f>IF(B1692=0,IF(B1691=0,0,1),IF(B1691=0,0,IF(SIGN(B1692)&lt;&gt;SIGN(B1691),1,0)))</x:f>
        <x:v>0</x:v>
      </x:c>
      <x:c r="D1692" s="256" t="n">
        <x:f>EXP(A1692-0.005)-1</x:f>
        <x:v>-0.9999861191449256</x:v>
      </x:c>
    </x:row>
    <x:row r="1693" ht="20" customHeight="1">
      <x:c r="A1693" s="256" t="n">
        <x:f>-12+83*0.01</x:f>
        <x:v>-11.17</x:v>
      </x:c>
      <x:c r="B1693" s="256" t="n">
        <x:f>IF(COUNT($B$129:$L$129)=11,B$129*EXP(IF(A1693&lt;0,(10-0)*A1693,-0*A1693))+C$129*EXP(IF(A1693&lt;0,(10-1)*A1693,-1*A1693))+D$129*EXP(IF(A1693&lt;0,(10-2)*A1693,-2*A1693))+E$129*EXP(IF(A1693&lt;0,(10-3)*A1693,-3*A1693))+F$129*EXP(IF(A1693&lt;0,(10-4)*A1693,-4*A1693))+G$129*EXP(IF(A1693&lt;0,(10-5)*A1693,-5*A1693))+H$129*EXP(IF(A1693&lt;0,(10-6)*A1693,-6*A1693))+I$129*EXP(IF(A1693&lt;0,(10-7)*A1693,-7*A1693))+J$129*EXP(IF(A1693&lt;0,(10-8)*A1693,-8*A1693))+K$129*EXP(IF(A1693&lt;0,(10-9)*A1693,-9*A1693))+L$129*EXP(IF(A1693&lt;0,(10-10)*A1693,-10*A1693)),0)</x:f>
        <x:v>781747.347442413</x:v>
      </x:c>
      <x:c r="C1693" s="256" t="n">
        <x:f>IF(B1693=0,IF(B1692=0,0,1),IF(B1692=0,0,IF(SIGN(B1693)&lt;&gt;SIGN(B1692),1,0)))</x:f>
        <x:v>0</x:v>
      </x:c>
      <x:c r="D1693" s="256" t="n">
        <x:f>EXP(A1693-0.005)-1</x:f>
        <x:v>-0.9999859796400128</x:v>
      </x:c>
    </x:row>
    <x:row r="1694" ht="20" customHeight="1">
      <x:c r="A1694" s="256" t="n">
        <x:f>-12+84*0.01</x:f>
        <x:v>-11.16</x:v>
      </x:c>
      <x:c r="B1694" s="256" t="n">
        <x:f>IF(COUNT($B$129:$L$129)=11,B$129*EXP(IF(A1694&lt;0,(10-0)*A1694,-0*A1694))+C$129*EXP(IF(A1694&lt;0,(10-1)*A1694,-1*A1694))+D$129*EXP(IF(A1694&lt;0,(10-2)*A1694,-2*A1694))+E$129*EXP(IF(A1694&lt;0,(10-3)*A1694,-3*A1694))+F$129*EXP(IF(A1694&lt;0,(10-4)*A1694,-4*A1694))+G$129*EXP(IF(A1694&lt;0,(10-5)*A1694,-5*A1694))+H$129*EXP(IF(A1694&lt;0,(10-6)*A1694,-6*A1694))+I$129*EXP(IF(A1694&lt;0,(10-7)*A1694,-7*A1694))+J$129*EXP(IF(A1694&lt;0,(10-8)*A1694,-8*A1694))+K$129*EXP(IF(A1694&lt;0,(10-9)*A1694,-9*A1694))+L$129*EXP(IF(A1694&lt;0,(10-10)*A1694,-10*A1694)),0)</x:f>
        <x:v>781747.3492256278</x:v>
      </x:c>
      <x:c r="C1694" s="256" t="n">
        <x:f>IF(B1694=0,IF(B1693=0,0,1),IF(B1693=0,0,IF(SIGN(B1694)&lt;&gt;SIGN(B1693),1,0)))</x:f>
        <x:v>0</x:v>
      </x:c>
      <x:c r="D1694" s="256" t="n">
        <x:f>EXP(A1694-0.005)-1</x:f>
        <x:v>-0.9999858387330524</x:v>
      </x:c>
    </x:row>
    <x:row r="1695" ht="20" customHeight="1">
      <x:c r="A1695" s="256" t="n">
        <x:f>-12+85*0.01</x:f>
        <x:v>-11.15</x:v>
      </x:c>
      <x:c r="B1695" s="256" t="n">
        <x:f>IF(COUNT($B$129:$L$129)=11,B$129*EXP(IF(A1695&lt;0,(10-0)*A1695,-0*A1695))+C$129*EXP(IF(A1695&lt;0,(10-1)*A1695,-1*A1695))+D$129*EXP(IF(A1695&lt;0,(10-2)*A1695,-2*A1695))+E$129*EXP(IF(A1695&lt;0,(10-3)*A1695,-3*A1695))+F$129*EXP(IF(A1695&lt;0,(10-4)*A1695,-4*A1695))+G$129*EXP(IF(A1695&lt;0,(10-5)*A1695,-5*A1695))+H$129*EXP(IF(A1695&lt;0,(10-6)*A1695,-6*A1695))+I$129*EXP(IF(A1695&lt;0,(10-7)*A1695,-7*A1695))+J$129*EXP(IF(A1695&lt;0,(10-8)*A1695,-8*A1695))+K$129*EXP(IF(A1695&lt;0,(10-9)*A1695,-9*A1695))+L$129*EXP(IF(A1695&lt;0,(10-10)*A1695,-10*A1695)),0)</x:f>
        <x:v>781747.3510267648</x:v>
      </x:c>
      <x:c r="C1695" s="256" t="n">
        <x:f>IF(B1695=0,IF(B1694=0,0,1),IF(B1694=0,0,IF(SIGN(B1695)&lt;&gt;SIGN(B1694),1,0)))</x:f>
        <x:v>0</x:v>
      </x:c>
      <x:c r="D1695" s="256" t="n">
        <x:f>EXP(A1695-0.005)-1</x:f>
        <x:v>-0.9999856964099535</x:v>
      </x:c>
    </x:row>
    <x:row r="1696" ht="20" customHeight="1">
      <x:c r="A1696" s="256" t="n">
        <x:f>-12+86*0.01</x:f>
        <x:v>-11.14</x:v>
      </x:c>
      <x:c r="B1696" s="256" t="n">
        <x:f>IF(COUNT($B$129:$L$129)=11,B$129*EXP(IF(A1696&lt;0,(10-0)*A1696,-0*A1696))+C$129*EXP(IF(A1696&lt;0,(10-1)*A1696,-1*A1696))+D$129*EXP(IF(A1696&lt;0,(10-2)*A1696,-2*A1696))+E$129*EXP(IF(A1696&lt;0,(10-3)*A1696,-3*A1696))+F$129*EXP(IF(A1696&lt;0,(10-4)*A1696,-4*A1696))+G$129*EXP(IF(A1696&lt;0,(10-5)*A1696,-5*A1696))+H$129*EXP(IF(A1696&lt;0,(10-6)*A1696,-6*A1696))+I$129*EXP(IF(A1696&lt;0,(10-7)*A1696,-7*A1696))+J$129*EXP(IF(A1696&lt;0,(10-8)*A1696,-8*A1696))+K$129*EXP(IF(A1696&lt;0,(10-9)*A1696,-9*A1696))+L$129*EXP(IF(A1696&lt;0,(10-10)*A1696,-10*A1696)),0)</x:f>
        <x:v>781747.3528460038</x:v>
      </x:c>
      <x:c r="C1696" s="256" t="n">
        <x:f>IF(B1696=0,IF(B1695=0,0,1),IF(B1695=0,0,IF(SIGN(B1696)&lt;&gt;SIGN(B1695),1,0)))</x:f>
        <x:v>0</x:v>
      </x:c>
      <x:c r="D1696" s="256" t="n">
        <x:f>EXP(A1696-0.005)-1</x:f>
        <x:v>-0.9999855526564836</x:v>
      </x:c>
    </x:row>
    <x:row r="1697" ht="20" customHeight="1">
      <x:c r="A1697" s="256" t="n">
        <x:f>-12+87*0.01</x:f>
        <x:v>-11.13</x:v>
      </x:c>
      <x:c r="B1697" s="256" t="n">
        <x:f>IF(COUNT($B$129:$L$129)=11,B$129*EXP(IF(A1697&lt;0,(10-0)*A1697,-0*A1697))+C$129*EXP(IF(A1697&lt;0,(10-1)*A1697,-1*A1697))+D$129*EXP(IF(A1697&lt;0,(10-2)*A1697,-2*A1697))+E$129*EXP(IF(A1697&lt;0,(10-3)*A1697,-3*A1697))+F$129*EXP(IF(A1697&lt;0,(10-4)*A1697,-4*A1697))+G$129*EXP(IF(A1697&lt;0,(10-5)*A1697,-5*A1697))+H$129*EXP(IF(A1697&lt;0,(10-6)*A1697,-6*A1697))+I$129*EXP(IF(A1697&lt;0,(10-7)*A1697,-7*A1697))+J$129*EXP(IF(A1697&lt;0,(10-8)*A1697,-8*A1697))+K$129*EXP(IF(A1697&lt;0,(10-9)*A1697,-9*A1697))+L$129*EXP(IF(A1697&lt;0,(10-10)*A1697,-10*A1697)),0)</x:f>
        <x:v>781747.3546835269</x:v>
      </x:c>
      <x:c r="C1697" s="256" t="n">
        <x:f>IF(B1697=0,IF(B1696=0,0,1),IF(B1696=0,0,IF(SIGN(B1697)&lt;&gt;SIGN(B1696),1,0)))</x:f>
        <x:v>0</x:v>
      </x:c>
      <x:c r="D1697" s="256" t="n">
        <x:f>EXP(A1697-0.005)-1</x:f>
        <x:v>-0.9999854074582674</x:v>
      </x:c>
    </x:row>
    <x:row r="1698" ht="20" customHeight="1">
      <x:c r="A1698" s="256" t="n">
        <x:f>-12+88*0.01</x:f>
        <x:v>-11.12</x:v>
      </x:c>
      <x:c r="B1698" s="256" t="n">
        <x:f>IF(COUNT($B$129:$L$129)=11,B$129*EXP(IF(A1698&lt;0,(10-0)*A1698,-0*A1698))+C$129*EXP(IF(A1698&lt;0,(10-1)*A1698,-1*A1698))+D$129*EXP(IF(A1698&lt;0,(10-2)*A1698,-2*A1698))+E$129*EXP(IF(A1698&lt;0,(10-3)*A1698,-3*A1698))+F$129*EXP(IF(A1698&lt;0,(10-4)*A1698,-4*A1698))+G$129*EXP(IF(A1698&lt;0,(10-5)*A1698,-5*A1698))+H$129*EXP(IF(A1698&lt;0,(10-6)*A1698,-6*A1698))+I$129*EXP(IF(A1698&lt;0,(10-7)*A1698,-7*A1698))+J$129*EXP(IF(A1698&lt;0,(10-8)*A1698,-8*A1698))+K$129*EXP(IF(A1698&lt;0,(10-9)*A1698,-9*A1698))+L$129*EXP(IF(A1698&lt;0,(10-10)*A1698,-10*A1698)),0)</x:f>
        <x:v>781747.3565395179</x:v>
      </x:c>
      <x:c r="C1698" s="256" t="n">
        <x:f>IF(B1698=0,IF(B1697=0,0,1),IF(B1697=0,0,IF(SIGN(B1698)&lt;&gt;SIGN(B1697),1,0)))</x:f>
        <x:v>0</x:v>
      </x:c>
      <x:c r="D1698" s="256" t="n">
        <x:f>EXP(A1698-0.005)-1</x:f>
        <x:v>-0.9999852608007848</x:v>
      </x:c>
    </x:row>
    <x:row r="1699" ht="20" customHeight="1">
      <x:c r="A1699" s="256" t="n">
        <x:f>-12+89*0.01</x:f>
        <x:v>-11.11</x:v>
      </x:c>
      <x:c r="B1699" s="256" t="n">
        <x:f>IF(COUNT($B$129:$L$129)=11,B$129*EXP(IF(A1699&lt;0,(10-0)*A1699,-0*A1699))+C$129*EXP(IF(A1699&lt;0,(10-1)*A1699,-1*A1699))+D$129*EXP(IF(A1699&lt;0,(10-2)*A1699,-2*A1699))+E$129*EXP(IF(A1699&lt;0,(10-3)*A1699,-3*A1699))+F$129*EXP(IF(A1699&lt;0,(10-4)*A1699,-4*A1699))+G$129*EXP(IF(A1699&lt;0,(10-5)*A1699,-5*A1699))+H$129*EXP(IF(A1699&lt;0,(10-6)*A1699,-6*A1699))+I$129*EXP(IF(A1699&lt;0,(10-7)*A1699,-7*A1699))+J$129*EXP(IF(A1699&lt;0,(10-8)*A1699,-8*A1699))+K$129*EXP(IF(A1699&lt;0,(10-9)*A1699,-9*A1699))+L$129*EXP(IF(A1699&lt;0,(10-10)*A1699,-10*A1699)),0)</x:f>
        <x:v>781747.3584141622</x:v>
      </x:c>
      <x:c r="C1699" s="256" t="n">
        <x:f>IF(B1699=0,IF(B1698=0,0,1),IF(B1698=0,0,IF(SIGN(B1699)&lt;&gt;SIGN(B1698),1,0)))</x:f>
        <x:v>0</x:v>
      </x:c>
      <x:c r="D1699" s="256" t="n">
        <x:f>EXP(A1699-0.005)-1</x:f>
        <x:v>-0.99998511266937</x:v>
      </x:c>
    </x:row>
    <x:row r="1700" ht="20" customHeight="1">
      <x:c r="A1700" s="256" t="n">
        <x:f>-12+90*0.01</x:f>
        <x:v>-11.1</x:v>
      </x:c>
      <x:c r="B1700" s="256" t="n">
        <x:f>IF(COUNT($B$129:$L$129)=11,B$129*EXP(IF(A1700&lt;0,(10-0)*A1700,-0*A1700))+C$129*EXP(IF(A1700&lt;0,(10-1)*A1700,-1*A1700))+D$129*EXP(IF(A1700&lt;0,(10-2)*A1700,-2*A1700))+E$129*EXP(IF(A1700&lt;0,(10-3)*A1700,-3*A1700))+F$129*EXP(IF(A1700&lt;0,(10-4)*A1700,-4*A1700))+G$129*EXP(IF(A1700&lt;0,(10-5)*A1700,-5*A1700))+H$129*EXP(IF(A1700&lt;0,(10-6)*A1700,-6*A1700))+I$129*EXP(IF(A1700&lt;0,(10-7)*A1700,-7*A1700))+J$129*EXP(IF(A1700&lt;0,(10-8)*A1700,-8*A1700))+K$129*EXP(IF(A1700&lt;0,(10-9)*A1700,-9*A1700))+L$129*EXP(IF(A1700&lt;0,(10-10)*A1700,-10*A1700)),0)</x:f>
        <x:v>781747.3603076475</x:v>
      </x:c>
      <x:c r="C1700" s="256" t="n">
        <x:f>IF(B1700=0,IF(B1699=0,0,1),IF(B1699=0,0,IF(SIGN(B1700)&lt;&gt;SIGN(B1699),1,0)))</x:f>
        <x:v>0</x:v>
      </x:c>
      <x:c r="D1700" s="256" t="n">
        <x:f>EXP(A1700-0.005)-1</x:f>
        <x:v>-0.9999849630492097</x:v>
      </x:c>
    </x:row>
    <x:row r="1701" ht="20" customHeight="1">
      <x:c r="A1701" s="256" t="n">
        <x:f>-12+91*0.01</x:f>
        <x:v>-11.09</x:v>
      </x:c>
      <x:c r="B1701" s="256" t="n">
        <x:f>IF(COUNT($B$129:$L$129)=11,B$129*EXP(IF(A1701&lt;0,(10-0)*A1701,-0*A1701))+C$129*EXP(IF(A1701&lt;0,(10-1)*A1701,-1*A1701))+D$129*EXP(IF(A1701&lt;0,(10-2)*A1701,-2*A1701))+E$129*EXP(IF(A1701&lt;0,(10-3)*A1701,-3*A1701))+F$129*EXP(IF(A1701&lt;0,(10-4)*A1701,-4*A1701))+G$129*EXP(IF(A1701&lt;0,(10-5)*A1701,-5*A1701))+H$129*EXP(IF(A1701&lt;0,(10-6)*A1701,-6*A1701))+I$129*EXP(IF(A1701&lt;0,(10-7)*A1701,-7*A1701))+J$129*EXP(IF(A1701&lt;0,(10-8)*A1701,-8*A1701))+K$129*EXP(IF(A1701&lt;0,(10-9)*A1701,-9*A1701))+L$129*EXP(IF(A1701&lt;0,(10-10)*A1701,-10*A1701)),0)</x:f>
        <x:v>781747.3622201631</x:v>
      </x:c>
      <x:c r="C1701" s="256" t="n">
        <x:f>IF(B1701=0,IF(B1700=0,0,1),IF(B1700=0,0,IF(SIGN(B1701)&lt;&gt;SIGN(B1700),1,0)))</x:f>
        <x:v>0</x:v>
      </x:c>
      <x:c r="D1701" s="256" t="n">
        <x:f>EXP(A1701-0.005)-1</x:f>
        <x:v>-0.9999848119253417</x:v>
      </x:c>
    </x:row>
    <x:row r="1702" ht="20" customHeight="1">
      <x:c r="A1702" s="256" t="n">
        <x:f>-12+92*0.01</x:f>
        <x:v>-11.08</x:v>
      </x:c>
      <x:c r="B1702" s="256" t="n">
        <x:f>IF(COUNT($B$129:$L$129)=11,B$129*EXP(IF(A1702&lt;0,(10-0)*A1702,-0*A1702))+C$129*EXP(IF(A1702&lt;0,(10-1)*A1702,-1*A1702))+D$129*EXP(IF(A1702&lt;0,(10-2)*A1702,-2*A1702))+E$129*EXP(IF(A1702&lt;0,(10-3)*A1702,-3*A1702))+F$129*EXP(IF(A1702&lt;0,(10-4)*A1702,-4*A1702))+G$129*EXP(IF(A1702&lt;0,(10-5)*A1702,-5*A1702))+H$129*EXP(IF(A1702&lt;0,(10-6)*A1702,-6*A1702))+I$129*EXP(IF(A1702&lt;0,(10-7)*A1702,-7*A1702))+J$129*EXP(IF(A1702&lt;0,(10-8)*A1702,-8*A1702))+K$129*EXP(IF(A1702&lt;0,(10-9)*A1702,-9*A1702))+L$129*EXP(IF(A1702&lt;0,(10-10)*A1702,-10*A1702)),0)</x:f>
        <x:v>781747.3641519002</x:v>
      </x:c>
      <x:c r="C1702" s="256" t="n">
        <x:f>IF(B1702=0,IF(B1701=0,0,1),IF(B1701=0,0,IF(SIGN(B1702)&lt;&gt;SIGN(B1701),1,0)))</x:f>
        <x:v>0</x:v>
      </x:c>
      <x:c r="D1702" s="256" t="n">
        <x:f>EXP(A1702-0.005)-1</x:f>
        <x:v>-0.9999846592826538</x:v>
      </x:c>
    </x:row>
    <x:row r="1703" ht="20" customHeight="1">
      <x:c r="A1703" s="256" t="n">
        <x:f>-12+93*0.01</x:f>
        <x:v>-11.07</x:v>
      </x:c>
      <x:c r="B1703" s="256" t="n">
        <x:f>IF(COUNT($B$129:$L$129)=11,B$129*EXP(IF(A1703&lt;0,(10-0)*A1703,-0*A1703))+C$129*EXP(IF(A1703&lt;0,(10-1)*A1703,-1*A1703))+D$129*EXP(IF(A1703&lt;0,(10-2)*A1703,-2*A1703))+E$129*EXP(IF(A1703&lt;0,(10-3)*A1703,-3*A1703))+F$129*EXP(IF(A1703&lt;0,(10-4)*A1703,-4*A1703))+G$129*EXP(IF(A1703&lt;0,(10-5)*A1703,-5*A1703))+H$129*EXP(IF(A1703&lt;0,(10-6)*A1703,-6*A1703))+I$129*EXP(IF(A1703&lt;0,(10-7)*A1703,-7*A1703))+J$129*EXP(IF(A1703&lt;0,(10-8)*A1703,-8*A1703))+K$129*EXP(IF(A1703&lt;0,(10-9)*A1703,-9*A1703))+L$129*EXP(IF(A1703&lt;0,(10-10)*A1703,-10*A1703)),0)</x:f>
        <x:v>781747.366103052</x:v>
      </x:c>
      <x:c r="C1703" s="256" t="n">
        <x:f>IF(B1703=0,IF(B1702=0,0,1),IF(B1702=0,0,IF(SIGN(B1703)&lt;&gt;SIGN(B1702),1,0)))</x:f>
        <x:v>0</x:v>
      </x:c>
      <x:c r="D1703" s="256" t="n">
        <x:f>EXP(A1703-0.005)-1</x:f>
        <x:v>-0.9999845051058812</x:v>
      </x:c>
    </x:row>
    <x:row r="1704" ht="20" customHeight="1">
      <x:c r="A1704" s="256" t="n">
        <x:f>-12+94*0.01</x:f>
        <x:v>-11.06</x:v>
      </x:c>
      <x:c r="B1704" s="256" t="n">
        <x:f>IF(COUNT($B$129:$L$129)=11,B$129*EXP(IF(A1704&lt;0,(10-0)*A1704,-0*A1704))+C$129*EXP(IF(A1704&lt;0,(10-1)*A1704,-1*A1704))+D$129*EXP(IF(A1704&lt;0,(10-2)*A1704,-2*A1704))+E$129*EXP(IF(A1704&lt;0,(10-3)*A1704,-3*A1704))+F$129*EXP(IF(A1704&lt;0,(10-4)*A1704,-4*A1704))+G$129*EXP(IF(A1704&lt;0,(10-5)*A1704,-5*A1704))+H$129*EXP(IF(A1704&lt;0,(10-6)*A1704,-6*A1704))+I$129*EXP(IF(A1704&lt;0,(10-7)*A1704,-7*A1704))+J$129*EXP(IF(A1704&lt;0,(10-8)*A1704,-8*A1704))+K$129*EXP(IF(A1704&lt;0,(10-9)*A1704,-9*A1704))+L$129*EXP(IF(A1704&lt;0,(10-10)*A1704,-10*A1704)),0)</x:f>
        <x:v>781747.3680738139</x:v>
      </x:c>
      <x:c r="C1704" s="256" t="n">
        <x:f>IF(B1704=0,IF(B1703=0,0,1),IF(B1703=0,0,IF(SIGN(B1704)&lt;&gt;SIGN(B1703),1,0)))</x:f>
        <x:v>0</x:v>
      </x:c>
      <x:c r="D1704" s="256" t="n">
        <x:f>EXP(A1704-0.005)-1</x:f>
        <x:v>-0.9999843493796063</x:v>
      </x:c>
    </x:row>
    <x:row r="1705" ht="20" customHeight="1">
      <x:c r="A1705" s="256" t="n">
        <x:f>-12+95*0.01</x:f>
        <x:v>-11.05</x:v>
      </x:c>
      <x:c r="B1705" s="256" t="n">
        <x:f>IF(COUNT($B$129:$L$129)=11,B$129*EXP(IF(A1705&lt;0,(10-0)*A1705,-0*A1705))+C$129*EXP(IF(A1705&lt;0,(10-1)*A1705,-1*A1705))+D$129*EXP(IF(A1705&lt;0,(10-2)*A1705,-2*A1705))+E$129*EXP(IF(A1705&lt;0,(10-3)*A1705,-3*A1705))+F$129*EXP(IF(A1705&lt;0,(10-4)*A1705,-4*A1705))+G$129*EXP(IF(A1705&lt;0,(10-5)*A1705,-5*A1705))+H$129*EXP(IF(A1705&lt;0,(10-6)*A1705,-6*A1705))+I$129*EXP(IF(A1705&lt;0,(10-7)*A1705,-7*A1705))+J$129*EXP(IF(A1705&lt;0,(10-8)*A1705,-8*A1705))+K$129*EXP(IF(A1705&lt;0,(10-9)*A1705,-9*A1705))+L$129*EXP(IF(A1705&lt;0,(10-10)*A1705,-10*A1705)),0)</x:f>
        <x:v>781747.3700643826</x:v>
      </x:c>
      <x:c r="C1705" s="256" t="n">
        <x:f>IF(B1705=0,IF(B1704=0,0,1),IF(B1704=0,0,IF(SIGN(B1705)&lt;&gt;SIGN(B1704),1,0)))</x:f>
        <x:v>0</x:v>
      </x:c>
      <x:c r="D1705" s="256" t="n">
        <x:f>EXP(A1705-0.005)-1</x:f>
        <x:v>-0.9999841920882565</x:v>
      </x:c>
    </x:row>
    <x:row r="1706" ht="20" customHeight="1">
      <x:c r="A1706" s="256" t="n">
        <x:f>-12+96*0.01</x:f>
        <x:v>-11.04</x:v>
      </x:c>
      <x:c r="B1706" s="256" t="n">
        <x:f>IF(COUNT($B$129:$L$129)=11,B$129*EXP(IF(A1706&lt;0,(10-0)*A1706,-0*A1706))+C$129*EXP(IF(A1706&lt;0,(10-1)*A1706,-1*A1706))+D$129*EXP(IF(A1706&lt;0,(10-2)*A1706,-2*A1706))+E$129*EXP(IF(A1706&lt;0,(10-3)*A1706,-3*A1706))+F$129*EXP(IF(A1706&lt;0,(10-4)*A1706,-4*A1706))+G$129*EXP(IF(A1706&lt;0,(10-5)*A1706,-5*A1706))+H$129*EXP(IF(A1706&lt;0,(10-6)*A1706,-6*A1706))+I$129*EXP(IF(A1706&lt;0,(10-7)*A1706,-7*A1706))+J$129*EXP(IF(A1706&lt;0,(10-8)*A1706,-8*A1706))+K$129*EXP(IF(A1706&lt;0,(10-9)*A1706,-9*A1706))+L$129*EXP(IF(A1706&lt;0,(10-10)*A1706,-10*A1706)),0)</x:f>
        <x:v>781747.3720749572</x:v>
      </x:c>
      <x:c r="C1706" s="256" t="n">
        <x:f>IF(B1706=0,IF(B1705=0,0,1),IF(B1705=0,0,IF(SIGN(B1706)&lt;&gt;SIGN(B1705),1,0)))</x:f>
        <x:v>0</x:v>
      </x:c>
      <x:c r="D1706" s="256" t="n">
        <x:f>EXP(A1706-0.005)-1</x:f>
        <x:v>-0.9999840332161022</x:v>
      </x:c>
    </x:row>
    <x:row r="1707" ht="20" customHeight="1">
      <x:c r="A1707" s="256" t="n">
        <x:f>-12+97*0.01</x:f>
        <x:v>-11.03</x:v>
      </x:c>
      <x:c r="B1707" s="256" t="n">
        <x:f>IF(COUNT($B$129:$L$129)=11,B$129*EXP(IF(A1707&lt;0,(10-0)*A1707,-0*A1707))+C$129*EXP(IF(A1707&lt;0,(10-1)*A1707,-1*A1707))+D$129*EXP(IF(A1707&lt;0,(10-2)*A1707,-2*A1707))+E$129*EXP(IF(A1707&lt;0,(10-3)*A1707,-3*A1707))+F$129*EXP(IF(A1707&lt;0,(10-4)*A1707,-4*A1707))+G$129*EXP(IF(A1707&lt;0,(10-5)*A1707,-5*A1707))+H$129*EXP(IF(A1707&lt;0,(10-6)*A1707,-6*A1707))+I$129*EXP(IF(A1707&lt;0,(10-7)*A1707,-7*A1707))+J$129*EXP(IF(A1707&lt;0,(10-8)*A1707,-8*A1707))+K$129*EXP(IF(A1707&lt;0,(10-9)*A1707,-9*A1707))+L$129*EXP(IF(A1707&lt;0,(10-10)*A1707,-10*A1707)),0)</x:f>
        <x:v>781747.374105739</x:v>
      </x:c>
      <x:c r="C1707" s="256" t="n">
        <x:f>IF(B1707=0,IF(B1706=0,0,1),IF(B1706=0,0,IF(SIGN(B1707)&lt;&gt;SIGN(B1706),1,0)))</x:f>
        <x:v>0</x:v>
      </x:c>
      <x:c r="D1707" s="256" t="n">
        <x:f>EXP(A1707-0.005)-1</x:f>
        <x:v>-0.9999838727472562</x:v>
      </x:c>
    </x:row>
    <x:row r="1708" ht="20" customHeight="1">
      <x:c r="A1708" s="256" t="n">
        <x:f>-12+98*0.01</x:f>
        <x:v>-11.02</x:v>
      </x:c>
      <x:c r="B1708" s="256" t="n">
        <x:f>IF(COUNT($B$129:$L$129)=11,B$129*EXP(IF(A1708&lt;0,(10-0)*A1708,-0*A1708))+C$129*EXP(IF(A1708&lt;0,(10-1)*A1708,-1*A1708))+D$129*EXP(IF(A1708&lt;0,(10-2)*A1708,-2*A1708))+E$129*EXP(IF(A1708&lt;0,(10-3)*A1708,-3*A1708))+F$129*EXP(IF(A1708&lt;0,(10-4)*A1708,-4*A1708))+G$129*EXP(IF(A1708&lt;0,(10-5)*A1708,-5*A1708))+H$129*EXP(IF(A1708&lt;0,(10-6)*A1708,-6*A1708))+I$129*EXP(IF(A1708&lt;0,(10-7)*A1708,-7*A1708))+J$129*EXP(IF(A1708&lt;0,(10-8)*A1708,-8*A1708))+K$129*EXP(IF(A1708&lt;0,(10-9)*A1708,-9*A1708))+L$129*EXP(IF(A1708&lt;0,(10-10)*A1708,-10*A1708)),0)</x:f>
        <x:v>781747.3761569312</x:v>
      </x:c>
      <x:c r="C1708" s="256" t="n">
        <x:f>IF(B1708=0,IF(B1707=0,0,1),IF(B1707=0,0,IF(SIGN(B1708)&lt;&gt;SIGN(B1707),1,0)))</x:f>
        <x:v>0</x:v>
      </x:c>
      <x:c r="D1708" s="256" t="n">
        <x:f>EXP(A1708-0.005)-1</x:f>
        <x:v>-0.9999837106656715</x:v>
      </x:c>
    </x:row>
    <x:row r="1709" ht="20" customHeight="1">
      <x:c r="A1709" s="256" t="n">
        <x:f>-12+99*0.01</x:f>
        <x:v>-11.01</x:v>
      </x:c>
      <x:c r="B1709" s="256" t="n">
        <x:f>IF(COUNT($B$129:$L$129)=11,B$129*EXP(IF(A1709&lt;0,(10-0)*A1709,-0*A1709))+C$129*EXP(IF(A1709&lt;0,(10-1)*A1709,-1*A1709))+D$129*EXP(IF(A1709&lt;0,(10-2)*A1709,-2*A1709))+E$129*EXP(IF(A1709&lt;0,(10-3)*A1709,-3*A1709))+F$129*EXP(IF(A1709&lt;0,(10-4)*A1709,-4*A1709))+G$129*EXP(IF(A1709&lt;0,(10-5)*A1709,-5*A1709))+H$129*EXP(IF(A1709&lt;0,(10-6)*A1709,-6*A1709))+I$129*EXP(IF(A1709&lt;0,(10-7)*A1709,-7*A1709))+J$129*EXP(IF(A1709&lt;0,(10-8)*A1709,-8*A1709))+K$129*EXP(IF(A1709&lt;0,(10-9)*A1709,-9*A1709))+L$129*EXP(IF(A1709&lt;0,(10-10)*A1709,-10*A1709)),0)</x:f>
        <x:v>781747.3782287386</x:v>
      </x:c>
      <x:c r="C1709" s="256" t="n">
        <x:f>IF(B1709=0,IF(B1708=0,0,1),IF(B1708=0,0,IF(SIGN(B1709)&lt;&gt;SIGN(B1708),1,0)))</x:f>
        <x:v>0</x:v>
      </x:c>
      <x:c r="D1709" s="256" t="n">
        <x:f>EXP(A1709-0.005)-1</x:f>
        <x:v>-0.9999835469551398</x:v>
      </x:c>
    </x:row>
    <x:row r="1710" ht="20" customHeight="1">
      <x:c r="A1710" s="256" t="n">
        <x:f>-12+100*0.01</x:f>
        <x:v>-11</x:v>
      </x:c>
      <x:c r="B1710" s="256" t="n">
        <x:f>IF(COUNT($B$129:$L$129)=11,B$129*EXP(IF(A1710&lt;0,(10-0)*A1710,-0*A1710))+C$129*EXP(IF(A1710&lt;0,(10-1)*A1710,-1*A1710))+D$129*EXP(IF(A1710&lt;0,(10-2)*A1710,-2*A1710))+E$129*EXP(IF(A1710&lt;0,(10-3)*A1710,-3*A1710))+F$129*EXP(IF(A1710&lt;0,(10-4)*A1710,-4*A1710))+G$129*EXP(IF(A1710&lt;0,(10-5)*A1710,-5*A1710))+H$129*EXP(IF(A1710&lt;0,(10-6)*A1710,-6*A1710))+I$129*EXP(IF(A1710&lt;0,(10-7)*A1710,-7*A1710))+J$129*EXP(IF(A1710&lt;0,(10-8)*A1710,-8*A1710))+K$129*EXP(IF(A1710&lt;0,(10-9)*A1710,-9*A1710))+L$129*EXP(IF(A1710&lt;0,(10-10)*A1710,-10*A1710)),0)</x:f>
        <x:v>781747.3803213685</x:v>
      </x:c>
      <x:c r="C1710" s="256" t="n">
        <x:f>IF(B1710=0,IF(B1709=0,0,1),IF(B1709=0,0,IF(SIGN(B1710)&lt;&gt;SIGN(B1709),1,0)))</x:f>
        <x:v>0</x:v>
      </x:c>
      <x:c r="D1710" s="256" t="n">
        <x:f>EXP(A1710-0.005)-1</x:f>
        <x:v>-0.99998338159929</x:v>
      </x:c>
    </x:row>
    <x:row r="1711" ht="20" customHeight="1">
      <x:c r="A1711" s="256" t="n">
        <x:f>-12+101*0.01</x:f>
        <x:v>-10.99</x:v>
      </x:c>
      <x:c r="B1711" s="256" t="n">
        <x:f>IF(COUNT($B$129:$L$129)=11,B$129*EXP(IF(A1711&lt;0,(10-0)*A1711,-0*A1711))+C$129*EXP(IF(A1711&lt;0,(10-1)*A1711,-1*A1711))+D$129*EXP(IF(A1711&lt;0,(10-2)*A1711,-2*A1711))+E$129*EXP(IF(A1711&lt;0,(10-3)*A1711,-3*A1711))+F$129*EXP(IF(A1711&lt;0,(10-4)*A1711,-4*A1711))+G$129*EXP(IF(A1711&lt;0,(10-5)*A1711,-5*A1711))+H$129*EXP(IF(A1711&lt;0,(10-6)*A1711,-6*A1711))+I$129*EXP(IF(A1711&lt;0,(10-7)*A1711,-7*A1711))+J$129*EXP(IF(A1711&lt;0,(10-8)*A1711,-8*A1711))+K$129*EXP(IF(A1711&lt;0,(10-9)*A1711,-9*A1711))+L$129*EXP(IF(A1711&lt;0,(10-10)*A1711,-10*A1711)),0)</x:f>
        <x:v>781747.3824350302</x:v>
      </x:c>
      <x:c r="C1711" s="256" t="n">
        <x:f>IF(B1711=0,IF(B1710=0,0,1),IF(B1710=0,0,IF(SIGN(B1711)&lt;&gt;SIGN(B1710),1,0)))</x:f>
        <x:v>0</x:v>
      </x:c>
      <x:c r="D1711" s="256" t="n">
        <x:f>EXP(A1711-0.005)-1</x:f>
        <x:v>-0.9999832145815861</x:v>
      </x:c>
    </x:row>
    <x:row r="1712" ht="20" customHeight="1">
      <x:c r="A1712" s="256" t="n">
        <x:f>-12+102*0.01</x:f>
        <x:v>-10.98</x:v>
      </x:c>
      <x:c r="B1712" s="256" t="n">
        <x:f>IF(COUNT($B$129:$L$129)=11,B$129*EXP(IF(A1712&lt;0,(10-0)*A1712,-0*A1712))+C$129*EXP(IF(A1712&lt;0,(10-1)*A1712,-1*A1712))+D$129*EXP(IF(A1712&lt;0,(10-2)*A1712,-2*A1712))+E$129*EXP(IF(A1712&lt;0,(10-3)*A1712,-3*A1712))+F$129*EXP(IF(A1712&lt;0,(10-4)*A1712,-4*A1712))+G$129*EXP(IF(A1712&lt;0,(10-5)*A1712,-5*A1712))+H$129*EXP(IF(A1712&lt;0,(10-6)*A1712,-6*A1712))+I$129*EXP(IF(A1712&lt;0,(10-7)*A1712,-7*A1712))+J$129*EXP(IF(A1712&lt;0,(10-8)*A1712,-8*A1712))+K$129*EXP(IF(A1712&lt;0,(10-9)*A1712,-9*A1712))+L$129*EXP(IF(A1712&lt;0,(10-10)*A1712,-10*A1712)),0)</x:f>
        <x:v>781747.3845699352</x:v>
      </x:c>
      <x:c r="C1712" s="256" t="n">
        <x:f>IF(B1712=0,IF(B1711=0,0,1),IF(B1711=0,0,IF(SIGN(B1712)&lt;&gt;SIGN(B1711),1,0)))</x:f>
        <x:v>0</x:v>
      </x:c>
      <x:c r="D1712" s="256" t="n">
        <x:f>EXP(A1712-0.005)-1</x:f>
        <x:v>-0.9999830458853265</x:v>
      </x:c>
    </x:row>
    <x:row r="1713" ht="20" customHeight="1">
      <x:c r="A1713" s="256" t="n">
        <x:f>-12+103*0.01</x:f>
        <x:v>-10.97</x:v>
      </x:c>
      <x:c r="B1713" s="256" t="n">
        <x:f>IF(COUNT($B$129:$L$129)=11,B$129*EXP(IF(A1713&lt;0,(10-0)*A1713,-0*A1713))+C$129*EXP(IF(A1713&lt;0,(10-1)*A1713,-1*A1713))+D$129*EXP(IF(A1713&lt;0,(10-2)*A1713,-2*A1713))+E$129*EXP(IF(A1713&lt;0,(10-3)*A1713,-3*A1713))+F$129*EXP(IF(A1713&lt;0,(10-4)*A1713,-4*A1713))+G$129*EXP(IF(A1713&lt;0,(10-5)*A1713,-5*A1713))+H$129*EXP(IF(A1713&lt;0,(10-6)*A1713,-6*A1713))+I$129*EXP(IF(A1713&lt;0,(10-7)*A1713,-7*A1713))+J$129*EXP(IF(A1713&lt;0,(10-8)*A1713,-8*A1713))+K$129*EXP(IF(A1713&lt;0,(10-9)*A1713,-9*A1713))+L$129*EXP(IF(A1713&lt;0,(10-10)*A1713,-10*A1713)),0)</x:f>
        <x:v>781747.3867262967</x:v>
      </x:c>
      <x:c r="C1713" s="256" t="n">
        <x:f>IF(B1713=0,IF(B1712=0,0,1),IF(B1712=0,0,IF(SIGN(B1713)&lt;&gt;SIGN(B1712),1,0)))</x:f>
        <x:v>0</x:v>
      </x:c>
      <x:c r="D1713" s="256" t="n">
        <x:f>EXP(A1713-0.005)-1</x:f>
        <x:v>-0.9999828754936413</x:v>
      </x:c>
    </x:row>
    <x:row r="1714" ht="20" customHeight="1">
      <x:c r="A1714" s="256" t="n">
        <x:f>-12+104*0.01</x:f>
        <x:v>-10.96</x:v>
      </x:c>
      <x:c r="B1714" s="256" t="n">
        <x:f>IF(COUNT($B$129:$L$129)=11,B$129*EXP(IF(A1714&lt;0,(10-0)*A1714,-0*A1714))+C$129*EXP(IF(A1714&lt;0,(10-1)*A1714,-1*A1714))+D$129*EXP(IF(A1714&lt;0,(10-2)*A1714,-2*A1714))+E$129*EXP(IF(A1714&lt;0,(10-3)*A1714,-3*A1714))+F$129*EXP(IF(A1714&lt;0,(10-4)*A1714,-4*A1714))+G$129*EXP(IF(A1714&lt;0,(10-5)*A1714,-5*A1714))+H$129*EXP(IF(A1714&lt;0,(10-6)*A1714,-6*A1714))+I$129*EXP(IF(A1714&lt;0,(10-7)*A1714,-7*A1714))+J$129*EXP(IF(A1714&lt;0,(10-8)*A1714,-8*A1714))+K$129*EXP(IF(A1714&lt;0,(10-9)*A1714,-9*A1714))+L$129*EXP(IF(A1714&lt;0,(10-10)*A1714,-10*A1714)),0)</x:f>
        <x:v>781747.3889043308</x:v>
      </x:c>
      <x:c r="C1714" s="256" t="n">
        <x:f>IF(B1714=0,IF(B1713=0,0,1),IF(B1713=0,0,IF(SIGN(B1714)&lt;&gt;SIGN(B1713),1,0)))</x:f>
        <x:v>0</x:v>
      </x:c>
      <x:c r="D1714" s="256" t="n">
        <x:f>EXP(A1714-0.005)-1</x:f>
        <x:v>-0.9999827033894911</x:v>
      </x:c>
    </x:row>
    <x:row r="1715" ht="20" customHeight="1">
      <x:c r="A1715" s="256" t="n">
        <x:f>-12+105*0.01</x:f>
        <x:v>-10.95</x:v>
      </x:c>
      <x:c r="B1715" s="256" t="n">
        <x:f>IF(COUNT($B$129:$L$129)=11,B$129*EXP(IF(A1715&lt;0,(10-0)*A1715,-0*A1715))+C$129*EXP(IF(A1715&lt;0,(10-1)*A1715,-1*A1715))+D$129*EXP(IF(A1715&lt;0,(10-2)*A1715,-2*A1715))+E$129*EXP(IF(A1715&lt;0,(10-3)*A1715,-3*A1715))+F$129*EXP(IF(A1715&lt;0,(10-4)*A1715,-4*A1715))+G$129*EXP(IF(A1715&lt;0,(10-5)*A1715,-5*A1715))+H$129*EXP(IF(A1715&lt;0,(10-6)*A1715,-6*A1715))+I$129*EXP(IF(A1715&lt;0,(10-7)*A1715,-7*A1715))+J$129*EXP(IF(A1715&lt;0,(10-8)*A1715,-8*A1715))+K$129*EXP(IF(A1715&lt;0,(10-9)*A1715,-9*A1715))+L$129*EXP(IF(A1715&lt;0,(10-10)*A1715,-10*A1715)),0)</x:f>
        <x:v>781747.391104255</x:v>
      </x:c>
      <x:c r="C1715" s="256" t="n">
        <x:f>IF(B1715=0,IF(B1714=0,0,1),IF(B1714=0,0,IF(SIGN(B1715)&lt;&gt;SIGN(B1714),1,0)))</x:f>
        <x:v>0</x:v>
      </x:c>
      <x:c r="D1715" s="256" t="n">
        <x:f>EXP(A1715-0.005)-1</x:f>
        <x:v>-0.9999825295556656</x:v>
      </x:c>
    </x:row>
    <x:row r="1716" ht="20" customHeight="1">
      <x:c r="A1716" s="256" t="n">
        <x:f>-12+106*0.01</x:f>
        <x:v>-10.94</x:v>
      </x:c>
      <x:c r="B1716" s="256" t="n">
        <x:f>IF(COUNT($B$129:$L$129)=11,B$129*EXP(IF(A1716&lt;0,(10-0)*A1716,-0*A1716))+C$129*EXP(IF(A1716&lt;0,(10-1)*A1716,-1*A1716))+D$129*EXP(IF(A1716&lt;0,(10-2)*A1716,-2*A1716))+E$129*EXP(IF(A1716&lt;0,(10-3)*A1716,-3*A1716))+F$129*EXP(IF(A1716&lt;0,(10-4)*A1716,-4*A1716))+G$129*EXP(IF(A1716&lt;0,(10-5)*A1716,-5*A1716))+H$129*EXP(IF(A1716&lt;0,(10-6)*A1716,-6*A1716))+I$129*EXP(IF(A1716&lt;0,(10-7)*A1716,-7*A1716))+J$129*EXP(IF(A1716&lt;0,(10-8)*A1716,-8*A1716))+K$129*EXP(IF(A1716&lt;0,(10-9)*A1716,-9*A1716))+L$129*EXP(IF(A1716&lt;0,(10-10)*A1716,-10*A1716)),0)</x:f>
        <x:v>781747.3933262894</x:v>
      </x:c>
      <x:c r="C1716" s="256" t="n">
        <x:f>IF(B1716=0,IF(B1715=0,0,1),IF(B1715=0,0,IF(SIGN(B1716)&lt;&gt;SIGN(B1715),1,0)))</x:f>
        <x:v>0</x:v>
      </x:c>
      <x:c r="D1716" s="256" t="n">
        <x:f>EXP(A1716-0.005)-1</x:f>
        <x:v>-0.999982353974781</x:v>
      </x:c>
    </x:row>
    <x:row r="1717" ht="20" customHeight="1">
      <x:c r="A1717" s="256" t="n">
        <x:f>-12+107*0.01</x:f>
        <x:v>-10.93</x:v>
      </x:c>
      <x:c r="B1717" s="256" t="n">
        <x:f>IF(COUNT($B$129:$L$129)=11,B$129*EXP(IF(A1717&lt;0,(10-0)*A1717,-0*A1717))+C$129*EXP(IF(A1717&lt;0,(10-1)*A1717,-1*A1717))+D$129*EXP(IF(A1717&lt;0,(10-2)*A1717,-2*A1717))+E$129*EXP(IF(A1717&lt;0,(10-3)*A1717,-3*A1717))+F$129*EXP(IF(A1717&lt;0,(10-4)*A1717,-4*A1717))+G$129*EXP(IF(A1717&lt;0,(10-5)*A1717,-5*A1717))+H$129*EXP(IF(A1717&lt;0,(10-6)*A1717,-6*A1717))+I$129*EXP(IF(A1717&lt;0,(10-7)*A1717,-7*A1717))+J$129*EXP(IF(A1717&lt;0,(10-8)*A1717,-8*A1717))+K$129*EXP(IF(A1717&lt;0,(10-9)*A1717,-9*A1717))+L$129*EXP(IF(A1717&lt;0,(10-10)*A1717,-10*A1717)),0)</x:f>
        <x:v>781747.3955706562</x:v>
      </x:c>
      <x:c r="C1717" s="256" t="n">
        <x:f>IF(B1717=0,IF(B1716=0,0,1),IF(B1716=0,0,IF(SIGN(B1717)&lt;&gt;SIGN(B1716),1,0)))</x:f>
        <x:v>0</x:v>
      </x:c>
      <x:c r="D1717" s="256" t="n">
        <x:f>EXP(A1717-0.005)-1</x:f>
        <x:v>-0.9999821766292791</x:v>
      </x:c>
    </x:row>
    <x:row r="1718" ht="20" customHeight="1">
      <x:c r="A1718" s="256" t="n">
        <x:f>-12+108*0.01</x:f>
        <x:v>-10.92</x:v>
      </x:c>
      <x:c r="B1718" s="256" t="n">
        <x:f>IF(COUNT($B$129:$L$129)=11,B$129*EXP(IF(A1718&lt;0,(10-0)*A1718,-0*A1718))+C$129*EXP(IF(A1718&lt;0,(10-1)*A1718,-1*A1718))+D$129*EXP(IF(A1718&lt;0,(10-2)*A1718,-2*A1718))+E$129*EXP(IF(A1718&lt;0,(10-3)*A1718,-3*A1718))+F$129*EXP(IF(A1718&lt;0,(10-4)*A1718,-4*A1718))+G$129*EXP(IF(A1718&lt;0,(10-5)*A1718,-5*A1718))+H$129*EXP(IF(A1718&lt;0,(10-6)*A1718,-6*A1718))+I$129*EXP(IF(A1718&lt;0,(10-7)*A1718,-7*A1718))+J$129*EXP(IF(A1718&lt;0,(10-8)*A1718,-8*A1718))+K$129*EXP(IF(A1718&lt;0,(10-9)*A1718,-9*A1718))+L$129*EXP(IF(A1718&lt;0,(10-10)*A1718,-10*A1718)),0)</x:f>
        <x:v>781747.39783758</x:v>
      </x:c>
      <x:c r="C1718" s="256" t="n">
        <x:f>IF(B1718=0,IF(B1717=0,0,1),IF(B1717=0,0,IF(SIGN(B1718)&lt;&gt;SIGN(B1717),1,0)))</x:f>
        <x:v>0</x:v>
      </x:c>
      <x:c r="D1718" s="256" t="n">
        <x:f>EXP(A1718-0.005)-1</x:f>
        <x:v>-0.9999819975014254</x:v>
      </x:c>
    </x:row>
    <x:row r="1719" ht="20" customHeight="1">
      <x:c r="A1719" s="256" t="n">
        <x:f>-12+109*0.01</x:f>
        <x:v>-10.91</x:v>
      </x:c>
      <x:c r="B1719" s="256" t="n">
        <x:f>IF(COUNT($B$129:$L$129)=11,B$129*EXP(IF(A1719&lt;0,(10-0)*A1719,-0*A1719))+C$129*EXP(IF(A1719&lt;0,(10-1)*A1719,-1*A1719))+D$129*EXP(IF(A1719&lt;0,(10-2)*A1719,-2*A1719))+E$129*EXP(IF(A1719&lt;0,(10-3)*A1719,-3*A1719))+F$129*EXP(IF(A1719&lt;0,(10-4)*A1719,-4*A1719))+G$129*EXP(IF(A1719&lt;0,(10-5)*A1719,-5*A1719))+H$129*EXP(IF(A1719&lt;0,(10-6)*A1719,-6*A1719))+I$129*EXP(IF(A1719&lt;0,(10-7)*A1719,-7*A1719))+J$129*EXP(IF(A1719&lt;0,(10-8)*A1719,-8*A1719))+K$129*EXP(IF(A1719&lt;0,(10-9)*A1719,-9*A1719))+L$129*EXP(IF(A1719&lt;0,(10-10)*A1719,-10*A1719)),0)</x:f>
        <x:v>781747.4001272873</x:v>
      </x:c>
      <x:c r="C1719" s="256" t="n">
        <x:f>IF(B1719=0,IF(B1718=0,0,1),IF(B1718=0,0,IF(SIGN(B1719)&lt;&gt;SIGN(B1718),1,0)))</x:f>
        <x:v>0</x:v>
      </x:c>
      <x:c r="D1719" s="256" t="n">
        <x:f>EXP(A1719-0.005)-1</x:f>
        <x:v>-0.9999818165733068</x:v>
      </x:c>
    </x:row>
    <x:row r="1720" ht="20" customHeight="1">
      <x:c r="A1720" s="256" t="n">
        <x:f>-12+110*0.01</x:f>
        <x:v>-10.9</x:v>
      </x:c>
      <x:c r="B1720" s="256" t="n">
        <x:f>IF(COUNT($B$129:$L$129)=11,B$129*EXP(IF(A1720&lt;0,(10-0)*A1720,-0*A1720))+C$129*EXP(IF(A1720&lt;0,(10-1)*A1720,-1*A1720))+D$129*EXP(IF(A1720&lt;0,(10-2)*A1720,-2*A1720))+E$129*EXP(IF(A1720&lt;0,(10-3)*A1720,-3*A1720))+F$129*EXP(IF(A1720&lt;0,(10-4)*A1720,-4*A1720))+G$129*EXP(IF(A1720&lt;0,(10-5)*A1720,-5*A1720))+H$129*EXP(IF(A1720&lt;0,(10-6)*A1720,-6*A1720))+I$129*EXP(IF(A1720&lt;0,(10-7)*A1720,-7*A1720))+J$129*EXP(IF(A1720&lt;0,(10-8)*A1720,-8*A1720))+K$129*EXP(IF(A1720&lt;0,(10-9)*A1720,-9*A1720))+L$129*EXP(IF(A1720&lt;0,(10-10)*A1720,-10*A1720)),0)</x:f>
        <x:v>781747.4024400071</x:v>
      </x:c>
      <x:c r="C1720" s="256" t="n">
        <x:f>IF(B1720=0,IF(B1719=0,0,1),IF(B1719=0,0,IF(SIGN(B1720)&lt;&gt;SIGN(B1719),1,0)))</x:f>
        <x:v>0</x:v>
      </x:c>
      <x:c r="D1720" s="256" t="n">
        <x:f>EXP(A1720-0.005)-1</x:f>
        <x:v>-0.9999816338268304</x:v>
      </x:c>
    </x:row>
    <x:row r="1721" ht="20" customHeight="1">
      <x:c r="A1721" s="256" t="n">
        <x:f>-12+111*0.01</x:f>
        <x:v>-10.89</x:v>
      </x:c>
      <x:c r="B1721" s="256" t="n">
        <x:f>IF(COUNT($B$129:$L$129)=11,B$129*EXP(IF(A1721&lt;0,(10-0)*A1721,-0*A1721))+C$129*EXP(IF(A1721&lt;0,(10-1)*A1721,-1*A1721))+D$129*EXP(IF(A1721&lt;0,(10-2)*A1721,-2*A1721))+E$129*EXP(IF(A1721&lt;0,(10-3)*A1721,-3*A1721))+F$129*EXP(IF(A1721&lt;0,(10-4)*A1721,-4*A1721))+G$129*EXP(IF(A1721&lt;0,(10-5)*A1721,-5*A1721))+H$129*EXP(IF(A1721&lt;0,(10-6)*A1721,-6*A1721))+I$129*EXP(IF(A1721&lt;0,(10-7)*A1721,-7*A1721))+J$129*EXP(IF(A1721&lt;0,(10-8)*A1721,-8*A1721))+K$129*EXP(IF(A1721&lt;0,(10-9)*A1721,-9*A1721))+L$129*EXP(IF(A1721&lt;0,(10-10)*A1721,-10*A1721)),0)</x:f>
        <x:v>781747.4047759708</x:v>
      </x:c>
      <x:c r="C1721" s="256" t="n">
        <x:f>IF(B1721=0,IF(B1720=0,0,1),IF(B1720=0,0,IF(SIGN(B1721)&lt;&gt;SIGN(B1720),1,0)))</x:f>
        <x:v>0</x:v>
      </x:c>
      <x:c r="D1721" s="256" t="n">
        <x:f>EXP(A1721-0.005)-1</x:f>
        <x:v>-0.9999814492437213</x:v>
      </x:c>
    </x:row>
    <x:row r="1722" ht="20" customHeight="1">
      <x:c r="A1722" s="256" t="n">
        <x:f>-12+112*0.01</x:f>
        <x:v>-10.879999999999999</x:v>
      </x:c>
      <x:c r="B1722" s="256" t="n">
        <x:f>IF(COUNT($B$129:$L$129)=11,B$129*EXP(IF(A1722&lt;0,(10-0)*A1722,-0*A1722))+C$129*EXP(IF(A1722&lt;0,(10-1)*A1722,-1*A1722))+D$129*EXP(IF(A1722&lt;0,(10-2)*A1722,-2*A1722))+E$129*EXP(IF(A1722&lt;0,(10-3)*A1722,-3*A1722))+F$129*EXP(IF(A1722&lt;0,(10-4)*A1722,-4*A1722))+G$129*EXP(IF(A1722&lt;0,(10-5)*A1722,-5*A1722))+H$129*EXP(IF(A1722&lt;0,(10-6)*A1722,-6*A1722))+I$129*EXP(IF(A1722&lt;0,(10-7)*A1722,-7*A1722))+J$129*EXP(IF(A1722&lt;0,(10-8)*A1722,-8*A1722))+K$129*EXP(IF(A1722&lt;0,(10-9)*A1722,-9*A1722))+L$129*EXP(IF(A1722&lt;0,(10-10)*A1722,-10*A1722)),0)</x:f>
        <x:v>781747.4071354122</x:v>
      </x:c>
      <x:c r="C1722" s="256" t="n">
        <x:f>IF(B1722=0,IF(B1721=0,0,1),IF(B1721=0,0,IF(SIGN(B1722)&lt;&gt;SIGN(B1721),1,0)))</x:f>
        <x:v>0</x:v>
      </x:c>
      <x:c r="D1722" s="256" t="n">
        <x:f>EXP(A1722-0.005)-1</x:f>
        <x:v>-0.9999812628055211</x:v>
      </x:c>
    </x:row>
    <x:row r="1723" ht="20" customHeight="1">
      <x:c r="A1723" s="256" t="n">
        <x:f>-12+113*0.01</x:f>
        <x:v>-10.87</x:v>
      </x:c>
      <x:c r="B1723" s="256" t="n">
        <x:f>IF(COUNT($B$129:$L$129)=11,B$129*EXP(IF(A1723&lt;0,(10-0)*A1723,-0*A1723))+C$129*EXP(IF(A1723&lt;0,(10-1)*A1723,-1*A1723))+D$129*EXP(IF(A1723&lt;0,(10-2)*A1723,-2*A1723))+E$129*EXP(IF(A1723&lt;0,(10-3)*A1723,-3*A1723))+F$129*EXP(IF(A1723&lt;0,(10-4)*A1723,-4*A1723))+G$129*EXP(IF(A1723&lt;0,(10-5)*A1723,-5*A1723))+H$129*EXP(IF(A1723&lt;0,(10-6)*A1723,-6*A1723))+I$129*EXP(IF(A1723&lt;0,(10-7)*A1723,-7*A1723))+J$129*EXP(IF(A1723&lt;0,(10-8)*A1723,-8*A1723))+K$129*EXP(IF(A1723&lt;0,(10-9)*A1723,-9*A1723))+L$129*EXP(IF(A1723&lt;0,(10-10)*A1723,-10*A1723)),0)</x:f>
        <x:v>781747.4095185669</x:v>
      </x:c>
      <x:c r="C1723" s="256" t="n">
        <x:f>IF(B1723=0,IF(B1722=0,0,1),IF(B1722=0,0,IF(SIGN(B1723)&lt;&gt;SIGN(B1722),1,0)))</x:f>
        <x:v>0</x:v>
      </x:c>
      <x:c r="D1723" s="256" t="n">
        <x:f>EXP(A1723-0.005)-1</x:f>
        <x:v>-0.999981074493586</x:v>
      </x:c>
    </x:row>
    <x:row r="1724" ht="20" customHeight="1">
      <x:c r="A1724" s="256" t="n">
        <x:f>-12+114*0.01</x:f>
        <x:v>-10.86</x:v>
      </x:c>
      <x:c r="B1724" s="256" t="n">
        <x:f>IF(COUNT($B$129:$L$129)=11,B$129*EXP(IF(A1724&lt;0,(10-0)*A1724,-0*A1724))+C$129*EXP(IF(A1724&lt;0,(10-1)*A1724,-1*A1724))+D$129*EXP(IF(A1724&lt;0,(10-2)*A1724,-2*A1724))+E$129*EXP(IF(A1724&lt;0,(10-3)*A1724,-3*A1724))+F$129*EXP(IF(A1724&lt;0,(10-4)*A1724,-4*A1724))+G$129*EXP(IF(A1724&lt;0,(10-5)*A1724,-5*A1724))+H$129*EXP(IF(A1724&lt;0,(10-6)*A1724,-6*A1724))+I$129*EXP(IF(A1724&lt;0,(10-7)*A1724,-7*A1724))+J$129*EXP(IF(A1724&lt;0,(10-8)*A1724,-8*A1724))+K$129*EXP(IF(A1724&lt;0,(10-9)*A1724,-9*A1724))+L$129*EXP(IF(A1724&lt;0,(10-10)*A1724,-10*A1724)),0)</x:f>
        <x:v>781747.4119256734</x:v>
      </x:c>
      <x:c r="C1724" s="256" t="n">
        <x:f>IF(B1724=0,IF(B1723=0,0,1),IF(B1723=0,0,IF(SIGN(B1724)&lt;&gt;SIGN(B1723),1,0)))</x:f>
        <x:v>0</x:v>
      </x:c>
      <x:c r="D1724" s="256" t="n">
        <x:f>EXP(A1724-0.005)-1</x:f>
        <x:v>-0.9999808842890844</x:v>
      </x:c>
    </x:row>
    <x:row r="1725" ht="20" customHeight="1">
      <x:c r="A1725" s="256" t="n">
        <x:f>-12+115*0.01</x:f>
        <x:v>-10.85</x:v>
      </x:c>
      <x:c r="B1725" s="256" t="n">
        <x:f>IF(COUNT($B$129:$L$129)=11,B$129*EXP(IF(A1725&lt;0,(10-0)*A1725,-0*A1725))+C$129*EXP(IF(A1725&lt;0,(10-1)*A1725,-1*A1725))+D$129*EXP(IF(A1725&lt;0,(10-2)*A1725,-2*A1725))+E$129*EXP(IF(A1725&lt;0,(10-3)*A1725,-3*A1725))+F$129*EXP(IF(A1725&lt;0,(10-4)*A1725,-4*A1725))+G$129*EXP(IF(A1725&lt;0,(10-5)*A1725,-5*A1725))+H$129*EXP(IF(A1725&lt;0,(10-6)*A1725,-6*A1725))+I$129*EXP(IF(A1725&lt;0,(10-7)*A1725,-7*A1725))+J$129*EXP(IF(A1725&lt;0,(10-8)*A1725,-8*A1725))+K$129*EXP(IF(A1725&lt;0,(10-9)*A1725,-9*A1725))+L$129*EXP(IF(A1725&lt;0,(10-10)*A1725,-10*A1725)),0)</x:f>
        <x:v>781747.4143569724</x:v>
      </x:c>
      <x:c r="C1725" s="256" t="n">
        <x:f>IF(B1725=0,IF(B1724=0,0,1),IF(B1724=0,0,IF(SIGN(B1725)&lt;&gt;SIGN(B1724),1,0)))</x:f>
        <x:v>0</x:v>
      </x:c>
      <x:c r="D1725" s="256" t="n">
        <x:f>EXP(A1725-0.005)-1</x:f>
        <x:v>-0.9999806921729957</x:v>
      </x:c>
    </x:row>
    <x:row r="1726" ht="20" customHeight="1">
      <x:c r="A1726" s="256" t="n">
        <x:f>-12+116*0.01</x:f>
        <x:v>-10.84</x:v>
      </x:c>
      <x:c r="B1726" s="256" t="n">
        <x:f>IF(COUNT($B$129:$L$129)=11,B$129*EXP(IF(A1726&lt;0,(10-0)*A1726,-0*A1726))+C$129*EXP(IF(A1726&lt;0,(10-1)*A1726,-1*A1726))+D$129*EXP(IF(A1726&lt;0,(10-2)*A1726,-2*A1726))+E$129*EXP(IF(A1726&lt;0,(10-3)*A1726,-3*A1726))+F$129*EXP(IF(A1726&lt;0,(10-4)*A1726,-4*A1726))+G$129*EXP(IF(A1726&lt;0,(10-5)*A1726,-5*A1726))+H$129*EXP(IF(A1726&lt;0,(10-6)*A1726,-6*A1726))+I$129*EXP(IF(A1726&lt;0,(10-7)*A1726,-7*A1726))+J$129*EXP(IF(A1726&lt;0,(10-8)*A1726,-8*A1726))+K$129*EXP(IF(A1726&lt;0,(10-9)*A1726,-9*A1726))+L$129*EXP(IF(A1726&lt;0,(10-10)*A1726,-10*A1726)),0)</x:f>
        <x:v>781747.4168127072</x:v>
      </x:c>
      <x:c r="C1726" s="256" t="n">
        <x:f>IF(B1726=0,IF(B1725=0,0,1),IF(B1725=0,0,IF(SIGN(B1726)&lt;&gt;SIGN(B1725),1,0)))</x:f>
        <x:v>0</x:v>
      </x:c>
      <x:c r="D1726" s="256" t="n">
        <x:f>EXP(A1726-0.005)-1</x:f>
        <x:v>-0.9999804981261082</x:v>
      </x:c>
    </x:row>
    <x:row r="1727" ht="20" customHeight="1">
      <x:c r="A1727" s="256" t="n">
        <x:f>-12+117*0.01</x:f>
        <x:v>-10.83</x:v>
      </x:c>
      <x:c r="B1727" s="256" t="n">
        <x:f>IF(COUNT($B$129:$L$129)=11,B$129*EXP(IF(A1727&lt;0,(10-0)*A1727,-0*A1727))+C$129*EXP(IF(A1727&lt;0,(10-1)*A1727,-1*A1727))+D$129*EXP(IF(A1727&lt;0,(10-2)*A1727,-2*A1727))+E$129*EXP(IF(A1727&lt;0,(10-3)*A1727,-3*A1727))+F$129*EXP(IF(A1727&lt;0,(10-4)*A1727,-4*A1727))+G$129*EXP(IF(A1727&lt;0,(10-5)*A1727,-5*A1727))+H$129*EXP(IF(A1727&lt;0,(10-6)*A1727,-6*A1727))+I$129*EXP(IF(A1727&lt;0,(10-7)*A1727,-7*A1727))+J$129*EXP(IF(A1727&lt;0,(10-8)*A1727,-8*A1727))+K$129*EXP(IF(A1727&lt;0,(10-9)*A1727,-9*A1727))+L$129*EXP(IF(A1727&lt;0,(10-10)*A1727,-10*A1727)),0)</x:f>
        <x:v>781747.4192931233</x:v>
      </x:c>
      <x:c r="C1727" s="256" t="n">
        <x:f>IF(B1727=0,IF(B1726=0,0,1),IF(B1726=0,0,IF(SIGN(B1727)&lt;&gt;SIGN(B1726),1,0)))</x:f>
        <x:v>0</x:v>
      </x:c>
      <x:c r="D1727" s="256" t="n">
        <x:f>EXP(A1727-0.005)-1</x:f>
        <x:v>-0.9999803021290172</x:v>
      </x:c>
    </x:row>
    <x:row r="1728" ht="20" customHeight="1">
      <x:c r="A1728" s="256" t="n">
        <x:f>-12+118*0.01</x:f>
        <x:v>-10.82</x:v>
      </x:c>
      <x:c r="B1728" s="256" t="n">
        <x:f>IF(COUNT($B$129:$L$129)=11,B$129*EXP(IF(A1728&lt;0,(10-0)*A1728,-0*A1728))+C$129*EXP(IF(A1728&lt;0,(10-1)*A1728,-1*A1728))+D$129*EXP(IF(A1728&lt;0,(10-2)*A1728,-2*A1728))+E$129*EXP(IF(A1728&lt;0,(10-3)*A1728,-3*A1728))+F$129*EXP(IF(A1728&lt;0,(10-4)*A1728,-4*A1728))+G$129*EXP(IF(A1728&lt;0,(10-5)*A1728,-5*A1728))+H$129*EXP(IF(A1728&lt;0,(10-6)*A1728,-6*A1728))+I$129*EXP(IF(A1728&lt;0,(10-7)*A1728,-7*A1728))+J$129*EXP(IF(A1728&lt;0,(10-8)*A1728,-8*A1728))+K$129*EXP(IF(A1728&lt;0,(10-9)*A1728,-9*A1728))+L$129*EXP(IF(A1728&lt;0,(10-10)*A1728,-10*A1728)),0)</x:f>
        <x:v>781747.4217984687</x:v>
      </x:c>
      <x:c r="C1728" s="256" t="n">
        <x:f>IF(B1728=0,IF(B1727=0,0,1),IF(B1727=0,0,IF(SIGN(B1728)&lt;&gt;SIGN(B1727),1,0)))</x:f>
        <x:v>0</x:v>
      </x:c>
      <x:c r="D1728" s="256" t="n">
        <x:f>EXP(A1728-0.005)-1</x:f>
        <x:v>-0.9999801041621226</x:v>
      </x:c>
    </x:row>
    <x:row r="1729" ht="20" customHeight="1">
      <x:c r="A1729" s="256" t="n">
        <x:f>-12+119*0.01</x:f>
        <x:v>-10.81</x:v>
      </x:c>
      <x:c r="B1729" s="256" t="n">
        <x:f>IF(COUNT($B$129:$L$129)=11,B$129*EXP(IF(A1729&lt;0,(10-0)*A1729,-0*A1729))+C$129*EXP(IF(A1729&lt;0,(10-1)*A1729,-1*A1729))+D$129*EXP(IF(A1729&lt;0,(10-2)*A1729,-2*A1729))+E$129*EXP(IF(A1729&lt;0,(10-3)*A1729,-3*A1729))+F$129*EXP(IF(A1729&lt;0,(10-4)*A1729,-4*A1729))+G$129*EXP(IF(A1729&lt;0,(10-5)*A1729,-5*A1729))+H$129*EXP(IF(A1729&lt;0,(10-6)*A1729,-6*A1729))+I$129*EXP(IF(A1729&lt;0,(10-7)*A1729,-7*A1729))+J$129*EXP(IF(A1729&lt;0,(10-8)*A1729,-8*A1729))+K$129*EXP(IF(A1729&lt;0,(10-9)*A1729,-9*A1729))+L$129*EXP(IF(A1729&lt;0,(10-10)*A1729,-10*A1729)),0)</x:f>
        <x:v>781747.4243289939</x:v>
      </x:c>
      <x:c r="C1729" s="256" t="n">
        <x:f>IF(B1729=0,IF(B1728=0,0,1),IF(B1728=0,0,IF(SIGN(B1729)&lt;&gt;SIGN(B1728),1,0)))</x:f>
        <x:v>0</x:v>
      </x:c>
      <x:c r="D1729" s="256" t="n">
        <x:f>EXP(A1729-0.005)-1</x:f>
        <x:v>-0.9999799042056277</x:v>
      </x:c>
    </x:row>
    <x:row r="1730" ht="20" customHeight="1">
      <x:c r="A1730" s="256" t="n">
        <x:f>-12+120*0.01</x:f>
        <x:v>-10.8</x:v>
      </x:c>
      <x:c r="B1730" s="256" t="n">
        <x:f>IF(COUNT($B$129:$L$129)=11,B$129*EXP(IF(A1730&lt;0,(10-0)*A1730,-0*A1730))+C$129*EXP(IF(A1730&lt;0,(10-1)*A1730,-1*A1730))+D$129*EXP(IF(A1730&lt;0,(10-2)*A1730,-2*A1730))+E$129*EXP(IF(A1730&lt;0,(10-3)*A1730,-3*A1730))+F$129*EXP(IF(A1730&lt;0,(10-4)*A1730,-4*A1730))+G$129*EXP(IF(A1730&lt;0,(10-5)*A1730,-5*A1730))+H$129*EXP(IF(A1730&lt;0,(10-6)*A1730,-6*A1730))+I$129*EXP(IF(A1730&lt;0,(10-7)*A1730,-7*A1730))+J$129*EXP(IF(A1730&lt;0,(10-8)*A1730,-8*A1730))+K$129*EXP(IF(A1730&lt;0,(10-9)*A1730,-9*A1730))+L$129*EXP(IF(A1730&lt;0,(10-10)*A1730,-10*A1730)),0)</x:f>
        <x:v>781747.4268849522</x:v>
      </x:c>
      <x:c r="C1730" s="256" t="n">
        <x:f>IF(B1730=0,IF(B1729=0,0,1),IF(B1729=0,0,IF(SIGN(B1730)&lt;&gt;SIGN(B1729),1,0)))</x:f>
        <x:v>0</x:v>
      </x:c>
      <x:c r="D1730" s="256" t="n">
        <x:f>EXP(A1730-0.005)-1</x:f>
        <x:v>-0.9999797022395366</x:v>
      </x:c>
    </x:row>
    <x:row r="1731" ht="20" customHeight="1">
      <x:c r="A1731" s="256" t="n">
        <x:f>-12+121*0.01</x:f>
        <x:v>-10.79</x:v>
      </x:c>
      <x:c r="B1731" s="256" t="n">
        <x:f>IF(COUNT($B$129:$L$129)=11,B$129*EXP(IF(A1731&lt;0,(10-0)*A1731,-0*A1731))+C$129*EXP(IF(A1731&lt;0,(10-1)*A1731,-1*A1731))+D$129*EXP(IF(A1731&lt;0,(10-2)*A1731,-2*A1731))+E$129*EXP(IF(A1731&lt;0,(10-3)*A1731,-3*A1731))+F$129*EXP(IF(A1731&lt;0,(10-4)*A1731,-4*A1731))+G$129*EXP(IF(A1731&lt;0,(10-5)*A1731,-5*A1731))+H$129*EXP(IF(A1731&lt;0,(10-6)*A1731,-6*A1731))+I$129*EXP(IF(A1731&lt;0,(10-7)*A1731,-7*A1731))+J$129*EXP(IF(A1731&lt;0,(10-8)*A1731,-8*A1731))+K$129*EXP(IF(A1731&lt;0,(10-9)*A1731,-9*A1731))+L$129*EXP(IF(A1731&lt;0,(10-10)*A1731,-10*A1731)),0)</x:f>
        <x:v>781747.4294665991</x:v>
      </x:c>
      <x:c r="C1731" s="256" t="n">
        <x:f>IF(B1731=0,IF(B1730=0,0,1),IF(B1730=0,0,IF(SIGN(B1731)&lt;&gt;SIGN(B1730),1,0)))</x:f>
        <x:v>0</x:v>
      </x:c>
      <x:c r="D1731" s="256" t="n">
        <x:f>EXP(A1731-0.005)-1</x:f>
        <x:v>-0.9999794982436525</x:v>
      </x:c>
    </x:row>
    <x:row r="1732" ht="20" customHeight="1">
      <x:c r="A1732" s="256" t="n">
        <x:f>-12+122*0.01</x:f>
        <x:v>-10.78</x:v>
      </x:c>
      <x:c r="B1732" s="256" t="n">
        <x:f>IF(COUNT($B$129:$L$129)=11,B$129*EXP(IF(A1732&lt;0,(10-0)*A1732,-0*A1732))+C$129*EXP(IF(A1732&lt;0,(10-1)*A1732,-1*A1732))+D$129*EXP(IF(A1732&lt;0,(10-2)*A1732,-2*A1732))+E$129*EXP(IF(A1732&lt;0,(10-3)*A1732,-3*A1732))+F$129*EXP(IF(A1732&lt;0,(10-4)*A1732,-4*A1732))+G$129*EXP(IF(A1732&lt;0,(10-5)*A1732,-5*A1732))+H$129*EXP(IF(A1732&lt;0,(10-6)*A1732,-6*A1732))+I$129*EXP(IF(A1732&lt;0,(10-7)*A1732,-7*A1732))+J$129*EXP(IF(A1732&lt;0,(10-8)*A1732,-8*A1732))+K$129*EXP(IF(A1732&lt;0,(10-9)*A1732,-9*A1732))+L$129*EXP(IF(A1732&lt;0,(10-10)*A1732,-10*A1732)),0)</x:f>
        <x:v>781747.4320741928</x:v>
      </x:c>
      <x:c r="C1732" s="256" t="n">
        <x:f>IF(B1732=0,IF(B1731=0,0,1),IF(B1731=0,0,IF(SIGN(B1732)&lt;&gt;SIGN(B1731),1,0)))</x:f>
        <x:v>0</x:v>
      </x:c>
      <x:c r="D1732" s="256" t="n">
        <x:f>EXP(A1732-0.005)-1</x:f>
        <x:v>-0.9999792921975756</x:v>
      </x:c>
    </x:row>
    <x:row r="1733" ht="20" customHeight="1">
      <x:c r="A1733" s="256" t="n">
        <x:f>-12+123*0.01</x:f>
        <x:v>-10.77</x:v>
      </x:c>
      <x:c r="B1733" s="256" t="n">
        <x:f>IF(COUNT($B$129:$L$129)=11,B$129*EXP(IF(A1733&lt;0,(10-0)*A1733,-0*A1733))+C$129*EXP(IF(A1733&lt;0,(10-1)*A1733,-1*A1733))+D$129*EXP(IF(A1733&lt;0,(10-2)*A1733,-2*A1733))+E$129*EXP(IF(A1733&lt;0,(10-3)*A1733,-3*A1733))+F$129*EXP(IF(A1733&lt;0,(10-4)*A1733,-4*A1733))+G$129*EXP(IF(A1733&lt;0,(10-5)*A1733,-5*A1733))+H$129*EXP(IF(A1733&lt;0,(10-6)*A1733,-6*A1733))+I$129*EXP(IF(A1733&lt;0,(10-7)*A1733,-7*A1733))+J$129*EXP(IF(A1733&lt;0,(10-8)*A1733,-8*A1733))+K$129*EXP(IF(A1733&lt;0,(10-9)*A1733,-9*A1733))+L$129*EXP(IF(A1733&lt;0,(10-10)*A1733,-10*A1733)),0)</x:f>
        <x:v>781747.4347079941</x:v>
      </x:c>
      <x:c r="C1733" s="256" t="n">
        <x:f>IF(B1733=0,IF(B1732=0,0,1),IF(B1732=0,0,IF(SIGN(B1733)&lt;&gt;SIGN(B1732),1,0)))</x:f>
        <x:v>0</x:v>
      </x:c>
      <x:c r="D1733" s="256" t="n">
        <x:f>EXP(A1733-0.005)-1</x:f>
        <x:v>-0.9999790840807014</x:v>
      </x:c>
    </x:row>
    <x:row r="1734" ht="20" customHeight="1">
      <x:c r="A1734" s="256" t="n">
        <x:f>-12+124*0.01</x:f>
        <x:v>-10.76</x:v>
      </x:c>
      <x:c r="B1734" s="256" t="n">
        <x:f>IF(COUNT($B$129:$L$129)=11,B$129*EXP(IF(A1734&lt;0,(10-0)*A1734,-0*A1734))+C$129*EXP(IF(A1734&lt;0,(10-1)*A1734,-1*A1734))+D$129*EXP(IF(A1734&lt;0,(10-2)*A1734,-2*A1734))+E$129*EXP(IF(A1734&lt;0,(10-3)*A1734,-3*A1734))+F$129*EXP(IF(A1734&lt;0,(10-4)*A1734,-4*A1734))+G$129*EXP(IF(A1734&lt;0,(10-5)*A1734,-5*A1734))+H$129*EXP(IF(A1734&lt;0,(10-6)*A1734,-6*A1734))+I$129*EXP(IF(A1734&lt;0,(10-7)*A1734,-7*A1734))+J$129*EXP(IF(A1734&lt;0,(10-8)*A1734,-8*A1734))+K$129*EXP(IF(A1734&lt;0,(10-9)*A1734,-9*A1734))+L$129*EXP(IF(A1734&lt;0,(10-10)*A1734,-10*A1734)),0)</x:f>
        <x:v>781747.4373682664</x:v>
      </x:c>
      <x:c r="C1734" s="256" t="n">
        <x:f>IF(B1734=0,IF(B1733=0,0,1),IF(B1733=0,0,IF(SIGN(B1734)&lt;&gt;SIGN(B1733),1,0)))</x:f>
        <x:v>0</x:v>
      </x:c>
      <x:c r="D1734" s="256" t="n">
        <x:f>EXP(A1734-0.005)-1</x:f>
        <x:v>-0.9999788738722176</x:v>
      </x:c>
    </x:row>
    <x:row r="1735" ht="20" customHeight="1">
      <x:c r="A1735" s="256" t="n">
        <x:f>-12+125*0.01</x:f>
        <x:v>-10.75</x:v>
      </x:c>
      <x:c r="B1735" s="256" t="n">
        <x:f>IF(COUNT($B$129:$L$129)=11,B$129*EXP(IF(A1735&lt;0,(10-0)*A1735,-0*A1735))+C$129*EXP(IF(A1735&lt;0,(10-1)*A1735,-1*A1735))+D$129*EXP(IF(A1735&lt;0,(10-2)*A1735,-2*A1735))+E$129*EXP(IF(A1735&lt;0,(10-3)*A1735,-3*A1735))+F$129*EXP(IF(A1735&lt;0,(10-4)*A1735,-4*A1735))+G$129*EXP(IF(A1735&lt;0,(10-5)*A1735,-5*A1735))+H$129*EXP(IF(A1735&lt;0,(10-6)*A1735,-6*A1735))+I$129*EXP(IF(A1735&lt;0,(10-7)*A1735,-7*A1735))+J$129*EXP(IF(A1735&lt;0,(10-8)*A1735,-8*A1735))+K$129*EXP(IF(A1735&lt;0,(10-9)*A1735,-9*A1735))+L$129*EXP(IF(A1735&lt;0,(10-10)*A1735,-10*A1735)),0)</x:f>
        <x:v>781747.4400552757</x:v>
      </x:c>
      <x:c r="C1735" s="256" t="n">
        <x:f>IF(B1735=0,IF(B1734=0,0,1),IF(B1734=0,0,IF(SIGN(B1735)&lt;&gt;SIGN(B1734),1,0)))</x:f>
        <x:v>0</x:v>
      </x:c>
      <x:c r="D1735" s="256" t="n">
        <x:f>EXP(A1735-0.005)-1</x:f>
        <x:v>-0.9999786615511036</x:v>
      </x:c>
    </x:row>
    <x:row r="1736" ht="20" customHeight="1">
      <x:c r="A1736" s="256" t="n">
        <x:f>-12+126*0.01</x:f>
        <x:v>-10.74</x:v>
      </x:c>
      <x:c r="B1736" s="256" t="n">
        <x:f>IF(COUNT($B$129:$L$129)=11,B$129*EXP(IF(A1736&lt;0,(10-0)*A1736,-0*A1736))+C$129*EXP(IF(A1736&lt;0,(10-1)*A1736,-1*A1736))+D$129*EXP(IF(A1736&lt;0,(10-2)*A1736,-2*A1736))+E$129*EXP(IF(A1736&lt;0,(10-3)*A1736,-3*A1736))+F$129*EXP(IF(A1736&lt;0,(10-4)*A1736,-4*A1736))+G$129*EXP(IF(A1736&lt;0,(10-5)*A1736,-5*A1736))+H$129*EXP(IF(A1736&lt;0,(10-6)*A1736,-6*A1736))+I$129*EXP(IF(A1736&lt;0,(10-7)*A1736,-7*A1736))+J$129*EXP(IF(A1736&lt;0,(10-8)*A1736,-8*A1736))+K$129*EXP(IF(A1736&lt;0,(10-9)*A1736,-9*A1736))+L$129*EXP(IF(A1736&lt;0,(10-10)*A1736,-10*A1736)),0)</x:f>
        <x:v>781747.4427692909</x:v>
      </x:c>
      <x:c r="C1736" s="256" t="n">
        <x:f>IF(B1736=0,IF(B1735=0,0,1),IF(B1735=0,0,IF(SIGN(B1736)&lt;&gt;SIGN(B1735),1,0)))</x:f>
        <x:v>0</x:v>
      </x:c>
      <x:c r="D1736" s="256" t="n">
        <x:f>EXP(A1736-0.005)-1</x:f>
        <x:v>-0.9999784470961269</x:v>
      </x:c>
    </x:row>
    <x:row r="1737" ht="20" customHeight="1">
      <x:c r="A1737" s="256" t="n">
        <x:f>-12+127*0.01</x:f>
        <x:v>-10.73</x:v>
      </x:c>
      <x:c r="B1737" s="256" t="n">
        <x:f>IF(COUNT($B$129:$L$129)=11,B$129*EXP(IF(A1737&lt;0,(10-0)*A1737,-0*A1737))+C$129*EXP(IF(A1737&lt;0,(10-1)*A1737,-1*A1737))+D$129*EXP(IF(A1737&lt;0,(10-2)*A1737,-2*A1737))+E$129*EXP(IF(A1737&lt;0,(10-3)*A1737,-3*A1737))+F$129*EXP(IF(A1737&lt;0,(10-4)*A1737,-4*A1737))+G$129*EXP(IF(A1737&lt;0,(10-5)*A1737,-5*A1737))+H$129*EXP(IF(A1737&lt;0,(10-6)*A1737,-6*A1737))+I$129*EXP(IF(A1737&lt;0,(10-7)*A1737,-7*A1737))+J$129*EXP(IF(A1737&lt;0,(10-8)*A1737,-8*A1737))+K$129*EXP(IF(A1737&lt;0,(10-9)*A1737,-9*A1737))+L$129*EXP(IF(A1737&lt;0,(10-10)*A1737,-10*A1737)),0)</x:f>
        <x:v>781747.4455105831</x:v>
      </x:c>
      <x:c r="C1737" s="256" t="n">
        <x:f>IF(B1737=0,IF(B1736=0,0,1),IF(B1736=0,0,IF(SIGN(B1737)&lt;&gt;SIGN(B1736),1,0)))</x:f>
        <x:v>0</x:v>
      </x:c>
      <x:c r="D1737" s="256" t="n">
        <x:f>EXP(A1737-0.005)-1</x:f>
        <x:v>-0.9999782304858418</x:v>
      </x:c>
    </x:row>
    <x:row r="1738" ht="20" customHeight="1">
      <x:c r="A1738" s="256" t="n">
        <x:f>-12+128*0.01</x:f>
        <x:v>-10.72</x:v>
      </x:c>
      <x:c r="B1738" s="256" t="n">
        <x:f>IF(COUNT($B$129:$L$129)=11,B$129*EXP(IF(A1738&lt;0,(10-0)*A1738,-0*A1738))+C$129*EXP(IF(A1738&lt;0,(10-1)*A1738,-1*A1738))+D$129*EXP(IF(A1738&lt;0,(10-2)*A1738,-2*A1738))+E$129*EXP(IF(A1738&lt;0,(10-3)*A1738,-3*A1738))+F$129*EXP(IF(A1738&lt;0,(10-4)*A1738,-4*A1738))+G$129*EXP(IF(A1738&lt;0,(10-5)*A1738,-5*A1738))+H$129*EXP(IF(A1738&lt;0,(10-6)*A1738,-6*A1738))+I$129*EXP(IF(A1738&lt;0,(10-7)*A1738,-7*A1738))+J$129*EXP(IF(A1738&lt;0,(10-8)*A1738,-8*A1738))+K$129*EXP(IF(A1738&lt;0,(10-9)*A1738,-9*A1738))+L$129*EXP(IF(A1738&lt;0,(10-10)*A1738,-10*A1738)),0)</x:f>
        <x:v>781747.4482794269</x:v>
      </x:c>
      <x:c r="C1738" s="256" t="n">
        <x:f>IF(B1738=0,IF(B1737=0,0,1),IF(B1737=0,0,IF(SIGN(B1738)&lt;&gt;SIGN(B1737),1,0)))</x:f>
        <x:v>0</x:v>
      </x:c>
      <x:c r="D1738" s="256" t="n">
        <x:f>EXP(A1738-0.005)-1</x:f>
        <x:v>-0.9999780116985871</x:v>
      </x:c>
    </x:row>
    <x:row r="1739" ht="20" customHeight="1">
      <x:c r="A1739" s="256" t="n">
        <x:f>-12+129*0.01</x:f>
        <x:v>-10.71</x:v>
      </x:c>
      <x:c r="B1739" s="256" t="n">
        <x:f>IF(COUNT($B$129:$L$129)=11,B$129*EXP(IF(A1739&lt;0,(10-0)*A1739,-0*A1739))+C$129*EXP(IF(A1739&lt;0,(10-1)*A1739,-1*A1739))+D$129*EXP(IF(A1739&lt;0,(10-2)*A1739,-2*A1739))+E$129*EXP(IF(A1739&lt;0,(10-3)*A1739,-3*A1739))+F$129*EXP(IF(A1739&lt;0,(10-4)*A1739,-4*A1739))+G$129*EXP(IF(A1739&lt;0,(10-5)*A1739,-5*A1739))+H$129*EXP(IF(A1739&lt;0,(10-6)*A1739,-6*A1739))+I$129*EXP(IF(A1739&lt;0,(10-7)*A1739,-7*A1739))+J$129*EXP(IF(A1739&lt;0,(10-8)*A1739,-8*A1739))+K$129*EXP(IF(A1739&lt;0,(10-9)*A1739,-9*A1739))+L$129*EXP(IF(A1739&lt;0,(10-10)*A1739,-10*A1739)),0)</x:f>
        <x:v>781747.4510760988</x:v>
      </x:c>
      <x:c r="C1739" s="256" t="n">
        <x:f>IF(B1739=0,IF(B1738=0,0,1),IF(B1738=0,0,IF(SIGN(B1739)&lt;&gt;SIGN(B1738),1,0)))</x:f>
        <x:v>0</x:v>
      </x:c>
      <x:c r="D1739" s="256" t="n">
        <x:f>EXP(A1739-0.005)-1</x:f>
        <x:v>-0.999977790712484</x:v>
      </x:c>
    </x:row>
    <x:row r="1740" ht="20" customHeight="1">
      <x:c r="A1740" s="256" t="n">
        <x:f>-12+130*0.01</x:f>
        <x:v>-10.7</x:v>
      </x:c>
      <x:c r="B1740" s="256" t="n">
        <x:f>IF(COUNT($B$129:$L$129)=11,B$129*EXP(IF(A1740&lt;0,(10-0)*A1740,-0*A1740))+C$129*EXP(IF(A1740&lt;0,(10-1)*A1740,-1*A1740))+D$129*EXP(IF(A1740&lt;0,(10-2)*A1740,-2*A1740))+E$129*EXP(IF(A1740&lt;0,(10-3)*A1740,-3*A1740))+F$129*EXP(IF(A1740&lt;0,(10-4)*A1740,-4*A1740))+G$129*EXP(IF(A1740&lt;0,(10-5)*A1740,-5*A1740))+H$129*EXP(IF(A1740&lt;0,(10-6)*A1740,-6*A1740))+I$129*EXP(IF(A1740&lt;0,(10-7)*A1740,-7*A1740))+J$129*EXP(IF(A1740&lt;0,(10-8)*A1740,-8*A1740))+K$129*EXP(IF(A1740&lt;0,(10-9)*A1740,-9*A1740))+L$129*EXP(IF(A1740&lt;0,(10-10)*A1740,-10*A1740)),0)</x:f>
        <x:v>781747.4539008788</x:v>
      </x:c>
      <x:c r="C1740" s="256" t="n">
        <x:f>IF(B1740=0,IF(B1739=0,0,1),IF(B1739=0,0,IF(SIGN(B1740)&lt;&gt;SIGN(B1739),1,0)))</x:f>
        <x:v>0</x:v>
      </x:c>
      <x:c r="D1740" s="256" t="n">
        <x:f>EXP(A1740-0.005)-1</x:f>
        <x:v>-0.9999775675054338</x:v>
      </x:c>
    </x:row>
    <x:row r="1741" ht="20" customHeight="1">
      <x:c r="A1741" s="256" t="n">
        <x:f>-12+131*0.01</x:f>
        <x:v>-10.69</x:v>
      </x:c>
      <x:c r="B1741" s="256" t="n">
        <x:f>IF(COUNT($B$129:$L$129)=11,B$129*EXP(IF(A1741&lt;0,(10-0)*A1741,-0*A1741))+C$129*EXP(IF(A1741&lt;0,(10-1)*A1741,-1*A1741))+D$129*EXP(IF(A1741&lt;0,(10-2)*A1741,-2*A1741))+E$129*EXP(IF(A1741&lt;0,(10-3)*A1741,-3*A1741))+F$129*EXP(IF(A1741&lt;0,(10-4)*A1741,-4*A1741))+G$129*EXP(IF(A1741&lt;0,(10-5)*A1741,-5*A1741))+H$129*EXP(IF(A1741&lt;0,(10-6)*A1741,-6*A1741))+I$129*EXP(IF(A1741&lt;0,(10-7)*A1741,-7*A1741))+J$129*EXP(IF(A1741&lt;0,(10-8)*A1741,-8*A1741))+K$129*EXP(IF(A1741&lt;0,(10-9)*A1741,-9*A1741))+L$129*EXP(IF(A1741&lt;0,(10-10)*A1741,-10*A1741)),0)</x:f>
        <x:v>781747.4567540492</x:v>
      </x:c>
      <x:c r="C1741" s="256" t="n">
        <x:f>IF(B1741=0,IF(B1740=0,0,1),IF(B1740=0,0,IF(SIGN(B1741)&lt;&gt;SIGN(B1740),1,0)))</x:f>
        <x:v>0</x:v>
      </x:c>
      <x:c r="D1741" s="256" t="n">
        <x:f>EXP(A1741-0.005)-1</x:f>
        <x:v>-0.9999773420551152</x:v>
      </x:c>
    </x:row>
    <x:row r="1742" ht="20" customHeight="1">
      <x:c r="A1742" s="256" t="n">
        <x:f>-12+132*0.01</x:f>
        <x:v>-10.68</x:v>
      </x:c>
      <x:c r="B1742" s="256" t="n">
        <x:f>IF(COUNT($B$129:$L$129)=11,B$129*EXP(IF(A1742&lt;0,(10-0)*A1742,-0*A1742))+C$129*EXP(IF(A1742&lt;0,(10-1)*A1742,-1*A1742))+D$129*EXP(IF(A1742&lt;0,(10-2)*A1742,-2*A1742))+E$129*EXP(IF(A1742&lt;0,(10-3)*A1742,-3*A1742))+F$129*EXP(IF(A1742&lt;0,(10-4)*A1742,-4*A1742))+G$129*EXP(IF(A1742&lt;0,(10-5)*A1742,-5*A1742))+H$129*EXP(IF(A1742&lt;0,(10-6)*A1742,-6*A1742))+I$129*EXP(IF(A1742&lt;0,(10-7)*A1742,-7*A1742))+J$129*EXP(IF(A1742&lt;0,(10-8)*A1742,-8*A1742))+K$129*EXP(IF(A1742&lt;0,(10-9)*A1742,-9*A1742))+L$129*EXP(IF(A1742&lt;0,(10-10)*A1742,-10*A1742)),0)</x:f>
        <x:v>781747.4596358954</x:v>
      </x:c>
      <x:c r="C1742" s="256" t="n">
        <x:f>IF(B1742=0,IF(B1741=0,0,1),IF(B1741=0,0,IF(SIGN(B1742)&lt;&gt;SIGN(B1741),1,0)))</x:f>
        <x:v>0</x:v>
      </x:c>
      <x:c r="D1742" s="256" t="n">
        <x:f>EXP(A1742-0.005)-1</x:f>
        <x:v>-0.9999771143389834</x:v>
      </x:c>
    </x:row>
    <x:row r="1743" ht="20" customHeight="1">
      <x:c r="A1743" s="256" t="n">
        <x:f>-12+133*0.01</x:f>
        <x:v>-10.67</x:v>
      </x:c>
      <x:c r="B1743" s="256" t="n">
        <x:f>IF(COUNT($B$129:$L$129)=11,B$129*EXP(IF(A1743&lt;0,(10-0)*A1743,-0*A1743))+C$129*EXP(IF(A1743&lt;0,(10-1)*A1743,-1*A1743))+D$129*EXP(IF(A1743&lt;0,(10-2)*A1743,-2*A1743))+E$129*EXP(IF(A1743&lt;0,(10-3)*A1743,-3*A1743))+F$129*EXP(IF(A1743&lt;0,(10-4)*A1743,-4*A1743))+G$129*EXP(IF(A1743&lt;0,(10-5)*A1743,-5*A1743))+H$129*EXP(IF(A1743&lt;0,(10-6)*A1743,-6*A1743))+I$129*EXP(IF(A1743&lt;0,(10-7)*A1743,-7*A1743))+J$129*EXP(IF(A1743&lt;0,(10-8)*A1743,-8*A1743))+K$129*EXP(IF(A1743&lt;0,(10-9)*A1743,-9*A1743))+L$129*EXP(IF(A1743&lt;0,(10-10)*A1743,-10*A1743)),0)</x:f>
        <x:v>781747.4625467059</x:v>
      </x:c>
      <x:c r="C1743" s="256" t="n">
        <x:f>IF(B1743=0,IF(B1742=0,0,1),IF(B1742=0,0,IF(SIGN(B1743)&lt;&gt;SIGN(B1742),1,0)))</x:f>
        <x:v>0</x:v>
      </x:c>
      <x:c r="D1743" s="256" t="n">
        <x:f>EXP(A1743-0.005)-1</x:f>
        <x:v>-0.9999768843342663</x:v>
      </x:c>
    </x:row>
    <x:row r="1744" ht="20" customHeight="1">
      <x:c r="A1744" s="256" t="n">
        <x:f>-12+134*0.01</x:f>
        <x:v>-10.66</x:v>
      </x:c>
      <x:c r="B1744" s="256" t="n">
        <x:f>IF(COUNT($B$129:$L$129)=11,B$129*EXP(IF(A1744&lt;0,(10-0)*A1744,-0*A1744))+C$129*EXP(IF(A1744&lt;0,(10-1)*A1744,-1*A1744))+D$129*EXP(IF(A1744&lt;0,(10-2)*A1744,-2*A1744))+E$129*EXP(IF(A1744&lt;0,(10-3)*A1744,-3*A1744))+F$129*EXP(IF(A1744&lt;0,(10-4)*A1744,-4*A1744))+G$129*EXP(IF(A1744&lt;0,(10-5)*A1744,-5*A1744))+H$129*EXP(IF(A1744&lt;0,(10-6)*A1744,-6*A1744))+I$129*EXP(IF(A1744&lt;0,(10-7)*A1744,-7*A1744))+J$129*EXP(IF(A1744&lt;0,(10-8)*A1744,-8*A1744))+K$129*EXP(IF(A1744&lt;0,(10-9)*A1744,-9*A1744))+L$129*EXP(IF(A1744&lt;0,(10-10)*A1744,-10*A1744)),0)</x:f>
        <x:v>781747.4654867713</x:v>
      </x:c>
      <x:c r="C1744" s="256" t="n">
        <x:f>IF(B1744=0,IF(B1743=0,0,1),IF(B1743=0,0,IF(SIGN(B1744)&lt;&gt;SIGN(B1743),1,0)))</x:f>
        <x:v>0</x:v>
      </x:c>
      <x:c r="D1744" s="256" t="n">
        <x:f>EXP(A1744-0.005)-1</x:f>
        <x:v>-0.9999766520179634</x:v>
      </x:c>
    </x:row>
    <x:row r="1745" ht="20" customHeight="1">
      <x:c r="A1745" s="256" t="n">
        <x:f>-12+135*0.01</x:f>
        <x:v>-10.65</x:v>
      </x:c>
      <x:c r="B1745" s="256" t="n">
        <x:f>IF(COUNT($B$129:$L$129)=11,B$129*EXP(IF(A1745&lt;0,(10-0)*A1745,-0*A1745))+C$129*EXP(IF(A1745&lt;0,(10-1)*A1745,-1*A1745))+D$129*EXP(IF(A1745&lt;0,(10-2)*A1745,-2*A1745))+E$129*EXP(IF(A1745&lt;0,(10-3)*A1745,-3*A1745))+F$129*EXP(IF(A1745&lt;0,(10-4)*A1745,-4*A1745))+G$129*EXP(IF(A1745&lt;0,(10-5)*A1745,-5*A1745))+H$129*EXP(IF(A1745&lt;0,(10-6)*A1745,-6*A1745))+I$129*EXP(IF(A1745&lt;0,(10-7)*A1745,-7*A1745))+J$129*EXP(IF(A1745&lt;0,(10-8)*A1745,-8*A1745))+K$129*EXP(IF(A1745&lt;0,(10-9)*A1745,-9*A1745))+L$129*EXP(IF(A1745&lt;0,(10-10)*A1745,-10*A1745)),0)</x:f>
        <x:v>781747.4684563861</x:v>
      </x:c>
      <x:c r="C1745" s="256" t="n">
        <x:f>IF(B1745=0,IF(B1744=0,0,1),IF(B1744=0,0,IF(SIGN(B1745)&lt;&gt;SIGN(B1744),1,0)))</x:f>
        <x:v>0</x:v>
      </x:c>
      <x:c r="D1745" s="256" t="n">
        <x:f>EXP(A1745-0.005)-1</x:f>
        <x:v>-0.9999764173668428</x:v>
      </x:c>
    </x:row>
    <x:row r="1746" ht="20" customHeight="1">
      <x:c r="A1746" s="256" t="n">
        <x:f>-12+136*0.01</x:f>
        <x:v>-10.64</x:v>
      </x:c>
      <x:c r="B1746" s="256" t="n">
        <x:f>IF(COUNT($B$129:$L$129)=11,B$129*EXP(IF(A1746&lt;0,(10-0)*A1746,-0*A1746))+C$129*EXP(IF(A1746&lt;0,(10-1)*A1746,-1*A1746))+D$129*EXP(IF(A1746&lt;0,(10-2)*A1746,-2*A1746))+E$129*EXP(IF(A1746&lt;0,(10-3)*A1746,-3*A1746))+F$129*EXP(IF(A1746&lt;0,(10-4)*A1746,-4*A1746))+G$129*EXP(IF(A1746&lt;0,(10-5)*A1746,-5*A1746))+H$129*EXP(IF(A1746&lt;0,(10-6)*A1746,-6*A1746))+I$129*EXP(IF(A1746&lt;0,(10-7)*A1746,-7*A1746))+J$129*EXP(IF(A1746&lt;0,(10-8)*A1746,-8*A1746))+K$129*EXP(IF(A1746&lt;0,(10-9)*A1746,-9*A1746))+L$129*EXP(IF(A1746&lt;0,(10-10)*A1746,-10*A1746)),0)</x:f>
        <x:v>781747.471455847</x:v>
      </x:c>
      <x:c r="C1746" s="256" t="n">
        <x:f>IF(B1746=0,IF(B1745=0,0,1),IF(B1745=0,0,IF(SIGN(B1746)&lt;&gt;SIGN(B1745),1,0)))</x:f>
        <x:v>0</x:v>
      </x:c>
      <x:c r="D1746" s="256" t="n">
        <x:f>EXP(A1746-0.005)-1</x:f>
        <x:v>-0.9999761803574394</x:v>
      </x:c>
    </x:row>
    <x:row r="1747" ht="20" customHeight="1">
      <x:c r="A1747" s="256" t="n">
        <x:f>-12+137*0.01</x:f>
        <x:v>-10.629999999999999</x:v>
      </x:c>
      <x:c r="B1747" s="256" t="n">
        <x:f>IF(COUNT($B$129:$L$129)=11,B$129*EXP(IF(A1747&lt;0,(10-0)*A1747,-0*A1747))+C$129*EXP(IF(A1747&lt;0,(10-1)*A1747,-1*A1747))+D$129*EXP(IF(A1747&lt;0,(10-2)*A1747,-2*A1747))+E$129*EXP(IF(A1747&lt;0,(10-3)*A1747,-3*A1747))+F$129*EXP(IF(A1747&lt;0,(10-4)*A1747,-4*A1747))+G$129*EXP(IF(A1747&lt;0,(10-5)*A1747,-5*A1747))+H$129*EXP(IF(A1747&lt;0,(10-6)*A1747,-6*A1747))+I$129*EXP(IF(A1747&lt;0,(10-7)*A1747,-7*A1747))+J$129*EXP(IF(A1747&lt;0,(10-8)*A1747,-8*A1747))+K$129*EXP(IF(A1747&lt;0,(10-9)*A1747,-9*A1747))+L$129*EXP(IF(A1747&lt;0,(10-10)*A1747,-10*A1747)),0)</x:f>
        <x:v>781747.4744854541</x:v>
      </x:c>
      <x:c r="C1747" s="256" t="n">
        <x:f>IF(B1747=0,IF(B1746=0,0,1),IF(B1746=0,0,IF(SIGN(B1747)&lt;&gt;SIGN(B1746),1,0)))</x:f>
        <x:v>0</x:v>
      </x:c>
      <x:c r="D1747" s="256" t="n">
        <x:f>EXP(A1747-0.005)-1</x:f>
        <x:v>-0.9999759409660517</x:v>
      </x:c>
    </x:row>
    <x:row r="1748" ht="20" customHeight="1">
      <x:c r="A1748" s="256" t="n">
        <x:f>-12+138*0.01</x:f>
        <x:v>-10.62</x:v>
      </x:c>
      <x:c r="B1748" s="256" t="n">
        <x:f>IF(COUNT($B$129:$L$129)=11,B$129*EXP(IF(A1748&lt;0,(10-0)*A1748,-0*A1748))+C$129*EXP(IF(A1748&lt;0,(10-1)*A1748,-1*A1748))+D$129*EXP(IF(A1748&lt;0,(10-2)*A1748,-2*A1748))+E$129*EXP(IF(A1748&lt;0,(10-3)*A1748,-3*A1748))+F$129*EXP(IF(A1748&lt;0,(10-4)*A1748,-4*A1748))+G$129*EXP(IF(A1748&lt;0,(10-5)*A1748,-5*A1748))+H$129*EXP(IF(A1748&lt;0,(10-6)*A1748,-6*A1748))+I$129*EXP(IF(A1748&lt;0,(10-7)*A1748,-7*A1748))+J$129*EXP(IF(A1748&lt;0,(10-8)*A1748,-8*A1748))+K$129*EXP(IF(A1748&lt;0,(10-9)*A1748,-9*A1748))+L$129*EXP(IF(A1748&lt;0,(10-10)*A1748,-10*A1748)),0)</x:f>
        <x:v>781747.4775455104</x:v>
      </x:c>
      <x:c r="C1748" s="256" t="n">
        <x:f>IF(B1748=0,IF(B1747=0,0,1),IF(B1747=0,0,IF(SIGN(B1748)&lt;&gt;SIGN(B1747),1,0)))</x:f>
        <x:v>0</x:v>
      </x:c>
      <x:c r="D1748" s="256" t="n">
        <x:f>EXP(A1748-0.005)-1</x:f>
        <x:v>-0.9999756991687406</x:v>
      </x:c>
    </x:row>
    <x:row r="1749" ht="20" customHeight="1">
      <x:c r="A1749" s="256" t="n">
        <x:f>-12+139*0.01</x:f>
        <x:v>-10.61</x:v>
      </x:c>
      <x:c r="B1749" s="256" t="n">
        <x:f>IF(COUNT($B$129:$L$129)=11,B$129*EXP(IF(A1749&lt;0,(10-0)*A1749,-0*A1749))+C$129*EXP(IF(A1749&lt;0,(10-1)*A1749,-1*A1749))+D$129*EXP(IF(A1749&lt;0,(10-2)*A1749,-2*A1749))+E$129*EXP(IF(A1749&lt;0,(10-3)*A1749,-3*A1749))+F$129*EXP(IF(A1749&lt;0,(10-4)*A1749,-4*A1749))+G$129*EXP(IF(A1749&lt;0,(10-5)*A1749,-5*A1749))+H$129*EXP(IF(A1749&lt;0,(10-6)*A1749,-6*A1749))+I$129*EXP(IF(A1749&lt;0,(10-7)*A1749,-7*A1749))+J$129*EXP(IF(A1749&lt;0,(10-8)*A1749,-8*A1749))+K$129*EXP(IF(A1749&lt;0,(10-9)*A1749,-9*A1749))+L$129*EXP(IF(A1749&lt;0,(10-10)*A1749,-10*A1749)),0)</x:f>
        <x:v>781747.4806363219</x:v>
      </x:c>
      <x:c r="C1749" s="256" t="n">
        <x:f>IF(B1749=0,IF(B1748=0,0,1),IF(B1748=0,0,IF(SIGN(B1749)&lt;&gt;SIGN(B1748),1,0)))</x:f>
        <x:v>0</x:v>
      </x:c>
      <x:c r="D1749" s="256" t="n">
        <x:f>EXP(A1749-0.005)-1</x:f>
        <x:v>-0.9999754549413262</x:v>
      </x:c>
    </x:row>
    <x:row r="1750" ht="20" customHeight="1">
      <x:c r="A1750" s="256" t="n">
        <x:f>-12+140*0.01</x:f>
        <x:v>-10.6</x:v>
      </x:c>
      <x:c r="B1750" s="256" t="n">
        <x:f>IF(COUNT($B$129:$L$129)=11,B$129*EXP(IF(A1750&lt;0,(10-0)*A1750,-0*A1750))+C$129*EXP(IF(A1750&lt;0,(10-1)*A1750,-1*A1750))+D$129*EXP(IF(A1750&lt;0,(10-2)*A1750,-2*A1750))+E$129*EXP(IF(A1750&lt;0,(10-3)*A1750,-3*A1750))+F$129*EXP(IF(A1750&lt;0,(10-4)*A1750,-4*A1750))+G$129*EXP(IF(A1750&lt;0,(10-5)*A1750,-5*A1750))+H$129*EXP(IF(A1750&lt;0,(10-6)*A1750,-6*A1750))+I$129*EXP(IF(A1750&lt;0,(10-7)*A1750,-7*A1750))+J$129*EXP(IF(A1750&lt;0,(10-8)*A1750,-8*A1750))+K$129*EXP(IF(A1750&lt;0,(10-9)*A1750,-9*A1750))+L$129*EXP(IF(A1750&lt;0,(10-10)*A1750,-10*A1750)),0)</x:f>
        <x:v>781747.4837581979</x:v>
      </x:c>
      <x:c r="C1750" s="256" t="n">
        <x:f>IF(B1750=0,IF(B1749=0,0,1),IF(B1749=0,0,IF(SIGN(B1750)&lt;&gt;SIGN(B1749),1,0)))</x:f>
        <x:v>0</x:v>
      </x:c>
      <x:c r="D1750" s="256" t="n">
        <x:f>EXP(A1750-0.005)-1</x:f>
        <x:v>-0.9999752082593855</x:v>
      </x:c>
    </x:row>
    <x:row r="1751" ht="20" customHeight="1">
      <x:c r="A1751" s="256" t="n">
        <x:f>-12+141*0.01</x:f>
        <x:v>-10.59</x:v>
      </x:c>
      <x:c r="B1751" s="256" t="n">
        <x:f>IF(COUNT($B$129:$L$129)=11,B$129*EXP(IF(A1751&lt;0,(10-0)*A1751,-0*A1751))+C$129*EXP(IF(A1751&lt;0,(10-1)*A1751,-1*A1751))+D$129*EXP(IF(A1751&lt;0,(10-2)*A1751,-2*A1751))+E$129*EXP(IF(A1751&lt;0,(10-3)*A1751,-3*A1751))+F$129*EXP(IF(A1751&lt;0,(10-4)*A1751,-4*A1751))+G$129*EXP(IF(A1751&lt;0,(10-5)*A1751,-5*A1751))+H$129*EXP(IF(A1751&lt;0,(10-6)*A1751,-6*A1751))+I$129*EXP(IF(A1751&lt;0,(10-7)*A1751,-7*A1751))+J$129*EXP(IF(A1751&lt;0,(10-8)*A1751,-8*A1751))+K$129*EXP(IF(A1751&lt;0,(10-9)*A1751,-9*A1751))+L$129*EXP(IF(A1751&lt;0,(10-10)*A1751,-10*A1751)),0)</x:f>
        <x:v>781747.4869114503</x:v>
      </x:c>
      <x:c r="C1751" s="256" t="n">
        <x:f>IF(B1751=0,IF(B1750=0,0,1),IF(B1750=0,0,IF(SIGN(B1751)&lt;&gt;SIGN(B1750),1,0)))</x:f>
        <x:v>0</x:v>
      </x:c>
      <x:c r="D1751" s="256" t="n">
        <x:f>EXP(A1751-0.005)-1</x:f>
        <x:v>-0.99997495909825</x:v>
      </x:c>
    </x:row>
    <x:row r="1752" ht="20" customHeight="1">
      <x:c r="A1752" s="256" t="n">
        <x:f>-12+142*0.01</x:f>
        <x:v>-10.58</x:v>
      </x:c>
      <x:c r="B1752" s="256" t="n">
        <x:f>IF(COUNT($B$129:$L$129)=11,B$129*EXP(IF(A1752&lt;0,(10-0)*A1752,-0*A1752))+C$129*EXP(IF(A1752&lt;0,(10-1)*A1752,-1*A1752))+D$129*EXP(IF(A1752&lt;0,(10-2)*A1752,-2*A1752))+E$129*EXP(IF(A1752&lt;0,(10-3)*A1752,-3*A1752))+F$129*EXP(IF(A1752&lt;0,(10-4)*A1752,-4*A1752))+G$129*EXP(IF(A1752&lt;0,(10-5)*A1752,-5*A1752))+H$129*EXP(IF(A1752&lt;0,(10-6)*A1752,-6*A1752))+I$129*EXP(IF(A1752&lt;0,(10-7)*A1752,-7*A1752))+J$129*EXP(IF(A1752&lt;0,(10-8)*A1752,-8*A1752))+K$129*EXP(IF(A1752&lt;0,(10-9)*A1752,-9*A1752))+L$129*EXP(IF(A1752&lt;0,(10-10)*A1752,-10*A1752)),0)</x:f>
        <x:v>781747.4900963947</x:v>
      </x:c>
      <x:c r="C1752" s="256" t="n">
        <x:f>IF(B1752=0,IF(B1751=0,0,1),IF(B1751=0,0,IF(SIGN(B1752)&lt;&gt;SIGN(B1751),1,0)))</x:f>
        <x:v>0</x:v>
      </x:c>
      <x:c r="D1752" s="256" t="n">
        <x:f>EXP(A1752-0.005)-1</x:f>
        <x:v>-0.9999747074330034</x:v>
      </x:c>
    </x:row>
    <x:row r="1753" ht="20" customHeight="1">
      <x:c r="A1753" s="256" t="n">
        <x:f>-12+143*0.01</x:f>
        <x:v>-10.57</x:v>
      </x:c>
      <x:c r="B1753" s="256" t="n">
        <x:f>IF(COUNT($B$129:$L$129)=11,B$129*EXP(IF(A1753&lt;0,(10-0)*A1753,-0*A1753))+C$129*EXP(IF(A1753&lt;0,(10-1)*A1753,-1*A1753))+D$129*EXP(IF(A1753&lt;0,(10-2)*A1753,-2*A1753))+E$129*EXP(IF(A1753&lt;0,(10-3)*A1753,-3*A1753))+F$129*EXP(IF(A1753&lt;0,(10-4)*A1753,-4*A1753))+G$129*EXP(IF(A1753&lt;0,(10-5)*A1753,-5*A1753))+H$129*EXP(IF(A1753&lt;0,(10-6)*A1753,-6*A1753))+I$129*EXP(IF(A1753&lt;0,(10-7)*A1753,-7*A1753))+J$129*EXP(IF(A1753&lt;0,(10-8)*A1753,-8*A1753))+K$129*EXP(IF(A1753&lt;0,(10-9)*A1753,-9*A1753))+L$129*EXP(IF(A1753&lt;0,(10-10)*A1753,-10*A1753)),0)</x:f>
        <x:v>781747.4933133496</x:v>
      </x:c>
      <x:c r="C1753" s="256" t="n">
        <x:f>IF(B1753=0,IF(B1752=0,0,1),IF(B1752=0,0,IF(SIGN(B1753)&lt;&gt;SIGN(B1752),1,0)))</x:f>
        <x:v>0</x:v>
      </x:c>
      <x:c r="D1753" s="256" t="n">
        <x:f>EXP(A1753-0.005)-1</x:f>
        <x:v>-0.9999744532384791</x:v>
      </x:c>
    </x:row>
    <x:row r="1754" ht="20" customHeight="1">
      <x:c r="A1754" s="256" t="n">
        <x:f>-12+144*0.01</x:f>
        <x:v>-10.56</x:v>
      </x:c>
      <x:c r="B1754" s="256" t="n">
        <x:f>IF(COUNT($B$129:$L$129)=11,B$129*EXP(IF(A1754&lt;0,(10-0)*A1754,-0*A1754))+C$129*EXP(IF(A1754&lt;0,(10-1)*A1754,-1*A1754))+D$129*EXP(IF(A1754&lt;0,(10-2)*A1754,-2*A1754))+E$129*EXP(IF(A1754&lt;0,(10-3)*A1754,-3*A1754))+F$129*EXP(IF(A1754&lt;0,(10-4)*A1754,-4*A1754))+G$129*EXP(IF(A1754&lt;0,(10-5)*A1754,-5*A1754))+H$129*EXP(IF(A1754&lt;0,(10-6)*A1754,-6*A1754))+I$129*EXP(IF(A1754&lt;0,(10-7)*A1754,-7*A1754))+J$129*EXP(IF(A1754&lt;0,(10-8)*A1754,-8*A1754))+K$129*EXP(IF(A1754&lt;0,(10-9)*A1754,-9*A1754))+L$129*EXP(IF(A1754&lt;0,(10-10)*A1754,-10*A1754)),0)</x:f>
        <x:v>781747.4965626366</x:v>
      </x:c>
      <x:c r="C1754" s="256" t="n">
        <x:f>IF(B1754=0,IF(B1753=0,0,1),IF(B1753=0,0,IF(SIGN(B1754)&lt;&gt;SIGN(B1753),1,0)))</x:f>
        <x:v>0</x:v>
      </x:c>
      <x:c r="D1754" s="256" t="n">
        <x:f>EXP(A1754-0.005)-1</x:f>
        <x:v>-0.9999741964892574</x:v>
      </x:c>
    </x:row>
    <x:row r="1755" ht="20" customHeight="1">
      <x:c r="A1755" s="256" t="n">
        <x:f>-12+145*0.01</x:f>
        <x:v>-10.55</x:v>
      </x:c>
      <x:c r="B1755" s="256" t="n">
        <x:f>IF(COUNT($B$129:$L$129)=11,B$129*EXP(IF(A1755&lt;0,(10-0)*A1755,-0*A1755))+C$129*EXP(IF(A1755&lt;0,(10-1)*A1755,-1*A1755))+D$129*EXP(IF(A1755&lt;0,(10-2)*A1755,-2*A1755))+E$129*EXP(IF(A1755&lt;0,(10-3)*A1755,-3*A1755))+F$129*EXP(IF(A1755&lt;0,(10-4)*A1755,-4*A1755))+G$129*EXP(IF(A1755&lt;0,(10-5)*A1755,-5*A1755))+H$129*EXP(IF(A1755&lt;0,(10-6)*A1755,-6*A1755))+I$129*EXP(IF(A1755&lt;0,(10-7)*A1755,-7*A1755))+J$129*EXP(IF(A1755&lt;0,(10-8)*A1755,-8*A1755))+K$129*EXP(IF(A1755&lt;0,(10-9)*A1755,-9*A1755))+L$129*EXP(IF(A1755&lt;0,(10-10)*A1755,-10*A1755)),0)</x:f>
        <x:v>781747.4998445808</x:v>
      </x:c>
      <x:c r="C1755" s="256" t="n">
        <x:f>IF(B1755=0,IF(B1754=0,0,1),IF(B1754=0,0,IF(SIGN(B1755)&lt;&gt;SIGN(B1754),1,0)))</x:f>
        <x:v>0</x:v>
      </x:c>
      <x:c r="D1755" s="256" t="n">
        <x:f>EXP(A1755-0.005)-1</x:f>
        <x:v>-0.9999739371596631</x:v>
      </x:c>
    </x:row>
    <x:row r="1756" ht="20" customHeight="1">
      <x:c r="A1756" s="256" t="n">
        <x:f>-12+146*0.01</x:f>
        <x:v>-10.54</x:v>
      </x:c>
      <x:c r="B1756" s="256" t="n">
        <x:f>IF(COUNT($B$129:$L$129)=11,B$129*EXP(IF(A1756&lt;0,(10-0)*A1756,-0*A1756))+C$129*EXP(IF(A1756&lt;0,(10-1)*A1756,-1*A1756))+D$129*EXP(IF(A1756&lt;0,(10-2)*A1756,-2*A1756))+E$129*EXP(IF(A1756&lt;0,(10-3)*A1756,-3*A1756))+F$129*EXP(IF(A1756&lt;0,(10-4)*A1756,-4*A1756))+G$129*EXP(IF(A1756&lt;0,(10-5)*A1756,-5*A1756))+H$129*EXP(IF(A1756&lt;0,(10-6)*A1756,-6*A1756))+I$129*EXP(IF(A1756&lt;0,(10-7)*A1756,-7*A1756))+J$129*EXP(IF(A1756&lt;0,(10-8)*A1756,-8*A1756))+K$129*EXP(IF(A1756&lt;0,(10-9)*A1756,-9*A1756))+L$129*EXP(IF(A1756&lt;0,(10-10)*A1756,-10*A1756)),0)</x:f>
        <x:v>781747.5031595104</x:v>
      </x:c>
      <x:c r="C1756" s="256" t="n">
        <x:f>IF(B1756=0,IF(B1755=0,0,1),IF(B1755=0,0,IF(SIGN(B1756)&lt;&gt;SIGN(B1755),1,0)))</x:f>
        <x:v>0</x:v>
      </x:c>
      <x:c r="D1756" s="256" t="n">
        <x:f>EXP(A1756-0.005)-1</x:f>
        <x:v>-0.999973675223763</x:v>
      </x:c>
    </x:row>
    <x:row r="1757" ht="20" customHeight="1">
      <x:c r="A1757" s="256" t="n">
        <x:f>-12+147*0.01</x:f>
        <x:v>-10.53</x:v>
      </x:c>
      <x:c r="B1757" s="256" t="n">
        <x:f>IF(COUNT($B$129:$L$129)=11,B$129*EXP(IF(A1757&lt;0,(10-0)*A1757,-0*A1757))+C$129*EXP(IF(A1757&lt;0,(10-1)*A1757,-1*A1757))+D$129*EXP(IF(A1757&lt;0,(10-2)*A1757,-2*A1757))+E$129*EXP(IF(A1757&lt;0,(10-3)*A1757,-3*A1757))+F$129*EXP(IF(A1757&lt;0,(10-4)*A1757,-4*A1757))+G$129*EXP(IF(A1757&lt;0,(10-5)*A1757,-5*A1757))+H$129*EXP(IF(A1757&lt;0,(10-6)*A1757,-6*A1757))+I$129*EXP(IF(A1757&lt;0,(10-7)*A1757,-7*A1757))+J$129*EXP(IF(A1757&lt;0,(10-8)*A1757,-8*A1757))+K$129*EXP(IF(A1757&lt;0,(10-9)*A1757,-9*A1757))+L$129*EXP(IF(A1757&lt;0,(10-10)*A1757,-10*A1757)),0)</x:f>
        <x:v>781747.506507757</x:v>
      </x:c>
      <x:c r="C1757" s="256" t="n">
        <x:f>IF(B1757=0,IF(B1756=0,0,1),IF(B1756=0,0,IF(SIGN(B1757)&lt;&gt;SIGN(B1756),1,0)))</x:f>
        <x:v>0</x:v>
      </x:c>
      <x:c r="D1757" s="256" t="n">
        <x:f>EXP(A1757-0.005)-1</x:f>
        <x:v>-0.9999734106553634</x:v>
      </x:c>
    </x:row>
    <x:row r="1758" ht="20" customHeight="1">
      <x:c r="A1758" s="256" t="n">
        <x:f>-12+148*0.01</x:f>
        <x:v>-10.52</x:v>
      </x:c>
      <x:c r="B1758" s="256" t="n">
        <x:f>IF(COUNT($B$129:$L$129)=11,B$129*EXP(IF(A1758&lt;0,(10-0)*A1758,-0*A1758))+C$129*EXP(IF(A1758&lt;0,(10-1)*A1758,-1*A1758))+D$129*EXP(IF(A1758&lt;0,(10-2)*A1758,-2*A1758))+E$129*EXP(IF(A1758&lt;0,(10-3)*A1758,-3*A1758))+F$129*EXP(IF(A1758&lt;0,(10-4)*A1758,-4*A1758))+G$129*EXP(IF(A1758&lt;0,(10-5)*A1758,-5*A1758))+H$129*EXP(IF(A1758&lt;0,(10-6)*A1758,-6*A1758))+I$129*EXP(IF(A1758&lt;0,(10-7)*A1758,-7*A1758))+J$129*EXP(IF(A1758&lt;0,(10-8)*A1758,-8*A1758))+K$129*EXP(IF(A1758&lt;0,(10-9)*A1758,-9*A1758))+L$129*EXP(IF(A1758&lt;0,(10-10)*A1758,-10*A1758)),0)</x:f>
        <x:v>781747.5098896555</x:v>
      </x:c>
      <x:c r="C1758" s="256" t="n">
        <x:f>IF(B1758=0,IF(B1757=0,0,1),IF(B1757=0,0,IF(SIGN(B1758)&lt;&gt;SIGN(B1757),1,0)))</x:f>
        <x:v>0</x:v>
      </x:c>
      <x:c r="D1758" s="256" t="n">
        <x:f>EXP(A1758-0.005)-1</x:f>
        <x:v>-0.9999731434280071</x:v>
      </x:c>
    </x:row>
    <x:row r="1759" ht="20" customHeight="1">
      <x:c r="A1759" s="256" t="n">
        <x:f>-12+149*0.01</x:f>
        <x:v>-10.51</x:v>
      </x:c>
      <x:c r="B1759" s="256" t="n">
        <x:f>IF(COUNT($B$129:$L$129)=11,B$129*EXP(IF(A1759&lt;0,(10-0)*A1759,-0*A1759))+C$129*EXP(IF(A1759&lt;0,(10-1)*A1759,-1*A1759))+D$129*EXP(IF(A1759&lt;0,(10-2)*A1759,-2*A1759))+E$129*EXP(IF(A1759&lt;0,(10-3)*A1759,-3*A1759))+F$129*EXP(IF(A1759&lt;0,(10-4)*A1759,-4*A1759))+G$129*EXP(IF(A1759&lt;0,(10-5)*A1759,-5*A1759))+H$129*EXP(IF(A1759&lt;0,(10-6)*A1759,-6*A1759))+I$129*EXP(IF(A1759&lt;0,(10-7)*A1759,-7*A1759))+J$129*EXP(IF(A1759&lt;0,(10-8)*A1759,-8*A1759))+K$129*EXP(IF(A1759&lt;0,(10-9)*A1759,-9*A1759))+L$129*EXP(IF(A1759&lt;0,(10-10)*A1759,-10*A1759)),0)</x:f>
        <x:v>781747.5133055439</x:v>
      </x:c>
      <x:c r="C1759" s="256" t="n">
        <x:f>IF(B1759=0,IF(B1758=0,0,1),IF(B1758=0,0,IF(SIGN(B1759)&lt;&gt;SIGN(B1758),1,0)))</x:f>
        <x:v>0</x:v>
      </x:c>
      <x:c r="D1759" s="256" t="n">
        <x:f>EXP(A1759-0.005)-1</x:f>
        <x:v>-0.9999728735149713</x:v>
      </x:c>
    </x:row>
    <x:row r="1760" ht="20" customHeight="1">
      <x:c r="A1760" s="256" t="n">
        <x:f>-12+150*0.01</x:f>
        <x:v>-10.5</x:v>
      </x:c>
      <x:c r="B1760" s="256" t="n">
        <x:f>IF(COUNT($B$129:$L$129)=11,B$129*EXP(IF(A1760&lt;0,(10-0)*A1760,-0*A1760))+C$129*EXP(IF(A1760&lt;0,(10-1)*A1760,-1*A1760))+D$129*EXP(IF(A1760&lt;0,(10-2)*A1760,-2*A1760))+E$129*EXP(IF(A1760&lt;0,(10-3)*A1760,-3*A1760))+F$129*EXP(IF(A1760&lt;0,(10-4)*A1760,-4*A1760))+G$129*EXP(IF(A1760&lt;0,(10-5)*A1760,-5*A1760))+H$129*EXP(IF(A1760&lt;0,(10-6)*A1760,-6*A1760))+I$129*EXP(IF(A1760&lt;0,(10-7)*A1760,-7*A1760))+J$129*EXP(IF(A1760&lt;0,(10-8)*A1760,-8*A1760))+K$129*EXP(IF(A1760&lt;0,(10-9)*A1760,-9*A1760))+L$129*EXP(IF(A1760&lt;0,(10-10)*A1760,-10*A1760)),0)</x:f>
        <x:v>781747.516755764</x:v>
      </x:c>
      <x:c r="C1760" s="256" t="n">
        <x:f>IF(B1760=0,IF(B1759=0,0,1),IF(B1759=0,0,IF(SIGN(B1760)&lt;&gt;SIGN(B1759),1,0)))</x:f>
        <x:v>0</x:v>
      </x:c>
      <x:c r="D1760" s="256" t="n">
        <x:f>EXP(A1760-0.005)-1</x:f>
        <x:v>-0.9999726008892643</x:v>
      </x:c>
    </x:row>
    <x:row r="1761" ht="20" customHeight="1">
      <x:c r="A1761" s="256" t="n">
        <x:f>-12+151*0.01</x:f>
        <x:v>-10.49</x:v>
      </x:c>
      <x:c r="B1761" s="256" t="n">
        <x:f>IF(COUNT($B$129:$L$129)=11,B$129*EXP(IF(A1761&lt;0,(10-0)*A1761,-0*A1761))+C$129*EXP(IF(A1761&lt;0,(10-1)*A1761,-1*A1761))+D$129*EXP(IF(A1761&lt;0,(10-2)*A1761,-2*A1761))+E$129*EXP(IF(A1761&lt;0,(10-3)*A1761,-3*A1761))+F$129*EXP(IF(A1761&lt;0,(10-4)*A1761,-4*A1761))+G$129*EXP(IF(A1761&lt;0,(10-5)*A1761,-5*A1761))+H$129*EXP(IF(A1761&lt;0,(10-6)*A1761,-6*A1761))+I$129*EXP(IF(A1761&lt;0,(10-7)*A1761,-7*A1761))+J$129*EXP(IF(A1761&lt;0,(10-8)*A1761,-8*A1761))+K$129*EXP(IF(A1761&lt;0,(10-9)*A1761,-9*A1761))+L$129*EXP(IF(A1761&lt;0,(10-10)*A1761,-10*A1761)),0)</x:f>
        <x:v>781747.520240661</x:v>
      </x:c>
      <x:c r="C1761" s="256" t="n">
        <x:f>IF(B1761=0,IF(B1760=0,0,1),IF(B1760=0,0,IF(SIGN(B1761)&lt;&gt;SIGN(B1760),1,0)))</x:f>
        <x:v>0</x:v>
      </x:c>
      <x:c r="D1761" s="256" t="n">
        <x:f>EXP(A1761-0.005)-1</x:f>
        <x:v>-0.9999723255236235</x:v>
      </x:c>
    </x:row>
    <x:row r="1762" ht="20" customHeight="1">
      <x:c r="A1762" s="256" t="n">
        <x:f>-12+152*0.01</x:f>
        <x:v>-10.48</x:v>
      </x:c>
      <x:c r="B1762" s="256" t="n">
        <x:f>IF(COUNT($B$129:$L$129)=11,B$129*EXP(IF(A1762&lt;0,(10-0)*A1762,-0*A1762))+C$129*EXP(IF(A1762&lt;0,(10-1)*A1762,-1*A1762))+D$129*EXP(IF(A1762&lt;0,(10-2)*A1762,-2*A1762))+E$129*EXP(IF(A1762&lt;0,(10-3)*A1762,-3*A1762))+F$129*EXP(IF(A1762&lt;0,(10-4)*A1762,-4*A1762))+G$129*EXP(IF(A1762&lt;0,(10-5)*A1762,-5*A1762))+H$129*EXP(IF(A1762&lt;0,(10-6)*A1762,-6*A1762))+I$129*EXP(IF(A1762&lt;0,(10-7)*A1762,-7*A1762))+J$129*EXP(IF(A1762&lt;0,(10-8)*A1762,-8*A1762))+K$129*EXP(IF(A1762&lt;0,(10-9)*A1762,-9*A1762))+L$129*EXP(IF(A1762&lt;0,(10-10)*A1762,-10*A1762)),0)</x:f>
        <x:v>781747.5237605831</x:v>
      </x:c>
      <x:c r="C1762" s="256" t="n">
        <x:f>IF(B1762=0,IF(B1761=0,0,1),IF(B1761=0,0,IF(SIGN(B1762)&lt;&gt;SIGN(B1761),1,0)))</x:f>
        <x:v>0</x:v>
      </x:c>
      <x:c r="D1762" s="256" t="n">
        <x:f>EXP(A1762-0.005)-1</x:f>
        <x:v>-0.9999720473905119</x:v>
      </x:c>
    </x:row>
    <x:row r="1763" ht="20" customHeight="1">
      <x:c r="A1763" s="256" t="n">
        <x:f>-12+153*0.01</x:f>
        <x:v>-10.47</x:v>
      </x:c>
      <x:c r="B1763" s="256" t="n">
        <x:f>IF(COUNT($B$129:$L$129)=11,B$129*EXP(IF(A1763&lt;0,(10-0)*A1763,-0*A1763))+C$129*EXP(IF(A1763&lt;0,(10-1)*A1763,-1*A1763))+D$129*EXP(IF(A1763&lt;0,(10-2)*A1763,-2*A1763))+E$129*EXP(IF(A1763&lt;0,(10-3)*A1763,-3*A1763))+F$129*EXP(IF(A1763&lt;0,(10-4)*A1763,-4*A1763))+G$129*EXP(IF(A1763&lt;0,(10-5)*A1763,-5*A1763))+H$129*EXP(IF(A1763&lt;0,(10-6)*A1763,-6*A1763))+I$129*EXP(IF(A1763&lt;0,(10-7)*A1763,-7*A1763))+J$129*EXP(IF(A1763&lt;0,(10-8)*A1763,-8*A1763))+K$129*EXP(IF(A1763&lt;0,(10-9)*A1763,-9*A1763))+L$129*EXP(IF(A1763&lt;0,(10-10)*A1763,-10*A1763)),0)</x:f>
        <x:v>781747.5273158826</x:v>
      </x:c>
      <x:c r="C1763" s="256" t="n">
        <x:f>IF(B1763=0,IF(B1762=0,0,1),IF(B1762=0,0,IF(SIGN(B1763)&lt;&gt;SIGN(B1762),1,0)))</x:f>
        <x:v>0</x:v>
      </x:c>
      <x:c r="D1763" s="256" t="n">
        <x:f>EXP(A1763-0.005)-1</x:f>
        <x:v>-0.9999717664621162</x:v>
      </x:c>
    </x:row>
    <x:row r="1764" ht="20" customHeight="1">
      <x:c r="A1764" s="256" t="n">
        <x:f>-12+154*0.01</x:f>
        <x:v>-10.46</x:v>
      </x:c>
      <x:c r="B1764" s="256" t="n">
        <x:f>IF(COUNT($B$129:$L$129)=11,B$129*EXP(IF(A1764&lt;0,(10-0)*A1764,-0*A1764))+C$129*EXP(IF(A1764&lt;0,(10-1)*A1764,-1*A1764))+D$129*EXP(IF(A1764&lt;0,(10-2)*A1764,-2*A1764))+E$129*EXP(IF(A1764&lt;0,(10-3)*A1764,-3*A1764))+F$129*EXP(IF(A1764&lt;0,(10-4)*A1764,-4*A1764))+G$129*EXP(IF(A1764&lt;0,(10-5)*A1764,-5*A1764))+H$129*EXP(IF(A1764&lt;0,(10-6)*A1764,-6*A1764))+I$129*EXP(IF(A1764&lt;0,(10-7)*A1764,-7*A1764))+J$129*EXP(IF(A1764&lt;0,(10-8)*A1764,-8*A1764))+K$129*EXP(IF(A1764&lt;0,(10-9)*A1764,-9*A1764))+L$129*EXP(IF(A1764&lt;0,(10-10)*A1764,-10*A1764)),0)</x:f>
        <x:v>781747.5309069151</x:v>
      </x:c>
      <x:c r="C1764" s="256" t="n">
        <x:f>IF(B1764=0,IF(B1763=0,0,1),IF(B1763=0,0,IF(SIGN(B1764)&lt;&gt;SIGN(B1763),1,0)))</x:f>
        <x:v>0</x:v>
      </x:c>
      <x:c r="D1764" s="256" t="n">
        <x:f>EXP(A1764-0.005)-1</x:f>
        <x:v>-0.9999714827103431</x:v>
      </x:c>
    </x:row>
    <x:row r="1765" ht="20" customHeight="1">
      <x:c r="A1765" s="256" t="n">
        <x:f>-12+155*0.01</x:f>
        <x:v>-10.45</x:v>
      </x:c>
      <x:c r="B1765" s="256" t="n">
        <x:f>IF(COUNT($B$129:$L$129)=11,B$129*EXP(IF(A1765&lt;0,(10-0)*A1765,-0*A1765))+C$129*EXP(IF(A1765&lt;0,(10-1)*A1765,-1*A1765))+D$129*EXP(IF(A1765&lt;0,(10-2)*A1765,-2*A1765))+E$129*EXP(IF(A1765&lt;0,(10-3)*A1765,-3*A1765))+F$129*EXP(IF(A1765&lt;0,(10-4)*A1765,-4*A1765))+G$129*EXP(IF(A1765&lt;0,(10-5)*A1765,-5*A1765))+H$129*EXP(IF(A1765&lt;0,(10-6)*A1765,-6*A1765))+I$129*EXP(IF(A1765&lt;0,(10-7)*A1765,-7*A1765))+J$129*EXP(IF(A1765&lt;0,(10-8)*A1765,-8*A1765))+K$129*EXP(IF(A1765&lt;0,(10-9)*A1765,-9*A1765))+L$129*EXP(IF(A1765&lt;0,(10-10)*A1765,-10*A1765)),0)</x:f>
        <x:v>781747.5345340394</x:v>
      </x:c>
      <x:c r="C1765" s="256" t="n">
        <x:f>IF(B1765=0,IF(B1764=0,0,1),IF(B1764=0,0,IF(SIGN(B1765)&lt;&gt;SIGN(B1764),1,0)))</x:f>
        <x:v>0</x:v>
      </x:c>
      <x:c r="D1765" s="256" t="n">
        <x:f>EXP(A1765-0.005)-1</x:f>
        <x:v>-0.9999711961068172</x:v>
      </x:c>
    </x:row>
    <x:row r="1766" ht="20" customHeight="1">
      <x:c r="A1766" s="256" t="n">
        <x:f>-12+156*0.01</x:f>
        <x:v>-10.44</x:v>
      </x:c>
      <x:c r="B1766" s="256" t="n">
        <x:f>IF(COUNT($B$129:$L$129)=11,B$129*EXP(IF(A1766&lt;0,(10-0)*A1766,-0*A1766))+C$129*EXP(IF(A1766&lt;0,(10-1)*A1766,-1*A1766))+D$129*EXP(IF(A1766&lt;0,(10-2)*A1766,-2*A1766))+E$129*EXP(IF(A1766&lt;0,(10-3)*A1766,-3*A1766))+F$129*EXP(IF(A1766&lt;0,(10-4)*A1766,-4*A1766))+G$129*EXP(IF(A1766&lt;0,(10-5)*A1766,-5*A1766))+H$129*EXP(IF(A1766&lt;0,(10-6)*A1766,-6*A1766))+I$129*EXP(IF(A1766&lt;0,(10-7)*A1766,-7*A1766))+J$129*EXP(IF(A1766&lt;0,(10-8)*A1766,-8*A1766))+K$129*EXP(IF(A1766&lt;0,(10-9)*A1766,-9*A1766))+L$129*EXP(IF(A1766&lt;0,(10-10)*A1766,-10*A1766)),0)</x:f>
        <x:v>781747.5381976188</x:v>
      </x:c>
      <x:c r="C1766" s="256" t="n">
        <x:f>IF(B1766=0,IF(B1765=0,0,1),IF(B1765=0,0,IF(SIGN(B1766)&lt;&gt;SIGN(B1765),1,0)))</x:f>
        <x:v>0</x:v>
      </x:c>
      <x:c r="D1766" s="256" t="n">
        <x:f>EXP(A1766-0.005)-1</x:f>
        <x:v>-0.999970906622878</x:v>
      </x:c>
    </x:row>
    <x:row r="1767" ht="20" customHeight="1">
      <x:c r="A1767" s="256" t="n">
        <x:f>-12+157*0.01</x:f>
        <x:v>-10.43</x:v>
      </x:c>
      <x:c r="B1767" s="256" t="n">
        <x:f>IF(COUNT($B$129:$L$129)=11,B$129*EXP(IF(A1767&lt;0,(10-0)*A1767,-0*A1767))+C$129*EXP(IF(A1767&lt;0,(10-1)*A1767,-1*A1767))+D$129*EXP(IF(A1767&lt;0,(10-2)*A1767,-2*A1767))+E$129*EXP(IF(A1767&lt;0,(10-3)*A1767,-3*A1767))+F$129*EXP(IF(A1767&lt;0,(10-4)*A1767,-4*A1767))+G$129*EXP(IF(A1767&lt;0,(10-5)*A1767,-5*A1767))+H$129*EXP(IF(A1767&lt;0,(10-6)*A1767,-6*A1767))+I$129*EXP(IF(A1767&lt;0,(10-7)*A1767,-7*A1767))+J$129*EXP(IF(A1767&lt;0,(10-8)*A1767,-8*A1767))+K$129*EXP(IF(A1767&lt;0,(10-9)*A1767,-9*A1767))+L$129*EXP(IF(A1767&lt;0,(10-10)*A1767,-10*A1767)),0)</x:f>
        <x:v>781747.5418980193</x:v>
      </x:c>
      <x:c r="C1767" s="256" t="n">
        <x:f>IF(B1767=0,IF(B1766=0,0,1),IF(B1766=0,0,IF(SIGN(B1767)&lt;&gt;SIGN(B1766),1,0)))</x:f>
        <x:v>0</x:v>
      </x:c>
      <x:c r="D1767" s="256" t="n">
        <x:f>EXP(A1767-0.005)-1</x:f>
        <x:v>-0.9999706142295769</x:v>
      </x:c>
    </x:row>
    <x:row r="1768" ht="20" customHeight="1">
      <x:c r="A1768" s="256" t="n">
        <x:f>-12+158*0.01</x:f>
        <x:v>-10.42</x:v>
      </x:c>
      <x:c r="B1768" s="256" t="n">
        <x:f>IF(COUNT($B$129:$L$129)=11,B$129*EXP(IF(A1768&lt;0,(10-0)*A1768,-0*A1768))+C$129*EXP(IF(A1768&lt;0,(10-1)*A1768,-1*A1768))+D$129*EXP(IF(A1768&lt;0,(10-2)*A1768,-2*A1768))+E$129*EXP(IF(A1768&lt;0,(10-3)*A1768,-3*A1768))+F$129*EXP(IF(A1768&lt;0,(10-4)*A1768,-4*A1768))+G$129*EXP(IF(A1768&lt;0,(10-5)*A1768,-5*A1768))+H$129*EXP(IF(A1768&lt;0,(10-6)*A1768,-6*A1768))+I$129*EXP(IF(A1768&lt;0,(10-7)*A1768,-7*A1768))+J$129*EXP(IF(A1768&lt;0,(10-8)*A1768,-8*A1768))+K$129*EXP(IF(A1768&lt;0,(10-9)*A1768,-9*A1768))+L$129*EXP(IF(A1768&lt;0,(10-10)*A1768,-10*A1768)),0)</x:f>
        <x:v>781747.5456356112</x:v>
      </x:c>
      <x:c r="C1768" s="256" t="n">
        <x:f>IF(B1768=0,IF(B1767=0,0,1),IF(B1767=0,0,IF(SIGN(B1768)&lt;&gt;SIGN(B1767),1,0)))</x:f>
        <x:v>0</x:v>
      </x:c>
      <x:c r="D1768" s="256" t="n">
        <x:f>EXP(A1768-0.005)-1</x:f>
        <x:v>-0.9999703188976743</x:v>
      </x:c>
    </x:row>
    <x:row r="1769" ht="20" customHeight="1">
      <x:c r="A1769" s="256" t="n">
        <x:f>-12+159*0.01</x:f>
        <x:v>-10.41</x:v>
      </x:c>
      <x:c r="B1769" s="256" t="n">
        <x:f>IF(COUNT($B$129:$L$129)=11,B$129*EXP(IF(A1769&lt;0,(10-0)*A1769,-0*A1769))+C$129*EXP(IF(A1769&lt;0,(10-1)*A1769,-1*A1769))+D$129*EXP(IF(A1769&lt;0,(10-2)*A1769,-2*A1769))+E$129*EXP(IF(A1769&lt;0,(10-3)*A1769,-3*A1769))+F$129*EXP(IF(A1769&lt;0,(10-4)*A1769,-4*A1769))+G$129*EXP(IF(A1769&lt;0,(10-5)*A1769,-5*A1769))+H$129*EXP(IF(A1769&lt;0,(10-6)*A1769,-6*A1769))+I$129*EXP(IF(A1769&lt;0,(10-7)*A1769,-7*A1769))+J$129*EXP(IF(A1769&lt;0,(10-8)*A1769,-8*A1769))+K$129*EXP(IF(A1769&lt;0,(10-9)*A1769,-9*A1769))+L$129*EXP(IF(A1769&lt;0,(10-10)*A1769,-10*A1769)),0)</x:f>
        <x:v>781747.5494107682</x:v>
      </x:c>
      <x:c r="C1769" s="256" t="n">
        <x:f>IF(B1769=0,IF(B1768=0,0,1),IF(B1768=0,0,IF(SIGN(B1769)&lt;&gt;SIGN(B1768),1,0)))</x:f>
        <x:v>0</x:v>
      </x:c>
      <x:c r="D1769" s="256" t="n">
        <x:f>EXP(A1769-0.005)-1</x:f>
        <x:v>-0.9999700205976366</x:v>
      </x:c>
    </x:row>
    <x:row r="1770" ht="20" customHeight="1">
      <x:c r="A1770" s="256" t="n">
        <x:f>-12+160*0.01</x:f>
        <x:v>-10.4</x:v>
      </x:c>
      <x:c r="B1770" s="256" t="n">
        <x:f>IF(COUNT($B$129:$L$129)=11,B$129*EXP(IF(A1770&lt;0,(10-0)*A1770,-0*A1770))+C$129*EXP(IF(A1770&lt;0,(10-1)*A1770,-1*A1770))+D$129*EXP(IF(A1770&lt;0,(10-2)*A1770,-2*A1770))+E$129*EXP(IF(A1770&lt;0,(10-3)*A1770,-3*A1770))+F$129*EXP(IF(A1770&lt;0,(10-4)*A1770,-4*A1770))+G$129*EXP(IF(A1770&lt;0,(10-5)*A1770,-5*A1770))+H$129*EXP(IF(A1770&lt;0,(10-6)*A1770,-6*A1770))+I$129*EXP(IF(A1770&lt;0,(10-7)*A1770,-7*A1770))+J$129*EXP(IF(A1770&lt;0,(10-8)*A1770,-8*A1770))+K$129*EXP(IF(A1770&lt;0,(10-9)*A1770,-9*A1770))+L$129*EXP(IF(A1770&lt;0,(10-10)*A1770,-10*A1770)),0)</x:f>
        <x:v>781747.5532238679</x:v>
      </x:c>
      <x:c r="C1770" s="256" t="n">
        <x:f>IF(B1770=0,IF(B1769=0,0,1),IF(B1769=0,0,IF(SIGN(B1770)&lt;&gt;SIGN(B1769),1,0)))</x:f>
        <x:v>0</x:v>
      </x:c>
      <x:c r="D1770" s="256" t="n">
        <x:f>EXP(A1770-0.005)-1</x:f>
        <x:v>-0.9999697192996339</x:v>
      </x:c>
    </x:row>
    <x:row r="1771" ht="20" customHeight="1">
      <x:c r="A1771" s="256" t="n">
        <x:f>-12+161*0.01</x:f>
        <x:v>-10.39</x:v>
      </x:c>
      <x:c r="B1771" s="256" t="n">
        <x:f>IF(COUNT($B$129:$L$129)=11,B$129*EXP(IF(A1771&lt;0,(10-0)*A1771,-0*A1771))+C$129*EXP(IF(A1771&lt;0,(10-1)*A1771,-1*A1771))+D$129*EXP(IF(A1771&lt;0,(10-2)*A1771,-2*A1771))+E$129*EXP(IF(A1771&lt;0,(10-3)*A1771,-3*A1771))+F$129*EXP(IF(A1771&lt;0,(10-4)*A1771,-4*A1771))+G$129*EXP(IF(A1771&lt;0,(10-5)*A1771,-5*A1771))+H$129*EXP(IF(A1771&lt;0,(10-6)*A1771,-6*A1771))+I$129*EXP(IF(A1771&lt;0,(10-7)*A1771,-7*A1771))+J$129*EXP(IF(A1771&lt;0,(10-8)*A1771,-8*A1771))+K$129*EXP(IF(A1771&lt;0,(10-9)*A1771,-9*A1771))+L$129*EXP(IF(A1771&lt;0,(10-10)*A1771,-10*A1771)),0)</x:f>
        <x:v>781747.5570752916</x:v>
      </x:c>
      <x:c r="C1771" s="256" t="n">
        <x:f>IF(B1771=0,IF(B1770=0,0,1),IF(B1770=0,0,IF(SIGN(B1771)&lt;&gt;SIGN(B1770),1,0)))</x:f>
        <x:v>0</x:v>
      </x:c>
      <x:c r="D1771" s="256" t="n">
        <x:f>EXP(A1771-0.005)-1</x:f>
        <x:v>-0.9999694149735358</x:v>
      </x:c>
    </x:row>
    <x:row r="1772" ht="20" customHeight="1">
      <x:c r="A1772" s="256" t="n">
        <x:f>-12+162*0.01</x:f>
        <x:v>-10.379999999999999</x:v>
      </x:c>
      <x:c r="B1772" s="256" t="n">
        <x:f>IF(COUNT($B$129:$L$129)=11,B$129*EXP(IF(A1772&lt;0,(10-0)*A1772,-0*A1772))+C$129*EXP(IF(A1772&lt;0,(10-1)*A1772,-1*A1772))+D$129*EXP(IF(A1772&lt;0,(10-2)*A1772,-2*A1772))+E$129*EXP(IF(A1772&lt;0,(10-3)*A1772,-3*A1772))+F$129*EXP(IF(A1772&lt;0,(10-4)*A1772,-4*A1772))+G$129*EXP(IF(A1772&lt;0,(10-5)*A1772,-5*A1772))+H$129*EXP(IF(A1772&lt;0,(10-6)*A1772,-6*A1772))+I$129*EXP(IF(A1772&lt;0,(10-7)*A1772,-7*A1772))+J$129*EXP(IF(A1772&lt;0,(10-8)*A1772,-8*A1772))+K$129*EXP(IF(A1772&lt;0,(10-9)*A1772,-9*A1772))+L$129*EXP(IF(A1772&lt;0,(10-10)*A1772,-10*A1772)),0)</x:f>
        <x:v>781747.5609654246</x:v>
      </x:c>
      <x:c r="C1772" s="256" t="n">
        <x:f>IF(B1772=0,IF(B1771=0,0,1),IF(B1771=0,0,IF(SIGN(B1772)&lt;&gt;SIGN(B1771),1,0)))</x:f>
        <x:v>0</x:v>
      </x:c>
      <x:c r="D1772" s="256" t="n">
        <x:f>EXP(A1772-0.005)-1</x:f>
        <x:v>-0.9999691075889094</x:v>
      </x:c>
    </x:row>
    <x:row r="1773" ht="20" customHeight="1">
      <x:c r="A1773" s="256" t="n">
        <x:f>-12+163*0.01</x:f>
        <x:v>-10.37</x:v>
      </x:c>
      <x:c r="B1773" s="256" t="n">
        <x:f>IF(COUNT($B$129:$L$129)=11,B$129*EXP(IF(A1773&lt;0,(10-0)*A1773,-0*A1773))+C$129*EXP(IF(A1773&lt;0,(10-1)*A1773,-1*A1773))+D$129*EXP(IF(A1773&lt;0,(10-2)*A1773,-2*A1773))+E$129*EXP(IF(A1773&lt;0,(10-3)*A1773,-3*A1773))+F$129*EXP(IF(A1773&lt;0,(10-4)*A1773,-4*A1773))+G$129*EXP(IF(A1773&lt;0,(10-5)*A1773,-5*A1773))+H$129*EXP(IF(A1773&lt;0,(10-6)*A1773,-6*A1773))+I$129*EXP(IF(A1773&lt;0,(10-7)*A1773,-7*A1773))+J$129*EXP(IF(A1773&lt;0,(10-8)*A1773,-8*A1773))+K$129*EXP(IF(A1773&lt;0,(10-9)*A1773,-9*A1773))+L$129*EXP(IF(A1773&lt;0,(10-10)*A1773,-10*A1773)),0)</x:f>
        <x:v>781747.5648946561</x:v>
      </x:c>
      <x:c r="C1773" s="256" t="n">
        <x:f>IF(B1773=0,IF(B1772=0,0,1),IF(B1772=0,0,IF(SIGN(B1773)&lt;&gt;SIGN(B1772),1,0)))</x:f>
        <x:v>0</x:v>
      </x:c>
      <x:c r="D1773" s="256" t="n">
        <x:f>EXP(A1773-0.005)-1</x:f>
        <x:v>-0.9999687971150164</x:v>
      </x:c>
    </x:row>
    <x:row r="1774" ht="20" customHeight="1">
      <x:c r="A1774" s="256" t="n">
        <x:f>-12+164*0.01</x:f>
        <x:v>-10.36</x:v>
      </x:c>
      <x:c r="B1774" s="256" t="n">
        <x:f>IF(COUNT($B$129:$L$129)=11,B$129*EXP(IF(A1774&lt;0,(10-0)*A1774,-0*A1774))+C$129*EXP(IF(A1774&lt;0,(10-1)*A1774,-1*A1774))+D$129*EXP(IF(A1774&lt;0,(10-2)*A1774,-2*A1774))+E$129*EXP(IF(A1774&lt;0,(10-3)*A1774,-3*A1774))+F$129*EXP(IF(A1774&lt;0,(10-4)*A1774,-4*A1774))+G$129*EXP(IF(A1774&lt;0,(10-5)*A1774,-5*A1774))+H$129*EXP(IF(A1774&lt;0,(10-6)*A1774,-6*A1774))+I$129*EXP(IF(A1774&lt;0,(10-7)*A1774,-7*A1774))+J$129*EXP(IF(A1774&lt;0,(10-8)*A1774,-8*A1774))+K$129*EXP(IF(A1774&lt;0,(10-9)*A1774,-9*A1774))+L$129*EXP(IF(A1774&lt;0,(10-10)*A1774,-10*A1774)),0)</x:f>
        <x:v>781747.5688633788</x:v>
      </x:c>
      <x:c r="C1774" s="256" t="n">
        <x:f>IF(B1774=0,IF(B1773=0,0,1),IF(B1773=0,0,IF(SIGN(B1774)&lt;&gt;SIGN(B1773),1,0)))</x:f>
        <x:v>0</x:v>
      </x:c>
      <x:c r="D1774" s="256" t="n">
        <x:f>EXP(A1774-0.005)-1</x:f>
        <x:v>-0.9999684835208088</x:v>
      </x:c>
    </x:row>
    <x:row r="1775" ht="20" customHeight="1">
      <x:c r="A1775" s="256" t="n">
        <x:f>-12+165*0.01</x:f>
        <x:v>-10.35</x:v>
      </x:c>
      <x:c r="B1775" s="256" t="n">
        <x:f>IF(COUNT($B$129:$L$129)=11,B$129*EXP(IF(A1775&lt;0,(10-0)*A1775,-0*A1775))+C$129*EXP(IF(A1775&lt;0,(10-1)*A1775,-1*A1775))+D$129*EXP(IF(A1775&lt;0,(10-2)*A1775,-2*A1775))+E$129*EXP(IF(A1775&lt;0,(10-3)*A1775,-3*A1775))+F$129*EXP(IF(A1775&lt;0,(10-4)*A1775,-4*A1775))+G$129*EXP(IF(A1775&lt;0,(10-5)*A1775,-5*A1775))+H$129*EXP(IF(A1775&lt;0,(10-6)*A1775,-6*A1775))+I$129*EXP(IF(A1775&lt;0,(10-7)*A1775,-7*A1775))+J$129*EXP(IF(A1775&lt;0,(10-8)*A1775,-8*A1775))+K$129*EXP(IF(A1775&lt;0,(10-9)*A1775,-9*A1775))+L$129*EXP(IF(A1775&lt;0,(10-10)*A1775,-10*A1775)),0)</x:f>
        <x:v>781747.5728719898</x:v>
      </x:c>
      <x:c r="C1775" s="256" t="n">
        <x:f>IF(B1775=0,IF(B1774=0,0,1),IF(B1774=0,0,IF(SIGN(B1775)&lt;&gt;SIGN(B1774),1,0)))</x:f>
        <x:v>0</x:v>
      </x:c>
      <x:c r="D1775" s="256" t="n">
        <x:f>EXP(A1775-0.005)-1</x:f>
        <x:v>-0.9999681667749271</x:v>
      </x:c>
    </x:row>
    <x:row r="1776" ht="20" customHeight="1">
      <x:c r="A1776" s="256" t="n">
        <x:f>-12+166*0.01</x:f>
        <x:v>-10.34</x:v>
      </x:c>
      <x:c r="B1776" s="256" t="n">
        <x:f>IF(COUNT($B$129:$L$129)=11,B$129*EXP(IF(A1776&lt;0,(10-0)*A1776,-0*A1776))+C$129*EXP(IF(A1776&lt;0,(10-1)*A1776,-1*A1776))+D$129*EXP(IF(A1776&lt;0,(10-2)*A1776,-2*A1776))+E$129*EXP(IF(A1776&lt;0,(10-3)*A1776,-3*A1776))+F$129*EXP(IF(A1776&lt;0,(10-4)*A1776,-4*A1776))+G$129*EXP(IF(A1776&lt;0,(10-5)*A1776,-5*A1776))+H$129*EXP(IF(A1776&lt;0,(10-6)*A1776,-6*A1776))+I$129*EXP(IF(A1776&lt;0,(10-7)*A1776,-7*A1776))+J$129*EXP(IF(A1776&lt;0,(10-8)*A1776,-8*A1776))+K$129*EXP(IF(A1776&lt;0,(10-9)*A1776,-9*A1776))+L$129*EXP(IF(A1776&lt;0,(10-10)*A1776,-10*A1776)),0)</x:f>
        <x:v>781747.5769208899</x:v>
      </x:c>
      <x:c r="C1776" s="256" t="n">
        <x:f>IF(B1776=0,IF(B1775=0,0,1),IF(B1775=0,0,IF(SIGN(B1776)&lt;&gt;SIGN(B1775),1,0)))</x:f>
        <x:v>0</x:v>
      </x:c>
      <x:c r="D1776" s="256" t="n">
        <x:f>EXP(A1776-0.005)-1</x:f>
        <x:v>-0.9999678468456962</x:v>
      </x:c>
    </x:row>
    <x:row r="1777" ht="20" customHeight="1">
      <x:c r="A1777" s="256" t="n">
        <x:f>-12+167*0.01</x:f>
        <x:v>-10.33</x:v>
      </x:c>
      <x:c r="B1777" s="256" t="n">
        <x:f>IF(COUNT($B$129:$L$129)=11,B$129*EXP(IF(A1777&lt;0,(10-0)*A1777,-0*A1777))+C$129*EXP(IF(A1777&lt;0,(10-1)*A1777,-1*A1777))+D$129*EXP(IF(A1777&lt;0,(10-2)*A1777,-2*A1777))+E$129*EXP(IF(A1777&lt;0,(10-3)*A1777,-3*A1777))+F$129*EXP(IF(A1777&lt;0,(10-4)*A1777,-4*A1777))+G$129*EXP(IF(A1777&lt;0,(10-5)*A1777,-5*A1777))+H$129*EXP(IF(A1777&lt;0,(10-6)*A1777,-6*A1777))+I$129*EXP(IF(A1777&lt;0,(10-7)*A1777,-7*A1777))+J$129*EXP(IF(A1777&lt;0,(10-8)*A1777,-8*A1777))+K$129*EXP(IF(A1777&lt;0,(10-9)*A1777,-9*A1777))+L$129*EXP(IF(A1777&lt;0,(10-10)*A1777,-10*A1777)),0)</x:f>
        <x:v>781747.5810104843</x:v>
      </x:c>
      <x:c r="C1777" s="256" t="n">
        <x:f>IF(B1777=0,IF(B1776=0,0,1),IF(B1776=0,0,IF(SIGN(B1777)&lt;&gt;SIGN(B1776),1,0)))</x:f>
        <x:v>0</x:v>
      </x:c>
      <x:c r="D1777" s="256" t="n">
        <x:f>EXP(A1777-0.005)-1</x:f>
        <x:v>-0.9999675237011232</x:v>
      </x:c>
    </x:row>
    <x:row r="1778" ht="20" customHeight="1">
      <x:c r="A1778" s="256" t="n">
        <x:f>-12+168*0.01</x:f>
        <x:v>-10.32</x:v>
      </x:c>
      <x:c r="B1778" s="256" t="n">
        <x:f>IF(COUNT($B$129:$L$129)=11,B$129*EXP(IF(A1778&lt;0,(10-0)*A1778,-0*A1778))+C$129*EXP(IF(A1778&lt;0,(10-1)*A1778,-1*A1778))+D$129*EXP(IF(A1778&lt;0,(10-2)*A1778,-2*A1778))+E$129*EXP(IF(A1778&lt;0,(10-3)*A1778,-3*A1778))+F$129*EXP(IF(A1778&lt;0,(10-4)*A1778,-4*A1778))+G$129*EXP(IF(A1778&lt;0,(10-5)*A1778,-5*A1778))+H$129*EXP(IF(A1778&lt;0,(10-6)*A1778,-6*A1778))+I$129*EXP(IF(A1778&lt;0,(10-7)*A1778,-7*A1778))+J$129*EXP(IF(A1778&lt;0,(10-8)*A1778,-8*A1778))+K$129*EXP(IF(A1778&lt;0,(10-9)*A1778,-9*A1778))+L$129*EXP(IF(A1778&lt;0,(10-10)*A1778,-10*A1778)),0)</x:f>
        <x:v>781747.5851411817</x:v>
      </x:c>
      <x:c r="C1778" s="256" t="n">
        <x:f>IF(B1778=0,IF(B1777=0,0,1),IF(B1777=0,0,IF(SIGN(B1778)&lt;&gt;SIGN(B1777),1,0)))</x:f>
        <x:v>0</x:v>
      </x:c>
      <x:c r="D1778" s="256" t="n">
        <x:f>EXP(A1778-0.005)-1</x:f>
        <x:v>-0.9999671973088932</x:v>
      </x:c>
    </x:row>
    <x:row r="1779" ht="20" customHeight="1">
      <x:c r="A1779" s="256" t="n">
        <x:f>-12+169*0.01</x:f>
        <x:v>-10.31</x:v>
      </x:c>
      <x:c r="B1779" s="256" t="n">
        <x:f>IF(COUNT($B$129:$L$129)=11,B$129*EXP(IF(A1779&lt;0,(10-0)*A1779,-0*A1779))+C$129*EXP(IF(A1779&lt;0,(10-1)*A1779,-1*A1779))+D$129*EXP(IF(A1779&lt;0,(10-2)*A1779,-2*A1779))+E$129*EXP(IF(A1779&lt;0,(10-3)*A1779,-3*A1779))+F$129*EXP(IF(A1779&lt;0,(10-4)*A1779,-4*A1779))+G$129*EXP(IF(A1779&lt;0,(10-5)*A1779,-5*A1779))+H$129*EXP(IF(A1779&lt;0,(10-6)*A1779,-6*A1779))+I$129*EXP(IF(A1779&lt;0,(10-7)*A1779,-7*A1779))+J$129*EXP(IF(A1779&lt;0,(10-8)*A1779,-8*A1779))+K$129*EXP(IF(A1779&lt;0,(10-9)*A1779,-9*A1779))+L$129*EXP(IF(A1779&lt;0,(10-10)*A1779,-10*A1779)),0)</x:f>
        <x:v>781747.5893133954</x:v>
      </x:c>
      <x:c r="C1779" s="256" t="n">
        <x:f>IF(B1779=0,IF(B1778=0,0,1),IF(B1778=0,0,IF(SIGN(B1779)&lt;&gt;SIGN(B1778),1,0)))</x:f>
        <x:v>0</x:v>
      </x:c>
      <x:c r="D1779" s="256" t="n">
        <x:f>EXP(A1779-0.005)-1</x:f>
        <x:v>-0.9999668676363668</x:v>
      </x:c>
    </x:row>
    <x:row r="1780" ht="20" customHeight="1">
      <x:c r="A1780" s="256" t="n">
        <x:f>-12+170*0.01</x:f>
        <x:v>-10.3</x:v>
      </x:c>
      <x:c r="B1780" s="256" t="n">
        <x:f>IF(COUNT($B$129:$L$129)=11,B$129*EXP(IF(A1780&lt;0,(10-0)*A1780,-0*A1780))+C$129*EXP(IF(A1780&lt;0,(10-1)*A1780,-1*A1780))+D$129*EXP(IF(A1780&lt;0,(10-2)*A1780,-2*A1780))+E$129*EXP(IF(A1780&lt;0,(10-3)*A1780,-3*A1780))+F$129*EXP(IF(A1780&lt;0,(10-4)*A1780,-4*A1780))+G$129*EXP(IF(A1780&lt;0,(10-5)*A1780,-5*A1780))+H$129*EXP(IF(A1780&lt;0,(10-6)*A1780,-6*A1780))+I$129*EXP(IF(A1780&lt;0,(10-7)*A1780,-7*A1780))+J$129*EXP(IF(A1780&lt;0,(10-8)*A1780,-8*A1780))+K$129*EXP(IF(A1780&lt;0,(10-9)*A1780,-9*A1780))+L$129*EXP(IF(A1780&lt;0,(10-10)*A1780,-10*A1780)),0)</x:f>
        <x:v>781747.5935275428</x:v>
      </x:c>
      <x:c r="C1780" s="256" t="n">
        <x:f>IF(B1780=0,IF(B1779=0,0,1),IF(B1779=0,0,IF(SIGN(B1780)&lt;&gt;SIGN(B1779),1,0)))</x:f>
        <x:v>0</x:v>
      </x:c>
      <x:c r="D1780" s="256" t="n">
        <x:f>EXP(A1780-0.005)-1</x:f>
        <x:v>-0.9999665346505764</x:v>
      </x:c>
    </x:row>
    <x:row r="1781" ht="20" customHeight="1">
      <x:c r="A1781" s="256" t="n">
        <x:f>-12+171*0.01</x:f>
        <x:v>-10.29</x:v>
      </x:c>
      <x:c r="B1781" s="256" t="n">
        <x:f>IF(COUNT($B$129:$L$129)=11,B$129*EXP(IF(A1781&lt;0,(10-0)*A1781,-0*A1781))+C$129*EXP(IF(A1781&lt;0,(10-1)*A1781,-1*A1781))+D$129*EXP(IF(A1781&lt;0,(10-2)*A1781,-2*A1781))+E$129*EXP(IF(A1781&lt;0,(10-3)*A1781,-3*A1781))+F$129*EXP(IF(A1781&lt;0,(10-4)*A1781,-4*A1781))+G$129*EXP(IF(A1781&lt;0,(10-5)*A1781,-5*A1781))+H$129*EXP(IF(A1781&lt;0,(10-6)*A1781,-6*A1781))+I$129*EXP(IF(A1781&lt;0,(10-7)*A1781,-7*A1781))+J$129*EXP(IF(A1781&lt;0,(10-8)*A1781,-8*A1781))+K$129*EXP(IF(A1781&lt;0,(10-9)*A1781,-9*A1781))+L$129*EXP(IF(A1781&lt;0,(10-10)*A1781,-10*A1781)),0)</x:f>
        <x:v>781747.5977840453</x:v>
      </x:c>
      <x:c r="C1781" s="256" t="n">
        <x:f>IF(B1781=0,IF(B1780=0,0,1),IF(B1780=0,0,IF(SIGN(B1781)&lt;&gt;SIGN(B1780),1,0)))</x:f>
        <x:v>0</x:v>
      </x:c>
      <x:c r="D1781" s="256" t="n">
        <x:f>EXP(A1781-0.005)-1</x:f>
        <x:v>-0.9999661983182231</x:v>
      </x:c>
    </x:row>
    <x:row r="1782" ht="20" customHeight="1">
      <x:c r="A1782" s="256" t="n">
        <x:f>-12+172*0.01</x:f>
        <x:v>-10.28</x:v>
      </x:c>
      <x:c r="B1782" s="256" t="n">
        <x:f>IF(COUNT($B$129:$L$129)=11,B$129*EXP(IF(A1782&lt;0,(10-0)*A1782,-0*A1782))+C$129*EXP(IF(A1782&lt;0,(10-1)*A1782,-1*A1782))+D$129*EXP(IF(A1782&lt;0,(10-2)*A1782,-2*A1782))+E$129*EXP(IF(A1782&lt;0,(10-3)*A1782,-3*A1782))+F$129*EXP(IF(A1782&lt;0,(10-4)*A1782,-4*A1782))+G$129*EXP(IF(A1782&lt;0,(10-5)*A1782,-5*A1782))+H$129*EXP(IF(A1782&lt;0,(10-6)*A1782,-6*A1782))+I$129*EXP(IF(A1782&lt;0,(10-7)*A1782,-7*A1782))+J$129*EXP(IF(A1782&lt;0,(10-8)*A1782,-8*A1782))+K$129*EXP(IF(A1782&lt;0,(10-9)*A1782,-9*A1782))+L$129*EXP(IF(A1782&lt;0,(10-10)*A1782,-10*A1782)),0)</x:f>
        <x:v>781747.6020833284</x:v>
      </x:c>
      <x:c r="C1782" s="256" t="n">
        <x:f>IF(B1782=0,IF(B1781=0,0,1),IF(B1781=0,0,IF(SIGN(B1782)&lt;&gt;SIGN(B1781),1,0)))</x:f>
        <x:v>0</x:v>
      </x:c>
      <x:c r="D1782" s="256" t="n">
        <x:f>EXP(A1782-0.005)-1</x:f>
        <x:v>-0.9999658586056736</x:v>
      </x:c>
    </x:row>
    <x:row r="1783" ht="20" customHeight="1">
      <x:c r="A1783" s="256" t="n">
        <x:f>-12+173*0.01</x:f>
        <x:v>-10.27</x:v>
      </x:c>
      <x:c r="B1783" s="256" t="n">
        <x:f>IF(COUNT($B$129:$L$129)=11,B$129*EXP(IF(A1783&lt;0,(10-0)*A1783,-0*A1783))+C$129*EXP(IF(A1783&lt;0,(10-1)*A1783,-1*A1783))+D$129*EXP(IF(A1783&lt;0,(10-2)*A1783,-2*A1783))+E$129*EXP(IF(A1783&lt;0,(10-3)*A1783,-3*A1783))+F$129*EXP(IF(A1783&lt;0,(10-4)*A1783,-4*A1783))+G$129*EXP(IF(A1783&lt;0,(10-5)*A1783,-5*A1783))+H$129*EXP(IF(A1783&lt;0,(10-6)*A1783,-6*A1783))+I$129*EXP(IF(A1783&lt;0,(10-7)*A1783,-7*A1783))+J$129*EXP(IF(A1783&lt;0,(10-8)*A1783,-8*A1783))+K$129*EXP(IF(A1783&lt;0,(10-9)*A1783,-9*A1783))+L$129*EXP(IF(A1783&lt;0,(10-10)*A1783,-10*A1783)),0)</x:f>
        <x:v>781747.6064258224</x:v>
      </x:c>
      <x:c r="C1783" s="256" t="n">
        <x:f>IF(B1783=0,IF(B1782=0,0,1),IF(B1782=0,0,IF(SIGN(B1783)&lt;&gt;SIGN(B1782),1,0)))</x:f>
        <x:v>0</x:v>
      </x:c>
      <x:c r="D1783" s="256" t="n">
        <x:f>EXP(A1783-0.005)-1</x:f>
        <x:v>-0.9999655154789561</x:v>
      </x:c>
    </x:row>
    <x:row r="1784" ht="20" customHeight="1">
      <x:c r="A1784" s="256" t="n">
        <x:f>-12+174*0.01</x:f>
        <x:v>-10.26</x:v>
      </x:c>
      <x:c r="B1784" s="256" t="n">
        <x:f>IF(COUNT($B$129:$L$129)=11,B$129*EXP(IF(A1784&lt;0,(10-0)*A1784,-0*A1784))+C$129*EXP(IF(A1784&lt;0,(10-1)*A1784,-1*A1784))+D$129*EXP(IF(A1784&lt;0,(10-2)*A1784,-2*A1784))+E$129*EXP(IF(A1784&lt;0,(10-3)*A1784,-3*A1784))+F$129*EXP(IF(A1784&lt;0,(10-4)*A1784,-4*A1784))+G$129*EXP(IF(A1784&lt;0,(10-5)*A1784,-5*A1784))+H$129*EXP(IF(A1784&lt;0,(10-6)*A1784,-6*A1784))+I$129*EXP(IF(A1784&lt;0,(10-7)*A1784,-7*A1784))+J$129*EXP(IF(A1784&lt;0,(10-8)*A1784,-8*A1784))+K$129*EXP(IF(A1784&lt;0,(10-9)*A1784,-9*A1784))+L$129*EXP(IF(A1784&lt;0,(10-10)*A1784,-10*A1784)),0)</x:f>
        <x:v>781747.6108119615</x:v>
      </x:c>
      <x:c r="C1784" s="256" t="n">
        <x:f>IF(B1784=0,IF(B1783=0,0,1),IF(B1783=0,0,IF(SIGN(B1784)&lt;&gt;SIGN(B1783),1,0)))</x:f>
        <x:v>0</x:v>
      </x:c>
      <x:c r="D1784" s="256" t="n">
        <x:f>EXP(A1784-0.005)-1</x:f>
        <x:v>-0.9999651689037578</x:v>
      </x:c>
    </x:row>
    <x:row r="1785" ht="20" customHeight="1">
      <x:c r="A1785" s="256" t="n">
        <x:f>-12+175*0.01</x:f>
        <x:v>-10.25</x:v>
      </x:c>
      <x:c r="B1785" s="256" t="n">
        <x:f>IF(COUNT($B$129:$L$129)=11,B$129*EXP(IF(A1785&lt;0,(10-0)*A1785,-0*A1785))+C$129*EXP(IF(A1785&lt;0,(10-1)*A1785,-1*A1785))+D$129*EXP(IF(A1785&lt;0,(10-2)*A1785,-2*A1785))+E$129*EXP(IF(A1785&lt;0,(10-3)*A1785,-3*A1785))+F$129*EXP(IF(A1785&lt;0,(10-4)*A1785,-4*A1785))+G$129*EXP(IF(A1785&lt;0,(10-5)*A1785,-5*A1785))+H$129*EXP(IF(A1785&lt;0,(10-6)*A1785,-6*A1785))+I$129*EXP(IF(A1785&lt;0,(10-7)*A1785,-7*A1785))+J$129*EXP(IF(A1785&lt;0,(10-8)*A1785,-8*A1785))+K$129*EXP(IF(A1785&lt;0,(10-9)*A1785,-9*A1785))+L$129*EXP(IF(A1785&lt;0,(10-10)*A1785,-10*A1785)),0)</x:f>
        <x:v>781747.6152421844</x:v>
      </x:c>
      <x:c r="C1785" s="256" t="n">
        <x:f>IF(B1785=0,IF(B1784=0,0,1),IF(B1784=0,0,IF(SIGN(B1785)&lt;&gt;SIGN(B1784),1,0)))</x:f>
        <x:v>0</x:v>
      </x:c>
      <x:c r="D1785" s="256" t="n">
        <x:f>EXP(A1785-0.005)-1</x:f>
        <x:v>-0.9999648188454208</x:v>
      </x:c>
    </x:row>
    <x:row r="1786" ht="20" customHeight="1">
      <x:c r="A1786" s="256" t="n">
        <x:f>-12+176*0.01</x:f>
        <x:v>-10.24</x:v>
      </x:c>
      <x:c r="B1786" s="256" t="n">
        <x:f>IF(COUNT($B$129:$L$129)=11,B$129*EXP(IF(A1786&lt;0,(10-0)*A1786,-0*A1786))+C$129*EXP(IF(A1786&lt;0,(10-1)*A1786,-1*A1786))+D$129*EXP(IF(A1786&lt;0,(10-2)*A1786,-2*A1786))+E$129*EXP(IF(A1786&lt;0,(10-3)*A1786,-3*A1786))+F$129*EXP(IF(A1786&lt;0,(10-4)*A1786,-4*A1786))+G$129*EXP(IF(A1786&lt;0,(10-5)*A1786,-5*A1786))+H$129*EXP(IF(A1786&lt;0,(10-6)*A1786,-6*A1786))+I$129*EXP(IF(A1786&lt;0,(10-7)*A1786,-7*A1786))+J$129*EXP(IF(A1786&lt;0,(10-8)*A1786,-8*A1786))+K$129*EXP(IF(A1786&lt;0,(10-9)*A1786,-9*A1786))+L$129*EXP(IF(A1786&lt;0,(10-10)*A1786,-10*A1786)),0)</x:f>
        <x:v>781747.6197169342</x:v>
      </x:c>
      <x:c r="C1786" s="256" t="n">
        <x:f>IF(B1786=0,IF(B1785=0,0,1),IF(B1785=0,0,IF(SIGN(B1786)&lt;&gt;SIGN(B1785),1,0)))</x:f>
        <x:v>0</x:v>
      </x:c>
      <x:c r="D1786" s="256" t="n">
        <x:f>EXP(A1786-0.005)-1</x:f>
        <x:v>-0.999964465268939</x:v>
      </x:c>
    </x:row>
    <x:row r="1787" ht="20" customHeight="1">
      <x:c r="A1787" s="256" t="n">
        <x:f>-12+177*0.01</x:f>
        <x:v>-10.23</x:v>
      </x:c>
      <x:c r="B1787" s="256" t="n">
        <x:f>IF(COUNT($B$129:$L$129)=11,B$129*EXP(IF(A1787&lt;0,(10-0)*A1787,-0*A1787))+C$129*EXP(IF(A1787&lt;0,(10-1)*A1787,-1*A1787))+D$129*EXP(IF(A1787&lt;0,(10-2)*A1787,-2*A1787))+E$129*EXP(IF(A1787&lt;0,(10-3)*A1787,-3*A1787))+F$129*EXP(IF(A1787&lt;0,(10-4)*A1787,-4*A1787))+G$129*EXP(IF(A1787&lt;0,(10-5)*A1787,-5*A1787))+H$129*EXP(IF(A1787&lt;0,(10-6)*A1787,-6*A1787))+I$129*EXP(IF(A1787&lt;0,(10-7)*A1787,-7*A1787))+J$129*EXP(IF(A1787&lt;0,(10-8)*A1787,-8*A1787))+K$129*EXP(IF(A1787&lt;0,(10-9)*A1787,-9*A1787))+L$129*EXP(IF(A1787&lt;0,(10-10)*A1787,-10*A1787)),0)</x:f>
        <x:v>781747.6242366583</x:v>
      </x:c>
      <x:c r="C1787" s="256" t="n">
        <x:f>IF(B1787=0,IF(B1786=0,0,1),IF(B1786=0,0,IF(SIGN(B1787)&lt;&gt;SIGN(B1786),1,0)))</x:f>
        <x:v>0</x:v>
      </x:c>
      <x:c r="D1787" s="256" t="n">
        <x:f>EXP(A1787-0.005)-1</x:f>
        <x:v>-0.9999641081389545</x:v>
      </x:c>
    </x:row>
    <x:row r="1788" ht="20" customHeight="1">
      <x:c r="A1788" s="256" t="n">
        <x:f>-12+178*0.01</x:f>
        <x:v>-10.22</x:v>
      </x:c>
      <x:c r="B1788" s="256" t="n">
        <x:f>IF(COUNT($B$129:$L$129)=11,B$129*EXP(IF(A1788&lt;0,(10-0)*A1788,-0*A1788))+C$129*EXP(IF(A1788&lt;0,(10-1)*A1788,-1*A1788))+D$129*EXP(IF(A1788&lt;0,(10-2)*A1788,-2*A1788))+E$129*EXP(IF(A1788&lt;0,(10-3)*A1788,-3*A1788))+F$129*EXP(IF(A1788&lt;0,(10-4)*A1788,-4*A1788))+G$129*EXP(IF(A1788&lt;0,(10-5)*A1788,-5*A1788))+H$129*EXP(IF(A1788&lt;0,(10-6)*A1788,-6*A1788))+I$129*EXP(IF(A1788&lt;0,(10-7)*A1788,-7*A1788))+J$129*EXP(IF(A1788&lt;0,(10-8)*A1788,-8*A1788))+K$129*EXP(IF(A1788&lt;0,(10-9)*A1788,-9*A1788))+L$129*EXP(IF(A1788&lt;0,(10-10)*A1788,-10*A1788)),0)</x:f>
        <x:v>781747.628801809</x:v>
      </x:c>
      <x:c r="C1788" s="256" t="n">
        <x:f>IF(B1788=0,IF(B1787=0,0,1),IF(B1787=0,0,IF(SIGN(B1788)&lt;&gt;SIGN(B1787),1,0)))</x:f>
        <x:v>0</x:v>
      </x:c>
      <x:c r="D1788" s="256" t="n">
        <x:f>EXP(A1788-0.005)-1</x:f>
        <x:v>-0.9999637474197541</x:v>
      </x:c>
    </x:row>
    <x:row r="1789" ht="20" customHeight="1">
      <x:c r="A1789" s="256" t="n">
        <x:f>-12+179*0.01</x:f>
        <x:v>-10.21</x:v>
      </x:c>
      <x:c r="B1789" s="256" t="n">
        <x:f>IF(COUNT($B$129:$L$129)=11,B$129*EXP(IF(A1789&lt;0,(10-0)*A1789,-0*A1789))+C$129*EXP(IF(A1789&lt;0,(10-1)*A1789,-1*A1789))+D$129*EXP(IF(A1789&lt;0,(10-2)*A1789,-2*A1789))+E$129*EXP(IF(A1789&lt;0,(10-3)*A1789,-3*A1789))+F$129*EXP(IF(A1789&lt;0,(10-4)*A1789,-4*A1789))+G$129*EXP(IF(A1789&lt;0,(10-5)*A1789,-5*A1789))+H$129*EXP(IF(A1789&lt;0,(10-6)*A1789,-6*A1789))+I$129*EXP(IF(A1789&lt;0,(10-7)*A1789,-7*A1789))+J$129*EXP(IF(A1789&lt;0,(10-8)*A1789,-8*A1789))+K$129*EXP(IF(A1789&lt;0,(10-9)*A1789,-9*A1789))+L$129*EXP(IF(A1789&lt;0,(10-10)*A1789,-10*A1789)),0)</x:f>
        <x:v>781747.6334128429</x:v>
      </x:c>
      <x:c r="C1789" s="256" t="n">
        <x:f>IF(B1789=0,IF(B1788=0,0,1),IF(B1788=0,0,IF(SIGN(B1789)&lt;&gt;SIGN(B1788),1,0)))</x:f>
        <x:v>0</x:v>
      </x:c>
      <x:c r="D1789" s="256" t="n">
        <x:f>EXP(A1789-0.005)-1</x:f>
        <x:v>-0.9999633830752654</x:v>
      </x:c>
    </x:row>
    <x:row r="1790" ht="20" customHeight="1">
      <x:c r="A1790" s="256" t="n">
        <x:f>-12+180*0.01</x:f>
        <x:v>-10.2</x:v>
      </x:c>
      <x:c r="B1790" s="256" t="n">
        <x:f>IF(COUNT($B$129:$L$129)=11,B$129*EXP(IF(A1790&lt;0,(10-0)*A1790,-0*A1790))+C$129*EXP(IF(A1790&lt;0,(10-1)*A1790,-1*A1790))+D$129*EXP(IF(A1790&lt;0,(10-2)*A1790,-2*A1790))+E$129*EXP(IF(A1790&lt;0,(10-3)*A1790,-3*A1790))+F$129*EXP(IF(A1790&lt;0,(10-4)*A1790,-4*A1790))+G$129*EXP(IF(A1790&lt;0,(10-5)*A1790,-5*A1790))+H$129*EXP(IF(A1790&lt;0,(10-6)*A1790,-6*A1790))+I$129*EXP(IF(A1790&lt;0,(10-7)*A1790,-7*A1790))+J$129*EXP(IF(A1790&lt;0,(10-8)*A1790,-8*A1790))+K$129*EXP(IF(A1790&lt;0,(10-9)*A1790,-9*A1790))+L$129*EXP(IF(A1790&lt;0,(10-10)*A1790,-10*A1790)),0)</x:f>
        <x:v>781747.638070221</x:v>
      </x:c>
      <x:c r="C1790" s="256" t="n">
        <x:f>IF(B1790=0,IF(B1789=0,0,1),IF(B1789=0,0,IF(SIGN(B1790)&lt;&gt;SIGN(B1789),1,0)))</x:f>
        <x:v>0</x:v>
      </x:c>
      <x:c r="D1790" s="256" t="n">
        <x:f>EXP(A1790-0.005)-1</x:f>
        <x:v>-0.9999630150690537</x:v>
      </x:c>
    </x:row>
    <x:row r="1791" ht="20" customHeight="1">
      <x:c r="A1791" s="256" t="n">
        <x:f>-12+181*0.01</x:f>
        <x:v>-10.19</x:v>
      </x:c>
      <x:c r="B1791" s="256" t="n">
        <x:f>IF(COUNT($B$129:$L$129)=11,B$129*EXP(IF(A1791&lt;0,(10-0)*A1791,-0*A1791))+C$129*EXP(IF(A1791&lt;0,(10-1)*A1791,-1*A1791))+D$129*EXP(IF(A1791&lt;0,(10-2)*A1791,-2*A1791))+E$129*EXP(IF(A1791&lt;0,(10-3)*A1791,-3*A1791))+F$129*EXP(IF(A1791&lt;0,(10-4)*A1791,-4*A1791))+G$129*EXP(IF(A1791&lt;0,(10-5)*A1791,-5*A1791))+H$129*EXP(IF(A1791&lt;0,(10-6)*A1791,-6*A1791))+I$129*EXP(IF(A1791&lt;0,(10-7)*A1791,-7*A1791))+J$129*EXP(IF(A1791&lt;0,(10-8)*A1791,-8*A1791))+K$129*EXP(IF(A1791&lt;0,(10-9)*A1791,-9*A1791))+L$129*EXP(IF(A1791&lt;0,(10-10)*A1791,-10*A1791)),0)</x:f>
        <x:v>781747.6427744091</x:v>
      </x:c>
      <x:c r="C1791" s="256" t="n">
        <x:f>IF(B1791=0,IF(B1790=0,0,1),IF(B1790=0,0,IF(SIGN(B1791)&lt;&gt;SIGN(B1790),1,0)))</x:f>
        <x:v>0</x:v>
      </x:c>
      <x:c r="D1791" s="256" t="n">
        <x:f>EXP(A1791-0.005)-1</x:f>
        <x:v>-0.9999626433643182</x:v>
      </x:c>
    </x:row>
    <x:row r="1792" ht="20" customHeight="1">
      <x:c r="A1792" s="256" t="n">
        <x:f>-12+182*0.01</x:f>
        <x:v>-10.18</x:v>
      </x:c>
      <x:c r="B1792" s="256" t="n">
        <x:f>IF(COUNT($B$129:$L$129)=11,B$129*EXP(IF(A1792&lt;0,(10-0)*A1792,-0*A1792))+C$129*EXP(IF(A1792&lt;0,(10-1)*A1792,-1*A1792))+D$129*EXP(IF(A1792&lt;0,(10-2)*A1792,-2*A1792))+E$129*EXP(IF(A1792&lt;0,(10-3)*A1792,-3*A1792))+F$129*EXP(IF(A1792&lt;0,(10-4)*A1792,-4*A1792))+G$129*EXP(IF(A1792&lt;0,(10-5)*A1792,-5*A1792))+H$129*EXP(IF(A1792&lt;0,(10-6)*A1792,-6*A1792))+I$129*EXP(IF(A1792&lt;0,(10-7)*A1792,-7*A1792))+J$129*EXP(IF(A1792&lt;0,(10-8)*A1792,-8*A1792))+K$129*EXP(IF(A1792&lt;0,(10-9)*A1792,-9*A1792))+L$129*EXP(IF(A1792&lt;0,(10-10)*A1792,-10*A1792)),0)</x:f>
        <x:v>781747.6475258778</x:v>
      </x:c>
      <x:c r="C1792" s="256" t="n">
        <x:f>IF(B1792=0,IF(B1791=0,0,1),IF(B1791=0,0,IF(SIGN(B1792)&lt;&gt;SIGN(B1791),1,0)))</x:f>
        <x:v>0</x:v>
      </x:c>
      <x:c r="D1792" s="256" t="n">
        <x:f>EXP(A1792-0.005)-1</x:f>
        <x:v>-0.9999622679238878</x:v>
      </x:c>
    </x:row>
    <x:row r="1793" ht="20" customHeight="1">
      <x:c r="A1793" s="256" t="n">
        <x:f>-12+183*0.01</x:f>
        <x:v>-10.17</x:v>
      </x:c>
      <x:c r="B1793" s="256" t="n">
        <x:f>IF(COUNT($B$129:$L$129)=11,B$129*EXP(IF(A1793&lt;0,(10-0)*A1793,-0*A1793))+C$129*EXP(IF(A1793&lt;0,(10-1)*A1793,-1*A1793))+D$129*EXP(IF(A1793&lt;0,(10-2)*A1793,-2*A1793))+E$129*EXP(IF(A1793&lt;0,(10-3)*A1793,-3*A1793))+F$129*EXP(IF(A1793&lt;0,(10-4)*A1793,-4*A1793))+G$129*EXP(IF(A1793&lt;0,(10-5)*A1793,-5*A1793))+H$129*EXP(IF(A1793&lt;0,(10-6)*A1793,-6*A1793))+I$129*EXP(IF(A1793&lt;0,(10-7)*A1793,-7*A1793))+J$129*EXP(IF(A1793&lt;0,(10-8)*A1793,-8*A1793))+K$129*EXP(IF(A1793&lt;0,(10-9)*A1793,-9*A1793))+L$129*EXP(IF(A1793&lt;0,(10-10)*A1793,-10*A1793)),0)</x:f>
        <x:v>781747.6523251025</x:v>
      </x:c>
      <x:c r="C1793" s="256" t="n">
        <x:f>IF(B1793=0,IF(B1792=0,0,1),IF(B1792=0,0,IF(SIGN(B1793)&lt;&gt;SIGN(B1792),1,0)))</x:f>
        <x:v>0</x:v>
      </x:c>
      <x:c r="D1793" s="256" t="n">
        <x:f>EXP(A1793-0.005)-1</x:f>
        <x:v>-0.9999618887102184</x:v>
      </x:c>
    </x:row>
    <x:row r="1794" ht="20" customHeight="1">
      <x:c r="A1794" s="256" t="n">
        <x:f>-12+184*0.01</x:f>
        <x:v>-10.16</x:v>
      </x:c>
      <x:c r="B1794" s="256" t="n">
        <x:f>IF(COUNT($B$129:$L$129)=11,B$129*EXP(IF(A1794&lt;0,(10-0)*A1794,-0*A1794))+C$129*EXP(IF(A1794&lt;0,(10-1)*A1794,-1*A1794))+D$129*EXP(IF(A1794&lt;0,(10-2)*A1794,-2*A1794))+E$129*EXP(IF(A1794&lt;0,(10-3)*A1794,-3*A1794))+F$129*EXP(IF(A1794&lt;0,(10-4)*A1794,-4*A1794))+G$129*EXP(IF(A1794&lt;0,(10-5)*A1794,-5*A1794))+H$129*EXP(IF(A1794&lt;0,(10-6)*A1794,-6*A1794))+I$129*EXP(IF(A1794&lt;0,(10-7)*A1794,-7*A1794))+J$129*EXP(IF(A1794&lt;0,(10-8)*A1794,-8*A1794))+K$129*EXP(IF(A1794&lt;0,(10-9)*A1794,-9*A1794))+L$129*EXP(IF(A1794&lt;0,(10-10)*A1794,-10*A1794)),0)</x:f>
        <x:v>781747.6571725629</x:v>
      </x:c>
      <x:c r="C1794" s="256" t="n">
        <x:f>IF(B1794=0,IF(B1793=0,0,1),IF(B1793=0,0,IF(SIGN(B1794)&lt;&gt;SIGN(B1793),1,0)))</x:f>
        <x:v>0</x:v>
      </x:c>
      <x:c r="D1794" s="256" t="n">
        <x:f>EXP(A1794-0.005)-1</x:f>
        <x:v>-0.9999615056853883</x:v>
      </x:c>
    </x:row>
    <x:row r="1795" ht="20" customHeight="1">
      <x:c r="A1795" s="256" t="n">
        <x:f>-12+185*0.01</x:f>
        <x:v>-10.15</x:v>
      </x:c>
      <x:c r="B1795" s="256" t="n">
        <x:f>IF(COUNT($B$129:$L$129)=11,B$129*EXP(IF(A1795&lt;0,(10-0)*A1795,-0*A1795))+C$129*EXP(IF(A1795&lt;0,(10-1)*A1795,-1*A1795))+D$129*EXP(IF(A1795&lt;0,(10-2)*A1795,-2*A1795))+E$129*EXP(IF(A1795&lt;0,(10-3)*A1795,-3*A1795))+F$129*EXP(IF(A1795&lt;0,(10-4)*A1795,-4*A1795))+G$129*EXP(IF(A1795&lt;0,(10-5)*A1795,-5*A1795))+H$129*EXP(IF(A1795&lt;0,(10-6)*A1795,-6*A1795))+I$129*EXP(IF(A1795&lt;0,(10-7)*A1795,-7*A1795))+J$129*EXP(IF(A1795&lt;0,(10-8)*A1795,-8*A1795))+K$129*EXP(IF(A1795&lt;0,(10-9)*A1795,-9*A1795))+L$129*EXP(IF(A1795&lt;0,(10-10)*A1795,-10*A1795)),0)</x:f>
        <x:v>781747.662068744</x:v>
      </x:c>
      <x:c r="C1795" s="256" t="n">
        <x:f>IF(B1795=0,IF(B1794=0,0,1),IF(B1794=0,0,IF(SIGN(B1795)&lt;&gt;SIGN(B1794),1,0)))</x:f>
        <x:v>0</x:v>
      </x:c>
      <x:c r="D1795" s="256" t="n">
        <x:f>EXP(A1795-0.005)-1</x:f>
        <x:v>-0.9999611188110947</x:v>
      </x:c>
    </x:row>
    <x:row r="1796" ht="20" customHeight="1">
      <x:c r="A1796" s="256" t="n">
        <x:f>-12+186*0.01</x:f>
        <x:v>-10.14</x:v>
      </x:c>
      <x:c r="B1796" s="256" t="n">
        <x:f>IF(COUNT($B$129:$L$129)=11,B$129*EXP(IF(A1796&lt;0,(10-0)*A1796,-0*A1796))+C$129*EXP(IF(A1796&lt;0,(10-1)*A1796,-1*A1796))+D$129*EXP(IF(A1796&lt;0,(10-2)*A1796,-2*A1796))+E$129*EXP(IF(A1796&lt;0,(10-3)*A1796,-3*A1796))+F$129*EXP(IF(A1796&lt;0,(10-4)*A1796,-4*A1796))+G$129*EXP(IF(A1796&lt;0,(10-5)*A1796,-5*A1796))+H$129*EXP(IF(A1796&lt;0,(10-6)*A1796,-6*A1796))+I$129*EXP(IF(A1796&lt;0,(10-7)*A1796,-7*A1796))+J$129*EXP(IF(A1796&lt;0,(10-8)*A1796,-8*A1796))+K$129*EXP(IF(A1796&lt;0,(10-9)*A1796,-9*A1796))+L$129*EXP(IF(A1796&lt;0,(10-10)*A1796,-10*A1796)),0)</x:f>
        <x:v>781747.6670141354</x:v>
      </x:c>
      <x:c r="C1796" s="256" t="n">
        <x:f>IF(B1796=0,IF(B1795=0,0,1),IF(B1795=0,0,IF(SIGN(B1796)&lt;&gt;SIGN(B1795),1,0)))</x:f>
        <x:v>0</x:v>
      </x:c>
      <x:c r="D1796" s="256" t="n">
        <x:f>EXP(A1796-0.005)-1</x:f>
        <x:v>-0.9999607280486498</x:v>
      </x:c>
    </x:row>
    <x:row r="1797" ht="20" customHeight="1">
      <x:c r="A1797" s="256" t="n">
        <x:f>-12+187*0.01</x:f>
        <x:v>-10.129999999999999</x:v>
      </x:c>
      <x:c r="B1797" s="256" t="n">
        <x:f>IF(COUNT($B$129:$L$129)=11,B$129*EXP(IF(A1797&lt;0,(10-0)*A1797,-0*A1797))+C$129*EXP(IF(A1797&lt;0,(10-1)*A1797,-1*A1797))+D$129*EXP(IF(A1797&lt;0,(10-2)*A1797,-2*A1797))+E$129*EXP(IF(A1797&lt;0,(10-3)*A1797,-3*A1797))+F$129*EXP(IF(A1797&lt;0,(10-4)*A1797,-4*A1797))+G$129*EXP(IF(A1797&lt;0,(10-5)*A1797,-5*A1797))+H$129*EXP(IF(A1797&lt;0,(10-6)*A1797,-6*A1797))+I$129*EXP(IF(A1797&lt;0,(10-7)*A1797,-7*A1797))+J$129*EXP(IF(A1797&lt;0,(10-8)*A1797,-8*A1797))+K$129*EXP(IF(A1797&lt;0,(10-9)*A1797,-9*A1797))+L$129*EXP(IF(A1797&lt;0,(10-10)*A1797,-10*A1797)),0)</x:f>
        <x:v>781747.6720092319</x:v>
      </x:c>
      <x:c r="C1797" s="256" t="n">
        <x:f>IF(B1797=0,IF(B1796=0,0,1),IF(B1796=0,0,IF(SIGN(B1797)&lt;&gt;SIGN(B1796),1,0)))</x:f>
        <x:v>0</x:v>
      </x:c>
      <x:c r="D1797" s="256" t="n">
        <x:f>EXP(A1797-0.005)-1</x:f>
        <x:v>-0.999960333358977</x:v>
      </x:c>
    </x:row>
    <x:row r="1798" ht="20" customHeight="1">
      <x:c r="A1798" s="256" t="n">
        <x:f>-12+188*0.01</x:f>
        <x:v>-10.12</x:v>
      </x:c>
      <x:c r="B1798" s="256" t="n">
        <x:f>IF(COUNT($B$129:$L$129)=11,B$129*EXP(IF(A1798&lt;0,(10-0)*A1798,-0*A1798))+C$129*EXP(IF(A1798&lt;0,(10-1)*A1798,-1*A1798))+D$129*EXP(IF(A1798&lt;0,(10-2)*A1798,-2*A1798))+E$129*EXP(IF(A1798&lt;0,(10-3)*A1798,-3*A1798))+F$129*EXP(IF(A1798&lt;0,(10-4)*A1798,-4*A1798))+G$129*EXP(IF(A1798&lt;0,(10-5)*A1798,-5*A1798))+H$129*EXP(IF(A1798&lt;0,(10-6)*A1798,-6*A1798))+I$129*EXP(IF(A1798&lt;0,(10-7)*A1798,-7*A1798))+J$129*EXP(IF(A1798&lt;0,(10-8)*A1798,-8*A1798))+K$129*EXP(IF(A1798&lt;0,(10-9)*A1798,-9*A1798))+L$129*EXP(IF(A1798&lt;0,(10-10)*A1798,-10*A1798)),0)</x:f>
        <x:v>781747.677054533</x:v>
      </x:c>
      <x:c r="C1798" s="256" t="n">
        <x:f>IF(B1798=0,IF(B1797=0,0,1),IF(B1797=0,0,IF(SIGN(B1798)&lt;&gt;SIGN(B1797),1,0)))</x:f>
        <x:v>0</x:v>
      </x:c>
      <x:c r="D1798" s="256" t="n">
        <x:f>EXP(A1798-0.005)-1</x:f>
        <x:v>-0.999959934702607</x:v>
      </x:c>
    </x:row>
    <x:row r="1799" ht="20" customHeight="1">
      <x:c r="A1799" s="256" t="n">
        <x:f>-12+189*0.01</x:f>
        <x:v>-10.11</x:v>
      </x:c>
      <x:c r="B1799" s="256" t="n">
        <x:f>IF(COUNT($B$129:$L$129)=11,B$129*EXP(IF(A1799&lt;0,(10-0)*A1799,-0*A1799))+C$129*EXP(IF(A1799&lt;0,(10-1)*A1799,-1*A1799))+D$129*EXP(IF(A1799&lt;0,(10-2)*A1799,-2*A1799))+E$129*EXP(IF(A1799&lt;0,(10-3)*A1799,-3*A1799))+F$129*EXP(IF(A1799&lt;0,(10-4)*A1799,-4*A1799))+G$129*EXP(IF(A1799&lt;0,(10-5)*A1799,-5*A1799))+H$129*EXP(IF(A1799&lt;0,(10-6)*A1799,-6*A1799))+I$129*EXP(IF(A1799&lt;0,(10-7)*A1799,-7*A1799))+J$129*EXP(IF(A1799&lt;0,(10-8)*A1799,-8*A1799))+K$129*EXP(IF(A1799&lt;0,(10-9)*A1799,-9*A1799))+L$129*EXP(IF(A1799&lt;0,(10-10)*A1799,-10*A1799)),0)</x:f>
        <x:v>781747.6821505434</x:v>
      </x:c>
      <x:c r="C1799" s="256" t="n">
        <x:f>IF(B1799=0,IF(B1798=0,0,1),IF(B1798=0,0,IF(SIGN(B1799)&lt;&gt;SIGN(B1798),1,0)))</x:f>
        <x:v>0</x:v>
      </x:c>
      <x:c r="D1799" s="256" t="n">
        <x:f>EXP(A1799-0.005)-1</x:f>
        <x:v>-0.999959532039674</x:v>
      </x:c>
    </x:row>
    <x:row r="1800" ht="20" customHeight="1">
      <x:c r="A1800" s="256" t="n">
        <x:f>-12+190*0.01</x:f>
        <x:v>-10.1</x:v>
      </x:c>
      <x:c r="B1800" s="256" t="n">
        <x:f>IF(COUNT($B$129:$L$129)=11,B$129*EXP(IF(A1800&lt;0,(10-0)*A1800,-0*A1800))+C$129*EXP(IF(A1800&lt;0,(10-1)*A1800,-1*A1800))+D$129*EXP(IF(A1800&lt;0,(10-2)*A1800,-2*A1800))+E$129*EXP(IF(A1800&lt;0,(10-3)*A1800,-3*A1800))+F$129*EXP(IF(A1800&lt;0,(10-4)*A1800,-4*A1800))+G$129*EXP(IF(A1800&lt;0,(10-5)*A1800,-5*A1800))+H$129*EXP(IF(A1800&lt;0,(10-6)*A1800,-6*A1800))+I$129*EXP(IF(A1800&lt;0,(10-7)*A1800,-7*A1800))+J$129*EXP(IF(A1800&lt;0,(10-8)*A1800,-8*A1800))+K$129*EXP(IF(A1800&lt;0,(10-9)*A1800,-9*A1800))+L$129*EXP(IF(A1800&lt;0,(10-10)*A1800,-10*A1800)),0)</x:f>
        <x:v>781747.6872977727</x:v>
      </x:c>
      <x:c r="C1800" s="256" t="n">
        <x:f>IF(B1800=0,IF(B1799=0,0,1),IF(B1799=0,0,IF(SIGN(B1800)&lt;&gt;SIGN(B1799),1,0)))</x:f>
        <x:v>0</x:v>
      </x:c>
      <x:c r="D1800" s="256" t="n">
        <x:f>EXP(A1800-0.005)-1</x:f>
        <x:v>-0.9999591253299112</x:v>
      </x:c>
    </x:row>
    <x:row r="1801" ht="20" customHeight="1">
      <x:c r="A1801" s="256" t="n">
        <x:f>-12+191*0.01</x:f>
        <x:v>-10.09</x:v>
      </x:c>
      <x:c r="B1801" s="256" t="n">
        <x:f>IF(COUNT($B$129:$L$129)=11,B$129*EXP(IF(A1801&lt;0,(10-0)*A1801,-0*A1801))+C$129*EXP(IF(A1801&lt;0,(10-1)*A1801,-1*A1801))+D$129*EXP(IF(A1801&lt;0,(10-2)*A1801,-2*A1801))+E$129*EXP(IF(A1801&lt;0,(10-3)*A1801,-3*A1801))+F$129*EXP(IF(A1801&lt;0,(10-4)*A1801,-4*A1801))+G$129*EXP(IF(A1801&lt;0,(10-5)*A1801,-5*A1801))+H$129*EXP(IF(A1801&lt;0,(10-6)*A1801,-6*A1801))+I$129*EXP(IF(A1801&lt;0,(10-7)*A1801,-7*A1801))+J$129*EXP(IF(A1801&lt;0,(10-8)*A1801,-8*A1801))+K$129*EXP(IF(A1801&lt;0,(10-9)*A1801,-9*A1801))+L$129*EXP(IF(A1801&lt;0,(10-10)*A1801,-10*A1801)),0)</x:f>
        <x:v>781747.6924967357</x:v>
      </x:c>
      <x:c r="C1801" s="256" t="n">
        <x:f>IF(B1801=0,IF(B1800=0,0,1),IF(B1800=0,0,IF(SIGN(B1801)&lt;&gt;SIGN(B1800),1,0)))</x:f>
        <x:v>0</x:v>
      </x:c>
      <x:c r="D1801" s="256" t="n">
        <x:f>EXP(A1801-0.005)-1</x:f>
        <x:v>-0.9999587145326473</x:v>
      </x:c>
    </x:row>
    <x:row r="1802" ht="20" customHeight="1">
      <x:c r="A1802" s="256" t="n">
        <x:f>-12+192*0.01</x:f>
        <x:v>-10.08</x:v>
      </x:c>
      <x:c r="B1802" s="256" t="n">
        <x:f>IF(COUNT($B$129:$L$129)=11,B$129*EXP(IF(A1802&lt;0,(10-0)*A1802,-0*A1802))+C$129*EXP(IF(A1802&lt;0,(10-1)*A1802,-1*A1802))+D$129*EXP(IF(A1802&lt;0,(10-2)*A1802,-2*A1802))+E$129*EXP(IF(A1802&lt;0,(10-3)*A1802,-3*A1802))+F$129*EXP(IF(A1802&lt;0,(10-4)*A1802,-4*A1802))+G$129*EXP(IF(A1802&lt;0,(10-5)*A1802,-5*A1802))+H$129*EXP(IF(A1802&lt;0,(10-6)*A1802,-6*A1802))+I$129*EXP(IF(A1802&lt;0,(10-7)*A1802,-7*A1802))+J$129*EXP(IF(A1802&lt;0,(10-8)*A1802,-8*A1802))+K$129*EXP(IF(A1802&lt;0,(10-9)*A1802,-9*A1802))+L$129*EXP(IF(A1802&lt;0,(10-10)*A1802,-10*A1802)),0)</x:f>
        <x:v>781747.6977479525</x:v>
      </x:c>
      <x:c r="C1802" s="256" t="n">
        <x:f>IF(B1802=0,IF(B1801=0,0,1),IF(B1801=0,0,IF(SIGN(B1802)&lt;&gt;SIGN(B1801),1,0)))</x:f>
        <x:v>0</x:v>
      </x:c>
      <x:c r="D1802" s="256" t="n">
        <x:f>EXP(A1802-0.005)-1</x:f>
        <x:v>-0.9999582996068022</x:v>
      </x:c>
    </x:row>
    <x:row r="1803" ht="20" customHeight="1">
      <x:c r="A1803" s="256" t="n">
        <x:f>-12+193*0.01</x:f>
        <x:v>-10.07</x:v>
      </x:c>
      <x:c r="B1803" s="256" t="n">
        <x:f>IF(COUNT($B$129:$L$129)=11,B$129*EXP(IF(A1803&lt;0,(10-0)*A1803,-0*A1803))+C$129*EXP(IF(A1803&lt;0,(10-1)*A1803,-1*A1803))+D$129*EXP(IF(A1803&lt;0,(10-2)*A1803,-2*A1803))+E$129*EXP(IF(A1803&lt;0,(10-3)*A1803,-3*A1803))+F$129*EXP(IF(A1803&lt;0,(10-4)*A1803,-4*A1803))+G$129*EXP(IF(A1803&lt;0,(10-5)*A1803,-5*A1803))+H$129*EXP(IF(A1803&lt;0,(10-6)*A1803,-6*A1803))+I$129*EXP(IF(A1803&lt;0,(10-7)*A1803,-7*A1803))+J$129*EXP(IF(A1803&lt;0,(10-8)*A1803,-8*A1803))+K$129*EXP(IF(A1803&lt;0,(10-9)*A1803,-9*A1803))+L$129*EXP(IF(A1803&lt;0,(10-10)*A1803,-10*A1803)),0)</x:f>
        <x:v>781747.7030519485</x:v>
      </x:c>
      <x:c r="C1803" s="256" t="n">
        <x:f>IF(B1803=0,IF(B1802=0,0,1),IF(B1802=0,0,IF(SIGN(B1803)&lt;&gt;SIGN(B1802),1,0)))</x:f>
        <x:v>0</x:v>
      </x:c>
      <x:c r="D1803" s="256" t="n">
        <x:f>EXP(A1803-0.005)-1</x:f>
        <x:v>-0.9999578805108831</x:v>
      </x:c>
    </x:row>
    <x:row r="1804" ht="20" customHeight="1">
      <x:c r="A1804" s="256" t="n">
        <x:f>-12+194*0.01</x:f>
        <x:v>-10.06</x:v>
      </x:c>
      <x:c r="B1804" s="256" t="n">
        <x:f>IF(COUNT($B$129:$L$129)=11,B$129*EXP(IF(A1804&lt;0,(10-0)*A1804,-0*A1804))+C$129*EXP(IF(A1804&lt;0,(10-1)*A1804,-1*A1804))+D$129*EXP(IF(A1804&lt;0,(10-2)*A1804,-2*A1804))+E$129*EXP(IF(A1804&lt;0,(10-3)*A1804,-3*A1804))+F$129*EXP(IF(A1804&lt;0,(10-4)*A1804,-4*A1804))+G$129*EXP(IF(A1804&lt;0,(10-5)*A1804,-5*A1804))+H$129*EXP(IF(A1804&lt;0,(10-6)*A1804,-6*A1804))+I$129*EXP(IF(A1804&lt;0,(10-7)*A1804,-7*A1804))+J$129*EXP(IF(A1804&lt;0,(10-8)*A1804,-8*A1804))+K$129*EXP(IF(A1804&lt;0,(10-9)*A1804,-9*A1804))+L$129*EXP(IF(A1804&lt;0,(10-10)*A1804,-10*A1804)),0)</x:f>
        <x:v>781747.7084092537</x:v>
      </x:c>
      <x:c r="C1804" s="256" t="n">
        <x:f>IF(B1804=0,IF(B1803=0,0,1),IF(B1803=0,0,IF(SIGN(B1804)&lt;&gt;SIGN(B1803),1,0)))</x:f>
        <x:v>0</x:v>
      </x:c>
      <x:c r="D1804" s="256" t="n">
        <x:f>EXP(A1804-0.005)-1</x:f>
        <x:v>-0.9999574572029799</x:v>
      </x:c>
    </x:row>
    <x:row r="1805" ht="20" customHeight="1">
      <x:c r="A1805" s="256" t="n">
        <x:f>-12+195*0.01</x:f>
        <x:v>-10.05</x:v>
      </x:c>
      <x:c r="B1805" s="256" t="n">
        <x:f>IF(COUNT($B$129:$L$129)=11,B$129*EXP(IF(A1805&lt;0,(10-0)*A1805,-0*A1805))+C$129*EXP(IF(A1805&lt;0,(10-1)*A1805,-1*A1805))+D$129*EXP(IF(A1805&lt;0,(10-2)*A1805,-2*A1805))+E$129*EXP(IF(A1805&lt;0,(10-3)*A1805,-3*A1805))+F$129*EXP(IF(A1805&lt;0,(10-4)*A1805,-4*A1805))+G$129*EXP(IF(A1805&lt;0,(10-5)*A1805,-5*A1805))+H$129*EXP(IF(A1805&lt;0,(10-6)*A1805,-6*A1805))+I$129*EXP(IF(A1805&lt;0,(10-7)*A1805,-7*A1805))+J$129*EXP(IF(A1805&lt;0,(10-8)*A1805,-8*A1805))+K$129*EXP(IF(A1805&lt;0,(10-9)*A1805,-9*A1805))+L$129*EXP(IF(A1805&lt;0,(10-10)*A1805,-10*A1805)),0)</x:f>
        <x:v>781747.7138204044</x:v>
      </x:c>
      <x:c r="C1805" s="256" t="n">
        <x:f>IF(B1805=0,IF(B1804=0,0,1),IF(B1804=0,0,IF(SIGN(B1805)&lt;&gt;SIGN(B1804),1,0)))</x:f>
        <x:v>0</x:v>
      </x:c>
      <x:c r="D1805" s="256" t="n">
        <x:f>EXP(A1805-0.005)-1</x:f>
        <x:v>-0.9999570296407617</x:v>
      </x:c>
    </x:row>
    <x:row r="1806" ht="20" customHeight="1">
      <x:c r="A1806" s="256" t="n">
        <x:f>-12+196*0.01</x:f>
        <x:v>-10.04</x:v>
      </x:c>
      <x:c r="B1806" s="256" t="n">
        <x:f>IF(COUNT($B$129:$L$129)=11,B$129*EXP(IF(A1806&lt;0,(10-0)*A1806,-0*A1806))+C$129*EXP(IF(A1806&lt;0,(10-1)*A1806,-1*A1806))+D$129*EXP(IF(A1806&lt;0,(10-2)*A1806,-2*A1806))+E$129*EXP(IF(A1806&lt;0,(10-3)*A1806,-3*A1806))+F$129*EXP(IF(A1806&lt;0,(10-4)*A1806,-4*A1806))+G$129*EXP(IF(A1806&lt;0,(10-5)*A1806,-5*A1806))+H$129*EXP(IF(A1806&lt;0,(10-6)*A1806,-6*A1806))+I$129*EXP(IF(A1806&lt;0,(10-7)*A1806,-7*A1806))+J$129*EXP(IF(A1806&lt;0,(10-8)*A1806,-8*A1806))+K$129*EXP(IF(A1806&lt;0,(10-9)*A1806,-9*A1806))+L$129*EXP(IF(A1806&lt;0,(10-10)*A1806,-10*A1806)),0)</x:f>
        <x:v>781747.7192859417</x:v>
      </x:c>
      <x:c r="C1806" s="256" t="n">
        <x:f>IF(B1806=0,IF(B1805=0,0,1),IF(B1805=0,0,IF(SIGN(B1806)&lt;&gt;SIGN(B1805),1,0)))</x:f>
        <x:v>0</x:v>
      </x:c>
      <x:c r="D1806" s="256" t="n">
        <x:f>EXP(A1806-0.005)-1</x:f>
        <x:v>-0.9999565977814716</x:v>
      </x:c>
    </x:row>
    <x:row r="1807" ht="20" customHeight="1">
      <x:c r="A1807" s="256" t="n">
        <x:f>-12+197*0.01</x:f>
        <x:v>-10.03</x:v>
      </x:c>
      <x:c r="B1807" s="256" t="n">
        <x:f>IF(COUNT($B$129:$L$129)=11,B$129*EXP(IF(A1807&lt;0,(10-0)*A1807,-0*A1807))+C$129*EXP(IF(A1807&lt;0,(10-1)*A1807,-1*A1807))+D$129*EXP(IF(A1807&lt;0,(10-2)*A1807,-2*A1807))+E$129*EXP(IF(A1807&lt;0,(10-3)*A1807,-3*A1807))+F$129*EXP(IF(A1807&lt;0,(10-4)*A1807,-4*A1807))+G$129*EXP(IF(A1807&lt;0,(10-5)*A1807,-5*A1807))+H$129*EXP(IF(A1807&lt;0,(10-6)*A1807,-6*A1807))+I$129*EXP(IF(A1807&lt;0,(10-7)*A1807,-7*A1807))+J$129*EXP(IF(A1807&lt;0,(10-8)*A1807,-8*A1807))+K$129*EXP(IF(A1807&lt;0,(10-9)*A1807,-9*A1807))+L$129*EXP(IF(A1807&lt;0,(10-10)*A1807,-10*A1807)),0)</x:f>
        <x:v>781747.7248064121</x:v>
      </x:c>
      <x:c r="C1807" s="256" t="n">
        <x:f>IF(B1807=0,IF(B1806=0,0,1),IF(B1806=0,0,IF(SIGN(B1807)&lt;&gt;SIGN(B1806),1,0)))</x:f>
        <x:v>0</x:v>
      </x:c>
      <x:c r="D1807" s="256" t="n">
        <x:f>EXP(A1807-0.005)-1</x:f>
        <x:v>-0.9999561615819237</x:v>
      </x:c>
    </x:row>
    <x:row r="1808" ht="20" customHeight="1">
      <x:c r="A1808" s="256" t="n">
        <x:f>-12+198*0.01</x:f>
        <x:v>-10.02</x:v>
      </x:c>
      <x:c r="B1808" s="256" t="n">
        <x:f>IF(COUNT($B$129:$L$129)=11,B$129*EXP(IF(A1808&lt;0,(10-0)*A1808,-0*A1808))+C$129*EXP(IF(A1808&lt;0,(10-1)*A1808,-1*A1808))+D$129*EXP(IF(A1808&lt;0,(10-2)*A1808,-2*A1808))+E$129*EXP(IF(A1808&lt;0,(10-3)*A1808,-3*A1808))+F$129*EXP(IF(A1808&lt;0,(10-4)*A1808,-4*A1808))+G$129*EXP(IF(A1808&lt;0,(10-5)*A1808,-5*A1808))+H$129*EXP(IF(A1808&lt;0,(10-6)*A1808,-6*A1808))+I$129*EXP(IF(A1808&lt;0,(10-7)*A1808,-7*A1808))+J$129*EXP(IF(A1808&lt;0,(10-8)*A1808,-8*A1808))+K$129*EXP(IF(A1808&lt;0,(10-9)*A1808,-9*A1808))+L$129*EXP(IF(A1808&lt;0,(10-10)*A1808,-10*A1808)),0)</x:f>
        <x:v>781747.730382368</x:v>
      </x:c>
      <x:c r="C1808" s="256" t="n">
        <x:f>IF(B1808=0,IF(B1807=0,0,1),IF(B1807=0,0,IF(SIGN(B1808)&lt;&gt;SIGN(B1807),1,0)))</x:f>
        <x:v>0</x:v>
      </x:c>
      <x:c r="D1808" s="256" t="n">
        <x:f>EXP(A1808-0.005)-1</x:f>
        <x:v>-0.9999557209984973</x:v>
      </x:c>
    </x:row>
    <x:row r="1809" ht="20" customHeight="1">
      <x:c r="A1809" s="256" t="n">
        <x:f>-12+199*0.01</x:f>
        <x:v>-10.01</x:v>
      </x:c>
      <x:c r="B1809" s="256" t="n">
        <x:f>IF(COUNT($B$129:$L$129)=11,B$129*EXP(IF(A1809&lt;0,(10-0)*A1809,-0*A1809))+C$129*EXP(IF(A1809&lt;0,(10-1)*A1809,-1*A1809))+D$129*EXP(IF(A1809&lt;0,(10-2)*A1809,-2*A1809))+E$129*EXP(IF(A1809&lt;0,(10-3)*A1809,-3*A1809))+F$129*EXP(IF(A1809&lt;0,(10-4)*A1809,-4*A1809))+G$129*EXP(IF(A1809&lt;0,(10-5)*A1809,-5*A1809))+H$129*EXP(IF(A1809&lt;0,(10-6)*A1809,-6*A1809))+I$129*EXP(IF(A1809&lt;0,(10-7)*A1809,-7*A1809))+J$129*EXP(IF(A1809&lt;0,(10-8)*A1809,-8*A1809))+K$129*EXP(IF(A1809&lt;0,(10-9)*A1809,-9*A1809))+L$129*EXP(IF(A1809&lt;0,(10-10)*A1809,-10*A1809)),0)</x:f>
        <x:v>781747.736014367</x:v>
      </x:c>
      <x:c r="C1809" s="256" t="n">
        <x:f>IF(B1809=0,IF(B1808=0,0,1),IF(B1808=0,0,IF(SIGN(B1809)&lt;&gt;SIGN(B1808),1,0)))</x:f>
        <x:v>0</x:v>
      </x:c>
      <x:c r="D1809" s="256" t="n">
        <x:f>EXP(A1809-0.005)-1</x:f>
        <x:v>-0.9999552759871339</x:v>
      </x:c>
    </x:row>
    <x:row r="1810" ht="20" customHeight="1">
      <x:c r="A1810" s="256" t="n">
        <x:f>-12+200*0.01</x:f>
        <x:v>-10</x:v>
      </x:c>
      <x:c r="B1810" s="256" t="n">
        <x:f>IF(COUNT($B$129:$L$129)=11,B$129*EXP(IF(A1810&lt;0,(10-0)*A1810,-0*A1810))+C$129*EXP(IF(A1810&lt;0,(10-1)*A1810,-1*A1810))+D$129*EXP(IF(A1810&lt;0,(10-2)*A1810,-2*A1810))+E$129*EXP(IF(A1810&lt;0,(10-3)*A1810,-3*A1810))+F$129*EXP(IF(A1810&lt;0,(10-4)*A1810,-4*A1810))+G$129*EXP(IF(A1810&lt;0,(10-5)*A1810,-5*A1810))+H$129*EXP(IF(A1810&lt;0,(10-6)*A1810,-6*A1810))+I$129*EXP(IF(A1810&lt;0,(10-7)*A1810,-7*A1810))+J$129*EXP(IF(A1810&lt;0,(10-8)*A1810,-8*A1810))+K$129*EXP(IF(A1810&lt;0,(10-9)*A1810,-9*A1810))+L$129*EXP(IF(A1810&lt;0,(10-10)*A1810,-10*A1810)),0)</x:f>
        <x:v>781747.7417029723</x:v>
      </x:c>
      <x:c r="C1810" s="256" t="n">
        <x:f>IF(B1810=0,IF(B1809=0,0,1),IF(B1809=0,0,IF(SIGN(B1810)&lt;&gt;SIGN(B1809),1,0)))</x:f>
        <x:v>0</x:v>
      </x:c>
      <x:c r="D1810" s="256" t="n">
        <x:f>EXP(A1810-0.005)-1</x:f>
        <x:v>-0.9999548265033319</x:v>
      </x:c>
    </x:row>
    <x:row r="1811" ht="20" customHeight="1">
      <x:c r="A1811" s="256" t="n">
        <x:f>-12+201*0.01</x:f>
        <x:v>-9.99</x:v>
      </x:c>
      <x:c r="B1811" s="256" t="n">
        <x:f>IF(COUNT($B$129:$L$129)=11,B$129*EXP(IF(A1811&lt;0,(10-0)*A1811,-0*A1811))+C$129*EXP(IF(A1811&lt;0,(10-1)*A1811,-1*A1811))+D$129*EXP(IF(A1811&lt;0,(10-2)*A1811,-2*A1811))+E$129*EXP(IF(A1811&lt;0,(10-3)*A1811,-3*A1811))+F$129*EXP(IF(A1811&lt;0,(10-4)*A1811,-4*A1811))+G$129*EXP(IF(A1811&lt;0,(10-5)*A1811,-5*A1811))+H$129*EXP(IF(A1811&lt;0,(10-6)*A1811,-6*A1811))+I$129*EXP(IF(A1811&lt;0,(10-7)*A1811,-7*A1811))+J$129*EXP(IF(A1811&lt;0,(10-8)*A1811,-8*A1811))+K$129*EXP(IF(A1811&lt;0,(10-9)*A1811,-9*A1811))+L$129*EXP(IF(A1811&lt;0,(10-10)*A1811,-10*A1811)),0)</x:f>
        <x:v>781747.7474487531</x:v>
      </x:c>
      <x:c r="C1811" s="256" t="n">
        <x:f>IF(B1811=0,IF(B1810=0,0,1),IF(B1810=0,0,IF(SIGN(B1811)&lt;&gt;SIGN(B1810),1,0)))</x:f>
        <x:v>0</x:v>
      </x:c>
      <x:c r="D1811" s="256" t="n">
        <x:f>EXP(A1811-0.005)-1</x:f>
        <x:v>-0.9999543725021426</x:v>
      </x:c>
    </x:row>
    <x:row r="1812" ht="20" customHeight="1">
      <x:c r="A1812" s="256" t="n">
        <x:f>-12+202*0.01</x:f>
        <x:v>-9.98</x:v>
      </x:c>
      <x:c r="B1812" s="256" t="n">
        <x:f>IF(COUNT($B$129:$L$129)=11,B$129*EXP(IF(A1812&lt;0,(10-0)*A1812,-0*A1812))+C$129*EXP(IF(A1812&lt;0,(10-1)*A1812,-1*A1812))+D$129*EXP(IF(A1812&lt;0,(10-2)*A1812,-2*A1812))+E$129*EXP(IF(A1812&lt;0,(10-3)*A1812,-3*A1812))+F$129*EXP(IF(A1812&lt;0,(10-4)*A1812,-4*A1812))+G$129*EXP(IF(A1812&lt;0,(10-5)*A1812,-5*A1812))+H$129*EXP(IF(A1812&lt;0,(10-6)*A1812,-6*A1812))+I$129*EXP(IF(A1812&lt;0,(10-7)*A1812,-7*A1812))+J$129*EXP(IF(A1812&lt;0,(10-8)*A1812,-8*A1812))+K$129*EXP(IF(A1812&lt;0,(10-9)*A1812,-9*A1812))+L$129*EXP(IF(A1812&lt;0,(10-10)*A1812,-10*A1812)),0)</x:f>
        <x:v>781747.753252284</x:v>
      </x:c>
      <x:c r="C1812" s="256" t="n">
        <x:f>IF(B1812=0,IF(B1811=0,0,1),IF(B1811=0,0,IF(SIGN(B1812)&lt;&gt;SIGN(B1811),1,0)))</x:f>
        <x:v>0</x:v>
      </x:c>
      <x:c r="D1812" s="256" t="n">
        <x:f>EXP(A1812-0.005)-1</x:f>
        <x:v>-0.9999539139381655</x:v>
      </x:c>
    </x:row>
    <x:row r="1813" ht="20" customHeight="1">
      <x:c r="A1813" s="256" t="n">
        <x:f>-12+203*0.01</x:f>
        <x:v>-9.969999999999999</x:v>
      </x:c>
      <x:c r="B1813" s="256" t="n">
        <x:f>IF(COUNT($B$129:$L$129)=11,B$129*EXP(IF(A1813&lt;0,(10-0)*A1813,-0*A1813))+C$129*EXP(IF(A1813&lt;0,(10-1)*A1813,-1*A1813))+D$129*EXP(IF(A1813&lt;0,(10-2)*A1813,-2*A1813))+E$129*EXP(IF(A1813&lt;0,(10-3)*A1813,-3*A1813))+F$129*EXP(IF(A1813&lt;0,(10-4)*A1813,-4*A1813))+G$129*EXP(IF(A1813&lt;0,(10-5)*A1813,-5*A1813))+H$129*EXP(IF(A1813&lt;0,(10-6)*A1813,-6*A1813))+I$129*EXP(IF(A1813&lt;0,(10-7)*A1813,-7*A1813))+J$129*EXP(IF(A1813&lt;0,(10-8)*A1813,-8*A1813))+K$129*EXP(IF(A1813&lt;0,(10-9)*A1813,-9*A1813))+L$129*EXP(IF(A1813&lt;0,(10-10)*A1813,-10*A1813)),0)</x:f>
        <x:v>781747.7591141455</x:v>
      </x:c>
      <x:c r="C1813" s="256" t="n">
        <x:f>IF(B1813=0,IF(B1812=0,0,1),IF(B1812=0,0,IF(SIGN(B1813)&lt;&gt;SIGN(B1812),1,0)))</x:f>
        <x:v>0</x:v>
      </x:c>
      <x:c r="D1813" s="256" t="n">
        <x:f>EXP(A1813-0.005)-1</x:f>
        <x:v>-0.9999534507655438</x:v>
      </x:c>
    </x:row>
    <x:row r="1814" ht="20" customHeight="1">
      <x:c r="A1814" s="256" t="n">
        <x:f>-12+204*0.01</x:f>
        <x:v>-9.96</x:v>
      </x:c>
      <x:c r="B1814" s="256" t="n">
        <x:f>IF(COUNT($B$129:$L$129)=11,B$129*EXP(IF(A1814&lt;0,(10-0)*A1814,-0*A1814))+C$129*EXP(IF(A1814&lt;0,(10-1)*A1814,-1*A1814))+D$129*EXP(IF(A1814&lt;0,(10-2)*A1814,-2*A1814))+E$129*EXP(IF(A1814&lt;0,(10-3)*A1814,-3*A1814))+F$129*EXP(IF(A1814&lt;0,(10-4)*A1814,-4*A1814))+G$129*EXP(IF(A1814&lt;0,(10-5)*A1814,-5*A1814))+H$129*EXP(IF(A1814&lt;0,(10-6)*A1814,-6*A1814))+I$129*EXP(IF(A1814&lt;0,(10-7)*A1814,-7*A1814))+J$129*EXP(IF(A1814&lt;0,(10-8)*A1814,-8*A1814))+K$129*EXP(IF(A1814&lt;0,(10-9)*A1814,-9*A1814))+L$129*EXP(IF(A1814&lt;0,(10-10)*A1814,-10*A1814)),0)</x:f>
        <x:v>781747.765034924</x:v>
      </x:c>
      <x:c r="C1814" s="256" t="n">
        <x:f>IF(B1814=0,IF(B1813=0,0,1),IF(B1813=0,0,IF(SIGN(B1814)&lt;&gt;SIGN(B1813),1,0)))</x:f>
        <x:v>0</x:v>
      </x:c>
      <x:c r="D1814" s="256" t="n">
        <x:f>EXP(A1814-0.005)-1</x:f>
        <x:v>-0.9999529829379599</x:v>
      </x:c>
    </x:row>
    <x:row r="1815" ht="20" customHeight="1">
      <x:c r="A1815" s="256" t="n">
        <x:f>-12+205*0.01</x:f>
        <x:v>-9.95</x:v>
      </x:c>
      <x:c r="B1815" s="256" t="n">
        <x:f>IF(COUNT($B$129:$L$129)=11,B$129*EXP(IF(A1815&lt;0,(10-0)*A1815,-0*A1815))+C$129*EXP(IF(A1815&lt;0,(10-1)*A1815,-1*A1815))+D$129*EXP(IF(A1815&lt;0,(10-2)*A1815,-2*A1815))+E$129*EXP(IF(A1815&lt;0,(10-3)*A1815,-3*A1815))+F$129*EXP(IF(A1815&lt;0,(10-4)*A1815,-4*A1815))+G$129*EXP(IF(A1815&lt;0,(10-5)*A1815,-5*A1815))+H$129*EXP(IF(A1815&lt;0,(10-6)*A1815,-6*A1815))+I$129*EXP(IF(A1815&lt;0,(10-7)*A1815,-7*A1815))+J$129*EXP(IF(A1815&lt;0,(10-8)*A1815,-8*A1815))+K$129*EXP(IF(A1815&lt;0,(10-9)*A1815,-9*A1815))+L$129*EXP(IF(A1815&lt;0,(10-10)*A1815,-10*A1815)),0)</x:f>
        <x:v>781747.7710152116</x:v>
      </x:c>
      <x:c r="C1815" s="256" t="n">
        <x:f>IF(B1815=0,IF(B1814=0,0,1),IF(B1814=0,0,IF(SIGN(B1815)&lt;&gt;SIGN(B1814),1,0)))</x:f>
        <x:v>0</x:v>
      </x:c>
      <x:c r="D1815" s="256" t="n">
        <x:f>EXP(A1815-0.005)-1</x:f>
        <x:v>-0.9999525104086305</x:v>
      </x:c>
    </x:row>
    <x:row r="1816" ht="20" customHeight="1">
      <x:c r="A1816" s="256" t="n">
        <x:f>-12+206*0.01</x:f>
        <x:v>-9.94</x:v>
      </x:c>
      <x:c r="B1816" s="256" t="n">
        <x:f>IF(COUNT($B$129:$L$129)=11,B$129*EXP(IF(A1816&lt;0,(10-0)*A1816,-0*A1816))+C$129*EXP(IF(A1816&lt;0,(10-1)*A1816,-1*A1816))+D$129*EXP(IF(A1816&lt;0,(10-2)*A1816,-2*A1816))+E$129*EXP(IF(A1816&lt;0,(10-3)*A1816,-3*A1816))+F$129*EXP(IF(A1816&lt;0,(10-4)*A1816,-4*A1816))+G$129*EXP(IF(A1816&lt;0,(10-5)*A1816,-5*A1816))+H$129*EXP(IF(A1816&lt;0,(10-6)*A1816,-6*A1816))+I$129*EXP(IF(A1816&lt;0,(10-7)*A1816,-7*A1816))+J$129*EXP(IF(A1816&lt;0,(10-8)*A1816,-8*A1816))+K$129*EXP(IF(A1816&lt;0,(10-9)*A1816,-9*A1816))+L$129*EXP(IF(A1816&lt;0,(10-10)*A1816,-10*A1816)),0)</x:f>
        <x:v>781747.7770556064</x:v>
      </x:c>
      <x:c r="C1816" s="256" t="n">
        <x:f>IF(B1816=0,IF(B1815=0,0,1),IF(B1815=0,0,IF(SIGN(B1816)&lt;&gt;SIGN(B1815),1,0)))</x:f>
        <x:v>0</x:v>
      </x:c>
      <x:c r="D1816" s="256" t="n">
        <x:f>EXP(A1816-0.005)-1</x:f>
        <x:v>-0.9999520331303026</x:v>
      </x:c>
    </x:row>
    <x:row r="1817" ht="20" customHeight="1">
      <x:c r="A1817" s="256" t="n">
        <x:f>-12+207*0.01</x:f>
        <x:v>-9.93</x:v>
      </x:c>
      <x:c r="B1817" s="256" t="n">
        <x:f>IF(COUNT($B$129:$L$129)=11,B$129*EXP(IF(A1817&lt;0,(10-0)*A1817,-0*A1817))+C$129*EXP(IF(A1817&lt;0,(10-1)*A1817,-1*A1817))+D$129*EXP(IF(A1817&lt;0,(10-2)*A1817,-2*A1817))+E$129*EXP(IF(A1817&lt;0,(10-3)*A1817,-3*A1817))+F$129*EXP(IF(A1817&lt;0,(10-4)*A1817,-4*A1817))+G$129*EXP(IF(A1817&lt;0,(10-5)*A1817,-5*A1817))+H$129*EXP(IF(A1817&lt;0,(10-6)*A1817,-6*A1817))+I$129*EXP(IF(A1817&lt;0,(10-7)*A1817,-7*A1817))+J$129*EXP(IF(A1817&lt;0,(10-8)*A1817,-8*A1817))+K$129*EXP(IF(A1817&lt;0,(10-9)*A1817,-9*A1817))+L$129*EXP(IF(A1817&lt;0,(10-10)*A1817,-10*A1817)),0)</x:f>
        <x:v>781747.7831567127</x:v>
      </x:c>
      <x:c r="C1817" s="256" t="n">
        <x:f>IF(B1817=0,IF(B1816=0,0,1),IF(B1816=0,0,IF(SIGN(B1817)&lt;&gt;SIGN(B1816),1,0)))</x:f>
        <x:v>0</x:v>
      </x:c>
      <x:c r="D1817" s="256" t="n">
        <x:f>EXP(A1817-0.005)-1</x:f>
        <x:v>-0.9999515510552476</x:v>
      </x:c>
    </x:row>
    <x:row r="1818" ht="20" customHeight="1">
      <x:c r="A1818" s="256" t="n">
        <x:f>-12+208*0.01</x:f>
        <x:v>-9.92</x:v>
      </x:c>
      <x:c r="B1818" s="256" t="n">
        <x:f>IF(COUNT($B$129:$L$129)=11,B$129*EXP(IF(A1818&lt;0,(10-0)*A1818,-0*A1818))+C$129*EXP(IF(A1818&lt;0,(10-1)*A1818,-1*A1818))+D$129*EXP(IF(A1818&lt;0,(10-2)*A1818,-2*A1818))+E$129*EXP(IF(A1818&lt;0,(10-3)*A1818,-3*A1818))+F$129*EXP(IF(A1818&lt;0,(10-4)*A1818,-4*A1818))+G$129*EXP(IF(A1818&lt;0,(10-5)*A1818,-5*A1818))+H$129*EXP(IF(A1818&lt;0,(10-6)*A1818,-6*A1818))+I$129*EXP(IF(A1818&lt;0,(10-7)*A1818,-7*A1818))+J$129*EXP(IF(A1818&lt;0,(10-8)*A1818,-8*A1818))+K$129*EXP(IF(A1818&lt;0,(10-9)*A1818,-9*A1818))+L$129*EXP(IF(A1818&lt;0,(10-10)*A1818,-10*A1818)),0)</x:f>
        <x:v>781747.7893191406</x:v>
      </x:c>
      <x:c r="C1818" s="256" t="n">
        <x:f>IF(B1818=0,IF(B1817=0,0,1),IF(B1817=0,0,IF(SIGN(B1818)&lt;&gt;SIGN(B1817),1,0)))</x:f>
        <x:v>0</x:v>
      </x:c>
      <x:c r="D1818" s="256" t="n">
        <x:f>EXP(A1818-0.005)-1</x:f>
        <x:v>-0.9999510641352577</x:v>
      </x:c>
    </x:row>
    <x:row r="1819" ht="20" customHeight="1">
      <x:c r="A1819" s="256" t="n">
        <x:f>-12+209*0.01</x:f>
        <x:v>-9.91</x:v>
      </x:c>
      <x:c r="B1819" s="256" t="n">
        <x:f>IF(COUNT($B$129:$L$129)=11,B$129*EXP(IF(A1819&lt;0,(10-0)*A1819,-0*A1819))+C$129*EXP(IF(A1819&lt;0,(10-1)*A1819,-1*A1819))+D$129*EXP(IF(A1819&lt;0,(10-2)*A1819,-2*A1819))+E$129*EXP(IF(A1819&lt;0,(10-3)*A1819,-3*A1819))+F$129*EXP(IF(A1819&lt;0,(10-4)*A1819,-4*A1819))+G$129*EXP(IF(A1819&lt;0,(10-5)*A1819,-5*A1819))+H$129*EXP(IF(A1819&lt;0,(10-6)*A1819,-6*A1819))+I$129*EXP(IF(A1819&lt;0,(10-7)*A1819,-7*A1819))+J$129*EXP(IF(A1819&lt;0,(10-8)*A1819,-8*A1819))+K$129*EXP(IF(A1819&lt;0,(10-9)*A1819,-9*A1819))+L$129*EXP(IF(A1819&lt;0,(10-10)*A1819,-10*A1819)),0)</x:f>
        <x:v>781747.7955435067</x:v>
      </x:c>
      <x:c r="C1819" s="256" t="n">
        <x:f>IF(B1819=0,IF(B1818=0,0,1),IF(B1818=0,0,IF(SIGN(B1819)&lt;&gt;SIGN(B1818),1,0)))</x:f>
        <x:v>0</x:v>
      </x:c>
      <x:c r="D1819" s="256" t="n">
        <x:f>EXP(A1819-0.005)-1</x:f>
        <x:v>-0.9999505723216406</x:v>
      </x:c>
    </x:row>
    <x:row r="1820" ht="20" customHeight="1">
      <x:c r="A1820" s="256" t="n">
        <x:f>-12+210*0.01</x:f>
        <x:v>-9.9</x:v>
      </x:c>
      <x:c r="B1820" s="256" t="n">
        <x:f>IF(COUNT($B$129:$L$129)=11,B$129*EXP(IF(A1820&lt;0,(10-0)*A1820,-0*A1820))+C$129*EXP(IF(A1820&lt;0,(10-1)*A1820,-1*A1820))+D$129*EXP(IF(A1820&lt;0,(10-2)*A1820,-2*A1820))+E$129*EXP(IF(A1820&lt;0,(10-3)*A1820,-3*A1820))+F$129*EXP(IF(A1820&lt;0,(10-4)*A1820,-4*A1820))+G$129*EXP(IF(A1820&lt;0,(10-5)*A1820,-5*A1820))+H$129*EXP(IF(A1820&lt;0,(10-6)*A1820,-6*A1820))+I$129*EXP(IF(A1820&lt;0,(10-7)*A1820,-7*A1820))+J$129*EXP(IF(A1820&lt;0,(10-8)*A1820,-8*A1820))+K$129*EXP(IF(A1820&lt;0,(10-9)*A1820,-9*A1820))+L$129*EXP(IF(A1820&lt;0,(10-10)*A1820,-10*A1820)),0)</x:f>
        <x:v>781747.8018304334</x:v>
      </x:c>
      <x:c r="C1820" s="256" t="n">
        <x:f>IF(B1820=0,IF(B1819=0,0,1),IF(B1819=0,0,IF(SIGN(B1820)&lt;&gt;SIGN(B1819),1,0)))</x:f>
        <x:v>0</x:v>
      </x:c>
      <x:c r="D1820" s="256" t="n">
        <x:f>EXP(A1820-0.005)-1</x:f>
        <x:v>-0.9999500755652145</x:v>
      </x:c>
    </x:row>
    <x:row r="1821" ht="20" customHeight="1">
      <x:c r="A1821" s="256" t="n">
        <x:f>-12+211*0.01</x:f>
        <x:v>-9.89</x:v>
      </x:c>
      <x:c r="B1821" s="256" t="n">
        <x:f>IF(COUNT($B$129:$L$129)=11,B$129*EXP(IF(A1821&lt;0,(10-0)*A1821,-0*A1821))+C$129*EXP(IF(A1821&lt;0,(10-1)*A1821,-1*A1821))+D$129*EXP(IF(A1821&lt;0,(10-2)*A1821,-2*A1821))+E$129*EXP(IF(A1821&lt;0,(10-3)*A1821,-3*A1821))+F$129*EXP(IF(A1821&lt;0,(10-4)*A1821,-4*A1821))+G$129*EXP(IF(A1821&lt;0,(10-5)*A1821,-5*A1821))+H$129*EXP(IF(A1821&lt;0,(10-6)*A1821,-6*A1821))+I$129*EXP(IF(A1821&lt;0,(10-7)*A1821,-7*A1821))+J$129*EXP(IF(A1821&lt;0,(10-8)*A1821,-8*A1821))+K$129*EXP(IF(A1821&lt;0,(10-9)*A1821,-9*A1821))+L$129*EXP(IF(A1821&lt;0,(10-10)*A1821,-10*A1821)),0)</x:f>
        <x:v>781747.8081805498</x:v>
      </x:c>
      <x:c r="C1821" s="256" t="n">
        <x:f>IF(B1821=0,IF(B1820=0,0,1),IF(B1820=0,0,IF(SIGN(B1821)&lt;&gt;SIGN(B1820),1,0)))</x:f>
        <x:v>0</x:v>
      </x:c>
      <x:c r="D1821" s="256" t="n">
        <x:f>EXP(A1821-0.005)-1</x:f>
        <x:v>-0.9999495738163034</x:v>
      </x:c>
    </x:row>
    <x:row r="1822" ht="20" customHeight="1">
      <x:c r="A1822" s="256" t="n">
        <x:f>-12+212*0.01</x:f>
        <x:v>-9.879999999999999</x:v>
      </x:c>
      <x:c r="B1822" s="256" t="n">
        <x:f>IF(COUNT($B$129:$L$129)=11,B$129*EXP(IF(A1822&lt;0,(10-0)*A1822,-0*A1822))+C$129*EXP(IF(A1822&lt;0,(10-1)*A1822,-1*A1822))+D$129*EXP(IF(A1822&lt;0,(10-2)*A1822,-2*A1822))+E$129*EXP(IF(A1822&lt;0,(10-3)*A1822,-3*A1822))+F$129*EXP(IF(A1822&lt;0,(10-4)*A1822,-4*A1822))+G$129*EXP(IF(A1822&lt;0,(10-5)*A1822,-5*A1822))+H$129*EXP(IF(A1822&lt;0,(10-6)*A1822,-6*A1822))+I$129*EXP(IF(A1822&lt;0,(10-7)*A1822,-7*A1822))+J$129*EXP(IF(A1822&lt;0,(10-8)*A1822,-8*A1822))+K$129*EXP(IF(A1822&lt;0,(10-9)*A1822,-9*A1822))+L$129*EXP(IF(A1822&lt;0,(10-10)*A1822,-10*A1822)),0)</x:f>
        <x:v>781747.8145944907</x:v>
      </x:c>
      <x:c r="C1822" s="256" t="n">
        <x:f>IF(B1822=0,IF(B1821=0,0,1),IF(B1821=0,0,IF(SIGN(B1822)&lt;&gt;SIGN(B1821),1,0)))</x:f>
        <x:v>0</x:v>
      </x:c>
      <x:c r="D1822" s="256" t="n">
        <x:f>EXP(A1822-0.005)-1</x:f>
        <x:v>-0.9999490670247319</x:v>
      </x:c>
    </x:row>
    <x:row r="1823" ht="20" customHeight="1">
      <x:c r="A1823" s="256" t="n">
        <x:f>-12+213*0.01</x:f>
        <x:v>-9.870000000000001</x:v>
      </x:c>
      <x:c r="B1823" s="256" t="n">
        <x:f>IF(COUNT($B$129:$L$129)=11,B$129*EXP(IF(A1823&lt;0,(10-0)*A1823,-0*A1823))+C$129*EXP(IF(A1823&lt;0,(10-1)*A1823,-1*A1823))+D$129*EXP(IF(A1823&lt;0,(10-2)*A1823,-2*A1823))+E$129*EXP(IF(A1823&lt;0,(10-3)*A1823,-3*A1823))+F$129*EXP(IF(A1823&lt;0,(10-4)*A1823,-4*A1823))+G$129*EXP(IF(A1823&lt;0,(10-5)*A1823,-5*A1823))+H$129*EXP(IF(A1823&lt;0,(10-6)*A1823,-6*A1823))+I$129*EXP(IF(A1823&lt;0,(10-7)*A1823,-7*A1823))+J$129*EXP(IF(A1823&lt;0,(10-8)*A1823,-8*A1823))+K$129*EXP(IF(A1823&lt;0,(10-9)*A1823,-9*A1823))+L$129*EXP(IF(A1823&lt;0,(10-10)*A1823,-10*A1823)),0)</x:f>
        <x:v>781747.8210728979</x:v>
      </x:c>
      <x:c r="C1823" s="256" t="n">
        <x:f>IF(B1823=0,IF(B1822=0,0,1),IF(B1822=0,0,IF(SIGN(B1823)&lt;&gt;SIGN(B1822),1,0)))</x:f>
        <x:v>0</x:v>
      </x:c>
      <x:c r="D1823" s="256" t="n">
        <x:f>EXP(A1823-0.005)-1</x:f>
        <x:v>-0.9999485551398203</x:v>
      </x:c>
    </x:row>
    <x:row r="1824" ht="20" customHeight="1">
      <x:c r="A1824" s="256" t="n">
        <x:f>-12+214*0.01</x:f>
        <x:v>-9.86</x:v>
      </x:c>
      <x:c r="B1824" s="256" t="n">
        <x:f>IF(COUNT($B$129:$L$129)=11,B$129*EXP(IF(A1824&lt;0,(10-0)*A1824,-0*A1824))+C$129*EXP(IF(A1824&lt;0,(10-1)*A1824,-1*A1824))+D$129*EXP(IF(A1824&lt;0,(10-2)*A1824,-2*A1824))+E$129*EXP(IF(A1824&lt;0,(10-3)*A1824,-3*A1824))+F$129*EXP(IF(A1824&lt;0,(10-4)*A1824,-4*A1824))+G$129*EXP(IF(A1824&lt;0,(10-5)*A1824,-5*A1824))+H$129*EXP(IF(A1824&lt;0,(10-6)*A1824,-6*A1824))+I$129*EXP(IF(A1824&lt;0,(10-7)*A1824,-7*A1824))+J$129*EXP(IF(A1824&lt;0,(10-8)*A1824,-8*A1824))+K$129*EXP(IF(A1824&lt;0,(10-9)*A1824,-9*A1824))+L$129*EXP(IF(A1824&lt;0,(10-10)*A1824,-10*A1824)),0)</x:f>
        <x:v>781747.8276164193</x:v>
      </x:c>
      <x:c r="C1824" s="256" t="n">
        <x:f>IF(B1824=0,IF(B1823=0,0,1),IF(B1823=0,0,IF(SIGN(B1824)&lt;&gt;SIGN(B1823),1,0)))</x:f>
        <x:v>0</x:v>
      </x:c>
      <x:c r="D1824" s="256" t="n">
        <x:f>EXP(A1824-0.005)-1</x:f>
        <x:v>-0.9999480381103799</x:v>
      </x:c>
    </x:row>
    <x:row r="1825" ht="20" customHeight="1">
      <x:c r="A1825" s="256" t="n">
        <x:f>-12+215*0.01</x:f>
        <x:v>-9.85</x:v>
      </x:c>
      <x:c r="B1825" s="256" t="n">
        <x:f>IF(COUNT($B$129:$L$129)=11,B$129*EXP(IF(A1825&lt;0,(10-0)*A1825,-0*A1825))+C$129*EXP(IF(A1825&lt;0,(10-1)*A1825,-1*A1825))+D$129*EXP(IF(A1825&lt;0,(10-2)*A1825,-2*A1825))+E$129*EXP(IF(A1825&lt;0,(10-3)*A1825,-3*A1825))+F$129*EXP(IF(A1825&lt;0,(10-4)*A1825,-4*A1825))+G$129*EXP(IF(A1825&lt;0,(10-5)*A1825,-5*A1825))+H$129*EXP(IF(A1825&lt;0,(10-6)*A1825,-6*A1825))+I$129*EXP(IF(A1825&lt;0,(10-7)*A1825,-7*A1825))+J$129*EXP(IF(A1825&lt;0,(10-8)*A1825,-8*A1825))+K$129*EXP(IF(A1825&lt;0,(10-9)*A1825,-9*A1825))+L$129*EXP(IF(A1825&lt;0,(10-10)*A1825,-10*A1825)),0)</x:f>
        <x:v>781747.8342257094</x:v>
      </x:c>
      <x:c r="C1825" s="256" t="n">
        <x:f>IF(B1825=0,IF(B1824=0,0,1),IF(B1824=0,0,IF(SIGN(B1825)&lt;&gt;SIGN(B1824),1,0)))</x:f>
        <x:v>0</x:v>
      </x:c>
      <x:c r="D1825" s="256" t="n">
        <x:f>EXP(A1825-0.005)-1</x:f>
        <x:v>-0.9999475158847072</x:v>
      </x:c>
    </x:row>
    <x:row r="1826" ht="20" customHeight="1">
      <x:c r="A1826" s="256" t="n">
        <x:f>-12+216*0.01</x:f>
        <x:v>-9.84</x:v>
      </x:c>
      <x:c r="B1826" s="256" t="n">
        <x:f>IF(COUNT($B$129:$L$129)=11,B$129*EXP(IF(A1826&lt;0,(10-0)*A1826,-0*A1826))+C$129*EXP(IF(A1826&lt;0,(10-1)*A1826,-1*A1826))+D$129*EXP(IF(A1826&lt;0,(10-2)*A1826,-2*A1826))+E$129*EXP(IF(A1826&lt;0,(10-3)*A1826,-3*A1826))+F$129*EXP(IF(A1826&lt;0,(10-4)*A1826,-4*A1826))+G$129*EXP(IF(A1826&lt;0,(10-5)*A1826,-5*A1826))+H$129*EXP(IF(A1826&lt;0,(10-6)*A1826,-6*A1826))+I$129*EXP(IF(A1826&lt;0,(10-7)*A1826,-7*A1826))+J$129*EXP(IF(A1826&lt;0,(10-8)*A1826,-8*A1826))+K$129*EXP(IF(A1826&lt;0,(10-9)*A1826,-9*A1826))+L$129*EXP(IF(A1826&lt;0,(10-10)*A1826,-10*A1826)),0)</x:f>
        <x:v>781747.8409014294</x:v>
      </x:c>
      <x:c r="C1826" s="256" t="n">
        <x:f>IF(B1826=0,IF(B1825=0,0,1),IF(B1825=0,0,IF(SIGN(B1826)&lt;&gt;SIGN(B1825),1,0)))</x:f>
        <x:v>0</x:v>
      </x:c>
      <x:c r="D1826" s="256" t="n">
        <x:f>EXP(A1826-0.005)-1</x:f>
        <x:v>-0.9999469884105793</x:v>
      </x:c>
    </x:row>
    <x:row r="1827" ht="20" customHeight="1">
      <x:c r="A1827" s="256" t="n">
        <x:f>-12+217*0.01</x:f>
        <x:v>-9.83</x:v>
      </x:c>
      <x:c r="B1827" s="256" t="n">
        <x:f>IF(COUNT($B$129:$L$129)=11,B$129*EXP(IF(A1827&lt;0,(10-0)*A1827,-0*A1827))+C$129*EXP(IF(A1827&lt;0,(10-1)*A1827,-1*A1827))+D$129*EXP(IF(A1827&lt;0,(10-2)*A1827,-2*A1827))+E$129*EXP(IF(A1827&lt;0,(10-3)*A1827,-3*A1827))+F$129*EXP(IF(A1827&lt;0,(10-4)*A1827,-4*A1827))+G$129*EXP(IF(A1827&lt;0,(10-5)*A1827,-5*A1827))+H$129*EXP(IF(A1827&lt;0,(10-6)*A1827,-6*A1827))+I$129*EXP(IF(A1827&lt;0,(10-7)*A1827,-7*A1827))+J$129*EXP(IF(A1827&lt;0,(10-8)*A1827,-8*A1827))+K$129*EXP(IF(A1827&lt;0,(10-9)*A1827,-9*A1827))+L$129*EXP(IF(A1827&lt;0,(10-10)*A1827,-10*A1827)),0)</x:f>
        <x:v>781747.847644247</x:v>
      </x:c>
      <x:c r="C1827" s="256" t="n">
        <x:f>IF(B1827=0,IF(B1826=0,0,1),IF(B1826=0,0,IF(SIGN(B1827)&lt;&gt;SIGN(B1826),1,0)))</x:f>
        <x:v>0</x:v>
      </x:c>
      <x:c r="D1827" s="256" t="n">
        <x:f>EXP(A1827-0.005)-1</x:f>
        <x:v>-0.9999464556352482</x:v>
      </x:c>
    </x:row>
    <x:row r="1828" ht="20" customHeight="1">
      <x:c r="A1828" s="256" t="n">
        <x:f>-12+218*0.01</x:f>
        <x:v>-9.82</x:v>
      </x:c>
      <x:c r="B1828" s="256" t="n">
        <x:f>IF(COUNT($B$129:$L$129)=11,B$129*EXP(IF(A1828&lt;0,(10-0)*A1828,-0*A1828))+C$129*EXP(IF(A1828&lt;0,(10-1)*A1828,-1*A1828))+D$129*EXP(IF(A1828&lt;0,(10-2)*A1828,-2*A1828))+E$129*EXP(IF(A1828&lt;0,(10-3)*A1828,-3*A1828))+F$129*EXP(IF(A1828&lt;0,(10-4)*A1828,-4*A1828))+G$129*EXP(IF(A1828&lt;0,(10-5)*A1828,-5*A1828))+H$129*EXP(IF(A1828&lt;0,(10-6)*A1828,-6*A1828))+I$129*EXP(IF(A1828&lt;0,(10-7)*A1828,-7*A1828))+J$129*EXP(IF(A1828&lt;0,(10-8)*A1828,-8*A1828))+K$129*EXP(IF(A1828&lt;0,(10-9)*A1828,-9*A1828))+L$129*EXP(IF(A1828&lt;0,(10-10)*A1828,-10*A1828)),0)</x:f>
        <x:v>781747.8544548367</x:v>
      </x:c>
      <x:c r="C1828" s="256" t="n">
        <x:f>IF(B1828=0,IF(B1827=0,0,1),IF(B1827=0,0,IF(SIGN(B1828)&lt;&gt;SIGN(B1827),1,0)))</x:f>
        <x:v>0</x:v>
      </x:c>
      <x:c r="D1828" s="256" t="n">
        <x:f>EXP(A1828-0.005)-1</x:f>
        <x:v>-0.9999459175054359</x:v>
      </x:c>
    </x:row>
    <x:row r="1829" ht="20" customHeight="1">
      <x:c r="A1829" s="256" t="n">
        <x:f>-12+219*0.01</x:f>
        <x:v>-9.81</x:v>
      </x:c>
      <x:c r="B1829" s="256" t="n">
        <x:f>IF(COUNT($B$129:$L$129)=11,B$129*EXP(IF(A1829&lt;0,(10-0)*A1829,-0*A1829))+C$129*EXP(IF(A1829&lt;0,(10-1)*A1829,-1*A1829))+D$129*EXP(IF(A1829&lt;0,(10-2)*A1829,-2*A1829))+E$129*EXP(IF(A1829&lt;0,(10-3)*A1829,-3*A1829))+F$129*EXP(IF(A1829&lt;0,(10-4)*A1829,-4*A1829))+G$129*EXP(IF(A1829&lt;0,(10-5)*A1829,-5*A1829))+H$129*EXP(IF(A1829&lt;0,(10-6)*A1829,-6*A1829))+I$129*EXP(IF(A1829&lt;0,(10-7)*A1829,-7*A1829))+J$129*EXP(IF(A1829&lt;0,(10-8)*A1829,-8*A1829))+K$129*EXP(IF(A1829&lt;0,(10-9)*A1829,-9*A1829))+L$129*EXP(IF(A1829&lt;0,(10-10)*A1829,-10*A1829)),0)</x:f>
        <x:v>781747.8613338795</x:v>
      </x:c>
      <x:c r="C1829" s="256" t="n">
        <x:f>IF(B1829=0,IF(B1828=0,0,1),IF(B1828=0,0,IF(SIGN(B1829)&lt;&gt;SIGN(B1828),1,0)))</x:f>
        <x:v>0</x:v>
      </x:c>
      <x:c r="D1829" s="256" t="n">
        <x:f>EXP(A1829-0.005)-1</x:f>
        <x:v>-0.9999453739673293</x:v>
      </x:c>
    </x:row>
    <x:row r="1830" ht="20" customHeight="1">
      <x:c r="A1830" s="256" t="n">
        <x:f>-12+220*0.01</x:f>
        <x:v>-9.8</x:v>
      </x:c>
      <x:c r="B1830" s="256" t="n">
        <x:f>IF(COUNT($B$129:$L$129)=11,B$129*EXP(IF(A1830&lt;0,(10-0)*A1830,-0*A1830))+C$129*EXP(IF(A1830&lt;0,(10-1)*A1830,-1*A1830))+D$129*EXP(IF(A1830&lt;0,(10-2)*A1830,-2*A1830))+E$129*EXP(IF(A1830&lt;0,(10-3)*A1830,-3*A1830))+F$129*EXP(IF(A1830&lt;0,(10-4)*A1830,-4*A1830))+G$129*EXP(IF(A1830&lt;0,(10-5)*A1830,-5*A1830))+H$129*EXP(IF(A1830&lt;0,(10-6)*A1830,-6*A1830))+I$129*EXP(IF(A1830&lt;0,(10-7)*A1830,-7*A1830))+J$129*EXP(IF(A1830&lt;0,(10-8)*A1830,-8*A1830))+K$129*EXP(IF(A1830&lt;0,(10-9)*A1830,-9*A1830))+L$129*EXP(IF(A1830&lt;0,(10-10)*A1830,-10*A1830)),0)</x:f>
        <x:v>781747.8682820637</x:v>
      </x:c>
      <x:c r="C1830" s="256" t="n">
        <x:f>IF(B1830=0,IF(B1829=0,0,1),IF(B1829=0,0,IF(SIGN(B1830)&lt;&gt;SIGN(B1829),1,0)))</x:f>
        <x:v>0</x:v>
      </x:c>
      <x:c r="D1830" s="256" t="n">
        <x:f>EXP(A1830-0.005)-1</x:f>
        <x:v>-0.9999448249665738</x:v>
      </x:c>
    </x:row>
    <x:row r="1831" ht="20" customHeight="1">
      <x:c r="A1831" s="256" t="n">
        <x:f>-12+221*0.01</x:f>
        <x:v>-9.79</x:v>
      </x:c>
      <x:c r="B1831" s="256" t="n">
        <x:f>IF(COUNT($B$129:$L$129)=11,B$129*EXP(IF(A1831&lt;0,(10-0)*A1831,-0*A1831))+C$129*EXP(IF(A1831&lt;0,(10-1)*A1831,-1*A1831))+D$129*EXP(IF(A1831&lt;0,(10-2)*A1831,-2*A1831))+E$129*EXP(IF(A1831&lt;0,(10-3)*A1831,-3*A1831))+F$129*EXP(IF(A1831&lt;0,(10-4)*A1831,-4*A1831))+G$129*EXP(IF(A1831&lt;0,(10-5)*A1831,-5*A1831))+H$129*EXP(IF(A1831&lt;0,(10-6)*A1831,-6*A1831))+I$129*EXP(IF(A1831&lt;0,(10-7)*A1831,-7*A1831))+J$129*EXP(IF(A1831&lt;0,(10-8)*A1831,-8*A1831))+K$129*EXP(IF(A1831&lt;0,(10-9)*A1831,-9*A1831))+L$129*EXP(IF(A1831&lt;0,(10-10)*A1831,-10*A1831)),0)</x:f>
        <x:v>781747.8753000842</x:v>
      </x:c>
      <x:c r="C1831" s="256" t="n">
        <x:f>IF(B1831=0,IF(B1830=0,0,1),IF(B1830=0,0,IF(SIGN(B1831)&lt;&gt;SIGN(B1830),1,0)))</x:f>
        <x:v>0</x:v>
      </x:c>
      <x:c r="D1831" s="256" t="n">
        <x:f>EXP(A1831-0.005)-1</x:f>
        <x:v>-0.999944270448269</x:v>
      </x:c>
    </x:row>
    <x:row r="1832" ht="20" customHeight="1">
      <x:c r="A1832" s="256" t="n">
        <x:f>-12+222*0.01</x:f>
        <x:v>-9.78</x:v>
      </x:c>
      <x:c r="B1832" s="256" t="n">
        <x:f>IF(COUNT($B$129:$L$129)=11,B$129*EXP(IF(A1832&lt;0,(10-0)*A1832,-0*A1832))+C$129*EXP(IF(A1832&lt;0,(10-1)*A1832,-1*A1832))+D$129*EXP(IF(A1832&lt;0,(10-2)*A1832,-2*A1832))+E$129*EXP(IF(A1832&lt;0,(10-3)*A1832,-3*A1832))+F$129*EXP(IF(A1832&lt;0,(10-4)*A1832,-4*A1832))+G$129*EXP(IF(A1832&lt;0,(10-5)*A1832,-5*A1832))+H$129*EXP(IF(A1832&lt;0,(10-6)*A1832,-6*A1832))+I$129*EXP(IF(A1832&lt;0,(10-7)*A1832,-7*A1832))+J$129*EXP(IF(A1832&lt;0,(10-8)*A1832,-8*A1832))+K$129*EXP(IF(A1832&lt;0,(10-9)*A1832,-9*A1832))+L$129*EXP(IF(A1832&lt;0,(10-10)*A1832,-10*A1832)),0)</x:f>
        <x:v>781747.8823886431</x:v>
      </x:c>
      <x:c r="C1832" s="256" t="n">
        <x:f>IF(B1832=0,IF(B1831=0,0,1),IF(B1831=0,0,IF(SIGN(B1832)&lt;&gt;SIGN(B1831),1,0)))</x:f>
        <x:v>0</x:v>
      </x:c>
      <x:c r="D1832" s="256" t="n">
        <x:f>EXP(A1832-0.005)-1</x:f>
        <x:v>-0.9999437103569626</x:v>
      </x:c>
    </x:row>
    <x:row r="1833" ht="20" customHeight="1">
      <x:c r="A1833" s="256" t="n">
        <x:f>-12+223*0.01</x:f>
        <x:v>-9.77</x:v>
      </x:c>
      <x:c r="B1833" s="256" t="n">
        <x:f>IF(COUNT($B$129:$L$129)=11,B$129*EXP(IF(A1833&lt;0,(10-0)*A1833,-0*A1833))+C$129*EXP(IF(A1833&lt;0,(10-1)*A1833,-1*A1833))+D$129*EXP(IF(A1833&lt;0,(10-2)*A1833,-2*A1833))+E$129*EXP(IF(A1833&lt;0,(10-3)*A1833,-3*A1833))+F$129*EXP(IF(A1833&lt;0,(10-4)*A1833,-4*A1833))+G$129*EXP(IF(A1833&lt;0,(10-5)*A1833,-5*A1833))+H$129*EXP(IF(A1833&lt;0,(10-6)*A1833,-6*A1833))+I$129*EXP(IF(A1833&lt;0,(10-7)*A1833,-7*A1833))+J$129*EXP(IF(A1833&lt;0,(10-8)*A1833,-8*A1833))+K$129*EXP(IF(A1833&lt;0,(10-9)*A1833,-9*A1833))+L$129*EXP(IF(A1833&lt;0,(10-10)*A1833,-10*A1833)),0)</x:f>
        <x:v>781747.8895484494</x:v>
      </x:c>
      <x:c r="C1833" s="256" t="n">
        <x:f>IF(B1833=0,IF(B1832=0,0,1),IF(B1832=0,0,IF(SIGN(B1833)&lt;&gt;SIGN(B1832),1,0)))</x:f>
        <x:v>0</x:v>
      </x:c>
      <x:c r="D1833" s="256" t="n">
        <x:f>EXP(A1833-0.005)-1</x:f>
        <x:v>-0.9999431446366449</x:v>
      </x:c>
    </x:row>
    <x:row r="1834" ht="20" customHeight="1">
      <x:c r="A1834" s="256" t="n">
        <x:f>-12+224*0.01</x:f>
        <x:v>-9.76</x:v>
      </x:c>
      <x:c r="B1834" s="256" t="n">
        <x:f>IF(COUNT($B$129:$L$129)=11,B$129*EXP(IF(A1834&lt;0,(10-0)*A1834,-0*A1834))+C$129*EXP(IF(A1834&lt;0,(10-1)*A1834,-1*A1834))+D$129*EXP(IF(A1834&lt;0,(10-2)*A1834,-2*A1834))+E$129*EXP(IF(A1834&lt;0,(10-3)*A1834,-3*A1834))+F$129*EXP(IF(A1834&lt;0,(10-4)*A1834,-4*A1834))+G$129*EXP(IF(A1834&lt;0,(10-5)*A1834,-5*A1834))+H$129*EXP(IF(A1834&lt;0,(10-6)*A1834,-6*A1834))+I$129*EXP(IF(A1834&lt;0,(10-7)*A1834,-7*A1834))+J$129*EXP(IF(A1834&lt;0,(10-8)*A1834,-8*A1834))+K$129*EXP(IF(A1834&lt;0,(10-9)*A1834,-9*A1834))+L$129*EXP(IF(A1834&lt;0,(10-10)*A1834,-10*A1834)),0)</x:f>
        <x:v>781747.8967802192</x:v>
      </x:c>
      <x:c r="C1834" s="256" t="n">
        <x:f>IF(B1834=0,IF(B1833=0,0,1),IF(B1833=0,0,IF(SIGN(B1834)&lt;&gt;SIGN(B1833),1,0)))</x:f>
        <x:v>0</x:v>
      </x:c>
      <x:c r="D1834" s="256" t="n">
        <x:f>EXP(A1834-0.005)-1</x:f>
        <x:v>-0.9999425732307435</x:v>
      </x:c>
    </x:row>
    <x:row r="1835" ht="20" customHeight="1">
      <x:c r="A1835" s="256" t="n">
        <x:f>-12+225*0.01</x:f>
        <x:v>-9.75</x:v>
      </x:c>
      <x:c r="B1835" s="256" t="n">
        <x:f>IF(COUNT($B$129:$L$129)=11,B$129*EXP(IF(A1835&lt;0,(10-0)*A1835,-0*A1835))+C$129*EXP(IF(A1835&lt;0,(10-1)*A1835,-1*A1835))+D$129*EXP(IF(A1835&lt;0,(10-2)*A1835,-2*A1835))+E$129*EXP(IF(A1835&lt;0,(10-3)*A1835,-3*A1835))+F$129*EXP(IF(A1835&lt;0,(10-4)*A1835,-4*A1835))+G$129*EXP(IF(A1835&lt;0,(10-5)*A1835,-5*A1835))+H$129*EXP(IF(A1835&lt;0,(10-6)*A1835,-6*A1835))+I$129*EXP(IF(A1835&lt;0,(10-7)*A1835,-7*A1835))+J$129*EXP(IF(A1835&lt;0,(10-8)*A1835,-8*A1835))+K$129*EXP(IF(A1835&lt;0,(10-9)*A1835,-9*A1835))+L$129*EXP(IF(A1835&lt;0,(10-10)*A1835,-10*A1835)),0)</x:f>
        <x:v>781747.904084676</x:v>
      </x:c>
      <x:c r="C1835" s="256" t="n">
        <x:f>IF(B1835=0,IF(B1834=0,0,1),IF(B1834=0,0,IF(SIGN(B1835)&lt;&gt;SIGN(B1834),1,0)))</x:f>
        <x:v>0</x:v>
      </x:c>
      <x:c r="D1835" s="256" t="n">
        <x:f>EXP(A1835-0.005)-1</x:f>
        <x:v>-0.9999419960821174</x:v>
      </x:c>
    </x:row>
    <x:row r="1836" ht="20" customHeight="1">
      <x:c r="A1836" s="256" t="n">
        <x:f>-12+226*0.01</x:f>
        <x:v>-9.74</x:v>
      </x:c>
      <x:c r="B1836" s="256" t="n">
        <x:f>IF(COUNT($B$129:$L$129)=11,B$129*EXP(IF(A1836&lt;0,(10-0)*A1836,-0*A1836))+C$129*EXP(IF(A1836&lt;0,(10-1)*A1836,-1*A1836))+D$129*EXP(IF(A1836&lt;0,(10-2)*A1836,-2*A1836))+E$129*EXP(IF(A1836&lt;0,(10-3)*A1836,-3*A1836))+F$129*EXP(IF(A1836&lt;0,(10-4)*A1836,-4*A1836))+G$129*EXP(IF(A1836&lt;0,(10-5)*A1836,-5*A1836))+H$129*EXP(IF(A1836&lt;0,(10-6)*A1836,-6*A1836))+I$129*EXP(IF(A1836&lt;0,(10-7)*A1836,-7*A1836))+J$129*EXP(IF(A1836&lt;0,(10-8)*A1836,-8*A1836))+K$129*EXP(IF(A1836&lt;0,(10-9)*A1836,-9*A1836))+L$129*EXP(IF(A1836&lt;0,(10-10)*A1836,-10*A1836)),0)</x:f>
        <x:v>781747.9114625502</x:v>
      </x:c>
      <x:c r="C1836" s="256" t="n">
        <x:f>IF(B1836=0,IF(B1835=0,0,1),IF(B1835=0,0,IF(SIGN(B1836)&lt;&gt;SIGN(B1835),1,0)))</x:f>
        <x:v>0</x:v>
      </x:c>
      <x:c r="D1836" s="256" t="n">
        <x:f>EXP(A1836-0.005)-1</x:f>
        <x:v>-0.9999414131330512</x:v>
      </x:c>
    </x:row>
    <x:row r="1837" ht="20" customHeight="1">
      <x:c r="A1837" s="256" t="n">
        <x:f>-12+227*0.01</x:f>
        <x:v>-9.73</x:v>
      </x:c>
      <x:c r="B1837" s="256" t="n">
        <x:f>IF(COUNT($B$129:$L$129)=11,B$129*EXP(IF(A1837&lt;0,(10-0)*A1837,-0*A1837))+C$129*EXP(IF(A1837&lt;0,(10-1)*A1837,-1*A1837))+D$129*EXP(IF(A1837&lt;0,(10-2)*A1837,-2*A1837))+E$129*EXP(IF(A1837&lt;0,(10-3)*A1837,-3*A1837))+F$129*EXP(IF(A1837&lt;0,(10-4)*A1837,-4*A1837))+G$129*EXP(IF(A1837&lt;0,(10-5)*A1837,-5*A1837))+H$129*EXP(IF(A1837&lt;0,(10-6)*A1837,-6*A1837))+I$129*EXP(IF(A1837&lt;0,(10-7)*A1837,-7*A1837))+J$129*EXP(IF(A1837&lt;0,(10-8)*A1837,-8*A1837))+K$129*EXP(IF(A1837&lt;0,(10-9)*A1837,-9*A1837))+L$129*EXP(IF(A1837&lt;0,(10-10)*A1837,-10*A1837)),0)</x:f>
        <x:v>781747.91891458</x:v>
      </x:c>
      <x:c r="C1837" s="256" t="n">
        <x:f>IF(B1837=0,IF(B1836=0,0,1),IF(B1836=0,0,IF(SIGN(B1837)&lt;&gt;SIGN(B1836),1,0)))</x:f>
        <x:v>0</x:v>
      </x:c>
      <x:c r="D1837" s="256" t="n">
        <x:f>EXP(A1837-0.005)-1</x:f>
        <x:v>-0.9999408243252494</x:v>
      </x:c>
    </x:row>
    <x:row r="1838" ht="20" customHeight="1">
      <x:c r="A1838" s="256" t="n">
        <x:f>-12+228*0.01</x:f>
        <x:v>-9.719999999999999</x:v>
      </x:c>
      <x:c r="B1838" s="256" t="n">
        <x:f>IF(COUNT($B$129:$L$129)=11,B$129*EXP(IF(A1838&lt;0,(10-0)*A1838,-0*A1838))+C$129*EXP(IF(A1838&lt;0,(10-1)*A1838,-1*A1838))+D$129*EXP(IF(A1838&lt;0,(10-2)*A1838,-2*A1838))+E$129*EXP(IF(A1838&lt;0,(10-3)*A1838,-3*A1838))+F$129*EXP(IF(A1838&lt;0,(10-4)*A1838,-4*A1838))+G$129*EXP(IF(A1838&lt;0,(10-5)*A1838,-5*A1838))+H$129*EXP(IF(A1838&lt;0,(10-6)*A1838,-6*A1838))+I$129*EXP(IF(A1838&lt;0,(10-7)*A1838,-7*A1838))+J$129*EXP(IF(A1838&lt;0,(10-8)*A1838,-8*A1838))+K$129*EXP(IF(A1838&lt;0,(10-9)*A1838,-9*A1838))+L$129*EXP(IF(A1838&lt;0,(10-10)*A1838,-10*A1838)),0)</x:f>
        <x:v>781747.9264415108</x:v>
      </x:c>
      <x:c r="C1838" s="256" t="n">
        <x:f>IF(B1838=0,IF(B1837=0,0,1),IF(B1837=0,0,IF(SIGN(B1838)&lt;&gt;SIGN(B1837),1,0)))</x:f>
        <x:v>0</x:v>
      </x:c>
      <x:c r="D1838" s="256" t="n">
        <x:f>EXP(A1838-0.005)-1</x:f>
        <x:v>-0.9999402295998309</x:v>
      </x:c>
    </x:row>
    <x:row r="1839" ht="20" customHeight="1">
      <x:c r="A1839" s="256" t="n">
        <x:f>-12+229*0.01</x:f>
        <x:v>-9.71</x:v>
      </x:c>
      <x:c r="B1839" s="256" t="n">
        <x:f>IF(COUNT($B$129:$L$129)=11,B$129*EXP(IF(A1839&lt;0,(10-0)*A1839,-0*A1839))+C$129*EXP(IF(A1839&lt;0,(10-1)*A1839,-1*A1839))+D$129*EXP(IF(A1839&lt;0,(10-2)*A1839,-2*A1839))+E$129*EXP(IF(A1839&lt;0,(10-3)*A1839,-3*A1839))+F$129*EXP(IF(A1839&lt;0,(10-4)*A1839,-4*A1839))+G$129*EXP(IF(A1839&lt;0,(10-5)*A1839,-5*A1839))+H$129*EXP(IF(A1839&lt;0,(10-6)*A1839,-6*A1839))+I$129*EXP(IF(A1839&lt;0,(10-7)*A1839,-7*A1839))+J$129*EXP(IF(A1839&lt;0,(10-8)*A1839,-8*A1839))+K$129*EXP(IF(A1839&lt;0,(10-9)*A1839,-9*A1839))+L$129*EXP(IF(A1839&lt;0,(10-10)*A1839,-10*A1839)),0)</x:f>
        <x:v>781747.9340440955</x:v>
      </x:c>
      <x:c r="C1839" s="256" t="n">
        <x:f>IF(B1839=0,IF(B1838=0,0,1),IF(B1838=0,0,IF(SIGN(B1839)&lt;&gt;SIGN(B1838),1,0)))</x:f>
        <x:v>0</x:v>
      </x:c>
      <x:c r="D1839" s="256" t="n">
        <x:f>EXP(A1839-0.005)-1</x:f>
        <x:v>-0.9999396288973225</x:v>
      </x:c>
    </x:row>
    <x:row r="1840" ht="20" customHeight="1">
      <x:c r="A1840" s="256" t="n">
        <x:f>-12+230*0.01</x:f>
        <x:v>-9.7</x:v>
      </x:c>
      <x:c r="B1840" s="256" t="n">
        <x:f>IF(COUNT($B$129:$L$129)=11,B$129*EXP(IF(A1840&lt;0,(10-0)*A1840,-0*A1840))+C$129*EXP(IF(A1840&lt;0,(10-1)*A1840,-1*A1840))+D$129*EXP(IF(A1840&lt;0,(10-2)*A1840,-2*A1840))+E$129*EXP(IF(A1840&lt;0,(10-3)*A1840,-3*A1840))+F$129*EXP(IF(A1840&lt;0,(10-4)*A1840,-4*A1840))+G$129*EXP(IF(A1840&lt;0,(10-5)*A1840,-5*A1840))+H$129*EXP(IF(A1840&lt;0,(10-6)*A1840,-6*A1840))+I$129*EXP(IF(A1840&lt;0,(10-7)*A1840,-7*A1840))+J$129*EXP(IF(A1840&lt;0,(10-8)*A1840,-8*A1840))+K$129*EXP(IF(A1840&lt;0,(10-9)*A1840,-9*A1840))+L$129*EXP(IF(A1840&lt;0,(10-10)*A1840,-10*A1840)),0)</x:f>
        <x:v>781747.9417230946</x:v>
      </x:c>
      <x:c r="C1840" s="256" t="n">
        <x:f>IF(B1840=0,IF(B1839=0,0,1),IF(B1839=0,0,IF(SIGN(B1840)&lt;&gt;SIGN(B1839),1,0)))</x:f>
        <x:v>0</x:v>
      </x:c>
      <x:c r="D1840" s="256" t="n">
        <x:f>EXP(A1840-0.005)-1</x:f>
        <x:v>-0.9999390221576535</x:v>
      </x:c>
    </x:row>
    <x:row r="1841" ht="20" customHeight="1">
      <x:c r="A1841" s="256" t="n">
        <x:f>-12+231*0.01</x:f>
        <x:v>-9.69</x:v>
      </x:c>
      <x:c r="B1841" s="256" t="n">
        <x:f>IF(COUNT($B$129:$L$129)=11,B$129*EXP(IF(A1841&lt;0,(10-0)*A1841,-0*A1841))+C$129*EXP(IF(A1841&lt;0,(10-1)*A1841,-1*A1841))+D$129*EXP(IF(A1841&lt;0,(10-2)*A1841,-2*A1841))+E$129*EXP(IF(A1841&lt;0,(10-3)*A1841,-3*A1841))+F$129*EXP(IF(A1841&lt;0,(10-4)*A1841,-4*A1841))+G$129*EXP(IF(A1841&lt;0,(10-5)*A1841,-5*A1841))+H$129*EXP(IF(A1841&lt;0,(10-6)*A1841,-6*A1841))+I$129*EXP(IF(A1841&lt;0,(10-7)*A1841,-7*A1841))+J$129*EXP(IF(A1841&lt;0,(10-8)*A1841,-8*A1841))+K$129*EXP(IF(A1841&lt;0,(10-9)*A1841,-9*A1841))+L$129*EXP(IF(A1841&lt;0,(10-10)*A1841,-10*A1841)),0)</x:f>
        <x:v>781747.949479276</x:v>
      </x:c>
      <x:c r="C1841" s="256" t="n">
        <x:f>IF(B1841=0,IF(B1840=0,0,1),IF(B1840=0,0,IF(SIGN(B1841)&lt;&gt;SIGN(B1840),1,0)))</x:f>
        <x:v>0</x:v>
      </x:c>
      <x:c r="D1841" s="256" t="n">
        <x:f>EXP(A1841-0.005)-1</x:f>
        <x:v>-0.9999384093201494</x:v>
      </x:c>
    </x:row>
    <x:row r="1842" ht="20" customHeight="1">
      <x:c r="A1842" s="256" t="n">
        <x:f>-12+232*0.01</x:f>
        <x:v>-9.68</x:v>
      </x:c>
      <x:c r="B1842" s="256" t="n">
        <x:f>IF(COUNT($B$129:$L$129)=11,B$129*EXP(IF(A1842&lt;0,(10-0)*A1842,-0*A1842))+C$129*EXP(IF(A1842&lt;0,(10-1)*A1842,-1*A1842))+D$129*EXP(IF(A1842&lt;0,(10-2)*A1842,-2*A1842))+E$129*EXP(IF(A1842&lt;0,(10-3)*A1842,-3*A1842))+F$129*EXP(IF(A1842&lt;0,(10-4)*A1842,-4*A1842))+G$129*EXP(IF(A1842&lt;0,(10-5)*A1842,-5*A1842))+H$129*EXP(IF(A1842&lt;0,(10-6)*A1842,-6*A1842))+I$129*EXP(IF(A1842&lt;0,(10-7)*A1842,-7*A1842))+J$129*EXP(IF(A1842&lt;0,(10-8)*A1842,-8*A1842))+K$129*EXP(IF(A1842&lt;0,(10-9)*A1842,-9*A1842))+L$129*EXP(IF(A1842&lt;0,(10-10)*A1842,-10*A1842)),0)</x:f>
        <x:v>781747.9573134158</x:v>
      </x:c>
      <x:c r="C1842" s="256" t="n">
        <x:f>IF(B1842=0,IF(B1841=0,0,1),IF(B1841=0,0,IF(SIGN(B1842)&lt;&gt;SIGN(B1841),1,0)))</x:f>
        <x:v>0</x:v>
      </x:c>
      <x:c r="D1842" s="256" t="n">
        <x:f>EXP(A1842-0.005)-1</x:f>
        <x:v>-0.9999377903235261</x:v>
      </x:c>
    </x:row>
    <x:row r="1843" ht="20" customHeight="1">
      <x:c r="A1843" s="256" t="n">
        <x:f>-12+233*0.01</x:f>
        <x:v>-9.67</x:v>
      </x:c>
      <x:c r="B1843" s="256" t="n">
        <x:f>IF(COUNT($B$129:$L$129)=11,B$129*EXP(IF(A1843&lt;0,(10-0)*A1843,-0*A1843))+C$129*EXP(IF(A1843&lt;0,(10-1)*A1843,-1*A1843))+D$129*EXP(IF(A1843&lt;0,(10-2)*A1843,-2*A1843))+E$129*EXP(IF(A1843&lt;0,(10-3)*A1843,-3*A1843))+F$129*EXP(IF(A1843&lt;0,(10-4)*A1843,-4*A1843))+G$129*EXP(IF(A1843&lt;0,(10-5)*A1843,-5*A1843))+H$129*EXP(IF(A1843&lt;0,(10-6)*A1843,-6*A1843))+I$129*EXP(IF(A1843&lt;0,(10-7)*A1843,-7*A1843))+J$129*EXP(IF(A1843&lt;0,(10-8)*A1843,-8*A1843))+K$129*EXP(IF(A1843&lt;0,(10-9)*A1843,-9*A1843))+L$129*EXP(IF(A1843&lt;0,(10-10)*A1843,-10*A1843)),0)</x:f>
        <x:v>781747.9652262975</x:v>
      </x:c>
      <x:c r="C1843" s="256" t="n">
        <x:f>IF(B1843=0,IF(B1842=0,0,1),IF(B1842=0,0,IF(SIGN(B1843)&lt;&gt;SIGN(B1842),1,0)))</x:f>
        <x:v>0</x:v>
      </x:c>
      <x:c r="D1843" s="256" t="n">
        <x:f>EXP(A1843-0.005)-1</x:f>
        <x:v>-0.9999371651058834</x:v>
      </x:c>
    </x:row>
    <x:row r="1844" ht="20" customHeight="1">
      <x:c r="A1844" s="256" t="n">
        <x:f>-12+234*0.01</x:f>
        <x:v>-9.66</x:v>
      </x:c>
      <x:c r="B1844" s="256" t="n">
        <x:f>IF(COUNT($B$129:$L$129)=11,B$129*EXP(IF(A1844&lt;0,(10-0)*A1844,-0*A1844))+C$129*EXP(IF(A1844&lt;0,(10-1)*A1844,-1*A1844))+D$129*EXP(IF(A1844&lt;0,(10-2)*A1844,-2*A1844))+E$129*EXP(IF(A1844&lt;0,(10-3)*A1844,-3*A1844))+F$129*EXP(IF(A1844&lt;0,(10-4)*A1844,-4*A1844))+G$129*EXP(IF(A1844&lt;0,(10-5)*A1844,-5*A1844))+H$129*EXP(IF(A1844&lt;0,(10-6)*A1844,-6*A1844))+I$129*EXP(IF(A1844&lt;0,(10-7)*A1844,-7*A1844))+J$129*EXP(IF(A1844&lt;0,(10-8)*A1844,-8*A1844))+K$129*EXP(IF(A1844&lt;0,(10-9)*A1844,-9*A1844))+L$129*EXP(IF(A1844&lt;0,(10-10)*A1844,-10*A1844)),0)</x:f>
        <x:v>781747.9732187127</x:v>
      </x:c>
      <x:c r="C1844" s="256" t="n">
        <x:f>IF(B1844=0,IF(B1843=0,0,1),IF(B1843=0,0,IF(SIGN(B1844)&lt;&gt;SIGN(B1843),1,0)))</x:f>
        <x:v>0</x:v>
      </x:c>
      <x:c r="D1844" s="256" t="n">
        <x:f>EXP(A1844-0.005)-1</x:f>
        <x:v>-0.9999365336046988</x:v>
      </x:c>
    </x:row>
    <x:row r="1845" ht="20" customHeight="1">
      <x:c r="A1845" s="256" t="n">
        <x:f>-12+235*0.01</x:f>
        <x:v>-9.65</x:v>
      </x:c>
      <x:c r="B1845" s="256" t="n">
        <x:f>IF(COUNT($B$129:$L$129)=11,B$129*EXP(IF(A1845&lt;0,(10-0)*A1845,-0*A1845))+C$129*EXP(IF(A1845&lt;0,(10-1)*A1845,-1*A1845))+D$129*EXP(IF(A1845&lt;0,(10-2)*A1845,-2*A1845))+E$129*EXP(IF(A1845&lt;0,(10-3)*A1845,-3*A1845))+F$129*EXP(IF(A1845&lt;0,(10-4)*A1845,-4*A1845))+G$129*EXP(IF(A1845&lt;0,(10-5)*A1845,-5*A1845))+H$129*EXP(IF(A1845&lt;0,(10-6)*A1845,-6*A1845))+I$129*EXP(IF(A1845&lt;0,(10-7)*A1845,-7*A1845))+J$129*EXP(IF(A1845&lt;0,(10-8)*A1845,-8*A1845))+K$129*EXP(IF(A1845&lt;0,(10-9)*A1845,-9*A1845))+L$129*EXP(IF(A1845&lt;0,(10-10)*A1845,-10*A1845)),0)</x:f>
        <x:v>781747.9812914609</x:v>
      </x:c>
      <x:c r="C1845" s="256" t="n">
        <x:f>IF(B1845=0,IF(B1844=0,0,1),IF(B1844=0,0,IF(SIGN(B1845)&lt;&gt;SIGN(B1844),1,0)))</x:f>
        <x:v>0</x:v>
      </x:c>
      <x:c r="D1845" s="256" t="n">
        <x:f>EXP(A1845-0.005)-1</x:f>
        <x:v>-0.9999358957568217</x:v>
      </x:c>
    </x:row>
    <x:row r="1846" ht="20" customHeight="1">
      <x:c r="A1846" s="256" t="n">
        <x:f>-12+236*0.01</x:f>
        <x:v>-9.64</x:v>
      </x:c>
      <x:c r="B1846" s="256" t="n">
        <x:f>IF(COUNT($B$129:$L$129)=11,B$129*EXP(IF(A1846&lt;0,(10-0)*A1846,-0*A1846))+C$129*EXP(IF(A1846&lt;0,(10-1)*A1846,-1*A1846))+D$129*EXP(IF(A1846&lt;0,(10-2)*A1846,-2*A1846))+E$129*EXP(IF(A1846&lt;0,(10-3)*A1846,-3*A1846))+F$129*EXP(IF(A1846&lt;0,(10-4)*A1846,-4*A1846))+G$129*EXP(IF(A1846&lt;0,(10-5)*A1846,-5*A1846))+H$129*EXP(IF(A1846&lt;0,(10-6)*A1846,-6*A1846))+I$129*EXP(IF(A1846&lt;0,(10-7)*A1846,-7*A1846))+J$129*EXP(IF(A1846&lt;0,(10-8)*A1846,-8*A1846))+K$129*EXP(IF(A1846&lt;0,(10-9)*A1846,-9*A1846))+L$129*EXP(IF(A1846&lt;0,(10-10)*A1846,-10*A1846)),0)</x:f>
        <x:v>781747.9894453496</x:v>
      </x:c>
      <x:c r="C1846" s="256" t="n">
        <x:f>IF(B1846=0,IF(B1845=0,0,1),IF(B1845=0,0,IF(SIGN(B1846)&lt;&gt;SIGN(B1845),1,0)))</x:f>
        <x:v>0</x:v>
      </x:c>
      <x:c r="D1846" s="256" t="n">
        <x:f>EXP(A1846-0.005)-1</x:f>
        <x:v>-0.999935251498467</x:v>
      </x:c>
    </x:row>
    <x:row r="1847" ht="20" customHeight="1">
      <x:c r="A1847" s="256" t="n">
        <x:f>-12+237*0.01</x:f>
        <x:v>-9.629999999999999</x:v>
      </x:c>
      <x:c r="B1847" s="256" t="n">
        <x:f>IF(COUNT($B$129:$L$129)=11,B$129*EXP(IF(A1847&lt;0,(10-0)*A1847,-0*A1847))+C$129*EXP(IF(A1847&lt;0,(10-1)*A1847,-1*A1847))+D$129*EXP(IF(A1847&lt;0,(10-2)*A1847,-2*A1847))+E$129*EXP(IF(A1847&lt;0,(10-3)*A1847,-3*A1847))+F$129*EXP(IF(A1847&lt;0,(10-4)*A1847,-4*A1847))+G$129*EXP(IF(A1847&lt;0,(10-5)*A1847,-5*A1847))+H$129*EXP(IF(A1847&lt;0,(10-6)*A1847,-6*A1847))+I$129*EXP(IF(A1847&lt;0,(10-7)*A1847,-7*A1847))+J$129*EXP(IF(A1847&lt;0,(10-8)*A1847,-8*A1847))+K$129*EXP(IF(A1847&lt;0,(10-9)*A1847,-9*A1847))+L$129*EXP(IF(A1847&lt;0,(10-10)*A1847,-10*A1847)),0)</x:f>
        <x:v>781747.9976811943</x:v>
      </x:c>
      <x:c r="C1847" s="256" t="n">
        <x:f>IF(B1847=0,IF(B1846=0,0,1),IF(B1846=0,0,IF(SIGN(B1847)&lt;&gt;SIGN(B1846),1,0)))</x:f>
        <x:v>0</x:v>
      </x:c>
      <x:c r="D1847" s="256" t="n">
        <x:f>EXP(A1847-0.005)-1</x:f>
        <x:v>-0.9999346007652081</x:v>
      </x:c>
    </x:row>
    <x:row r="1848" ht="20" customHeight="1">
      <x:c r="A1848" s="256" t="n">
        <x:f>-12+238*0.01</x:f>
        <x:v>-9.620000000000001</x:v>
      </x:c>
      <x:c r="B1848" s="256" t="n">
        <x:f>IF(COUNT($B$129:$L$129)=11,B$129*EXP(IF(A1848&lt;0,(10-0)*A1848,-0*A1848))+C$129*EXP(IF(A1848&lt;0,(10-1)*A1848,-1*A1848))+D$129*EXP(IF(A1848&lt;0,(10-2)*A1848,-2*A1848))+E$129*EXP(IF(A1848&lt;0,(10-3)*A1848,-3*A1848))+F$129*EXP(IF(A1848&lt;0,(10-4)*A1848,-4*A1848))+G$129*EXP(IF(A1848&lt;0,(10-5)*A1848,-5*A1848))+H$129*EXP(IF(A1848&lt;0,(10-6)*A1848,-6*A1848))+I$129*EXP(IF(A1848&lt;0,(10-7)*A1848,-7*A1848))+J$129*EXP(IF(A1848&lt;0,(10-8)*A1848,-8*A1848))+K$129*EXP(IF(A1848&lt;0,(10-9)*A1848,-9*A1848))+L$129*EXP(IF(A1848&lt;0,(10-10)*A1848,-10*A1848)),0)</x:f>
        <x:v>781748.005999819</x:v>
      </x:c>
      <x:c r="C1848" s="256" t="n">
        <x:f>IF(B1848=0,IF(B1847=0,0,1),IF(B1847=0,0,IF(SIGN(B1848)&lt;&gt;SIGN(B1847),1,0)))</x:f>
        <x:v>0</x:v>
      </x:c>
      <x:c r="D1848" s="256" t="n">
        <x:f>EXP(A1848-0.005)-1</x:f>
        <x:v>-0.9999339434919713</x:v>
      </x:c>
    </x:row>
    <x:row r="1849" ht="20" customHeight="1">
      <x:c r="A1849" s="256" t="n">
        <x:f>-12+239*0.01</x:f>
        <x:v>-9.61</x:v>
      </x:c>
      <x:c r="B1849" s="256" t="n">
        <x:f>IF(COUNT($B$129:$L$129)=11,B$129*EXP(IF(A1849&lt;0,(10-0)*A1849,-0*A1849))+C$129*EXP(IF(A1849&lt;0,(10-1)*A1849,-1*A1849))+D$129*EXP(IF(A1849&lt;0,(10-2)*A1849,-2*A1849))+E$129*EXP(IF(A1849&lt;0,(10-3)*A1849,-3*A1849))+F$129*EXP(IF(A1849&lt;0,(10-4)*A1849,-4*A1849))+G$129*EXP(IF(A1849&lt;0,(10-5)*A1849,-5*A1849))+H$129*EXP(IF(A1849&lt;0,(10-6)*A1849,-6*A1849))+I$129*EXP(IF(A1849&lt;0,(10-7)*A1849,-7*A1849))+J$129*EXP(IF(A1849&lt;0,(10-8)*A1849,-8*A1849))+K$129*EXP(IF(A1849&lt;0,(10-9)*A1849,-9*A1849))+L$129*EXP(IF(A1849&lt;0,(10-10)*A1849,-10*A1849)),0)</x:f>
        <x:v>781748.0144020558</x:v>
      </x:c>
      <x:c r="C1849" s="256" t="n">
        <x:f>IF(B1849=0,IF(B1848=0,0,1),IF(B1848=0,0,IF(SIGN(B1849)&lt;&gt;SIGN(B1848),1,0)))</x:f>
        <x:v>0</x:v>
      </x:c>
      <x:c r="D1849" s="256" t="n">
        <x:f>EXP(A1849-0.005)-1</x:f>
        <x:v>-0.9999332796130286</x:v>
      </x:c>
    </x:row>
    <x:row r="1850" ht="20" customHeight="1">
      <x:c r="A1850" s="256" t="n">
        <x:f>-12+240*0.01</x:f>
        <x:v>-9.6</x:v>
      </x:c>
      <x:c r="B1850" s="256" t="n">
        <x:f>IF(COUNT($B$129:$L$129)=11,B$129*EXP(IF(A1850&lt;0,(10-0)*A1850,-0*A1850))+C$129*EXP(IF(A1850&lt;0,(10-1)*A1850,-1*A1850))+D$129*EXP(IF(A1850&lt;0,(10-2)*A1850,-2*A1850))+E$129*EXP(IF(A1850&lt;0,(10-3)*A1850,-3*A1850))+F$129*EXP(IF(A1850&lt;0,(10-4)*A1850,-4*A1850))+G$129*EXP(IF(A1850&lt;0,(10-5)*A1850,-5*A1850))+H$129*EXP(IF(A1850&lt;0,(10-6)*A1850,-6*A1850))+I$129*EXP(IF(A1850&lt;0,(10-7)*A1850,-7*A1850))+J$129*EXP(IF(A1850&lt;0,(10-8)*A1850,-8*A1850))+K$129*EXP(IF(A1850&lt;0,(10-9)*A1850,-9*A1850))+L$129*EXP(IF(A1850&lt;0,(10-10)*A1850,-10*A1850)),0)</x:f>
        <x:v>781748.0228887452</x:v>
      </x:c>
      <x:c r="C1850" s="256" t="n">
        <x:f>IF(B1850=0,IF(B1849=0,0,1),IF(B1849=0,0,IF(SIGN(B1850)&lt;&gt;SIGN(B1849),1,0)))</x:f>
        <x:v>0</x:v>
      </x:c>
      <x:c r="D1850" s="256" t="n">
        <x:f>EXP(A1850-0.005)-1</x:f>
        <x:v>-0.9999326090619917</x:v>
      </x:c>
    </x:row>
    <x:row r="1851" ht="20" customHeight="1">
      <x:c r="A1851" s="256" t="n">
        <x:f>-12+241*0.01</x:f>
        <x:v>-9.59</x:v>
      </x:c>
      <x:c r="B1851" s="256" t="n">
        <x:f>IF(COUNT($B$129:$L$129)=11,B$129*EXP(IF(A1851&lt;0,(10-0)*A1851,-0*A1851))+C$129*EXP(IF(A1851&lt;0,(10-1)*A1851,-1*A1851))+D$129*EXP(IF(A1851&lt;0,(10-2)*A1851,-2*A1851))+E$129*EXP(IF(A1851&lt;0,(10-3)*A1851,-3*A1851))+F$129*EXP(IF(A1851&lt;0,(10-4)*A1851,-4*A1851))+G$129*EXP(IF(A1851&lt;0,(10-5)*A1851,-5*A1851))+H$129*EXP(IF(A1851&lt;0,(10-6)*A1851,-6*A1851))+I$129*EXP(IF(A1851&lt;0,(10-7)*A1851,-7*A1851))+J$129*EXP(IF(A1851&lt;0,(10-8)*A1851,-8*A1851))+K$129*EXP(IF(A1851&lt;0,(10-9)*A1851,-9*A1851))+L$129*EXP(IF(A1851&lt;0,(10-10)*A1851,-10*A1851)),0)</x:f>
        <x:v>781748.031460736</x:v>
      </x:c>
      <x:c r="C1851" s="256" t="n">
        <x:f>IF(B1851=0,IF(B1850=0,0,1),IF(B1850=0,0,IF(SIGN(B1851)&lt;&gt;SIGN(B1850),1,0)))</x:f>
        <x:v>0</x:v>
      </x:c>
      <x:c r="D1851" s="256" t="n">
        <x:f>EXP(A1851-0.005)-1</x:f>
        <x:v>-0.9999319317718047</x:v>
      </x:c>
    </x:row>
    <x:row r="1852" ht="20" customHeight="1">
      <x:c r="A1852" s="256" t="n">
        <x:f>-12+242*0.01</x:f>
        <x:v>-9.58</x:v>
      </x:c>
      <x:c r="B1852" s="256" t="n">
        <x:f>IF(COUNT($B$129:$L$129)=11,B$129*EXP(IF(A1852&lt;0,(10-0)*A1852,-0*A1852))+C$129*EXP(IF(A1852&lt;0,(10-1)*A1852,-1*A1852))+D$129*EXP(IF(A1852&lt;0,(10-2)*A1852,-2*A1852))+E$129*EXP(IF(A1852&lt;0,(10-3)*A1852,-3*A1852))+F$129*EXP(IF(A1852&lt;0,(10-4)*A1852,-4*A1852))+G$129*EXP(IF(A1852&lt;0,(10-5)*A1852,-5*A1852))+H$129*EXP(IF(A1852&lt;0,(10-6)*A1852,-6*A1852))+I$129*EXP(IF(A1852&lt;0,(10-7)*A1852,-7*A1852))+J$129*EXP(IF(A1852&lt;0,(10-8)*A1852,-8*A1852))+K$129*EXP(IF(A1852&lt;0,(10-9)*A1852,-9*A1852))+L$129*EXP(IF(A1852&lt;0,(10-10)*A1852,-10*A1852)),0)</x:f>
        <x:v>781748.0401188857</x:v>
      </x:c>
      <x:c r="C1852" s="256" t="n">
        <x:f>IF(B1852=0,IF(B1851=0,0,1),IF(B1851=0,0,IF(SIGN(B1852)&lt;&gt;SIGN(B1851),1,0)))</x:f>
        <x:v>0</x:v>
      </x:c>
      <x:c r="D1852" s="256" t="n">
        <x:f>EXP(A1852-0.005)-1</x:f>
        <x:v>-0.9999312476747382</x:v>
      </x:c>
    </x:row>
    <x:row r="1853" ht="20" customHeight="1">
      <x:c r="A1853" s="256" t="n">
        <x:f>-12+243*0.01</x:f>
        <x:v>-9.57</x:v>
      </x:c>
      <x:c r="B1853" s="256" t="n">
        <x:f>IF(COUNT($B$129:$L$129)=11,B$129*EXP(IF(A1853&lt;0,(10-0)*A1853,-0*A1853))+C$129*EXP(IF(A1853&lt;0,(10-1)*A1853,-1*A1853))+D$129*EXP(IF(A1853&lt;0,(10-2)*A1853,-2*A1853))+E$129*EXP(IF(A1853&lt;0,(10-3)*A1853,-3*A1853))+F$129*EXP(IF(A1853&lt;0,(10-4)*A1853,-4*A1853))+G$129*EXP(IF(A1853&lt;0,(10-5)*A1853,-5*A1853))+H$129*EXP(IF(A1853&lt;0,(10-6)*A1853,-6*A1853))+I$129*EXP(IF(A1853&lt;0,(10-7)*A1853,-7*A1853))+J$129*EXP(IF(A1853&lt;0,(10-8)*A1853,-8*A1853))+K$129*EXP(IF(A1853&lt;0,(10-9)*A1853,-9*A1853))+L$129*EXP(IF(A1853&lt;0,(10-10)*A1853,-10*A1853)),0)</x:f>
        <x:v>781748.0488640605</x:v>
      </x:c>
      <x:c r="C1853" s="256" t="n">
        <x:f>IF(B1853=0,IF(B1852=0,0,1),IF(B1852=0,0,IF(SIGN(B1853)&lt;&gt;SIGN(B1852),1,0)))</x:f>
        <x:v>0</x:v>
      </x:c>
      <x:c r="D1853" s="256" t="n">
        <x:f>EXP(A1853-0.005)-1</x:f>
        <x:v>-0.999930556702382</x:v>
      </x:c>
    </x:row>
    <x:row r="1854" ht="20" customHeight="1">
      <x:c r="A1854" s="256" t="n">
        <x:f>-12+244*0.01</x:f>
        <x:v>-9.56</x:v>
      </x:c>
      <x:c r="B1854" s="256" t="n">
        <x:f>IF(COUNT($B$129:$L$129)=11,B$129*EXP(IF(A1854&lt;0,(10-0)*A1854,-0*A1854))+C$129*EXP(IF(A1854&lt;0,(10-1)*A1854,-1*A1854))+D$129*EXP(IF(A1854&lt;0,(10-2)*A1854,-2*A1854))+E$129*EXP(IF(A1854&lt;0,(10-3)*A1854,-3*A1854))+F$129*EXP(IF(A1854&lt;0,(10-4)*A1854,-4*A1854))+G$129*EXP(IF(A1854&lt;0,(10-5)*A1854,-5*A1854))+H$129*EXP(IF(A1854&lt;0,(10-6)*A1854,-6*A1854))+I$129*EXP(IF(A1854&lt;0,(10-7)*A1854,-7*A1854))+J$129*EXP(IF(A1854&lt;0,(10-8)*A1854,-8*A1854))+K$129*EXP(IF(A1854&lt;0,(10-9)*A1854,-9*A1854))+L$129*EXP(IF(A1854&lt;0,(10-10)*A1854,-10*A1854)),0)</x:f>
        <x:v>781748.0576971353</x:v>
      </x:c>
      <x:c r="C1854" s="256" t="n">
        <x:f>IF(B1854=0,IF(B1853=0,0,1),IF(B1853=0,0,IF(SIGN(B1854)&lt;&gt;SIGN(B1853),1,0)))</x:f>
        <x:v>0</x:v>
      </x:c>
      <x:c r="D1854" s="256" t="n">
        <x:f>EXP(A1854-0.005)-1</x:f>
        <x:v>-0.999929858785638</x:v>
      </x:c>
    </x:row>
    <x:row r="1855" ht="20" customHeight="1">
      <x:c r="A1855" s="256" t="n">
        <x:f>-12+245*0.01</x:f>
        <x:v>-9.55</x:v>
      </x:c>
      <x:c r="B1855" s="256" t="n">
        <x:f>IF(COUNT($B$129:$L$129)=11,B$129*EXP(IF(A1855&lt;0,(10-0)*A1855,-0*A1855))+C$129*EXP(IF(A1855&lt;0,(10-1)*A1855,-1*A1855))+D$129*EXP(IF(A1855&lt;0,(10-2)*A1855,-2*A1855))+E$129*EXP(IF(A1855&lt;0,(10-3)*A1855,-3*A1855))+F$129*EXP(IF(A1855&lt;0,(10-4)*A1855,-4*A1855))+G$129*EXP(IF(A1855&lt;0,(10-5)*A1855,-5*A1855))+H$129*EXP(IF(A1855&lt;0,(10-6)*A1855,-6*A1855))+I$129*EXP(IF(A1855&lt;0,(10-7)*A1855,-7*A1855))+J$129*EXP(IF(A1855&lt;0,(10-8)*A1855,-8*A1855))+K$129*EXP(IF(A1855&lt;0,(10-9)*A1855,-9*A1855))+L$129*EXP(IF(A1855&lt;0,(10-10)*A1855,-10*A1855)),0)</x:f>
        <x:v>781748.0666189934</x:v>
      </x:c>
      <x:c r="C1855" s="256" t="n">
        <x:f>IF(B1855=0,IF(B1854=0,0,1),IF(B1854=0,0,IF(SIGN(B1855)&lt;&gt;SIGN(B1854),1,0)))</x:f>
        <x:v>0</x:v>
      </x:c>
      <x:c r="D1855" s="256" t="n">
        <x:f>EXP(A1855-0.005)-1</x:f>
        <x:v>-0.9999291538547141</x:v>
      </x:c>
    </x:row>
    <x:row r="1856" ht="20" customHeight="1">
      <x:c r="A1856" s="256" t="n">
        <x:f>-12+246*0.01</x:f>
        <x:v>-9.54</x:v>
      </x:c>
      <x:c r="B1856" s="256" t="n">
        <x:f>IF(COUNT($B$129:$L$129)=11,B$129*EXP(IF(A1856&lt;0,(10-0)*A1856,-0*A1856))+C$129*EXP(IF(A1856&lt;0,(10-1)*A1856,-1*A1856))+D$129*EXP(IF(A1856&lt;0,(10-2)*A1856,-2*A1856))+E$129*EXP(IF(A1856&lt;0,(10-3)*A1856,-3*A1856))+F$129*EXP(IF(A1856&lt;0,(10-4)*A1856,-4*A1856))+G$129*EXP(IF(A1856&lt;0,(10-5)*A1856,-5*A1856))+H$129*EXP(IF(A1856&lt;0,(10-6)*A1856,-6*A1856))+I$129*EXP(IF(A1856&lt;0,(10-7)*A1856,-7*A1856))+J$129*EXP(IF(A1856&lt;0,(10-8)*A1856,-8*A1856))+K$129*EXP(IF(A1856&lt;0,(10-9)*A1856,-9*A1856))+L$129*EXP(IF(A1856&lt;0,(10-10)*A1856,-10*A1856)),0)</x:f>
        <x:v>781748.0756305276</x:v>
      </x:c>
      <x:c r="C1856" s="256" t="n">
        <x:f>IF(B1856=0,IF(B1855=0,0,1),IF(B1855=0,0,IF(SIGN(B1856)&lt;&gt;SIGN(B1855),1,0)))</x:f>
        <x:v>0</x:v>
      </x:c>
      <x:c r="D1856" s="256" t="n">
        <x:f>EXP(A1856-0.005)-1</x:f>
        <x:v>-0.9999284418391168</x:v>
      </x:c>
    </x:row>
    <x:row r="1857" ht="20" customHeight="1">
      <x:c r="A1857" s="256" t="n">
        <x:f>-12+247*0.01</x:f>
        <x:v>-9.53</x:v>
      </x:c>
      <x:c r="B1857" s="256" t="n">
        <x:f>IF(COUNT($B$129:$L$129)=11,B$129*EXP(IF(A1857&lt;0,(10-0)*A1857,-0*A1857))+C$129*EXP(IF(A1857&lt;0,(10-1)*A1857,-1*A1857))+D$129*EXP(IF(A1857&lt;0,(10-2)*A1857,-2*A1857))+E$129*EXP(IF(A1857&lt;0,(10-3)*A1857,-3*A1857))+F$129*EXP(IF(A1857&lt;0,(10-4)*A1857,-4*A1857))+G$129*EXP(IF(A1857&lt;0,(10-5)*A1857,-5*A1857))+H$129*EXP(IF(A1857&lt;0,(10-6)*A1857,-6*A1857))+I$129*EXP(IF(A1857&lt;0,(10-7)*A1857,-7*A1857))+J$129*EXP(IF(A1857&lt;0,(10-8)*A1857,-8*A1857))+K$129*EXP(IF(A1857&lt;0,(10-9)*A1857,-9*A1857))+L$129*EXP(IF(A1857&lt;0,(10-10)*A1857,-10*A1857)),0)</x:f>
        <x:v>781748.084732639</x:v>
      </x:c>
      <x:c r="C1857" s="256" t="n">
        <x:f>IF(B1857=0,IF(B1856=0,0,1),IF(B1856=0,0,IF(SIGN(B1857)&lt;&gt;SIGN(B1856),1,0)))</x:f>
        <x:v>0</x:v>
      </x:c>
      <x:c r="D1857" s="256" t="n">
        <x:f>EXP(A1857-0.005)-1</x:f>
        <x:v>-0.9999277226676436</x:v>
      </x:c>
    </x:row>
    <x:row r="1858" ht="20" customHeight="1">
      <x:c r="A1858" s="256" t="n">
        <x:f>-12+248*0.01</x:f>
        <x:v>-9.52</x:v>
      </x:c>
      <x:c r="B1858" s="256" t="n">
        <x:f>IF(COUNT($B$129:$L$129)=11,B$129*EXP(IF(A1858&lt;0,(10-0)*A1858,-0*A1858))+C$129*EXP(IF(A1858&lt;0,(10-1)*A1858,-1*A1858))+D$129*EXP(IF(A1858&lt;0,(10-2)*A1858,-2*A1858))+E$129*EXP(IF(A1858&lt;0,(10-3)*A1858,-3*A1858))+F$129*EXP(IF(A1858&lt;0,(10-4)*A1858,-4*A1858))+G$129*EXP(IF(A1858&lt;0,(10-5)*A1858,-5*A1858))+H$129*EXP(IF(A1858&lt;0,(10-6)*A1858,-6*A1858))+I$129*EXP(IF(A1858&lt;0,(10-7)*A1858,-7*A1858))+J$129*EXP(IF(A1858&lt;0,(10-8)*A1858,-8*A1858))+K$129*EXP(IF(A1858&lt;0,(10-9)*A1858,-9*A1858))+L$129*EXP(IF(A1858&lt;0,(10-10)*A1858,-10*A1858)),0)</x:f>
        <x:v>781748.0939262385</x:v>
      </x:c>
      <x:c r="C1858" s="256" t="n">
        <x:f>IF(B1858=0,IF(B1857=0,0,1),IF(B1857=0,0,IF(SIGN(B1858)&lt;&gt;SIGN(B1857),1,0)))</x:f>
        <x:v>0</x:v>
      </x:c>
      <x:c r="D1858" s="256" t="n">
        <x:f>EXP(A1858-0.005)-1</x:f>
        <x:v>-0.9999269962683771</x:v>
      </x:c>
    </x:row>
    <x:row r="1859" ht="20" customHeight="1">
      <x:c r="A1859" s="256" t="n">
        <x:f>-12+249*0.01</x:f>
        <x:v>-9.51</x:v>
      </x:c>
      <x:c r="B1859" s="256" t="n">
        <x:f>IF(COUNT($B$129:$L$129)=11,B$129*EXP(IF(A1859&lt;0,(10-0)*A1859,-0*A1859))+C$129*EXP(IF(A1859&lt;0,(10-1)*A1859,-1*A1859))+D$129*EXP(IF(A1859&lt;0,(10-2)*A1859,-2*A1859))+E$129*EXP(IF(A1859&lt;0,(10-3)*A1859,-3*A1859))+F$129*EXP(IF(A1859&lt;0,(10-4)*A1859,-4*A1859))+G$129*EXP(IF(A1859&lt;0,(10-5)*A1859,-5*A1859))+H$129*EXP(IF(A1859&lt;0,(10-6)*A1859,-6*A1859))+I$129*EXP(IF(A1859&lt;0,(10-7)*A1859,-7*A1859))+J$129*EXP(IF(A1859&lt;0,(10-8)*A1859,-8*A1859))+K$129*EXP(IF(A1859&lt;0,(10-9)*A1859,-9*A1859))+L$129*EXP(IF(A1859&lt;0,(10-10)*A1859,-10*A1859)),0)</x:f>
        <x:v>781748.1032122455</x:v>
      </x:c>
      <x:c r="C1859" s="256" t="n">
        <x:f>IF(B1859=0,IF(B1858=0,0,1),IF(B1858=0,0,IF(SIGN(B1859)&lt;&gt;SIGN(B1858),1,0)))</x:f>
        <x:v>0</x:v>
      </x:c>
      <x:c r="D1859" s="256" t="n">
        <x:f>EXP(A1859-0.005)-1</x:f>
        <x:v>-0.9999262625686764</x:v>
      </x:c>
    </x:row>
    <x:row r="1860" ht="20" customHeight="1">
      <x:c r="A1860" s="256" t="n">
        <x:f>-12+250*0.01</x:f>
        <x:v>-9.5</x:v>
      </x:c>
      <x:c r="B1860" s="256" t="n">
        <x:f>IF(COUNT($B$129:$L$129)=11,B$129*EXP(IF(A1860&lt;0,(10-0)*A1860,-0*A1860))+C$129*EXP(IF(A1860&lt;0,(10-1)*A1860,-1*A1860))+D$129*EXP(IF(A1860&lt;0,(10-2)*A1860,-2*A1860))+E$129*EXP(IF(A1860&lt;0,(10-3)*A1860,-3*A1860))+F$129*EXP(IF(A1860&lt;0,(10-4)*A1860,-4*A1860))+G$129*EXP(IF(A1860&lt;0,(10-5)*A1860,-5*A1860))+H$129*EXP(IF(A1860&lt;0,(10-6)*A1860,-6*A1860))+I$129*EXP(IF(A1860&lt;0,(10-7)*A1860,-7*A1860))+J$129*EXP(IF(A1860&lt;0,(10-8)*A1860,-8*A1860))+K$129*EXP(IF(A1860&lt;0,(10-9)*A1860,-9*A1860))+L$129*EXP(IF(A1860&lt;0,(10-10)*A1860,-10*A1860)),0)</x:f>
        <x:v>781748.112591589</x:v>
      </x:c>
      <x:c r="C1860" s="256" t="n">
        <x:f>IF(B1860=0,IF(B1859=0,0,1),IF(B1859=0,0,IF(SIGN(B1860)&lt;&gt;SIGN(B1859),1,0)))</x:f>
        <x:v>0</x:v>
      </x:c>
      <x:c r="D1860" s="256" t="n">
        <x:f>EXP(A1860-0.005)-1</x:f>
        <x:v>-0.9999255214951713</x:v>
      </x:c>
    </x:row>
    <x:row r="1861" ht="20" customHeight="1">
      <x:c r="A1861" s="256" t="n">
        <x:f>-12+251*0.01</x:f>
        <x:v>-9.49</x:v>
      </x:c>
      <x:c r="B1861" s="256" t="n">
        <x:f>IF(COUNT($B$129:$L$129)=11,B$129*EXP(IF(A1861&lt;0,(10-0)*A1861,-0*A1861))+C$129*EXP(IF(A1861&lt;0,(10-1)*A1861,-1*A1861))+D$129*EXP(IF(A1861&lt;0,(10-2)*A1861,-2*A1861))+E$129*EXP(IF(A1861&lt;0,(10-3)*A1861,-3*A1861))+F$129*EXP(IF(A1861&lt;0,(10-4)*A1861,-4*A1861))+G$129*EXP(IF(A1861&lt;0,(10-5)*A1861,-5*A1861))+H$129*EXP(IF(A1861&lt;0,(10-6)*A1861,-6*A1861))+I$129*EXP(IF(A1861&lt;0,(10-7)*A1861,-7*A1861))+J$129*EXP(IF(A1861&lt;0,(10-8)*A1861,-8*A1861))+K$129*EXP(IF(A1861&lt;0,(10-9)*A1861,-9*A1861))+L$129*EXP(IF(A1861&lt;0,(10-10)*A1861,-10*A1861)),0)</x:f>
        <x:v>781748.1220652073</x:v>
      </x:c>
      <x:c r="C1861" s="256" t="n">
        <x:f>IF(B1861=0,IF(B1860=0,0,1),IF(B1860=0,0,IF(SIGN(B1861)&lt;&gt;SIGN(B1860),1,0)))</x:f>
        <x:v>0</x:v>
      </x:c>
      <x:c r="D1861" s="256" t="n">
        <x:f>EXP(A1861-0.005)-1</x:f>
        <x:v>-0.9999247729737536</x:v>
      </x:c>
    </x:row>
    <x:row r="1862" ht="20" customHeight="1">
      <x:c r="A1862" s="256" t="n">
        <x:f>-12+252*0.01</x:f>
        <x:v>-9.48</x:v>
      </x:c>
      <x:c r="B1862" s="256" t="n">
        <x:f>IF(COUNT($B$129:$L$129)=11,B$129*EXP(IF(A1862&lt;0,(10-0)*A1862,-0*A1862))+C$129*EXP(IF(A1862&lt;0,(10-1)*A1862,-1*A1862))+D$129*EXP(IF(A1862&lt;0,(10-2)*A1862,-2*A1862))+E$129*EXP(IF(A1862&lt;0,(10-3)*A1862,-3*A1862))+F$129*EXP(IF(A1862&lt;0,(10-4)*A1862,-4*A1862))+G$129*EXP(IF(A1862&lt;0,(10-5)*A1862,-5*A1862))+H$129*EXP(IF(A1862&lt;0,(10-6)*A1862,-6*A1862))+I$129*EXP(IF(A1862&lt;0,(10-7)*A1862,-7*A1862))+J$129*EXP(IF(A1862&lt;0,(10-8)*A1862,-8*A1862))+K$129*EXP(IF(A1862&lt;0,(10-9)*A1862,-9*A1862))+L$129*EXP(IF(A1862&lt;0,(10-10)*A1862,-10*A1862)),0)</x:f>
        <x:v>781748.1316340481</x:v>
      </x:c>
      <x:c r="C1862" s="256" t="n">
        <x:f>IF(B1862=0,IF(B1861=0,0,1),IF(B1861=0,0,IF(SIGN(B1862)&lt;&gt;SIGN(B1861),1,0)))</x:f>
        <x:v>0</x:v>
      </x:c>
      <x:c r="D1862" s="256" t="n">
        <x:f>EXP(A1862-0.005)-1</x:f>
        <x:v>-0.9999240169295706</x:v>
      </x:c>
    </x:row>
    <x:row r="1863" ht="20" customHeight="1">
      <x:c r="A1863" s="256" t="n">
        <x:f>-12+253*0.01</x:f>
        <x:v>-9.469999999999999</x:v>
      </x:c>
      <x:c r="B1863" s="256" t="n">
        <x:f>IF(COUNT($B$129:$L$129)=11,B$129*EXP(IF(A1863&lt;0,(10-0)*A1863,-0*A1863))+C$129*EXP(IF(A1863&lt;0,(10-1)*A1863,-1*A1863))+D$129*EXP(IF(A1863&lt;0,(10-2)*A1863,-2*A1863))+E$129*EXP(IF(A1863&lt;0,(10-3)*A1863,-3*A1863))+F$129*EXP(IF(A1863&lt;0,(10-4)*A1863,-4*A1863))+G$129*EXP(IF(A1863&lt;0,(10-5)*A1863,-5*A1863))+H$129*EXP(IF(A1863&lt;0,(10-6)*A1863,-6*A1863))+I$129*EXP(IF(A1863&lt;0,(10-7)*A1863,-7*A1863))+J$129*EXP(IF(A1863&lt;0,(10-8)*A1863,-8*A1863))+K$129*EXP(IF(A1863&lt;0,(10-9)*A1863,-9*A1863))+L$129*EXP(IF(A1863&lt;0,(10-10)*A1863,-10*A1863)),0)</x:f>
        <x:v>781748.1412990686</x:v>
      </x:c>
      <x:c r="C1863" s="256" t="n">
        <x:f>IF(B1863=0,IF(B1862=0,0,1),IF(B1862=0,0,IF(SIGN(B1863)&lt;&gt;SIGN(B1862),1,0)))</x:f>
        <x:v>0</x:v>
      </x:c>
      <x:c r="D1863" s="256" t="n">
        <x:f>EXP(A1863-0.005)-1</x:f>
        <x:v>-0.9999232532870173</x:v>
      </x:c>
    </x:row>
    <x:row r="1864" ht="20" customHeight="1">
      <x:c r="A1864" s="256" t="n">
        <x:f>-12+254*0.01</x:f>
        <x:v>-9.46</x:v>
      </x:c>
      <x:c r="B1864" s="256" t="n">
        <x:f>IF(COUNT($B$129:$L$129)=11,B$129*EXP(IF(A1864&lt;0,(10-0)*A1864,-0*A1864))+C$129*EXP(IF(A1864&lt;0,(10-1)*A1864,-1*A1864))+D$129*EXP(IF(A1864&lt;0,(10-2)*A1864,-2*A1864))+E$129*EXP(IF(A1864&lt;0,(10-3)*A1864,-3*A1864))+F$129*EXP(IF(A1864&lt;0,(10-4)*A1864,-4*A1864))+G$129*EXP(IF(A1864&lt;0,(10-5)*A1864,-5*A1864))+H$129*EXP(IF(A1864&lt;0,(10-6)*A1864,-6*A1864))+I$129*EXP(IF(A1864&lt;0,(10-7)*A1864,-7*A1864))+J$129*EXP(IF(A1864&lt;0,(10-8)*A1864,-8*A1864))+K$129*EXP(IF(A1864&lt;0,(10-9)*A1864,-9*A1864))+L$129*EXP(IF(A1864&lt;0,(10-10)*A1864,-10*A1864)),0)</x:f>
        <x:v>781748.1510612356</x:v>
      </x:c>
      <x:c r="C1864" s="256" t="n">
        <x:f>IF(B1864=0,IF(B1863=0,0,1),IF(B1863=0,0,IF(SIGN(B1864)&lt;&gt;SIGN(B1863),1,0)))</x:f>
        <x:v>0</x:v>
      </x:c>
      <x:c r="D1864" s="256" t="n">
        <x:f>EXP(A1864-0.005)-1</x:f>
        <x:v>-0.9999224819697285</x:v>
      </x:c>
    </x:row>
    <x:row r="1865" ht="20" customHeight="1">
      <x:c r="A1865" s="256" t="n">
        <x:f>-12+255*0.01</x:f>
        <x:v>-9.45</x:v>
      </x:c>
      <x:c r="B1865" s="256" t="n">
        <x:f>IF(COUNT($B$129:$L$129)=11,B$129*EXP(IF(A1865&lt;0,(10-0)*A1865,-0*A1865))+C$129*EXP(IF(A1865&lt;0,(10-1)*A1865,-1*A1865))+D$129*EXP(IF(A1865&lt;0,(10-2)*A1865,-2*A1865))+E$129*EXP(IF(A1865&lt;0,(10-3)*A1865,-3*A1865))+F$129*EXP(IF(A1865&lt;0,(10-4)*A1865,-4*A1865))+G$129*EXP(IF(A1865&lt;0,(10-5)*A1865,-5*A1865))+H$129*EXP(IF(A1865&lt;0,(10-6)*A1865,-6*A1865))+I$129*EXP(IF(A1865&lt;0,(10-7)*A1865,-7*A1865))+J$129*EXP(IF(A1865&lt;0,(10-8)*A1865,-8*A1865))+K$129*EXP(IF(A1865&lt;0,(10-9)*A1865,-9*A1865))+L$129*EXP(IF(A1865&lt;0,(10-10)*A1865,-10*A1865)),0)</x:f>
        <x:v>781748.1609215257</x:v>
      </x:c>
      <x:c r="C1865" s="256" t="n">
        <x:f>IF(B1865=0,IF(B1864=0,0,1),IF(B1864=0,0,IF(SIGN(B1865)&lt;&gt;SIGN(B1864),1,0)))</x:f>
        <x:v>0</x:v>
      </x:c>
      <x:c r="D1865" s="256" t="n">
        <x:f>EXP(A1865-0.005)-1</x:f>
        <x:v>-0.9999217029005724</x:v>
      </x:c>
    </x:row>
    <x:row r="1866" ht="20" customHeight="1">
      <x:c r="A1866" s="256" t="n">
        <x:f>-12+256*0.01</x:f>
        <x:v>-9.44</x:v>
      </x:c>
      <x:c r="B1866" s="256" t="n">
        <x:f>IF(COUNT($B$129:$L$129)=11,B$129*EXP(IF(A1866&lt;0,(10-0)*A1866,-0*A1866))+C$129*EXP(IF(A1866&lt;0,(10-1)*A1866,-1*A1866))+D$129*EXP(IF(A1866&lt;0,(10-2)*A1866,-2*A1866))+E$129*EXP(IF(A1866&lt;0,(10-3)*A1866,-3*A1866))+F$129*EXP(IF(A1866&lt;0,(10-4)*A1866,-4*A1866))+G$129*EXP(IF(A1866&lt;0,(10-5)*A1866,-5*A1866))+H$129*EXP(IF(A1866&lt;0,(10-6)*A1866,-6*A1866))+I$129*EXP(IF(A1866&lt;0,(10-7)*A1866,-7*A1866))+J$129*EXP(IF(A1866&lt;0,(10-8)*A1866,-8*A1866))+K$129*EXP(IF(A1866&lt;0,(10-9)*A1866,-9*A1866))+L$129*EXP(IF(A1866&lt;0,(10-10)*A1866,-10*A1866)),0)</x:f>
        <x:v>781748.1708809254</x:v>
      </x:c>
      <x:c r="C1866" s="256" t="n">
        <x:f>IF(B1866=0,IF(B1865=0,0,1),IF(B1865=0,0,IF(SIGN(B1866)&lt;&gt;SIGN(B1865),1,0)))</x:f>
        <x:v>0</x:v>
      </x:c>
      <x:c r="D1866" s="256" t="n">
        <x:f>EXP(A1866-0.005)-1</x:f>
        <x:v>-0.9999209160016409</x:v>
      </x:c>
    </x:row>
    <x:row r="1867" ht="20" customHeight="1">
      <x:c r="A1867" s="256" t="n">
        <x:f>-12+257*0.01</x:f>
        <x:v>-9.43</x:v>
      </x:c>
      <x:c r="B1867" s="256" t="n">
        <x:f>IF(COUNT($B$129:$L$129)=11,B$129*EXP(IF(A1867&lt;0,(10-0)*A1867,-0*A1867))+C$129*EXP(IF(A1867&lt;0,(10-1)*A1867,-1*A1867))+D$129*EXP(IF(A1867&lt;0,(10-2)*A1867,-2*A1867))+E$129*EXP(IF(A1867&lt;0,(10-3)*A1867,-3*A1867))+F$129*EXP(IF(A1867&lt;0,(10-4)*A1867,-4*A1867))+G$129*EXP(IF(A1867&lt;0,(10-5)*A1867,-5*A1867))+H$129*EXP(IF(A1867&lt;0,(10-6)*A1867,-6*A1867))+I$129*EXP(IF(A1867&lt;0,(10-7)*A1867,-7*A1867))+J$129*EXP(IF(A1867&lt;0,(10-8)*A1867,-8*A1867))+K$129*EXP(IF(A1867&lt;0,(10-9)*A1867,-9*A1867))+L$129*EXP(IF(A1867&lt;0,(10-10)*A1867,-10*A1867)),0)</x:f>
        <x:v>781748.1809404308</x:v>
      </x:c>
      <x:c r="C1867" s="256" t="n">
        <x:f>IF(B1867=0,IF(B1866=0,0,1),IF(B1866=0,0,IF(SIGN(B1867)&lt;&gt;SIGN(B1866),1,0)))</x:f>
        <x:v>0</x:v>
      </x:c>
      <x:c r="D1867" s="256" t="n">
        <x:f>EXP(A1867-0.005)-1</x:f>
        <x:v>-0.9999201211942437</x:v>
      </x:c>
    </x:row>
    <x:row r="1868" ht="20" customHeight="1">
      <x:c r="A1868" s="256" t="n">
        <x:f>-12+258*0.01</x:f>
        <x:v>-9.42</x:v>
      </x:c>
      <x:c r="B1868" s="256" t="n">
        <x:f>IF(COUNT($B$129:$L$129)=11,B$129*EXP(IF(A1868&lt;0,(10-0)*A1868,-0*A1868))+C$129*EXP(IF(A1868&lt;0,(10-1)*A1868,-1*A1868))+D$129*EXP(IF(A1868&lt;0,(10-2)*A1868,-2*A1868))+E$129*EXP(IF(A1868&lt;0,(10-3)*A1868,-3*A1868))+F$129*EXP(IF(A1868&lt;0,(10-4)*A1868,-4*A1868))+G$129*EXP(IF(A1868&lt;0,(10-5)*A1868,-5*A1868))+H$129*EXP(IF(A1868&lt;0,(10-6)*A1868,-6*A1868))+I$129*EXP(IF(A1868&lt;0,(10-7)*A1868,-7*A1868))+J$129*EXP(IF(A1868&lt;0,(10-8)*A1868,-8*A1868))+K$129*EXP(IF(A1868&lt;0,(10-9)*A1868,-9*A1868))+L$129*EXP(IF(A1868&lt;0,(10-10)*A1868,-10*A1868)),0)</x:f>
        <x:v>781748.1911010484</x:v>
      </x:c>
      <x:c r="C1868" s="256" t="n">
        <x:f>IF(B1868=0,IF(B1867=0,0,1),IF(B1867=0,0,IF(SIGN(B1868)&lt;&gt;SIGN(B1867),1,0)))</x:f>
        <x:v>0</x:v>
      </x:c>
      <x:c r="D1868" s="256" t="n">
        <x:f>EXP(A1868-0.005)-1</x:f>
        <x:v>-0.9999193183988994</x:v>
      </x:c>
    </x:row>
    <x:row r="1869" ht="20" customHeight="1">
      <x:c r="A1869" s="256" t="n">
        <x:f>-12+259*0.01</x:f>
        <x:v>-9.41</x:v>
      </x:c>
      <x:c r="B1869" s="256" t="n">
        <x:f>IF(COUNT($B$129:$L$129)=11,B$129*EXP(IF(A1869&lt;0,(10-0)*A1869,-0*A1869))+C$129*EXP(IF(A1869&lt;0,(10-1)*A1869,-1*A1869))+D$129*EXP(IF(A1869&lt;0,(10-2)*A1869,-2*A1869))+E$129*EXP(IF(A1869&lt;0,(10-3)*A1869,-3*A1869))+F$129*EXP(IF(A1869&lt;0,(10-4)*A1869,-4*A1869))+G$129*EXP(IF(A1869&lt;0,(10-5)*A1869,-5*A1869))+H$129*EXP(IF(A1869&lt;0,(10-6)*A1869,-6*A1869))+I$129*EXP(IF(A1869&lt;0,(10-7)*A1869,-7*A1869))+J$129*EXP(IF(A1869&lt;0,(10-8)*A1869,-8*A1869))+K$129*EXP(IF(A1869&lt;0,(10-9)*A1869,-9*A1869))+L$129*EXP(IF(A1869&lt;0,(10-10)*A1869,-10*A1869)),0)</x:f>
        <x:v>781748.2013637946</x:v>
      </x:c>
      <x:c r="C1869" s="256" t="n">
        <x:f>IF(B1869=0,IF(B1868=0,0,1),IF(B1868=0,0,IF(SIGN(B1869)&lt;&gt;SIGN(B1868),1,0)))</x:f>
        <x:v>0</x:v>
      </x:c>
      <x:c r="D1869" s="256" t="n">
        <x:f>EXP(A1869-0.005)-1</x:f>
        <x:v>-0.9999185075353276</x:v>
      </x:c>
    </x:row>
    <x:row r="1870" ht="20" customHeight="1">
      <x:c r="A1870" s="256" t="n">
        <x:f>-12+260*0.01</x:f>
        <x:v>-9.4</x:v>
      </x:c>
      <x:c r="B1870" s="256" t="n">
        <x:f>IF(COUNT($B$129:$L$129)=11,B$129*EXP(IF(A1870&lt;0,(10-0)*A1870,-0*A1870))+C$129*EXP(IF(A1870&lt;0,(10-1)*A1870,-1*A1870))+D$129*EXP(IF(A1870&lt;0,(10-2)*A1870,-2*A1870))+E$129*EXP(IF(A1870&lt;0,(10-3)*A1870,-3*A1870))+F$129*EXP(IF(A1870&lt;0,(10-4)*A1870,-4*A1870))+G$129*EXP(IF(A1870&lt;0,(10-5)*A1870,-5*A1870))+H$129*EXP(IF(A1870&lt;0,(10-6)*A1870,-6*A1870))+I$129*EXP(IF(A1870&lt;0,(10-7)*A1870,-7*A1870))+J$129*EXP(IF(A1870&lt;0,(10-8)*A1870,-8*A1870))+K$129*EXP(IF(A1870&lt;0,(10-9)*A1870,-9*A1870))+L$129*EXP(IF(A1870&lt;0,(10-10)*A1870,-10*A1870)),0)</x:f>
        <x:v>781748.211729696</x:v>
      </x:c>
      <x:c r="C1870" s="256" t="n">
        <x:f>IF(B1870=0,IF(B1869=0,0,1),IF(B1869=0,0,IF(SIGN(B1870)&lt;&gt;SIGN(B1869),1,0)))</x:f>
        <x:v>0</x:v>
      </x:c>
      <x:c r="D1870" s="256" t="n">
        <x:f>EXP(A1870-0.005)-1</x:f>
        <x:v>-0.9999176885224416</x:v>
      </x:c>
    </x:row>
    <x:row r="1871" ht="20" customHeight="1">
      <x:c r="A1871" s="256" t="n">
        <x:f>-12+261*0.01</x:f>
        <x:v>-9.39</x:v>
      </x:c>
      <x:c r="B1871" s="256" t="n">
        <x:f>IF(COUNT($B$129:$L$129)=11,B$129*EXP(IF(A1871&lt;0,(10-0)*A1871,-0*A1871))+C$129*EXP(IF(A1871&lt;0,(10-1)*A1871,-1*A1871))+D$129*EXP(IF(A1871&lt;0,(10-2)*A1871,-2*A1871))+E$129*EXP(IF(A1871&lt;0,(10-3)*A1871,-3*A1871))+F$129*EXP(IF(A1871&lt;0,(10-4)*A1871,-4*A1871))+G$129*EXP(IF(A1871&lt;0,(10-5)*A1871,-5*A1871))+H$129*EXP(IF(A1871&lt;0,(10-6)*A1871,-6*A1871))+I$129*EXP(IF(A1871&lt;0,(10-7)*A1871,-7*A1871))+J$129*EXP(IF(A1871&lt;0,(10-8)*A1871,-8*A1871))+K$129*EXP(IF(A1871&lt;0,(10-9)*A1871,-9*A1871))+L$129*EXP(IF(A1871&lt;0,(10-10)*A1871,-10*A1871)),0)</x:f>
        <x:v>781748.2221997896</x:v>
      </x:c>
      <x:c r="C1871" s="256" t="n">
        <x:f>IF(B1871=0,IF(B1870=0,0,1),IF(B1870=0,0,IF(SIGN(B1871)&lt;&gt;SIGN(B1870),1,0)))</x:f>
        <x:v>0</x:v>
      </x:c>
      <x:c r="D1871" s="256" t="n">
        <x:f>EXP(A1871-0.005)-1</x:f>
        <x:v>-0.9999168612783392</x:v>
      </x:c>
    </x:row>
    <x:row r="1872" ht="20" customHeight="1">
      <x:c r="A1872" s="256" t="n">
        <x:f>-12+262*0.01</x:f>
        <x:v>-9.379999999999999</x:v>
      </x:c>
      <x:c r="B1872" s="256" t="n">
        <x:f>IF(COUNT($B$129:$L$129)=11,B$129*EXP(IF(A1872&lt;0,(10-0)*A1872,-0*A1872))+C$129*EXP(IF(A1872&lt;0,(10-1)*A1872,-1*A1872))+D$129*EXP(IF(A1872&lt;0,(10-2)*A1872,-2*A1872))+E$129*EXP(IF(A1872&lt;0,(10-3)*A1872,-3*A1872))+F$129*EXP(IF(A1872&lt;0,(10-4)*A1872,-4*A1872))+G$129*EXP(IF(A1872&lt;0,(10-5)*A1872,-5*A1872))+H$129*EXP(IF(A1872&lt;0,(10-6)*A1872,-6*A1872))+I$129*EXP(IF(A1872&lt;0,(10-7)*A1872,-7*A1872))+J$129*EXP(IF(A1872&lt;0,(10-8)*A1872,-8*A1872))+K$129*EXP(IF(A1872&lt;0,(10-9)*A1872,-9*A1872))+L$129*EXP(IF(A1872&lt;0,(10-10)*A1872,-10*A1872)),0)</x:f>
        <x:v>781748.232775123</x:v>
      </x:c>
      <x:c r="C1872" s="256" t="n">
        <x:f>IF(B1872=0,IF(B1871=0,0,1),IF(B1871=0,0,IF(SIGN(B1872)&lt;&gt;SIGN(B1871),1,0)))</x:f>
        <x:v>0</x:v>
      </x:c>
      <x:c r="D1872" s="256" t="n">
        <x:f>EXP(A1872-0.005)-1</x:f>
        <x:v>-0.9999160257202954</x:v>
      </x:c>
    </x:row>
    <x:row r="1873" ht="20" customHeight="1">
      <x:c r="A1873" s="256" t="n">
        <x:f>-12+263*0.01</x:f>
        <x:v>-9.370000000000001</x:v>
      </x:c>
      <x:c r="B1873" s="256" t="n">
        <x:f>IF(COUNT($B$129:$L$129)=11,B$129*EXP(IF(A1873&lt;0,(10-0)*A1873,-0*A1873))+C$129*EXP(IF(A1873&lt;0,(10-1)*A1873,-1*A1873))+D$129*EXP(IF(A1873&lt;0,(10-2)*A1873,-2*A1873))+E$129*EXP(IF(A1873&lt;0,(10-3)*A1873,-3*A1873))+F$129*EXP(IF(A1873&lt;0,(10-4)*A1873,-4*A1873))+G$129*EXP(IF(A1873&lt;0,(10-5)*A1873,-5*A1873))+H$129*EXP(IF(A1873&lt;0,(10-6)*A1873,-6*A1873))+I$129*EXP(IF(A1873&lt;0,(10-7)*A1873,-7*A1873))+J$129*EXP(IF(A1873&lt;0,(10-8)*A1873,-8*A1873))+K$129*EXP(IF(A1873&lt;0,(10-9)*A1873,-9*A1873))+L$129*EXP(IF(A1873&lt;0,(10-10)*A1873,-10*A1873)),0)</x:f>
        <x:v>781748.2434567539</x:v>
      </x:c>
      <x:c r="C1873" s="256" t="n">
        <x:f>IF(B1873=0,IF(B1872=0,0,1),IF(B1872=0,0,IF(SIGN(B1873)&lt;&gt;SIGN(B1872),1,0)))</x:f>
        <x:v>0</x:v>
      </x:c>
      <x:c r="D1873" s="256" t="n">
        <x:f>EXP(A1873-0.005)-1</x:f>
        <x:v>-0.9999151817647536</x:v>
      </x:c>
    </x:row>
    <x:row r="1874" ht="20" customHeight="1">
      <x:c r="A1874" s="256" t="n">
        <x:f>-12+264*0.01</x:f>
        <x:v>-9.36</x:v>
      </x:c>
      <x:c r="B1874" s="256" t="n">
        <x:f>IF(COUNT($B$129:$L$129)=11,B$129*EXP(IF(A1874&lt;0,(10-0)*A1874,-0*A1874))+C$129*EXP(IF(A1874&lt;0,(10-1)*A1874,-1*A1874))+D$129*EXP(IF(A1874&lt;0,(10-2)*A1874,-2*A1874))+E$129*EXP(IF(A1874&lt;0,(10-3)*A1874,-3*A1874))+F$129*EXP(IF(A1874&lt;0,(10-4)*A1874,-4*A1874))+G$129*EXP(IF(A1874&lt;0,(10-5)*A1874,-5*A1874))+H$129*EXP(IF(A1874&lt;0,(10-6)*A1874,-6*A1874))+I$129*EXP(IF(A1874&lt;0,(10-7)*A1874,-7*A1874))+J$129*EXP(IF(A1874&lt;0,(10-8)*A1874,-8*A1874))+K$129*EXP(IF(A1874&lt;0,(10-9)*A1874,-9*A1874))+L$129*EXP(IF(A1874&lt;0,(10-10)*A1874,-10*A1874)),0)</x:f>
        <x:v>781748.254245751</x:v>
      </x:c>
      <x:c r="C1874" s="256" t="n">
        <x:f>IF(B1874=0,IF(B1873=0,0,1),IF(B1873=0,0,IF(SIGN(B1874)&lt;&gt;SIGN(B1873),1,0)))</x:f>
        <x:v>0</x:v>
      </x:c>
      <x:c r="D1874" s="256" t="n">
        <x:f>EXP(A1874-0.005)-1</x:f>
        <x:v>-0.9999143293273175</x:v>
      </x:c>
    </x:row>
    <x:row r="1875" ht="20" customHeight="1">
      <x:c r="A1875" s="256" t="n">
        <x:f>-12+265*0.01</x:f>
        <x:v>-9.35</x:v>
      </x:c>
      <x:c r="B1875" s="256" t="n">
        <x:f>IF(COUNT($B$129:$L$129)=11,B$129*EXP(IF(A1875&lt;0,(10-0)*A1875,-0*A1875))+C$129*EXP(IF(A1875&lt;0,(10-1)*A1875,-1*A1875))+D$129*EXP(IF(A1875&lt;0,(10-2)*A1875,-2*A1875))+E$129*EXP(IF(A1875&lt;0,(10-3)*A1875,-3*A1875))+F$129*EXP(IF(A1875&lt;0,(10-4)*A1875,-4*A1875))+G$129*EXP(IF(A1875&lt;0,(10-5)*A1875,-5*A1875))+H$129*EXP(IF(A1875&lt;0,(10-6)*A1875,-6*A1875))+I$129*EXP(IF(A1875&lt;0,(10-7)*A1875,-7*A1875))+J$129*EXP(IF(A1875&lt;0,(10-8)*A1875,-8*A1875))+K$129*EXP(IF(A1875&lt;0,(10-9)*A1875,-9*A1875))+L$129*EXP(IF(A1875&lt;0,(10-10)*A1875,-10*A1875)),0)</x:f>
        <x:v>781748.2651431937</x:v>
      </x:c>
      <x:c r="C1875" s="256" t="n">
        <x:f>IF(B1875=0,IF(B1874=0,0,1),IF(B1874=0,0,IF(SIGN(B1875)&lt;&gt;SIGN(B1874),1,0)))</x:f>
        <x:v>0</x:v>
      </x:c>
      <x:c r="D1875" s="256" t="n">
        <x:f>EXP(A1875-0.005)-1</x:f>
        <x:v>-0.9999134683227429</x:v>
      </x:c>
    </x:row>
    <x:row r="1876" ht="20" customHeight="1">
      <x:c r="A1876" s="256" t="n">
        <x:f>-12+266*0.01</x:f>
        <x:v>-9.34</x:v>
      </x:c>
      <x:c r="B1876" s="256" t="n">
        <x:f>IF(COUNT($B$129:$L$129)=11,B$129*EXP(IF(A1876&lt;0,(10-0)*A1876,-0*A1876))+C$129*EXP(IF(A1876&lt;0,(10-1)*A1876,-1*A1876))+D$129*EXP(IF(A1876&lt;0,(10-2)*A1876,-2*A1876))+E$129*EXP(IF(A1876&lt;0,(10-3)*A1876,-3*A1876))+F$129*EXP(IF(A1876&lt;0,(10-4)*A1876,-4*A1876))+G$129*EXP(IF(A1876&lt;0,(10-5)*A1876,-5*A1876))+H$129*EXP(IF(A1876&lt;0,(10-6)*A1876,-6*A1876))+I$129*EXP(IF(A1876&lt;0,(10-7)*A1876,-7*A1876))+J$129*EXP(IF(A1876&lt;0,(10-8)*A1876,-8*A1876))+K$129*EXP(IF(A1876&lt;0,(10-9)*A1876,-9*A1876))+L$129*EXP(IF(A1876&lt;0,(10-10)*A1876,-10*A1876)),0)</x:f>
        <x:v>781748.276150172</x:v>
      </x:c>
      <x:c r="C1876" s="256" t="n">
        <x:f>IF(B1876=0,IF(B1875=0,0,1),IF(B1875=0,0,IF(SIGN(B1876)&lt;&gt;SIGN(B1875),1,0)))</x:f>
        <x:v>0</x:v>
      </x:c>
      <x:c r="D1876" s="256" t="n">
        <x:f>EXP(A1876-0.005)-1</x:f>
        <x:v>-0.9999125986649283</x:v>
      </x:c>
    </x:row>
    <x:row r="1877" ht="20" customHeight="1">
      <x:c r="A1877" s="256" t="n">
        <x:f>-12+267*0.01</x:f>
        <x:v>-9.33</x:v>
      </x:c>
      <x:c r="B1877" s="256" t="n">
        <x:f>IF(COUNT($B$129:$L$129)=11,B$129*EXP(IF(A1877&lt;0,(10-0)*A1877,-0*A1877))+C$129*EXP(IF(A1877&lt;0,(10-1)*A1877,-1*A1877))+D$129*EXP(IF(A1877&lt;0,(10-2)*A1877,-2*A1877))+E$129*EXP(IF(A1877&lt;0,(10-3)*A1877,-3*A1877))+F$129*EXP(IF(A1877&lt;0,(10-4)*A1877,-4*A1877))+G$129*EXP(IF(A1877&lt;0,(10-5)*A1877,-5*A1877))+H$129*EXP(IF(A1877&lt;0,(10-6)*A1877,-6*A1877))+I$129*EXP(IF(A1877&lt;0,(10-7)*A1877,-7*A1877))+J$129*EXP(IF(A1877&lt;0,(10-8)*A1877,-8*A1877))+K$129*EXP(IF(A1877&lt;0,(10-9)*A1877,-9*A1877))+L$129*EXP(IF(A1877&lt;0,(10-10)*A1877,-10*A1877)),0)</x:f>
        <x:v>781748.2872677871</x:v>
      </x:c>
      <x:c r="C1877" s="256" t="n">
        <x:f>IF(B1877=0,IF(B1876=0,0,1),IF(B1876=0,0,IF(SIGN(B1877)&lt;&gt;SIGN(B1876),1,0)))</x:f>
        <x:v>0</x:v>
      </x:c>
      <x:c r="D1877" s="256" t="n">
        <x:f>EXP(A1877-0.005)-1</x:f>
        <x:v>-0.9999117202669074</x:v>
      </x:c>
    </x:row>
    <x:row r="1878" ht="20" customHeight="1">
      <x:c r="A1878" s="256" t="n">
        <x:f>-12+268*0.01</x:f>
        <x:v>-9.32</x:v>
      </x:c>
      <x:c r="B1878" s="256" t="n">
        <x:f>IF(COUNT($B$129:$L$129)=11,B$129*EXP(IF(A1878&lt;0,(10-0)*A1878,-0*A1878))+C$129*EXP(IF(A1878&lt;0,(10-1)*A1878,-1*A1878))+D$129*EXP(IF(A1878&lt;0,(10-2)*A1878,-2*A1878))+E$129*EXP(IF(A1878&lt;0,(10-3)*A1878,-3*A1878))+F$129*EXP(IF(A1878&lt;0,(10-4)*A1878,-4*A1878))+G$129*EXP(IF(A1878&lt;0,(10-5)*A1878,-5*A1878))+H$129*EXP(IF(A1878&lt;0,(10-6)*A1878,-6*A1878))+I$129*EXP(IF(A1878&lt;0,(10-7)*A1878,-7*A1878))+J$129*EXP(IF(A1878&lt;0,(10-8)*A1878,-8*A1878))+K$129*EXP(IF(A1878&lt;0,(10-9)*A1878,-9*A1878))+L$129*EXP(IF(A1878&lt;0,(10-10)*A1878,-10*A1878)),0)</x:f>
        <x:v>781748.2984971515</x:v>
      </x:c>
      <x:c r="C1878" s="256" t="n">
        <x:f>IF(B1878=0,IF(B1877=0,0,1),IF(B1877=0,0,IF(SIGN(B1878)&lt;&gt;SIGN(B1877),1,0)))</x:f>
        <x:v>0</x:v>
      </x:c>
      <x:c r="D1878" s="256" t="n">
        <x:f>EXP(A1878-0.005)-1</x:f>
        <x:v>-0.9999108330408397</x:v>
      </x:c>
    </x:row>
    <x:row r="1879" ht="20" customHeight="1">
      <x:c r="A1879" s="256" t="n">
        <x:f>-12+269*0.01</x:f>
        <x:v>-9.31</x:v>
      </x:c>
      <x:c r="B1879" s="256" t="n">
        <x:f>IF(COUNT($B$129:$L$129)=11,B$129*EXP(IF(A1879&lt;0,(10-0)*A1879,-0*A1879))+C$129*EXP(IF(A1879&lt;0,(10-1)*A1879,-1*A1879))+D$129*EXP(IF(A1879&lt;0,(10-2)*A1879,-2*A1879))+E$129*EXP(IF(A1879&lt;0,(10-3)*A1879,-3*A1879))+F$129*EXP(IF(A1879&lt;0,(10-4)*A1879,-4*A1879))+G$129*EXP(IF(A1879&lt;0,(10-5)*A1879,-5*A1879))+H$129*EXP(IF(A1879&lt;0,(10-6)*A1879,-6*A1879))+I$129*EXP(IF(A1879&lt;0,(10-7)*A1879,-7*A1879))+J$129*EXP(IF(A1879&lt;0,(10-8)*A1879,-8*A1879))+K$129*EXP(IF(A1879&lt;0,(10-9)*A1879,-9*A1879))+L$129*EXP(IF(A1879&lt;0,(10-10)*A1879,-10*A1879)),0)</x:f>
        <x:v>781748.3098393881</x:v>
      </x:c>
      <x:c r="C1879" s="256" t="n">
        <x:f>IF(B1879=0,IF(B1878=0,0,1),IF(B1878=0,0,IF(SIGN(B1879)&lt;&gt;SIGN(B1878),1,0)))</x:f>
        <x:v>0</x:v>
      </x:c>
      <x:c r="D1879" s="256" t="n">
        <x:f>EXP(A1879-0.005)-1</x:f>
        <x:v>-0.9999099368980018</x:v>
      </x:c>
    </x:row>
    <x:row r="1880" ht="20" customHeight="1">
      <x:c r="A1880" s="256" t="n">
        <x:f>-12+270*0.01</x:f>
        <x:v>-9.3</x:v>
      </x:c>
      <x:c r="B1880" s="256" t="n">
        <x:f>IF(COUNT($B$129:$L$129)=11,B$129*EXP(IF(A1880&lt;0,(10-0)*A1880,-0*A1880))+C$129*EXP(IF(A1880&lt;0,(10-1)*A1880,-1*A1880))+D$129*EXP(IF(A1880&lt;0,(10-2)*A1880,-2*A1880))+E$129*EXP(IF(A1880&lt;0,(10-3)*A1880,-3*A1880))+F$129*EXP(IF(A1880&lt;0,(10-4)*A1880,-4*A1880))+G$129*EXP(IF(A1880&lt;0,(10-5)*A1880,-5*A1880))+H$129*EXP(IF(A1880&lt;0,(10-6)*A1880,-6*A1880))+I$129*EXP(IF(A1880&lt;0,(10-7)*A1880,-7*A1880))+J$129*EXP(IF(A1880&lt;0,(10-8)*A1880,-8*A1880))+K$129*EXP(IF(A1880&lt;0,(10-9)*A1880,-9*A1880))+L$129*EXP(IF(A1880&lt;0,(10-10)*A1880,-10*A1880)),0)</x:f>
        <x:v>781748.321295632</x:v>
      </x:c>
      <x:c r="C1880" s="256" t="n">
        <x:f>IF(B1880=0,IF(B1879=0,0,1),IF(B1879=0,0,IF(SIGN(B1880)&lt;&gt;SIGN(B1879),1,0)))</x:f>
        <x:v>0</x:v>
      </x:c>
      <x:c r="D1880" s="256" t="n">
        <x:f>EXP(A1880-0.005)-1</x:f>
        <x:v>-0.9999090317487787</x:v>
      </x:c>
    </x:row>
    <x:row r="1881" ht="20" customHeight="1">
      <x:c r="A1881" s="256" t="n">
        <x:f>-12+271*0.01</x:f>
        <x:v>-9.29</x:v>
      </x:c>
      <x:c r="B1881" s="256" t="n">
        <x:f>IF(COUNT($B$129:$L$129)=11,B$129*EXP(IF(A1881&lt;0,(10-0)*A1881,-0*A1881))+C$129*EXP(IF(A1881&lt;0,(10-1)*A1881,-1*A1881))+D$129*EXP(IF(A1881&lt;0,(10-2)*A1881,-2*A1881))+E$129*EXP(IF(A1881&lt;0,(10-3)*A1881,-3*A1881))+F$129*EXP(IF(A1881&lt;0,(10-4)*A1881,-4*A1881))+G$129*EXP(IF(A1881&lt;0,(10-5)*A1881,-5*A1881))+H$129*EXP(IF(A1881&lt;0,(10-6)*A1881,-6*A1881))+I$129*EXP(IF(A1881&lt;0,(10-7)*A1881,-7*A1881))+J$129*EXP(IF(A1881&lt;0,(10-8)*A1881,-8*A1881))+K$129*EXP(IF(A1881&lt;0,(10-9)*A1881,-9*A1881))+L$129*EXP(IF(A1881&lt;0,(10-10)*A1881,-10*A1881)),0)</x:f>
        <x:v>781748.3328670292</x:v>
      </x:c>
      <x:c r="C1881" s="256" t="n">
        <x:f>IF(B1881=0,IF(B1880=0,0,1),IF(B1880=0,0,IF(SIGN(B1881)&lt;&gt;SIGN(B1880),1,0)))</x:f>
        <x:v>0</x:v>
      </x:c>
      <x:c r="D1881" s="256" t="n">
        <x:f>EXP(A1881-0.005)-1</x:f>
        <x:v>-0.9999081175026545</x:v>
      </x:c>
    </x:row>
    <x:row r="1882" ht="20" customHeight="1">
      <x:c r="A1882" s="256" t="n">
        <x:f>-12+272*0.01</x:f>
        <x:v>-9.28</x:v>
      </x:c>
      <x:c r="B1882" s="256" t="n">
        <x:f>IF(COUNT($B$129:$L$129)=11,B$129*EXP(IF(A1882&lt;0,(10-0)*A1882,-0*A1882))+C$129*EXP(IF(A1882&lt;0,(10-1)*A1882,-1*A1882))+D$129*EXP(IF(A1882&lt;0,(10-2)*A1882,-2*A1882))+E$129*EXP(IF(A1882&lt;0,(10-3)*A1882,-3*A1882))+F$129*EXP(IF(A1882&lt;0,(10-4)*A1882,-4*A1882))+G$129*EXP(IF(A1882&lt;0,(10-5)*A1882,-5*A1882))+H$129*EXP(IF(A1882&lt;0,(10-6)*A1882,-6*A1882))+I$129*EXP(IF(A1882&lt;0,(10-7)*A1882,-7*A1882))+J$129*EXP(IF(A1882&lt;0,(10-8)*A1882,-8*A1882))+K$129*EXP(IF(A1882&lt;0,(10-9)*A1882,-9*A1882))+L$129*EXP(IF(A1882&lt;0,(10-10)*A1882,-10*A1882)),0)</x:f>
        <x:v>781748.3445547373</x:v>
      </x:c>
      <x:c r="C1882" s="256" t="n">
        <x:f>IF(B1882=0,IF(B1881=0,0,1),IF(B1881=0,0,IF(SIGN(B1882)&lt;&gt;SIGN(B1881),1,0)))</x:f>
        <x:v>0</x:v>
      </x:c>
      <x:c r="D1882" s="256" t="n">
        <x:f>EXP(A1882-0.005)-1</x:f>
        <x:v>-0.999907194068204</x:v>
      </x:c>
    </x:row>
    <x:row r="1883" ht="20" customHeight="1">
      <x:c r="A1883" s="256" t="n">
        <x:f>-12+273*0.01</x:f>
        <x:v>-9.27</x:v>
      </x:c>
      <x:c r="B1883" s="256" t="n">
        <x:f>IF(COUNT($B$129:$L$129)=11,B$129*EXP(IF(A1883&lt;0,(10-0)*A1883,-0*A1883))+C$129*EXP(IF(A1883&lt;0,(10-1)*A1883,-1*A1883))+D$129*EXP(IF(A1883&lt;0,(10-2)*A1883,-2*A1883))+E$129*EXP(IF(A1883&lt;0,(10-3)*A1883,-3*A1883))+F$129*EXP(IF(A1883&lt;0,(10-4)*A1883,-4*A1883))+G$129*EXP(IF(A1883&lt;0,(10-5)*A1883,-5*A1883))+H$129*EXP(IF(A1883&lt;0,(10-6)*A1883,-6*A1883))+I$129*EXP(IF(A1883&lt;0,(10-7)*A1883,-7*A1883))+J$129*EXP(IF(A1883&lt;0,(10-8)*A1883,-8*A1883))+K$129*EXP(IF(A1883&lt;0,(10-9)*A1883,-9*A1883))+L$129*EXP(IF(A1883&lt;0,(10-10)*A1883,-10*A1883)),0)</x:f>
        <x:v>781748.3563599257</x:v>
      </x:c>
      <x:c r="C1883" s="256" t="n">
        <x:f>IF(B1883=0,IF(B1882=0,0,1),IF(B1882=0,0,IF(SIGN(B1883)&lt;&gt;SIGN(B1882),1,0)))</x:f>
        <x:v>0</x:v>
      </x:c>
      <x:c r="D1883" s="256" t="n">
        <x:f>EXP(A1883-0.005)-1</x:f>
        <x:v>-0.9999062613530831</x:v>
      </x:c>
    </x:row>
    <x:row r="1884" ht="20" customHeight="1">
      <x:c r="A1884" s="256" t="n">
        <x:f>-12+274*0.01</x:f>
        <x:v>-9.26</x:v>
      </x:c>
      <x:c r="B1884" s="256" t="n">
        <x:f>IF(COUNT($B$129:$L$129)=11,B$129*EXP(IF(A1884&lt;0,(10-0)*A1884,-0*A1884))+C$129*EXP(IF(A1884&lt;0,(10-1)*A1884,-1*A1884))+D$129*EXP(IF(A1884&lt;0,(10-2)*A1884,-2*A1884))+E$129*EXP(IF(A1884&lt;0,(10-3)*A1884,-3*A1884))+F$129*EXP(IF(A1884&lt;0,(10-4)*A1884,-4*A1884))+G$129*EXP(IF(A1884&lt;0,(10-5)*A1884,-5*A1884))+H$129*EXP(IF(A1884&lt;0,(10-6)*A1884,-6*A1884))+I$129*EXP(IF(A1884&lt;0,(10-7)*A1884,-7*A1884))+J$129*EXP(IF(A1884&lt;0,(10-8)*A1884,-8*A1884))+K$129*EXP(IF(A1884&lt;0,(10-9)*A1884,-9*A1884))+L$129*EXP(IF(A1884&lt;0,(10-10)*A1884,-10*A1884)),0)</x:f>
        <x:v>781748.3682837753</x:v>
      </x:c>
      <x:c r="C1884" s="256" t="n">
        <x:f>IF(B1884=0,IF(B1883=0,0,1),IF(B1883=0,0,IF(SIGN(B1884)&lt;&gt;SIGN(B1883),1,0)))</x:f>
        <x:v>0</x:v>
      </x:c>
      <x:c r="D1884" s="256" t="n">
        <x:f>EXP(A1884-0.005)-1</x:f>
        <x:v>-0.9999053192640194</x:v>
      </x:c>
    </x:row>
    <x:row r="1885" ht="20" customHeight="1">
      <x:c r="A1885" s="256" t="n">
        <x:f>-12+275*0.01</x:f>
        <x:v>-9.25</x:v>
      </x:c>
      <x:c r="B1885" s="256" t="n">
        <x:f>IF(COUNT($B$129:$L$129)=11,B$129*EXP(IF(A1885&lt;0,(10-0)*A1885,-0*A1885))+C$129*EXP(IF(A1885&lt;0,(10-1)*A1885,-1*A1885))+D$129*EXP(IF(A1885&lt;0,(10-2)*A1885,-2*A1885))+E$129*EXP(IF(A1885&lt;0,(10-3)*A1885,-3*A1885))+F$129*EXP(IF(A1885&lt;0,(10-4)*A1885,-4*A1885))+G$129*EXP(IF(A1885&lt;0,(10-5)*A1885,-5*A1885))+H$129*EXP(IF(A1885&lt;0,(10-6)*A1885,-6*A1885))+I$129*EXP(IF(A1885&lt;0,(10-7)*A1885,-7*A1885))+J$129*EXP(IF(A1885&lt;0,(10-8)*A1885,-8*A1885))+K$129*EXP(IF(A1885&lt;0,(10-9)*A1885,-9*A1885))+L$129*EXP(IF(A1885&lt;0,(10-10)*A1885,-10*A1885)),0)</x:f>
        <x:v>781748.380327479</x:v>
      </x:c>
      <x:c r="C1885" s="256" t="n">
        <x:f>IF(B1885=0,IF(B1884=0,0,1),IF(B1884=0,0,IF(SIGN(B1885)&lt;&gt;SIGN(B1884),1,0)))</x:f>
        <x:v>0</x:v>
      </x:c>
      <x:c r="D1885" s="256" t="n">
        <x:f>EXP(A1885-0.005)-1</x:f>
        <x:v>-0.9999043677068031</x:v>
      </x:c>
    </x:row>
    <x:row r="1886" ht="20" customHeight="1">
      <x:c r="A1886" s="256" t="n">
        <x:f>-12+276*0.01</x:f>
        <x:v>-9.24</x:v>
      </x:c>
      <x:c r="B1886" s="256" t="n">
        <x:f>IF(COUNT($B$129:$L$129)=11,B$129*EXP(IF(A1886&lt;0,(10-0)*A1886,-0*A1886))+C$129*EXP(IF(A1886&lt;0,(10-1)*A1886,-1*A1886))+D$129*EXP(IF(A1886&lt;0,(10-2)*A1886,-2*A1886))+E$129*EXP(IF(A1886&lt;0,(10-3)*A1886,-3*A1886))+F$129*EXP(IF(A1886&lt;0,(10-4)*A1886,-4*A1886))+G$129*EXP(IF(A1886&lt;0,(10-5)*A1886,-5*A1886))+H$129*EXP(IF(A1886&lt;0,(10-6)*A1886,-6*A1886))+I$129*EXP(IF(A1886&lt;0,(10-7)*A1886,-7*A1886))+J$129*EXP(IF(A1886&lt;0,(10-8)*A1886,-8*A1886))+K$129*EXP(IF(A1886&lt;0,(10-9)*A1886,-9*A1886))+L$129*EXP(IF(A1886&lt;0,(10-10)*A1886,-10*A1886)),0)</x:f>
        <x:v>781748.3924922417</x:v>
      </x:c>
      <x:c r="C1886" s="256" t="n">
        <x:f>IF(B1886=0,IF(B1885=0,0,1),IF(B1885=0,0,IF(SIGN(B1886)&lt;&gt;SIGN(B1885),1,0)))</x:f>
        <x:v>0</x:v>
      </x:c>
      <x:c r="D1886" s="256" t="n">
        <x:f>EXP(A1886-0.005)-1</x:f>
        <x:v>-0.9999034065862779</x:v>
      </x:c>
    </x:row>
    <x:row r="1887" ht="20" customHeight="1">
      <x:c r="A1887" s="256" t="n">
        <x:f>-12+277*0.01</x:f>
        <x:v>-9.23</x:v>
      </x:c>
      <x:c r="B1887" s="256" t="n">
        <x:f>IF(COUNT($B$129:$L$129)=11,B$129*EXP(IF(A1887&lt;0,(10-0)*A1887,-0*A1887))+C$129*EXP(IF(A1887&lt;0,(10-1)*A1887,-1*A1887))+D$129*EXP(IF(A1887&lt;0,(10-2)*A1887,-2*A1887))+E$129*EXP(IF(A1887&lt;0,(10-3)*A1887,-3*A1887))+F$129*EXP(IF(A1887&lt;0,(10-4)*A1887,-4*A1887))+G$129*EXP(IF(A1887&lt;0,(10-5)*A1887,-5*A1887))+H$129*EXP(IF(A1887&lt;0,(10-6)*A1887,-6*A1887))+I$129*EXP(IF(A1887&lt;0,(10-7)*A1887,-7*A1887))+J$129*EXP(IF(A1887&lt;0,(10-8)*A1887,-8*A1887))+K$129*EXP(IF(A1887&lt;0,(10-9)*A1887,-9*A1887))+L$129*EXP(IF(A1887&lt;0,(10-10)*A1887,-10*A1887)),0)</x:f>
        <x:v>781748.4047792805</x:v>
      </x:c>
      <x:c r="C1887" s="256" t="n">
        <x:f>IF(B1887=0,IF(B1886=0,0,1),IF(B1886=0,0,IF(SIGN(B1887)&lt;&gt;SIGN(B1886),1,0)))</x:f>
        <x:v>0</x:v>
      </x:c>
      <x:c r="D1887" s="256" t="n">
        <x:f>EXP(A1887-0.005)-1</x:f>
        <x:v>-0.9999024358063306</x:v>
      </x:c>
    </x:row>
    <x:row r="1888" ht="20" customHeight="1">
      <x:c r="A1888" s="256" t="n">
        <x:f>-12+278*0.01</x:f>
        <x:v>-9.219999999999999</x:v>
      </x:c>
      <x:c r="B1888" s="256" t="n">
        <x:f>IF(COUNT($B$129:$L$129)=11,B$129*EXP(IF(A1888&lt;0,(10-0)*A1888,-0*A1888))+C$129*EXP(IF(A1888&lt;0,(10-1)*A1888,-1*A1888))+D$129*EXP(IF(A1888&lt;0,(10-2)*A1888,-2*A1888))+E$129*EXP(IF(A1888&lt;0,(10-3)*A1888,-3*A1888))+F$129*EXP(IF(A1888&lt;0,(10-4)*A1888,-4*A1888))+G$129*EXP(IF(A1888&lt;0,(10-5)*A1888,-5*A1888))+H$129*EXP(IF(A1888&lt;0,(10-6)*A1888,-6*A1888))+I$129*EXP(IF(A1888&lt;0,(10-7)*A1888,-7*A1888))+J$129*EXP(IF(A1888&lt;0,(10-8)*A1888,-8*A1888))+K$129*EXP(IF(A1888&lt;0,(10-9)*A1888,-9*A1888))+L$129*EXP(IF(A1888&lt;0,(10-10)*A1888,-10*A1888)),0)</x:f>
        <x:v>781748.4171898246</x:v>
      </x:c>
      <x:c r="C1888" s="256" t="n">
        <x:f>IF(B1888=0,IF(B1887=0,0,1),IF(B1887=0,0,IF(SIGN(B1888)&lt;&gt;SIGN(B1887),1,0)))</x:f>
        <x:v>0</x:v>
      </x:c>
      <x:c r="D1888" s="256" t="n">
        <x:f>EXP(A1888-0.005)-1</x:f>
        <x:v>-0.9999014552698828</x:v>
      </x:c>
    </x:row>
    <x:row r="1889" ht="20" customHeight="1">
      <x:c r="A1889" s="256" t="n">
        <x:f>-12+279*0.01</x:f>
        <x:v>-9.21</x:v>
      </x:c>
      <x:c r="B1889" s="256" t="n">
        <x:f>IF(COUNT($B$129:$L$129)=11,B$129*EXP(IF(A1889&lt;0,(10-0)*A1889,-0*A1889))+C$129*EXP(IF(A1889&lt;0,(10-1)*A1889,-1*A1889))+D$129*EXP(IF(A1889&lt;0,(10-2)*A1889,-2*A1889))+E$129*EXP(IF(A1889&lt;0,(10-3)*A1889,-3*A1889))+F$129*EXP(IF(A1889&lt;0,(10-4)*A1889,-4*A1889))+G$129*EXP(IF(A1889&lt;0,(10-5)*A1889,-5*A1889))+H$129*EXP(IF(A1889&lt;0,(10-6)*A1889,-6*A1889))+I$129*EXP(IF(A1889&lt;0,(10-7)*A1889,-7*A1889))+J$129*EXP(IF(A1889&lt;0,(10-8)*A1889,-8*A1889))+K$129*EXP(IF(A1889&lt;0,(10-9)*A1889,-9*A1889))+L$129*EXP(IF(A1889&lt;0,(10-10)*A1889,-10*A1889)),0)</x:f>
        <x:v>781748.4297251158</x:v>
      </x:c>
      <x:c r="C1889" s="256" t="n">
        <x:f>IF(B1889=0,IF(B1888=0,0,1),IF(B1888=0,0,IF(SIGN(B1889)&lt;&gt;SIGN(B1888),1,0)))</x:f>
        <x:v>0</x:v>
      </x:c>
      <x:c r="D1889" s="256" t="n">
        <x:f>EXP(A1889-0.005)-1</x:f>
        <x:v>-0.99990046487888</x:v>
      </x:c>
    </x:row>
    <x:row r="1890" ht="20" customHeight="1">
      <x:c r="A1890" s="256" t="n">
        <x:f>-12+280*0.01</x:f>
        <x:v>-9.2</x:v>
      </x:c>
      <x:c r="B1890" s="256" t="n">
        <x:f>IF(COUNT($B$129:$L$129)=11,B$129*EXP(IF(A1890&lt;0,(10-0)*A1890,-0*A1890))+C$129*EXP(IF(A1890&lt;0,(10-1)*A1890,-1*A1890))+D$129*EXP(IF(A1890&lt;0,(10-2)*A1890,-2*A1890))+E$129*EXP(IF(A1890&lt;0,(10-3)*A1890,-3*A1890))+F$129*EXP(IF(A1890&lt;0,(10-4)*A1890,-4*A1890))+G$129*EXP(IF(A1890&lt;0,(10-5)*A1890,-5*A1890))+H$129*EXP(IF(A1890&lt;0,(10-6)*A1890,-6*A1890))+I$129*EXP(IF(A1890&lt;0,(10-7)*A1890,-7*A1890))+J$129*EXP(IF(A1890&lt;0,(10-8)*A1890,-8*A1890))+K$129*EXP(IF(A1890&lt;0,(10-9)*A1890,-9*A1890))+L$129*EXP(IF(A1890&lt;0,(10-10)*A1890,-10*A1890)),0)</x:f>
        <x:v>781748.4423864079</x:v>
      </x:c>
      <x:c r="C1890" s="256" t="n">
        <x:f>IF(B1890=0,IF(B1889=0,0,1),IF(B1889=0,0,IF(SIGN(B1890)&lt;&gt;SIGN(B1889),1,0)))</x:f>
        <x:v>0</x:v>
      </x:c>
      <x:c r="D1890" s="256" t="n">
        <x:f>EXP(A1890-0.005)-1</x:f>
        <x:v>-0.9998994645342819</x:v>
      </x:c>
    </x:row>
    <x:row r="1891" ht="20" customHeight="1">
      <x:c r="A1891" s="256" t="n">
        <x:f>-12+281*0.01</x:f>
        <x:v>-9.19</x:v>
      </x:c>
      <x:c r="B1891" s="256" t="n">
        <x:f>IF(COUNT($B$129:$L$129)=11,B$129*EXP(IF(A1891&lt;0,(10-0)*A1891,-0*A1891))+C$129*EXP(IF(A1891&lt;0,(10-1)*A1891,-1*A1891))+D$129*EXP(IF(A1891&lt;0,(10-2)*A1891,-2*A1891))+E$129*EXP(IF(A1891&lt;0,(10-3)*A1891,-3*A1891))+F$129*EXP(IF(A1891&lt;0,(10-4)*A1891,-4*A1891))+G$129*EXP(IF(A1891&lt;0,(10-5)*A1891,-5*A1891))+H$129*EXP(IF(A1891&lt;0,(10-6)*A1891,-6*A1891))+I$129*EXP(IF(A1891&lt;0,(10-7)*A1891,-7*A1891))+J$129*EXP(IF(A1891&lt;0,(10-8)*A1891,-8*A1891))+K$129*EXP(IF(A1891&lt;0,(10-9)*A1891,-9*A1891))+L$129*EXP(IF(A1891&lt;0,(10-10)*A1891,-10*A1891)),0)</x:f>
        <x:v>781748.4551749679</x:v>
      </x:c>
      <x:c r="C1891" s="256" t="n">
        <x:f>IF(B1891=0,IF(B1890=0,0,1),IF(B1890=0,0,IF(SIGN(B1891)&lt;&gt;SIGN(B1890),1,0)))</x:f>
        <x:v>0</x:v>
      </x:c>
      <x:c r="D1891" s="256" t="n">
        <x:f>EXP(A1891-0.005)-1</x:f>
        <x:v>-0.9998984541360536</x:v>
      </x:c>
    </x:row>
    <x:row r="1892" ht="20" customHeight="1">
      <x:c r="A1892" s="256" t="n">
        <x:f>-12+282*0.01</x:f>
        <x:v>-9.18</x:v>
      </x:c>
      <x:c r="B1892" s="256" t="n">
        <x:f>IF(COUNT($B$129:$L$129)=11,B$129*EXP(IF(A1892&lt;0,(10-0)*A1892,-0*A1892))+C$129*EXP(IF(A1892&lt;0,(10-1)*A1892,-1*A1892))+D$129*EXP(IF(A1892&lt;0,(10-2)*A1892,-2*A1892))+E$129*EXP(IF(A1892&lt;0,(10-3)*A1892,-3*A1892))+F$129*EXP(IF(A1892&lt;0,(10-4)*A1892,-4*A1892))+G$129*EXP(IF(A1892&lt;0,(10-5)*A1892,-5*A1892))+H$129*EXP(IF(A1892&lt;0,(10-6)*A1892,-6*A1892))+I$129*EXP(IF(A1892&lt;0,(10-7)*A1892,-7*A1892))+J$129*EXP(IF(A1892&lt;0,(10-8)*A1892,-8*A1892))+K$129*EXP(IF(A1892&lt;0,(10-9)*A1892,-9*A1892))+L$129*EXP(IF(A1892&lt;0,(10-10)*A1892,-10*A1892)),0)</x:f>
        <x:v>781748.4680920751</x:v>
      </x:c>
      <x:c r="C1892" s="256" t="n">
        <x:f>IF(B1892=0,IF(B1891=0,0,1),IF(B1891=0,0,IF(SIGN(B1892)&lt;&gt;SIGN(B1891),1,0)))</x:f>
        <x:v>0</x:v>
      </x:c>
      <x:c r="D1892" s="256" t="n">
        <x:f>EXP(A1892-0.005)-1</x:f>
        <x:v>-0.9998974335831542</x:v>
      </x:c>
    </x:row>
    <x:row r="1893" ht="20" customHeight="1">
      <x:c r="A1893" s="256" t="n">
        <x:f>-12+283*0.01</x:f>
        <x:v>-9.17</x:v>
      </x:c>
      <x:c r="B1893" s="256" t="n">
        <x:f>IF(COUNT($B$129:$L$129)=11,B$129*EXP(IF(A1893&lt;0,(10-0)*A1893,-0*A1893))+C$129*EXP(IF(A1893&lt;0,(10-1)*A1893,-1*A1893))+D$129*EXP(IF(A1893&lt;0,(10-2)*A1893,-2*A1893))+E$129*EXP(IF(A1893&lt;0,(10-3)*A1893,-3*A1893))+F$129*EXP(IF(A1893&lt;0,(10-4)*A1893,-4*A1893))+G$129*EXP(IF(A1893&lt;0,(10-5)*A1893,-5*A1893))+H$129*EXP(IF(A1893&lt;0,(10-6)*A1893,-6*A1893))+I$129*EXP(IF(A1893&lt;0,(10-7)*A1893,-7*A1893))+J$129*EXP(IF(A1893&lt;0,(10-8)*A1893,-8*A1893))+K$129*EXP(IF(A1893&lt;0,(10-9)*A1893,-9*A1893))+L$129*EXP(IF(A1893&lt;0,(10-10)*A1893,-10*A1893)),0)</x:f>
        <x:v>781748.4811390219</x:v>
      </x:c>
      <x:c r="C1893" s="256" t="n">
        <x:f>IF(B1893=0,IF(B1892=0,0,1),IF(B1892=0,0,IF(SIGN(B1893)&lt;&gt;SIGN(B1892),1,0)))</x:f>
        <x:v>0</x:v>
      </x:c>
      <x:c r="D1893" s="256" t="n">
        <x:f>EXP(A1893-0.005)-1</x:f>
        <x:v>-0.9998964027735276</x:v>
      </x:c>
    </x:row>
    <x:row r="1894" ht="20" customHeight="1">
      <x:c r="A1894" s="256" t="n">
        <x:f>-12+284*0.01</x:f>
        <x:v>-9.16</x:v>
      </x:c>
      <x:c r="B1894" s="256" t="n">
        <x:f>IF(COUNT($B$129:$L$129)=11,B$129*EXP(IF(A1894&lt;0,(10-0)*A1894,-0*A1894))+C$129*EXP(IF(A1894&lt;0,(10-1)*A1894,-1*A1894))+D$129*EXP(IF(A1894&lt;0,(10-2)*A1894,-2*A1894))+E$129*EXP(IF(A1894&lt;0,(10-3)*A1894,-3*A1894))+F$129*EXP(IF(A1894&lt;0,(10-4)*A1894,-4*A1894))+G$129*EXP(IF(A1894&lt;0,(10-5)*A1894,-5*A1894))+H$129*EXP(IF(A1894&lt;0,(10-6)*A1894,-6*A1894))+I$129*EXP(IF(A1894&lt;0,(10-7)*A1894,-7*A1894))+J$129*EXP(IF(A1894&lt;0,(10-8)*A1894,-8*A1894))+K$129*EXP(IF(A1894&lt;0,(10-9)*A1894,-9*A1894))+L$129*EXP(IF(A1894&lt;0,(10-10)*A1894,-10*A1894)),0)</x:f>
        <x:v>781748.4943171137</x:v>
      </x:c>
      <x:c r="C1894" s="256" t="n">
        <x:f>IF(B1894=0,IF(B1893=0,0,1),IF(B1893=0,0,IF(SIGN(B1894)&lt;&gt;SIGN(B1893),1,0)))</x:f>
        <x:v>0</x:v>
      </x:c>
      <x:c r="D1894" s="256" t="n">
        <x:f>EXP(A1894-0.005)-1</x:f>
        <x:v>-0.9998953616040922</x:v>
      </x:c>
    </x:row>
    <x:row r="1895" ht="20" customHeight="1">
      <x:c r="A1895" s="256" t="n">
        <x:f>-12+285*0.01</x:f>
        <x:v>-9.15</x:v>
      </x:c>
      <x:c r="B1895" s="256" t="n">
        <x:f>IF(COUNT($B$129:$L$129)=11,B$129*EXP(IF(A1895&lt;0,(10-0)*A1895,-0*A1895))+C$129*EXP(IF(A1895&lt;0,(10-1)*A1895,-1*A1895))+D$129*EXP(IF(A1895&lt;0,(10-2)*A1895,-2*A1895))+E$129*EXP(IF(A1895&lt;0,(10-3)*A1895,-3*A1895))+F$129*EXP(IF(A1895&lt;0,(10-4)*A1895,-4*A1895))+G$129*EXP(IF(A1895&lt;0,(10-5)*A1895,-5*A1895))+H$129*EXP(IF(A1895&lt;0,(10-6)*A1895,-6*A1895))+I$129*EXP(IF(A1895&lt;0,(10-7)*A1895,-7*A1895))+J$129*EXP(IF(A1895&lt;0,(10-8)*A1895,-8*A1895))+K$129*EXP(IF(A1895&lt;0,(10-9)*A1895,-9*A1895))+L$129*EXP(IF(A1895&lt;0,(10-10)*A1895,-10*A1895)),0)</x:f>
        <x:v>781748.5076276687</x:v>
      </x:c>
      <x:c r="C1895" s="256" t="n">
        <x:f>IF(B1895=0,IF(B1894=0,0,1),IF(B1894=0,0,IF(SIGN(B1895)&lt;&gt;SIGN(B1894),1,0)))</x:f>
        <x:v>0</x:v>
      </x:c>
      <x:c r="D1895" s="256" t="n">
        <x:f>EXP(A1895-0.005)-1</x:f>
        <x:v>-0.9998943099707299</x:v>
      </x:c>
    </x:row>
    <x:row r="1896" ht="20" customHeight="1">
      <x:c r="A1896" s="256" t="n">
        <x:f>-12+286*0.01</x:f>
        <x:v>-9.14</x:v>
      </x:c>
      <x:c r="B1896" s="256" t="n">
        <x:f>IF(COUNT($B$129:$L$129)=11,B$129*EXP(IF(A1896&lt;0,(10-0)*A1896,-0*A1896))+C$129*EXP(IF(A1896&lt;0,(10-1)*A1896,-1*A1896))+D$129*EXP(IF(A1896&lt;0,(10-2)*A1896,-2*A1896))+E$129*EXP(IF(A1896&lt;0,(10-3)*A1896,-3*A1896))+F$129*EXP(IF(A1896&lt;0,(10-4)*A1896,-4*A1896))+G$129*EXP(IF(A1896&lt;0,(10-5)*A1896,-5*A1896))+H$129*EXP(IF(A1896&lt;0,(10-6)*A1896,-6*A1896))+I$129*EXP(IF(A1896&lt;0,(10-7)*A1896,-7*A1896))+J$129*EXP(IF(A1896&lt;0,(10-8)*A1896,-8*A1896))+K$129*EXP(IF(A1896&lt;0,(10-9)*A1896,-9*A1896))+L$129*EXP(IF(A1896&lt;0,(10-10)*A1896,-10*A1896)),0)</x:f>
        <x:v>781748.5210720188</x:v>
      </x:c>
      <x:c r="C1896" s="256" t="n">
        <x:f>IF(B1896=0,IF(B1895=0,0,1),IF(B1895=0,0,IF(SIGN(B1896)&lt;&gt;SIGN(B1895),1,0)))</x:f>
        <x:v>0</x:v>
      </x:c>
      <x:c r="D1896" s="256" t="n">
        <x:f>EXP(A1896-0.005)-1</x:f>
        <x:v>-0.9998932477682766</x:v>
      </x:c>
    </x:row>
    <x:row r="1897" ht="20" customHeight="1">
      <x:c r="A1897" s="256" t="n">
        <x:f>-12+287*0.01</x:f>
        <x:v>-9.129999999999999</x:v>
      </x:c>
      <x:c r="B1897" s="256" t="n">
        <x:f>IF(COUNT($B$129:$L$129)=11,B$129*EXP(IF(A1897&lt;0,(10-0)*A1897,-0*A1897))+C$129*EXP(IF(A1897&lt;0,(10-1)*A1897,-1*A1897))+D$129*EXP(IF(A1897&lt;0,(10-2)*A1897,-2*A1897))+E$129*EXP(IF(A1897&lt;0,(10-3)*A1897,-3*A1897))+F$129*EXP(IF(A1897&lt;0,(10-4)*A1897,-4*A1897))+G$129*EXP(IF(A1897&lt;0,(10-5)*A1897,-5*A1897))+H$129*EXP(IF(A1897&lt;0,(10-6)*A1897,-6*A1897))+I$129*EXP(IF(A1897&lt;0,(10-7)*A1897,-7*A1897))+J$129*EXP(IF(A1897&lt;0,(10-8)*A1897,-8*A1897))+K$129*EXP(IF(A1897&lt;0,(10-9)*A1897,-9*A1897))+L$129*EXP(IF(A1897&lt;0,(10-10)*A1897,-10*A1897)),0)</x:f>
        <x:v>781748.5346515091</x:v>
      </x:c>
      <x:c r="C1897" s="256" t="n">
        <x:f>IF(B1897=0,IF(B1896=0,0,1),IF(B1896=0,0,IF(SIGN(B1897)&lt;&gt;SIGN(B1896),1,0)))</x:f>
        <x:v>0</x:v>
      </x:c>
      <x:c r="D1897" s="256" t="n">
        <x:f>EXP(A1897-0.005)-1</x:f>
        <x:v>-0.9998921748905112</x:v>
      </x:c>
    </x:row>
    <x:row r="1898" ht="20" customHeight="1">
      <x:c r="A1898" s="256" t="n">
        <x:f>-12+288*0.01</x:f>
        <x:v>-9.120000000000001</x:v>
      </x:c>
      <x:c r="B1898" s="256" t="n">
        <x:f>IF(COUNT($B$129:$L$129)=11,B$129*EXP(IF(A1898&lt;0,(10-0)*A1898,-0*A1898))+C$129*EXP(IF(A1898&lt;0,(10-1)*A1898,-1*A1898))+D$129*EXP(IF(A1898&lt;0,(10-2)*A1898,-2*A1898))+E$129*EXP(IF(A1898&lt;0,(10-3)*A1898,-3*A1898))+F$129*EXP(IF(A1898&lt;0,(10-4)*A1898,-4*A1898))+G$129*EXP(IF(A1898&lt;0,(10-5)*A1898,-5*A1898))+H$129*EXP(IF(A1898&lt;0,(10-6)*A1898,-6*A1898))+I$129*EXP(IF(A1898&lt;0,(10-7)*A1898,-7*A1898))+J$129*EXP(IF(A1898&lt;0,(10-8)*A1898,-8*A1898))+K$129*EXP(IF(A1898&lt;0,(10-9)*A1898,-9*A1898))+L$129*EXP(IF(A1898&lt;0,(10-10)*A1898,-10*A1898)),0)</x:f>
        <x:v>781748.5483674982</x:v>
      </x:c>
      <x:c r="C1898" s="256" t="n">
        <x:f>IF(B1898=0,IF(B1897=0,0,1),IF(B1897=0,0,IF(SIGN(B1898)&lt;&gt;SIGN(B1897),1,0)))</x:f>
        <x:v>0</x:v>
      </x:c>
      <x:c r="D1898" s="256" t="n">
        <x:f>EXP(A1898-0.005)-1</x:f>
        <x:v>-0.999891091230145</x:v>
      </x:c>
    </x:row>
    <x:row r="1899" ht="20" customHeight="1">
      <x:c r="A1899" s="256" t="n">
        <x:f>-12+289*0.01</x:f>
        <x:v>-9.11</x:v>
      </x:c>
      <x:c r="B1899" s="256" t="n">
        <x:f>IF(COUNT($B$129:$L$129)=11,B$129*EXP(IF(A1899&lt;0,(10-0)*A1899,-0*A1899))+C$129*EXP(IF(A1899&lt;0,(10-1)*A1899,-1*A1899))+D$129*EXP(IF(A1899&lt;0,(10-2)*A1899,-2*A1899))+E$129*EXP(IF(A1899&lt;0,(10-3)*A1899,-3*A1899))+F$129*EXP(IF(A1899&lt;0,(10-4)*A1899,-4*A1899))+G$129*EXP(IF(A1899&lt;0,(10-5)*A1899,-5*A1899))+H$129*EXP(IF(A1899&lt;0,(10-6)*A1899,-6*A1899))+I$129*EXP(IF(A1899&lt;0,(10-7)*A1899,-7*A1899))+J$129*EXP(IF(A1899&lt;0,(10-8)*A1899,-8*A1899))+K$129*EXP(IF(A1899&lt;0,(10-9)*A1899,-9*A1899))+L$129*EXP(IF(A1899&lt;0,(10-10)*A1899,-10*A1899)),0)</x:f>
        <x:v>781748.5622213584</x:v>
      </x:c>
      <x:c r="C1899" s="256" t="n">
        <x:f>IF(B1899=0,IF(B1898=0,0,1),IF(B1898=0,0,IF(SIGN(B1899)&lt;&gt;SIGN(B1898),1,0)))</x:f>
        <x:v>0</x:v>
      </x:c>
      <x:c r="D1899" s="256" t="n">
        <x:f>EXP(A1899-0.005)-1</x:f>
        <x:v>-0.999889996678811</x:v>
      </x:c>
    </x:row>
    <x:row r="1900" ht="20" customHeight="1">
      <x:c r="A1900" s="256" t="n">
        <x:f>-12+290*0.01</x:f>
        <x:v>-9.1</x:v>
      </x:c>
      <x:c r="B1900" s="256" t="n">
        <x:f>IF(COUNT($B$129:$L$129)=11,B$129*EXP(IF(A1900&lt;0,(10-0)*A1900,-0*A1900))+C$129*EXP(IF(A1900&lt;0,(10-1)*A1900,-1*A1900))+D$129*EXP(IF(A1900&lt;0,(10-2)*A1900,-2*A1900))+E$129*EXP(IF(A1900&lt;0,(10-3)*A1900,-3*A1900))+F$129*EXP(IF(A1900&lt;0,(10-4)*A1900,-4*A1900))+G$129*EXP(IF(A1900&lt;0,(10-5)*A1900,-5*A1900))+H$129*EXP(IF(A1900&lt;0,(10-6)*A1900,-6*A1900))+I$129*EXP(IF(A1900&lt;0,(10-7)*A1900,-7*A1900))+J$129*EXP(IF(A1900&lt;0,(10-8)*A1900,-8*A1900))+K$129*EXP(IF(A1900&lt;0,(10-9)*A1900,-9*A1900))+L$129*EXP(IF(A1900&lt;0,(10-10)*A1900,-10*A1900)),0)</x:f>
        <x:v>781748.5762144757</x:v>
      </x:c>
      <x:c r="C1900" s="256" t="n">
        <x:f>IF(B1900=0,IF(B1899=0,0,1),IF(B1899=0,0,IF(SIGN(B1900)&lt;&gt;SIGN(B1899),1,0)))</x:f>
        <x:v>0</x:v>
      </x:c>
      <x:c r="D1900" s="256" t="n">
        <x:f>EXP(A1900-0.005)-1</x:f>
        <x:v>-0.9998888911270531</x:v>
      </x:c>
    </x:row>
    <x:row r="1901" ht="20" customHeight="1">
      <x:c r="A1901" s="256" t="n">
        <x:f>-12+291*0.01</x:f>
        <x:v>-9.09</x:v>
      </x:c>
      <x:c r="B1901" s="256" t="n">
        <x:f>IF(COUNT($B$129:$L$129)=11,B$129*EXP(IF(A1901&lt;0,(10-0)*A1901,-0*A1901))+C$129*EXP(IF(A1901&lt;0,(10-1)*A1901,-1*A1901))+D$129*EXP(IF(A1901&lt;0,(10-2)*A1901,-2*A1901))+E$129*EXP(IF(A1901&lt;0,(10-3)*A1901,-3*A1901))+F$129*EXP(IF(A1901&lt;0,(10-4)*A1901,-4*A1901))+G$129*EXP(IF(A1901&lt;0,(10-5)*A1901,-5*A1901))+H$129*EXP(IF(A1901&lt;0,(10-6)*A1901,-6*A1901))+I$129*EXP(IF(A1901&lt;0,(10-7)*A1901,-7*A1901))+J$129*EXP(IF(A1901&lt;0,(10-8)*A1901,-8*A1901))+K$129*EXP(IF(A1901&lt;0,(10-9)*A1901,-9*A1901))+L$129*EXP(IF(A1901&lt;0,(10-10)*A1901,-10*A1901)),0)</x:f>
        <x:v>781748.5903482503</x:v>
      </x:c>
      <x:c r="C1901" s="256" t="n">
        <x:f>IF(B1901=0,IF(B1900=0,0,1),IF(B1900=0,0,IF(SIGN(B1901)&lt;&gt;SIGN(B1900),1,0)))</x:f>
        <x:v>0</x:v>
      </x:c>
      <x:c r="D1901" s="256" t="n">
        <x:f>EXP(A1901-0.005)-1</x:f>
        <x:v>-0.9998877744643155</x:v>
      </x:c>
    </x:row>
    <x:row r="1902" ht="20" customHeight="1">
      <x:c r="A1902" s="256" t="n">
        <x:f>-12+292*0.01</x:f>
        <x:v>-9.08</x:v>
      </x:c>
      <x:c r="B1902" s="256" t="n">
        <x:f>IF(COUNT($B$129:$L$129)=11,B$129*EXP(IF(A1902&lt;0,(10-0)*A1902,-0*A1902))+C$129*EXP(IF(A1902&lt;0,(10-1)*A1902,-1*A1902))+D$129*EXP(IF(A1902&lt;0,(10-2)*A1902,-2*A1902))+E$129*EXP(IF(A1902&lt;0,(10-3)*A1902,-3*A1902))+F$129*EXP(IF(A1902&lt;0,(10-4)*A1902,-4*A1902))+G$129*EXP(IF(A1902&lt;0,(10-5)*A1902,-5*A1902))+H$129*EXP(IF(A1902&lt;0,(10-6)*A1902,-6*A1902))+I$129*EXP(IF(A1902&lt;0,(10-7)*A1902,-7*A1902))+J$129*EXP(IF(A1902&lt;0,(10-8)*A1902,-8*A1902))+K$129*EXP(IF(A1902&lt;0,(10-9)*A1902,-9*A1902))+L$129*EXP(IF(A1902&lt;0,(10-10)*A1902,-10*A1902)),0)</x:f>
        <x:v>781748.6046240962</x:v>
      </x:c>
      <x:c r="C1902" s="256" t="n">
        <x:f>IF(B1902=0,IF(B1901=0,0,1),IF(B1901=0,0,IF(SIGN(B1902)&lt;&gt;SIGN(B1901),1,0)))</x:f>
        <x:v>0</x:v>
      </x:c>
      <x:c r="D1902" s="256" t="n">
        <x:f>EXP(A1902-0.005)-1</x:f>
        <x:v>-0.9998866465789308</x:v>
      </x:c>
    </x:row>
    <x:row r="1903" ht="20" customHeight="1">
      <x:c r="A1903" s="256" t="n">
        <x:f>-12+293*0.01</x:f>
        <x:v>-9.07</x:v>
      </x:c>
      <x:c r="B1903" s="256" t="n">
        <x:f>IF(COUNT($B$129:$L$129)=11,B$129*EXP(IF(A1903&lt;0,(10-0)*A1903,-0*A1903))+C$129*EXP(IF(A1903&lt;0,(10-1)*A1903,-1*A1903))+D$129*EXP(IF(A1903&lt;0,(10-2)*A1903,-2*A1903))+E$129*EXP(IF(A1903&lt;0,(10-3)*A1903,-3*A1903))+F$129*EXP(IF(A1903&lt;0,(10-4)*A1903,-4*A1903))+G$129*EXP(IF(A1903&lt;0,(10-5)*A1903,-5*A1903))+H$129*EXP(IF(A1903&lt;0,(10-6)*A1903,-6*A1903))+I$129*EXP(IF(A1903&lt;0,(10-7)*A1903,-7*A1903))+J$129*EXP(IF(A1903&lt;0,(10-8)*A1903,-8*A1903))+K$129*EXP(IF(A1903&lt;0,(10-9)*A1903,-9*A1903))+L$129*EXP(IF(A1903&lt;0,(10-10)*A1903,-10*A1903)),0)</x:f>
        <x:v>781748.6190434417</x:v>
      </x:c>
      <x:c r="C1903" s="256" t="n">
        <x:f>IF(B1903=0,IF(B1902=0,0,1),IF(B1902=0,0,IF(SIGN(B1903)&lt;&gt;SIGN(B1902),1,0)))</x:f>
        <x:v>0</x:v>
      </x:c>
      <x:c r="D1903" s="256" t="n">
        <x:f>EXP(A1903-0.005)-1</x:f>
        <x:v>-0.9998855073581095</x:v>
      </x:c>
    </x:row>
    <x:row r="1904" ht="20" customHeight="1">
      <x:c r="A1904" s="256" t="n">
        <x:f>-12+294*0.01</x:f>
        <x:v>-9.06</x:v>
      </x:c>
      <x:c r="B1904" s="256" t="n">
        <x:f>IF(COUNT($B$129:$L$129)=11,B$129*EXP(IF(A1904&lt;0,(10-0)*A1904,-0*A1904))+C$129*EXP(IF(A1904&lt;0,(10-1)*A1904,-1*A1904))+D$129*EXP(IF(A1904&lt;0,(10-2)*A1904,-2*A1904))+E$129*EXP(IF(A1904&lt;0,(10-3)*A1904,-3*A1904))+F$129*EXP(IF(A1904&lt;0,(10-4)*A1904,-4*A1904))+G$129*EXP(IF(A1904&lt;0,(10-5)*A1904,-5*A1904))+H$129*EXP(IF(A1904&lt;0,(10-6)*A1904,-6*A1904))+I$129*EXP(IF(A1904&lt;0,(10-7)*A1904,-7*A1904))+J$129*EXP(IF(A1904&lt;0,(10-8)*A1904,-8*A1904))+K$129*EXP(IF(A1904&lt;0,(10-9)*A1904,-9*A1904))+L$129*EXP(IF(A1904&lt;0,(10-10)*A1904,-10*A1904)),0)</x:f>
        <x:v>781748.6336077297</x:v>
      </x:c>
      <x:c r="C1904" s="256" t="n">
        <x:f>IF(B1904=0,IF(B1903=0,0,1),IF(B1903=0,0,IF(SIGN(B1904)&lt;&gt;SIGN(B1903),1,0)))</x:f>
        <x:v>0</x:v>
      </x:c>
      <x:c r="D1904" s="256" t="n">
        <x:f>EXP(A1904-0.005)-1</x:f>
        <x:v>-0.9998843566879286</x:v>
      </x:c>
    </x:row>
    <x:row r="1905" ht="20" customHeight="1">
      <x:c r="A1905" s="256" t="n">
        <x:f>-12+295*0.01</x:f>
        <x:v>-9.05</x:v>
      </x:c>
      <x:c r="B1905" s="256" t="n">
        <x:f>IF(COUNT($B$129:$L$129)=11,B$129*EXP(IF(A1905&lt;0,(10-0)*A1905,-0*A1905))+C$129*EXP(IF(A1905&lt;0,(10-1)*A1905,-1*A1905))+D$129*EXP(IF(A1905&lt;0,(10-2)*A1905,-2*A1905))+E$129*EXP(IF(A1905&lt;0,(10-3)*A1905,-3*A1905))+F$129*EXP(IF(A1905&lt;0,(10-4)*A1905,-4*A1905))+G$129*EXP(IF(A1905&lt;0,(10-5)*A1905,-5*A1905))+H$129*EXP(IF(A1905&lt;0,(10-6)*A1905,-6*A1905))+I$129*EXP(IF(A1905&lt;0,(10-7)*A1905,-7*A1905))+J$129*EXP(IF(A1905&lt;0,(10-8)*A1905,-8*A1905))+K$129*EXP(IF(A1905&lt;0,(10-9)*A1905,-9*A1905))+L$129*EXP(IF(A1905&lt;0,(10-10)*A1905,-10*A1905)),0)</x:f>
        <x:v>781748.6483184173</x:v>
      </x:c>
      <x:c r="C1905" s="256" t="n">
        <x:f>IF(B1905=0,IF(B1904=0,0,1),IF(B1904=0,0,IF(SIGN(B1905)&lt;&gt;SIGN(B1904),1,0)))</x:f>
        <x:v>0</x:v>
      </x:c>
      <x:c r="D1905" s="256" t="n">
        <x:f>EXP(A1905-0.005)-1</x:f>
        <x:v>-0.9998831944533201</x:v>
      </x:c>
    </x:row>
    <x:row r="1906" ht="20" customHeight="1">
      <x:c r="A1906" s="256" t="n">
        <x:f>-12+296*0.01</x:f>
        <x:v>-9.04</x:v>
      </x:c>
      <x:c r="B1906" s="256" t="n">
        <x:f>IF(COUNT($B$129:$L$129)=11,B$129*EXP(IF(A1906&lt;0,(10-0)*A1906,-0*A1906))+C$129*EXP(IF(A1906&lt;0,(10-1)*A1906,-1*A1906))+D$129*EXP(IF(A1906&lt;0,(10-2)*A1906,-2*A1906))+E$129*EXP(IF(A1906&lt;0,(10-3)*A1906,-3*A1906))+F$129*EXP(IF(A1906&lt;0,(10-4)*A1906,-4*A1906))+G$129*EXP(IF(A1906&lt;0,(10-5)*A1906,-5*A1906))+H$129*EXP(IF(A1906&lt;0,(10-6)*A1906,-6*A1906))+I$129*EXP(IF(A1906&lt;0,(10-7)*A1906,-7*A1906))+J$129*EXP(IF(A1906&lt;0,(10-8)*A1906,-8*A1906))+K$129*EXP(IF(A1906&lt;0,(10-9)*A1906,-9*A1906))+L$129*EXP(IF(A1906&lt;0,(10-10)*A1906,-10*A1906)),0)</x:f>
        <x:v>781748.6631769763</x:v>
      </x:c>
      <x:c r="C1906" s="256" t="n">
        <x:f>IF(B1906=0,IF(B1905=0,0,1),IF(B1905=0,0,IF(SIGN(B1906)&lt;&gt;SIGN(B1905),1,0)))</x:f>
        <x:v>0</x:v>
      </x:c>
      <x:c r="D1906" s="256" t="n">
        <x:f>EXP(A1906-0.005)-1</x:f>
        <x:v>-0.9998820205380596</x:v>
      </x:c>
    </x:row>
    <x:row r="1907" ht="20" customHeight="1">
      <x:c r="A1907" s="256" t="n">
        <x:f>-12+297*0.01</x:f>
        <x:v>-9.03</x:v>
      </x:c>
      <x:c r="B1907" s="256" t="n">
        <x:f>IF(COUNT($B$129:$L$129)=11,B$129*EXP(IF(A1907&lt;0,(10-0)*A1907,-0*A1907))+C$129*EXP(IF(A1907&lt;0,(10-1)*A1907,-1*A1907))+D$129*EXP(IF(A1907&lt;0,(10-2)*A1907,-2*A1907))+E$129*EXP(IF(A1907&lt;0,(10-3)*A1907,-3*A1907))+F$129*EXP(IF(A1907&lt;0,(10-4)*A1907,-4*A1907))+G$129*EXP(IF(A1907&lt;0,(10-5)*A1907,-5*A1907))+H$129*EXP(IF(A1907&lt;0,(10-6)*A1907,-6*A1907))+I$129*EXP(IF(A1907&lt;0,(10-7)*A1907,-7*A1907))+J$129*EXP(IF(A1907&lt;0,(10-8)*A1907,-8*A1907))+K$129*EXP(IF(A1907&lt;0,(10-9)*A1907,-9*A1907))+L$129*EXP(IF(A1907&lt;0,(10-10)*A1907,-10*A1907)),0)</x:f>
        <x:v>781748.6781848933</x:v>
      </x:c>
      <x:c r="C1907" s="256" t="n">
        <x:f>IF(B1907=0,IF(B1906=0,0,1),IF(B1906=0,0,IF(SIGN(B1907)&lt;&gt;SIGN(B1906),1,0)))</x:f>
        <x:v>0</x:v>
      </x:c>
      <x:c r="D1907" s="256" t="n">
        <x:f>EXP(A1907-0.005)-1</x:f>
        <x:v>-0.9998808348247546</x:v>
      </x:c>
    </x:row>
    <x:row r="1908" ht="20" customHeight="1">
      <x:c r="A1908" s="256" t="n">
        <x:f>-12+298*0.01</x:f>
        <x:v>-9.02</x:v>
      </x:c>
      <x:c r="B1908" s="256" t="n">
        <x:f>IF(COUNT($B$129:$L$129)=11,B$129*EXP(IF(A1908&lt;0,(10-0)*A1908,-0*A1908))+C$129*EXP(IF(A1908&lt;0,(10-1)*A1908,-1*A1908))+D$129*EXP(IF(A1908&lt;0,(10-2)*A1908,-2*A1908))+E$129*EXP(IF(A1908&lt;0,(10-3)*A1908,-3*A1908))+F$129*EXP(IF(A1908&lt;0,(10-4)*A1908,-4*A1908))+G$129*EXP(IF(A1908&lt;0,(10-5)*A1908,-5*A1908))+H$129*EXP(IF(A1908&lt;0,(10-6)*A1908,-6*A1908))+I$129*EXP(IF(A1908&lt;0,(10-7)*A1908,-7*A1908))+J$129*EXP(IF(A1908&lt;0,(10-8)*A1908,-8*A1908))+K$129*EXP(IF(A1908&lt;0,(10-9)*A1908,-9*A1908))+L$129*EXP(IF(A1908&lt;0,(10-10)*A1908,-10*A1908)),0)</x:f>
        <x:v>781748.6933436701</x:v>
      </x:c>
      <x:c r="C1908" s="256" t="n">
        <x:f>IF(B1908=0,IF(B1907=0,0,1),IF(B1907=0,0,IF(SIGN(B1908)&lt;&gt;SIGN(B1907),1,0)))</x:f>
        <x:v>0</x:v>
      </x:c>
      <x:c r="D1908" s="256" t="n">
        <x:f>EXP(A1908-0.005)-1</x:f>
        <x:v>-0.9998796371948327</x:v>
      </x:c>
    </x:row>
    <x:row r="1909" ht="20" customHeight="1">
      <x:c r="A1909" s="256" t="n">
        <x:f>-12+299*0.01</x:f>
        <x:v>-9.01</x:v>
      </x:c>
      <x:c r="B1909" s="256" t="n">
        <x:f>IF(COUNT($B$129:$L$129)=11,B$129*EXP(IF(A1909&lt;0,(10-0)*A1909,-0*A1909))+C$129*EXP(IF(A1909&lt;0,(10-1)*A1909,-1*A1909))+D$129*EXP(IF(A1909&lt;0,(10-2)*A1909,-2*A1909))+E$129*EXP(IF(A1909&lt;0,(10-3)*A1909,-3*A1909))+F$129*EXP(IF(A1909&lt;0,(10-4)*A1909,-4*A1909))+G$129*EXP(IF(A1909&lt;0,(10-5)*A1909,-5*A1909))+H$129*EXP(IF(A1909&lt;0,(10-6)*A1909,-6*A1909))+I$129*EXP(IF(A1909&lt;0,(10-7)*A1909,-7*A1909))+J$129*EXP(IF(A1909&lt;0,(10-8)*A1909,-8*A1909))+K$129*EXP(IF(A1909&lt;0,(10-9)*A1909,-9*A1909))+L$129*EXP(IF(A1909&lt;0,(10-10)*A1909,-10*A1909)),0)</x:f>
        <x:v>781748.7086548234</x:v>
      </x:c>
      <x:c r="C1909" s="256" t="n">
        <x:f>IF(B1909=0,IF(B1908=0,0,1),IF(B1908=0,0,IF(SIGN(B1909)&lt;&gt;SIGN(B1908),1,0)))</x:f>
        <x:v>0</x:v>
      </x:c>
      <x:c r="D1909" s="256" t="n">
        <x:f>EXP(A1909-0.005)-1</x:f>
        <x:v>-0.9998784275285302</x:v>
      </x:c>
    </x:row>
    <x:row r="1910" ht="20" customHeight="1">
      <x:c r="A1910" s="256" t="n">
        <x:f>-12+300*0.01</x:f>
        <x:v>-9</x:v>
      </x:c>
      <x:c r="B1910" s="256" t="n">
        <x:f>IF(COUNT($B$129:$L$129)=11,B$129*EXP(IF(A1910&lt;0,(10-0)*A1910,-0*A1910))+C$129*EXP(IF(A1910&lt;0,(10-1)*A1910,-1*A1910))+D$129*EXP(IF(A1910&lt;0,(10-2)*A1910,-2*A1910))+E$129*EXP(IF(A1910&lt;0,(10-3)*A1910,-3*A1910))+F$129*EXP(IF(A1910&lt;0,(10-4)*A1910,-4*A1910))+G$129*EXP(IF(A1910&lt;0,(10-5)*A1910,-5*A1910))+H$129*EXP(IF(A1910&lt;0,(10-6)*A1910,-6*A1910))+I$129*EXP(IF(A1910&lt;0,(10-7)*A1910,-7*A1910))+J$129*EXP(IF(A1910&lt;0,(10-8)*A1910,-8*A1910))+K$129*EXP(IF(A1910&lt;0,(10-9)*A1910,-9*A1910))+L$129*EXP(IF(A1910&lt;0,(10-10)*A1910,-10*A1910)),0)</x:f>
        <x:v>781748.7241198851</x:v>
      </x:c>
      <x:c r="C1910" s="256" t="n">
        <x:f>IF(B1910=0,IF(B1909=0,0,1),IF(B1909=0,0,IF(SIGN(B1910)&lt;&gt;SIGN(B1909),1,0)))</x:f>
        <x:v>0</x:v>
      </x:c>
      <x:c r="D1910" s="256" t="n">
        <x:f>EXP(A1910-0.005)-1</x:f>
        <x:v>-0.999877205704879</x:v>
      </x:c>
    </x:row>
    <x:row r="1911" ht="20" customHeight="1">
      <x:c r="A1911" s="256" t="n">
        <x:f>-12+301*0.01</x:f>
        <x:v>-8.99</x:v>
      </x:c>
      <x:c r="B1911" s="256" t="n">
        <x:f>IF(COUNT($B$129:$L$129)=11,B$129*EXP(IF(A1911&lt;0,(10-0)*A1911,-0*A1911))+C$129*EXP(IF(A1911&lt;0,(10-1)*A1911,-1*A1911))+D$129*EXP(IF(A1911&lt;0,(10-2)*A1911,-2*A1911))+E$129*EXP(IF(A1911&lt;0,(10-3)*A1911,-3*A1911))+F$129*EXP(IF(A1911&lt;0,(10-4)*A1911,-4*A1911))+G$129*EXP(IF(A1911&lt;0,(10-5)*A1911,-5*A1911))+H$129*EXP(IF(A1911&lt;0,(10-6)*A1911,-6*A1911))+I$129*EXP(IF(A1911&lt;0,(10-7)*A1911,-7*A1911))+J$129*EXP(IF(A1911&lt;0,(10-8)*A1911,-8*A1911))+K$129*EXP(IF(A1911&lt;0,(10-9)*A1911,-9*A1911))+L$129*EXP(IF(A1911&lt;0,(10-10)*A1911,-10*A1911)),0)</x:f>
        <x:v>781748.7397404027</x:v>
      </x:c>
      <x:c r="C1911" s="256" t="n">
        <x:f>IF(B1911=0,IF(B1910=0,0,1),IF(B1910=0,0,IF(SIGN(B1911)&lt;&gt;SIGN(B1910),1,0)))</x:f>
        <x:v>0</x:v>
      </x:c>
      <x:c r="D1911" s="256" t="n">
        <x:f>EXP(A1911-0.005)-1</x:f>
        <x:v>-0.9998759716016961</x:v>
      </x:c>
    </x:row>
    <x:row r="1912" ht="20" customHeight="1">
      <x:c r="A1912" s="256" t="n">
        <x:f>-12+302*0.01</x:f>
        <x:v>-8.98</x:v>
      </x:c>
      <x:c r="B1912" s="256" t="n">
        <x:f>IF(COUNT($B$129:$L$129)=11,B$129*EXP(IF(A1912&lt;0,(10-0)*A1912,-0*A1912))+C$129*EXP(IF(A1912&lt;0,(10-1)*A1912,-1*A1912))+D$129*EXP(IF(A1912&lt;0,(10-2)*A1912,-2*A1912))+E$129*EXP(IF(A1912&lt;0,(10-3)*A1912,-3*A1912))+F$129*EXP(IF(A1912&lt;0,(10-4)*A1912,-4*A1912))+G$129*EXP(IF(A1912&lt;0,(10-5)*A1912,-5*A1912))+H$129*EXP(IF(A1912&lt;0,(10-6)*A1912,-6*A1912))+I$129*EXP(IF(A1912&lt;0,(10-7)*A1912,-7*A1912))+J$129*EXP(IF(A1912&lt;0,(10-8)*A1912,-8*A1912))+K$129*EXP(IF(A1912&lt;0,(10-9)*A1912,-9*A1912))+L$129*EXP(IF(A1912&lt;0,(10-10)*A1912,-10*A1912)),0)</x:f>
        <x:v>781748.755517939</x:v>
      </x:c>
      <x:c r="C1912" s="256" t="n">
        <x:f>IF(B1912=0,IF(B1911=0,0,1),IF(B1911=0,0,IF(SIGN(B1912)&lt;&gt;SIGN(B1911),1,0)))</x:f>
        <x:v>0</x:v>
      </x:c>
      <x:c r="D1912" s="256" t="n">
        <x:f>EXP(A1912-0.005)-1</x:f>
        <x:v>-0.99987472509557</x:v>
      </x:c>
    </x:row>
    <x:row r="1913" ht="20" customHeight="1">
      <x:c r="A1913" s="256" t="n">
        <x:f>-12+303*0.01</x:f>
        <x:v>-8.969999999999999</x:v>
      </x:c>
      <x:c r="B1913" s="256" t="n">
        <x:f>IF(COUNT($B$129:$L$129)=11,B$129*EXP(IF(A1913&lt;0,(10-0)*A1913,-0*A1913))+C$129*EXP(IF(A1913&lt;0,(10-1)*A1913,-1*A1913))+D$129*EXP(IF(A1913&lt;0,(10-2)*A1913,-2*A1913))+E$129*EXP(IF(A1913&lt;0,(10-3)*A1913,-3*A1913))+F$129*EXP(IF(A1913&lt;0,(10-4)*A1913,-4*A1913))+G$129*EXP(IF(A1913&lt;0,(10-5)*A1913,-5*A1913))+H$129*EXP(IF(A1913&lt;0,(10-6)*A1913,-6*A1913))+I$129*EXP(IF(A1913&lt;0,(10-7)*A1913,-7*A1913))+J$129*EXP(IF(A1913&lt;0,(10-8)*A1913,-8*A1913))+K$129*EXP(IF(A1913&lt;0,(10-9)*A1913,-9*A1913))+L$129*EXP(IF(A1913&lt;0,(10-10)*A1913,-10*A1913)),0)</x:f>
        <x:v>781748.7714540728</x:v>
      </x:c>
      <x:c r="C1913" s="256" t="n">
        <x:f>IF(B1913=0,IF(B1912=0,0,1),IF(B1912=0,0,IF(SIGN(B1913)&lt;&gt;SIGN(B1912),1,0)))</x:f>
        <x:v>0</x:v>
      </x:c>
      <x:c r="D1913" s="256" t="n">
        <x:f>EXP(A1913-0.005)-1</x:f>
        <x:v>-0.999873466061849</x:v>
      </x:c>
    </x:row>
    <x:row r="1914" ht="20" customHeight="1">
      <x:c r="A1914" s="256" t="n">
        <x:f>-12+304*0.01</x:f>
        <x:v>-8.96</x:v>
      </x:c>
      <x:c r="B1914" s="256" t="n">
        <x:f>IF(COUNT($B$129:$L$129)=11,B$129*EXP(IF(A1914&lt;0,(10-0)*A1914,-0*A1914))+C$129*EXP(IF(A1914&lt;0,(10-1)*A1914,-1*A1914))+D$129*EXP(IF(A1914&lt;0,(10-2)*A1914,-2*A1914))+E$129*EXP(IF(A1914&lt;0,(10-3)*A1914,-3*A1914))+F$129*EXP(IF(A1914&lt;0,(10-4)*A1914,-4*A1914))+G$129*EXP(IF(A1914&lt;0,(10-5)*A1914,-5*A1914))+H$129*EXP(IF(A1914&lt;0,(10-6)*A1914,-6*A1914))+I$129*EXP(IF(A1914&lt;0,(10-7)*A1914,-7*A1914))+J$129*EXP(IF(A1914&lt;0,(10-8)*A1914,-8*A1914))+K$129*EXP(IF(A1914&lt;0,(10-9)*A1914,-9*A1914))+L$129*EXP(IF(A1914&lt;0,(10-10)*A1914,-10*A1914)),0)</x:f>
        <x:v>781748.7875503986</x:v>
      </x:c>
      <x:c r="C1914" s="256" t="n">
        <x:f>IF(B1914=0,IF(B1913=0,0,1),IF(B1913=0,0,IF(SIGN(B1914)&lt;&gt;SIGN(B1913),1,0)))</x:f>
        <x:v>0</x:v>
      </x:c>
      <x:c r="D1914" s="256" t="n">
        <x:f>EXP(A1914-0.005)-1</x:f>
        <x:v>-0.9998721943746287</x:v>
      </x:c>
    </x:row>
    <x:row r="1915" ht="20" customHeight="1">
      <x:c r="A1915" s="256" t="n">
        <x:f>-12+305*0.01</x:f>
        <x:v>-8.95</x:v>
      </x:c>
      <x:c r="B1915" s="256" t="n">
        <x:f>IF(COUNT($B$129:$L$129)=11,B$129*EXP(IF(A1915&lt;0,(10-0)*A1915,-0*A1915))+C$129*EXP(IF(A1915&lt;0,(10-1)*A1915,-1*A1915))+D$129*EXP(IF(A1915&lt;0,(10-2)*A1915,-2*A1915))+E$129*EXP(IF(A1915&lt;0,(10-3)*A1915,-3*A1915))+F$129*EXP(IF(A1915&lt;0,(10-4)*A1915,-4*A1915))+G$129*EXP(IF(A1915&lt;0,(10-5)*A1915,-5*A1915))+H$129*EXP(IF(A1915&lt;0,(10-6)*A1915,-6*A1915))+I$129*EXP(IF(A1915&lt;0,(10-7)*A1915,-7*A1915))+J$129*EXP(IF(A1915&lt;0,(10-8)*A1915,-8*A1915))+K$129*EXP(IF(A1915&lt;0,(10-9)*A1915,-9*A1915))+L$129*EXP(IF(A1915&lt;0,(10-10)*A1915,-10*A1915)),0)</x:f>
        <x:v>781748.803808527</x:v>
      </x:c>
      <x:c r="C1915" s="256" t="n">
        <x:f>IF(B1915=0,IF(B1914=0,0,1),IF(B1914=0,0,IF(SIGN(B1915)&lt;&gt;SIGN(B1914),1,0)))</x:f>
        <x:v>0</x:v>
      </x:c>
      <x:c r="D1915" s="256" t="n">
        <x:f>EXP(A1915-0.005)-1</x:f>
        <x:v>-0.9998709099067394</x:v>
      </x:c>
    </x:row>
    <x:row r="1916" ht="20" customHeight="1">
      <x:c r="A1916" s="256" t="n">
        <x:f>-12+306*0.01</x:f>
        <x:v>-8.94</x:v>
      </x:c>
      <x:c r="B1916" s="256" t="n">
        <x:f>IF(COUNT($B$129:$L$129)=11,B$129*EXP(IF(A1916&lt;0,(10-0)*A1916,-0*A1916))+C$129*EXP(IF(A1916&lt;0,(10-1)*A1916,-1*A1916))+D$129*EXP(IF(A1916&lt;0,(10-2)*A1916,-2*A1916))+E$129*EXP(IF(A1916&lt;0,(10-3)*A1916,-3*A1916))+F$129*EXP(IF(A1916&lt;0,(10-4)*A1916,-4*A1916))+G$129*EXP(IF(A1916&lt;0,(10-5)*A1916,-5*A1916))+H$129*EXP(IF(A1916&lt;0,(10-6)*A1916,-6*A1916))+I$129*EXP(IF(A1916&lt;0,(10-7)*A1916,-7*A1916))+J$129*EXP(IF(A1916&lt;0,(10-8)*A1916,-8*A1916))+K$129*EXP(IF(A1916&lt;0,(10-9)*A1916,-9*A1916))+L$129*EXP(IF(A1916&lt;0,(10-10)*A1916,-10*A1916)),0)</x:f>
        <x:v>781748.8202300847</x:v>
      </x:c>
      <x:c r="C1916" s="256" t="n">
        <x:f>IF(B1916=0,IF(B1915=0,0,1),IF(B1915=0,0,IF(SIGN(B1916)&lt;&gt;SIGN(B1915),1,0)))</x:f>
        <x:v>0</x:v>
      </x:c>
      <x:c r="D1916" s="256" t="n">
        <x:f>EXP(A1916-0.005)-1</x:f>
        <x:v>-0.9998696125297333</x:v>
      </x:c>
    </x:row>
    <x:row r="1917" ht="20" customHeight="1">
      <x:c r="A1917" s="256" t="n">
        <x:f>-12+307*0.01</x:f>
        <x:v>-8.93</x:v>
      </x:c>
      <x:c r="B1917" s="256" t="n">
        <x:f>IF(COUNT($B$129:$L$129)=11,B$129*EXP(IF(A1917&lt;0,(10-0)*A1917,-0*A1917))+C$129*EXP(IF(A1917&lt;0,(10-1)*A1917,-1*A1917))+D$129*EXP(IF(A1917&lt;0,(10-2)*A1917,-2*A1917))+E$129*EXP(IF(A1917&lt;0,(10-3)*A1917,-3*A1917))+F$129*EXP(IF(A1917&lt;0,(10-4)*A1917,-4*A1917))+G$129*EXP(IF(A1917&lt;0,(10-5)*A1917,-5*A1917))+H$129*EXP(IF(A1917&lt;0,(10-6)*A1917,-6*A1917))+I$129*EXP(IF(A1917&lt;0,(10-7)*A1917,-7*A1917))+J$129*EXP(IF(A1917&lt;0,(10-8)*A1917,-8*A1917))+K$129*EXP(IF(A1917&lt;0,(10-9)*A1917,-9*A1917))+L$129*EXP(IF(A1917&lt;0,(10-10)*A1917,-10*A1917)),0)</x:f>
        <x:v>781748.836816715</x:v>
      </x:c>
      <x:c r="C1917" s="256" t="n">
        <x:f>IF(B1917=0,IF(B1916=0,0,1),IF(B1916=0,0,IF(SIGN(B1917)&lt;&gt;SIGN(B1916),1,0)))</x:f>
        <x:v>0</x:v>
      </x:c>
      <x:c r="D1917" s="256" t="n">
        <x:f>EXP(A1917-0.005)-1</x:f>
        <x:v>-0.9998683021138715</x:v>
      </x:c>
    </x:row>
    <x:row r="1918" ht="20" customHeight="1">
      <x:c r="A1918" s="256" t="n">
        <x:f>-12+308*0.01</x:f>
        <x:v>-8.92</x:v>
      </x:c>
      <x:c r="B1918" s="256" t="n">
        <x:f>IF(COUNT($B$129:$L$129)=11,B$129*EXP(IF(A1918&lt;0,(10-0)*A1918,-0*A1918))+C$129*EXP(IF(A1918&lt;0,(10-1)*A1918,-1*A1918))+D$129*EXP(IF(A1918&lt;0,(10-2)*A1918,-2*A1918))+E$129*EXP(IF(A1918&lt;0,(10-3)*A1918,-3*A1918))+F$129*EXP(IF(A1918&lt;0,(10-4)*A1918,-4*A1918))+G$129*EXP(IF(A1918&lt;0,(10-5)*A1918,-5*A1918))+H$129*EXP(IF(A1918&lt;0,(10-6)*A1918,-6*A1918))+I$129*EXP(IF(A1918&lt;0,(10-7)*A1918,-7*A1918))+J$129*EXP(IF(A1918&lt;0,(10-8)*A1918,-8*A1918))+K$129*EXP(IF(A1918&lt;0,(10-9)*A1918,-9*A1918))+L$129*EXP(IF(A1918&lt;0,(10-10)*A1918,-10*A1918)),0)</x:f>
        <x:v>781748.8535700775</x:v>
      </x:c>
      <x:c r="C1918" s="256" t="n">
        <x:f>IF(B1918=0,IF(B1917=0,0,1),IF(B1917=0,0,IF(SIGN(B1918)&lt;&gt;SIGN(B1917),1,0)))</x:f>
        <x:v>0</x:v>
      </x:c>
      <x:c r="D1918" s="256" t="n">
        <x:f>EXP(A1918-0.005)-1</x:f>
        <x:v>-0.9998669785281112</x:v>
      </x:c>
    </x:row>
    <x:row r="1919" ht="20" customHeight="1">
      <x:c r="A1919" s="256" t="n">
        <x:f>-12+309*0.01</x:f>
        <x:v>-8.91</x:v>
      </x:c>
      <x:c r="B1919" s="256" t="n">
        <x:f>IF(COUNT($B$129:$L$129)=11,B$129*EXP(IF(A1919&lt;0,(10-0)*A1919,-0*A1919))+C$129*EXP(IF(A1919&lt;0,(10-1)*A1919,-1*A1919))+D$129*EXP(IF(A1919&lt;0,(10-2)*A1919,-2*A1919))+E$129*EXP(IF(A1919&lt;0,(10-3)*A1919,-3*A1919))+F$129*EXP(IF(A1919&lt;0,(10-4)*A1919,-4*A1919))+G$129*EXP(IF(A1919&lt;0,(10-5)*A1919,-5*A1919))+H$129*EXP(IF(A1919&lt;0,(10-6)*A1919,-6*A1919))+I$129*EXP(IF(A1919&lt;0,(10-7)*A1919,-7*A1919))+J$129*EXP(IF(A1919&lt;0,(10-8)*A1919,-8*A1919))+K$129*EXP(IF(A1919&lt;0,(10-9)*A1919,-9*A1919))+L$129*EXP(IF(A1919&lt;0,(10-10)*A1919,-10*A1919)),0)</x:f>
        <x:v>781748.8704918484</x:v>
      </x:c>
      <x:c r="C1919" s="256" t="n">
        <x:f>IF(B1919=0,IF(B1918=0,0,1),IF(B1918=0,0,IF(SIGN(B1919)&lt;&gt;SIGN(B1918),1,0)))</x:f>
        <x:v>0</x:v>
      </x:c>
      <x:c r="D1919" s="256" t="n">
        <x:f>EXP(A1919-0.005)-1</x:f>
        <x:v>-0.999865641640093</x:v>
      </x:c>
    </x:row>
    <x:row r="1920" ht="20" customHeight="1">
      <x:c r="A1920" s="256" t="n">
        <x:f>-12+310*0.01</x:f>
        <x:v>-8.9</x:v>
      </x:c>
      <x:c r="B1920" s="256" t="n">
        <x:f>IF(COUNT($B$129:$L$129)=11,B$129*EXP(IF(A1920&lt;0,(10-0)*A1920,-0*A1920))+C$129*EXP(IF(A1920&lt;0,(10-1)*A1920,-1*A1920))+D$129*EXP(IF(A1920&lt;0,(10-2)*A1920,-2*A1920))+E$129*EXP(IF(A1920&lt;0,(10-3)*A1920,-3*A1920))+F$129*EXP(IF(A1920&lt;0,(10-4)*A1920,-4*A1920))+G$129*EXP(IF(A1920&lt;0,(10-5)*A1920,-5*A1920))+H$129*EXP(IF(A1920&lt;0,(10-6)*A1920,-6*A1920))+I$129*EXP(IF(A1920&lt;0,(10-7)*A1920,-7*A1920))+J$129*EXP(IF(A1920&lt;0,(10-8)*A1920,-8*A1920))+K$129*EXP(IF(A1920&lt;0,(10-9)*A1920,-9*A1920))+L$129*EXP(IF(A1920&lt;0,(10-10)*A1920,-10*A1920)),0)</x:f>
        <x:v>781748.8875837213</x:v>
      </x:c>
      <x:c r="C1920" s="256" t="n">
        <x:f>IF(B1920=0,IF(B1919=0,0,1),IF(B1919=0,0,IF(SIGN(B1920)&lt;&gt;SIGN(B1919),1,0)))</x:f>
        <x:v>0</x:v>
      </x:c>
      <x:c r="D1920" s="256" t="n">
        <x:f>EXP(A1920-0.005)-1</x:f>
        <x:v>-0.9998642913161268</x:v>
      </x:c>
    </x:row>
    <x:row r="1921" ht="20" customHeight="1">
      <x:c r="A1921" s="256" t="n">
        <x:f>-12+311*0.01</x:f>
        <x:v>-8.89</x:v>
      </x:c>
      <x:c r="B1921" s="256" t="n">
        <x:f>IF(COUNT($B$129:$L$129)=11,B$129*EXP(IF(A1921&lt;0,(10-0)*A1921,-0*A1921))+C$129*EXP(IF(A1921&lt;0,(10-1)*A1921,-1*A1921))+D$129*EXP(IF(A1921&lt;0,(10-2)*A1921,-2*A1921))+E$129*EXP(IF(A1921&lt;0,(10-3)*A1921,-3*A1921))+F$129*EXP(IF(A1921&lt;0,(10-4)*A1921,-4*A1921))+G$129*EXP(IF(A1921&lt;0,(10-5)*A1921,-5*A1921))+H$129*EXP(IF(A1921&lt;0,(10-6)*A1921,-6*A1921))+I$129*EXP(IF(A1921&lt;0,(10-7)*A1921,-7*A1921))+J$129*EXP(IF(A1921&lt;0,(10-8)*A1921,-8*A1921))+K$129*EXP(IF(A1921&lt;0,(10-9)*A1921,-9*A1921))+L$129*EXP(IF(A1921&lt;0,(10-10)*A1921,-10*A1921)),0)</x:f>
        <x:v>781748.9048474062</x:v>
      </x:c>
      <x:c r="C1921" s="256" t="n">
        <x:f>IF(B1921=0,IF(B1920=0,0,1),IF(B1920=0,0,IF(SIGN(B1921)&lt;&gt;SIGN(B1920),1,0)))</x:f>
        <x:v>0</x:v>
      </x:c>
      <x:c r="D1921" s="256" t="n">
        <x:f>EXP(A1921-0.005)-1</x:f>
        <x:v>-0.999862927421179</x:v>
      </x:c>
    </x:row>
    <x:row r="1922" ht="20" customHeight="1">
      <x:c r="A1922" s="256" t="n">
        <x:f>-12+312*0.01</x:f>
        <x:v>-8.879999999999999</x:v>
      </x:c>
      <x:c r="B1922" s="256" t="n">
        <x:f>IF(COUNT($B$129:$L$129)=11,B$129*EXP(IF(A1922&lt;0,(10-0)*A1922,-0*A1922))+C$129*EXP(IF(A1922&lt;0,(10-1)*A1922,-1*A1922))+D$129*EXP(IF(A1922&lt;0,(10-2)*A1922,-2*A1922))+E$129*EXP(IF(A1922&lt;0,(10-3)*A1922,-3*A1922))+F$129*EXP(IF(A1922&lt;0,(10-4)*A1922,-4*A1922))+G$129*EXP(IF(A1922&lt;0,(10-5)*A1922,-5*A1922))+H$129*EXP(IF(A1922&lt;0,(10-6)*A1922,-6*A1922))+I$129*EXP(IF(A1922&lt;0,(10-7)*A1922,-7*A1922))+J$129*EXP(IF(A1922&lt;0,(10-8)*A1922,-8*A1922))+K$129*EXP(IF(A1922&lt;0,(10-9)*A1922,-9*A1922))+L$129*EXP(IF(A1922&lt;0,(10-10)*A1922,-10*A1922)),0)</x:f>
        <x:v>781748.9222846306</x:v>
      </x:c>
      <x:c r="C1922" s="256" t="n">
        <x:f>IF(B1922=0,IF(B1921=0,0,1),IF(B1921=0,0,IF(SIGN(B1922)&lt;&gt;SIGN(B1921),1,0)))</x:f>
        <x:v>0</x:v>
      </x:c>
      <x:c r="D1922" s="256" t="n">
        <x:f>EXP(A1922-0.005)-1</x:f>
        <x:v>-0.9998615498188592</x:v>
      </x:c>
    </x:row>
    <x:row r="1923" ht="20" customHeight="1">
      <x:c r="A1923" s="256" t="n">
        <x:f>-12+313*0.01</x:f>
        <x:v>-8.870000000000001</x:v>
      </x:c>
      <x:c r="B1923" s="256" t="n">
        <x:f>IF(COUNT($B$129:$L$129)=11,B$129*EXP(IF(A1923&lt;0,(10-0)*A1923,-0*A1923))+C$129*EXP(IF(A1923&lt;0,(10-1)*A1923,-1*A1923))+D$129*EXP(IF(A1923&lt;0,(10-2)*A1923,-2*A1923))+E$129*EXP(IF(A1923&lt;0,(10-3)*A1923,-3*A1923))+F$129*EXP(IF(A1923&lt;0,(10-4)*A1923,-4*A1923))+G$129*EXP(IF(A1923&lt;0,(10-5)*A1923,-5*A1923))+H$129*EXP(IF(A1923&lt;0,(10-6)*A1923,-6*A1923))+I$129*EXP(IF(A1923&lt;0,(10-7)*A1923,-7*A1923))+J$129*EXP(IF(A1923&lt;0,(10-8)*A1923,-8*A1923))+K$129*EXP(IF(A1923&lt;0,(10-9)*A1923,-9*A1923))+L$129*EXP(IF(A1923&lt;0,(10-10)*A1923,-10*A1923)),0)</x:f>
        <x:v>781748.9398971393</x:v>
      </x:c>
      <x:c r="C1923" s="256" t="n">
        <x:f>IF(B1923=0,IF(B1922=0,0,1),IF(B1922=0,0,IF(SIGN(B1923)&lt;&gt;SIGN(B1922),1,0)))</x:f>
        <x:v>0</x:v>
      </x:c>
      <x:c r="D1923" s="256" t="n">
        <x:f>EXP(A1923-0.005)-1</x:f>
        <x:v>-0.9998601583714058</x:v>
      </x:c>
    </x:row>
    <x:row r="1924" ht="20" customHeight="1">
      <x:c r="A1924" s="256" t="n">
        <x:f>-12+314*0.01</x:f>
        <x:v>-8.86</x:v>
      </x:c>
      <x:c r="B1924" s="256" t="n">
        <x:f>IF(COUNT($B$129:$L$129)=11,B$129*EXP(IF(A1924&lt;0,(10-0)*A1924,-0*A1924))+C$129*EXP(IF(A1924&lt;0,(10-1)*A1924,-1*A1924))+D$129*EXP(IF(A1924&lt;0,(10-2)*A1924,-2*A1924))+E$129*EXP(IF(A1924&lt;0,(10-3)*A1924,-3*A1924))+F$129*EXP(IF(A1924&lt;0,(10-4)*A1924,-4*A1924))+G$129*EXP(IF(A1924&lt;0,(10-5)*A1924,-5*A1924))+H$129*EXP(IF(A1924&lt;0,(10-6)*A1924,-6*A1924))+I$129*EXP(IF(A1924&lt;0,(10-7)*A1924,-7*A1924))+J$129*EXP(IF(A1924&lt;0,(10-8)*A1924,-8*A1924))+K$129*EXP(IF(A1924&lt;0,(10-9)*A1924,-9*A1924))+L$129*EXP(IF(A1924&lt;0,(10-10)*A1924,-10*A1924)),0)</x:f>
        <x:v>781748.9576866949</x:v>
      </x:c>
      <x:c r="C1924" s="256" t="n">
        <x:f>IF(B1924=0,IF(B1923=0,0,1),IF(B1923=0,0,IF(SIGN(B1924)&lt;&gt;SIGN(B1923),1,0)))</x:f>
        <x:v>0</x:v>
      </x:c>
      <x:c r="D1924" s="256" t="n">
        <x:f>EXP(A1924-0.005)-1</x:f>
        <x:v>-0.9998587529396732</x:v>
      </x:c>
    </x:row>
    <x:row r="1925" ht="20" customHeight="1">
      <x:c r="A1925" s="256" t="n">
        <x:f>-12+315*0.01</x:f>
        <x:v>-8.85</x:v>
      </x:c>
      <x:c r="B1925" s="256" t="n">
        <x:f>IF(COUNT($B$129:$L$129)=11,B$129*EXP(IF(A1925&lt;0,(10-0)*A1925,-0*A1925))+C$129*EXP(IF(A1925&lt;0,(10-1)*A1925,-1*A1925))+D$129*EXP(IF(A1925&lt;0,(10-2)*A1925,-2*A1925))+E$129*EXP(IF(A1925&lt;0,(10-3)*A1925,-3*A1925))+F$129*EXP(IF(A1925&lt;0,(10-4)*A1925,-4*A1925))+G$129*EXP(IF(A1925&lt;0,(10-5)*A1925,-5*A1925))+H$129*EXP(IF(A1925&lt;0,(10-6)*A1925,-6*A1925))+I$129*EXP(IF(A1925&lt;0,(10-7)*A1925,-7*A1925))+J$129*EXP(IF(A1925&lt;0,(10-8)*A1925,-8*A1925))+K$129*EXP(IF(A1925&lt;0,(10-9)*A1925,-9*A1925))+L$129*EXP(IF(A1925&lt;0,(10-10)*A1925,-10*A1925)),0)</x:f>
        <x:v>781748.9756550773</x:v>
      </x:c>
      <x:c r="C1925" s="256" t="n">
        <x:f>IF(B1925=0,IF(B1924=0,0,1),IF(B1924=0,0,IF(SIGN(B1925)&lt;&gt;SIGN(B1924),1,0)))</x:f>
        <x:v>0</x:v>
      </x:c>
      <x:c r="D1925" s="256" t="n">
        <x:f>EXP(A1925-0.005)-1</x:f>
        <x:v>-0.9998573333831168</x:v>
      </x:c>
    </x:row>
    <x:row r="1926" ht="20" customHeight="1">
      <x:c r="A1926" s="256" t="n">
        <x:f>-12+316*0.01</x:f>
        <x:v>-8.84</x:v>
      </x:c>
      <x:c r="B1926" s="256" t="n">
        <x:f>IF(COUNT($B$129:$L$129)=11,B$129*EXP(IF(A1926&lt;0,(10-0)*A1926,-0*A1926))+C$129*EXP(IF(A1926&lt;0,(10-1)*A1926,-1*A1926))+D$129*EXP(IF(A1926&lt;0,(10-2)*A1926,-2*A1926))+E$129*EXP(IF(A1926&lt;0,(10-3)*A1926,-3*A1926))+F$129*EXP(IF(A1926&lt;0,(10-4)*A1926,-4*A1926))+G$129*EXP(IF(A1926&lt;0,(10-5)*A1926,-5*A1926))+H$129*EXP(IF(A1926&lt;0,(10-6)*A1926,-6*A1926))+I$129*EXP(IF(A1926&lt;0,(10-7)*A1926,-7*A1926))+J$129*EXP(IF(A1926&lt;0,(10-8)*A1926,-8*A1926))+K$129*EXP(IF(A1926&lt;0,(10-9)*A1926,-9*A1926))+L$129*EXP(IF(A1926&lt;0,(10-10)*A1926,-10*A1926)),0)</x:f>
        <x:v>781748.9938040846</x:v>
      </x:c>
      <x:c r="C1926" s="256" t="n">
        <x:f>IF(B1926=0,IF(B1925=0,0,1),IF(B1925=0,0,IF(SIGN(B1926)&lt;&gt;SIGN(B1925),1,0)))</x:f>
        <x:v>0</x:v>
      </x:c>
      <x:c r="D1926" s="256" t="n">
        <x:f>EXP(A1926-0.005)-1</x:f>
        <x:v>-0.9998558995597797</x:v>
      </x:c>
    </x:row>
    <x:row r="1927" ht="20" customHeight="1">
      <x:c r="A1927" s="256" t="n">
        <x:f>-12+317*0.01</x:f>
        <x:v>-8.83</x:v>
      </x:c>
      <x:c r="B1927" s="256" t="n">
        <x:f>IF(COUNT($B$129:$L$129)=11,B$129*EXP(IF(A1927&lt;0,(10-0)*A1927,-0*A1927))+C$129*EXP(IF(A1927&lt;0,(10-1)*A1927,-1*A1927))+D$129*EXP(IF(A1927&lt;0,(10-2)*A1927,-2*A1927))+E$129*EXP(IF(A1927&lt;0,(10-3)*A1927,-3*A1927))+F$129*EXP(IF(A1927&lt;0,(10-4)*A1927,-4*A1927))+G$129*EXP(IF(A1927&lt;0,(10-5)*A1927,-5*A1927))+H$129*EXP(IF(A1927&lt;0,(10-6)*A1927,-6*A1927))+I$129*EXP(IF(A1927&lt;0,(10-7)*A1927,-7*A1927))+J$129*EXP(IF(A1927&lt;0,(10-8)*A1927,-8*A1927))+K$129*EXP(IF(A1927&lt;0,(10-9)*A1927,-9*A1927))+L$129*EXP(IF(A1927&lt;0,(10-10)*A1927,-10*A1927)),0)</x:f>
        <x:v>781749.0121355328</x:v>
      </x:c>
      <x:c r="C1927" s="256" t="n">
        <x:f>IF(B1927=0,IF(B1926=0,0,1),IF(B1926=0,0,IF(SIGN(B1927)&lt;&gt;SIGN(B1926),1,0)))</x:f>
        <x:v>0</x:v>
      </x:c>
      <x:c r="D1927" s="256" t="n">
        <x:f>EXP(A1927-0.005)-1</x:f>
        <x:v>-0.9998544513262787</x:v>
      </x:c>
    </x:row>
    <x:row r="1928" ht="20" customHeight="1">
      <x:c r="A1928" s="256" t="n">
        <x:f>-12+318*0.01</x:f>
        <x:v>-8.82</x:v>
      </x:c>
      <x:c r="B1928" s="256" t="n">
        <x:f>IF(COUNT($B$129:$L$129)=11,B$129*EXP(IF(A1928&lt;0,(10-0)*A1928,-0*A1928))+C$129*EXP(IF(A1928&lt;0,(10-1)*A1928,-1*A1928))+D$129*EXP(IF(A1928&lt;0,(10-2)*A1928,-2*A1928))+E$129*EXP(IF(A1928&lt;0,(10-3)*A1928,-3*A1928))+F$129*EXP(IF(A1928&lt;0,(10-4)*A1928,-4*A1928))+G$129*EXP(IF(A1928&lt;0,(10-5)*A1928,-5*A1928))+H$129*EXP(IF(A1928&lt;0,(10-6)*A1928,-6*A1928))+I$129*EXP(IF(A1928&lt;0,(10-7)*A1928,-7*A1928))+J$129*EXP(IF(A1928&lt;0,(10-8)*A1928,-8*A1928))+K$129*EXP(IF(A1928&lt;0,(10-9)*A1928,-9*A1928))+L$129*EXP(IF(A1928&lt;0,(10-10)*A1928,-10*A1928)),0)</x:f>
        <x:v>781749.0306512566</x:v>
      </x:c>
      <x:c r="C1928" s="256" t="n">
        <x:f>IF(B1928=0,IF(B1927=0,0,1),IF(B1927=0,0,IF(SIGN(B1928)&lt;&gt;SIGN(B1927),1,0)))</x:f>
        <x:v>0</x:v>
      </x:c>
      <x:c r="D1928" s="256" t="n">
        <x:f>EXP(A1928-0.005)-1</x:f>
        <x:v>-0.9998529885377889</x:v>
      </x:c>
    </x:row>
    <x:row r="1929" ht="20" customHeight="1">
      <x:c r="A1929" s="256" t="n">
        <x:f>-12+319*0.01</x:f>
        <x:v>-8.81</x:v>
      </x:c>
      <x:c r="B1929" s="256" t="n">
        <x:f>IF(COUNT($B$129:$L$129)=11,B$129*EXP(IF(A1929&lt;0,(10-0)*A1929,-0*A1929))+C$129*EXP(IF(A1929&lt;0,(10-1)*A1929,-1*A1929))+D$129*EXP(IF(A1929&lt;0,(10-2)*A1929,-2*A1929))+E$129*EXP(IF(A1929&lt;0,(10-3)*A1929,-3*A1929))+F$129*EXP(IF(A1929&lt;0,(10-4)*A1929,-4*A1929))+G$129*EXP(IF(A1929&lt;0,(10-5)*A1929,-5*A1929))+H$129*EXP(IF(A1929&lt;0,(10-6)*A1929,-6*A1929))+I$129*EXP(IF(A1929&lt;0,(10-7)*A1929,-7*A1929))+J$129*EXP(IF(A1929&lt;0,(10-8)*A1929,-8*A1929))+K$129*EXP(IF(A1929&lt;0,(10-9)*A1929,-9*A1929))+L$129*EXP(IF(A1929&lt;0,(10-10)*A1929,-10*A1929)),0)</x:f>
        <x:v>781749.0493531085</x:v>
      </x:c>
      <x:c r="C1929" s="256" t="n">
        <x:f>IF(B1929=0,IF(B1928=0,0,1),IF(B1928=0,0,IF(SIGN(B1929)&lt;&gt;SIGN(B1928),1,0)))</x:f>
        <x:v>0</x:v>
      </x:c>
      <x:c r="D1929" s="256" t="n">
        <x:f>EXP(A1929-0.005)-1</x:f>
        <x:v>-0.9998515110480304</x:v>
      </x:c>
    </x:row>
    <x:row r="1930" ht="20" customHeight="1">
      <x:c r="A1930" s="256" t="n">
        <x:f>-12+320*0.01</x:f>
        <x:v>-8.8</x:v>
      </x:c>
      <x:c r="B1930" s="256" t="n">
        <x:f>IF(COUNT($B$129:$L$129)=11,B$129*EXP(IF(A1930&lt;0,(10-0)*A1930,-0*A1930))+C$129*EXP(IF(A1930&lt;0,(10-1)*A1930,-1*A1930))+D$129*EXP(IF(A1930&lt;0,(10-2)*A1930,-2*A1930))+E$129*EXP(IF(A1930&lt;0,(10-3)*A1930,-3*A1930))+F$129*EXP(IF(A1930&lt;0,(10-4)*A1930,-4*A1930))+G$129*EXP(IF(A1930&lt;0,(10-5)*A1930,-5*A1930))+H$129*EXP(IF(A1930&lt;0,(10-6)*A1930,-6*A1930))+I$129*EXP(IF(A1930&lt;0,(10-7)*A1930,-7*A1930))+J$129*EXP(IF(A1930&lt;0,(10-8)*A1930,-8*A1930))+K$129*EXP(IF(A1930&lt;0,(10-9)*A1930,-9*A1930))+L$129*EXP(IF(A1930&lt;0,(10-10)*A1930,-10*A1930)),0)</x:f>
        <x:v>781749.06824296</x:v>
      </x:c>
      <x:c r="C1930" s="256" t="n">
        <x:f>IF(B1930=0,IF(B1929=0,0,1),IF(B1929=0,0,IF(SIGN(B1930)&lt;&gt;SIGN(B1929),1,0)))</x:f>
        <x:v>0</x:v>
      </x:c>
      <x:c r="D1930" s="256" t="n">
        <x:f>EXP(A1930-0.005)-1</x:f>
        <x:v>-0.9998500187092529</x:v>
      </x:c>
    </x:row>
    <x:row r="1931" ht="20" customHeight="1">
      <x:c r="A1931" s="256" t="n">
        <x:f>-12+321*0.01</x:f>
        <x:v>-8.79</x:v>
      </x:c>
      <x:c r="B1931" s="256" t="n">
        <x:f>IF(COUNT($B$129:$L$129)=11,B$129*EXP(IF(A1931&lt;0,(10-0)*A1931,-0*A1931))+C$129*EXP(IF(A1931&lt;0,(10-1)*A1931,-1*A1931))+D$129*EXP(IF(A1931&lt;0,(10-2)*A1931,-2*A1931))+E$129*EXP(IF(A1931&lt;0,(10-3)*A1931,-3*A1931))+F$129*EXP(IF(A1931&lt;0,(10-4)*A1931,-4*A1931))+G$129*EXP(IF(A1931&lt;0,(10-5)*A1931,-5*A1931))+H$129*EXP(IF(A1931&lt;0,(10-6)*A1931,-6*A1931))+I$129*EXP(IF(A1931&lt;0,(10-7)*A1931,-7*A1931))+J$129*EXP(IF(A1931&lt;0,(10-8)*A1931,-8*A1931))+K$129*EXP(IF(A1931&lt;0,(10-9)*A1931,-9*A1931))+L$129*EXP(IF(A1931&lt;0,(10-10)*A1931,-10*A1931)),0)</x:f>
        <x:v>781749.0873227017</x:v>
      </x:c>
      <x:c r="C1931" s="256" t="n">
        <x:f>IF(B1931=0,IF(B1930=0,0,1),IF(B1930=0,0,IF(SIGN(B1931)&lt;&gt;SIGN(B1930),1,0)))</x:f>
        <x:v>0</x:v>
      </x:c>
      <x:c r="D1931" s="256" t="n">
        <x:f>EXP(A1931-0.005)-1</x:f>
        <x:v>-0.9998485113722214</x:v>
      </x:c>
    </x:row>
    <x:row r="1932" ht="20" customHeight="1">
      <x:c r="A1932" s="256" t="n">
        <x:f>-12+322*0.01</x:f>
        <x:v>-8.78</x:v>
      </x:c>
      <x:c r="B1932" s="256" t="n">
        <x:f>IF(COUNT($B$129:$L$129)=11,B$129*EXP(IF(A1932&lt;0,(10-0)*A1932,-0*A1932))+C$129*EXP(IF(A1932&lt;0,(10-1)*A1932,-1*A1932))+D$129*EXP(IF(A1932&lt;0,(10-2)*A1932,-2*A1932))+E$129*EXP(IF(A1932&lt;0,(10-3)*A1932,-3*A1932))+F$129*EXP(IF(A1932&lt;0,(10-4)*A1932,-4*A1932))+G$129*EXP(IF(A1932&lt;0,(10-5)*A1932,-5*A1932))+H$129*EXP(IF(A1932&lt;0,(10-6)*A1932,-6*A1932))+I$129*EXP(IF(A1932&lt;0,(10-7)*A1932,-7*A1932))+J$129*EXP(IF(A1932&lt;0,(10-8)*A1932,-8*A1932))+K$129*EXP(IF(A1932&lt;0,(10-9)*A1932,-9*A1932))+L$129*EXP(IF(A1932&lt;0,(10-10)*A1932,-10*A1932)),0)</x:f>
        <x:v>781749.1065942426</x:v>
      </x:c>
      <x:c r="C1932" s="256" t="n">
        <x:f>IF(B1932=0,IF(B1931=0,0,1),IF(B1931=0,0,IF(SIGN(B1932)&lt;&gt;SIGN(B1931),1,0)))</x:f>
        <x:v>0</x:v>
      </x:c>
      <x:c r="D1932" s="256" t="n">
        <x:f>EXP(A1932-0.005)-1</x:f>
        <x:v>-0.9998469888862008</x:v>
      </x:c>
    </x:row>
    <x:row r="1933" ht="20" customHeight="1">
      <x:c r="A1933" s="256" t="n">
        <x:f>-12+323*0.01</x:f>
        <x:v>-8.77</x:v>
      </x:c>
      <x:c r="B1933" s="256" t="n">
        <x:f>IF(COUNT($B$129:$L$129)=11,B$129*EXP(IF(A1933&lt;0,(10-0)*A1933,-0*A1933))+C$129*EXP(IF(A1933&lt;0,(10-1)*A1933,-1*A1933))+D$129*EXP(IF(A1933&lt;0,(10-2)*A1933,-2*A1933))+E$129*EXP(IF(A1933&lt;0,(10-3)*A1933,-3*A1933))+F$129*EXP(IF(A1933&lt;0,(10-4)*A1933,-4*A1933))+G$129*EXP(IF(A1933&lt;0,(10-5)*A1933,-5*A1933))+H$129*EXP(IF(A1933&lt;0,(10-6)*A1933,-6*A1933))+I$129*EXP(IF(A1933&lt;0,(10-7)*A1933,-7*A1933))+J$129*EXP(IF(A1933&lt;0,(10-8)*A1933,-8*A1933))+K$129*EXP(IF(A1933&lt;0,(10-9)*A1933,-9*A1933))+L$129*EXP(IF(A1933&lt;0,(10-10)*A1933,-10*A1933)),0)</x:f>
        <x:v>781749.1260595113</x:v>
      </x:c>
      <x:c r="C1933" s="256" t="n">
        <x:f>IF(B1933=0,IF(B1932=0,0,1),IF(B1932=0,0,IF(SIGN(B1933)&lt;&gt;SIGN(B1932),1,0)))</x:f>
        <x:v>0</x:v>
      </x:c>
      <x:c r="D1933" s="256" t="n">
        <x:f>EXP(A1933-0.005)-1</x:f>
        <x:v>-0.9998454510989415</x:v>
      </x:c>
    </x:row>
    <x:row r="1934" ht="20" customHeight="1">
      <x:c r="A1934" s="256" t="n">
        <x:f>-12+324*0.01</x:f>
        <x:v>-8.76</x:v>
      </x:c>
      <x:c r="B1934" s="256" t="n">
        <x:f>IF(COUNT($B$129:$L$129)=11,B$129*EXP(IF(A1934&lt;0,(10-0)*A1934,-0*A1934))+C$129*EXP(IF(A1934&lt;0,(10-1)*A1934,-1*A1934))+D$129*EXP(IF(A1934&lt;0,(10-2)*A1934,-2*A1934))+E$129*EXP(IF(A1934&lt;0,(10-3)*A1934,-3*A1934))+F$129*EXP(IF(A1934&lt;0,(10-4)*A1934,-4*A1934))+G$129*EXP(IF(A1934&lt;0,(10-5)*A1934,-5*A1934))+H$129*EXP(IF(A1934&lt;0,(10-6)*A1934,-6*A1934))+I$129*EXP(IF(A1934&lt;0,(10-7)*A1934,-7*A1934))+J$129*EXP(IF(A1934&lt;0,(10-8)*A1934,-8*A1934))+K$129*EXP(IF(A1934&lt;0,(10-9)*A1934,-9*A1934))+L$129*EXP(IF(A1934&lt;0,(10-10)*A1934,-10*A1934)),0)</x:f>
        <x:v>781749.1457204558</x:v>
      </x:c>
      <x:c r="C1934" s="256" t="n">
        <x:f>IF(B1934=0,IF(B1933=0,0,1),IF(B1933=0,0,IF(SIGN(B1934)&lt;&gt;SIGN(B1933),1,0)))</x:f>
        <x:v>0</x:v>
      </x:c>
      <x:c r="D1934" s="256" t="n">
        <x:f>EXP(A1934-0.005)-1</x:f>
        <x:v>-0.9998438978566632</x:v>
      </x:c>
    </x:row>
    <x:row r="1935" ht="20" customHeight="1">
      <x:c r="A1935" s="256" t="n">
        <x:f>-12+325*0.01</x:f>
        <x:v>-8.75</x:v>
      </x:c>
      <x:c r="B1935" s="256" t="n">
        <x:f>IF(COUNT($B$129:$L$129)=11,B$129*EXP(IF(A1935&lt;0,(10-0)*A1935,-0*A1935))+C$129*EXP(IF(A1935&lt;0,(10-1)*A1935,-1*A1935))+D$129*EXP(IF(A1935&lt;0,(10-2)*A1935,-2*A1935))+E$129*EXP(IF(A1935&lt;0,(10-3)*A1935,-3*A1935))+F$129*EXP(IF(A1935&lt;0,(10-4)*A1935,-4*A1935))+G$129*EXP(IF(A1935&lt;0,(10-5)*A1935,-5*A1935))+H$129*EXP(IF(A1935&lt;0,(10-6)*A1935,-6*A1935))+I$129*EXP(IF(A1935&lt;0,(10-7)*A1935,-7*A1935))+J$129*EXP(IF(A1935&lt;0,(10-8)*A1935,-8*A1935))+K$129*EXP(IF(A1935&lt;0,(10-9)*A1935,-9*A1935))+L$129*EXP(IF(A1935&lt;0,(10-10)*A1935,-10*A1935)),0)</x:f>
        <x:v>781749.1655790434</x:v>
      </x:c>
      <x:c r="C1935" s="256" t="n">
        <x:f>IF(B1935=0,IF(B1934=0,0,1),IF(B1934=0,0,IF(SIGN(B1935)&lt;&gt;SIGN(B1934),1,0)))</x:f>
        <x:v>0</x:v>
      </x:c>
      <x:c r="D1935" s="256" t="n">
        <x:f>EXP(A1935-0.005)-1</x:f>
        <x:v>-0.9998423290040405</x:v>
      </x:c>
    </x:row>
    <x:row r="1936" ht="20" customHeight="1">
      <x:c r="A1936" s="256" t="n">
        <x:f>-12+326*0.01</x:f>
        <x:v>-8.74</x:v>
      </x:c>
      <x:c r="B1936" s="256" t="n">
        <x:f>IF(COUNT($B$129:$L$129)=11,B$129*EXP(IF(A1936&lt;0,(10-0)*A1936,-0*A1936))+C$129*EXP(IF(A1936&lt;0,(10-1)*A1936,-1*A1936))+D$129*EXP(IF(A1936&lt;0,(10-2)*A1936,-2*A1936))+E$129*EXP(IF(A1936&lt;0,(10-3)*A1936,-3*A1936))+F$129*EXP(IF(A1936&lt;0,(10-4)*A1936,-4*A1936))+G$129*EXP(IF(A1936&lt;0,(10-5)*A1936,-5*A1936))+H$129*EXP(IF(A1936&lt;0,(10-6)*A1936,-6*A1936))+I$129*EXP(IF(A1936&lt;0,(10-7)*A1936,-7*A1936))+J$129*EXP(IF(A1936&lt;0,(10-8)*A1936,-8*A1936))+K$129*EXP(IF(A1936&lt;0,(10-9)*A1936,-9*A1936))+L$129*EXP(IF(A1936&lt;0,(10-10)*A1936,-10*A1936)),0)</x:f>
        <x:v>781749.1856372617</x:v>
      </x:c>
      <x:c r="C1936" s="256" t="n">
        <x:f>IF(B1936=0,IF(B1935=0,0,1),IF(B1935=0,0,IF(SIGN(B1936)&lt;&gt;SIGN(B1935),1,0)))</x:f>
        <x:v>0</x:v>
      </x:c>
      <x:c r="D1936" s="256" t="n">
        <x:f>EXP(A1936-0.005)-1</x:f>
        <x:v>-0.9998407443841867</x:v>
      </x:c>
    </x:row>
    <x:row r="1937" ht="20" customHeight="1">
      <x:c r="A1937" s="256" t="n">
        <x:f>-12+327*0.01</x:f>
        <x:v>-8.73</x:v>
      </x:c>
      <x:c r="B1937" s="256" t="n">
        <x:f>IF(COUNT($B$129:$L$129)=11,B$129*EXP(IF(A1937&lt;0,(10-0)*A1937,-0*A1937))+C$129*EXP(IF(A1937&lt;0,(10-1)*A1937,-1*A1937))+D$129*EXP(IF(A1937&lt;0,(10-2)*A1937,-2*A1937))+E$129*EXP(IF(A1937&lt;0,(10-3)*A1937,-3*A1937))+F$129*EXP(IF(A1937&lt;0,(10-4)*A1937,-4*A1937))+G$129*EXP(IF(A1937&lt;0,(10-5)*A1937,-5*A1937))+H$129*EXP(IF(A1937&lt;0,(10-6)*A1937,-6*A1937))+I$129*EXP(IF(A1937&lt;0,(10-7)*A1937,-7*A1937))+J$129*EXP(IF(A1937&lt;0,(10-8)*A1937,-8*A1937))+K$129*EXP(IF(A1937&lt;0,(10-9)*A1937,-9*A1937))+L$129*EXP(IF(A1937&lt;0,(10-10)*A1937,-10*A1937)),0)</x:f>
        <x:v>781749.2058971178</x:v>
      </x:c>
      <x:c r="C1937" s="256" t="n">
        <x:f>IF(B1937=0,IF(B1936=0,0,1),IF(B1936=0,0,IF(SIGN(B1937)&lt;&gt;SIGN(B1936),1,0)))</x:f>
        <x:v>0</x:v>
      </x:c>
      <x:c r="D1937" s="256" t="n">
        <x:f>EXP(A1937-0.005)-1</x:f>
        <x:v>-0.9998391438386387</x:v>
      </x:c>
    </x:row>
    <x:row r="1938" ht="20" customHeight="1">
      <x:c r="A1938" s="256" t="n">
        <x:f>-12+328*0.01</x:f>
        <x:v>-8.719999999999999</x:v>
      </x:c>
      <x:c r="B1938" s="256" t="n">
        <x:f>IF(COUNT($B$129:$L$129)=11,B$129*EXP(IF(A1938&lt;0,(10-0)*A1938,-0*A1938))+C$129*EXP(IF(A1938&lt;0,(10-1)*A1938,-1*A1938))+D$129*EXP(IF(A1938&lt;0,(10-2)*A1938,-2*A1938))+E$129*EXP(IF(A1938&lt;0,(10-3)*A1938,-3*A1938))+F$129*EXP(IF(A1938&lt;0,(10-4)*A1938,-4*A1938))+G$129*EXP(IF(A1938&lt;0,(10-5)*A1938,-5*A1938))+H$129*EXP(IF(A1938&lt;0,(10-6)*A1938,-6*A1938))+I$129*EXP(IF(A1938&lt;0,(10-7)*A1938,-7*A1938))+J$129*EXP(IF(A1938&lt;0,(10-8)*A1938,-8*A1938))+K$129*EXP(IF(A1938&lt;0,(10-9)*A1938,-9*A1938))+L$129*EXP(IF(A1938&lt;0,(10-10)*A1938,-10*A1938)),0)</x:f>
        <x:v>781749.2263606393</x:v>
      </x:c>
      <x:c r="C1938" s="256" t="n">
        <x:f>IF(B1938=0,IF(B1937=0,0,1),IF(B1937=0,0,IF(SIGN(B1938)&lt;&gt;SIGN(B1937),1,0)))</x:f>
        <x:v>0</x:v>
      </x:c>
      <x:c r="D1938" s="256" t="n">
        <x:f>EXP(A1938-0.005)-1</x:f>
        <x:v>-0.9998375272073405</x:v>
      </x:c>
    </x:row>
    <x:row r="1939" ht="20" customHeight="1">
      <x:c r="A1939" s="256" t="n">
        <x:f>-12+329*0.01</x:f>
        <x:v>-8.71</x:v>
      </x:c>
      <x:c r="B1939" s="256" t="n">
        <x:f>IF(COUNT($B$129:$L$129)=11,B$129*EXP(IF(A1939&lt;0,(10-0)*A1939,-0*A1939))+C$129*EXP(IF(A1939&lt;0,(10-1)*A1939,-1*A1939))+D$129*EXP(IF(A1939&lt;0,(10-2)*A1939,-2*A1939))+E$129*EXP(IF(A1939&lt;0,(10-3)*A1939,-3*A1939))+F$129*EXP(IF(A1939&lt;0,(10-4)*A1939,-4*A1939))+G$129*EXP(IF(A1939&lt;0,(10-5)*A1939,-5*A1939))+H$129*EXP(IF(A1939&lt;0,(10-6)*A1939,-6*A1939))+I$129*EXP(IF(A1939&lt;0,(10-7)*A1939,-7*A1939))+J$129*EXP(IF(A1939&lt;0,(10-8)*A1939,-8*A1939))+K$129*EXP(IF(A1939&lt;0,(10-9)*A1939,-9*A1939))+L$129*EXP(IF(A1939&lt;0,(10-10)*A1939,-10*A1939)),0)</x:f>
        <x:v>781749.2470298741</x:v>
      </x:c>
      <x:c r="C1939" s="256" t="n">
        <x:f>IF(B1939=0,IF(B1938=0,0,1),IF(B1938=0,0,IF(SIGN(B1939)&lt;&gt;SIGN(B1938),1,0)))</x:f>
        <x:v>0</x:v>
      </x:c>
      <x:c r="D1939" s="256" t="n">
        <x:f>EXP(A1939-0.005)-1</x:f>
        <x:v>-0.9998358943286276</x:v>
      </x:c>
    </x:row>
    <x:row r="1940" ht="20" customHeight="1">
      <x:c r="A1940" s="256" t="n">
        <x:f>-12+330*0.01</x:f>
        <x:v>-8.7</x:v>
      </x:c>
      <x:c r="B1940" s="256" t="n">
        <x:f>IF(COUNT($B$129:$L$129)=11,B$129*EXP(IF(A1940&lt;0,(10-0)*A1940,-0*A1940))+C$129*EXP(IF(A1940&lt;0,(10-1)*A1940,-1*A1940))+D$129*EXP(IF(A1940&lt;0,(10-2)*A1940,-2*A1940))+E$129*EXP(IF(A1940&lt;0,(10-3)*A1940,-3*A1940))+F$129*EXP(IF(A1940&lt;0,(10-4)*A1940,-4*A1940))+G$129*EXP(IF(A1940&lt;0,(10-5)*A1940,-5*A1940))+H$129*EXP(IF(A1940&lt;0,(10-6)*A1940,-6*A1940))+I$129*EXP(IF(A1940&lt;0,(10-7)*A1940,-7*A1940))+J$129*EXP(IF(A1940&lt;0,(10-8)*A1940,-8*A1940))+K$129*EXP(IF(A1940&lt;0,(10-9)*A1940,-9*A1940))+L$129*EXP(IF(A1940&lt;0,(10-10)*A1940,-10*A1940)),0)</x:f>
        <x:v>781749.2679068905</x:v>
      </x:c>
      <x:c r="C1940" s="256" t="n">
        <x:f>IF(B1940=0,IF(B1939=0,0,1),IF(B1939=0,0,IF(SIGN(B1940)&lt;&gt;SIGN(B1939),1,0)))</x:f>
        <x:v>0</x:v>
      </x:c>
      <x:c r="D1940" s="256" t="n">
        <x:f>EXP(A1940-0.005)-1</x:f>
        <x:v>-0.9998342450392109</x:v>
      </x:c>
    </x:row>
    <x:row r="1941" ht="20" customHeight="1">
      <x:c r="A1941" s="256" t="n">
        <x:f>-12+331*0.01</x:f>
        <x:v>-8.69</x:v>
      </x:c>
      <x:c r="B1941" s="256" t="n">
        <x:f>IF(COUNT($B$129:$L$129)=11,B$129*EXP(IF(A1941&lt;0,(10-0)*A1941,-0*A1941))+C$129*EXP(IF(A1941&lt;0,(10-1)*A1941,-1*A1941))+D$129*EXP(IF(A1941&lt;0,(10-2)*A1941,-2*A1941))+E$129*EXP(IF(A1941&lt;0,(10-3)*A1941,-3*A1941))+F$129*EXP(IF(A1941&lt;0,(10-4)*A1941,-4*A1941))+G$129*EXP(IF(A1941&lt;0,(10-5)*A1941,-5*A1941))+H$129*EXP(IF(A1941&lt;0,(10-6)*A1941,-6*A1941))+I$129*EXP(IF(A1941&lt;0,(10-7)*A1941,-7*A1941))+J$129*EXP(IF(A1941&lt;0,(10-8)*A1941,-8*A1941))+K$129*EXP(IF(A1941&lt;0,(10-9)*A1941,-9*A1941))+L$129*EXP(IF(A1941&lt;0,(10-10)*A1941,-10*A1941)),0)</x:f>
        <x:v>781749.288993778</x:v>
      </x:c>
      <x:c r="C1941" s="256" t="n">
        <x:f>IF(B1941=0,IF(B1940=0,0,1),IF(B1940=0,0,IF(SIGN(B1941)&lt;&gt;SIGN(B1940),1,0)))</x:f>
        <x:v>0</x:v>
      </x:c>
      <x:c r="D1941" s="256" t="n">
        <x:f>EXP(A1941-0.005)-1</x:f>
        <x:v>-0.9998325791741599</x:v>
      </x:c>
    </x:row>
    <x:row r="1942" ht="20" customHeight="1">
      <x:c r="A1942" s="256" t="n">
        <x:f>-12+332*0.01</x:f>
        <x:v>-8.68</x:v>
      </x:c>
      <x:c r="B1942" s="256" t="n">
        <x:f>IF(COUNT($B$129:$L$129)=11,B$129*EXP(IF(A1942&lt;0,(10-0)*A1942,-0*A1942))+C$129*EXP(IF(A1942&lt;0,(10-1)*A1942,-1*A1942))+D$129*EXP(IF(A1942&lt;0,(10-2)*A1942,-2*A1942))+E$129*EXP(IF(A1942&lt;0,(10-3)*A1942,-3*A1942))+F$129*EXP(IF(A1942&lt;0,(10-4)*A1942,-4*A1942))+G$129*EXP(IF(A1942&lt;0,(10-5)*A1942,-5*A1942))+H$129*EXP(IF(A1942&lt;0,(10-6)*A1942,-6*A1942))+I$129*EXP(IF(A1942&lt;0,(10-7)*A1942,-7*A1942))+J$129*EXP(IF(A1942&lt;0,(10-8)*A1942,-8*A1942))+K$129*EXP(IF(A1942&lt;0,(10-9)*A1942,-9*A1942))+L$129*EXP(IF(A1942&lt;0,(10-10)*A1942,-10*A1942)),0)</x:f>
        <x:v>781749.3102926469</x:v>
      </x:c>
      <x:c r="C1942" s="256" t="n">
        <x:f>IF(B1942=0,IF(B1941=0,0,1),IF(B1941=0,0,IF(SIGN(B1942)&lt;&gt;SIGN(B1941),1,0)))</x:f>
        <x:v>0</x:v>
      </x:c>
      <x:c r="D1942" s="256" t="n">
        <x:f>EXP(A1942-0.005)-1</x:f>
        <x:v>-0.9998308965668868</x:v>
      </x:c>
    </x:row>
    <x:row r="1943" ht="20" customHeight="1">
      <x:c r="A1943" s="256" t="n">
        <x:f>-12+333*0.01</x:f>
        <x:v>-8.67</x:v>
      </x:c>
      <x:c r="B1943" s="256" t="n">
        <x:f>IF(COUNT($B$129:$L$129)=11,B$129*EXP(IF(A1943&lt;0,(10-0)*A1943,-0*A1943))+C$129*EXP(IF(A1943&lt;0,(10-1)*A1943,-1*A1943))+D$129*EXP(IF(A1943&lt;0,(10-2)*A1943,-2*A1943))+E$129*EXP(IF(A1943&lt;0,(10-3)*A1943,-3*A1943))+F$129*EXP(IF(A1943&lt;0,(10-4)*A1943,-4*A1943))+G$129*EXP(IF(A1943&lt;0,(10-5)*A1943,-5*A1943))+H$129*EXP(IF(A1943&lt;0,(10-6)*A1943,-6*A1943))+I$129*EXP(IF(A1943&lt;0,(10-7)*A1943,-7*A1943))+J$129*EXP(IF(A1943&lt;0,(10-8)*A1943,-8*A1943))+K$129*EXP(IF(A1943&lt;0,(10-9)*A1943,-9*A1943))+L$129*EXP(IF(A1943&lt;0,(10-10)*A1943,-10*A1943)),0)</x:f>
        <x:v>781749.3318056286</x:v>
      </x:c>
      <x:c r="C1943" s="256" t="n">
        <x:f>IF(B1943=0,IF(B1942=0,0,1),IF(B1942=0,0,IF(SIGN(B1943)&lt;&gt;SIGN(B1942),1,0)))</x:f>
        <x:v>0</x:v>
      </x:c>
      <x:c r="D1943" s="256" t="n">
        <x:f>EXP(A1943-0.005)-1</x:f>
        <x:v>-0.9998291970491295</x:v>
      </x:c>
    </x:row>
    <x:row r="1944" ht="20" customHeight="1">
      <x:c r="A1944" s="256" t="n">
        <x:f>-12+334*0.01</x:f>
        <x:v>-8.66</x:v>
      </x:c>
      <x:c r="B1944" s="256" t="n">
        <x:f>IF(COUNT($B$129:$L$129)=11,B$129*EXP(IF(A1944&lt;0,(10-0)*A1944,-0*A1944))+C$129*EXP(IF(A1944&lt;0,(10-1)*A1944,-1*A1944))+D$129*EXP(IF(A1944&lt;0,(10-2)*A1944,-2*A1944))+E$129*EXP(IF(A1944&lt;0,(10-3)*A1944,-3*A1944))+F$129*EXP(IF(A1944&lt;0,(10-4)*A1944,-4*A1944))+G$129*EXP(IF(A1944&lt;0,(10-5)*A1944,-5*A1944))+H$129*EXP(IF(A1944&lt;0,(10-6)*A1944,-6*A1944))+I$129*EXP(IF(A1944&lt;0,(10-7)*A1944,-7*A1944))+J$129*EXP(IF(A1944&lt;0,(10-8)*A1944,-8*A1944))+K$129*EXP(IF(A1944&lt;0,(10-9)*A1944,-9*A1944))+L$129*EXP(IF(A1944&lt;0,(10-10)*A1944,-10*A1944)),0)</x:f>
        <x:v>781749.3535348763</x:v>
      </x:c>
      <x:c r="C1944" s="256" t="n">
        <x:f>IF(B1944=0,IF(B1943=0,0,1),IF(B1943=0,0,IF(SIGN(B1944)&lt;&gt;SIGN(B1943),1,0)))</x:f>
        <x:v>0</x:v>
      </x:c>
      <x:c r="D1944" s="256" t="n">
        <x:f>EXP(A1944-0.005)-1</x:f>
        <x:v>-0.9998274804509348</x:v>
      </x:c>
    </x:row>
    <x:row r="1945" ht="20" customHeight="1">
      <x:c r="A1945" s="256" t="n">
        <x:f>-12+335*0.01</x:f>
        <x:v>-8.65</x:v>
      </x:c>
      <x:c r="B1945" s="256" t="n">
        <x:f>IF(COUNT($B$129:$L$129)=11,B$129*EXP(IF(A1945&lt;0,(10-0)*A1945,-0*A1945))+C$129*EXP(IF(A1945&lt;0,(10-1)*A1945,-1*A1945))+D$129*EXP(IF(A1945&lt;0,(10-2)*A1945,-2*A1945))+E$129*EXP(IF(A1945&lt;0,(10-3)*A1945,-3*A1945))+F$129*EXP(IF(A1945&lt;0,(10-4)*A1945,-4*A1945))+G$129*EXP(IF(A1945&lt;0,(10-5)*A1945,-5*A1945))+H$129*EXP(IF(A1945&lt;0,(10-6)*A1945,-6*A1945))+I$129*EXP(IF(A1945&lt;0,(10-7)*A1945,-7*A1945))+J$129*EXP(IF(A1945&lt;0,(10-8)*A1945,-8*A1945))+K$129*EXP(IF(A1945&lt;0,(10-9)*A1945,-9*A1945))+L$129*EXP(IF(A1945&lt;0,(10-10)*A1945,-10*A1945)),0)</x:f>
        <x:v>781749.3754825644</x:v>
      </x:c>
      <x:c r="C1945" s="256" t="n">
        <x:f>IF(B1945=0,IF(B1944=0,0,1),IF(B1944=0,0,IF(SIGN(B1945)&lt;&gt;SIGN(B1944),1,0)))</x:f>
        <x:v>0</x:v>
      </x:c>
      <x:c r="D1945" s="256" t="n">
        <x:f>EXP(A1945-0.005)-1</x:f>
        <x:v>-0.9998257466006415</x:v>
      </x:c>
    </x:row>
    <x:row r="1946" ht="20" customHeight="1">
      <x:c r="A1946" s="256" t="n">
        <x:f>-12+336*0.01</x:f>
        <x:v>-8.64</x:v>
      </x:c>
      <x:c r="B1946" s="256" t="n">
        <x:f>IF(COUNT($B$129:$L$129)=11,B$129*EXP(IF(A1946&lt;0,(10-0)*A1946,-0*A1946))+C$129*EXP(IF(A1946&lt;0,(10-1)*A1946,-1*A1946))+D$129*EXP(IF(A1946&lt;0,(10-2)*A1946,-2*A1946))+E$129*EXP(IF(A1946&lt;0,(10-3)*A1946,-3*A1946))+F$129*EXP(IF(A1946&lt;0,(10-4)*A1946,-4*A1946))+G$129*EXP(IF(A1946&lt;0,(10-5)*A1946,-5*A1946))+H$129*EXP(IF(A1946&lt;0,(10-6)*A1946,-6*A1946))+I$129*EXP(IF(A1946&lt;0,(10-7)*A1946,-7*A1946))+J$129*EXP(IF(A1946&lt;0,(10-8)*A1946,-8*A1946))+K$129*EXP(IF(A1946&lt;0,(10-9)*A1946,-9*A1946))+L$129*EXP(IF(A1946&lt;0,(10-10)*A1946,-10*A1946)),0)</x:f>
        <x:v>781749.3976508898</x:v>
      </x:c>
      <x:c r="C1946" s="256" t="n">
        <x:f>IF(B1946=0,IF(B1945=0,0,1),IF(B1945=0,0,IF(SIGN(B1946)&lt;&gt;SIGN(B1945),1,0)))</x:f>
        <x:v>0</x:v>
      </x:c>
      <x:c r="D1946" s="256" t="n">
        <x:f>EXP(A1946-0.005)-1</x:f>
        <x:v>-0.9998239953248629</x:v>
      </x:c>
    </x:row>
    <x:row r="1947" ht="20" customHeight="1">
      <x:c r="A1947" s="256" t="n">
        <x:f>-12+337*0.01</x:f>
        <x:v>-8.629999999999999</x:v>
      </x:c>
      <x:c r="B1947" s="256" t="n">
        <x:f>IF(COUNT($B$129:$L$129)=11,B$129*EXP(IF(A1947&lt;0,(10-0)*A1947,-0*A1947))+C$129*EXP(IF(A1947&lt;0,(10-1)*A1947,-1*A1947))+D$129*EXP(IF(A1947&lt;0,(10-2)*A1947,-2*A1947))+E$129*EXP(IF(A1947&lt;0,(10-3)*A1947,-3*A1947))+F$129*EXP(IF(A1947&lt;0,(10-4)*A1947,-4*A1947))+G$129*EXP(IF(A1947&lt;0,(10-5)*A1947,-5*A1947))+H$129*EXP(IF(A1947&lt;0,(10-6)*A1947,-6*A1947))+I$129*EXP(IF(A1947&lt;0,(10-7)*A1947,-7*A1947))+J$129*EXP(IF(A1947&lt;0,(10-8)*A1947,-8*A1947))+K$129*EXP(IF(A1947&lt;0,(10-9)*A1947,-9*A1947))+L$129*EXP(IF(A1947&lt;0,(10-10)*A1947,-10*A1947)),0)</x:f>
        <x:v>781749.4200420708</x:v>
      </x:c>
      <x:c r="C1947" s="256" t="n">
        <x:f>IF(B1947=0,IF(B1946=0,0,1),IF(B1946=0,0,IF(SIGN(B1947)&lt;&gt;SIGN(B1946),1,0)))</x:f>
        <x:v>0</x:v>
      </x:c>
      <x:c r="D1947" s="256" t="n">
        <x:f>EXP(A1947-0.005)-1</x:f>
        <x:v>-0.9998222264484702</x:v>
      </x:c>
    </x:row>
    <x:row r="1948" ht="20" customHeight="1">
      <x:c r="A1948" s="256" t="n">
        <x:f>-12+338*0.01</x:f>
        <x:v>-8.620000000000001</x:v>
      </x:c>
      <x:c r="B1948" s="256" t="n">
        <x:f>IF(COUNT($B$129:$L$129)=11,B$129*EXP(IF(A1948&lt;0,(10-0)*A1948,-0*A1948))+C$129*EXP(IF(A1948&lt;0,(10-1)*A1948,-1*A1948))+D$129*EXP(IF(A1948&lt;0,(10-2)*A1948,-2*A1948))+E$129*EXP(IF(A1948&lt;0,(10-3)*A1948,-3*A1948))+F$129*EXP(IF(A1948&lt;0,(10-4)*A1948,-4*A1948))+G$129*EXP(IF(A1948&lt;0,(10-5)*A1948,-5*A1948))+H$129*EXP(IF(A1948&lt;0,(10-6)*A1948,-6*A1948))+I$129*EXP(IF(A1948&lt;0,(10-7)*A1948,-7*A1948))+J$129*EXP(IF(A1948&lt;0,(10-8)*A1948,-8*A1948))+K$129*EXP(IF(A1948&lt;0,(10-9)*A1948,-9*A1948))+L$129*EXP(IF(A1948&lt;0,(10-10)*A1948,-10*A1948)),0)</x:f>
        <x:v>781749.4426583485</x:v>
      </x:c>
      <x:c r="C1948" s="256" t="n">
        <x:f>IF(B1948=0,IF(B1947=0,0,1),IF(B1947=0,0,IF(SIGN(B1948)&lt;&gt;SIGN(B1947),1,0)))</x:f>
        <x:v>0</x:v>
      </x:c>
      <x:c r="D1948" s="256" t="n">
        <x:f>EXP(A1948-0.005)-1</x:f>
        <x:v>-0.9998204397945741</x:v>
      </x:c>
    </x:row>
    <x:row r="1949" ht="20" customHeight="1">
      <x:c r="A1949" s="256" t="n">
        <x:f>-12+339*0.01</x:f>
        <x:v>-8.61</x:v>
      </x:c>
      <x:c r="B1949" s="256" t="n">
        <x:f>IF(COUNT($B$129:$L$129)=11,B$129*EXP(IF(A1949&lt;0,(10-0)*A1949,-0*A1949))+C$129*EXP(IF(A1949&lt;0,(10-1)*A1949,-1*A1949))+D$129*EXP(IF(A1949&lt;0,(10-2)*A1949,-2*A1949))+E$129*EXP(IF(A1949&lt;0,(10-3)*A1949,-3*A1949))+F$129*EXP(IF(A1949&lt;0,(10-4)*A1949,-4*A1949))+G$129*EXP(IF(A1949&lt;0,(10-5)*A1949,-5*A1949))+H$129*EXP(IF(A1949&lt;0,(10-6)*A1949,-6*A1949))+I$129*EXP(IF(A1949&lt;0,(10-7)*A1949,-7*A1949))+J$129*EXP(IF(A1949&lt;0,(10-8)*A1949,-8*A1949))+K$129*EXP(IF(A1949&lt;0,(10-9)*A1949,-9*A1949))+L$129*EXP(IF(A1949&lt;0,(10-10)*A1949,-10*A1949)),0)</x:f>
        <x:v>781749.4655019864</x:v>
      </x:c>
      <x:c r="C1949" s="256" t="n">
        <x:f>IF(B1949=0,IF(B1948=0,0,1),IF(B1948=0,0,IF(SIGN(B1949)&lt;&gt;SIGN(B1948),1,0)))</x:f>
        <x:v>0</x:v>
      </x:c>
      <x:c r="D1949" s="256" t="n">
        <x:f>EXP(A1949-0.005)-1</x:f>
        <x:v>-0.999818635184508</x:v>
      </x:c>
    </x:row>
    <x:row r="1950" ht="20" customHeight="1">
      <x:c r="A1950" s="256" t="n">
        <x:f>-12+340*0.01</x:f>
        <x:v>-8.6</x:v>
      </x:c>
      <x:c r="B1950" s="256" t="n">
        <x:f>IF(COUNT($B$129:$L$129)=11,B$129*EXP(IF(A1950&lt;0,(10-0)*A1950,-0*A1950))+C$129*EXP(IF(A1950&lt;0,(10-1)*A1950,-1*A1950))+D$129*EXP(IF(A1950&lt;0,(10-2)*A1950,-2*A1950))+E$129*EXP(IF(A1950&lt;0,(10-3)*A1950,-3*A1950))+F$129*EXP(IF(A1950&lt;0,(10-4)*A1950,-4*A1950))+G$129*EXP(IF(A1950&lt;0,(10-5)*A1950,-5*A1950))+H$129*EXP(IF(A1950&lt;0,(10-6)*A1950,-6*A1950))+I$129*EXP(IF(A1950&lt;0,(10-7)*A1950,-7*A1950))+J$129*EXP(IF(A1950&lt;0,(10-8)*A1950,-8*A1950))+K$129*EXP(IF(A1950&lt;0,(10-9)*A1950,-9*A1950))+L$129*EXP(IF(A1950&lt;0,(10-10)*A1950,-10*A1950)),0)</x:f>
        <x:v>781749.4885752707</x:v>
      </x:c>
      <x:c r="C1950" s="256" t="n">
        <x:f>IF(B1950=0,IF(B1949=0,0,1),IF(B1949=0,0,IF(SIGN(B1950)&lt;&gt;SIGN(B1949),1,0)))</x:f>
        <x:v>0</x:v>
      </x:c>
      <x:c r="D1950" s="256" t="n">
        <x:f>EXP(A1950-0.005)-1</x:f>
        <x:v>-0.9998168124378091</x:v>
      </x:c>
    </x:row>
    <x:row r="1951" ht="20" customHeight="1">
      <x:c r="A1951" s="256" t="n">
        <x:f>-12+341*0.01</x:f>
        <x:v>-8.59</x:v>
      </x:c>
      <x:c r="B1951" s="256" t="n">
        <x:f>IF(COUNT($B$129:$L$129)=11,B$129*EXP(IF(A1951&lt;0,(10-0)*A1951,-0*A1951))+C$129*EXP(IF(A1951&lt;0,(10-1)*A1951,-1*A1951))+D$129*EXP(IF(A1951&lt;0,(10-2)*A1951,-2*A1951))+E$129*EXP(IF(A1951&lt;0,(10-3)*A1951,-3*A1951))+F$129*EXP(IF(A1951&lt;0,(10-4)*A1951,-4*A1951))+G$129*EXP(IF(A1951&lt;0,(10-5)*A1951,-5*A1951))+H$129*EXP(IF(A1951&lt;0,(10-6)*A1951,-6*A1951))+I$129*EXP(IF(A1951&lt;0,(10-7)*A1951,-7*A1951))+J$129*EXP(IF(A1951&lt;0,(10-8)*A1951,-8*A1951))+K$129*EXP(IF(A1951&lt;0,(10-9)*A1951,-9*A1951))+L$129*EXP(IF(A1951&lt;0,(10-10)*A1951,-10*A1951)),0)</x:f>
        <x:v>781749.511880511</x:v>
      </x:c>
      <x:c r="C1951" s="256" t="n">
        <x:f>IF(B1951=0,IF(B1950=0,0,1),IF(B1950=0,0,IF(SIGN(B1951)&lt;&gt;SIGN(B1950),1,0)))</x:f>
        <x:v>0</x:v>
      </x:c>
      <x:c r="D1951" s="256" t="n">
        <x:f>EXP(A1951-0.005)-1</x:f>
        <x:v>-0.9998149713722013</x:v>
      </x:c>
    </x:row>
    <x:row r="1952" ht="20" customHeight="1">
      <x:c r="A1952" s="256" t="n">
        <x:f>-12+342*0.01</x:f>
        <x:v>-8.58</x:v>
      </x:c>
      <x:c r="B1952" s="256" t="n">
        <x:f>IF(COUNT($B$129:$L$129)=11,B$129*EXP(IF(A1952&lt;0,(10-0)*A1952,-0*A1952))+C$129*EXP(IF(A1952&lt;0,(10-1)*A1952,-1*A1952))+D$129*EXP(IF(A1952&lt;0,(10-2)*A1952,-2*A1952))+E$129*EXP(IF(A1952&lt;0,(10-3)*A1952,-3*A1952))+F$129*EXP(IF(A1952&lt;0,(10-4)*A1952,-4*A1952))+G$129*EXP(IF(A1952&lt;0,(10-5)*A1952,-5*A1952))+H$129*EXP(IF(A1952&lt;0,(10-6)*A1952,-6*A1952))+I$129*EXP(IF(A1952&lt;0,(10-7)*A1952,-7*A1952))+J$129*EXP(IF(A1952&lt;0,(10-8)*A1952,-8*A1952))+K$129*EXP(IF(A1952&lt;0,(10-9)*A1952,-9*A1952))+L$129*EXP(IF(A1952&lt;0,(10-10)*A1952,-10*A1952)),0)</x:f>
        <x:v>781749.5354200393</x:v>
      </x:c>
      <x:c r="C1952" s="256" t="n">
        <x:f>IF(B1952=0,IF(B1951=0,0,1),IF(B1951=0,0,IF(SIGN(B1952)&lt;&gt;SIGN(B1951),1,0)))</x:f>
        <x:v>0</x:v>
      </x:c>
      <x:c r="D1952" s="256" t="n">
        <x:f>EXP(A1952-0.005)-1</x:f>
        <x:v>-0.9998131118035766</x:v>
      </x:c>
    </x:row>
    <x:row r="1953" ht="20" customHeight="1">
      <x:c r="A1953" s="256" t="n">
        <x:f>-12+343*0.01</x:f>
        <x:v>-8.57</x:v>
      </x:c>
      <x:c r="B1953" s="256" t="n">
        <x:f>IF(COUNT($B$129:$L$129)=11,B$129*EXP(IF(A1953&lt;0,(10-0)*A1953,-0*A1953))+C$129*EXP(IF(A1953&lt;0,(10-1)*A1953,-1*A1953))+D$129*EXP(IF(A1953&lt;0,(10-2)*A1953,-2*A1953))+E$129*EXP(IF(A1953&lt;0,(10-3)*A1953,-3*A1953))+F$129*EXP(IF(A1953&lt;0,(10-4)*A1953,-4*A1953))+G$129*EXP(IF(A1953&lt;0,(10-5)*A1953,-5*A1953))+H$129*EXP(IF(A1953&lt;0,(10-6)*A1953,-6*A1953))+I$129*EXP(IF(A1953&lt;0,(10-7)*A1953,-7*A1953))+J$129*EXP(IF(A1953&lt;0,(10-8)*A1953,-8*A1953))+K$129*EXP(IF(A1953&lt;0,(10-9)*A1953,-9*A1953))+L$129*EXP(IF(A1953&lt;0,(10-10)*A1953,-10*A1953)),0)</x:f>
        <x:v>781749.5591962119</x:v>
      </x:c>
      <x:c r="C1953" s="256" t="n">
        <x:f>IF(B1953=0,IF(B1952=0,0,1),IF(B1952=0,0,IF(SIGN(B1953)&lt;&gt;SIGN(B1952),1,0)))</x:f>
        <x:v>0</x:v>
      </x:c>
      <x:c r="D1953" s="256" t="n">
        <x:f>EXP(A1953-0.005)-1</x:f>
        <x:v>-0.9998112335459765</x:v>
      </x:c>
    </x:row>
    <x:row r="1954" ht="20" customHeight="1">
      <x:c r="A1954" s="256" t="n">
        <x:f>-12+344*0.01</x:f>
        <x:v>-8.56</x:v>
      </x:c>
      <x:c r="B1954" s="256" t="n">
        <x:f>IF(COUNT($B$129:$L$129)=11,B$129*EXP(IF(A1954&lt;0,(10-0)*A1954,-0*A1954))+C$129*EXP(IF(A1954&lt;0,(10-1)*A1954,-1*A1954))+D$129*EXP(IF(A1954&lt;0,(10-2)*A1954,-2*A1954))+E$129*EXP(IF(A1954&lt;0,(10-3)*A1954,-3*A1954))+F$129*EXP(IF(A1954&lt;0,(10-4)*A1954,-4*A1954))+G$129*EXP(IF(A1954&lt;0,(10-5)*A1954,-5*A1954))+H$129*EXP(IF(A1954&lt;0,(10-6)*A1954,-6*A1954))+I$129*EXP(IF(A1954&lt;0,(10-7)*A1954,-7*A1954))+J$129*EXP(IF(A1954&lt;0,(10-8)*A1954,-8*A1954))+K$129*EXP(IF(A1954&lt;0,(10-9)*A1954,-9*A1954))+L$129*EXP(IF(A1954&lt;0,(10-10)*A1954,-10*A1954)),0)</x:f>
        <x:v>781749.5832114085</x:v>
      </x:c>
      <x:c r="C1954" s="256" t="n">
        <x:f>IF(B1954=0,IF(B1953=0,0,1),IF(B1953=0,0,IF(SIGN(B1954)&lt;&gt;SIGN(B1953),1,0)))</x:f>
        <x:v>0</x:v>
      </x:c>
      <x:c r="D1954" s="256" t="n">
        <x:f>EXP(A1954-0.005)-1</x:f>
        <x:v>-0.9998093364115737</x:v>
      </x:c>
    </x:row>
    <x:row r="1955" ht="20" customHeight="1">
      <x:c r="A1955" s="256" t="n">
        <x:f>-12+345*0.01</x:f>
        <x:v>-8.55</x:v>
      </x:c>
      <x:c r="B1955" s="256" t="n">
        <x:f>IF(COUNT($B$129:$L$129)=11,B$129*EXP(IF(A1955&lt;0,(10-0)*A1955,-0*A1955))+C$129*EXP(IF(A1955&lt;0,(10-1)*A1955,-1*A1955))+D$129*EXP(IF(A1955&lt;0,(10-2)*A1955,-2*A1955))+E$129*EXP(IF(A1955&lt;0,(10-3)*A1955,-3*A1955))+F$129*EXP(IF(A1955&lt;0,(10-4)*A1955,-4*A1955))+G$129*EXP(IF(A1955&lt;0,(10-5)*A1955,-5*A1955))+H$129*EXP(IF(A1955&lt;0,(10-6)*A1955,-6*A1955))+I$129*EXP(IF(A1955&lt;0,(10-7)*A1955,-7*A1955))+J$129*EXP(IF(A1955&lt;0,(10-8)*A1955,-8*A1955))+K$129*EXP(IF(A1955&lt;0,(10-9)*A1955,-9*A1955))+L$129*EXP(IF(A1955&lt;0,(10-10)*A1955,-10*A1955)),0)</x:f>
        <x:v>781749.6074680326</x:v>
      </x:c>
      <x:c r="C1955" s="256" t="n">
        <x:f>IF(B1955=0,IF(B1954=0,0,1),IF(B1954=0,0,IF(SIGN(B1955)&lt;&gt;SIGN(B1954),1,0)))</x:f>
        <x:v>0</x:v>
      </x:c>
      <x:c r="D1955" s="256" t="n">
        <x:f>EXP(A1955-0.005)-1</x:f>
        <x:v>-0.999807420210653</x:v>
      </x:c>
    </x:row>
    <x:row r="1956" ht="20" customHeight="1">
      <x:c r="A1956" s="256" t="n">
        <x:f>-12+346*0.01</x:f>
        <x:v>-8.54</x:v>
      </x:c>
      <x:c r="B1956" s="256" t="n">
        <x:f>IF(COUNT($B$129:$L$129)=11,B$129*EXP(IF(A1956&lt;0,(10-0)*A1956,-0*A1956))+C$129*EXP(IF(A1956&lt;0,(10-1)*A1956,-1*A1956))+D$129*EXP(IF(A1956&lt;0,(10-2)*A1956,-2*A1956))+E$129*EXP(IF(A1956&lt;0,(10-3)*A1956,-3*A1956))+F$129*EXP(IF(A1956&lt;0,(10-4)*A1956,-4*A1956))+G$129*EXP(IF(A1956&lt;0,(10-5)*A1956,-5*A1956))+H$129*EXP(IF(A1956&lt;0,(10-6)*A1956,-6*A1956))+I$129*EXP(IF(A1956&lt;0,(10-7)*A1956,-7*A1956))+J$129*EXP(IF(A1956&lt;0,(10-8)*A1956,-8*A1956))+K$129*EXP(IF(A1956&lt;0,(10-9)*A1956,-9*A1956))+L$129*EXP(IF(A1956&lt;0,(10-10)*A1956,-10*A1956)),0)</x:f>
        <x:v>781749.6319685121</x:v>
      </x:c>
      <x:c r="C1956" s="256" t="n">
        <x:f>IF(B1956=0,IF(B1955=0,0,1),IF(B1955=0,0,IF(SIGN(B1956)&lt;&gt;SIGN(B1955),1,0)))</x:f>
        <x:v>0</x:v>
      </x:c>
      <x:c r="D1956" s="256" t="n">
        <x:f>EXP(A1956-0.005)-1</x:f>
        <x:v>-0.9998054847515931</x:v>
      </x:c>
    </x:row>
    <x:row r="1957" ht="20" customHeight="1">
      <x:c r="A1957" s="256" t="n">
        <x:f>-12+347*0.01</x:f>
        <x:v>-8.53</x:v>
      </x:c>
      <x:c r="B1957" s="256" t="n">
        <x:f>IF(COUNT($B$129:$L$129)=11,B$129*EXP(IF(A1957&lt;0,(10-0)*A1957,-0*A1957))+C$129*EXP(IF(A1957&lt;0,(10-1)*A1957,-1*A1957))+D$129*EXP(IF(A1957&lt;0,(10-2)*A1957,-2*A1957))+E$129*EXP(IF(A1957&lt;0,(10-3)*A1957,-3*A1957))+F$129*EXP(IF(A1957&lt;0,(10-4)*A1957,-4*A1957))+G$129*EXP(IF(A1957&lt;0,(10-5)*A1957,-5*A1957))+H$129*EXP(IF(A1957&lt;0,(10-6)*A1957,-6*A1957))+I$129*EXP(IF(A1957&lt;0,(10-7)*A1957,-7*A1957))+J$129*EXP(IF(A1957&lt;0,(10-8)*A1957,-8*A1957))+K$129*EXP(IF(A1957&lt;0,(10-9)*A1957,-9*A1957))+L$129*EXP(IF(A1957&lt;0,(10-10)*A1957,-10*A1957)),0)</x:f>
        <x:v>781749.6567152992</x:v>
      </x:c>
      <x:c r="C1957" s="256" t="n">
        <x:f>IF(B1957=0,IF(B1956=0,0,1),IF(B1956=0,0,IF(SIGN(B1957)&lt;&gt;SIGN(B1956),1,0)))</x:f>
        <x:v>0</x:v>
      </x:c>
      <x:c r="D1957" s="256" t="n">
        <x:f>EXP(A1957-0.005)-1</x:f>
        <x:v>-0.9998035298408462</x:v>
      </x:c>
    </x:row>
    <x:row r="1958" ht="20" customHeight="1">
      <x:c r="A1958" s="256" t="n">
        <x:f>-12+348*0.01</x:f>
        <x:v>-8.52</x:v>
      </x:c>
      <x:c r="B1958" s="256" t="n">
        <x:f>IF(COUNT($B$129:$L$129)=11,B$129*EXP(IF(A1958&lt;0,(10-0)*A1958,-0*A1958))+C$129*EXP(IF(A1958&lt;0,(10-1)*A1958,-1*A1958))+D$129*EXP(IF(A1958&lt;0,(10-2)*A1958,-2*A1958))+E$129*EXP(IF(A1958&lt;0,(10-3)*A1958,-3*A1958))+F$129*EXP(IF(A1958&lt;0,(10-4)*A1958,-4*A1958))+G$129*EXP(IF(A1958&lt;0,(10-5)*A1958,-5*A1958))+H$129*EXP(IF(A1958&lt;0,(10-6)*A1958,-6*A1958))+I$129*EXP(IF(A1958&lt;0,(10-7)*A1958,-7*A1958))+J$129*EXP(IF(A1958&lt;0,(10-8)*A1958,-8*A1958))+K$129*EXP(IF(A1958&lt;0,(10-9)*A1958,-9*A1958))+L$129*EXP(IF(A1958&lt;0,(10-10)*A1958,-10*A1958)),0)</x:f>
        <x:v>781749.6817108709</x:v>
      </x:c>
      <x:c r="C1958" s="256" t="n">
        <x:f>IF(B1958=0,IF(B1957=0,0,1),IF(B1957=0,0,IF(SIGN(B1958)&lt;&gt;SIGN(B1957),1,0)))</x:f>
        <x:v>0</x:v>
      </x:c>
      <x:c r="D1958" s="256" t="n">
        <x:f>EXP(A1958-0.005)-1</x:f>
        <x:v>-0.9998015552829197</x:v>
      </x:c>
    </x:row>
    <x:row r="1959" ht="20" customHeight="1">
      <x:c r="A1959" s="256" t="n">
        <x:f>-12+349*0.01</x:f>
        <x:v>-8.51</x:v>
      </x:c>
      <x:c r="B1959" s="256" t="n">
        <x:f>IF(COUNT($B$129:$L$129)=11,B$129*EXP(IF(A1959&lt;0,(10-0)*A1959,-0*A1959))+C$129*EXP(IF(A1959&lt;0,(10-1)*A1959,-1*A1959))+D$129*EXP(IF(A1959&lt;0,(10-2)*A1959,-2*A1959))+E$129*EXP(IF(A1959&lt;0,(10-3)*A1959,-3*A1959))+F$129*EXP(IF(A1959&lt;0,(10-4)*A1959,-4*A1959))+G$129*EXP(IF(A1959&lt;0,(10-5)*A1959,-5*A1959))+H$129*EXP(IF(A1959&lt;0,(10-6)*A1959,-6*A1959))+I$129*EXP(IF(A1959&lt;0,(10-7)*A1959,-7*A1959))+J$129*EXP(IF(A1959&lt;0,(10-8)*A1959,-8*A1959))+K$129*EXP(IF(A1959&lt;0,(10-9)*A1959,-9*A1959))+L$129*EXP(IF(A1959&lt;0,(10-10)*A1959,-10*A1959)),0)</x:f>
        <x:v>781749.7069577291</x:v>
      </x:c>
      <x:c r="C1959" s="256" t="n">
        <x:f>IF(B1959=0,IF(B1958=0,0,1),IF(B1958=0,0,IF(SIGN(B1959)&lt;&gt;SIGN(B1958),1,0)))</x:f>
        <x:v>0</x:v>
      </x:c>
      <x:c r="D1959" s="256" t="n">
        <x:f>EXP(A1959-0.005)-1</x:f>
        <x:v>-0.999799560880356</x:v>
      </x:c>
    </x:row>
    <x:row r="1960" ht="20" customHeight="1">
      <x:c r="A1960" s="256" t="n">
        <x:f>-12+350*0.01</x:f>
        <x:v>-8.5</x:v>
      </x:c>
      <x:c r="B1960" s="256" t="n">
        <x:f>IF(COUNT($B$129:$L$129)=11,B$129*EXP(IF(A1960&lt;0,(10-0)*A1960,-0*A1960))+C$129*EXP(IF(A1960&lt;0,(10-1)*A1960,-1*A1960))+D$129*EXP(IF(A1960&lt;0,(10-2)*A1960,-2*A1960))+E$129*EXP(IF(A1960&lt;0,(10-3)*A1960,-3*A1960))+F$129*EXP(IF(A1960&lt;0,(10-4)*A1960,-4*A1960))+G$129*EXP(IF(A1960&lt;0,(10-5)*A1960,-5*A1960))+H$129*EXP(IF(A1960&lt;0,(10-6)*A1960,-6*A1960))+I$129*EXP(IF(A1960&lt;0,(10-7)*A1960,-7*A1960))+J$129*EXP(IF(A1960&lt;0,(10-8)*A1960,-8*A1960))+K$129*EXP(IF(A1960&lt;0,(10-9)*A1960,-9*A1960))+L$129*EXP(IF(A1960&lt;0,(10-10)*A1960,-10*A1960)),0)</x:f>
        <x:v>781749.7324584007</x:v>
      </x:c>
      <x:c r="C1960" s="256" t="n">
        <x:f>IF(B1960=0,IF(B1959=0,0,1),IF(B1959=0,0,IF(SIGN(B1960)&lt;&gt;SIGN(B1959),1,0)))</x:f>
        <x:v>0</x:v>
      </x:c>
      <x:c r="D1960" s="256" t="n">
        <x:f>EXP(A1960-0.005)-1</x:f>
        <x:v>-0.9997975464337134</x:v>
      </x:c>
    </x:row>
    <x:row r="1961" ht="20" customHeight="1">
      <x:c r="A1961" s="256" t="n">
        <x:f>-12+351*0.01</x:f>
        <x:v>-8.49</x:v>
      </x:c>
      <x:c r="B1961" s="256" t="n">
        <x:f>IF(COUNT($B$129:$L$129)=11,B$129*EXP(IF(A1961&lt;0,(10-0)*A1961,-0*A1961))+C$129*EXP(IF(A1961&lt;0,(10-1)*A1961,-1*A1961))+D$129*EXP(IF(A1961&lt;0,(10-2)*A1961,-2*A1961))+E$129*EXP(IF(A1961&lt;0,(10-3)*A1961,-3*A1961))+F$129*EXP(IF(A1961&lt;0,(10-4)*A1961,-4*A1961))+G$129*EXP(IF(A1961&lt;0,(10-5)*A1961,-5*A1961))+H$129*EXP(IF(A1961&lt;0,(10-6)*A1961,-6*A1961))+I$129*EXP(IF(A1961&lt;0,(10-7)*A1961,-7*A1961))+J$129*EXP(IF(A1961&lt;0,(10-8)*A1961,-8*A1961))+K$129*EXP(IF(A1961&lt;0,(10-9)*A1961,-9*A1961))+L$129*EXP(IF(A1961&lt;0,(10-10)*A1961,-10*A1961)),0)</x:f>
        <x:v>781749.7582154381</x:v>
      </x:c>
      <x:c r="C1961" s="256" t="n">
        <x:f>IF(B1961=0,IF(B1960=0,0,1),IF(B1960=0,0,IF(SIGN(B1961)&lt;&gt;SIGN(B1960),1,0)))</x:f>
        <x:v>0</x:v>
      </x:c>
      <x:c r="D1961" s="256" t="n">
        <x:f>EXP(A1961-0.005)-1</x:f>
        <x:v>-0.9997955117415455</x:v>
      </x:c>
    </x:row>
    <x:row r="1962" ht="20" customHeight="1">
      <x:c r="A1962" s="256" t="n">
        <x:f>-12+352*0.01</x:f>
        <x:v>-8.48</x:v>
      </x:c>
      <x:c r="B1962" s="256" t="n">
        <x:f>IF(COUNT($B$129:$L$129)=11,B$129*EXP(IF(A1962&lt;0,(10-0)*A1962,-0*A1962))+C$129*EXP(IF(A1962&lt;0,(10-1)*A1962,-1*A1962))+D$129*EXP(IF(A1962&lt;0,(10-2)*A1962,-2*A1962))+E$129*EXP(IF(A1962&lt;0,(10-3)*A1962,-3*A1962))+F$129*EXP(IF(A1962&lt;0,(10-4)*A1962,-4*A1962))+G$129*EXP(IF(A1962&lt;0,(10-5)*A1962,-5*A1962))+H$129*EXP(IF(A1962&lt;0,(10-6)*A1962,-6*A1962))+I$129*EXP(IF(A1962&lt;0,(10-7)*A1962,-7*A1962))+J$129*EXP(IF(A1962&lt;0,(10-8)*A1962,-8*A1962))+K$129*EXP(IF(A1962&lt;0,(10-9)*A1962,-9*A1962))+L$129*EXP(IF(A1962&lt;0,(10-10)*A1962,-10*A1962)),0)</x:f>
        <x:v>781749.7842314194</x:v>
      </x:c>
      <x:c r="C1962" s="256" t="n">
        <x:f>IF(B1962=0,IF(B1961=0,0,1),IF(B1961=0,0,IF(SIGN(B1962)&lt;&gt;SIGN(B1961),1,0)))</x:f>
        <x:v>0</x:v>
      </x:c>
      <x:c r="D1962" s="256" t="n">
        <x:f>EXP(A1962-0.005)-1</x:f>
        <x:v>-0.9997934566003812</x:v>
      </x:c>
    </x:row>
    <x:row r="1963" ht="20" customHeight="1">
      <x:c r="A1963" s="256" t="n">
        <x:f>-12+353*0.01</x:f>
        <x:v>-8.469999999999999</x:v>
      </x:c>
      <x:c r="B1963" s="256" t="n">
        <x:f>IF(COUNT($B$129:$L$129)=11,B$129*EXP(IF(A1963&lt;0,(10-0)*A1963,-0*A1963))+C$129*EXP(IF(A1963&lt;0,(10-1)*A1963,-1*A1963))+D$129*EXP(IF(A1963&lt;0,(10-2)*A1963,-2*A1963))+E$129*EXP(IF(A1963&lt;0,(10-3)*A1963,-3*A1963))+F$129*EXP(IF(A1963&lt;0,(10-4)*A1963,-4*A1963))+G$129*EXP(IF(A1963&lt;0,(10-5)*A1963,-5*A1963))+H$129*EXP(IF(A1963&lt;0,(10-6)*A1963,-6*A1963))+I$129*EXP(IF(A1963&lt;0,(10-7)*A1963,-7*A1963))+J$129*EXP(IF(A1963&lt;0,(10-8)*A1963,-8*A1963))+K$129*EXP(IF(A1963&lt;0,(10-9)*A1963,-9*A1963))+L$129*EXP(IF(A1963&lt;0,(10-10)*A1963,-10*A1963)),0)</x:f>
        <x:v>781749.810508949</x:v>
      </x:c>
      <x:c r="C1963" s="256" t="n">
        <x:f>IF(B1963=0,IF(B1962=0,0,1),IF(B1962=0,0,IF(SIGN(B1963)&lt;&gt;SIGN(B1962),1,0)))</x:f>
        <x:v>0</x:v>
      </x:c>
      <x:c r="D1963" s="256" t="n">
        <x:f>EXP(A1963-0.005)-1</x:f>
        <x:v>-0.999791380804705</x:v>
      </x:c>
    </x:row>
    <x:row r="1964" ht="20" customHeight="1">
      <x:c r="A1964" s="256" t="n">
        <x:f>-12+354*0.01</x:f>
        <x:v>-8.46</x:v>
      </x:c>
      <x:c r="B1964" s="256" t="n">
        <x:f>IF(COUNT($B$129:$L$129)=11,B$129*EXP(IF(A1964&lt;0,(10-0)*A1964,-0*A1964))+C$129*EXP(IF(A1964&lt;0,(10-1)*A1964,-1*A1964))+D$129*EXP(IF(A1964&lt;0,(10-2)*A1964,-2*A1964))+E$129*EXP(IF(A1964&lt;0,(10-3)*A1964,-3*A1964))+F$129*EXP(IF(A1964&lt;0,(10-4)*A1964,-4*A1964))+G$129*EXP(IF(A1964&lt;0,(10-5)*A1964,-5*A1964))+H$129*EXP(IF(A1964&lt;0,(10-6)*A1964,-6*A1964))+I$129*EXP(IF(A1964&lt;0,(10-7)*A1964,-7*A1964))+J$129*EXP(IF(A1964&lt;0,(10-8)*A1964,-8*A1964))+K$129*EXP(IF(A1964&lt;0,(10-9)*A1964,-9*A1964))+L$129*EXP(IF(A1964&lt;0,(10-10)*A1964,-10*A1964)),0)</x:f>
        <x:v>781749.8370506568</x:v>
      </x:c>
      <x:c r="C1964" s="256" t="n">
        <x:f>IF(B1964=0,IF(B1963=0,0,1),IF(B1963=0,0,IF(SIGN(B1964)&lt;&gt;SIGN(B1963),1,0)))</x:f>
        <x:v>0</x:v>
      </x:c>
      <x:c r="D1964" s="256" t="n">
        <x:f>EXP(A1964-0.005)-1</x:f>
        <x:v>-0.9997892841469352</x:v>
      </x:c>
    </x:row>
    <x:row r="1965" ht="20" customHeight="1">
      <x:c r="A1965" s="256" t="n">
        <x:f>-12+355*0.01</x:f>
        <x:v>-8.45</x:v>
      </x:c>
      <x:c r="B1965" s="256" t="n">
        <x:f>IF(COUNT($B$129:$L$129)=11,B$129*EXP(IF(A1965&lt;0,(10-0)*A1965,-0*A1965))+C$129*EXP(IF(A1965&lt;0,(10-1)*A1965,-1*A1965))+D$129*EXP(IF(A1965&lt;0,(10-2)*A1965,-2*A1965))+E$129*EXP(IF(A1965&lt;0,(10-3)*A1965,-3*A1965))+F$129*EXP(IF(A1965&lt;0,(10-4)*A1965,-4*A1965))+G$129*EXP(IF(A1965&lt;0,(10-5)*A1965,-5*A1965))+H$129*EXP(IF(A1965&lt;0,(10-6)*A1965,-6*A1965))+I$129*EXP(IF(A1965&lt;0,(10-7)*A1965,-7*A1965))+J$129*EXP(IF(A1965&lt;0,(10-8)*A1965,-8*A1965))+K$129*EXP(IF(A1965&lt;0,(10-9)*A1965,-9*A1965))+L$129*EXP(IF(A1965&lt;0,(10-10)*A1965,-10*A1965)),0)</x:f>
        <x:v>781749.8638591998</x:v>
      </x:c>
      <x:c r="C1965" s="256" t="n">
        <x:f>IF(B1965=0,IF(B1964=0,0,1),IF(B1964=0,0,IF(SIGN(B1965)&lt;&gt;SIGN(B1964),1,0)))</x:f>
        <x:v>0</x:v>
      </x:c>
      <x:c r="D1965" s="256" t="n">
        <x:f>EXP(A1965-0.005)-1</x:f>
        <x:v>-0.9997871664174047</x:v>
      </x:c>
    </x:row>
    <x:row r="1966" ht="20" customHeight="1">
      <x:c r="A1966" s="256" t="n">
        <x:f>-12+356*0.01</x:f>
        <x:v>-8.44</x:v>
      </x:c>
      <x:c r="B1966" s="256" t="n">
        <x:f>IF(COUNT($B$129:$L$129)=11,B$129*EXP(IF(A1966&lt;0,(10-0)*A1966,-0*A1966))+C$129*EXP(IF(A1966&lt;0,(10-1)*A1966,-1*A1966))+D$129*EXP(IF(A1966&lt;0,(10-2)*A1966,-2*A1966))+E$129*EXP(IF(A1966&lt;0,(10-3)*A1966,-3*A1966))+F$129*EXP(IF(A1966&lt;0,(10-4)*A1966,-4*A1966))+G$129*EXP(IF(A1966&lt;0,(10-5)*A1966,-5*A1966))+H$129*EXP(IF(A1966&lt;0,(10-6)*A1966,-6*A1966))+I$129*EXP(IF(A1966&lt;0,(10-7)*A1966,-7*A1966))+J$129*EXP(IF(A1966&lt;0,(10-8)*A1966,-8*A1966))+K$129*EXP(IF(A1966&lt;0,(10-9)*A1966,-9*A1966))+L$129*EXP(IF(A1966&lt;0,(10-10)*A1966,-10*A1966)),0)</x:f>
        <x:v>781749.8909372614</x:v>
      </x:c>
      <x:c r="C1966" s="256" t="n">
        <x:f>IF(B1966=0,IF(B1965=0,0,1),IF(B1965=0,0,IF(SIGN(B1966)&lt;&gt;SIGN(B1965),1,0)))</x:f>
        <x:v>0</x:v>
      </x:c>
      <x:c r="D1966" s="256" t="n">
        <x:f>EXP(A1966-0.005)-1</x:f>
        <x:v>-0.9997850274043385</x:v>
      </x:c>
    </x:row>
    <x:row r="1967" ht="20" customHeight="1">
      <x:c r="A1967" s="256" t="n">
        <x:f>-12+357*0.01</x:f>
        <x:v>-8.43</x:v>
      </x:c>
      <x:c r="B1967" s="256" t="n">
        <x:f>IF(COUNT($B$129:$L$129)=11,B$129*EXP(IF(A1967&lt;0,(10-0)*A1967,-0*A1967))+C$129*EXP(IF(A1967&lt;0,(10-1)*A1967,-1*A1967))+D$129*EXP(IF(A1967&lt;0,(10-2)*A1967,-2*A1967))+E$129*EXP(IF(A1967&lt;0,(10-3)*A1967,-3*A1967))+F$129*EXP(IF(A1967&lt;0,(10-4)*A1967,-4*A1967))+G$129*EXP(IF(A1967&lt;0,(10-5)*A1967,-5*A1967))+H$129*EXP(IF(A1967&lt;0,(10-6)*A1967,-6*A1967))+I$129*EXP(IF(A1967&lt;0,(10-7)*A1967,-7*A1967))+J$129*EXP(IF(A1967&lt;0,(10-8)*A1967,-8*A1967))+K$129*EXP(IF(A1967&lt;0,(10-9)*A1967,-9*A1967))+L$129*EXP(IF(A1967&lt;0,(10-10)*A1967,-10*A1967)),0)</x:f>
        <x:v>781749.9182875521</x:v>
      </x:c>
      <x:c r="C1967" s="256" t="n">
        <x:f>IF(B1967=0,IF(B1966=0,0,1),IF(B1966=0,0,IF(SIGN(B1967)&lt;&gt;SIGN(B1966),1,0)))</x:f>
        <x:v>0</x:v>
      </x:c>
      <x:c r="D1967" s="256" t="n">
        <x:f>EXP(A1967-0.005)-1</x:f>
        <x:v>-0.9997828668938336</x:v>
      </x:c>
    </x:row>
    <x:row r="1968" ht="20" customHeight="1">
      <x:c r="A1968" s="256" t="n">
        <x:f>-12+358*0.01</x:f>
        <x:v>-8.42</x:v>
      </x:c>
      <x:c r="B1968" s="256" t="n">
        <x:f>IF(COUNT($B$129:$L$129)=11,B$129*EXP(IF(A1968&lt;0,(10-0)*A1968,-0*A1968))+C$129*EXP(IF(A1968&lt;0,(10-1)*A1968,-1*A1968))+D$129*EXP(IF(A1968&lt;0,(10-2)*A1968,-2*A1968))+E$129*EXP(IF(A1968&lt;0,(10-3)*A1968,-3*A1968))+F$129*EXP(IF(A1968&lt;0,(10-4)*A1968,-4*A1968))+G$129*EXP(IF(A1968&lt;0,(10-5)*A1968,-5*A1968))+H$129*EXP(IF(A1968&lt;0,(10-6)*A1968,-6*A1968))+I$129*EXP(IF(A1968&lt;0,(10-7)*A1968,-7*A1968))+J$129*EXP(IF(A1968&lt;0,(10-8)*A1968,-8*A1968))+K$129*EXP(IF(A1968&lt;0,(10-9)*A1968,-9*A1968))+L$129*EXP(IF(A1968&lt;0,(10-10)*A1968,-10*A1968)),0)</x:f>
        <x:v>781749.9459128096</x:v>
      </x:c>
      <x:c r="C1968" s="256" t="n">
        <x:f>IF(B1968=0,IF(B1967=0,0,1),IF(B1967=0,0,IF(SIGN(B1968)&lt;&gt;SIGN(B1967),1,0)))</x:f>
        <x:v>0</x:v>
      </x:c>
      <x:c r="D1968" s="256" t="n">
        <x:f>EXP(A1968-0.005)-1</x:f>
        <x:v>-0.999780684669837</x:v>
      </x:c>
    </x:row>
    <x:row r="1969" ht="20" customHeight="1">
      <x:c r="A1969" s="256" t="n">
        <x:f>-12+359*0.01</x:f>
        <x:v>-8.41</x:v>
      </x:c>
      <x:c r="B1969" s="256" t="n">
        <x:f>IF(COUNT($B$129:$L$129)=11,B$129*EXP(IF(A1969&lt;0,(10-0)*A1969,-0*A1969))+C$129*EXP(IF(A1969&lt;0,(10-1)*A1969,-1*A1969))+D$129*EXP(IF(A1969&lt;0,(10-2)*A1969,-2*A1969))+E$129*EXP(IF(A1969&lt;0,(10-3)*A1969,-3*A1969))+F$129*EXP(IF(A1969&lt;0,(10-4)*A1969,-4*A1969))+G$129*EXP(IF(A1969&lt;0,(10-5)*A1969,-5*A1969))+H$129*EXP(IF(A1969&lt;0,(10-6)*A1969,-6*A1969))+I$129*EXP(IF(A1969&lt;0,(10-7)*A1969,-7*A1969))+J$129*EXP(IF(A1969&lt;0,(10-8)*A1969,-8*A1969))+K$129*EXP(IF(A1969&lt;0,(10-9)*A1969,-9*A1969))+L$129*EXP(IF(A1969&lt;0,(10-10)*A1969,-10*A1969)),0)</x:f>
        <x:v>781749.9738157993</x:v>
      </x:c>
      <x:c r="C1969" s="256" t="n">
        <x:f>IF(B1969=0,IF(B1968=0,0,1),IF(B1968=0,0,IF(SIGN(B1969)&lt;&gt;SIGN(B1968),1,0)))</x:f>
        <x:v>0</x:v>
      </x:c>
      <x:c r="D1969" s="256" t="n">
        <x:f>EXP(A1969-0.005)-1</x:f>
        <x:v>-0.9997784805141249</x:v>
      </x:c>
    </x:row>
    <x:row r="1970" ht="20" customHeight="1">
      <x:c r="A1970" s="256" t="n">
        <x:f>-12+360*0.01</x:f>
        <x:v>-8.4</x:v>
      </x:c>
      <x:c r="B1970" s="256" t="n">
        <x:f>IF(COUNT($B$129:$L$129)=11,B$129*EXP(IF(A1970&lt;0,(10-0)*A1970,-0*A1970))+C$129*EXP(IF(A1970&lt;0,(10-1)*A1970,-1*A1970))+D$129*EXP(IF(A1970&lt;0,(10-2)*A1970,-2*A1970))+E$129*EXP(IF(A1970&lt;0,(10-3)*A1970,-3*A1970))+F$129*EXP(IF(A1970&lt;0,(10-4)*A1970,-4*A1970))+G$129*EXP(IF(A1970&lt;0,(10-5)*A1970,-5*A1970))+H$129*EXP(IF(A1970&lt;0,(10-6)*A1970,-6*A1970))+I$129*EXP(IF(A1970&lt;0,(10-7)*A1970,-7*A1970))+J$129*EXP(IF(A1970&lt;0,(10-8)*A1970,-8*A1970))+K$129*EXP(IF(A1970&lt;0,(10-9)*A1970,-9*A1970))+L$129*EXP(IF(A1970&lt;0,(10-10)*A1970,-10*A1970)),0)</x:f>
        <x:v>781750.0019993143</x:v>
      </x:c>
      <x:c r="C1970" s="256" t="n">
        <x:f>IF(B1970=0,IF(B1969=0,0,1),IF(B1969=0,0,IF(SIGN(B1970)&lt;&gt;SIGN(B1969),1,0)))</x:f>
        <x:v>0</x:v>
      </x:c>
      <x:c r="D1970" s="256" t="n">
        <x:f>EXP(A1970-0.005)-1</x:f>
        <x:v>-0.9997762542062794</x:v>
      </x:c>
    </x:row>
    <x:row r="1971" ht="20" customHeight="1">
      <x:c r="A1971" s="256" t="n">
        <x:f>-12+361*0.01</x:f>
        <x:v>-8.39</x:v>
      </x:c>
      <x:c r="B1971" s="256" t="n">
        <x:f>IF(COUNT($B$129:$L$129)=11,B$129*EXP(IF(A1971&lt;0,(10-0)*A1971,-0*A1971))+C$129*EXP(IF(A1971&lt;0,(10-1)*A1971,-1*A1971))+D$129*EXP(IF(A1971&lt;0,(10-2)*A1971,-2*A1971))+E$129*EXP(IF(A1971&lt;0,(10-3)*A1971,-3*A1971))+F$129*EXP(IF(A1971&lt;0,(10-4)*A1971,-4*A1971))+G$129*EXP(IF(A1971&lt;0,(10-5)*A1971,-5*A1971))+H$129*EXP(IF(A1971&lt;0,(10-6)*A1971,-6*A1971))+I$129*EXP(IF(A1971&lt;0,(10-7)*A1971,-7*A1971))+J$129*EXP(IF(A1971&lt;0,(10-8)*A1971,-8*A1971))+K$129*EXP(IF(A1971&lt;0,(10-9)*A1971,-9*A1971))+L$129*EXP(IF(A1971&lt;0,(10-10)*A1971,-10*A1971)),0)</x:f>
        <x:v>781750.030466176</x:v>
      </x:c>
      <x:c r="C1971" s="256" t="n">
        <x:f>IF(B1971=0,IF(B1970=0,0,1),IF(B1970=0,0,IF(SIGN(B1971)&lt;&gt;SIGN(B1970),1,0)))</x:f>
        <x:v>0</x:v>
      </x:c>
      <x:c r="D1971" s="256" t="n">
        <x:f>EXP(A1971-0.005)-1</x:f>
        <x:v>-0.9997740055236681</x:v>
      </x:c>
    </x:row>
    <x:row r="1972" ht="20" customHeight="1">
      <x:c r="A1972" s="256" t="n">
        <x:f>-12+362*0.01</x:f>
        <x:v>-8.379999999999999</x:v>
      </x:c>
      <x:c r="B1972" s="256" t="n">
        <x:f>IF(COUNT($B$129:$L$129)=11,B$129*EXP(IF(A1972&lt;0,(10-0)*A1972,-0*A1972))+C$129*EXP(IF(A1972&lt;0,(10-1)*A1972,-1*A1972))+D$129*EXP(IF(A1972&lt;0,(10-2)*A1972,-2*A1972))+E$129*EXP(IF(A1972&lt;0,(10-3)*A1972,-3*A1972))+F$129*EXP(IF(A1972&lt;0,(10-4)*A1972,-4*A1972))+G$129*EXP(IF(A1972&lt;0,(10-5)*A1972,-5*A1972))+H$129*EXP(IF(A1972&lt;0,(10-6)*A1972,-6*A1972))+I$129*EXP(IF(A1972&lt;0,(10-7)*A1972,-7*A1972))+J$129*EXP(IF(A1972&lt;0,(10-8)*A1972,-8*A1972))+K$129*EXP(IF(A1972&lt;0,(10-9)*A1972,-9*A1972))+L$129*EXP(IF(A1972&lt;0,(10-10)*A1972,-10*A1972)),0)</x:f>
        <x:v>781750.0592192338</x:v>
      </x:c>
      <x:c r="C1972" s="256" t="n">
        <x:f>IF(B1972=0,IF(B1971=0,0,1),IF(B1971=0,0,IF(SIGN(B1972)&lt;&gt;SIGN(B1971),1,0)))</x:f>
        <x:v>0</x:v>
      </x:c>
      <x:c r="D1972" s="256" t="n">
        <x:f>EXP(A1972-0.005)-1</x:f>
        <x:v>-0.9997717342414209</x:v>
      </x:c>
    </x:row>
    <x:row r="1973" ht="20" customHeight="1">
      <x:c r="A1973" s="256" t="n">
        <x:f>-12+363*0.01</x:f>
        <x:v>-8.370000000000001</x:v>
      </x:c>
      <x:c r="B1973" s="256" t="n">
        <x:f>IF(COUNT($B$129:$L$129)=11,B$129*EXP(IF(A1973&lt;0,(10-0)*A1973,-0*A1973))+C$129*EXP(IF(A1973&lt;0,(10-1)*A1973,-1*A1973))+D$129*EXP(IF(A1973&lt;0,(10-2)*A1973,-2*A1973))+E$129*EXP(IF(A1973&lt;0,(10-3)*A1973,-3*A1973))+F$129*EXP(IF(A1973&lt;0,(10-4)*A1973,-4*A1973))+G$129*EXP(IF(A1973&lt;0,(10-5)*A1973,-5*A1973))+H$129*EXP(IF(A1973&lt;0,(10-6)*A1973,-6*A1973))+I$129*EXP(IF(A1973&lt;0,(10-7)*A1973,-7*A1973))+J$129*EXP(IF(A1973&lt;0,(10-8)*A1973,-8*A1973))+K$129*EXP(IF(A1973&lt;0,(10-9)*A1973,-9*A1973))+L$129*EXP(IF(A1973&lt;0,(10-10)*A1973,-10*A1973)),0)</x:f>
        <x:v>781750.0882613662</x:v>
      </x:c>
      <x:c r="C1973" s="256" t="n">
        <x:f>IF(B1973=0,IF(B1972=0,0,1),IF(B1972=0,0,IF(SIGN(B1973)&lt;&gt;SIGN(B1972),1,0)))</x:f>
        <x:v>0</x:v>
      </x:c>
      <x:c r="D1973" s="256" t="n">
        <x:f>EXP(A1973-0.005)-1</x:f>
        <x:v>-0.9997694401324075</x:v>
      </x:c>
    </x:row>
    <x:row r="1974" ht="20" customHeight="1">
      <x:c r="A1974" s="256" t="n">
        <x:f>-12+364*0.01</x:f>
        <x:v>-8.36</x:v>
      </x:c>
      <x:c r="B1974" s="256" t="n">
        <x:f>IF(COUNT($B$129:$L$129)=11,B$129*EXP(IF(A1974&lt;0,(10-0)*A1974,-0*A1974))+C$129*EXP(IF(A1974&lt;0,(10-1)*A1974,-1*A1974))+D$129*EXP(IF(A1974&lt;0,(10-2)*A1974,-2*A1974))+E$129*EXP(IF(A1974&lt;0,(10-3)*A1974,-3*A1974))+F$129*EXP(IF(A1974&lt;0,(10-4)*A1974,-4*A1974))+G$129*EXP(IF(A1974&lt;0,(10-5)*A1974,-5*A1974))+H$129*EXP(IF(A1974&lt;0,(10-6)*A1974,-6*A1974))+I$129*EXP(IF(A1974&lt;0,(10-7)*A1974,-7*A1974))+J$129*EXP(IF(A1974&lt;0,(10-8)*A1974,-8*A1974))+K$129*EXP(IF(A1974&lt;0,(10-9)*A1974,-9*A1974))+L$129*EXP(IF(A1974&lt;0,(10-10)*A1974,-10*A1974)),0)</x:f>
        <x:v>781750.1175954805</x:v>
      </x:c>
      <x:c r="C1974" s="256" t="n">
        <x:f>IF(B1974=0,IF(B1973=0,0,1),IF(B1973=0,0,IF(SIGN(B1974)&lt;&gt;SIGN(B1973),1,0)))</x:f>
        <x:v>0</x:v>
      </x:c>
      <x:c r="D1974" s="256" t="n">
        <x:f>EXP(A1974-0.005)-1</x:f>
        <x:v>-0.9997671229672154</x:v>
      </x:c>
    </x:row>
    <x:row r="1975" ht="20" customHeight="1">
      <x:c r="A1975" s="256" t="n">
        <x:f>-12+365*0.01</x:f>
        <x:v>-8.35</x:v>
      </x:c>
      <x:c r="B1975" s="256" t="n">
        <x:f>IF(COUNT($B$129:$L$129)=11,B$129*EXP(IF(A1975&lt;0,(10-0)*A1975,-0*A1975))+C$129*EXP(IF(A1975&lt;0,(10-1)*A1975,-1*A1975))+D$129*EXP(IF(A1975&lt;0,(10-2)*A1975,-2*A1975))+E$129*EXP(IF(A1975&lt;0,(10-3)*A1975,-3*A1975))+F$129*EXP(IF(A1975&lt;0,(10-4)*A1975,-4*A1975))+G$129*EXP(IF(A1975&lt;0,(10-5)*A1975,-5*A1975))+H$129*EXP(IF(A1975&lt;0,(10-6)*A1975,-6*A1975))+I$129*EXP(IF(A1975&lt;0,(10-7)*A1975,-7*A1975))+J$129*EXP(IF(A1975&lt;0,(10-8)*A1975,-8*A1975))+K$129*EXP(IF(A1975&lt;0,(10-9)*A1975,-9*A1975))+L$129*EXP(IF(A1975&lt;0,(10-10)*A1975,-10*A1975)),0)</x:f>
        <x:v>781750.1472245132</x:v>
      </x:c>
      <x:c r="C1975" s="256" t="n">
        <x:f>IF(B1975=0,IF(B1974=0,0,1),IF(B1974=0,0,IF(SIGN(B1975)&lt;&gt;SIGN(B1974),1,0)))</x:f>
        <x:v>0</x:v>
      </x:c>
      <x:c r="D1975" s="256" t="n">
        <x:f>EXP(A1975-0.005)-1</x:f>
        <x:v>-0.9997647825141258</x:v>
      </x:c>
    </x:row>
    <x:row r="1976" ht="20" customHeight="1">
      <x:c r="A1976" s="256" t="n">
        <x:f>-12+366*0.01</x:f>
        <x:v>-8.34</x:v>
      </x:c>
      <x:c r="B1976" s="256" t="n">
        <x:f>IF(COUNT($B$129:$L$129)=11,B$129*EXP(IF(A1976&lt;0,(10-0)*A1976,-0*A1976))+C$129*EXP(IF(A1976&lt;0,(10-1)*A1976,-1*A1976))+D$129*EXP(IF(A1976&lt;0,(10-2)*A1976,-2*A1976))+E$129*EXP(IF(A1976&lt;0,(10-3)*A1976,-3*A1976))+F$129*EXP(IF(A1976&lt;0,(10-4)*A1976,-4*A1976))+G$129*EXP(IF(A1976&lt;0,(10-5)*A1976,-5*A1976))+H$129*EXP(IF(A1976&lt;0,(10-6)*A1976,-6*A1976))+I$129*EXP(IF(A1976&lt;0,(10-7)*A1976,-7*A1976))+J$129*EXP(IF(A1976&lt;0,(10-8)*A1976,-8*A1976))+K$129*EXP(IF(A1976&lt;0,(10-9)*A1976,-9*A1976))+L$129*EXP(IF(A1976&lt;0,(10-10)*A1976,-10*A1976)),0)</x:f>
        <x:v>781750.1771514305</x:v>
      </x:c>
      <x:c r="C1976" s="256" t="n">
        <x:f>IF(B1976=0,IF(B1975=0,0,1),IF(B1975=0,0,IF(SIGN(B1976)&lt;&gt;SIGN(B1975),1,0)))</x:f>
        <x:v>0</x:v>
      </x:c>
      <x:c r="D1976" s="256" t="n">
        <x:f>EXP(A1976-0.005)-1</x:f>
        <x:v>-0.9997624185390916</x:v>
      </x:c>
    </x:row>
    <x:row r="1977" ht="20" customHeight="1">
      <x:c r="A1977" s="256" t="n">
        <x:f>-12+367*0.01</x:f>
        <x:v>-8.33</x:v>
      </x:c>
      <x:c r="B1977" s="256" t="n">
        <x:f>IF(COUNT($B$129:$L$129)=11,B$129*EXP(IF(A1977&lt;0,(10-0)*A1977,-0*A1977))+C$129*EXP(IF(A1977&lt;0,(10-1)*A1977,-1*A1977))+D$129*EXP(IF(A1977&lt;0,(10-2)*A1977,-2*A1977))+E$129*EXP(IF(A1977&lt;0,(10-3)*A1977,-3*A1977))+F$129*EXP(IF(A1977&lt;0,(10-4)*A1977,-4*A1977))+G$129*EXP(IF(A1977&lt;0,(10-5)*A1977,-5*A1977))+H$129*EXP(IF(A1977&lt;0,(10-6)*A1977,-6*A1977))+I$129*EXP(IF(A1977&lt;0,(10-7)*A1977,-7*A1977))+J$129*EXP(IF(A1977&lt;0,(10-8)*A1977,-8*A1977))+K$129*EXP(IF(A1977&lt;0,(10-9)*A1977,-9*A1977))+L$129*EXP(IF(A1977&lt;0,(10-10)*A1977,-10*A1977)),0)</x:f>
        <x:v>781750.2073792282</x:v>
      </x:c>
      <x:c r="C1977" s="256" t="n">
        <x:f>IF(B1977=0,IF(B1976=0,0,1),IF(B1976=0,0,IF(SIGN(B1977)&lt;&gt;SIGN(B1976),1,0)))</x:f>
        <x:v>0</x:v>
      </x:c>
      <x:c r="D1977" s="256" t="n">
        <x:f>EXP(A1977-0.005)-1</x:f>
        <x:v>-0.9997600308057134</x:v>
      </x:c>
    </x:row>
    <x:row r="1978" ht="20" customHeight="1">
      <x:c r="A1978" s="256" t="n">
        <x:f>-12+368*0.01</x:f>
        <x:v>-8.32</x:v>
      </x:c>
      <x:c r="B1978" s="256" t="n">
        <x:f>IF(COUNT($B$129:$L$129)=11,B$129*EXP(IF(A1978&lt;0,(10-0)*A1978,-0*A1978))+C$129*EXP(IF(A1978&lt;0,(10-1)*A1978,-1*A1978))+D$129*EXP(IF(A1978&lt;0,(10-2)*A1978,-2*A1978))+E$129*EXP(IF(A1978&lt;0,(10-3)*A1978,-3*A1978))+F$129*EXP(IF(A1978&lt;0,(10-4)*A1978,-4*A1978))+G$129*EXP(IF(A1978&lt;0,(10-5)*A1978,-5*A1978))+H$129*EXP(IF(A1978&lt;0,(10-6)*A1978,-6*A1978))+I$129*EXP(IF(A1978&lt;0,(10-7)*A1978,-7*A1978))+J$129*EXP(IF(A1978&lt;0,(10-8)*A1978,-8*A1978))+K$129*EXP(IF(A1978&lt;0,(10-9)*A1978,-9*A1978))+L$129*EXP(IF(A1978&lt;0,(10-10)*A1978,-10*A1978)),0)</x:f>
        <x:v>781750.2379109326</x:v>
      </x:c>
      <x:c r="C1978" s="256" t="n">
        <x:f>IF(B1978=0,IF(B1977=0,0,1),IF(B1977=0,0,IF(SIGN(B1978)&lt;&gt;SIGN(B1977),1,0)))</x:f>
        <x:v>0</x:v>
      </x:c>
      <x:c r="D1978" s="256" t="n">
        <x:f>EXP(A1978-0.005)-1</x:f>
        <x:v>-0.9997576190752158</x:v>
      </x:c>
    </x:row>
    <x:row r="1979" ht="20" customHeight="1">
      <x:c r="A1979" s="256" t="n">
        <x:f>-12+369*0.01</x:f>
        <x:v>-8.31</x:v>
      </x:c>
      <x:c r="B1979" s="256" t="n">
        <x:f>IF(COUNT($B$129:$L$129)=11,B$129*EXP(IF(A1979&lt;0,(10-0)*A1979,-0*A1979))+C$129*EXP(IF(A1979&lt;0,(10-1)*A1979,-1*A1979))+D$129*EXP(IF(A1979&lt;0,(10-2)*A1979,-2*A1979))+E$129*EXP(IF(A1979&lt;0,(10-3)*A1979,-3*A1979))+F$129*EXP(IF(A1979&lt;0,(10-4)*A1979,-4*A1979))+G$129*EXP(IF(A1979&lt;0,(10-5)*A1979,-5*A1979))+H$129*EXP(IF(A1979&lt;0,(10-6)*A1979,-6*A1979))+I$129*EXP(IF(A1979&lt;0,(10-7)*A1979,-7*A1979))+J$129*EXP(IF(A1979&lt;0,(10-8)*A1979,-8*A1979))+K$129*EXP(IF(A1979&lt;0,(10-9)*A1979,-9*A1979))+L$129*EXP(IF(A1979&lt;0,(10-10)*A1979,-10*A1979)),0)</x:f>
        <x:v>781750.2687496003</x:v>
      </x:c>
      <x:c r="C1979" s="256" t="n">
        <x:f>IF(B1979=0,IF(B1978=0,0,1),IF(B1978=0,0,IF(SIGN(B1979)&lt;&gt;SIGN(B1978),1,0)))</x:f>
        <x:v>0</x:v>
      </x:c>
      <x:c r="D1979" s="256" t="n">
        <x:f>EXP(A1979-0.005)-1</x:f>
        <x:v>-0.9997551831064236</x:v>
      </x:c>
    </x:row>
    <x:row r="1980" ht="20" customHeight="1">
      <x:c r="A1980" s="256" t="n">
        <x:f>-12+370*0.01</x:f>
        <x:v>-8.3</x:v>
      </x:c>
      <x:c r="B1980" s="256" t="n">
        <x:f>IF(COUNT($B$129:$L$129)=11,B$129*EXP(IF(A1980&lt;0,(10-0)*A1980,-0*A1980))+C$129*EXP(IF(A1980&lt;0,(10-1)*A1980,-1*A1980))+D$129*EXP(IF(A1980&lt;0,(10-2)*A1980,-2*A1980))+E$129*EXP(IF(A1980&lt;0,(10-3)*A1980,-3*A1980))+F$129*EXP(IF(A1980&lt;0,(10-4)*A1980,-4*A1980))+G$129*EXP(IF(A1980&lt;0,(10-5)*A1980,-5*A1980))+H$129*EXP(IF(A1980&lt;0,(10-6)*A1980,-6*A1980))+I$129*EXP(IF(A1980&lt;0,(10-7)*A1980,-7*A1980))+J$129*EXP(IF(A1980&lt;0,(10-8)*A1980,-8*A1980))+K$129*EXP(IF(A1980&lt;0,(10-9)*A1980,-9*A1980))+L$129*EXP(IF(A1980&lt;0,(10-10)*A1980,-10*A1980)),0)</x:f>
        <x:v>781750.2998983184</x:v>
      </x:c>
      <x:c r="C1980" s="256" t="n">
        <x:f>IF(B1980=0,IF(B1979=0,0,1),IF(B1979=0,0,IF(SIGN(B1980)&lt;&gt;SIGN(B1979),1,0)))</x:f>
        <x:v>0</x:v>
      </x:c>
      <x:c r="D1980" s="256" t="n">
        <x:f>EXP(A1980-0.005)-1</x:f>
        <x:v>-0.9997527226557382</x:v>
      </x:c>
    </x:row>
    <x:row r="1981" ht="20" customHeight="1">
      <x:c r="A1981" s="256" t="n">
        <x:f>-12+371*0.01</x:f>
        <x:v>-8.29</x:v>
      </x:c>
      <x:c r="B1981" s="256" t="n">
        <x:f>IF(COUNT($B$129:$L$129)=11,B$129*EXP(IF(A1981&lt;0,(10-0)*A1981,-0*A1981))+C$129*EXP(IF(A1981&lt;0,(10-1)*A1981,-1*A1981))+D$129*EXP(IF(A1981&lt;0,(10-2)*A1981,-2*A1981))+E$129*EXP(IF(A1981&lt;0,(10-3)*A1981,-3*A1981))+F$129*EXP(IF(A1981&lt;0,(10-4)*A1981,-4*A1981))+G$129*EXP(IF(A1981&lt;0,(10-5)*A1981,-5*A1981))+H$129*EXP(IF(A1981&lt;0,(10-6)*A1981,-6*A1981))+I$129*EXP(IF(A1981&lt;0,(10-7)*A1981,-7*A1981))+J$129*EXP(IF(A1981&lt;0,(10-8)*A1981,-8*A1981))+K$129*EXP(IF(A1981&lt;0,(10-9)*A1981,-9*A1981))+L$129*EXP(IF(A1981&lt;0,(10-10)*A1981,-10*A1981)),0)</x:f>
        <x:v>781750.3313602055</x:v>
      </x:c>
      <x:c r="C1981" s="256" t="n">
        <x:f>IF(B1981=0,IF(B1980=0,0,1),IF(B1980=0,0,IF(SIGN(B1981)&lt;&gt;SIGN(B1980),1,0)))</x:f>
        <x:v>0</x:v>
      </x:c>
      <x:c r="D1981" s="256" t="n">
        <x:f>EXP(A1981-0.005)-1</x:f>
        <x:v>-0.9997502374771122</x:v>
      </x:c>
    </x:row>
    <x:row r="1982" ht="20" customHeight="1">
      <x:c r="A1982" s="256" t="n">
        <x:f>-12+372*0.01</x:f>
        <x:v>-8.28</x:v>
      </x:c>
      <x:c r="B1982" s="256" t="n">
        <x:f>IF(COUNT($B$129:$L$129)=11,B$129*EXP(IF(A1982&lt;0,(10-0)*A1982,-0*A1982))+C$129*EXP(IF(A1982&lt;0,(10-1)*A1982,-1*A1982))+D$129*EXP(IF(A1982&lt;0,(10-2)*A1982,-2*A1982))+E$129*EXP(IF(A1982&lt;0,(10-3)*A1982,-3*A1982))+F$129*EXP(IF(A1982&lt;0,(10-4)*A1982,-4*A1982))+G$129*EXP(IF(A1982&lt;0,(10-5)*A1982,-5*A1982))+H$129*EXP(IF(A1982&lt;0,(10-6)*A1982,-6*A1982))+I$129*EXP(IF(A1982&lt;0,(10-7)*A1982,-7*A1982))+J$129*EXP(IF(A1982&lt;0,(10-8)*A1982,-8*A1982))+K$129*EXP(IF(A1982&lt;0,(10-9)*A1982,-9*A1982))+L$129*EXP(IF(A1982&lt;0,(10-10)*A1982,-10*A1982)),0)</x:f>
        <x:v>781750.3631384114</x:v>
      </x:c>
      <x:c r="C1982" s="256" t="n">
        <x:f>IF(B1982=0,IF(B1981=0,0,1),IF(B1981=0,0,IF(SIGN(B1982)&lt;&gt;SIGN(B1981),1,0)))</x:f>
        <x:v>0</x:v>
      </x:c>
      <x:c r="D1982" s="256" t="n">
        <x:f>EXP(A1982-0.005)-1</x:f>
        <x:v>-0.9997477273220259</x:v>
      </x:c>
    </x:row>
    <x:row r="1983" ht="20" customHeight="1">
      <x:c r="A1983" s="256" t="n">
        <x:f>-12+373*0.01</x:f>
        <x:v>-8.27</x:v>
      </x:c>
      <x:c r="B1983" s="256" t="n">
        <x:f>IF(COUNT($B$129:$L$129)=11,B$129*EXP(IF(A1983&lt;0,(10-0)*A1983,-0*A1983))+C$129*EXP(IF(A1983&lt;0,(10-1)*A1983,-1*A1983))+D$129*EXP(IF(A1983&lt;0,(10-2)*A1983,-2*A1983))+E$129*EXP(IF(A1983&lt;0,(10-3)*A1983,-3*A1983))+F$129*EXP(IF(A1983&lt;0,(10-4)*A1983,-4*A1983))+G$129*EXP(IF(A1983&lt;0,(10-5)*A1983,-5*A1983))+H$129*EXP(IF(A1983&lt;0,(10-6)*A1983,-6*A1983))+I$129*EXP(IF(A1983&lt;0,(10-7)*A1983,-7*A1983))+J$129*EXP(IF(A1983&lt;0,(10-8)*A1983,-8*A1983))+K$129*EXP(IF(A1983&lt;0,(10-9)*A1983,-9*A1983))+L$129*EXP(IF(A1983&lt;0,(10-10)*A1983,-10*A1983)),0)</x:f>
        <x:v>781750.3952361176</x:v>
      </x:c>
      <x:c r="C1983" s="256" t="n">
        <x:f>IF(B1983=0,IF(B1982=0,0,1),IF(B1982=0,0,IF(SIGN(B1983)&lt;&gt;SIGN(B1982),1,0)))</x:f>
        <x:v>0</x:v>
      </x:c>
      <x:c r="D1983" s="256" t="n">
        <x:f>EXP(A1983-0.005)-1</x:f>
        <x:v>-0.9997451919394614</x:v>
      </x:c>
    </x:row>
    <x:row r="1984" ht="20" customHeight="1">
      <x:c r="A1984" s="256" t="n">
        <x:f>-12+374*0.01</x:f>
        <x:v>-8.26</x:v>
      </x:c>
      <x:c r="B1984" s="256" t="n">
        <x:f>IF(COUNT($B$129:$L$129)=11,B$129*EXP(IF(A1984&lt;0,(10-0)*A1984,-0*A1984))+C$129*EXP(IF(A1984&lt;0,(10-1)*A1984,-1*A1984))+D$129*EXP(IF(A1984&lt;0,(10-2)*A1984,-2*A1984))+E$129*EXP(IF(A1984&lt;0,(10-3)*A1984,-3*A1984))+F$129*EXP(IF(A1984&lt;0,(10-4)*A1984,-4*A1984))+G$129*EXP(IF(A1984&lt;0,(10-5)*A1984,-5*A1984))+H$129*EXP(IF(A1984&lt;0,(10-6)*A1984,-6*A1984))+I$129*EXP(IF(A1984&lt;0,(10-7)*A1984,-7*A1984))+J$129*EXP(IF(A1984&lt;0,(10-8)*A1984,-8*A1984))+K$129*EXP(IF(A1984&lt;0,(10-9)*A1984,-9*A1984))+L$129*EXP(IF(A1984&lt;0,(10-10)*A1984,-10*A1984)),0)</x:f>
        <x:v>781750.4276565377</x:v>
      </x:c>
      <x:c r="C1984" s="256" t="n">
        <x:f>IF(B1984=0,IF(B1983=0,0,1),IF(B1983=0,0,IF(SIGN(B1984)&lt;&gt;SIGN(B1983),1,0)))</x:f>
        <x:v>0</x:v>
      </x:c>
      <x:c r="D1984" s="256" t="n">
        <x:f>EXP(A1984-0.005)-1</x:f>
        <x:v>-0.9997426310758787</x:v>
      </x:c>
    </x:row>
    <x:row r="1985" ht="20" customHeight="1">
      <x:c r="A1985" s="256" t="n">
        <x:f>-12+375*0.01</x:f>
        <x:v>-8.25</x:v>
      </x:c>
      <x:c r="B1985" s="256" t="n">
        <x:f>IF(COUNT($B$129:$L$129)=11,B$129*EXP(IF(A1985&lt;0,(10-0)*A1985,-0*A1985))+C$129*EXP(IF(A1985&lt;0,(10-1)*A1985,-1*A1985))+D$129*EXP(IF(A1985&lt;0,(10-2)*A1985,-2*A1985))+E$129*EXP(IF(A1985&lt;0,(10-3)*A1985,-3*A1985))+F$129*EXP(IF(A1985&lt;0,(10-4)*A1985,-4*A1985))+G$129*EXP(IF(A1985&lt;0,(10-5)*A1985,-5*A1985))+H$129*EXP(IF(A1985&lt;0,(10-6)*A1985,-6*A1985))+I$129*EXP(IF(A1985&lt;0,(10-7)*A1985,-7*A1985))+J$129*EXP(IF(A1985&lt;0,(10-8)*A1985,-8*A1985))+K$129*EXP(IF(A1985&lt;0,(10-9)*A1985,-9*A1985))+L$129*EXP(IF(A1985&lt;0,(10-10)*A1985,-10*A1985)),0)</x:f>
        <x:v>781750.4604029175</x:v>
      </x:c>
      <x:c r="C1985" s="256" t="n">
        <x:f>IF(B1985=0,IF(B1984=0,0,1),IF(B1984=0,0,IF(SIGN(B1985)&lt;&gt;SIGN(B1984),1,0)))</x:f>
        <x:v>0</x:v>
      </x:c>
      <x:c r="D1985" s="256" t="n">
        <x:f>EXP(A1985-0.005)-1</x:f>
        <x:v>-0.9997400444751889</x:v>
      </x:c>
    </x:row>
    <x:row r="1986" ht="20" customHeight="1">
      <x:c r="A1986" s="256" t="n">
        <x:f>-12+376*0.01</x:f>
        <x:v>-8.24</x:v>
      </x:c>
      <x:c r="B1986" s="256" t="n">
        <x:f>IF(COUNT($B$129:$L$129)=11,B$129*EXP(IF(A1986&lt;0,(10-0)*A1986,-0*A1986))+C$129*EXP(IF(A1986&lt;0,(10-1)*A1986,-1*A1986))+D$129*EXP(IF(A1986&lt;0,(10-2)*A1986,-2*A1986))+E$129*EXP(IF(A1986&lt;0,(10-3)*A1986,-3*A1986))+F$129*EXP(IF(A1986&lt;0,(10-4)*A1986,-4*A1986))+G$129*EXP(IF(A1986&lt;0,(10-5)*A1986,-5*A1986))+H$129*EXP(IF(A1986&lt;0,(10-6)*A1986,-6*A1986))+I$129*EXP(IF(A1986&lt;0,(10-7)*A1986,-7*A1986))+J$129*EXP(IF(A1986&lt;0,(10-8)*A1986,-8*A1986))+K$129*EXP(IF(A1986&lt;0,(10-9)*A1986,-9*A1986))+L$129*EXP(IF(A1986&lt;0,(10-10)*A1986,-10*A1986)),0)</x:f>
        <x:v>781750.4934785356</x:v>
      </x:c>
      <x:c r="C1986" s="256" t="n">
        <x:f>IF(B1986=0,IF(B1985=0,0,1),IF(B1985=0,0,IF(SIGN(B1986)&lt;&gt;SIGN(B1985),1,0)))</x:f>
        <x:v>0</x:v>
      </x:c>
      <x:c r="D1986" s="256" t="n">
        <x:f>EXP(A1986-0.005)-1</x:f>
        <x:v>-0.9997374318787302</x:v>
      </x:c>
    </x:row>
    <x:row r="1987" ht="20" customHeight="1">
      <x:c r="A1987" s="256" t="n">
        <x:f>-12+377*0.01</x:f>
        <x:v>-8.23</x:v>
      </x:c>
      <x:c r="B1987" s="256" t="n">
        <x:f>IF(COUNT($B$129:$L$129)=11,B$129*EXP(IF(A1987&lt;0,(10-0)*A1987,-0*A1987))+C$129*EXP(IF(A1987&lt;0,(10-1)*A1987,-1*A1987))+D$129*EXP(IF(A1987&lt;0,(10-2)*A1987,-2*A1987))+E$129*EXP(IF(A1987&lt;0,(10-3)*A1987,-3*A1987))+F$129*EXP(IF(A1987&lt;0,(10-4)*A1987,-4*A1987))+G$129*EXP(IF(A1987&lt;0,(10-5)*A1987,-5*A1987))+H$129*EXP(IF(A1987&lt;0,(10-6)*A1987,-6*A1987))+I$129*EXP(IF(A1987&lt;0,(10-7)*A1987,-7*A1987))+J$129*EXP(IF(A1987&lt;0,(10-8)*A1987,-8*A1987))+K$129*EXP(IF(A1987&lt;0,(10-9)*A1987,-9*A1987))+L$129*EXP(IF(A1987&lt;0,(10-10)*A1987,-10*A1987)),0)</x:f>
        <x:v>781750.5268867034</x:v>
      </x:c>
      <x:c r="C1987" s="256" t="n">
        <x:f>IF(B1987=0,IF(B1986=0,0,1),IF(B1986=0,0,IF(SIGN(B1987)&lt;&gt;SIGN(B1986),1,0)))</x:f>
        <x:v>0</x:v>
      </x:c>
      <x:c r="D1987" s="256" t="n">
        <x:f>EXP(A1987-0.005)-1</x:f>
        <x:v>-0.9997347930252404</x:v>
      </x:c>
    </x:row>
    <x:row r="1988" ht="20" customHeight="1">
      <x:c r="A1988" s="256" t="n">
        <x:f>-12+378*0.01</x:f>
        <x:v>-8.219999999999999</x:v>
      </x:c>
      <x:c r="B1988" s="256" t="n">
        <x:f>IF(COUNT($B$129:$L$129)=11,B$129*EXP(IF(A1988&lt;0,(10-0)*A1988,-0*A1988))+C$129*EXP(IF(A1988&lt;0,(10-1)*A1988,-1*A1988))+D$129*EXP(IF(A1988&lt;0,(10-2)*A1988,-2*A1988))+E$129*EXP(IF(A1988&lt;0,(10-3)*A1988,-3*A1988))+F$129*EXP(IF(A1988&lt;0,(10-4)*A1988,-4*A1988))+G$129*EXP(IF(A1988&lt;0,(10-5)*A1988,-5*A1988))+H$129*EXP(IF(A1988&lt;0,(10-6)*A1988,-6*A1988))+I$129*EXP(IF(A1988&lt;0,(10-7)*A1988,-7*A1988))+J$129*EXP(IF(A1988&lt;0,(10-8)*A1988,-8*A1988))+K$129*EXP(IF(A1988&lt;0,(10-9)*A1988,-9*A1988))+L$129*EXP(IF(A1988&lt;0,(10-10)*A1988,-10*A1988)),0)</x:f>
        <x:v>781750.5606307661</x:v>
      </x:c>
      <x:c r="C1988" s="256" t="n">
        <x:f>IF(B1988=0,IF(B1987=0,0,1),IF(B1987=0,0,IF(SIGN(B1988)&lt;&gt;SIGN(B1987),1,0)))</x:f>
        <x:v>0</x:v>
      </x:c>
      <x:c r="D1988" s="256" t="n">
        <x:f>EXP(A1988-0.005)-1</x:f>
        <x:v>-0.9997321276508322</x:v>
      </x:c>
    </x:row>
    <x:row r="1989" ht="20" customHeight="1">
      <x:c r="A1989" s="256" t="n">
        <x:f>-12+379*0.01</x:f>
        <x:v>-8.21</x:v>
      </x:c>
      <x:c r="B1989" s="256" t="n">
        <x:f>IF(COUNT($B$129:$L$129)=11,B$129*EXP(IF(A1989&lt;0,(10-0)*A1989,-0*A1989))+C$129*EXP(IF(A1989&lt;0,(10-1)*A1989,-1*A1989))+D$129*EXP(IF(A1989&lt;0,(10-2)*A1989,-2*A1989))+E$129*EXP(IF(A1989&lt;0,(10-3)*A1989,-3*A1989))+F$129*EXP(IF(A1989&lt;0,(10-4)*A1989,-4*A1989))+G$129*EXP(IF(A1989&lt;0,(10-5)*A1989,-5*A1989))+H$129*EXP(IF(A1989&lt;0,(10-6)*A1989,-6*A1989))+I$129*EXP(IF(A1989&lt;0,(10-7)*A1989,-7*A1989))+J$129*EXP(IF(A1989&lt;0,(10-8)*A1989,-8*A1989))+K$129*EXP(IF(A1989&lt;0,(10-9)*A1989,-9*A1989))+L$129*EXP(IF(A1989&lt;0,(10-10)*A1989,-10*A1989)),0)</x:f>
        <x:v>781750.594714102</x:v>
      </x:c>
      <x:c r="C1989" s="256" t="n">
        <x:f>IF(B1989=0,IF(B1988=0,0,1),IF(B1988=0,0,IF(SIGN(B1989)&lt;&gt;SIGN(B1988),1,0)))</x:f>
        <x:v>0</x:v>
      </x:c>
      <x:c r="D1989" s="256" t="n">
        <x:f>EXP(A1989-0.005)-1</x:f>
        <x:v>-0.9997294354889659</x:v>
      </x:c>
    </x:row>
    <x:row r="1990" ht="20" customHeight="1">
      <x:c r="A1990" s="256" t="n">
        <x:f>-12+380*0.01</x:f>
        <x:v>-8.2</x:v>
      </x:c>
      <x:c r="B1990" s="256" t="n">
        <x:f>IF(COUNT($B$129:$L$129)=11,B$129*EXP(IF(A1990&lt;0,(10-0)*A1990,-0*A1990))+C$129*EXP(IF(A1990&lt;0,(10-1)*A1990,-1*A1990))+D$129*EXP(IF(A1990&lt;0,(10-2)*A1990,-2*A1990))+E$129*EXP(IF(A1990&lt;0,(10-3)*A1990,-3*A1990))+F$129*EXP(IF(A1990&lt;0,(10-4)*A1990,-4*A1990))+G$129*EXP(IF(A1990&lt;0,(10-5)*A1990,-5*A1990))+H$129*EXP(IF(A1990&lt;0,(10-6)*A1990,-6*A1990))+I$129*EXP(IF(A1990&lt;0,(10-7)*A1990,-7*A1990))+J$129*EXP(IF(A1990&lt;0,(10-8)*A1990,-8*A1990))+K$129*EXP(IF(A1990&lt;0,(10-9)*A1990,-9*A1990))+L$129*EXP(IF(A1990&lt;0,(10-10)*A1990,-10*A1990)),0)</x:f>
        <x:v>781750.6291401237</x:v>
      </x:c>
      <x:c r="C1990" s="256" t="n">
        <x:f>IF(B1990=0,IF(B1989=0,0,1),IF(B1989=0,0,IF(SIGN(B1990)&lt;&gt;SIGN(B1989),1,0)))</x:f>
        <x:v>0</x:v>
      </x:c>
      <x:c r="D1990" s="256" t="n">
        <x:f>EXP(A1990-0.005)-1</x:f>
        <x:v>-0.9997267162704229</x:v>
      </x:c>
    </x:row>
    <x:row r="1991" ht="20" customHeight="1">
      <x:c r="A1991" s="256" t="n">
        <x:f>-12+381*0.01</x:f>
        <x:v>-8.19</x:v>
      </x:c>
      <x:c r="B1991" s="256" t="n">
        <x:f>IF(COUNT($B$129:$L$129)=11,B$129*EXP(IF(A1991&lt;0,(10-0)*A1991,-0*A1991))+C$129*EXP(IF(A1991&lt;0,(10-1)*A1991,-1*A1991))+D$129*EXP(IF(A1991&lt;0,(10-2)*A1991,-2*A1991))+E$129*EXP(IF(A1991&lt;0,(10-3)*A1991,-3*A1991))+F$129*EXP(IF(A1991&lt;0,(10-4)*A1991,-4*A1991))+G$129*EXP(IF(A1991&lt;0,(10-5)*A1991,-5*A1991))+H$129*EXP(IF(A1991&lt;0,(10-6)*A1991,-6*A1991))+I$129*EXP(IF(A1991&lt;0,(10-7)*A1991,-7*A1991))+J$129*EXP(IF(A1991&lt;0,(10-8)*A1991,-8*A1991))+K$129*EXP(IF(A1991&lt;0,(10-9)*A1991,-9*A1991))+L$129*EXP(IF(A1991&lt;0,(10-10)*A1991,-10*A1991)),0)</x:f>
        <x:v>781750.6639122784</x:v>
      </x:c>
      <x:c r="C1991" s="256" t="n">
        <x:f>IF(B1991=0,IF(B1990=0,0,1),IF(B1990=0,0,IF(SIGN(B1991)&lt;&gt;SIGN(B1990),1,0)))</x:f>
        <x:v>0</x:v>
      </x:c>
      <x:c r="D1991" s="256" t="n">
        <x:f>EXP(A1991-0.005)-1</x:f>
        <x:v>-0.9997239697232793</x:v>
      </x:c>
    </x:row>
    <x:row r="1992" ht="20" customHeight="1">
      <x:c r="A1992" s="256" t="n">
        <x:f>-12+382*0.01</x:f>
        <x:v>-8.18</x:v>
      </x:c>
      <x:c r="B1992" s="256" t="n">
        <x:f>IF(COUNT($B$129:$L$129)=11,B$129*EXP(IF(A1992&lt;0,(10-0)*A1992,-0*A1992))+C$129*EXP(IF(A1992&lt;0,(10-1)*A1992,-1*A1992))+D$129*EXP(IF(A1992&lt;0,(10-2)*A1992,-2*A1992))+E$129*EXP(IF(A1992&lt;0,(10-3)*A1992,-3*A1992))+F$129*EXP(IF(A1992&lt;0,(10-4)*A1992,-4*A1992))+G$129*EXP(IF(A1992&lt;0,(10-5)*A1992,-5*A1992))+H$129*EXP(IF(A1992&lt;0,(10-6)*A1992,-6*A1992))+I$129*EXP(IF(A1992&lt;0,(10-7)*A1992,-7*A1992))+J$129*EXP(IF(A1992&lt;0,(10-8)*A1992,-8*A1992))+K$129*EXP(IF(A1992&lt;0,(10-9)*A1992,-9*A1992))+L$129*EXP(IF(A1992&lt;0,(10-10)*A1992,-10*A1992)),0)</x:f>
        <x:v>781750.6990340474</x:v>
      </x:c>
      <x:c r="C1992" s="256" t="n">
        <x:f>IF(B1992=0,IF(B1991=0,0,1),IF(B1991=0,0,IF(SIGN(B1992)&lt;&gt;SIGN(B1991),1,0)))</x:f>
        <x:v>0</x:v>
      </x:c>
      <x:c r="D1992" s="256" t="n">
        <x:f>EXP(A1992-0.005)-1</x:f>
        <x:v>-0.999721195572878</x:v>
      </x:c>
    </x:row>
    <x:row r="1993" ht="20" customHeight="1">
      <x:c r="A1993" s="256" t="n">
        <x:f>-12+383*0.01</x:f>
        <x:v>-8.17</x:v>
      </x:c>
      <x:c r="B1993" s="256" t="n">
        <x:f>IF(COUNT($B$129:$L$129)=11,B$129*EXP(IF(A1993&lt;0,(10-0)*A1993,-0*A1993))+C$129*EXP(IF(A1993&lt;0,(10-1)*A1993,-1*A1993))+D$129*EXP(IF(A1993&lt;0,(10-2)*A1993,-2*A1993))+E$129*EXP(IF(A1993&lt;0,(10-3)*A1993,-3*A1993))+F$129*EXP(IF(A1993&lt;0,(10-4)*A1993,-4*A1993))+G$129*EXP(IF(A1993&lt;0,(10-5)*A1993,-5*A1993))+H$129*EXP(IF(A1993&lt;0,(10-6)*A1993,-6*A1993))+I$129*EXP(IF(A1993&lt;0,(10-7)*A1993,-7*A1993))+J$129*EXP(IF(A1993&lt;0,(10-8)*A1993,-8*A1993))+K$129*EXP(IF(A1993&lt;0,(10-9)*A1993,-9*A1993))+L$129*EXP(IF(A1993&lt;0,(10-10)*A1993,-10*A1993)),0)</x:f>
        <x:v>781750.7345089476</x:v>
      </x:c>
      <x:c r="C1993" s="256" t="n">
        <x:f>IF(B1993=0,IF(B1992=0,0,1),IF(B1992=0,0,IF(SIGN(B1993)&lt;&gt;SIGN(B1992),1,0)))</x:f>
        <x:v>0</x:v>
      </x:c>
      <x:c r="D1993" s="256" t="n">
        <x:f>EXP(A1993-0.005)-1</x:f>
        <x:v>-0.9997183935418016</x:v>
      </x:c>
    </x:row>
    <x:row r="1994" ht="20" customHeight="1">
      <x:c r="A1994" s="256" t="n">
        <x:f>-12+384*0.01</x:f>
        <x:v>-8.16</x:v>
      </x:c>
      <x:c r="B1994" s="256" t="n">
        <x:f>IF(COUNT($B$129:$L$129)=11,B$129*EXP(IF(A1994&lt;0,(10-0)*A1994,-0*A1994))+C$129*EXP(IF(A1994&lt;0,(10-1)*A1994,-1*A1994))+D$129*EXP(IF(A1994&lt;0,(10-2)*A1994,-2*A1994))+E$129*EXP(IF(A1994&lt;0,(10-3)*A1994,-3*A1994))+F$129*EXP(IF(A1994&lt;0,(10-4)*A1994,-4*A1994))+G$129*EXP(IF(A1994&lt;0,(10-5)*A1994,-5*A1994))+H$129*EXP(IF(A1994&lt;0,(10-6)*A1994,-6*A1994))+I$129*EXP(IF(A1994&lt;0,(10-7)*A1994,-7*A1994))+J$129*EXP(IF(A1994&lt;0,(10-8)*A1994,-8*A1994))+K$129*EXP(IF(A1994&lt;0,(10-9)*A1994,-9*A1994))+L$129*EXP(IF(A1994&lt;0,(10-10)*A1994,-10*A1994)),0)</x:f>
        <x:v>781750.770340531</x:v>
      </x:c>
      <x:c r="C1994" s="256" t="n">
        <x:f>IF(B1994=0,IF(B1993=0,0,1),IF(B1993=0,0,IF(SIGN(B1994)&lt;&gt;SIGN(B1993),1,0)))</x:f>
        <x:v>0</x:v>
      </x:c>
      <x:c r="D1994" s="256" t="n">
        <x:f>EXP(A1994-0.005)-1</x:f>
        <x:v>-0.9997155633498447</x:v>
      </x:c>
    </x:row>
    <x:row r="1995" ht="20" customHeight="1">
      <x:c r="A1995" s="256" t="n">
        <x:f>-12+385*0.01</x:f>
        <x:v>-8.15</x:v>
      </x:c>
      <x:c r="B1995" s="256" t="n">
        <x:f>IF(COUNT($B$129:$L$129)=11,B$129*EXP(IF(A1995&lt;0,(10-0)*A1995,-0*A1995))+C$129*EXP(IF(A1995&lt;0,(10-1)*A1995,-1*A1995))+D$129*EXP(IF(A1995&lt;0,(10-2)*A1995,-2*A1995))+E$129*EXP(IF(A1995&lt;0,(10-3)*A1995,-3*A1995))+F$129*EXP(IF(A1995&lt;0,(10-4)*A1995,-4*A1995))+G$129*EXP(IF(A1995&lt;0,(10-5)*A1995,-5*A1995))+H$129*EXP(IF(A1995&lt;0,(10-6)*A1995,-6*A1995))+I$129*EXP(IF(A1995&lt;0,(10-7)*A1995,-7*A1995))+J$129*EXP(IF(A1995&lt;0,(10-8)*A1995,-8*A1995))+K$129*EXP(IF(A1995&lt;0,(10-9)*A1995,-9*A1995))+L$129*EXP(IF(A1995&lt;0,(10-10)*A1995,-10*A1995)),0)</x:f>
        <x:v>781750.8065323855</x:v>
      </x:c>
      <x:c r="C1995" s="256" t="n">
        <x:f>IF(B1995=0,IF(B1994=0,0,1),IF(B1994=0,0,IF(SIGN(B1995)&lt;&gt;SIGN(B1994),1,0)))</x:f>
        <x:v>0</x:v>
      </x:c>
      <x:c r="D1995" s="256" t="n">
        <x:f>EXP(A1995-0.005)-1</x:f>
        <x:v>-0.9997127047139858</x:v>
      </x:c>
    </x:row>
    <x:row r="1996" ht="20" customHeight="1">
      <x:c r="A1996" s="256" t="n">
        <x:f>-12+386*0.01</x:f>
        <x:v>-8.14</x:v>
      </x:c>
      <x:c r="B1996" s="256" t="n">
        <x:f>IF(COUNT($B$129:$L$129)=11,B$129*EXP(IF(A1996&lt;0,(10-0)*A1996,-0*A1996))+C$129*EXP(IF(A1996&lt;0,(10-1)*A1996,-1*A1996))+D$129*EXP(IF(A1996&lt;0,(10-2)*A1996,-2*A1996))+E$129*EXP(IF(A1996&lt;0,(10-3)*A1996,-3*A1996))+F$129*EXP(IF(A1996&lt;0,(10-4)*A1996,-4*A1996))+G$129*EXP(IF(A1996&lt;0,(10-5)*A1996,-5*A1996))+H$129*EXP(IF(A1996&lt;0,(10-6)*A1996,-6*A1996))+I$129*EXP(IF(A1996&lt;0,(10-7)*A1996,-7*A1996))+J$129*EXP(IF(A1996&lt;0,(10-8)*A1996,-8*A1996))+K$129*EXP(IF(A1996&lt;0,(10-9)*A1996,-9*A1996))+L$129*EXP(IF(A1996&lt;0,(10-10)*A1996,-10*A1996)),0)</x:f>
        <x:v>781750.843088135</x:v>
      </x:c>
      <x:c r="C1996" s="256" t="n">
        <x:f>IF(B1996=0,IF(B1995=0,0,1),IF(B1995=0,0,IF(SIGN(B1996)&lt;&gt;SIGN(B1995),1,0)))</x:f>
        <x:v>0</x:v>
      </x:c>
      <x:c r="D1996" s="256" t="n">
        <x:f>EXP(A1996-0.005)-1</x:f>
        <x:v>-0.9997098173483588</x:v>
      </x:c>
    </x:row>
    <x:row r="1997" ht="20" customHeight="1">
      <x:c r="A1997" s="256" t="n">
        <x:f>-12+387*0.01</x:f>
        <x:v>-8.129999999999999</x:v>
      </x:c>
      <x:c r="B1997" s="256" t="n">
        <x:f>IF(COUNT($B$129:$L$129)=11,B$129*EXP(IF(A1997&lt;0,(10-0)*A1997,-0*A1997))+C$129*EXP(IF(A1997&lt;0,(10-1)*A1997,-1*A1997))+D$129*EXP(IF(A1997&lt;0,(10-2)*A1997,-2*A1997))+E$129*EXP(IF(A1997&lt;0,(10-3)*A1997,-3*A1997))+F$129*EXP(IF(A1997&lt;0,(10-4)*A1997,-4*A1997))+G$129*EXP(IF(A1997&lt;0,(10-5)*A1997,-5*A1997))+H$129*EXP(IF(A1997&lt;0,(10-6)*A1997,-6*A1997))+I$129*EXP(IF(A1997&lt;0,(10-7)*A1997,-7*A1997))+J$129*EXP(IF(A1997&lt;0,(10-8)*A1997,-8*A1997))+K$129*EXP(IF(A1997&lt;0,(10-9)*A1997,-9*A1997))+L$129*EXP(IF(A1997&lt;0,(10-10)*A1997,-10*A1997)),0)</x:f>
        <x:v>781750.88001144</x:v>
      </x:c>
      <x:c r="C1997" s="256" t="n">
        <x:f>IF(B1997=0,IF(B1996=0,0,1),IF(B1996=0,0,IF(SIGN(B1997)&lt;&gt;SIGN(B1996),1,0)))</x:f>
        <x:v>0</x:v>
      </x:c>
      <x:c r="D1997" s="256" t="n">
        <x:f>EXP(A1997-0.005)-1</x:f>
        <x:v>-0.9997069009642249</x:v>
      </x:c>
    </x:row>
    <x:row r="1998" ht="20" customHeight="1">
      <x:c r="A1998" s="256" t="n">
        <x:f>-12+388*0.01</x:f>
        <x:v>-8.120000000000001</x:v>
      </x:c>
      <x:c r="B1998" s="256" t="n">
        <x:f>IF(COUNT($B$129:$L$129)=11,B$129*EXP(IF(A1998&lt;0,(10-0)*A1998,-0*A1998))+C$129*EXP(IF(A1998&lt;0,(10-1)*A1998,-1*A1998))+D$129*EXP(IF(A1998&lt;0,(10-2)*A1998,-2*A1998))+E$129*EXP(IF(A1998&lt;0,(10-3)*A1998,-3*A1998))+F$129*EXP(IF(A1998&lt;0,(10-4)*A1998,-4*A1998))+G$129*EXP(IF(A1998&lt;0,(10-5)*A1998,-5*A1998))+H$129*EXP(IF(A1998&lt;0,(10-6)*A1998,-6*A1998))+I$129*EXP(IF(A1998&lt;0,(10-7)*A1998,-7*A1998))+J$129*EXP(IF(A1998&lt;0,(10-8)*A1998,-8*A1998))+K$129*EXP(IF(A1998&lt;0,(10-9)*A1998,-9*A1998))+L$129*EXP(IF(A1998&lt;0,(10-10)*A1998,-10*A1998)),0)</x:f>
        <x:v>781750.9173059978</x:v>
      </x:c>
      <x:c r="C1998" s="256" t="n">
        <x:f>IF(B1998=0,IF(B1997=0,0,1),IF(B1997=0,0,IF(SIGN(B1998)&lt;&gt;SIGN(B1997),1,0)))</x:f>
        <x:v>0</x:v>
      </x:c>
      <x:c r="D1998" s="256" t="n">
        <x:f>EXP(A1998-0.005)-1</x:f>
        <x:v>-0.9997039552699432</x:v>
      </x:c>
    </x:row>
    <x:row r="1999" ht="20" customHeight="1">
      <x:c r="A1999" s="256" t="n">
        <x:f>-12+389*0.01</x:f>
        <x:v>-8.11</x:v>
      </x:c>
      <x:c r="B1999" s="256" t="n">
        <x:f>IF(COUNT($B$129:$L$129)=11,B$129*EXP(IF(A1999&lt;0,(10-0)*A1999,-0*A1999))+C$129*EXP(IF(A1999&lt;0,(10-1)*A1999,-1*A1999))+D$129*EXP(IF(A1999&lt;0,(10-2)*A1999,-2*A1999))+E$129*EXP(IF(A1999&lt;0,(10-3)*A1999,-3*A1999))+F$129*EXP(IF(A1999&lt;0,(10-4)*A1999,-4*A1999))+G$129*EXP(IF(A1999&lt;0,(10-5)*A1999,-5*A1999))+H$129*EXP(IF(A1999&lt;0,(10-6)*A1999,-6*A1999))+I$129*EXP(IF(A1999&lt;0,(10-7)*A1999,-7*A1999))+J$129*EXP(IF(A1999&lt;0,(10-8)*A1999,-8*A1999))+K$129*EXP(IF(A1999&lt;0,(10-9)*A1999,-9*A1999))+L$129*EXP(IF(A1999&lt;0,(10-10)*A1999,-10*A1999)),0)</x:f>
        <x:v>781750.954975543</x:v>
      </x:c>
      <x:c r="C1999" s="256" t="n">
        <x:f>IF(B1999=0,IF(B1998=0,0,1),IF(B1998=0,0,IF(SIGN(B1999)&lt;&gt;SIGN(B1998),1,0)))</x:f>
        <x:v>0</x:v>
      </x:c>
      <x:c r="D1999" s="256" t="n">
        <x:f>EXP(A1999-0.005)-1</x:f>
        <x:v>-0.9997009799709416</x:v>
      </x:c>
    </x:row>
    <x:row r="2000" ht="20" customHeight="1">
      <x:c r="A2000" s="256" t="n">
        <x:f>-12+390*0.01</x:f>
        <x:v>-8.1</x:v>
      </x:c>
      <x:c r="B2000" s="256" t="n">
        <x:f>IF(COUNT($B$129:$L$129)=11,B$129*EXP(IF(A2000&lt;0,(10-0)*A2000,-0*A2000))+C$129*EXP(IF(A2000&lt;0,(10-1)*A2000,-1*A2000))+D$129*EXP(IF(A2000&lt;0,(10-2)*A2000,-2*A2000))+E$129*EXP(IF(A2000&lt;0,(10-3)*A2000,-3*A2000))+F$129*EXP(IF(A2000&lt;0,(10-4)*A2000,-4*A2000))+G$129*EXP(IF(A2000&lt;0,(10-5)*A2000,-5*A2000))+H$129*EXP(IF(A2000&lt;0,(10-6)*A2000,-6*A2000))+I$129*EXP(IF(A2000&lt;0,(10-7)*A2000,-7*A2000))+J$129*EXP(IF(A2000&lt;0,(10-8)*A2000,-8*A2000))+K$129*EXP(IF(A2000&lt;0,(10-9)*A2000,-9*A2000))+L$129*EXP(IF(A2000&lt;0,(10-10)*A2000,-10*A2000)),0)</x:f>
        <x:v>781750.9930238476</x:v>
      </x:c>
      <x:c r="C2000" s="256" t="n">
        <x:f>IF(B2000=0,IF(B1999=0,0,1),IF(B1999=0,0,IF(SIGN(B2000)&lt;&gt;SIGN(B1999),1,0)))</x:f>
        <x:v>0</x:v>
      </x:c>
      <x:c r="D2000" s="256" t="n">
        <x:f>EXP(A2000-0.005)-1</x:f>
        <x:v>-0.9996979747696881</x:v>
      </x:c>
    </x:row>
    <x:row r="2001" ht="20" customHeight="1">
      <x:c r="A2001" s="256" t="n">
        <x:f>-12+391*0.01</x:f>
        <x:v>-8.09</x:v>
      </x:c>
      <x:c r="B2001" s="256" t="n">
        <x:f>IF(COUNT($B$129:$L$129)=11,B$129*EXP(IF(A2001&lt;0,(10-0)*A2001,-0*A2001))+C$129*EXP(IF(A2001&lt;0,(10-1)*A2001,-1*A2001))+D$129*EXP(IF(A2001&lt;0,(10-2)*A2001,-2*A2001))+E$129*EXP(IF(A2001&lt;0,(10-3)*A2001,-3*A2001))+F$129*EXP(IF(A2001&lt;0,(10-4)*A2001,-4*A2001))+G$129*EXP(IF(A2001&lt;0,(10-5)*A2001,-5*A2001))+H$129*EXP(IF(A2001&lt;0,(10-6)*A2001,-6*A2001))+I$129*EXP(IF(A2001&lt;0,(10-7)*A2001,-7*A2001))+J$129*EXP(IF(A2001&lt;0,(10-8)*A2001,-8*A2001))+K$129*EXP(IF(A2001&lt;0,(10-9)*A2001,-9*A2001))+L$129*EXP(IF(A2001&lt;0,(10-10)*A2001,-10*A2001)),0)</x:f>
        <x:v>781751.0314547218</x:v>
      </x:c>
      <x:c r="C2001" s="256" t="n">
        <x:f>IF(B2001=0,IF(B2000=0,0,1),IF(B2000=0,0,IF(SIGN(B2001)&lt;&gt;SIGN(B2000),1,0)))</x:f>
        <x:v>0</x:v>
      </x:c>
      <x:c r="D2001" s="256" t="n">
        <x:f>EXP(A2001-0.005)-1</x:f>
        <x:v>-0.9996949393656599</x:v>
      </x:c>
    </x:row>
    <x:row r="2002" ht="20" customHeight="1">
      <x:c r="A2002" s="256" t="n">
        <x:f>-12+392*0.01</x:f>
        <x:v>-8.08</x:v>
      </x:c>
      <x:c r="B2002" s="256" t="n">
        <x:f>IF(COUNT($B$129:$L$129)=11,B$129*EXP(IF(A2002&lt;0,(10-0)*A2002,-0*A2002))+C$129*EXP(IF(A2002&lt;0,(10-1)*A2002,-1*A2002))+D$129*EXP(IF(A2002&lt;0,(10-2)*A2002,-2*A2002))+E$129*EXP(IF(A2002&lt;0,(10-3)*A2002,-3*A2002))+F$129*EXP(IF(A2002&lt;0,(10-4)*A2002,-4*A2002))+G$129*EXP(IF(A2002&lt;0,(10-5)*A2002,-5*A2002))+H$129*EXP(IF(A2002&lt;0,(10-6)*A2002,-6*A2002))+I$129*EXP(IF(A2002&lt;0,(10-7)*A2002,-7*A2002))+J$129*EXP(IF(A2002&lt;0,(10-8)*A2002,-8*A2002))+K$129*EXP(IF(A2002&lt;0,(10-9)*A2002,-9*A2002))+L$129*EXP(IF(A2002&lt;0,(10-10)*A2002,-10*A2002)),0)</x:f>
        <x:v>781751.0702720141</x:v>
      </x:c>
      <x:c r="C2002" s="256" t="n">
        <x:f>IF(B2002=0,IF(B2001=0,0,1),IF(B2001=0,0,IF(SIGN(B2002)&lt;&gt;SIGN(B2001),1,0)))</x:f>
        <x:v>0</x:v>
      </x:c>
      <x:c r="D2002" s="256" t="n">
        <x:f>EXP(A2002-0.005)-1</x:f>
        <x:v>-0.999691873455314</x:v>
      </x:c>
    </x:row>
    <x:row r="2003" ht="20" customHeight="1">
      <x:c r="A2003" s="256" t="n">
        <x:f>-12+393*0.01</x:f>
        <x:v>-8.07</x:v>
      </x:c>
      <x:c r="B2003" s="256" t="n">
        <x:f>IF(COUNT($B$129:$L$129)=11,B$129*EXP(IF(A2003&lt;0,(10-0)*A2003,-0*A2003))+C$129*EXP(IF(A2003&lt;0,(10-1)*A2003,-1*A2003))+D$129*EXP(IF(A2003&lt;0,(10-2)*A2003,-2*A2003))+E$129*EXP(IF(A2003&lt;0,(10-3)*A2003,-3*A2003))+F$129*EXP(IF(A2003&lt;0,(10-4)*A2003,-4*A2003))+G$129*EXP(IF(A2003&lt;0,(10-5)*A2003,-5*A2003))+H$129*EXP(IF(A2003&lt;0,(10-6)*A2003,-6*A2003))+I$129*EXP(IF(A2003&lt;0,(10-7)*A2003,-7*A2003))+J$129*EXP(IF(A2003&lt;0,(10-8)*A2003,-8*A2003))+K$129*EXP(IF(A2003&lt;0,(10-9)*A2003,-9*A2003))+L$129*EXP(IF(A2003&lt;0,(10-10)*A2003,-10*A2003)),0)</x:f>
        <x:v>781751.1094796117</x:v>
      </x:c>
      <x:c r="C2003" s="256" t="n">
        <x:f>IF(B2003=0,IF(B2002=0,0,1),IF(B2002=0,0,IF(SIGN(B2003)&lt;&gt;SIGN(B2002),1,0)))</x:f>
        <x:v>0</x:v>
      </x:c>
      <x:c r="D2003" s="256" t="n">
        <x:f>EXP(A2003-0.005)-1</x:f>
        <x:v>-0.9996887767320568</x:v>
      </x:c>
    </x:row>
    <x:row r="2004" ht="20" customHeight="1">
      <x:c r="A2004" s="256" t="n">
        <x:f>-12+394*0.01</x:f>
        <x:v>-8.06</x:v>
      </x:c>
      <x:c r="B2004" s="256" t="n">
        <x:f>IF(COUNT($B$129:$L$129)=11,B$129*EXP(IF(A2004&lt;0,(10-0)*A2004,-0*A2004))+C$129*EXP(IF(A2004&lt;0,(10-1)*A2004,-1*A2004))+D$129*EXP(IF(A2004&lt;0,(10-2)*A2004,-2*A2004))+E$129*EXP(IF(A2004&lt;0,(10-3)*A2004,-3*A2004))+F$129*EXP(IF(A2004&lt;0,(10-4)*A2004,-4*A2004))+G$129*EXP(IF(A2004&lt;0,(10-5)*A2004,-5*A2004))+H$129*EXP(IF(A2004&lt;0,(10-6)*A2004,-6*A2004))+I$129*EXP(IF(A2004&lt;0,(10-7)*A2004,-7*A2004))+J$129*EXP(IF(A2004&lt;0,(10-8)*A2004,-8*A2004))+K$129*EXP(IF(A2004&lt;0,(10-9)*A2004,-9*A2004))+L$129*EXP(IF(A2004&lt;0,(10-10)*A2004,-10*A2004)),0)</x:f>
        <x:v>781751.149081441</x:v>
      </x:c>
      <x:c r="C2004" s="256" t="n">
        <x:f>IF(B2004=0,IF(B2003=0,0,1),IF(B2003=0,0,IF(SIGN(B2004)&lt;&gt;SIGN(B2003),1,0)))</x:f>
        <x:v>0</x:v>
      </x:c>
      <x:c r="D2004" s="256" t="n">
        <x:f>EXP(A2004-0.005)-1</x:f>
        <x:v>-0.9996856488862135</x:v>
      </x:c>
    </x:row>
    <x:row r="2005" ht="20" customHeight="1">
      <x:c r="A2005" s="256" t="n">
        <x:f>-12+395*0.01</x:f>
        <x:v>-8.05</x:v>
      </x:c>
      <x:c r="B2005" s="256" t="n">
        <x:f>IF(COUNT($B$129:$L$129)=11,B$129*EXP(IF(A2005&lt;0,(10-0)*A2005,-0*A2005))+C$129*EXP(IF(A2005&lt;0,(10-1)*A2005,-1*A2005))+D$129*EXP(IF(A2005&lt;0,(10-2)*A2005,-2*A2005))+E$129*EXP(IF(A2005&lt;0,(10-3)*A2005,-3*A2005))+F$129*EXP(IF(A2005&lt;0,(10-4)*A2005,-4*A2005))+G$129*EXP(IF(A2005&lt;0,(10-5)*A2005,-5*A2005))+H$129*EXP(IF(A2005&lt;0,(10-6)*A2005,-6*A2005))+I$129*EXP(IF(A2005&lt;0,(10-7)*A2005,-7*A2005))+J$129*EXP(IF(A2005&lt;0,(10-8)*A2005,-8*A2005))+K$129*EXP(IF(A2005&lt;0,(10-9)*A2005,-9*A2005))+L$129*EXP(IF(A2005&lt;0,(10-10)*A2005,-10*A2005)),0)</x:f>
        <x:v>781751.1890814679</x:v>
      </x:c>
      <x:c r="C2005" s="256" t="n">
        <x:f>IF(B2005=0,IF(B2004=0,0,1),IF(B2004=0,0,IF(SIGN(B2005)&lt;&gt;SIGN(B2004),1,0)))</x:f>
        <x:v>0</x:v>
      </x:c>
      <x:c r="D2005" s="256" t="n">
        <x:f>EXP(A2005-0.005)-1</x:f>
        <x:v>-0.9996824896049968</x:v>
      </x:c>
    </x:row>
    <x:row r="2006" ht="20" customHeight="1">
      <x:c r="A2006" s="256" t="n">
        <x:f>-12+396*0.01</x:f>
        <x:v>-8.04</x:v>
      </x:c>
      <x:c r="B2006" s="256" t="n">
        <x:f>IF(COUNT($B$129:$L$129)=11,B$129*EXP(IF(A2006&lt;0,(10-0)*A2006,-0*A2006))+C$129*EXP(IF(A2006&lt;0,(10-1)*A2006,-1*A2006))+D$129*EXP(IF(A2006&lt;0,(10-2)*A2006,-2*A2006))+E$129*EXP(IF(A2006&lt;0,(10-3)*A2006,-3*A2006))+F$129*EXP(IF(A2006&lt;0,(10-4)*A2006,-4*A2006))+G$129*EXP(IF(A2006&lt;0,(10-5)*A2006,-5*A2006))+H$129*EXP(IF(A2006&lt;0,(10-6)*A2006,-6*A2006))+I$129*EXP(IF(A2006&lt;0,(10-7)*A2006,-7*A2006))+J$129*EXP(IF(A2006&lt;0,(10-8)*A2006,-8*A2006))+K$129*EXP(IF(A2006&lt;0,(10-9)*A2006,-9*A2006))+L$129*EXP(IF(A2006&lt;0,(10-10)*A2006,-10*A2006)),0)</x:f>
        <x:v>781751.2294836983</x:v>
      </x:c>
      <x:c r="C2006" s="256" t="n">
        <x:f>IF(B2006=0,IF(B2005=0,0,1),IF(B2005=0,0,IF(SIGN(B2006)&lt;&gt;SIGN(B2005),1,0)))</x:f>
        <x:v>0</x:v>
      </x:c>
      <x:c r="D2006" s="256" t="n">
        <x:f>EXP(A2006-0.005)-1</x:f>
        <x:v>-0.9996792985724761</x:v>
      </x:c>
    </x:row>
    <x:row r="2007" ht="20" customHeight="1">
      <x:c r="A2007" s="256" t="n">
        <x:f>-12+397*0.01</x:f>
        <x:v>-8.03</x:v>
      </x:c>
      <x:c r="B2007" s="256" t="n">
        <x:f>IF(COUNT($B$129:$L$129)=11,B$129*EXP(IF(A2007&lt;0,(10-0)*A2007,-0*A2007))+C$129*EXP(IF(A2007&lt;0,(10-1)*A2007,-1*A2007))+D$129*EXP(IF(A2007&lt;0,(10-2)*A2007,-2*A2007))+E$129*EXP(IF(A2007&lt;0,(10-3)*A2007,-3*A2007))+F$129*EXP(IF(A2007&lt;0,(10-4)*A2007,-4*A2007))+G$129*EXP(IF(A2007&lt;0,(10-5)*A2007,-5*A2007))+H$129*EXP(IF(A2007&lt;0,(10-6)*A2007,-6*A2007))+I$129*EXP(IF(A2007&lt;0,(10-7)*A2007,-7*A2007))+J$129*EXP(IF(A2007&lt;0,(10-8)*A2007,-8*A2007))+K$129*EXP(IF(A2007&lt;0,(10-9)*A2007,-9*A2007))+L$129*EXP(IF(A2007&lt;0,(10-10)*A2007,-10*A2007)),0)</x:f>
        <x:v>781751.2702921781</x:v>
      </x:c>
      <x:c r="C2007" s="256" t="n">
        <x:f>IF(B2007=0,IF(B2006=0,0,1),IF(B2006=0,0,IF(SIGN(B2007)&lt;&gt;SIGN(B2006),1,0)))</x:f>
        <x:v>0</x:v>
      </x:c>
      <x:c r="D2007" s="256" t="n">
        <x:f>EXP(A2007-0.005)-1</x:f>
        <x:v>-0.9996760754695453</x:v>
      </x:c>
    </x:row>
    <x:row r="2008" ht="20" customHeight="1">
      <x:c r="A2008" s="256" t="n">
        <x:f>-12+398*0.01</x:f>
        <x:v>-8.02</x:v>
      </x:c>
      <x:c r="B2008" s="256" t="n">
        <x:f>IF(COUNT($B$129:$L$129)=11,B$129*EXP(IF(A2008&lt;0,(10-0)*A2008,-0*A2008))+C$129*EXP(IF(A2008&lt;0,(10-1)*A2008,-1*A2008))+D$129*EXP(IF(A2008&lt;0,(10-2)*A2008,-2*A2008))+E$129*EXP(IF(A2008&lt;0,(10-3)*A2008,-3*A2008))+F$129*EXP(IF(A2008&lt;0,(10-4)*A2008,-4*A2008))+G$129*EXP(IF(A2008&lt;0,(10-5)*A2008,-5*A2008))+H$129*EXP(IF(A2008&lt;0,(10-6)*A2008,-6*A2008))+I$129*EXP(IF(A2008&lt;0,(10-7)*A2008,-7*A2008))+J$129*EXP(IF(A2008&lt;0,(10-8)*A2008,-8*A2008))+K$129*EXP(IF(A2008&lt;0,(10-9)*A2008,-9*A2008))+L$129*EXP(IF(A2008&lt;0,(10-10)*A2008,-10*A2008)),0)</x:f>
        <x:v>781751.3115109946</x:v>
      </x:c>
      <x:c r="C2008" s="256" t="n">
        <x:f>IF(B2008=0,IF(B2007=0,0,1),IF(B2007=0,0,IF(SIGN(B2008)&lt;&gt;SIGN(B2007),1,0)))</x:f>
        <x:v>0</x:v>
      </x:c>
      <x:c r="D2008" s="256" t="n">
        <x:f>EXP(A2008-0.005)-1</x:f>
        <x:v>-0.9996728199738916</x:v>
      </x:c>
    </x:row>
    <x:row r="2009" ht="20" customHeight="1">
      <x:c r="A2009" s="256" t="n">
        <x:f>-12+399*0.01</x:f>
        <x:v>-8.01</x:v>
      </x:c>
      <x:c r="B2009" s="256" t="n">
        <x:f>IF(COUNT($B$129:$L$129)=11,B$129*EXP(IF(A2009&lt;0,(10-0)*A2009,-0*A2009))+C$129*EXP(IF(A2009&lt;0,(10-1)*A2009,-1*A2009))+D$129*EXP(IF(A2009&lt;0,(10-2)*A2009,-2*A2009))+E$129*EXP(IF(A2009&lt;0,(10-3)*A2009,-3*A2009))+F$129*EXP(IF(A2009&lt;0,(10-4)*A2009,-4*A2009))+G$129*EXP(IF(A2009&lt;0,(10-5)*A2009,-5*A2009))+H$129*EXP(IF(A2009&lt;0,(10-6)*A2009,-6*A2009))+I$129*EXP(IF(A2009&lt;0,(10-7)*A2009,-7*A2009))+J$129*EXP(IF(A2009&lt;0,(10-8)*A2009,-8*A2009))+K$129*EXP(IF(A2009&lt;0,(10-9)*A2009,-9*A2009))+L$129*EXP(IF(A2009&lt;0,(10-10)*A2009,-10*A2009)),0)</x:f>
        <x:v>781751.3531442757</x:v>
      </x:c>
      <x:c r="C2009" s="256" t="n">
        <x:f>IF(B2009=0,IF(B2008=0,0,1),IF(B2008=0,0,IF(SIGN(B2009)&lt;&gt;SIGN(B2008),1,0)))</x:f>
        <x:v>0</x:v>
      </x:c>
      <x:c r="D2009" s="256" t="n">
        <x:f>EXP(A2009-0.005)-1</x:f>
        <x:v>-0.9996695317599626</x:v>
      </x:c>
    </x:row>
    <x:row r="2010" ht="20" customHeight="1">
      <x:c r="A2010" s="256" t="n">
        <x:f>-12+400*0.01</x:f>
        <x:v>-8</x:v>
      </x:c>
      <x:c r="B2010" s="256" t="n">
        <x:f>IF(COUNT($B$129:$L$129)=11,B$129*EXP(IF(A2010&lt;0,(10-0)*A2010,-0*A2010))+C$129*EXP(IF(A2010&lt;0,(10-1)*A2010,-1*A2010))+D$129*EXP(IF(A2010&lt;0,(10-2)*A2010,-2*A2010))+E$129*EXP(IF(A2010&lt;0,(10-3)*A2010,-3*A2010))+F$129*EXP(IF(A2010&lt;0,(10-4)*A2010,-4*A2010))+G$129*EXP(IF(A2010&lt;0,(10-5)*A2010,-5*A2010))+H$129*EXP(IF(A2010&lt;0,(10-6)*A2010,-6*A2010))+I$129*EXP(IF(A2010&lt;0,(10-7)*A2010,-7*A2010))+J$129*EXP(IF(A2010&lt;0,(10-8)*A2010,-8*A2010))+K$129*EXP(IF(A2010&lt;0,(10-9)*A2010,-9*A2010))+L$129*EXP(IF(A2010&lt;0,(10-10)*A2010,-10*A2010)),0)</x:f>
        <x:v>781751.395196191</x:v>
      </x:c>
      <x:c r="C2010" s="256" t="n">
        <x:f>IF(B2010=0,IF(B2009=0,0,1),IF(B2009=0,0,IF(SIGN(B2010)&lt;&gt;SIGN(B2009),1,0)))</x:f>
        <x:v>0</x:v>
      </x:c>
      <x:c r="D2010" s="256" t="n">
        <x:f>EXP(A2010-0.005)-1</x:f>
        <x:v>-0.9996662104989342</x:v>
      </x:c>
    </x:row>
    <x:row r="2011" ht="20" customHeight="1">
      <x:c r="A2011" s="256" t="n">
        <x:f>-12+401*0.01</x:f>
        <x:v>-7.99</x:v>
      </x:c>
      <x:c r="B2011" s="256" t="n">
        <x:f>IF(COUNT($B$129:$L$129)=11,B$129*EXP(IF(A2011&lt;0,(10-0)*A2011,-0*A2011))+C$129*EXP(IF(A2011&lt;0,(10-1)*A2011,-1*A2011))+D$129*EXP(IF(A2011&lt;0,(10-2)*A2011,-2*A2011))+E$129*EXP(IF(A2011&lt;0,(10-3)*A2011,-3*A2011))+F$129*EXP(IF(A2011&lt;0,(10-4)*A2011,-4*A2011))+G$129*EXP(IF(A2011&lt;0,(10-5)*A2011,-5*A2011))+H$129*EXP(IF(A2011&lt;0,(10-6)*A2011,-6*A2011))+I$129*EXP(IF(A2011&lt;0,(10-7)*A2011,-7*A2011))+J$129*EXP(IF(A2011&lt;0,(10-8)*A2011,-8*A2011))+K$129*EXP(IF(A2011&lt;0,(10-9)*A2011,-9*A2011))+L$129*EXP(IF(A2011&lt;0,(10-10)*A2011,-10*A2011)),0)</x:f>
        <x:v>781751.4376709524</x:v>
      </x:c>
      <x:c r="C2011" s="256" t="n">
        <x:f>IF(B2011=0,IF(B2010=0,0,1),IF(B2010=0,0,IF(SIGN(B2011)&lt;&gt;SIGN(B2010),1,0)))</x:f>
        <x:v>0</x:v>
      </x:c>
      <x:c r="D2011" s="256" t="n">
        <x:f>EXP(A2011-0.005)-1</x:f>
        <x:v>-0.9996628558586775</x:v>
      </x:c>
    </x:row>
    <x:row r="2012" ht="20" customHeight="1">
      <x:c r="A2012" s="256" t="n">
        <x:f>-12+402*0.01</x:f>
        <x:v>-7.9799999999999995</x:v>
      </x:c>
      <x:c r="B2012" s="256" t="n">
        <x:f>IF(COUNT($B$129:$L$129)=11,B$129*EXP(IF(A2012&lt;0,(10-0)*A2012,-0*A2012))+C$129*EXP(IF(A2012&lt;0,(10-1)*A2012,-1*A2012))+D$129*EXP(IF(A2012&lt;0,(10-2)*A2012,-2*A2012))+E$129*EXP(IF(A2012&lt;0,(10-3)*A2012,-3*A2012))+F$129*EXP(IF(A2012&lt;0,(10-4)*A2012,-4*A2012))+G$129*EXP(IF(A2012&lt;0,(10-5)*A2012,-5*A2012))+H$129*EXP(IF(A2012&lt;0,(10-6)*A2012,-6*A2012))+I$129*EXP(IF(A2012&lt;0,(10-7)*A2012,-7*A2012))+J$129*EXP(IF(A2012&lt;0,(10-8)*A2012,-8*A2012))+K$129*EXP(IF(A2012&lt;0,(10-9)*A2012,-9*A2012))+L$129*EXP(IF(A2012&lt;0,(10-10)*A2012,-10*A2012)),0)</x:f>
        <x:v>781751.4805728137</x:v>
      </x:c>
      <x:c r="C2012" s="256" t="n">
        <x:f>IF(B2012=0,IF(B2011=0,0,1),IF(B2011=0,0,IF(SIGN(B2012)&lt;&gt;SIGN(B2011),1,0)))</x:f>
        <x:v>0</x:v>
      </x:c>
      <x:c r="D2012" s="256" t="n">
        <x:f>EXP(A2012-0.005)-1</x:f>
        <x:v>-0.9996594675037258</x:v>
      </x:c>
    </x:row>
    <x:row r="2013" ht="20" customHeight="1">
      <x:c r="A2013" s="256" t="n">
        <x:f>-12+403*0.01</x:f>
        <x:v>-7.97</x:v>
      </x:c>
      <x:c r="B2013" s="256" t="n">
        <x:f>IF(COUNT($B$129:$L$129)=11,B$129*EXP(IF(A2013&lt;0,(10-0)*A2013,-0*A2013))+C$129*EXP(IF(A2013&lt;0,(10-1)*A2013,-1*A2013))+D$129*EXP(IF(A2013&lt;0,(10-2)*A2013,-2*A2013))+E$129*EXP(IF(A2013&lt;0,(10-3)*A2013,-3*A2013))+F$129*EXP(IF(A2013&lt;0,(10-4)*A2013,-4*A2013))+G$129*EXP(IF(A2013&lt;0,(10-5)*A2013,-5*A2013))+H$129*EXP(IF(A2013&lt;0,(10-6)*A2013,-6*A2013))+I$129*EXP(IF(A2013&lt;0,(10-7)*A2013,-7*A2013))+J$129*EXP(IF(A2013&lt;0,(10-8)*A2013,-8*A2013))+K$129*EXP(IF(A2013&lt;0,(10-9)*A2013,-9*A2013))+L$129*EXP(IF(A2013&lt;0,(10-10)*A2013,-10*A2013)),0)</x:f>
        <x:v>781751.5239060718</x:v>
      </x:c>
      <x:c r="C2013" s="256" t="n">
        <x:f>IF(B2013=0,IF(B2012=0,0,1),IF(B2012=0,0,IF(SIGN(B2013)&lt;&gt;SIGN(B2012),1,0)))</x:f>
        <x:v>0</x:v>
      </x:c>
      <x:c r="D2013" s="256" t="n">
        <x:f>EXP(A2013-0.005)-1</x:f>
        <x:v>-0.9996560450952406</x:v>
      </x:c>
    </x:row>
    <x:row r="2014" ht="20" customHeight="1">
      <x:c r="A2014" s="256" t="n">
        <x:f>-12+404*0.01</x:f>
        <x:v>-7.96</x:v>
      </x:c>
      <x:c r="B2014" s="256" t="n">
        <x:f>IF(COUNT($B$129:$L$129)=11,B$129*EXP(IF(A2014&lt;0,(10-0)*A2014,-0*A2014))+C$129*EXP(IF(A2014&lt;0,(10-1)*A2014,-1*A2014))+D$129*EXP(IF(A2014&lt;0,(10-2)*A2014,-2*A2014))+E$129*EXP(IF(A2014&lt;0,(10-3)*A2014,-3*A2014))+F$129*EXP(IF(A2014&lt;0,(10-4)*A2014,-4*A2014))+G$129*EXP(IF(A2014&lt;0,(10-5)*A2014,-5*A2014))+H$129*EXP(IF(A2014&lt;0,(10-6)*A2014,-6*A2014))+I$129*EXP(IF(A2014&lt;0,(10-7)*A2014,-7*A2014))+J$129*EXP(IF(A2014&lt;0,(10-8)*A2014,-8*A2014))+K$129*EXP(IF(A2014&lt;0,(10-9)*A2014,-9*A2014))+L$129*EXP(IF(A2014&lt;0,(10-10)*A2014,-10*A2014)),0)</x:f>
        <x:v>781751.5676750671</x:v>
      </x:c>
      <x:c r="C2014" s="256" t="n">
        <x:f>IF(B2014=0,IF(B2013=0,0,1),IF(B2013=0,0,IF(SIGN(B2014)&lt;&gt;SIGN(B2013),1,0)))</x:f>
        <x:v>0</x:v>
      </x:c>
      <x:c r="D2014" s="256" t="n">
        <x:f>EXP(A2014-0.005)-1</x:f>
        <x:v>-0.9996525882909785</x:v>
      </x:c>
    </x:row>
    <x:row r="2015" ht="20" customHeight="1">
      <x:c r="A2015" s="256" t="n">
        <x:f>-12+405*0.01</x:f>
        <x:v>-7.95</x:v>
      </x:c>
      <x:c r="B2015" s="256" t="n">
        <x:f>IF(COUNT($B$129:$L$129)=11,B$129*EXP(IF(A2015&lt;0,(10-0)*A2015,-0*A2015))+C$129*EXP(IF(A2015&lt;0,(10-1)*A2015,-1*A2015))+D$129*EXP(IF(A2015&lt;0,(10-2)*A2015,-2*A2015))+E$129*EXP(IF(A2015&lt;0,(10-3)*A2015,-3*A2015))+F$129*EXP(IF(A2015&lt;0,(10-4)*A2015,-4*A2015))+G$129*EXP(IF(A2015&lt;0,(10-5)*A2015,-5*A2015))+H$129*EXP(IF(A2015&lt;0,(10-6)*A2015,-6*A2015))+I$129*EXP(IF(A2015&lt;0,(10-7)*A2015,-7*A2015))+J$129*EXP(IF(A2015&lt;0,(10-8)*A2015,-8*A2015))+K$129*EXP(IF(A2015&lt;0,(10-9)*A2015,-9*A2015))+L$129*EXP(IF(A2015&lt;0,(10-10)*A2015,-10*A2015)),0)</x:f>
        <x:v>781751.6118841833</x:v>
      </x:c>
      <x:c r="C2015" s="256" t="n">
        <x:f>IF(B2015=0,IF(B2014=0,0,1),IF(B2014=0,0,IF(SIGN(B2015)&lt;&gt;SIGN(B2014),1,0)))</x:f>
        <x:v>0</x:v>
      </x:c>
      <x:c r="D2015" s="256" t="n">
        <x:f>EXP(A2015-0.005)-1</x:f>
        <x:v>-0.9996490967452558</x:v>
      </x:c>
    </x:row>
    <x:row r="2016" ht="20" customHeight="1">
      <x:c r="A2016" s="256" t="n">
        <x:f>-12+406*0.01</x:f>
        <x:v>-7.9399999999999995</x:v>
      </x:c>
      <x:c r="B2016" s="256" t="n">
        <x:f>IF(COUNT($B$129:$L$129)=11,B$129*EXP(IF(A2016&lt;0,(10-0)*A2016,-0*A2016))+C$129*EXP(IF(A2016&lt;0,(10-1)*A2016,-1*A2016))+D$129*EXP(IF(A2016&lt;0,(10-2)*A2016,-2*A2016))+E$129*EXP(IF(A2016&lt;0,(10-3)*A2016,-3*A2016))+F$129*EXP(IF(A2016&lt;0,(10-4)*A2016,-4*A2016))+G$129*EXP(IF(A2016&lt;0,(10-5)*A2016,-5*A2016))+H$129*EXP(IF(A2016&lt;0,(10-6)*A2016,-6*A2016))+I$129*EXP(IF(A2016&lt;0,(10-7)*A2016,-7*A2016))+J$129*EXP(IF(A2016&lt;0,(10-8)*A2016,-8*A2016))+K$129*EXP(IF(A2016&lt;0,(10-9)*A2016,-9*A2016))+L$129*EXP(IF(A2016&lt;0,(10-10)*A2016,-10*A2016)),0)</x:f>
        <x:v>781751.6565378485</x:v>
      </x:c>
      <x:c r="C2016" s="256" t="n">
        <x:f>IF(B2016=0,IF(B2015=0,0,1),IF(B2015=0,0,IF(SIGN(B2016)&lt;&gt;SIGN(B2015),1,0)))</x:f>
        <x:v>0</x:v>
      </x:c>
      <x:c r="D2016" s="256" t="n">
        <x:f>EXP(A2016-0.005)-1</x:f>
        <x:v>-0.9996455701089152</x:v>
      </x:c>
    </x:row>
    <x:row r="2017" ht="20" customHeight="1">
      <x:c r="A2017" s="256" t="n">
        <x:f>-12+407*0.01</x:f>
        <x:v>-7.93</x:v>
      </x:c>
      <x:c r="B2017" s="256" t="n">
        <x:f>IF(COUNT($B$129:$L$129)=11,B$129*EXP(IF(A2017&lt;0,(10-0)*A2017,-0*A2017))+C$129*EXP(IF(A2017&lt;0,(10-1)*A2017,-1*A2017))+D$129*EXP(IF(A2017&lt;0,(10-2)*A2017,-2*A2017))+E$129*EXP(IF(A2017&lt;0,(10-3)*A2017,-3*A2017))+F$129*EXP(IF(A2017&lt;0,(10-4)*A2017,-4*A2017))+G$129*EXP(IF(A2017&lt;0,(10-5)*A2017,-5*A2017))+H$129*EXP(IF(A2017&lt;0,(10-6)*A2017,-6*A2017))+I$129*EXP(IF(A2017&lt;0,(10-7)*A2017,-7*A2017))+J$129*EXP(IF(A2017&lt;0,(10-8)*A2017,-8*A2017))+K$129*EXP(IF(A2017&lt;0,(10-9)*A2017,-9*A2017))+L$129*EXP(IF(A2017&lt;0,(10-10)*A2017,-10*A2017)),0)</x:f>
        <x:v>781751.7016405354</x:v>
      </x:c>
      <x:c r="C2017" s="256" t="n">
        <x:f>IF(B2017=0,IF(B2016=0,0,1),IF(B2016=0,0,IF(SIGN(B2017)&lt;&gt;SIGN(B2016),1,0)))</x:f>
        <x:v>0</x:v>
      </x:c>
      <x:c r="D2017" s="256" t="n">
        <x:f>EXP(A2017-0.005)-1</x:f>
        <x:v>-0.9996420080292902</x:v>
      </x:c>
    </x:row>
    <x:row r="2018" ht="20" customHeight="1">
      <x:c r="A2018" s="256" t="n">
        <x:f>-12+408*0.01</x:f>
        <x:v>-7.92</x:v>
      </x:c>
      <x:c r="B2018" s="256" t="n">
        <x:f>IF(COUNT($B$129:$L$129)=11,B$129*EXP(IF(A2018&lt;0,(10-0)*A2018,-0*A2018))+C$129*EXP(IF(A2018&lt;0,(10-1)*A2018,-1*A2018))+D$129*EXP(IF(A2018&lt;0,(10-2)*A2018,-2*A2018))+E$129*EXP(IF(A2018&lt;0,(10-3)*A2018,-3*A2018))+F$129*EXP(IF(A2018&lt;0,(10-4)*A2018,-4*A2018))+G$129*EXP(IF(A2018&lt;0,(10-5)*A2018,-5*A2018))+H$129*EXP(IF(A2018&lt;0,(10-6)*A2018,-6*A2018))+I$129*EXP(IF(A2018&lt;0,(10-7)*A2018,-7*A2018))+J$129*EXP(IF(A2018&lt;0,(10-8)*A2018,-8*A2018))+K$129*EXP(IF(A2018&lt;0,(10-9)*A2018,-9*A2018))+L$129*EXP(IF(A2018&lt;0,(10-10)*A2018,-10*A2018)),0)</x:f>
        <x:v>781751.7471967615</x:v>
      </x:c>
      <x:c r="C2018" s="256" t="n">
        <x:f>IF(B2018=0,IF(B2017=0,0,1),IF(B2017=0,0,IF(SIGN(B2018)&lt;&gt;SIGN(B2017),1,0)))</x:f>
        <x:v>0</x:v>
      </x:c>
      <x:c r="D2018" s="256" t="n">
        <x:f>EXP(A2018-0.005)-1</x:f>
        <x:v>-0.9996384101501697</x:v>
      </x:c>
    </x:row>
    <x:row r="2019" ht="20" customHeight="1">
      <x:c r="A2019" s="256" t="n">
        <x:f>-12+409*0.01</x:f>
        <x:v>-7.91</x:v>
      </x:c>
      <x:c r="B2019" s="256" t="n">
        <x:f>IF(COUNT($B$129:$L$129)=11,B$129*EXP(IF(A2019&lt;0,(10-0)*A2019,-0*A2019))+C$129*EXP(IF(A2019&lt;0,(10-1)*A2019,-1*A2019))+D$129*EXP(IF(A2019&lt;0,(10-2)*A2019,-2*A2019))+E$129*EXP(IF(A2019&lt;0,(10-3)*A2019,-3*A2019))+F$129*EXP(IF(A2019&lt;0,(10-4)*A2019,-4*A2019))+G$129*EXP(IF(A2019&lt;0,(10-5)*A2019,-5*A2019))+H$129*EXP(IF(A2019&lt;0,(10-6)*A2019,-6*A2019))+I$129*EXP(IF(A2019&lt;0,(10-7)*A2019,-7*A2019))+J$129*EXP(IF(A2019&lt;0,(10-8)*A2019,-8*A2019))+K$129*EXP(IF(A2019&lt;0,(10-9)*A2019,-9*A2019))+L$129*EXP(IF(A2019&lt;0,(10-10)*A2019,-10*A2019)),0)</x:f>
        <x:v>781751.7932110903</x:v>
      </x:c>
      <x:c r="C2019" s="256" t="n">
        <x:f>IF(B2019=0,IF(B2018=0,0,1),IF(B2018=0,0,IF(SIGN(B2019)&lt;&gt;SIGN(B2018),1,0)))</x:f>
        <x:v>0</x:v>
      </x:c>
      <x:c r="D2019" s="256" t="n">
        <x:f>EXP(A2019-0.005)-1</x:f>
        <x:v>-0.999634776111763</x:v>
      </x:c>
    </x:row>
    <x:row r="2020" ht="20" customHeight="1">
      <x:c r="A2020" s="256" t="n">
        <x:f>-12+410*0.01</x:f>
        <x:v>-7.9</x:v>
      </x:c>
      <x:c r="B2020" s="256" t="n">
        <x:f>IF(COUNT($B$129:$L$129)=11,B$129*EXP(IF(A2020&lt;0,(10-0)*A2020,-0*A2020))+C$129*EXP(IF(A2020&lt;0,(10-1)*A2020,-1*A2020))+D$129*EXP(IF(A2020&lt;0,(10-2)*A2020,-2*A2020))+E$129*EXP(IF(A2020&lt;0,(10-3)*A2020,-3*A2020))+F$129*EXP(IF(A2020&lt;0,(10-4)*A2020,-4*A2020))+G$129*EXP(IF(A2020&lt;0,(10-5)*A2020,-5*A2020))+H$129*EXP(IF(A2020&lt;0,(10-6)*A2020,-6*A2020))+I$129*EXP(IF(A2020&lt;0,(10-7)*A2020,-7*A2020))+J$129*EXP(IF(A2020&lt;0,(10-8)*A2020,-8*A2020))+K$129*EXP(IF(A2020&lt;0,(10-9)*A2020,-9*A2020))+L$129*EXP(IF(A2020&lt;0,(10-10)*A2020,-10*A2020)),0)</x:f>
        <x:v>781751.8396881307</x:v>
      </x:c>
      <x:c r="C2020" s="256" t="n">
        <x:f>IF(B2020=0,IF(B2019=0,0,1),IF(B2019=0,0,IF(SIGN(B2020)&lt;&gt;SIGN(B2019),1,0)))</x:f>
        <x:v>0</x:v>
      </x:c>
      <x:c r="D2020" s="256" t="n">
        <x:f>EXP(A2020-0.005)-1</x:f>
        <x:v>-0.9996311055506631</x:v>
      </x:c>
    </x:row>
    <x:row r="2021" ht="20" customHeight="1">
      <x:c r="A2021" s="256" t="n">
        <x:f>-12+411*0.01</x:f>
        <x:v>-7.89</x:v>
      </x:c>
      <x:c r="B2021" s="256" t="n">
        <x:f>IF(COUNT($B$129:$L$129)=11,B$129*EXP(IF(A2021&lt;0,(10-0)*A2021,-0*A2021))+C$129*EXP(IF(A2021&lt;0,(10-1)*A2021,-1*A2021))+D$129*EXP(IF(A2021&lt;0,(10-2)*A2021,-2*A2021))+E$129*EXP(IF(A2021&lt;0,(10-3)*A2021,-3*A2021))+F$129*EXP(IF(A2021&lt;0,(10-4)*A2021,-4*A2021))+G$129*EXP(IF(A2021&lt;0,(10-5)*A2021,-5*A2021))+H$129*EXP(IF(A2021&lt;0,(10-6)*A2021,-6*A2021))+I$129*EXP(IF(A2021&lt;0,(10-7)*A2021,-7*A2021))+J$129*EXP(IF(A2021&lt;0,(10-8)*A2021,-8*A2021))+K$129*EXP(IF(A2021&lt;0,(10-9)*A2021,-9*A2021))+L$129*EXP(IF(A2021&lt;0,(10-10)*A2021,-10*A2021)),0)</x:f>
        <x:v>781751.8866325383</x:v>
      </x:c>
      <x:c r="C2021" s="256" t="n">
        <x:f>IF(B2021=0,IF(B2020=0,0,1),IF(B2020=0,0,IF(SIGN(B2021)&lt;&gt;SIGN(B2020),1,0)))</x:f>
        <x:v>0</x:v>
      </x:c>
      <x:c r="D2021" s="256" t="n">
        <x:f>EXP(A2021-0.005)-1</x:f>
        <x:v>-0.9996273980998108</x:v>
      </x:c>
    </x:row>
    <x:row r="2022" ht="20" customHeight="1">
      <x:c r="A2022" s="256" t="n">
        <x:f>-12+412*0.01</x:f>
        <x:v>-7.88</x:v>
      </x:c>
      <x:c r="B2022" s="256" t="n">
        <x:f>IF(COUNT($B$129:$L$129)=11,B$129*EXP(IF(A2022&lt;0,(10-0)*A2022,-0*A2022))+C$129*EXP(IF(A2022&lt;0,(10-1)*A2022,-1*A2022))+D$129*EXP(IF(A2022&lt;0,(10-2)*A2022,-2*A2022))+E$129*EXP(IF(A2022&lt;0,(10-3)*A2022,-3*A2022))+F$129*EXP(IF(A2022&lt;0,(10-4)*A2022,-4*A2022))+G$129*EXP(IF(A2022&lt;0,(10-5)*A2022,-5*A2022))+H$129*EXP(IF(A2022&lt;0,(10-6)*A2022,-6*A2022))+I$129*EXP(IF(A2022&lt;0,(10-7)*A2022,-7*A2022))+J$129*EXP(IF(A2022&lt;0,(10-8)*A2022,-8*A2022))+K$129*EXP(IF(A2022&lt;0,(10-9)*A2022,-9*A2022))+L$129*EXP(IF(A2022&lt;0,(10-10)*A2022,-10*A2022)),0)</x:f>
        <x:v>781751.9340490157</x:v>
      </x:c>
      <x:c r="C2022" s="256" t="n">
        <x:f>IF(B2022=0,IF(B2021=0,0,1),IF(B2021=0,0,IF(SIGN(B2022)&lt;&gt;SIGN(B2021),1,0)))</x:f>
        <x:v>0</x:v>
      </x:c>
      <x:c r="D2022" s="256" t="n">
        <x:f>EXP(A2022-0.005)-1</x:f>
        <x:v>-0.999623653388458</x:v>
      </x:c>
    </x:row>
    <x:row r="2023" ht="20" customHeight="1">
      <x:c r="A2023" s="256" t="n">
        <x:f>-12+413*0.01</x:f>
        <x:v>-7.87</x:v>
      </x:c>
      <x:c r="B2023" s="256" t="n">
        <x:f>IF(COUNT($B$129:$L$129)=11,B$129*EXP(IF(A2023&lt;0,(10-0)*A2023,-0*A2023))+C$129*EXP(IF(A2023&lt;0,(10-1)*A2023,-1*A2023))+D$129*EXP(IF(A2023&lt;0,(10-2)*A2023,-2*A2023))+E$129*EXP(IF(A2023&lt;0,(10-3)*A2023,-3*A2023))+F$129*EXP(IF(A2023&lt;0,(10-4)*A2023,-4*A2023))+G$129*EXP(IF(A2023&lt;0,(10-5)*A2023,-5*A2023))+H$129*EXP(IF(A2023&lt;0,(10-6)*A2023,-6*A2023))+I$129*EXP(IF(A2023&lt;0,(10-7)*A2023,-7*A2023))+J$129*EXP(IF(A2023&lt;0,(10-8)*A2023,-8*A2023))+K$129*EXP(IF(A2023&lt;0,(10-9)*A2023,-9*A2023))+L$129*EXP(IF(A2023&lt;0,(10-10)*A2023,-10*A2023)),0)</x:f>
        <x:v>781751.9819423128</x:v>
      </x:c>
      <x:c r="C2023" s="256" t="n">
        <x:f>IF(B2023=0,IF(B2022=0,0,1),IF(B2022=0,0,IF(SIGN(B2023)&lt;&gt;SIGN(B2022),1,0)))</x:f>
        <x:v>0</x:v>
      </x:c>
      <x:c r="D2023" s="256" t="n">
        <x:f>EXP(A2023-0.005)-1</x:f>
        <x:v>-0.9996198710421306</x:v>
      </x:c>
    </x:row>
    <x:row r="2024" ht="20" customHeight="1">
      <x:c r="A2024" s="256" t="n">
        <x:f>-12+414*0.01</x:f>
        <x:v>-7.86</x:v>
      </x:c>
      <x:c r="B2024" s="256" t="n">
        <x:f>IF(COUNT($B$129:$L$129)=11,B$129*EXP(IF(A2024&lt;0,(10-0)*A2024,-0*A2024))+C$129*EXP(IF(A2024&lt;0,(10-1)*A2024,-1*A2024))+D$129*EXP(IF(A2024&lt;0,(10-2)*A2024,-2*A2024))+E$129*EXP(IF(A2024&lt;0,(10-3)*A2024,-3*A2024))+F$129*EXP(IF(A2024&lt;0,(10-4)*A2024,-4*A2024))+G$129*EXP(IF(A2024&lt;0,(10-5)*A2024,-5*A2024))+H$129*EXP(IF(A2024&lt;0,(10-6)*A2024,-6*A2024))+I$129*EXP(IF(A2024&lt;0,(10-7)*A2024,-7*A2024))+J$129*EXP(IF(A2024&lt;0,(10-8)*A2024,-8*A2024))+K$129*EXP(IF(A2024&lt;0,(10-9)*A2024,-9*A2024))+L$129*EXP(IF(A2024&lt;0,(10-10)*A2024,-10*A2024)),0)</x:f>
        <x:v>781752.0303172271</x:v>
      </x:c>
      <x:c r="C2024" s="256" t="n">
        <x:f>IF(B2024=0,IF(B2023=0,0,1),IF(B2023=0,0,IF(SIGN(B2024)&lt;&gt;SIGN(B2023),1,0)))</x:f>
        <x:v>0</x:v>
      </x:c>
      <x:c r="D2024" s="256" t="n">
        <x:f>EXP(A2024-0.005)-1</x:f>
        <x:v>-0.9996160506825904</x:v>
      </x:c>
    </x:row>
    <x:row r="2025" ht="20" customHeight="1">
      <x:c r="A2025" s="256" t="n">
        <x:f>-12+415*0.01</x:f>
        <x:v>-7.85</x:v>
      </x:c>
      <x:c r="B2025" s="256" t="n">
        <x:f>IF(COUNT($B$129:$L$129)=11,B$129*EXP(IF(A2025&lt;0,(10-0)*A2025,-0*A2025))+C$129*EXP(IF(A2025&lt;0,(10-1)*A2025,-1*A2025))+D$129*EXP(IF(A2025&lt;0,(10-2)*A2025,-2*A2025))+E$129*EXP(IF(A2025&lt;0,(10-3)*A2025,-3*A2025))+F$129*EXP(IF(A2025&lt;0,(10-4)*A2025,-4*A2025))+G$129*EXP(IF(A2025&lt;0,(10-5)*A2025,-5*A2025))+H$129*EXP(IF(A2025&lt;0,(10-6)*A2025,-6*A2025))+I$129*EXP(IF(A2025&lt;0,(10-7)*A2025,-7*A2025))+J$129*EXP(IF(A2025&lt;0,(10-8)*A2025,-8*A2025))+K$129*EXP(IF(A2025&lt;0,(10-9)*A2025,-9*A2025))+L$129*EXP(IF(A2025&lt;0,(10-10)*A2025,-10*A2025)),0)</x:f>
        <x:v>781752.0791786048</x:v>
      </x:c>
      <x:c r="C2025" s="256" t="n">
        <x:f>IF(B2025=0,IF(B2024=0,0,1),IF(B2024=0,0,IF(SIGN(B2025)&lt;&gt;SIGN(B2024),1,0)))</x:f>
        <x:v>0</x:v>
      </x:c>
      <x:c r="D2025" s="256" t="n">
        <x:f>EXP(A2025-0.005)-1</x:f>
        <x:v>-0.9996121919277986</x:v>
      </x:c>
    </x:row>
    <x:row r="2026" ht="20" customHeight="1">
      <x:c r="A2026" s="256" t="n">
        <x:f>-12+416*0.01</x:f>
        <x:v>-7.84</x:v>
      </x:c>
      <x:c r="B2026" s="256" t="n">
        <x:f>IF(COUNT($B$129:$L$129)=11,B$129*EXP(IF(A2026&lt;0,(10-0)*A2026,-0*A2026))+C$129*EXP(IF(A2026&lt;0,(10-1)*A2026,-1*A2026))+D$129*EXP(IF(A2026&lt;0,(10-2)*A2026,-2*A2026))+E$129*EXP(IF(A2026&lt;0,(10-3)*A2026,-3*A2026))+F$129*EXP(IF(A2026&lt;0,(10-4)*A2026,-4*A2026))+G$129*EXP(IF(A2026&lt;0,(10-5)*A2026,-5*A2026))+H$129*EXP(IF(A2026&lt;0,(10-6)*A2026,-6*A2026))+I$129*EXP(IF(A2026&lt;0,(10-7)*A2026,-7*A2026))+J$129*EXP(IF(A2026&lt;0,(10-8)*A2026,-8*A2026))+K$129*EXP(IF(A2026&lt;0,(10-9)*A2026,-9*A2026))+L$129*EXP(IF(A2026&lt;0,(10-10)*A2026,-10*A2026)),0)</x:f>
        <x:v>781752.1285313405</x:v>
      </x:c>
      <x:c r="C2026" s="256" t="n">
        <x:f>IF(B2026=0,IF(B2025=0,0,1),IF(B2025=0,0,IF(SIGN(B2026)&lt;&gt;SIGN(B2025),1,0)))</x:f>
        <x:v>0</x:v>
      </x:c>
      <x:c r="D2026" s="256" t="n">
        <x:f>EXP(A2026-0.005)-1</x:f>
        <x:v>-0.9996082943918764</x:v>
      </x:c>
    </x:row>
    <x:row r="2027" ht="20" customHeight="1">
      <x:c r="A2027" s="256" t="n">
        <x:f>-12+417*0.01</x:f>
        <x:v>-7.83</x:v>
      </x:c>
      <x:c r="B2027" s="256" t="n">
        <x:f>IF(COUNT($B$129:$L$129)=11,B$129*EXP(IF(A2027&lt;0,(10-0)*A2027,-0*A2027))+C$129*EXP(IF(A2027&lt;0,(10-1)*A2027,-1*A2027))+D$129*EXP(IF(A2027&lt;0,(10-2)*A2027,-2*A2027))+E$129*EXP(IF(A2027&lt;0,(10-3)*A2027,-3*A2027))+F$129*EXP(IF(A2027&lt;0,(10-4)*A2027,-4*A2027))+G$129*EXP(IF(A2027&lt;0,(10-5)*A2027,-5*A2027))+H$129*EXP(IF(A2027&lt;0,(10-6)*A2027,-6*A2027))+I$129*EXP(IF(A2027&lt;0,(10-7)*A2027,-7*A2027))+J$129*EXP(IF(A2027&lt;0,(10-8)*A2027,-8*A2027))+K$129*EXP(IF(A2027&lt;0,(10-9)*A2027,-9*A2027))+L$129*EXP(IF(A2027&lt;0,(10-10)*A2027,-10*A2027)),0)</x:f>
        <x:v>781752.1783803786</x:v>
      </x:c>
      <x:c r="C2027" s="256" t="n">
        <x:f>IF(B2027=0,IF(B2026=0,0,1),IF(B2026=0,0,IF(SIGN(B2027)&lt;&gt;SIGN(B2026),1,0)))</x:f>
        <x:v>0</x:v>
      </x:c>
      <x:c r="D2027" s="256" t="n">
        <x:f>EXP(A2027-0.005)-1</x:f>
        <x:v>-0.999604357685067</x:v>
      </x:c>
    </x:row>
    <x:row r="2028" ht="20" customHeight="1">
      <x:c r="A2028" s="256" t="n">
        <x:f>-12+418*0.01</x:f>
        <x:v>-7.82</x:v>
      </x:c>
      <x:c r="B2028" s="256" t="n">
        <x:f>IF(COUNT($B$129:$L$129)=11,B$129*EXP(IF(A2028&lt;0,(10-0)*A2028,-0*A2028))+C$129*EXP(IF(A2028&lt;0,(10-1)*A2028,-1*A2028))+D$129*EXP(IF(A2028&lt;0,(10-2)*A2028,-2*A2028))+E$129*EXP(IF(A2028&lt;0,(10-3)*A2028,-3*A2028))+F$129*EXP(IF(A2028&lt;0,(10-4)*A2028,-4*A2028))+G$129*EXP(IF(A2028&lt;0,(10-5)*A2028,-5*A2028))+H$129*EXP(IF(A2028&lt;0,(10-6)*A2028,-6*A2028))+I$129*EXP(IF(A2028&lt;0,(10-7)*A2028,-7*A2028))+J$129*EXP(IF(A2028&lt;0,(10-8)*A2028,-8*A2028))+K$129*EXP(IF(A2028&lt;0,(10-9)*A2028,-9*A2028))+L$129*EXP(IF(A2028&lt;0,(10-10)*A2028,-10*A2028)),0)</x:f>
        <x:v>781752.2287307131</x:v>
      </x:c>
      <x:c r="C2028" s="256" t="n">
        <x:f>IF(B2028=0,IF(B2027=0,0,1),IF(B2027=0,0,IF(SIGN(B2028)&lt;&gt;SIGN(B2027),1,0)))</x:f>
        <x:v>0</x:v>
      </x:c>
      <x:c r="D2028" s="256" t="n">
        <x:f>EXP(A2028-0.005)-1</x:f>
        <x:v>-0.9996003814136963</x:v>
      </x:c>
    </x:row>
    <x:row r="2029" ht="20" customHeight="1">
      <x:c r="A2029" s="256" t="n">
        <x:f>-12+419*0.01</x:f>
        <x:v>-7.81</x:v>
      </x:c>
      <x:c r="B2029" s="256" t="n">
        <x:f>IF(COUNT($B$129:$L$129)=11,B$129*EXP(IF(A2029&lt;0,(10-0)*A2029,-0*A2029))+C$129*EXP(IF(A2029&lt;0,(10-1)*A2029,-1*A2029))+D$129*EXP(IF(A2029&lt;0,(10-2)*A2029,-2*A2029))+E$129*EXP(IF(A2029&lt;0,(10-3)*A2029,-3*A2029))+F$129*EXP(IF(A2029&lt;0,(10-4)*A2029,-4*A2029))+G$129*EXP(IF(A2029&lt;0,(10-5)*A2029,-5*A2029))+H$129*EXP(IF(A2029&lt;0,(10-6)*A2029,-6*A2029))+I$129*EXP(IF(A2029&lt;0,(10-7)*A2029,-7*A2029))+J$129*EXP(IF(A2029&lt;0,(10-8)*A2029,-8*A2029))+K$129*EXP(IF(A2029&lt;0,(10-9)*A2029,-9*A2029))+L$129*EXP(IF(A2029&lt;0,(10-10)*A2029,-10*A2029)),0)</x:f>
        <x:v>781752.279587388</x:v>
      </x:c>
      <x:c r="C2029" s="256" t="n">
        <x:f>IF(B2029=0,IF(B2028=0,0,1),IF(B2028=0,0,IF(SIGN(B2029)&lt;&gt;SIGN(B2028),1,0)))</x:f>
        <x:v>0</x:v>
      </x:c>
      <x:c r="D2029" s="256" t="n">
        <x:f>EXP(A2029-0.005)-1</x:f>
        <x:v>-0.999596365180134</x:v>
      </x:c>
    </x:row>
    <x:row r="2030" ht="20" customHeight="1">
      <x:c r="A2030" s="256" t="n">
        <x:f>-12+420*0.01</x:f>
        <x:v>-7.8</x:v>
      </x:c>
      <x:c r="B2030" s="256" t="n">
        <x:f>IF(COUNT($B$129:$L$129)=11,B$129*EXP(IF(A2030&lt;0,(10-0)*A2030,-0*A2030))+C$129*EXP(IF(A2030&lt;0,(10-1)*A2030,-1*A2030))+D$129*EXP(IF(A2030&lt;0,(10-2)*A2030,-2*A2030))+E$129*EXP(IF(A2030&lt;0,(10-3)*A2030,-3*A2030))+F$129*EXP(IF(A2030&lt;0,(10-4)*A2030,-4*A2030))+G$129*EXP(IF(A2030&lt;0,(10-5)*A2030,-5*A2030))+H$129*EXP(IF(A2030&lt;0,(10-6)*A2030,-6*A2030))+I$129*EXP(IF(A2030&lt;0,(10-7)*A2030,-7*A2030))+J$129*EXP(IF(A2030&lt;0,(10-8)*A2030,-8*A2030))+K$129*EXP(IF(A2030&lt;0,(10-9)*A2030,-9*A2030))+L$129*EXP(IF(A2030&lt;0,(10-10)*A2030,-10*A2030)),0)</x:f>
        <x:v>781752.3309554987</x:v>
      </x:c>
      <x:c r="C2030" s="256" t="n">
        <x:f>IF(B2030=0,IF(B2029=0,0,1),IF(B2029=0,0,IF(SIGN(B2030)&lt;&gt;SIGN(B2029),1,0)))</x:f>
        <x:v>0</x:v>
      </x:c>
      <x:c r="D2030" s="256" t="n">
        <x:f>EXP(A2030-0.005)-1</x:f>
        <x:v>-0.9995923085827534</x:v>
      </x:c>
    </x:row>
    <x:row r="2031" ht="20" customHeight="1">
      <x:c r="A2031" s="256" t="n">
        <x:f>-12+421*0.01</x:f>
        <x:v>-7.79</x:v>
      </x:c>
      <x:c r="B2031" s="256" t="n">
        <x:f>IF(COUNT($B$129:$L$129)=11,B$129*EXP(IF(A2031&lt;0,(10-0)*A2031,-0*A2031))+C$129*EXP(IF(A2031&lt;0,(10-1)*A2031,-1*A2031))+D$129*EXP(IF(A2031&lt;0,(10-2)*A2031,-2*A2031))+E$129*EXP(IF(A2031&lt;0,(10-3)*A2031,-3*A2031))+F$129*EXP(IF(A2031&lt;0,(10-4)*A2031,-4*A2031))+G$129*EXP(IF(A2031&lt;0,(10-5)*A2031,-5*A2031))+H$129*EXP(IF(A2031&lt;0,(10-6)*A2031,-6*A2031))+I$129*EXP(IF(A2031&lt;0,(10-7)*A2031,-7*A2031))+J$129*EXP(IF(A2031&lt;0,(10-8)*A2031,-8*A2031))+K$129*EXP(IF(A2031&lt;0,(10-9)*A2031,-9*A2031))+L$129*EXP(IF(A2031&lt;0,(10-10)*A2031,-10*A2031)),0)</x:f>
        <x:v>781752.3828401915</x:v>
      </x:c>
      <x:c r="C2031" s="256" t="n">
        <x:f>IF(B2031=0,IF(B2030=0,0,1),IF(B2030=0,0,IF(SIGN(B2031)&lt;&gt;SIGN(B2030),1,0)))</x:f>
        <x:v>0</x:v>
      </x:c>
      <x:c r="D2031" s="256" t="n">
        <x:f>EXP(A2031-0.005)-1</x:f>
        <x:v>-0.9995882112158913</x:v>
      </x:c>
    </x:row>
    <x:row r="2032" ht="20" customHeight="1">
      <x:c r="A2032" s="256" t="n">
        <x:f>-12+422*0.01</x:f>
        <x:v>-7.78</x:v>
      </x:c>
      <x:c r="B2032" s="256" t="n">
        <x:f>IF(COUNT($B$129:$L$129)=11,B$129*EXP(IF(A2032&lt;0,(10-0)*A2032,-0*A2032))+C$129*EXP(IF(A2032&lt;0,(10-1)*A2032,-1*A2032))+D$129*EXP(IF(A2032&lt;0,(10-2)*A2032,-2*A2032))+E$129*EXP(IF(A2032&lt;0,(10-3)*A2032,-3*A2032))+F$129*EXP(IF(A2032&lt;0,(10-4)*A2032,-4*A2032))+G$129*EXP(IF(A2032&lt;0,(10-5)*A2032,-5*A2032))+H$129*EXP(IF(A2032&lt;0,(10-6)*A2032,-6*A2032))+I$129*EXP(IF(A2032&lt;0,(10-7)*A2032,-7*A2032))+J$129*EXP(IF(A2032&lt;0,(10-8)*A2032,-8*A2032))+K$129*EXP(IF(A2032&lt;0,(10-9)*A2032,-9*A2032))+L$129*EXP(IF(A2032&lt;0,(10-10)*A2032,-10*A2032)),0)</x:f>
        <x:v>781752.4352466646</x:v>
      </x:c>
      <x:c r="C2032" s="256" t="n">
        <x:f>IF(B2032=0,IF(B2031=0,0,1),IF(B2031=0,0,IF(SIGN(B2032)&lt;&gt;SIGN(B2031),1,0)))</x:f>
        <x:v>0</x:v>
      </x:c>
      <x:c r="D2032" s="256" t="n">
        <x:f>EXP(A2032-0.005)-1</x:f>
        <x:v>-0.9995840726698075</x:v>
      </x:c>
    </x:row>
    <x:row r="2033" ht="20" customHeight="1">
      <x:c r="A2033" s="256" t="n">
        <x:f>-12+423*0.01</x:f>
        <x:v>-7.77</x:v>
      </x:c>
      <x:c r="B2033" s="256" t="n">
        <x:f>IF(COUNT($B$129:$L$129)=11,B$129*EXP(IF(A2033&lt;0,(10-0)*A2033,-0*A2033))+C$129*EXP(IF(A2033&lt;0,(10-1)*A2033,-1*A2033))+D$129*EXP(IF(A2033&lt;0,(10-2)*A2033,-2*A2033))+E$129*EXP(IF(A2033&lt;0,(10-3)*A2033,-3*A2033))+F$129*EXP(IF(A2033&lt;0,(10-4)*A2033,-4*A2033))+G$129*EXP(IF(A2033&lt;0,(10-5)*A2033,-5*A2033))+H$129*EXP(IF(A2033&lt;0,(10-6)*A2033,-6*A2033))+I$129*EXP(IF(A2033&lt;0,(10-7)*A2033,-7*A2033))+J$129*EXP(IF(A2033&lt;0,(10-8)*A2033,-8*A2033))+K$129*EXP(IF(A2033&lt;0,(10-9)*A2033,-9*A2033))+L$129*EXP(IF(A2033&lt;0,(10-10)*A2033,-10*A2033)),0)</x:f>
        <x:v>781752.4881801687</x:v>
      </x:c>
      <x:c r="C2033" s="256" t="n">
        <x:f>IF(B2033=0,IF(B2032=0,0,1),IF(B2032=0,0,IF(SIGN(B2033)&lt;&gt;SIGN(B2032),1,0)))</x:f>
        <x:v>0</x:v>
      </x:c>
      <x:c r="D2033" s="256" t="n">
        <x:f>EXP(A2033-0.005)-1</x:f>
        <x:v>-0.9995798925306443</x:v>
      </x:c>
    </x:row>
    <x:row r="2034" ht="20" customHeight="1">
      <x:c r="A2034" s="256" t="n">
        <x:f>-12+424*0.01</x:f>
        <x:v>-7.76</x:v>
      </x:c>
      <x:c r="B2034" s="256" t="n">
        <x:f>IF(COUNT($B$129:$L$129)=11,B$129*EXP(IF(A2034&lt;0,(10-0)*A2034,-0*A2034))+C$129*EXP(IF(A2034&lt;0,(10-1)*A2034,-1*A2034))+D$129*EXP(IF(A2034&lt;0,(10-2)*A2034,-2*A2034))+E$129*EXP(IF(A2034&lt;0,(10-3)*A2034,-3*A2034))+F$129*EXP(IF(A2034&lt;0,(10-4)*A2034,-4*A2034))+G$129*EXP(IF(A2034&lt;0,(10-5)*A2034,-5*A2034))+H$129*EXP(IF(A2034&lt;0,(10-6)*A2034,-6*A2034))+I$129*EXP(IF(A2034&lt;0,(10-7)*A2034,-7*A2034))+J$129*EXP(IF(A2034&lt;0,(10-8)*A2034,-8*A2034))+K$129*EXP(IF(A2034&lt;0,(10-9)*A2034,-9*A2034))+L$129*EXP(IF(A2034&lt;0,(10-10)*A2034,-10*A2034)),0)</x:f>
        <x:v>781752.5416460074</x:v>
      </x:c>
      <x:c r="C2034" s="256" t="n">
        <x:f>IF(B2034=0,IF(B2033=0,0,1),IF(B2033=0,0,IF(SIGN(B2034)&lt;&gt;SIGN(B2033),1,0)))</x:f>
        <x:v>0</x:v>
      </x:c>
      <x:c r="D2034" s="256" t="n">
        <x:f>EXP(A2034-0.005)-1</x:f>
        <x:v>-0.999575670380384</x:v>
      </x:c>
    </x:row>
    <x:row r="2035" ht="20" customHeight="1">
      <x:c r="A2035" s="256" t="n">
        <x:f>-12+425*0.01</x:f>
        <x:v>-7.75</x:v>
      </x:c>
      <x:c r="B2035" s="256" t="n">
        <x:f>IF(COUNT($B$129:$L$129)=11,B$129*EXP(IF(A2035&lt;0,(10-0)*A2035,-0*A2035))+C$129*EXP(IF(A2035&lt;0,(10-1)*A2035,-1*A2035))+D$129*EXP(IF(A2035&lt;0,(10-2)*A2035,-2*A2035))+E$129*EXP(IF(A2035&lt;0,(10-3)*A2035,-3*A2035))+F$129*EXP(IF(A2035&lt;0,(10-4)*A2035,-4*A2035))+G$129*EXP(IF(A2035&lt;0,(10-5)*A2035,-5*A2035))+H$129*EXP(IF(A2035&lt;0,(10-6)*A2035,-6*A2035))+I$129*EXP(IF(A2035&lt;0,(10-7)*A2035,-7*A2035))+J$129*EXP(IF(A2035&lt;0,(10-8)*A2035,-8*A2035))+K$129*EXP(IF(A2035&lt;0,(10-9)*A2035,-9*A2035))+L$129*EXP(IF(A2035&lt;0,(10-10)*A2035,-10*A2035)),0)</x:f>
        <x:v>781752.5956495379</x:v>
      </x:c>
      <x:c r="C2035" s="256" t="n">
        <x:f>IF(B2035=0,IF(B2034=0,0,1),IF(B2034=0,0,IF(SIGN(B2035)&lt;&gt;SIGN(B2034),1,0)))</x:f>
        <x:v>0</x:v>
      </x:c>
      <x:c r="D2035" s="256" t="n">
        <x:f>EXP(A2035-0.005)-1</x:f>
        <x:v>-0.999571405796808</x:v>
      </x:c>
    </x:row>
    <x:row r="2036" ht="20" customHeight="1">
      <x:c r="A2036" s="256" t="n">
        <x:f>-12+426*0.01</x:f>
        <x:v>-7.74</x:v>
      </x:c>
      <x:c r="B2036" s="256" t="n">
        <x:f>IF(COUNT($B$129:$L$129)=11,B$129*EXP(IF(A2036&lt;0,(10-0)*A2036,-0*A2036))+C$129*EXP(IF(A2036&lt;0,(10-1)*A2036,-1*A2036))+D$129*EXP(IF(A2036&lt;0,(10-2)*A2036,-2*A2036))+E$129*EXP(IF(A2036&lt;0,(10-3)*A2036,-3*A2036))+F$129*EXP(IF(A2036&lt;0,(10-4)*A2036,-4*A2036))+G$129*EXP(IF(A2036&lt;0,(10-5)*A2036,-5*A2036))+H$129*EXP(IF(A2036&lt;0,(10-6)*A2036,-6*A2036))+I$129*EXP(IF(A2036&lt;0,(10-7)*A2036,-7*A2036))+J$129*EXP(IF(A2036&lt;0,(10-8)*A2036,-8*A2036))+K$129*EXP(IF(A2036&lt;0,(10-9)*A2036,-9*A2036))+L$129*EXP(IF(A2036&lt;0,(10-10)*A2036,-10*A2036)),0)</x:f>
        <x:v>781752.6501961709</x:v>
      </x:c>
      <x:c r="C2036" s="256" t="n">
        <x:f>IF(B2036=0,IF(B2035=0,0,1),IF(B2035=0,0,IF(SIGN(B2036)&lt;&gt;SIGN(B2035),1,0)))</x:f>
        <x:v>0</x:v>
      </x:c>
      <x:c r="D2036" s="256" t="n">
        <x:f>EXP(A2036-0.005)-1</x:f>
        <x:v>-0.9995670983534547</x:v>
      </x:c>
    </x:row>
    <x:row r="2037" ht="20" customHeight="1">
      <x:c r="A2037" s="256" t="n">
        <x:f>-12+427*0.01</x:f>
        <x:v>-7.7299999999999995</x:v>
      </x:c>
      <x:c r="B2037" s="256" t="n">
        <x:f>IF(COUNT($B$129:$L$129)=11,B$129*EXP(IF(A2037&lt;0,(10-0)*A2037,-0*A2037))+C$129*EXP(IF(A2037&lt;0,(10-1)*A2037,-1*A2037))+D$129*EXP(IF(A2037&lt;0,(10-2)*A2037,-2*A2037))+E$129*EXP(IF(A2037&lt;0,(10-3)*A2037,-3*A2037))+F$129*EXP(IF(A2037&lt;0,(10-4)*A2037,-4*A2037))+G$129*EXP(IF(A2037&lt;0,(10-5)*A2037,-5*A2037))+H$129*EXP(IF(A2037&lt;0,(10-6)*A2037,-6*A2037))+I$129*EXP(IF(A2037&lt;0,(10-7)*A2037,-7*A2037))+J$129*EXP(IF(A2037&lt;0,(10-8)*A2037,-8*A2037))+K$129*EXP(IF(A2037&lt;0,(10-9)*A2037,-9*A2037))+L$129*EXP(IF(A2037&lt;0,(10-10)*A2037,-10*A2037)),0)</x:f>
        <x:v>781752.7052913719</x:v>
      </x:c>
      <x:c r="C2037" s="256" t="n">
        <x:f>IF(B2037=0,IF(B2036=0,0,1),IF(B2036=0,0,IF(SIGN(B2037)&lt;&gt;SIGN(B2036),1,0)))</x:f>
        <x:v>0</x:v>
      </x:c>
      <x:c r="D2037" s="256" t="n">
        <x:f>EXP(A2037-0.005)-1</x:f>
        <x:v>-0.9995627476195759</x:v>
      </x:c>
    </x:row>
    <x:row r="2038" ht="20" customHeight="1">
      <x:c r="A2038" s="256" t="n">
        <x:f>-12+428*0.01</x:f>
        <x:v>-7.72</x:v>
      </x:c>
      <x:c r="B2038" s="256" t="n">
        <x:f>IF(COUNT($B$129:$L$129)=11,B$129*EXP(IF(A2038&lt;0,(10-0)*A2038,-0*A2038))+C$129*EXP(IF(A2038&lt;0,(10-1)*A2038,-1*A2038))+D$129*EXP(IF(A2038&lt;0,(10-2)*A2038,-2*A2038))+E$129*EXP(IF(A2038&lt;0,(10-3)*A2038,-3*A2038))+F$129*EXP(IF(A2038&lt;0,(10-4)*A2038,-4*A2038))+G$129*EXP(IF(A2038&lt;0,(10-5)*A2038,-5*A2038))+H$129*EXP(IF(A2038&lt;0,(10-6)*A2038,-6*A2038))+I$129*EXP(IF(A2038&lt;0,(10-7)*A2038,-7*A2038))+J$129*EXP(IF(A2038&lt;0,(10-8)*A2038,-8*A2038))+K$129*EXP(IF(A2038&lt;0,(10-9)*A2038,-9*A2038))+L$129*EXP(IF(A2038&lt;0,(10-10)*A2038,-10*A2038)),0)</x:f>
        <x:v>781752.7609406617</x:v>
      </x:c>
      <x:c r="C2038" s="256" t="n">
        <x:f>IF(B2038=0,IF(B2037=0,0,1),IF(B2037=0,0,IF(SIGN(B2038)&lt;&gt;SIGN(B2037),1,0)))</x:f>
        <x:v>0</x:v>
      </x:c>
      <x:c r="D2038" s="256" t="n">
        <x:f>EXP(A2038-0.005)-1</x:f>
        <x:v>-0.9995583531600947</x:v>
      </x:c>
    </x:row>
    <x:row r="2039" ht="20" customHeight="1">
      <x:c r="A2039" s="256" t="n">
        <x:f>-12+429*0.01</x:f>
        <x:v>-7.71</x:v>
      </x:c>
      <x:c r="B2039" s="256" t="n">
        <x:f>IF(COUNT($B$129:$L$129)=11,B$129*EXP(IF(A2039&lt;0,(10-0)*A2039,-0*A2039))+C$129*EXP(IF(A2039&lt;0,(10-1)*A2039,-1*A2039))+D$129*EXP(IF(A2039&lt;0,(10-2)*A2039,-2*A2039))+E$129*EXP(IF(A2039&lt;0,(10-3)*A2039,-3*A2039))+F$129*EXP(IF(A2039&lt;0,(10-4)*A2039,-4*A2039))+G$129*EXP(IF(A2039&lt;0,(10-5)*A2039,-5*A2039))+H$129*EXP(IF(A2039&lt;0,(10-6)*A2039,-6*A2039))+I$129*EXP(IF(A2039&lt;0,(10-7)*A2039,-7*A2039))+J$129*EXP(IF(A2039&lt;0,(10-8)*A2039,-8*A2039))+K$129*EXP(IF(A2039&lt;0,(10-9)*A2039,-9*A2039))+L$129*EXP(IF(A2039&lt;0,(10-10)*A2039,-10*A2039)),0)</x:f>
        <x:v>781752.8171496164</x:v>
      </x:c>
      <x:c r="C2039" s="256" t="n">
        <x:f>IF(B2039=0,IF(B2038=0,0,1),IF(B2038=0,0,IF(SIGN(B2039)&lt;&gt;SIGN(B2038),1,0)))</x:f>
        <x:v>0</x:v>
      </x:c>
      <x:c r="D2039" s="256" t="n">
        <x:f>EXP(A2039-0.005)-1</x:f>
        <x:v>-0.9995539145355614</x:v>
      </x:c>
    </x:row>
    <x:row r="2040" ht="20" customHeight="1">
      <x:c r="A2040" s="256" t="n">
        <x:f>-12+430*0.01</x:f>
        <x:v>-7.7</x:v>
      </x:c>
      <x:c r="B2040" s="256" t="n">
        <x:f>IF(COUNT($B$129:$L$129)=11,B$129*EXP(IF(A2040&lt;0,(10-0)*A2040,-0*A2040))+C$129*EXP(IF(A2040&lt;0,(10-1)*A2040,-1*A2040))+D$129*EXP(IF(A2040&lt;0,(10-2)*A2040,-2*A2040))+E$129*EXP(IF(A2040&lt;0,(10-3)*A2040,-3*A2040))+F$129*EXP(IF(A2040&lt;0,(10-4)*A2040,-4*A2040))+G$129*EXP(IF(A2040&lt;0,(10-5)*A2040,-5*A2040))+H$129*EXP(IF(A2040&lt;0,(10-6)*A2040,-6*A2040))+I$129*EXP(IF(A2040&lt;0,(10-7)*A2040,-7*A2040))+J$129*EXP(IF(A2040&lt;0,(10-8)*A2040,-8*A2040))+K$129*EXP(IF(A2040&lt;0,(10-9)*A2040,-9*A2040))+L$129*EXP(IF(A2040&lt;0,(10-10)*A2040,-10*A2040)),0)</x:f>
        <x:v>781752.8739238684</x:v>
      </x:c>
      <x:c r="C2040" s="256" t="n">
        <x:f>IF(B2040=0,IF(B2039=0,0,1),IF(B2039=0,0,IF(SIGN(B2040)&lt;&gt;SIGN(B2039),1,0)))</x:f>
        <x:v>0</x:v>
      </x:c>
      <x:c r="D2040" s="256" t="n">
        <x:f>EXP(A2040-0.005)-1</x:f>
        <x:v>-0.9995494313021099</x:v>
      </x:c>
    </x:row>
    <x:row r="2041" ht="20" customHeight="1">
      <x:c r="A2041" s="256" t="n">
        <x:f>-12+431*0.01</x:f>
        <x:v>-7.6899999999999995</x:v>
      </x:c>
      <x:c r="B2041" s="256" t="n">
        <x:f>IF(COUNT($B$129:$L$129)=11,B$129*EXP(IF(A2041&lt;0,(10-0)*A2041,-0*A2041))+C$129*EXP(IF(A2041&lt;0,(10-1)*A2041,-1*A2041))+D$129*EXP(IF(A2041&lt;0,(10-2)*A2041,-2*A2041))+E$129*EXP(IF(A2041&lt;0,(10-3)*A2041,-3*A2041))+F$129*EXP(IF(A2041&lt;0,(10-4)*A2041,-4*A2041))+G$129*EXP(IF(A2041&lt;0,(10-5)*A2041,-5*A2041))+H$129*EXP(IF(A2041&lt;0,(10-6)*A2041,-6*A2041))+I$129*EXP(IF(A2041&lt;0,(10-7)*A2041,-7*A2041))+J$129*EXP(IF(A2041&lt;0,(10-8)*A2041,-8*A2041))+K$129*EXP(IF(A2041&lt;0,(10-9)*A2041,-9*A2041))+L$129*EXP(IF(A2041&lt;0,(10-10)*A2041,-10*A2041)),0)</x:f>
        <x:v>781752.9312691069</x:v>
      </x:c>
      <x:c r="C2041" s="256" t="n">
        <x:f>IF(B2041=0,IF(B2040=0,0,1),IF(B2040=0,0,IF(SIGN(B2041)&lt;&gt;SIGN(B2040),1,0)))</x:f>
        <x:v>0</x:v>
      </x:c>
      <x:c r="D2041" s="256" t="n">
        <x:f>EXP(A2041-0.005)-1</x:f>
        <x:v>-0.9995449030114133</x:v>
      </x:c>
    </x:row>
    <x:row r="2042" ht="20" customHeight="1">
      <x:c r="A2042" s="256" t="n">
        <x:f>-12+432*0.01</x:f>
        <x:v>-7.68</x:v>
      </x:c>
      <x:c r="B2042" s="256" t="n">
        <x:f>IF(COUNT($B$129:$L$129)=11,B$129*EXP(IF(A2042&lt;0,(10-0)*A2042,-0*A2042))+C$129*EXP(IF(A2042&lt;0,(10-1)*A2042,-1*A2042))+D$129*EXP(IF(A2042&lt;0,(10-2)*A2042,-2*A2042))+E$129*EXP(IF(A2042&lt;0,(10-3)*A2042,-3*A2042))+F$129*EXP(IF(A2042&lt;0,(10-4)*A2042,-4*A2042))+G$129*EXP(IF(A2042&lt;0,(10-5)*A2042,-5*A2042))+H$129*EXP(IF(A2042&lt;0,(10-6)*A2042,-6*A2042))+I$129*EXP(IF(A2042&lt;0,(10-7)*A2042,-7*A2042))+J$129*EXP(IF(A2042&lt;0,(10-8)*A2042,-8*A2042))+K$129*EXP(IF(A2042&lt;0,(10-9)*A2042,-9*A2042))+L$129*EXP(IF(A2042&lt;0,(10-10)*A2042,-10*A2042)),0)</x:f>
        <x:v>781752.9891910783</x:v>
      </x:c>
      <x:c r="C2042" s="256" t="n">
        <x:f>IF(B2042=0,IF(B2041=0,0,1),IF(B2041=0,0,IF(SIGN(B2042)&lt;&gt;SIGN(B2041),1,0)))</x:f>
        <x:v>0</x:v>
      </x:c>
      <x:c r="D2042" s="256" t="n">
        <x:f>EXP(A2042-0.005)-1</x:f>
        <x:v>-0.9995403292106385</x:v>
      </x:c>
    </x:row>
    <x:row r="2043" ht="20" customHeight="1">
      <x:c r="A2043" s="256" t="n">
        <x:f>-12+433*0.01</x:f>
        <x:v>-7.67</x:v>
      </x:c>
      <x:c r="B2043" s="256" t="n">
        <x:f>IF(COUNT($B$129:$L$129)=11,B$129*EXP(IF(A2043&lt;0,(10-0)*A2043,-0*A2043))+C$129*EXP(IF(A2043&lt;0,(10-1)*A2043,-1*A2043))+D$129*EXP(IF(A2043&lt;0,(10-2)*A2043,-2*A2043))+E$129*EXP(IF(A2043&lt;0,(10-3)*A2043,-3*A2043))+F$129*EXP(IF(A2043&lt;0,(10-4)*A2043,-4*A2043))+G$129*EXP(IF(A2043&lt;0,(10-5)*A2043,-5*A2043))+H$129*EXP(IF(A2043&lt;0,(10-6)*A2043,-6*A2043))+I$129*EXP(IF(A2043&lt;0,(10-7)*A2043,-7*A2043))+J$129*EXP(IF(A2043&lt;0,(10-8)*A2043,-8*A2043))+K$129*EXP(IF(A2043&lt;0,(10-9)*A2043,-9*A2043))+L$129*EXP(IF(A2043&lt;0,(10-10)*A2043,-10*A2043)),0)</x:f>
        <x:v>781753.0476955873</x:v>
      </x:c>
      <x:c r="C2043" s="256" t="n">
        <x:f>IF(B2043=0,IF(B2042=0,0,1),IF(B2042=0,0,IF(SIGN(B2043)&lt;&gt;SIGN(B2042),1,0)))</x:f>
        <x:v>0</x:v>
      </x:c>
      <x:c r="D2043" s="256" t="n">
        <x:f>EXP(A2043-0.005)-1</x:f>
        <x:v>-0.9995357094424017</x:v>
      </x:c>
    </x:row>
    <x:row r="2044" ht="20" customHeight="1">
      <x:c r="A2044" s="256" t="n">
        <x:f>-12+434*0.01</x:f>
        <x:v>-7.66</x:v>
      </x:c>
      <x:c r="B2044" s="256" t="n">
        <x:f>IF(COUNT($B$129:$L$129)=11,B$129*EXP(IF(A2044&lt;0,(10-0)*A2044,-0*A2044))+C$129*EXP(IF(A2044&lt;0,(10-1)*A2044,-1*A2044))+D$129*EXP(IF(A2044&lt;0,(10-2)*A2044,-2*A2044))+E$129*EXP(IF(A2044&lt;0,(10-3)*A2044,-3*A2044))+F$129*EXP(IF(A2044&lt;0,(10-4)*A2044,-4*A2044))+G$129*EXP(IF(A2044&lt;0,(10-5)*A2044,-5*A2044))+H$129*EXP(IF(A2044&lt;0,(10-6)*A2044,-6*A2044))+I$129*EXP(IF(A2044&lt;0,(10-7)*A2044,-7*A2044))+J$129*EXP(IF(A2044&lt;0,(10-8)*A2044,-8*A2044))+K$129*EXP(IF(A2044&lt;0,(10-9)*A2044,-9*A2044))+L$129*EXP(IF(A2044&lt;0,(10-10)*A2044,-10*A2044)),0)</x:f>
        <x:v>781753.1067884966</x:v>
      </x:c>
      <x:c r="C2044" s="256" t="n">
        <x:f>IF(B2044=0,IF(B2043=0,0,1),IF(B2043=0,0,IF(SIGN(B2044)&lt;&gt;SIGN(B2043),1,0)))</x:f>
        <x:v>0</x:v>
      </x:c>
      <x:c r="D2044" s="256" t="n">
        <x:f>EXP(A2044-0.005)-1</x:f>
        <x:v>-0.9995310432447222</x:v>
      </x:c>
    </x:row>
    <x:row r="2045" ht="20" customHeight="1">
      <x:c r="A2045" s="256" t="n">
        <x:f>-12+435*0.01</x:f>
        <x:v>-7.6499999999999995</x:v>
      </x:c>
      <x:c r="B2045" s="256" t="n">
        <x:f>IF(COUNT($B$129:$L$129)=11,B$129*EXP(IF(A2045&lt;0,(10-0)*A2045,-0*A2045))+C$129*EXP(IF(A2045&lt;0,(10-1)*A2045,-1*A2045))+D$129*EXP(IF(A2045&lt;0,(10-2)*A2045,-2*A2045))+E$129*EXP(IF(A2045&lt;0,(10-3)*A2045,-3*A2045))+F$129*EXP(IF(A2045&lt;0,(10-4)*A2045,-4*A2045))+G$129*EXP(IF(A2045&lt;0,(10-5)*A2045,-5*A2045))+H$129*EXP(IF(A2045&lt;0,(10-6)*A2045,-6*A2045))+I$129*EXP(IF(A2045&lt;0,(10-7)*A2045,-7*A2045))+J$129*EXP(IF(A2045&lt;0,(10-8)*A2045,-8*A2045))+K$129*EXP(IF(A2045&lt;0,(10-9)*A2045,-9*A2045))+L$129*EXP(IF(A2045&lt;0,(10-10)*A2045,-10*A2045)),0)</x:f>
        <x:v>781753.1664757282</x:v>
      </x:c>
      <x:c r="C2045" s="256" t="n">
        <x:f>IF(B2045=0,IF(B2044=0,0,1),IF(B2044=0,0,IF(SIGN(B2045)&lt;&gt;SIGN(B2044),1,0)))</x:f>
        <x:v>0</x:v>
      </x:c>
      <x:c r="D2045" s="256" t="n">
        <x:f>EXP(A2045-0.005)-1</x:f>
        <x:v>-0.9995263301509765</x:v>
      </x:c>
    </x:row>
    <x:row r="2046" ht="20" customHeight="1">
      <x:c r="A2046" s="256" t="n">
        <x:f>-12+436*0.01</x:f>
        <x:v>-7.64</x:v>
      </x:c>
      <x:c r="B2046" s="256" t="n">
        <x:f>IF(COUNT($B$129:$L$129)=11,B$129*EXP(IF(A2046&lt;0,(10-0)*A2046,-0*A2046))+C$129*EXP(IF(A2046&lt;0,(10-1)*A2046,-1*A2046))+D$129*EXP(IF(A2046&lt;0,(10-2)*A2046,-2*A2046))+E$129*EXP(IF(A2046&lt;0,(10-3)*A2046,-3*A2046))+F$129*EXP(IF(A2046&lt;0,(10-4)*A2046,-4*A2046))+G$129*EXP(IF(A2046&lt;0,(10-5)*A2046,-5*A2046))+H$129*EXP(IF(A2046&lt;0,(10-6)*A2046,-6*A2046))+I$129*EXP(IF(A2046&lt;0,(10-7)*A2046,-7*A2046))+J$129*EXP(IF(A2046&lt;0,(10-8)*A2046,-8*A2046))+K$129*EXP(IF(A2046&lt;0,(10-9)*A2046,-9*A2046))+L$129*EXP(IF(A2046&lt;0,(10-10)*A2046,-10*A2046)),0)</x:f>
        <x:v>781753.2267632639</x:v>
      </x:c>
      <x:c r="C2046" s="256" t="n">
        <x:f>IF(B2046=0,IF(B2045=0,0,1),IF(B2045=0,0,IF(SIGN(B2046)&lt;&gt;SIGN(B2045),1,0)))</x:f>
        <x:v>0</x:v>
      </x:c>
      <x:c r="D2046" s="256" t="n">
        <x:f>EXP(A2046-0.005)-1</x:f>
        <x:v>-0.9995215696898511</x:v>
      </x:c>
    </x:row>
    <x:row r="2047" ht="20" customHeight="1">
      <x:c r="A2047" s="256" t="n">
        <x:f>-12+437*0.01</x:f>
        <x:v>-7.63</x:v>
      </x:c>
      <x:c r="B2047" s="256" t="n">
        <x:f>IF(COUNT($B$129:$L$129)=11,B$129*EXP(IF(A2047&lt;0,(10-0)*A2047,-0*A2047))+C$129*EXP(IF(A2047&lt;0,(10-1)*A2047,-1*A2047))+D$129*EXP(IF(A2047&lt;0,(10-2)*A2047,-2*A2047))+E$129*EXP(IF(A2047&lt;0,(10-3)*A2047,-3*A2047))+F$129*EXP(IF(A2047&lt;0,(10-4)*A2047,-4*A2047))+G$129*EXP(IF(A2047&lt;0,(10-5)*A2047,-5*A2047))+H$129*EXP(IF(A2047&lt;0,(10-6)*A2047,-6*A2047))+I$129*EXP(IF(A2047&lt;0,(10-7)*A2047,-7*A2047))+J$129*EXP(IF(A2047&lt;0,(10-8)*A2047,-8*A2047))+K$129*EXP(IF(A2047&lt;0,(10-9)*A2047,-9*A2047))+L$129*EXP(IF(A2047&lt;0,(10-10)*A2047,-10*A2047)),0)</x:f>
        <x:v>781753.2876571456</x:v>
      </x:c>
      <x:c r="C2047" s="256" t="n">
        <x:f>IF(B2047=0,IF(B2046=0,0,1),IF(B2046=0,0,IF(SIGN(B2047)&lt;&gt;SIGN(B2046),1,0)))</x:f>
        <x:v>0</x:v>
      </x:c>
      <x:c r="D2047" s="256" t="n">
        <x:f>EXP(A2047-0.005)-1</x:f>
        <x:v>-0.9995167613852959</x:v>
      </x:c>
    </x:row>
    <x:row r="2048" ht="20" customHeight="1">
      <x:c r="A2048" s="256" t="n">
        <x:f>-12+438*0.01</x:f>
        <x:v>-7.62</x:v>
      </x:c>
      <x:c r="B2048" s="256" t="n">
        <x:f>IF(COUNT($B$129:$L$129)=11,B$129*EXP(IF(A2048&lt;0,(10-0)*A2048,-0*A2048))+C$129*EXP(IF(A2048&lt;0,(10-1)*A2048,-1*A2048))+D$129*EXP(IF(A2048&lt;0,(10-2)*A2048,-2*A2048))+E$129*EXP(IF(A2048&lt;0,(10-3)*A2048,-3*A2048))+F$129*EXP(IF(A2048&lt;0,(10-4)*A2048,-4*A2048))+G$129*EXP(IF(A2048&lt;0,(10-5)*A2048,-5*A2048))+H$129*EXP(IF(A2048&lt;0,(10-6)*A2048,-6*A2048))+I$129*EXP(IF(A2048&lt;0,(10-7)*A2048,-7*A2048))+J$129*EXP(IF(A2048&lt;0,(10-8)*A2048,-8*A2048))+K$129*EXP(IF(A2048&lt;0,(10-9)*A2048,-9*A2048))+L$129*EXP(IF(A2048&lt;0,(10-10)*A2048,-10*A2048)),0)</x:f>
        <x:v>781753.3491634764</x:v>
      </x:c>
      <x:c r="C2048" s="256" t="n">
        <x:f>IF(B2048=0,IF(B2047=0,0,1),IF(B2047=0,0,IF(SIGN(B2048)&lt;&gt;SIGN(B2047),1,0)))</x:f>
        <x:v>0</x:v>
      </x:c>
      <x:c r="D2048" s="256" t="n">
        <x:f>EXP(A2048-0.005)-1</x:f>
        <x:v>-0.9995119047564766</x:v>
      </x:c>
    </x:row>
    <x:row r="2049" ht="20" customHeight="1">
      <x:c r="A2049" s="256" t="n">
        <x:f>-12+439*0.01</x:f>
        <x:v>-7.61</x:v>
      </x:c>
      <x:c r="B2049" s="256" t="n">
        <x:f>IF(COUNT($B$129:$L$129)=11,B$129*EXP(IF(A2049&lt;0,(10-0)*A2049,-0*A2049))+C$129*EXP(IF(A2049&lt;0,(10-1)*A2049,-1*A2049))+D$129*EXP(IF(A2049&lt;0,(10-2)*A2049,-2*A2049))+E$129*EXP(IF(A2049&lt;0,(10-3)*A2049,-3*A2049))+F$129*EXP(IF(A2049&lt;0,(10-4)*A2049,-4*A2049))+G$129*EXP(IF(A2049&lt;0,(10-5)*A2049,-5*A2049))+H$129*EXP(IF(A2049&lt;0,(10-6)*A2049,-6*A2049))+I$129*EXP(IF(A2049&lt;0,(10-7)*A2049,-7*A2049))+J$129*EXP(IF(A2049&lt;0,(10-8)*A2049,-8*A2049))+K$129*EXP(IF(A2049&lt;0,(10-9)*A2049,-9*A2049))+L$129*EXP(IF(A2049&lt;0,(10-10)*A2049,-10*A2049)),0)</x:f>
        <x:v>781753.4112884204</x:v>
      </x:c>
      <x:c r="C2049" s="256" t="n">
        <x:f>IF(B2049=0,IF(B2048=0,0,1),IF(B2048=0,0,IF(SIGN(B2049)&lt;&gt;SIGN(B2048),1,0)))</x:f>
        <x:v>0</x:v>
      </x:c>
      <x:c r="D2049" s="256" t="n">
        <x:f>EXP(A2049-0.005)-1</x:f>
        <x:v>-0.9995069993177262</x:v>
      </x:c>
    </x:row>
    <x:row r="2050" ht="20" customHeight="1">
      <x:c r="A2050" s="256" t="n">
        <x:f>-12+440*0.01</x:f>
        <x:v>-7.6</x:v>
      </x:c>
      <x:c r="B2050" s="256" t="n">
        <x:f>IF(COUNT($B$129:$L$129)=11,B$129*EXP(IF(A2050&lt;0,(10-0)*A2050,-0*A2050))+C$129*EXP(IF(A2050&lt;0,(10-1)*A2050,-1*A2050))+D$129*EXP(IF(A2050&lt;0,(10-2)*A2050,-2*A2050))+E$129*EXP(IF(A2050&lt;0,(10-3)*A2050,-3*A2050))+F$129*EXP(IF(A2050&lt;0,(10-4)*A2050,-4*A2050))+G$129*EXP(IF(A2050&lt;0,(10-5)*A2050,-5*A2050))+H$129*EXP(IF(A2050&lt;0,(10-6)*A2050,-6*A2050))+I$129*EXP(IF(A2050&lt;0,(10-7)*A2050,-7*A2050))+J$129*EXP(IF(A2050&lt;0,(10-8)*A2050,-8*A2050))+K$129*EXP(IF(A2050&lt;0,(10-9)*A2050,-9*A2050))+L$129*EXP(IF(A2050&lt;0,(10-10)*A2050,-10*A2050)),0)</x:f>
        <x:v>781753.4740382045</x:v>
      </x:c>
      <x:c r="C2050" s="256" t="n">
        <x:f>IF(B2050=0,IF(B2049=0,0,1),IF(B2049=0,0,IF(SIGN(B2050)&lt;&gt;SIGN(B2049),1,0)))</x:f>
        <x:v>0</x:v>
      </x:c>
      <x:c r="D2050" s="256" t="n">
        <x:f>EXP(A2050-0.005)-1</x:f>
        <x:v>-0.9995020445784967</x:v>
      </x:c>
    </x:row>
    <x:row r="2051" ht="20" customHeight="1">
      <x:c r="A2051" s="256" t="n">
        <x:f>-12+441*0.01</x:f>
        <x:v>-7.59</x:v>
      </x:c>
      <x:c r="B2051" s="256" t="n">
        <x:f>IF(COUNT($B$129:$L$129)=11,B$129*EXP(IF(A2051&lt;0,(10-0)*A2051,-0*A2051))+C$129*EXP(IF(A2051&lt;0,(10-1)*A2051,-1*A2051))+D$129*EXP(IF(A2051&lt;0,(10-2)*A2051,-2*A2051))+E$129*EXP(IF(A2051&lt;0,(10-3)*A2051,-3*A2051))+F$129*EXP(IF(A2051&lt;0,(10-4)*A2051,-4*A2051))+G$129*EXP(IF(A2051&lt;0,(10-5)*A2051,-5*A2051))+H$129*EXP(IF(A2051&lt;0,(10-6)*A2051,-6*A2051))+I$129*EXP(IF(A2051&lt;0,(10-7)*A2051,-7*A2051))+J$129*EXP(IF(A2051&lt;0,(10-8)*A2051,-8*A2051))+K$129*EXP(IF(A2051&lt;0,(10-9)*A2051,-9*A2051))+L$129*EXP(IF(A2051&lt;0,(10-10)*A2051,-10*A2051)),0)</x:f>
        <x:v>781753.5374191178</x:v>
      </x:c>
      <x:c r="C2051" s="256" t="n">
        <x:f>IF(B2051=0,IF(B2050=0,0,1),IF(B2050=0,0,IF(SIGN(B2051)&lt;&gt;SIGN(B2050),1,0)))</x:f>
        <x:v>0</x:v>
      </x:c>
      <x:c r="D2051" s="256" t="n">
        <x:f>EXP(A2051-0.005)-1</x:f>
        <x:v>-0.9994970400433102</x:v>
      </x:c>
    </x:row>
    <x:row r="2052" ht="20" customHeight="1">
      <x:c r="A2052" s="256" t="n">
        <x:f>-12+442*0.01</x:f>
        <x:v>-7.58</x:v>
      </x:c>
      <x:c r="B2052" s="256" t="n">
        <x:f>IF(COUNT($B$129:$L$129)=11,B$129*EXP(IF(A2052&lt;0,(10-0)*A2052,-0*A2052))+C$129*EXP(IF(A2052&lt;0,(10-1)*A2052,-1*A2052))+D$129*EXP(IF(A2052&lt;0,(10-2)*A2052,-2*A2052))+E$129*EXP(IF(A2052&lt;0,(10-3)*A2052,-3*A2052))+F$129*EXP(IF(A2052&lt;0,(10-4)*A2052,-4*A2052))+G$129*EXP(IF(A2052&lt;0,(10-5)*A2052,-5*A2052))+H$129*EXP(IF(A2052&lt;0,(10-6)*A2052,-6*A2052))+I$129*EXP(IF(A2052&lt;0,(10-7)*A2052,-7*A2052))+J$129*EXP(IF(A2052&lt;0,(10-8)*A2052,-8*A2052))+K$129*EXP(IF(A2052&lt;0,(10-9)*A2052,-9*A2052))+L$129*EXP(IF(A2052&lt;0,(10-10)*A2052,-10*A2052)),0)</x:f>
        <x:v>781753.6014375131</x:v>
      </x:c>
      <x:c r="C2052" s="256" t="n">
        <x:f>IF(B2052=0,IF(B2051=0,0,1),IF(B2051=0,0,IF(SIGN(B2052)&lt;&gt;SIGN(B2051),1,0)))</x:f>
        <x:v>0</x:v>
      </x:c>
      <x:c r="D2052" s="256" t="n">
        <x:f>EXP(A2052-0.005)-1</x:f>
        <x:v>-0.9994919852117088</x:v>
      </x:c>
    </x:row>
    <x:row r="2053" ht="20" customHeight="1">
      <x:c r="A2053" s="256" t="n">
        <x:f>-12+443*0.01</x:f>
        <x:v>-7.57</x:v>
      </x:c>
      <x:c r="B2053" s="256" t="n">
        <x:f>IF(COUNT($B$129:$L$129)=11,B$129*EXP(IF(A2053&lt;0,(10-0)*A2053,-0*A2053))+C$129*EXP(IF(A2053&lt;0,(10-1)*A2053,-1*A2053))+D$129*EXP(IF(A2053&lt;0,(10-2)*A2053,-2*A2053))+E$129*EXP(IF(A2053&lt;0,(10-3)*A2053,-3*A2053))+F$129*EXP(IF(A2053&lt;0,(10-4)*A2053,-4*A2053))+G$129*EXP(IF(A2053&lt;0,(10-5)*A2053,-5*A2053))+H$129*EXP(IF(A2053&lt;0,(10-6)*A2053,-6*A2053))+I$129*EXP(IF(A2053&lt;0,(10-7)*A2053,-7*A2053))+J$129*EXP(IF(A2053&lt;0,(10-8)*A2053,-8*A2053))+K$129*EXP(IF(A2053&lt;0,(10-9)*A2053,-9*A2053))+L$129*EXP(IF(A2053&lt;0,(10-10)*A2053,-10*A2053)),0)</x:f>
        <x:v>781753.6660998071</x:v>
      </x:c>
      <x:c r="C2053" s="256" t="n">
        <x:f>IF(B2053=0,IF(B2052=0,0,1),IF(B2052=0,0,IF(SIGN(B2053)&lt;&gt;SIGN(B2052),1,0)))</x:f>
        <x:v>0</x:v>
      </x:c>
      <x:c r="D2053" s="256" t="n">
        <x:f>EXP(A2053-0.005)-1</x:f>
        <x:v>-0.9994868795782053</x:v>
      </x:c>
    </x:row>
    <x:row r="2054" ht="20" customHeight="1">
      <x:c r="A2054" s="256" t="n">
        <x:f>-12+444*0.01</x:f>
        <x:v>-7.56</x:v>
      </x:c>
      <x:c r="B2054" s="256" t="n">
        <x:f>IF(COUNT($B$129:$L$129)=11,B$129*EXP(IF(A2054&lt;0,(10-0)*A2054,-0*A2054))+C$129*EXP(IF(A2054&lt;0,(10-1)*A2054,-1*A2054))+D$129*EXP(IF(A2054&lt;0,(10-2)*A2054,-2*A2054))+E$129*EXP(IF(A2054&lt;0,(10-3)*A2054,-3*A2054))+F$129*EXP(IF(A2054&lt;0,(10-4)*A2054,-4*A2054))+G$129*EXP(IF(A2054&lt;0,(10-5)*A2054,-5*A2054))+H$129*EXP(IF(A2054&lt;0,(10-6)*A2054,-6*A2054))+I$129*EXP(IF(A2054&lt;0,(10-7)*A2054,-7*A2054))+J$129*EXP(IF(A2054&lt;0,(10-8)*A2054,-8*A2054))+K$129*EXP(IF(A2054&lt;0,(10-9)*A2054,-9*A2054))+L$129*EXP(IF(A2054&lt;0,(10-10)*A2054,-10*A2054)),0)</x:f>
        <x:v>781753.7314124814</x:v>
      </x:c>
      <x:c r="C2054" s="256" t="n">
        <x:f>IF(B2054=0,IF(B2053=0,0,1),IF(B2053=0,0,IF(SIGN(B2054)&lt;&gt;SIGN(B2053),1,0)))</x:f>
        <x:v>0</x:v>
      </x:c>
      <x:c r="D2054" s="256" t="n">
        <x:f>EXP(A2054-0.005)-1</x:f>
        <x:v>-0.9994817226322319</x:v>
      </x:c>
    </x:row>
    <x:row r="2055" ht="20" customHeight="1">
      <x:c r="A2055" s="256" t="n">
        <x:f>-12+445*0.01</x:f>
        <x:v>-7.55</x:v>
      </x:c>
      <x:c r="B2055" s="256" t="n">
        <x:f>IF(COUNT($B$129:$L$129)=11,B$129*EXP(IF(A2055&lt;0,(10-0)*A2055,-0*A2055))+C$129*EXP(IF(A2055&lt;0,(10-1)*A2055,-1*A2055))+D$129*EXP(IF(A2055&lt;0,(10-2)*A2055,-2*A2055))+E$129*EXP(IF(A2055&lt;0,(10-3)*A2055,-3*A2055))+F$129*EXP(IF(A2055&lt;0,(10-4)*A2055,-4*A2055))+G$129*EXP(IF(A2055&lt;0,(10-5)*A2055,-5*A2055))+H$129*EXP(IF(A2055&lt;0,(10-6)*A2055,-6*A2055))+I$129*EXP(IF(A2055&lt;0,(10-7)*A2055,-7*A2055))+J$129*EXP(IF(A2055&lt;0,(10-8)*A2055,-8*A2055))+K$129*EXP(IF(A2055&lt;0,(10-9)*A2055,-9*A2055))+L$129*EXP(IF(A2055&lt;0,(10-10)*A2055,-10*A2055)),0)</x:f>
        <x:v>781753.7973820827</x:v>
      </x:c>
      <x:c r="C2055" s="256" t="n">
        <x:f>IF(B2055=0,IF(B2054=0,0,1),IF(B2054=0,0,IF(SIGN(B2055)&lt;&gt;SIGN(B2054),1,0)))</x:f>
        <x:v>0</x:v>
      </x:c>
      <x:c r="D2055" s="256" t="n">
        <x:f>EXP(A2055-0.005)-1</x:f>
        <x:v>-0.9994765138580899</x:v>
      </x:c>
    </x:row>
    <x:row r="2056" ht="20" customHeight="1">
      <x:c r="A2056" s="256" t="n">
        <x:f>-12+446*0.01</x:f>
        <x:v>-7.54</x:v>
      </x:c>
      <x:c r="B2056" s="256" t="n">
        <x:f>IF(COUNT($B$129:$L$129)=11,B$129*EXP(IF(A2056&lt;0,(10-0)*A2056,-0*A2056))+C$129*EXP(IF(A2056&lt;0,(10-1)*A2056,-1*A2056))+D$129*EXP(IF(A2056&lt;0,(10-2)*A2056,-2*A2056))+E$129*EXP(IF(A2056&lt;0,(10-3)*A2056,-3*A2056))+F$129*EXP(IF(A2056&lt;0,(10-4)*A2056,-4*A2056))+G$129*EXP(IF(A2056&lt;0,(10-5)*A2056,-5*A2056))+H$129*EXP(IF(A2056&lt;0,(10-6)*A2056,-6*A2056))+I$129*EXP(IF(A2056&lt;0,(10-7)*A2056,-7*A2056))+J$129*EXP(IF(A2056&lt;0,(10-8)*A2056,-8*A2056))+K$129*EXP(IF(A2056&lt;0,(10-9)*A2056,-9*A2056))+L$129*EXP(IF(A2056&lt;0,(10-10)*A2056,-10*A2056)),0)</x:f>
        <x:v>781753.8640152238</x:v>
      </x:c>
      <x:c r="C2056" s="256" t="n">
        <x:f>IF(B2056=0,IF(B2055=0,0,1),IF(B2055=0,0,IF(SIGN(B2056)&lt;&gt;SIGN(B2055),1,0)))</x:f>
        <x:v>0</x:v>
      </x:c>
      <x:c r="D2056" s="256" t="n">
        <x:f>EXP(A2056-0.005)-1</x:f>
        <x:v>-0.9994712527348975</x:v>
      </x:c>
    </x:row>
    <x:row r="2057" ht="20" customHeight="1">
      <x:c r="A2057" s="256" t="n">
        <x:f>-12+447*0.01</x:f>
        <x:v>-7.53</x:v>
      </x:c>
      <x:c r="B2057" s="256" t="n">
        <x:f>IF(COUNT($B$129:$L$129)=11,B$129*EXP(IF(A2057&lt;0,(10-0)*A2057,-0*A2057))+C$129*EXP(IF(A2057&lt;0,(10-1)*A2057,-1*A2057))+D$129*EXP(IF(A2057&lt;0,(10-2)*A2057,-2*A2057))+E$129*EXP(IF(A2057&lt;0,(10-3)*A2057,-3*A2057))+F$129*EXP(IF(A2057&lt;0,(10-4)*A2057,-4*A2057))+G$129*EXP(IF(A2057&lt;0,(10-5)*A2057,-5*A2057))+H$129*EXP(IF(A2057&lt;0,(10-6)*A2057,-6*A2057))+I$129*EXP(IF(A2057&lt;0,(10-7)*A2057,-7*A2057))+J$129*EXP(IF(A2057&lt;0,(10-8)*A2057,-8*A2057))+K$129*EXP(IF(A2057&lt;0,(10-9)*A2057,-9*A2057))+L$129*EXP(IF(A2057&lt;0,(10-10)*A2057,-10*A2057)),0)</x:f>
        <x:v>781753.9313185842</x:v>
      </x:c>
      <x:c r="C2057" s="256" t="n">
        <x:f>IF(B2057=0,IF(B2056=0,0,1),IF(B2056=0,0,IF(SIGN(B2057)&lt;&gt;SIGN(B2056),1,0)))</x:f>
        <x:v>0</x:v>
      </x:c>
      <x:c r="D2057" s="256" t="n">
        <x:f>EXP(A2057-0.005)-1</x:f>
        <x:v>-0.9994659387365379</x:v>
      </x:c>
    </x:row>
    <x:row r="2058" ht="20" customHeight="1">
      <x:c r="A2058" s="256" t="n">
        <x:f>-12+448*0.01</x:f>
        <x:v>-7.52</x:v>
      </x:c>
      <x:c r="B2058" s="256" t="n">
        <x:f>IF(COUNT($B$129:$L$129)=11,B$129*EXP(IF(A2058&lt;0,(10-0)*A2058,-0*A2058))+C$129*EXP(IF(A2058&lt;0,(10-1)*A2058,-1*A2058))+D$129*EXP(IF(A2058&lt;0,(10-2)*A2058,-2*A2058))+E$129*EXP(IF(A2058&lt;0,(10-3)*A2058,-3*A2058))+F$129*EXP(IF(A2058&lt;0,(10-4)*A2058,-4*A2058))+G$129*EXP(IF(A2058&lt;0,(10-5)*A2058,-5*A2058))+H$129*EXP(IF(A2058&lt;0,(10-6)*A2058,-6*A2058))+I$129*EXP(IF(A2058&lt;0,(10-7)*A2058,-7*A2058))+J$129*EXP(IF(A2058&lt;0,(10-8)*A2058,-8*A2058))+K$129*EXP(IF(A2058&lt;0,(10-9)*A2058,-9*A2058))+L$129*EXP(IF(A2058&lt;0,(10-10)*A2058,-10*A2058)),0)</x:f>
        <x:v>781753.9992989108</x:v>
      </x:c>
      <x:c r="C2058" s="256" t="n">
        <x:f>IF(B2058=0,IF(B2057=0,0,1),IF(B2057=0,0,IF(SIGN(B2058)&lt;&gt;SIGN(B2057),1,0)))</x:f>
        <x:v>0</x:v>
      </x:c>
      <x:c r="D2058" s="256" t="n">
        <x:f>EXP(A2058-0.005)-1</x:f>
        <x:v>-0.9994605713316068</x:v>
      </x:c>
    </x:row>
    <x:row r="2059" ht="20" customHeight="1">
      <x:c r="A2059" s="256" t="n">
        <x:f>-12+449*0.01</x:f>
        <x:v>-7.51</x:v>
      </x:c>
      <x:c r="B2059" s="256" t="n">
        <x:f>IF(COUNT($B$129:$L$129)=11,B$129*EXP(IF(A2059&lt;0,(10-0)*A2059,-0*A2059))+C$129*EXP(IF(A2059&lt;0,(10-1)*A2059,-1*A2059))+D$129*EXP(IF(A2059&lt;0,(10-2)*A2059,-2*A2059))+E$129*EXP(IF(A2059&lt;0,(10-3)*A2059,-3*A2059))+F$129*EXP(IF(A2059&lt;0,(10-4)*A2059,-4*A2059))+G$129*EXP(IF(A2059&lt;0,(10-5)*A2059,-5*A2059))+H$129*EXP(IF(A2059&lt;0,(10-6)*A2059,-6*A2059))+I$129*EXP(IF(A2059&lt;0,(10-7)*A2059,-7*A2059))+J$129*EXP(IF(A2059&lt;0,(10-8)*A2059,-8*A2059))+K$129*EXP(IF(A2059&lt;0,(10-9)*A2059,-9*A2059))+L$129*EXP(IF(A2059&lt;0,(10-10)*A2059,-10*A2059)),0)</x:f>
        <x:v>781754.0679630184</x:v>
      </x:c>
      <x:c r="C2059" s="256" t="n">
        <x:f>IF(B2059=0,IF(B2058=0,0,1),IF(B2058=0,0,IF(SIGN(B2059)&lt;&gt;SIGN(B2058),1,0)))</x:f>
        <x:v>0</x:v>
      </x:c>
      <x:c r="D2059" s="256" t="n">
        <x:f>EXP(A2059-0.005)-1</x:f>
        <x:v>-0.9994551499833595</x:v>
      </x:c>
    </x:row>
    <x:row r="2060" ht="20" customHeight="1">
      <x:c r="A2060" s="256" t="n">
        <x:f>-12+450*0.01</x:f>
        <x:v>-7.5</x:v>
      </x:c>
      <x:c r="B2060" s="256" t="n">
        <x:f>IF(COUNT($B$129:$L$129)=11,B$129*EXP(IF(A2060&lt;0,(10-0)*A2060,-0*A2060))+C$129*EXP(IF(A2060&lt;0,(10-1)*A2060,-1*A2060))+D$129*EXP(IF(A2060&lt;0,(10-2)*A2060,-2*A2060))+E$129*EXP(IF(A2060&lt;0,(10-3)*A2060,-3*A2060))+F$129*EXP(IF(A2060&lt;0,(10-4)*A2060,-4*A2060))+G$129*EXP(IF(A2060&lt;0,(10-5)*A2060,-5*A2060))+H$129*EXP(IF(A2060&lt;0,(10-6)*A2060,-6*A2060))+I$129*EXP(IF(A2060&lt;0,(10-7)*A2060,-7*A2060))+J$129*EXP(IF(A2060&lt;0,(10-8)*A2060,-8*A2060))+K$129*EXP(IF(A2060&lt;0,(10-9)*A2060,-9*A2060))+L$129*EXP(IF(A2060&lt;0,(10-10)*A2060,-10*A2060)),0)</x:f>
        <x:v>781754.1373177906</x:v>
      </x:c>
      <x:c r="C2060" s="256" t="n">
        <x:f>IF(B2060=0,IF(B2059=0,0,1),IF(B2059=0,0,IF(SIGN(B2060)&lt;&gt;SIGN(B2059),1,0)))</x:f>
        <x:v>0</x:v>
      </x:c>
      <x:c r="D2060" s="256" t="n">
        <x:f>EXP(A2060-0.005)-1</x:f>
        <x:v>-0.9994496741496565</x:v>
      </x:c>
    </x:row>
    <x:row r="2061" ht="20" customHeight="1">
      <x:c r="A2061" s="256" t="n">
        <x:f>-12+451*0.01</x:f>
        <x:v>-7.49</x:v>
      </x:c>
      <x:c r="B2061" s="256" t="n">
        <x:f>IF(COUNT($B$129:$L$129)=11,B$129*EXP(IF(A2061&lt;0,(10-0)*A2061,-0*A2061))+C$129*EXP(IF(A2061&lt;0,(10-1)*A2061,-1*A2061))+D$129*EXP(IF(A2061&lt;0,(10-2)*A2061,-2*A2061))+E$129*EXP(IF(A2061&lt;0,(10-3)*A2061,-3*A2061))+F$129*EXP(IF(A2061&lt;0,(10-4)*A2061,-4*A2061))+G$129*EXP(IF(A2061&lt;0,(10-5)*A2061,-5*A2061))+H$129*EXP(IF(A2061&lt;0,(10-6)*A2061,-6*A2061))+I$129*EXP(IF(A2061&lt;0,(10-7)*A2061,-7*A2061))+J$129*EXP(IF(A2061&lt;0,(10-8)*A2061,-8*A2061))+K$129*EXP(IF(A2061&lt;0,(10-9)*A2061,-9*A2061))+L$129*EXP(IF(A2061&lt;0,(10-10)*A2061,-10*A2061)),0)</x:f>
        <x:v>781754.2073701805</x:v>
      </x:c>
      <x:c r="C2061" s="256" t="n">
        <x:f>IF(B2061=0,IF(B2060=0,0,1),IF(B2060=0,0,IF(SIGN(B2061)&lt;&gt;SIGN(B2060),1,0)))</x:f>
        <x:v>0</x:v>
      </x:c>
      <x:c r="D2061" s="256" t="n">
        <x:f>EXP(A2061-0.005)-1</x:f>
        <x:v>-0.9994441432829098</x:v>
      </x:c>
    </x:row>
    <x:row r="2062" ht="20" customHeight="1">
      <x:c r="A2062" s="256" t="n">
        <x:f>-12+452*0.01</x:f>
        <x:v>-7.4799999999999995</x:v>
      </x:c>
      <x:c r="B2062" s="256" t="n">
        <x:f>IF(COUNT($B$129:$L$129)=11,B$129*EXP(IF(A2062&lt;0,(10-0)*A2062,-0*A2062))+C$129*EXP(IF(A2062&lt;0,(10-1)*A2062,-1*A2062))+D$129*EXP(IF(A2062&lt;0,(10-2)*A2062,-2*A2062))+E$129*EXP(IF(A2062&lt;0,(10-3)*A2062,-3*A2062))+F$129*EXP(IF(A2062&lt;0,(10-4)*A2062,-4*A2062))+G$129*EXP(IF(A2062&lt;0,(10-5)*A2062,-5*A2062))+H$129*EXP(IF(A2062&lt;0,(10-6)*A2062,-6*A2062))+I$129*EXP(IF(A2062&lt;0,(10-7)*A2062,-7*A2062))+J$129*EXP(IF(A2062&lt;0,(10-8)*A2062,-8*A2062))+K$129*EXP(IF(A2062&lt;0,(10-9)*A2062,-9*A2062))+L$129*EXP(IF(A2062&lt;0,(10-10)*A2062,-10*A2062)),0)</x:f>
        <x:v>781754.278127211</x:v>
      </x:c>
      <x:c r="C2062" s="256" t="n">
        <x:f>IF(B2062=0,IF(B2061=0,0,1),IF(B2061=0,0,IF(SIGN(B2062)&lt;&gt;SIGN(B2061),1,0)))</x:f>
        <x:v>0</x:v>
      </x:c>
      <x:c r="D2062" s="256" t="n">
        <x:f>EXP(A2062-0.005)-1</x:f>
        <x:v>-0.9994385568300281</x:v>
      </x:c>
    </x:row>
    <x:row r="2063" ht="20" customHeight="1">
      <x:c r="A2063" s="256" t="n">
        <x:f>-12+453*0.01</x:f>
        <x:v>-7.47</x:v>
      </x:c>
      <x:c r="B2063" s="256" t="n">
        <x:f>IF(COUNT($B$129:$L$129)=11,B$129*EXP(IF(A2063&lt;0,(10-0)*A2063,-0*A2063))+C$129*EXP(IF(A2063&lt;0,(10-1)*A2063,-1*A2063))+D$129*EXP(IF(A2063&lt;0,(10-2)*A2063,-2*A2063))+E$129*EXP(IF(A2063&lt;0,(10-3)*A2063,-3*A2063))+F$129*EXP(IF(A2063&lt;0,(10-4)*A2063,-4*A2063))+G$129*EXP(IF(A2063&lt;0,(10-5)*A2063,-5*A2063))+H$129*EXP(IF(A2063&lt;0,(10-6)*A2063,-6*A2063))+I$129*EXP(IF(A2063&lt;0,(10-7)*A2063,-7*A2063))+J$129*EXP(IF(A2063&lt;0,(10-8)*A2063,-8*A2063))+K$129*EXP(IF(A2063&lt;0,(10-9)*A2063,-9*A2063))+L$129*EXP(IF(A2063&lt;0,(10-10)*A2063,-10*A2063)),0)</x:f>
        <x:v>781754.3495959762</x:v>
      </x:c>
      <x:c r="C2063" s="256" t="n">
        <x:f>IF(B2063=0,IF(B2062=0,0,1),IF(B2062=0,0,IF(SIGN(B2063)&lt;&gt;SIGN(B2062),1,0)))</x:f>
        <x:v>0</x:v>
      </x:c>
      <x:c r="D2063" s="256" t="n">
        <x:f>EXP(A2063-0.005)-1</x:f>
        <x:v>-0.9994329142323617</x:v>
      </x:c>
    </x:row>
    <x:row r="2064" ht="20" customHeight="1">
      <x:c r="A2064" s="256" t="n">
        <x:f>-12+454*0.01</x:f>
        <x:v>-7.46</x:v>
      </x:c>
      <x:c r="B2064" s="256" t="n">
        <x:f>IF(COUNT($B$129:$L$129)=11,B$129*EXP(IF(A2064&lt;0,(10-0)*A2064,-0*A2064))+C$129*EXP(IF(A2064&lt;0,(10-1)*A2064,-1*A2064))+D$129*EXP(IF(A2064&lt;0,(10-2)*A2064,-2*A2064))+E$129*EXP(IF(A2064&lt;0,(10-3)*A2064,-3*A2064))+F$129*EXP(IF(A2064&lt;0,(10-4)*A2064,-4*A2064))+G$129*EXP(IF(A2064&lt;0,(10-5)*A2064,-5*A2064))+H$129*EXP(IF(A2064&lt;0,(10-6)*A2064,-6*A2064))+I$129*EXP(IF(A2064&lt;0,(10-7)*A2064,-7*A2064))+J$129*EXP(IF(A2064&lt;0,(10-8)*A2064,-8*A2064))+K$129*EXP(IF(A2064&lt;0,(10-9)*A2064,-9*A2064))+L$129*EXP(IF(A2064&lt;0,(10-10)*A2064,-10*A2064)),0)</x:f>
        <x:v>781754.4217836414</x:v>
      </x:c>
      <x:c r="C2064" s="256" t="n">
        <x:f>IF(B2064=0,IF(B2063=0,0,1),IF(B2063=0,0,IF(SIGN(B2064)&lt;&gt;SIGN(B2063),1,0)))</x:f>
        <x:v>0</x:v>
      </x:c>
      <x:c r="D2064" s="256" t="n">
        <x:f>EXP(A2064-0.005)-1</x:f>
        <x:v>-0.9994272149256459</x:v>
      </x:c>
    </x:row>
    <x:row r="2065" ht="20" customHeight="1">
      <x:c r="A2065" s="256" t="n">
        <x:f>-12+455*0.01</x:f>
        <x:v>-7.45</x:v>
      </x:c>
      <x:c r="B2065" s="256" t="n">
        <x:f>IF(COUNT($B$129:$L$129)=11,B$129*EXP(IF(A2065&lt;0,(10-0)*A2065,-0*A2065))+C$129*EXP(IF(A2065&lt;0,(10-1)*A2065,-1*A2065))+D$129*EXP(IF(A2065&lt;0,(10-2)*A2065,-2*A2065))+E$129*EXP(IF(A2065&lt;0,(10-3)*A2065,-3*A2065))+F$129*EXP(IF(A2065&lt;0,(10-4)*A2065,-4*A2065))+G$129*EXP(IF(A2065&lt;0,(10-5)*A2065,-5*A2065))+H$129*EXP(IF(A2065&lt;0,(10-6)*A2065,-6*A2065))+I$129*EXP(IF(A2065&lt;0,(10-7)*A2065,-7*A2065))+J$129*EXP(IF(A2065&lt;0,(10-8)*A2065,-8*A2065))+K$129*EXP(IF(A2065&lt;0,(10-9)*A2065,-9*A2065))+L$129*EXP(IF(A2065&lt;0,(10-10)*A2065,-10*A2065)),0)</x:f>
        <x:v>781754.4946974446</x:v>
      </x:c>
      <x:c r="C2065" s="256" t="n">
        <x:f>IF(B2065=0,IF(B2064=0,0,1),IF(B2064=0,0,IF(SIGN(B2065)&lt;&gt;SIGN(B2064),1,0)))</x:f>
        <x:v>0</x:v>
      </x:c>
      <x:c r="D2065" s="256" t="n">
        <x:f>EXP(A2065-0.005)-1</x:f>
        <x:v>-0.9994214583399453</x:v>
      </x:c>
    </x:row>
    <x:row r="2066" ht="20" customHeight="1">
      <x:c r="A2066" s="256" t="n">
        <x:f>-12+456*0.01</x:f>
        <x:v>-7.4399999999999995</x:v>
      </x:c>
      <x:c r="B2066" s="256" t="n">
        <x:f>IF(COUNT($B$129:$L$129)=11,B$129*EXP(IF(A2066&lt;0,(10-0)*A2066,-0*A2066))+C$129*EXP(IF(A2066&lt;0,(10-1)*A2066,-1*A2066))+D$129*EXP(IF(A2066&lt;0,(10-2)*A2066,-2*A2066))+E$129*EXP(IF(A2066&lt;0,(10-3)*A2066,-3*A2066))+F$129*EXP(IF(A2066&lt;0,(10-4)*A2066,-4*A2066))+G$129*EXP(IF(A2066&lt;0,(10-5)*A2066,-5*A2066))+H$129*EXP(IF(A2066&lt;0,(10-6)*A2066,-6*A2066))+I$129*EXP(IF(A2066&lt;0,(10-7)*A2066,-7*A2066))+J$129*EXP(IF(A2066&lt;0,(10-8)*A2066,-8*A2066))+K$129*EXP(IF(A2066&lt;0,(10-9)*A2066,-9*A2066))+L$129*EXP(IF(A2066&lt;0,(10-10)*A2066,-10*A2066)),0)</x:f>
        <x:v>781754.5683446963</x:v>
      </x:c>
      <x:c r="C2066" s="256" t="n">
        <x:f>IF(B2066=0,IF(B2065=0,0,1),IF(B2065=0,0,IF(SIGN(B2066)&lt;&gt;SIGN(B2065),1,0)))</x:f>
        <x:v>0</x:v>
      </x:c>
      <x:c r="D2066" s="256" t="n">
        <x:f>EXP(A2066-0.005)-1</x:f>
        <x:v>-0.9994156438995966</x:v>
      </x:c>
    </x:row>
    <x:row r="2067" ht="20" customHeight="1">
      <x:c r="A2067" s="256" t="n">
        <x:f>-12+457*0.01</x:f>
        <x:v>-7.43</x:v>
      </x:c>
      <x:c r="B2067" s="256" t="n">
        <x:f>IF(COUNT($B$129:$L$129)=11,B$129*EXP(IF(A2067&lt;0,(10-0)*A2067,-0*A2067))+C$129*EXP(IF(A2067&lt;0,(10-1)*A2067,-1*A2067))+D$129*EXP(IF(A2067&lt;0,(10-2)*A2067,-2*A2067))+E$129*EXP(IF(A2067&lt;0,(10-3)*A2067,-3*A2067))+F$129*EXP(IF(A2067&lt;0,(10-4)*A2067,-4*A2067))+G$129*EXP(IF(A2067&lt;0,(10-5)*A2067,-5*A2067))+H$129*EXP(IF(A2067&lt;0,(10-6)*A2067,-6*A2067))+I$129*EXP(IF(A2067&lt;0,(10-7)*A2067,-7*A2067))+J$129*EXP(IF(A2067&lt;0,(10-8)*A2067,-8*A2067))+K$129*EXP(IF(A2067&lt;0,(10-9)*A2067,-9*A2067))+L$129*EXP(IF(A2067&lt;0,(10-10)*A2067,-10*A2067)),0)</x:f>
        <x:v>781754.6427327811</x:v>
      </x:c>
      <x:c r="C2067" s="256" t="n">
        <x:f>IF(B2067=0,IF(B2066=0,0,1),IF(B2066=0,0,IF(SIGN(B2067)&lt;&gt;SIGN(B2066),1,0)))</x:f>
        <x:v>0</x:v>
      </x:c>
      <x:c r="D2067" s="256" t="n">
        <x:f>EXP(A2067-0.005)-1</x:f>
        <x:v>-0.9994097710231509</x:v>
      </x:c>
    </x:row>
    <x:row r="2068" ht="20" customHeight="1">
      <x:c r="A2068" s="256" t="n">
        <x:f>-12+458*0.01</x:f>
        <x:v>-7.42</x:v>
      </x:c>
      <x:c r="B2068" s="256" t="n">
        <x:f>IF(COUNT($B$129:$L$129)=11,B$129*EXP(IF(A2068&lt;0,(10-0)*A2068,-0*A2068))+C$129*EXP(IF(A2068&lt;0,(10-1)*A2068,-1*A2068))+D$129*EXP(IF(A2068&lt;0,(10-2)*A2068,-2*A2068))+E$129*EXP(IF(A2068&lt;0,(10-3)*A2068,-3*A2068))+F$129*EXP(IF(A2068&lt;0,(10-4)*A2068,-4*A2068))+G$129*EXP(IF(A2068&lt;0,(10-5)*A2068,-5*A2068))+H$129*EXP(IF(A2068&lt;0,(10-6)*A2068,-6*A2068))+I$129*EXP(IF(A2068&lt;0,(10-7)*A2068,-7*A2068))+J$129*EXP(IF(A2068&lt;0,(10-8)*A2068,-8*A2068))+K$129*EXP(IF(A2068&lt;0,(10-9)*A2068,-9*A2068))+L$129*EXP(IF(A2068&lt;0,(10-10)*A2068,-10*A2068)),0)</x:f>
        <x:v>781754.717869158</x:v>
      </x:c>
      <x:c r="C2068" s="256" t="n">
        <x:f>IF(B2068=0,IF(B2067=0,0,1),IF(B2067=0,0,IF(SIGN(B2068)&lt;&gt;SIGN(B2067),1,0)))</x:f>
        <x:v>0</x:v>
      </x:c>
      <x:c r="D2068" s="256" t="n">
        <x:f>EXP(A2068-0.005)-1</x:f>
        <x:v>-0.9994038391233157</x:v>
      </x:c>
    </x:row>
    <x:row r="2069" ht="20" customHeight="1">
      <x:c r="A2069" s="256" t="n">
        <x:f>-12+459*0.01</x:f>
        <x:v>-7.41</x:v>
      </x:c>
      <x:c r="B2069" s="256" t="n">
        <x:f>IF(COUNT($B$129:$L$129)=11,B$129*EXP(IF(A2069&lt;0,(10-0)*A2069,-0*A2069))+C$129*EXP(IF(A2069&lt;0,(10-1)*A2069,-1*A2069))+D$129*EXP(IF(A2069&lt;0,(10-2)*A2069,-2*A2069))+E$129*EXP(IF(A2069&lt;0,(10-3)*A2069,-3*A2069))+F$129*EXP(IF(A2069&lt;0,(10-4)*A2069,-4*A2069))+G$129*EXP(IF(A2069&lt;0,(10-5)*A2069,-5*A2069))+H$129*EXP(IF(A2069&lt;0,(10-6)*A2069,-6*A2069))+I$129*EXP(IF(A2069&lt;0,(10-7)*A2069,-7*A2069))+J$129*EXP(IF(A2069&lt;0,(10-8)*A2069,-8*A2069))+K$129*EXP(IF(A2069&lt;0,(10-9)*A2069,-9*A2069))+L$129*EXP(IF(A2069&lt;0,(10-10)*A2069,-10*A2069)),0)</x:f>
        <x:v>781754.793761361</x:v>
      </x:c>
      <x:c r="C2069" s="256" t="n">
        <x:f>IF(B2069=0,IF(B2068=0,0,1),IF(B2068=0,0,IF(SIGN(B2069)&lt;&gt;SIGN(B2068),1,0)))</x:f>
        <x:v>0</x:v>
      </x:c>
      <x:c r="D2069" s="256" t="n">
        <x:f>EXP(A2069-0.005)-1</x:f>
        <x:v>-0.9993978476068959</x:v>
      </x:c>
    </x:row>
    <x:row r="2070" ht="20" customHeight="1">
      <x:c r="A2070" s="256" t="n">
        <x:f>-12+460*0.01</x:f>
        <x:v>-7.3999999999999995</x:v>
      </x:c>
      <x:c r="B2070" s="256" t="n">
        <x:f>IF(COUNT($B$129:$L$129)=11,B$129*EXP(IF(A2070&lt;0,(10-0)*A2070,-0*A2070))+C$129*EXP(IF(A2070&lt;0,(10-1)*A2070,-1*A2070))+D$129*EXP(IF(A2070&lt;0,(10-2)*A2070,-2*A2070))+E$129*EXP(IF(A2070&lt;0,(10-3)*A2070,-3*A2070))+F$129*EXP(IF(A2070&lt;0,(10-4)*A2070,-4*A2070))+G$129*EXP(IF(A2070&lt;0,(10-5)*A2070,-5*A2070))+H$129*EXP(IF(A2070&lt;0,(10-6)*A2070,-6*A2070))+I$129*EXP(IF(A2070&lt;0,(10-7)*A2070,-7*A2070))+J$129*EXP(IF(A2070&lt;0,(10-8)*A2070,-8*A2070))+K$129*EXP(IF(A2070&lt;0,(10-9)*A2070,-9*A2070))+L$129*EXP(IF(A2070&lt;0,(10-10)*A2070,-10*A2070)),0)</x:f>
        <x:v>781754.8704170005</x:v>
      </x:c>
      <x:c r="C2070" s="256" t="n">
        <x:f>IF(B2070=0,IF(B2069=0,0,1),IF(B2069=0,0,IF(SIGN(B2070)&lt;&gt;SIGN(B2069),1,0)))</x:f>
        <x:v>0</x:v>
      </x:c>
      <x:c r="D2070" s="256" t="n">
        <x:f>EXP(A2070-0.005)-1</x:f>
        <x:v>-0.9993917958747351</x:v>
      </x:c>
    </x:row>
    <x:row r="2071" ht="20" customHeight="1">
      <x:c r="A2071" s="256" t="n">
        <x:f>-12+461*0.01</x:f>
        <x:v>-7.39</x:v>
      </x:c>
      <x:c r="B2071" s="256" t="n">
        <x:f>IF(COUNT($B$129:$L$129)=11,B$129*EXP(IF(A2071&lt;0,(10-0)*A2071,-0*A2071))+C$129*EXP(IF(A2071&lt;0,(10-1)*A2071,-1*A2071))+D$129*EXP(IF(A2071&lt;0,(10-2)*A2071,-2*A2071))+E$129*EXP(IF(A2071&lt;0,(10-3)*A2071,-3*A2071))+F$129*EXP(IF(A2071&lt;0,(10-4)*A2071,-4*A2071))+G$129*EXP(IF(A2071&lt;0,(10-5)*A2071,-5*A2071))+H$129*EXP(IF(A2071&lt;0,(10-6)*A2071,-6*A2071))+I$129*EXP(IF(A2071&lt;0,(10-7)*A2071,-7*A2071))+J$129*EXP(IF(A2071&lt;0,(10-8)*A2071,-8*A2071))+K$129*EXP(IF(A2071&lt;0,(10-9)*A2071,-9*A2071))+L$129*EXP(IF(A2071&lt;0,(10-10)*A2071,-10*A2071)),0)</x:f>
        <x:v>781754.9478437634</x:v>
      </x:c>
      <x:c r="C2071" s="256" t="n">
        <x:f>IF(B2071=0,IF(B2070=0,0,1),IF(B2070=0,0,IF(SIGN(B2071)&lt;&gt;SIGN(B2070),1,0)))</x:f>
        <x:v>0</x:v>
      </x:c>
      <x:c r="D2071" s="256" t="n">
        <x:f>EXP(A2071-0.005)-1</x:f>
        <x:v>-0.9993856833216549</x:v>
      </x:c>
    </x:row>
    <x:row r="2072" ht="20" customHeight="1">
      <x:c r="A2072" s="256" t="n">
        <x:f>-12+462*0.01</x:f>
        <x:v>-7.38</x:v>
      </x:c>
      <x:c r="B2072" s="256" t="n">
        <x:f>IF(COUNT($B$129:$L$129)=11,B$129*EXP(IF(A2072&lt;0,(10-0)*A2072,-0*A2072))+C$129*EXP(IF(A2072&lt;0,(10-1)*A2072,-1*A2072))+D$129*EXP(IF(A2072&lt;0,(10-2)*A2072,-2*A2072))+E$129*EXP(IF(A2072&lt;0,(10-3)*A2072,-3*A2072))+F$129*EXP(IF(A2072&lt;0,(10-4)*A2072,-4*A2072))+G$129*EXP(IF(A2072&lt;0,(10-5)*A2072,-5*A2072))+H$129*EXP(IF(A2072&lt;0,(10-6)*A2072,-6*A2072))+I$129*EXP(IF(A2072&lt;0,(10-7)*A2072,-7*A2072))+J$129*EXP(IF(A2072&lt;0,(10-8)*A2072,-8*A2072))+K$129*EXP(IF(A2072&lt;0,(10-9)*A2072,-9*A2072))+L$129*EXP(IF(A2072&lt;0,(10-10)*A2072,-10*A2072)),0)</x:f>
        <x:v>781755.0260494141</x:v>
      </x:c>
      <x:c r="C2072" s="256" t="n">
        <x:f>IF(B2072=0,IF(B2071=0,0,1),IF(B2071=0,0,IF(SIGN(B2072)&lt;&gt;SIGN(B2071),1,0)))</x:f>
        <x:v>0</x:v>
      </x:c>
      <x:c r="D2072" s="256" t="n">
        <x:f>EXP(A2072-0.005)-1</x:f>
        <x:v>-0.999379509336395</x:v>
      </x:c>
    </x:row>
    <x:row r="2073" ht="20" customHeight="1">
      <x:c r="A2073" s="256" t="n">
        <x:f>-12+463*0.01</x:f>
        <x:v>-7.37</x:v>
      </x:c>
      <x:c r="B2073" s="256" t="n">
        <x:f>IF(COUNT($B$129:$L$129)=11,B$129*EXP(IF(A2073&lt;0,(10-0)*A2073,-0*A2073))+C$129*EXP(IF(A2073&lt;0,(10-1)*A2073,-1*A2073))+D$129*EXP(IF(A2073&lt;0,(10-2)*A2073,-2*A2073))+E$129*EXP(IF(A2073&lt;0,(10-3)*A2073,-3*A2073))+F$129*EXP(IF(A2073&lt;0,(10-4)*A2073,-4*A2073))+G$129*EXP(IF(A2073&lt;0,(10-5)*A2073,-5*A2073))+H$129*EXP(IF(A2073&lt;0,(10-6)*A2073,-6*A2073))+I$129*EXP(IF(A2073&lt;0,(10-7)*A2073,-7*A2073))+J$129*EXP(IF(A2073&lt;0,(10-8)*A2073,-8*A2073))+K$129*EXP(IF(A2073&lt;0,(10-9)*A2073,-9*A2073))+L$129*EXP(IF(A2073&lt;0,(10-10)*A2073,-10*A2073)),0)</x:f>
        <x:v>781755.1050417955</x:v>
      </x:c>
      <x:c r="C2073" s="256" t="n">
        <x:f>IF(B2073=0,IF(B2072=0,0,1),IF(B2072=0,0,IF(SIGN(B2073)&lt;&gt;SIGN(B2072),1,0)))</x:f>
        <x:v>0</x:v>
      </x:c>
      <x:c r="D2073" s="256" t="n">
        <x:f>EXP(A2073-0.005)-1</x:f>
        <x:v>-0.9993732733015516</x:v>
      </x:c>
    </x:row>
    <x:row r="2074" ht="20" customHeight="1">
      <x:c r="A2074" s="256" t="n">
        <x:f>-12+464*0.01</x:f>
        <x:v>-7.36</x:v>
      </x:c>
      <x:c r="B2074" s="256" t="n">
        <x:f>IF(COUNT($B$129:$L$129)=11,B$129*EXP(IF(A2074&lt;0,(10-0)*A2074,-0*A2074))+C$129*EXP(IF(A2074&lt;0,(10-1)*A2074,-1*A2074))+D$129*EXP(IF(A2074&lt;0,(10-2)*A2074,-2*A2074))+E$129*EXP(IF(A2074&lt;0,(10-3)*A2074,-3*A2074))+F$129*EXP(IF(A2074&lt;0,(10-4)*A2074,-4*A2074))+G$129*EXP(IF(A2074&lt;0,(10-5)*A2074,-5*A2074))+H$129*EXP(IF(A2074&lt;0,(10-6)*A2074,-6*A2074))+I$129*EXP(IF(A2074&lt;0,(10-7)*A2074,-7*A2074))+J$129*EXP(IF(A2074&lt;0,(10-8)*A2074,-8*A2074))+K$129*EXP(IF(A2074&lt;0,(10-9)*A2074,-9*A2074))+L$129*EXP(IF(A2074&lt;0,(10-10)*A2074,-10*A2074)),0)</x:f>
        <x:v>781755.1848288296</x:v>
      </x:c>
      <x:c r="C2074" s="256" t="n">
        <x:f>IF(B2074=0,IF(B2073=0,0,1),IF(B2073=0,0,IF(SIGN(B2074)&lt;&gt;SIGN(B2073),1,0)))</x:f>
        <x:v>0</x:v>
      </x:c>
      <x:c r="D2074" s="256" t="n">
        <x:f>EXP(A2074-0.005)-1</x:f>
        <x:v>-0.999366974593516</x:v>
      </x:c>
    </x:row>
    <x:row r="2075" ht="20" customHeight="1">
      <x:c r="A2075" s="256" t="n">
        <x:f>-12+465*0.01</x:f>
        <x:v>-7.35</x:v>
      </x:c>
      <x:c r="B2075" s="256" t="n">
        <x:f>IF(COUNT($B$129:$L$129)=11,B$129*EXP(IF(A2075&lt;0,(10-0)*A2075,-0*A2075))+C$129*EXP(IF(A2075&lt;0,(10-1)*A2075,-1*A2075))+D$129*EXP(IF(A2075&lt;0,(10-2)*A2075,-2*A2075))+E$129*EXP(IF(A2075&lt;0,(10-3)*A2075,-3*A2075))+F$129*EXP(IF(A2075&lt;0,(10-4)*A2075,-4*A2075))+G$129*EXP(IF(A2075&lt;0,(10-5)*A2075,-5*A2075))+H$129*EXP(IF(A2075&lt;0,(10-6)*A2075,-6*A2075))+I$129*EXP(IF(A2075&lt;0,(10-7)*A2075,-7*A2075))+J$129*EXP(IF(A2075&lt;0,(10-8)*A2075,-8*A2075))+K$129*EXP(IF(A2075&lt;0,(10-9)*A2075,-9*A2075))+L$129*EXP(IF(A2075&lt;0,(10-10)*A2075,-10*A2075)),0)</x:f>
        <x:v>781755.2654185182</x:v>
      </x:c>
      <x:c r="C2075" s="256" t="n">
        <x:f>IF(B2075=0,IF(B2074=0,0,1),IF(B2074=0,0,IF(SIGN(B2075)&lt;&gt;SIGN(B2074),1,0)))</x:f>
        <x:v>0</x:v>
      </x:c>
      <x:c r="D2075" s="256" t="n">
        <x:f>EXP(A2075-0.005)-1</x:f>
        <x:v>-0.9993606125824124</x:v>
      </x:c>
    </x:row>
    <x:row r="2076" ht="20" customHeight="1">
      <x:c r="A2076" s="256" t="n">
        <x:f>-12+466*0.01</x:f>
        <x:v>-7.34</x:v>
      </x:c>
      <x:c r="B2076" s="256" t="n">
        <x:f>IF(COUNT($B$129:$L$129)=11,B$129*EXP(IF(A2076&lt;0,(10-0)*A2076,-0*A2076))+C$129*EXP(IF(A2076&lt;0,(10-1)*A2076,-1*A2076))+D$129*EXP(IF(A2076&lt;0,(10-2)*A2076,-2*A2076))+E$129*EXP(IF(A2076&lt;0,(10-3)*A2076,-3*A2076))+F$129*EXP(IF(A2076&lt;0,(10-4)*A2076,-4*A2076))+G$129*EXP(IF(A2076&lt;0,(10-5)*A2076,-5*A2076))+H$129*EXP(IF(A2076&lt;0,(10-6)*A2076,-6*A2076))+I$129*EXP(IF(A2076&lt;0,(10-7)*A2076,-7*A2076))+J$129*EXP(IF(A2076&lt;0,(10-8)*A2076,-8*A2076))+K$129*EXP(IF(A2076&lt;0,(10-9)*A2076,-9*A2076))+L$129*EXP(IF(A2076&lt;0,(10-10)*A2076,-10*A2076)),0)</x:f>
        <x:v>781755.346818944</x:v>
      </x:c>
      <x:c r="C2076" s="256" t="n">
        <x:f>IF(B2076=0,IF(B2075=0,0,1),IF(B2075=0,0,IF(SIGN(B2076)&lt;&gt;SIGN(B2075),1,0)))</x:f>
        <x:v>0</x:v>
      </x:c>
      <x:c r="D2076" s="256" t="n">
        <x:f>EXP(A2076-0.005)-1</x:f>
        <x:v>-0.999354186632034</x:v>
      </x:c>
    </x:row>
    <x:row r="2077" ht="20" customHeight="1">
      <x:c r="A2077" s="256" t="n">
        <x:f>-12+467*0.01</x:f>
        <x:v>-7.33</x:v>
      </x:c>
      <x:c r="B2077" s="256" t="n">
        <x:f>IF(COUNT($B$129:$L$129)=11,B$129*EXP(IF(A2077&lt;0,(10-0)*A2077,-0*A2077))+C$129*EXP(IF(A2077&lt;0,(10-1)*A2077,-1*A2077))+D$129*EXP(IF(A2077&lt;0,(10-2)*A2077,-2*A2077))+E$129*EXP(IF(A2077&lt;0,(10-3)*A2077,-3*A2077))+F$129*EXP(IF(A2077&lt;0,(10-4)*A2077,-4*A2077))+G$129*EXP(IF(A2077&lt;0,(10-5)*A2077,-5*A2077))+H$129*EXP(IF(A2077&lt;0,(10-6)*A2077,-6*A2077))+I$129*EXP(IF(A2077&lt;0,(10-7)*A2077,-7*A2077))+J$129*EXP(IF(A2077&lt;0,(10-8)*A2077,-8*A2077))+K$129*EXP(IF(A2077&lt;0,(10-9)*A2077,-9*A2077))+L$129*EXP(IF(A2077&lt;0,(10-10)*A2077,-10*A2077)),0)</x:f>
        <x:v>781755.429038271</x:v>
      </x:c>
      <x:c r="C2077" s="256" t="n">
        <x:f>IF(B2077=0,IF(B2076=0,0,1),IF(B2076=0,0,IF(SIGN(B2077)&lt;&gt;SIGN(B2076),1,0)))</x:f>
        <x:v>0</x:v>
      </x:c>
      <x:c r="D2077" s="256" t="n">
        <x:f>EXP(A2077-0.005)-1</x:f>
        <x:v>-0.9993476960997808</x:v>
      </x:c>
    </x:row>
    <x:row r="2078" ht="20" customHeight="1">
      <x:c r="A2078" s="256" t="n">
        <x:f>-12+468*0.01</x:f>
        <x:v>-7.32</x:v>
      </x:c>
      <x:c r="B2078" s="256" t="n">
        <x:f>IF(COUNT($B$129:$L$129)=11,B$129*EXP(IF(A2078&lt;0,(10-0)*A2078,-0*A2078))+C$129*EXP(IF(A2078&lt;0,(10-1)*A2078,-1*A2078))+D$129*EXP(IF(A2078&lt;0,(10-2)*A2078,-2*A2078))+E$129*EXP(IF(A2078&lt;0,(10-3)*A2078,-3*A2078))+F$129*EXP(IF(A2078&lt;0,(10-4)*A2078,-4*A2078))+G$129*EXP(IF(A2078&lt;0,(10-5)*A2078,-5*A2078))+H$129*EXP(IF(A2078&lt;0,(10-6)*A2078,-6*A2078))+I$129*EXP(IF(A2078&lt;0,(10-7)*A2078,-7*A2078))+J$129*EXP(IF(A2078&lt;0,(10-8)*A2078,-8*A2078))+K$129*EXP(IF(A2078&lt;0,(10-9)*A2078,-9*A2078))+L$129*EXP(IF(A2078&lt;0,(10-10)*A2078,-10*A2078)),0)</x:f>
        <x:v>781755.5120847459</x:v>
      </x:c>
      <x:c r="C2078" s="256" t="n">
        <x:f>IF(B2078=0,IF(B2077=0,0,1),IF(B2077=0,0,IF(SIGN(B2078)&lt;&gt;SIGN(B2077),1,0)))</x:f>
        <x:v>0</x:v>
      </x:c>
      <x:c r="D2078" s="256" t="n">
        <x:f>EXP(A2078-0.005)-1</x:f>
        <x:v>-0.9993411403365939</x:v>
      </x:c>
    </x:row>
    <x:row r="2079" ht="20" customHeight="1">
      <x:c r="A2079" s="256" t="n">
        <x:f>-12+469*0.01</x:f>
        <x:v>-7.31</x:v>
      </x:c>
      <x:c r="B2079" s="256" t="n">
        <x:f>IF(COUNT($B$129:$L$129)=11,B$129*EXP(IF(A2079&lt;0,(10-0)*A2079,-0*A2079))+C$129*EXP(IF(A2079&lt;0,(10-1)*A2079,-1*A2079))+D$129*EXP(IF(A2079&lt;0,(10-2)*A2079,-2*A2079))+E$129*EXP(IF(A2079&lt;0,(10-3)*A2079,-3*A2079))+F$129*EXP(IF(A2079&lt;0,(10-4)*A2079,-4*A2079))+G$129*EXP(IF(A2079&lt;0,(10-5)*A2079,-5*A2079))+H$129*EXP(IF(A2079&lt;0,(10-6)*A2079,-6*A2079))+I$129*EXP(IF(A2079&lt;0,(10-7)*A2079,-7*A2079))+J$129*EXP(IF(A2079&lt;0,(10-8)*A2079,-8*A2079))+K$129*EXP(IF(A2079&lt;0,(10-9)*A2079,-9*A2079))+L$129*EXP(IF(A2079&lt;0,(10-10)*A2079,-10*A2079)),0)</x:f>
        <x:v>781755.5959666984</x:v>
      </x:c>
      <x:c r="C2079" s="256" t="n">
        <x:f>IF(B2079=0,IF(B2078=0,0,1),IF(B2078=0,0,IF(SIGN(B2079)&lt;&gt;SIGN(B2078),1,0)))</x:f>
        <x:v>0</x:v>
      </x:c>
      <x:c r="D2079" s="256" t="n">
        <x:f>EXP(A2079-0.005)-1</x:f>
        <x:v>-0.9993345186868917</x:v>
      </x:c>
    </x:row>
    <x:row r="2080" ht="20" customHeight="1">
      <x:c r="A2080" s="256" t="n">
        <x:f>-12+470*0.01</x:f>
        <x:v>-7.3</x:v>
      </x:c>
      <x:c r="B2080" s="256" t="n">
        <x:f>IF(COUNT($B$129:$L$129)=11,B$129*EXP(IF(A2080&lt;0,(10-0)*A2080,-0*A2080))+C$129*EXP(IF(A2080&lt;0,(10-1)*A2080,-1*A2080))+D$129*EXP(IF(A2080&lt;0,(10-2)*A2080,-2*A2080))+E$129*EXP(IF(A2080&lt;0,(10-3)*A2080,-3*A2080))+F$129*EXP(IF(A2080&lt;0,(10-4)*A2080,-4*A2080))+G$129*EXP(IF(A2080&lt;0,(10-5)*A2080,-5*A2080))+H$129*EXP(IF(A2080&lt;0,(10-6)*A2080,-6*A2080))+I$129*EXP(IF(A2080&lt;0,(10-7)*A2080,-7*A2080))+J$129*EXP(IF(A2080&lt;0,(10-8)*A2080,-8*A2080))+K$129*EXP(IF(A2080&lt;0,(10-9)*A2080,-9*A2080))+L$129*EXP(IF(A2080&lt;0,(10-10)*A2080,-10*A2080)),0)</x:f>
        <x:v>781755.6806925422</x:v>
      </x:c>
      <x:c r="C2080" s="256" t="n">
        <x:f>IF(B2080=0,IF(B2079=0,0,1),IF(B2079=0,0,IF(SIGN(B2080)&lt;&gt;SIGN(B2079),1,0)))</x:f>
        <x:v>0</x:v>
      </x:c>
      <x:c r="D2080" s="256" t="n">
        <x:f>EXP(A2080-0.005)-1</x:f>
        <x:v>-0.9993278304885036</x:v>
      </x:c>
    </x:row>
    <x:row r="2081" ht="20" customHeight="1">
      <x:c r="A2081" s="256" t="n">
        <x:f>-12+471*0.01</x:f>
        <x:v>-7.29</x:v>
      </x:c>
      <x:c r="B2081" s="256" t="n">
        <x:f>IF(COUNT($B$129:$L$129)=11,B$129*EXP(IF(A2081&lt;0,(10-0)*A2081,-0*A2081))+C$129*EXP(IF(A2081&lt;0,(10-1)*A2081,-1*A2081))+D$129*EXP(IF(A2081&lt;0,(10-2)*A2081,-2*A2081))+E$129*EXP(IF(A2081&lt;0,(10-3)*A2081,-3*A2081))+F$129*EXP(IF(A2081&lt;0,(10-4)*A2081,-4*A2081))+G$129*EXP(IF(A2081&lt;0,(10-5)*A2081,-5*A2081))+H$129*EXP(IF(A2081&lt;0,(10-6)*A2081,-6*A2081))+I$129*EXP(IF(A2081&lt;0,(10-7)*A2081,-7*A2081))+J$129*EXP(IF(A2081&lt;0,(10-8)*A2081,-8*A2081))+K$129*EXP(IF(A2081&lt;0,(10-9)*A2081,-9*A2081))+L$129*EXP(IF(A2081&lt;0,(10-10)*A2081,-10*A2081)),0)</x:f>
        <x:v>781755.7662707763</x:v>
      </x:c>
      <x:c r="C2081" s="256" t="n">
        <x:f>IF(B2081=0,IF(B2080=0,0,1),IF(B2080=0,0,IF(SIGN(B2081)&lt;&gt;SIGN(B2080),1,0)))</x:f>
        <x:v>0</x:v>
      </x:c>
      <x:c r="D2081" s="256" t="n">
        <x:f>EXP(A2081-0.005)-1</x:f>
        <x:v>-0.9993210750726041</x:v>
      </x:c>
    </x:row>
    <x:row r="2082" ht="20" customHeight="1">
      <x:c r="A2082" s="256" t="n">
        <x:f>-12+472*0.01</x:f>
        <x:v>-7.28</x:v>
      </x:c>
      <x:c r="B2082" s="256" t="n">
        <x:f>IF(COUNT($B$129:$L$129)=11,B$129*EXP(IF(A2082&lt;0,(10-0)*A2082,-0*A2082))+C$129*EXP(IF(A2082&lt;0,(10-1)*A2082,-1*A2082))+D$129*EXP(IF(A2082&lt;0,(10-2)*A2082,-2*A2082))+E$129*EXP(IF(A2082&lt;0,(10-3)*A2082,-3*A2082))+F$129*EXP(IF(A2082&lt;0,(10-4)*A2082,-4*A2082))+G$129*EXP(IF(A2082&lt;0,(10-5)*A2082,-5*A2082))+H$129*EXP(IF(A2082&lt;0,(10-6)*A2082,-6*A2082))+I$129*EXP(IF(A2082&lt;0,(10-7)*A2082,-7*A2082))+J$129*EXP(IF(A2082&lt;0,(10-8)*A2082,-8*A2082))+K$129*EXP(IF(A2082&lt;0,(10-9)*A2082,-9*A2082))+L$129*EXP(IF(A2082&lt;0,(10-10)*A2082,-10*A2082)),0)</x:f>
        <x:v>781755.8527099849</x:v>
      </x:c>
      <x:c r="C2082" s="256" t="n">
        <x:f>IF(B2082=0,IF(B2081=0,0,1),IF(B2081=0,0,IF(SIGN(B2082)&lt;&gt;SIGN(B2081),1,0)))</x:f>
        <x:v>0</x:v>
      </x:c>
      <x:c r="D2082" s="256" t="n">
        <x:f>EXP(A2082-0.005)-1</x:f>
        <x:v>-0.9993142517636462</x:v>
      </x:c>
    </x:row>
    <x:row r="2083" ht="20" customHeight="1">
      <x:c r="A2083" s="256" t="n">
        <x:f>-12+473*0.01</x:f>
        <x:v>-7.27</x:v>
      </x:c>
      <x:c r="B2083" s="256" t="n">
        <x:f>IF(COUNT($B$129:$L$129)=11,B$129*EXP(IF(A2083&lt;0,(10-0)*A2083,-0*A2083))+C$129*EXP(IF(A2083&lt;0,(10-1)*A2083,-1*A2083))+D$129*EXP(IF(A2083&lt;0,(10-2)*A2083,-2*A2083))+E$129*EXP(IF(A2083&lt;0,(10-3)*A2083,-3*A2083))+F$129*EXP(IF(A2083&lt;0,(10-4)*A2083,-4*A2083))+G$129*EXP(IF(A2083&lt;0,(10-5)*A2083,-5*A2083))+H$129*EXP(IF(A2083&lt;0,(10-6)*A2083,-6*A2083))+I$129*EXP(IF(A2083&lt;0,(10-7)*A2083,-7*A2083))+J$129*EXP(IF(A2083&lt;0,(10-8)*A2083,-8*A2083))+K$129*EXP(IF(A2083&lt;0,(10-9)*A2083,-9*A2083))+L$129*EXP(IF(A2083&lt;0,(10-10)*A2083,-10*A2083)),0)</x:f>
        <x:v>781755.9400188391</x:v>
      </x:c>
      <x:c r="C2083" s="256" t="n">
        <x:f>IF(B2083=0,IF(B2082=0,0,1),IF(B2082=0,0,IF(SIGN(B2083)&lt;&gt;SIGN(B2082),1,0)))</x:f>
        <x:v>0</x:v>
      </x:c>
      <x:c r="D2083" s="256" t="n">
        <x:f>EXP(A2083-0.005)-1</x:f>
        <x:v>-0.9993073598792932</x:v>
      </x:c>
    </x:row>
    <x:row r="2084" ht="20" customHeight="1">
      <x:c r="A2084" s="256" t="n">
        <x:f>-12+474*0.01</x:f>
        <x:v>-7.26</x:v>
      </x:c>
      <x:c r="B2084" s="256" t="n">
        <x:f>IF(COUNT($B$129:$L$129)=11,B$129*EXP(IF(A2084&lt;0,(10-0)*A2084,-0*A2084))+C$129*EXP(IF(A2084&lt;0,(10-1)*A2084,-1*A2084))+D$129*EXP(IF(A2084&lt;0,(10-2)*A2084,-2*A2084))+E$129*EXP(IF(A2084&lt;0,(10-3)*A2084,-3*A2084))+F$129*EXP(IF(A2084&lt;0,(10-4)*A2084,-4*A2084))+G$129*EXP(IF(A2084&lt;0,(10-5)*A2084,-5*A2084))+H$129*EXP(IF(A2084&lt;0,(10-6)*A2084,-6*A2084))+I$129*EXP(IF(A2084&lt;0,(10-7)*A2084,-7*A2084))+J$129*EXP(IF(A2084&lt;0,(10-8)*A2084,-8*A2084))+K$129*EXP(IF(A2084&lt;0,(10-9)*A2084,-9*A2084))+L$129*EXP(IF(A2084&lt;0,(10-10)*A2084,-10*A2084)),0)</x:f>
        <x:v>781756.0282060977</x:v>
      </x:c>
      <x:c r="C2084" s="256" t="n">
        <x:f>IF(B2084=0,IF(B2083=0,0,1),IF(B2083=0,0,IF(SIGN(B2084)&lt;&gt;SIGN(B2083),1,0)))</x:f>
        <x:v>0</x:v>
      </x:c>
      <x:c r="D2084" s="256" t="n">
        <x:f>EXP(A2084-0.005)-1</x:f>
        <x:v>-0.9993003987303509</x:v>
      </x:c>
    </x:row>
    <x:row r="2085" ht="20" customHeight="1">
      <x:c r="A2085" s="256" t="n">
        <x:f>-12+475*0.01</x:f>
        <x:v>-7.25</x:v>
      </x:c>
      <x:c r="B2085" s="256" t="n">
        <x:f>IF(COUNT($B$129:$L$129)=11,B$129*EXP(IF(A2085&lt;0,(10-0)*A2085,-0*A2085))+C$129*EXP(IF(A2085&lt;0,(10-1)*A2085,-1*A2085))+D$129*EXP(IF(A2085&lt;0,(10-2)*A2085,-2*A2085))+E$129*EXP(IF(A2085&lt;0,(10-3)*A2085,-3*A2085))+F$129*EXP(IF(A2085&lt;0,(10-4)*A2085,-4*A2085))+G$129*EXP(IF(A2085&lt;0,(10-5)*A2085,-5*A2085))+H$129*EXP(IF(A2085&lt;0,(10-6)*A2085,-6*A2085))+I$129*EXP(IF(A2085&lt;0,(10-7)*A2085,-7*A2085))+J$129*EXP(IF(A2085&lt;0,(10-8)*A2085,-8*A2085))+K$129*EXP(IF(A2085&lt;0,(10-9)*A2085,-9*A2085))+L$129*EXP(IF(A2085&lt;0,(10-10)*A2085,-10*A2085)),0)</x:f>
        <x:v>781756.1172806077</x:v>
      </x:c>
      <x:c r="C2085" s="256" t="n">
        <x:f>IF(B2085=0,IF(B2084=0,0,1),IF(B2084=0,0,IF(SIGN(B2085)&lt;&gt;SIGN(B2084),1,0)))</x:f>
        <x:v>0</x:v>
      </x:c>
      <x:c r="D2085" s="256" t="n">
        <x:f>EXP(A2085-0.005)-1</x:f>
        <x:v>-0.9992933676206986</x:v>
      </x:c>
    </x:row>
    <x:row r="2086" ht="20" customHeight="1">
      <x:c r="A2086" s="256" t="n">
        <x:f>-12+476*0.01</x:f>
        <x:v>-7.24</x:v>
      </x:c>
      <x:c r="B2086" s="256" t="n">
        <x:f>IF(COUNT($B$129:$L$129)=11,B$129*EXP(IF(A2086&lt;0,(10-0)*A2086,-0*A2086))+C$129*EXP(IF(A2086&lt;0,(10-1)*A2086,-1*A2086))+D$129*EXP(IF(A2086&lt;0,(10-2)*A2086,-2*A2086))+E$129*EXP(IF(A2086&lt;0,(10-3)*A2086,-3*A2086))+F$129*EXP(IF(A2086&lt;0,(10-4)*A2086,-4*A2086))+G$129*EXP(IF(A2086&lt;0,(10-5)*A2086,-5*A2086))+H$129*EXP(IF(A2086&lt;0,(10-6)*A2086,-6*A2086))+I$129*EXP(IF(A2086&lt;0,(10-7)*A2086,-7*A2086))+J$129*EXP(IF(A2086&lt;0,(10-8)*A2086,-8*A2086))+K$129*EXP(IF(A2086&lt;0,(10-9)*A2086,-9*A2086))+L$129*EXP(IF(A2086&lt;0,(10-10)*A2086,-10*A2086)),0)</x:f>
        <x:v>781756.2072513053</x:v>
      </x:c>
      <x:c r="C2086" s="256" t="n">
        <x:f>IF(B2086=0,IF(B2085=0,0,1),IF(B2085=0,0,IF(SIGN(B2086)&lt;&gt;SIGN(B2085),1,0)))</x:f>
        <x:v>0</x:v>
      </x:c>
      <x:c r="D2086" s="256" t="n">
        <x:f>EXP(A2086-0.005)-1</x:f>
        <x:v>-0.9992862658472196</x:v>
      </x:c>
    </x:row>
    <x:row r="2087" ht="20" customHeight="1">
      <x:c r="A2087" s="256" t="n">
        <x:f>-12+477*0.01</x:f>
        <x:v>-7.2299999999999995</x:v>
      </x:c>
      <x:c r="B2087" s="256" t="n">
        <x:f>IF(COUNT($B$129:$L$129)=11,B$129*EXP(IF(A2087&lt;0,(10-0)*A2087,-0*A2087))+C$129*EXP(IF(A2087&lt;0,(10-1)*A2087,-1*A2087))+D$129*EXP(IF(A2087&lt;0,(10-2)*A2087,-2*A2087))+E$129*EXP(IF(A2087&lt;0,(10-3)*A2087,-3*A2087))+F$129*EXP(IF(A2087&lt;0,(10-4)*A2087,-4*A2087))+G$129*EXP(IF(A2087&lt;0,(10-5)*A2087,-5*A2087))+H$129*EXP(IF(A2087&lt;0,(10-6)*A2087,-6*A2087))+I$129*EXP(IF(A2087&lt;0,(10-7)*A2087,-7*A2087))+J$129*EXP(IF(A2087&lt;0,(10-8)*A2087,-8*A2087))+K$129*EXP(IF(A2087&lt;0,(10-9)*A2087,-9*A2087))+L$129*EXP(IF(A2087&lt;0,(10-10)*A2087,-10*A2087)),0)</x:f>
        <x:v>781756.2981272171</x:v>
      </x:c>
      <x:c r="C2087" s="256" t="n">
        <x:f>IF(B2087=0,IF(B2086=0,0,1),IF(B2086=0,0,IF(SIGN(B2087)&lt;&gt;SIGN(B2086),1,0)))</x:f>
        <x:v>0</x:v>
      </x:c>
      <x:c r="D2087" s="256" t="n">
        <x:f>EXP(A2087-0.005)-1</x:f>
        <x:v>-0.9992790926997305</x:v>
      </x:c>
    </x:row>
    <x:row r="2088" ht="20" customHeight="1">
      <x:c r="A2088" s="256" t="n">
        <x:f>-12+478*0.01</x:f>
        <x:v>-7.22</x:v>
      </x:c>
      <x:c r="B2088" s="256" t="n">
        <x:f>IF(COUNT($B$129:$L$129)=11,B$129*EXP(IF(A2088&lt;0,(10-0)*A2088,-0*A2088))+C$129*EXP(IF(A2088&lt;0,(10-1)*A2088,-1*A2088))+D$129*EXP(IF(A2088&lt;0,(10-2)*A2088,-2*A2088))+E$129*EXP(IF(A2088&lt;0,(10-3)*A2088,-3*A2088))+F$129*EXP(IF(A2088&lt;0,(10-4)*A2088,-4*A2088))+G$129*EXP(IF(A2088&lt;0,(10-5)*A2088,-5*A2088))+H$129*EXP(IF(A2088&lt;0,(10-6)*A2088,-6*A2088))+I$129*EXP(IF(A2088&lt;0,(10-7)*A2088,-7*A2088))+J$129*EXP(IF(A2088&lt;0,(10-8)*A2088,-8*A2088))+K$129*EXP(IF(A2088&lt;0,(10-9)*A2088,-9*A2088))+L$129*EXP(IF(A2088&lt;0,(10-10)*A2088,-10*A2088)),0)</x:f>
        <x:v>781756.3899174609</x:v>
      </x:c>
      <x:c r="C2088" s="256" t="n">
        <x:f>IF(B2088=0,IF(B2087=0,0,1),IF(B2087=0,0,IF(SIGN(B2088)&lt;&gt;SIGN(B2087),1,0)))</x:f>
        <x:v>0</x:v>
      </x:c>
      <x:c r="D2088" s="256" t="n">
        <x:f>EXP(A2088-0.005)-1</x:f>
        <x:v>-0.9992718474609106</x:v>
      </x:c>
    </x:row>
    <x:row r="2089" ht="20" customHeight="1">
      <x:c r="A2089" s="256" t="n">
        <x:f>-12+479*0.01</x:f>
        <x:v>-7.21</x:v>
      </x:c>
      <x:c r="B2089" s="256" t="n">
        <x:f>IF(COUNT($B$129:$L$129)=11,B$129*EXP(IF(A2089&lt;0,(10-0)*A2089,-0*A2089))+C$129*EXP(IF(A2089&lt;0,(10-1)*A2089,-1*A2089))+D$129*EXP(IF(A2089&lt;0,(10-2)*A2089,-2*A2089))+E$129*EXP(IF(A2089&lt;0,(10-3)*A2089,-3*A2089))+F$129*EXP(IF(A2089&lt;0,(10-4)*A2089,-4*A2089))+G$129*EXP(IF(A2089&lt;0,(10-5)*A2089,-5*A2089))+H$129*EXP(IF(A2089&lt;0,(10-6)*A2089,-6*A2089))+I$129*EXP(IF(A2089&lt;0,(10-7)*A2089,-7*A2089))+J$129*EXP(IF(A2089&lt;0,(10-8)*A2089,-8*A2089))+K$129*EXP(IF(A2089&lt;0,(10-9)*A2089,-9*A2089))+L$129*EXP(IF(A2089&lt;0,(10-10)*A2089,-10*A2089)),0)</x:f>
        <x:v>781756.482631246</x:v>
      </x:c>
      <x:c r="C2089" s="256" t="n">
        <x:f>IF(B2089=0,IF(B2088=0,0,1),IF(B2088=0,0,IF(SIGN(B2089)&lt;&gt;SIGN(B2088),1,0)))</x:f>
        <x:v>0</x:v>
      </x:c>
      <x:c r="D2089" s="256" t="n">
        <x:f>EXP(A2089-0.005)-1</x:f>
        <x:v>-0.9992645294062299</x:v>
      </x:c>
    </x:row>
    <x:row r="2090" ht="20" customHeight="1">
      <x:c r="A2090" s="256" t="n">
        <x:f>-12+480*0.01</x:f>
        <x:v>-7.2</x:v>
      </x:c>
      <x:c r="B2090" s="256" t="n">
        <x:f>IF(COUNT($B$129:$L$129)=11,B$129*EXP(IF(A2090&lt;0,(10-0)*A2090,-0*A2090))+C$129*EXP(IF(A2090&lt;0,(10-1)*A2090,-1*A2090))+D$129*EXP(IF(A2090&lt;0,(10-2)*A2090,-2*A2090))+E$129*EXP(IF(A2090&lt;0,(10-3)*A2090,-3*A2090))+F$129*EXP(IF(A2090&lt;0,(10-4)*A2090,-4*A2090))+G$129*EXP(IF(A2090&lt;0,(10-5)*A2090,-5*A2090))+H$129*EXP(IF(A2090&lt;0,(10-6)*A2090,-6*A2090))+I$129*EXP(IF(A2090&lt;0,(10-7)*A2090,-7*A2090))+J$129*EXP(IF(A2090&lt;0,(10-8)*A2090,-8*A2090))+K$129*EXP(IF(A2090&lt;0,(10-9)*A2090,-9*A2090))+L$129*EXP(IF(A2090&lt;0,(10-10)*A2090,-10*A2090)),0)</x:f>
        <x:v>781756.5762778755</x:v>
      </x:c>
      <x:c r="C2090" s="256" t="n">
        <x:f>IF(B2090=0,IF(B2089=0,0,1),IF(B2089=0,0,IF(SIGN(B2090)&lt;&gt;SIGN(B2089),1,0)))</x:f>
        <x:v>0</x:v>
      </x:c>
      <x:c r="D2090" s="256" t="n">
        <x:f>EXP(A2090-0.005)-1</x:f>
        <x:v>-0.999257137803877</x:v>
      </x:c>
    </x:row>
    <x:row r="2091" ht="20" customHeight="1">
      <x:c r="A2091" s="256" t="n">
        <x:f>-12+481*0.01</x:f>
        <x:v>-7.1899999999999995</x:v>
      </x:c>
      <x:c r="B2091" s="256" t="n">
        <x:f>IF(COUNT($B$129:$L$129)=11,B$129*EXP(IF(A2091&lt;0,(10-0)*A2091,-0*A2091))+C$129*EXP(IF(A2091&lt;0,(10-1)*A2091,-1*A2091))+D$129*EXP(IF(A2091&lt;0,(10-2)*A2091,-2*A2091))+E$129*EXP(IF(A2091&lt;0,(10-3)*A2091,-3*A2091))+F$129*EXP(IF(A2091&lt;0,(10-4)*A2091,-4*A2091))+G$129*EXP(IF(A2091&lt;0,(10-5)*A2091,-5*A2091))+H$129*EXP(IF(A2091&lt;0,(10-6)*A2091,-6*A2091))+I$129*EXP(IF(A2091&lt;0,(10-7)*A2091,-7*A2091))+J$129*EXP(IF(A2091&lt;0,(10-8)*A2091,-8*A2091))+K$129*EXP(IF(A2091&lt;0,(10-9)*A2091,-9*A2091))+L$129*EXP(IF(A2091&lt;0,(10-10)*A2091,-10*A2091)),0)</x:f>
        <x:v>781756.6708667455</x:v>
      </x:c>
      <x:c r="C2091" s="256" t="n">
        <x:f>IF(B2091=0,IF(B2090=0,0,1),IF(B2090=0,0,IF(SIGN(B2091)&lt;&gt;SIGN(B2090),1,0)))</x:f>
        <x:v>0</x:v>
      </x:c>
      <x:c r="D2091" s="256" t="n">
        <x:f>EXP(A2091-0.005)-1</x:f>
        <x:v>-0.9992496719146855</x:v>
      </x:c>
    </x:row>
    <x:row r="2092" ht="20" customHeight="1">
      <x:c r="A2092" s="256" t="n">
        <x:f>-12+482*0.01</x:f>
        <x:v>-7.18</x:v>
      </x:c>
      <x:c r="B2092" s="256" t="n">
        <x:f>IF(COUNT($B$129:$L$129)=11,B$129*EXP(IF(A2092&lt;0,(10-0)*A2092,-0*A2092))+C$129*EXP(IF(A2092&lt;0,(10-1)*A2092,-1*A2092))+D$129*EXP(IF(A2092&lt;0,(10-2)*A2092,-2*A2092))+E$129*EXP(IF(A2092&lt;0,(10-3)*A2092,-3*A2092))+F$129*EXP(IF(A2092&lt;0,(10-4)*A2092,-4*A2092))+G$129*EXP(IF(A2092&lt;0,(10-5)*A2092,-5*A2092))+H$129*EXP(IF(A2092&lt;0,(10-6)*A2092,-6*A2092))+I$129*EXP(IF(A2092&lt;0,(10-7)*A2092,-7*A2092))+J$129*EXP(IF(A2092&lt;0,(10-8)*A2092,-8*A2092))+K$129*EXP(IF(A2092&lt;0,(10-9)*A2092,-9*A2092))+L$129*EXP(IF(A2092&lt;0,(10-10)*A2092,-10*A2092)),0)</x:f>
        <x:v>781756.766407348</x:v>
      </x:c>
      <x:c r="C2092" s="256" t="n">
        <x:f>IF(B2092=0,IF(B2091=0,0,1),IF(B2091=0,0,IF(SIGN(B2092)&lt;&gt;SIGN(B2091),1,0)))</x:f>
        <x:v>0</x:v>
      </x:c>
      <x:c r="D2092" s="256" t="n">
        <x:f>EXP(A2092-0.005)-1</x:f>
        <x:v>-0.9992421309920602</x:v>
      </x:c>
    </x:row>
    <x:row r="2093" ht="20" customHeight="1">
      <x:c r="A2093" s="256" t="n">
        <x:f>-12+483*0.01</x:f>
        <x:v>-7.17</x:v>
      </x:c>
      <x:c r="B2093" s="256" t="n">
        <x:f>IF(COUNT($B$129:$L$129)=11,B$129*EXP(IF(A2093&lt;0,(10-0)*A2093,-0*A2093))+C$129*EXP(IF(A2093&lt;0,(10-1)*A2093,-1*A2093))+D$129*EXP(IF(A2093&lt;0,(10-2)*A2093,-2*A2093))+E$129*EXP(IF(A2093&lt;0,(10-3)*A2093,-3*A2093))+F$129*EXP(IF(A2093&lt;0,(10-4)*A2093,-4*A2093))+G$129*EXP(IF(A2093&lt;0,(10-5)*A2093,-5*A2093))+H$129*EXP(IF(A2093&lt;0,(10-6)*A2093,-6*A2093))+I$129*EXP(IF(A2093&lt;0,(10-7)*A2093,-7*A2093))+J$129*EXP(IF(A2093&lt;0,(10-8)*A2093,-8*A2093))+K$129*EXP(IF(A2093&lt;0,(10-9)*A2093,-9*A2093))+L$129*EXP(IF(A2093&lt;0,(10-10)*A2093,-10*A2093)),0)</x:f>
        <x:v>781756.8629092698</x:v>
      </x:c>
      <x:c r="C2093" s="256" t="n">
        <x:f>IF(B2093=0,IF(B2092=0,0,1),IF(B2092=0,0,IF(SIGN(B2093)&lt;&gt;SIGN(B2092),1,0)))</x:f>
        <x:v>0</x:v>
      </x:c>
      <x:c r="D2093" s="256" t="n">
        <x:f>EXP(A2093-0.005)-1</x:f>
        <x:v>-0.9992345142819025</x:v>
      </x:c>
    </x:row>
    <x:row r="2094" ht="20" customHeight="1">
      <x:c r="A2094" s="256" t="n">
        <x:f>-12+484*0.01</x:f>
        <x:v>-7.16</x:v>
      </x:c>
      <x:c r="B2094" s="256" t="n">
        <x:f>IF(COUNT($B$129:$L$129)=11,B$129*EXP(IF(A2094&lt;0,(10-0)*A2094,-0*A2094))+C$129*EXP(IF(A2094&lt;0,(10-1)*A2094,-1*A2094))+D$129*EXP(IF(A2094&lt;0,(10-2)*A2094,-2*A2094))+E$129*EXP(IF(A2094&lt;0,(10-3)*A2094,-3*A2094))+F$129*EXP(IF(A2094&lt;0,(10-4)*A2094,-4*A2094))+G$129*EXP(IF(A2094&lt;0,(10-5)*A2094,-5*A2094))+H$129*EXP(IF(A2094&lt;0,(10-6)*A2094,-6*A2094))+I$129*EXP(IF(A2094&lt;0,(10-7)*A2094,-7*A2094))+J$129*EXP(IF(A2094&lt;0,(10-8)*A2094,-8*A2094))+K$129*EXP(IF(A2094&lt;0,(10-9)*A2094,-9*A2094))+L$129*EXP(IF(A2094&lt;0,(10-10)*A2094,-10*A2094)),0)</x:f>
        <x:v>781756.9603821952</x:v>
      </x:c>
      <x:c r="C2094" s="256" t="n">
        <x:f>IF(B2094=0,IF(B2093=0,0,1),IF(B2093=0,0,IF(SIGN(B2094)&lt;&gt;SIGN(B2093),1,0)))</x:f>
        <x:v>0</x:v>
      </x:c>
      <x:c r="D2094" s="256" t="n">
        <x:f>EXP(A2094-0.005)-1</x:f>
        <x:v>-0.999226821022535</x:v>
      </x:c>
    </x:row>
    <x:row r="2095" ht="20" customHeight="1">
      <x:c r="A2095" s="256" t="n">
        <x:f>-12+485*0.01</x:f>
        <x:v>-7.1499999999999995</x:v>
      </x:c>
      <x:c r="B2095" s="256" t="n">
        <x:f>IF(COUNT($B$129:$L$129)=11,B$129*EXP(IF(A2095&lt;0,(10-0)*A2095,-0*A2095))+C$129*EXP(IF(A2095&lt;0,(10-1)*A2095,-1*A2095))+D$129*EXP(IF(A2095&lt;0,(10-2)*A2095,-2*A2095))+E$129*EXP(IF(A2095&lt;0,(10-3)*A2095,-3*A2095))+F$129*EXP(IF(A2095&lt;0,(10-4)*A2095,-4*A2095))+G$129*EXP(IF(A2095&lt;0,(10-5)*A2095,-5*A2095))+H$129*EXP(IF(A2095&lt;0,(10-6)*A2095,-6*A2095))+I$129*EXP(IF(A2095&lt;0,(10-7)*A2095,-7*A2095))+J$129*EXP(IF(A2095&lt;0,(10-8)*A2095,-8*A2095))+K$129*EXP(IF(A2095&lt;0,(10-9)*A2095,-9*A2095))+L$129*EXP(IF(A2095&lt;0,(10-10)*A2095,-10*A2095)),0)</x:f>
        <x:v>781757.0588359059</x:v>
      </x:c>
      <x:c r="C2095" s="256" t="n">
        <x:f>IF(B2095=0,IF(B2094=0,0,1),IF(B2094=0,0,IF(SIGN(B2095)&lt;&gt;SIGN(B2094),1,0)))</x:f>
        <x:v>0</x:v>
      </x:c>
      <x:c r="D2095" s="256" t="n">
        <x:f>EXP(A2095-0.005)-1</x:f>
        <x:v>-0.9992190504446256</x:v>
      </x:c>
    </x:row>
    <x:row r="2096" ht="20" customHeight="1">
      <x:c r="A2096" s="256" t="n">
        <x:f>-12+486*0.01</x:f>
        <x:v>-7.14</x:v>
      </x:c>
      <x:c r="B2096" s="256" t="n">
        <x:f>IF(COUNT($B$129:$L$129)=11,B$129*EXP(IF(A2096&lt;0,(10-0)*A2096,-0*A2096))+C$129*EXP(IF(A2096&lt;0,(10-1)*A2096,-1*A2096))+D$129*EXP(IF(A2096&lt;0,(10-2)*A2096,-2*A2096))+E$129*EXP(IF(A2096&lt;0,(10-3)*A2096,-3*A2096))+F$129*EXP(IF(A2096&lt;0,(10-4)*A2096,-4*A2096))+G$129*EXP(IF(A2096&lt;0,(10-5)*A2096,-5*A2096))+H$129*EXP(IF(A2096&lt;0,(10-6)*A2096,-6*A2096))+I$129*EXP(IF(A2096&lt;0,(10-7)*A2096,-7*A2096))+J$129*EXP(IF(A2096&lt;0,(10-8)*A2096,-8*A2096))+K$129*EXP(IF(A2096&lt;0,(10-9)*A2096,-9*A2096))+L$129*EXP(IF(A2096&lt;0,(10-10)*A2096,-10*A2096)),0)</x:f>
        <x:v>781757.1582802827</x:v>
      </x:c>
      <x:c r="C2096" s="256" t="n">
        <x:f>IF(B2096=0,IF(B2095=0,0,1),IF(B2095=0,0,IF(SIGN(B2096)&lt;&gt;SIGN(B2095),1,0)))</x:f>
        <x:v>0</x:v>
      </x:c>
      <x:c r="D2096" s="256" t="n">
        <x:f>EXP(A2096-0.005)-1</x:f>
        <x:v>-0.9992112017711097</x:v>
      </x:c>
    </x:row>
    <x:row r="2097" ht="20" customHeight="1">
      <x:c r="A2097" s="256" t="n">
        <x:f>-12+487*0.01</x:f>
        <x:v>-7.13</x:v>
      </x:c>
      <x:c r="B2097" s="256" t="n">
        <x:f>IF(COUNT($B$129:$L$129)=11,B$129*EXP(IF(A2097&lt;0,(10-0)*A2097,-0*A2097))+C$129*EXP(IF(A2097&lt;0,(10-1)*A2097,-1*A2097))+D$129*EXP(IF(A2097&lt;0,(10-2)*A2097,-2*A2097))+E$129*EXP(IF(A2097&lt;0,(10-3)*A2097,-3*A2097))+F$129*EXP(IF(A2097&lt;0,(10-4)*A2097,-4*A2097))+G$129*EXP(IF(A2097&lt;0,(10-5)*A2097,-5*A2097))+H$129*EXP(IF(A2097&lt;0,(10-6)*A2097,-6*A2097))+I$129*EXP(IF(A2097&lt;0,(10-7)*A2097,-7*A2097))+J$129*EXP(IF(A2097&lt;0,(10-8)*A2097,-8*A2097))+K$129*EXP(IF(A2097&lt;0,(10-9)*A2097,-9*A2097))+L$129*EXP(IF(A2097&lt;0,(10-10)*A2097,-10*A2097)),0)</x:f>
        <x:v>781757.258725306</x:v>
      </x:c>
      <x:c r="C2097" s="256" t="n">
        <x:f>IF(B2097=0,IF(B2096=0,0,1),IF(B2096=0,0,IF(SIGN(B2097)&lt;&gt;SIGN(B2096),1,0)))</x:f>
        <x:v>0</x:v>
      </x:c>
      <x:c r="D2097" s="256" t="n">
        <x:f>EXP(A2097-0.005)-1</x:f>
        <x:v>-0.9992032742171136</x:v>
      </x:c>
    </x:row>
    <x:row r="2098" ht="20" customHeight="1">
      <x:c r="A2098" s="256" t="n">
        <x:f>-12+488*0.01</x:f>
        <x:v>-7.12</x:v>
      </x:c>
      <x:c r="B2098" s="256" t="n">
        <x:f>IF(COUNT($B$129:$L$129)=11,B$129*EXP(IF(A2098&lt;0,(10-0)*A2098,-0*A2098))+C$129*EXP(IF(A2098&lt;0,(10-1)*A2098,-1*A2098))+D$129*EXP(IF(A2098&lt;0,(10-2)*A2098,-2*A2098))+E$129*EXP(IF(A2098&lt;0,(10-3)*A2098,-3*A2098))+F$129*EXP(IF(A2098&lt;0,(10-4)*A2098,-4*A2098))+G$129*EXP(IF(A2098&lt;0,(10-5)*A2098,-5*A2098))+H$129*EXP(IF(A2098&lt;0,(10-6)*A2098,-6*A2098))+I$129*EXP(IF(A2098&lt;0,(10-7)*A2098,-7*A2098))+J$129*EXP(IF(A2098&lt;0,(10-8)*A2098,-8*A2098))+K$129*EXP(IF(A2098&lt;0,(10-9)*A2098,-9*A2098))+L$129*EXP(IF(A2098&lt;0,(10-10)*A2098,-10*A2098)),0)</x:f>
        <x:v>781757.3601810569</x:v>
      </x:c>
      <x:c r="C2098" s="256" t="n">
        <x:f>IF(B2098=0,IF(B2097=0,0,1),IF(B2097=0,0,IF(SIGN(B2098)&lt;&gt;SIGN(B2097),1,0)))</x:f>
        <x:v>0</x:v>
      </x:c>
      <x:c r="D2098" s="256" t="n">
        <x:f>EXP(A2098-0.005)-1</x:f>
        <x:v>-0.9991952669898754</x:v>
      </x:c>
    </x:row>
    <x:row r="2099" ht="20" customHeight="1">
      <x:c r="A2099" s="256" t="n">
        <x:f>-12+489*0.01</x:f>
        <x:v>-7.11</x:v>
      </x:c>
      <x:c r="B2099" s="256" t="n">
        <x:f>IF(COUNT($B$129:$L$129)=11,B$129*EXP(IF(A2099&lt;0,(10-0)*A2099,-0*A2099))+C$129*EXP(IF(A2099&lt;0,(10-1)*A2099,-1*A2099))+D$129*EXP(IF(A2099&lt;0,(10-2)*A2099,-2*A2099))+E$129*EXP(IF(A2099&lt;0,(10-3)*A2099,-3*A2099))+F$129*EXP(IF(A2099&lt;0,(10-4)*A2099,-4*A2099))+G$129*EXP(IF(A2099&lt;0,(10-5)*A2099,-5*A2099))+H$129*EXP(IF(A2099&lt;0,(10-6)*A2099,-6*A2099))+I$129*EXP(IF(A2099&lt;0,(10-7)*A2099,-7*A2099))+J$129*EXP(IF(A2099&lt;0,(10-8)*A2099,-8*A2099))+K$129*EXP(IF(A2099&lt;0,(10-9)*A2099,-9*A2099))+L$129*EXP(IF(A2099&lt;0,(10-10)*A2099,-10*A2099)),0)</x:f>
        <x:v>781757.4626577186</x:v>
      </x:c>
      <x:c r="C2099" s="256" t="n">
        <x:f>IF(B2099=0,IF(B2098=0,0,1),IF(B2098=0,0,IF(SIGN(B2099)&lt;&gt;SIGN(B2098),1,0)))</x:f>
        <x:v>0</x:v>
      </x:c>
      <x:c r="D2099" s="256" t="n">
        <x:f>EXP(A2099-0.005)-1</x:f>
        <x:v>-0.9991871792886655</x:v>
      </x:c>
    </x:row>
    <x:row r="2100" ht="20" customHeight="1">
      <x:c r="A2100" s="256" t="n">
        <x:f>-12+490*0.01</x:f>
        <x:v>-7.1</x:v>
      </x:c>
      <x:c r="B2100" s="256" t="n">
        <x:f>IF(COUNT($B$129:$L$129)=11,B$129*EXP(IF(A2100&lt;0,(10-0)*A2100,-0*A2100))+C$129*EXP(IF(A2100&lt;0,(10-1)*A2100,-1*A2100))+D$129*EXP(IF(A2100&lt;0,(10-2)*A2100,-2*A2100))+E$129*EXP(IF(A2100&lt;0,(10-3)*A2100,-3*A2100))+F$129*EXP(IF(A2100&lt;0,(10-4)*A2100,-4*A2100))+G$129*EXP(IF(A2100&lt;0,(10-5)*A2100,-5*A2100))+H$129*EXP(IF(A2100&lt;0,(10-6)*A2100,-6*A2100))+I$129*EXP(IF(A2100&lt;0,(10-7)*A2100,-7*A2100))+J$129*EXP(IF(A2100&lt;0,(10-8)*A2100,-8*A2100))+K$129*EXP(IF(A2100&lt;0,(10-9)*A2100,-9*A2100))+L$129*EXP(IF(A2100&lt;0,(10-10)*A2100,-10*A2100)),0)</x:f>
        <x:v>781757.5661655767</x:v>
      </x:c>
      <x:c r="C2100" s="256" t="n">
        <x:f>IF(B2100=0,IF(B2099=0,0,1),IF(B2099=0,0,IF(SIGN(B2100)&lt;&gt;SIGN(B2099),1,0)))</x:f>
        <x:v>0</x:v>
      </x:c>
      <x:c r="D2100" s="256" t="n">
        <x:f>EXP(A2100-0.005)-1</x:f>
        <x:v>-0.9991790103047071</x:v>
      </x:c>
    </x:row>
    <x:row r="2101" ht="20" customHeight="1">
      <x:c r="A2101" s="256" t="n">
        <x:f>-12+491*0.01</x:f>
        <x:v>-7.09</x:v>
      </x:c>
      <x:c r="B2101" s="256" t="n">
        <x:f>IF(COUNT($B$129:$L$129)=11,B$129*EXP(IF(A2101&lt;0,(10-0)*A2101,-0*A2101))+C$129*EXP(IF(A2101&lt;0,(10-1)*A2101,-1*A2101))+D$129*EXP(IF(A2101&lt;0,(10-2)*A2101,-2*A2101))+E$129*EXP(IF(A2101&lt;0,(10-3)*A2101,-3*A2101))+F$129*EXP(IF(A2101&lt;0,(10-4)*A2101,-4*A2101))+G$129*EXP(IF(A2101&lt;0,(10-5)*A2101,-5*A2101))+H$129*EXP(IF(A2101&lt;0,(10-6)*A2101,-6*A2101))+I$129*EXP(IF(A2101&lt;0,(10-7)*A2101,-7*A2101))+J$129*EXP(IF(A2101&lt;0,(10-8)*A2101,-8*A2101))+K$129*EXP(IF(A2101&lt;0,(10-9)*A2101,-9*A2101))+L$129*EXP(IF(A2101&lt;0,(10-10)*A2101,-10*A2101)),0)</x:f>
        <x:v>781757.6707150212</x:v>
      </x:c>
      <x:c r="C2101" s="256" t="n">
        <x:f>IF(B2101=0,IF(B2100=0,0,1),IF(B2100=0,0,IF(SIGN(B2101)&lt;&gt;SIGN(B2100),1,0)))</x:f>
        <x:v>0</x:v>
      </x:c>
      <x:c r="D2101" s="256" t="n">
        <x:f>EXP(A2101-0.005)-1</x:f>
        <x:v>-0.999170759221095</x:v>
      </x:c>
    </x:row>
    <x:row r="2102" ht="20" customHeight="1">
      <x:c r="A2102" s="256" t="n">
        <x:f>-12+492*0.01</x:f>
        <x:v>-7.08</x:v>
      </x:c>
      <x:c r="B2102" s="256" t="n">
        <x:f>IF(COUNT($B$129:$L$129)=11,B$129*EXP(IF(A2102&lt;0,(10-0)*A2102,-0*A2102))+C$129*EXP(IF(A2102&lt;0,(10-1)*A2102,-1*A2102))+D$129*EXP(IF(A2102&lt;0,(10-2)*A2102,-2*A2102))+E$129*EXP(IF(A2102&lt;0,(10-3)*A2102,-3*A2102))+F$129*EXP(IF(A2102&lt;0,(10-4)*A2102,-4*A2102))+G$129*EXP(IF(A2102&lt;0,(10-5)*A2102,-5*A2102))+H$129*EXP(IF(A2102&lt;0,(10-6)*A2102,-6*A2102))+I$129*EXP(IF(A2102&lt;0,(10-7)*A2102,-7*A2102))+J$129*EXP(IF(A2102&lt;0,(10-8)*A2102,-8*A2102))+K$129*EXP(IF(A2102&lt;0,(10-9)*A2102,-9*A2102))+L$129*EXP(IF(A2102&lt;0,(10-10)*A2102,-10*A2102)),0)</x:f>
        <x:v>781757.7763165467</x:v>
      </x:c>
      <x:c r="C2102" s="256" t="n">
        <x:f>IF(B2102=0,IF(B2101=0,0,1),IF(B2101=0,0,IF(SIGN(B2102)&lt;&gt;SIGN(B2101),1,0)))</x:f>
        <x:v>0</x:v>
      </x:c>
      <x:c r="D2102" s="256" t="n">
        <x:f>EXP(A2102-0.005)-1</x:f>
        <x:v>-0.999162425212714</x:v>
      </x:c>
    </x:row>
    <x:row r="2103" ht="20" customHeight="1">
      <x:c r="A2103" s="256" t="n">
        <x:f>-12+493*0.01</x:f>
        <x:v>-7.07</x:v>
      </x:c>
      <x:c r="B2103" s="256" t="n">
        <x:f>IF(COUNT($B$129:$L$129)=11,B$129*EXP(IF(A2103&lt;0,(10-0)*A2103,-0*A2103))+C$129*EXP(IF(A2103&lt;0,(10-1)*A2103,-1*A2103))+D$129*EXP(IF(A2103&lt;0,(10-2)*A2103,-2*A2103))+E$129*EXP(IF(A2103&lt;0,(10-3)*A2103,-3*A2103))+F$129*EXP(IF(A2103&lt;0,(10-4)*A2103,-4*A2103))+G$129*EXP(IF(A2103&lt;0,(10-5)*A2103,-5*A2103))+H$129*EXP(IF(A2103&lt;0,(10-6)*A2103,-6*A2103))+I$129*EXP(IF(A2103&lt;0,(10-7)*A2103,-7*A2103))+J$129*EXP(IF(A2103&lt;0,(10-8)*A2103,-8*A2103))+K$129*EXP(IF(A2103&lt;0,(10-9)*A2103,-9*A2103))+L$129*EXP(IF(A2103&lt;0,(10-10)*A2103,-10*A2103)),0)</x:f>
        <x:v>781757.8829807539</x:v>
      </x:c>
      <x:c r="C2103" s="256" t="n">
        <x:f>IF(B2103=0,IF(B2102=0,0,1),IF(B2102=0,0,IF(SIGN(B2103)&lt;&gt;SIGN(B2102),1,0)))</x:f>
        <x:v>0</x:v>
      </x:c>
      <x:c r="D2103" s="256" t="n">
        <x:f>EXP(A2103-0.005)-1</x:f>
        <x:v>-0.9991540074461563</x:v>
      </x:c>
    </x:row>
    <x:row r="2104" ht="20" customHeight="1">
      <x:c r="A2104" s="256" t="n">
        <x:f>-12+494*0.01</x:f>
        <x:v>-7.06</x:v>
      </x:c>
      <x:c r="B2104" s="256" t="n">
        <x:f>IF(COUNT($B$129:$L$129)=11,B$129*EXP(IF(A2104&lt;0,(10-0)*A2104,-0*A2104))+C$129*EXP(IF(A2104&lt;0,(10-1)*A2104,-1*A2104))+D$129*EXP(IF(A2104&lt;0,(10-2)*A2104,-2*A2104))+E$129*EXP(IF(A2104&lt;0,(10-3)*A2104,-3*A2104))+F$129*EXP(IF(A2104&lt;0,(10-4)*A2104,-4*A2104))+G$129*EXP(IF(A2104&lt;0,(10-5)*A2104,-5*A2104))+H$129*EXP(IF(A2104&lt;0,(10-6)*A2104,-6*A2104))+I$129*EXP(IF(A2104&lt;0,(10-7)*A2104,-7*A2104))+J$129*EXP(IF(A2104&lt;0,(10-8)*A2104,-8*A2104))+K$129*EXP(IF(A2104&lt;0,(10-9)*A2104,-9*A2104))+L$129*EXP(IF(A2104&lt;0,(10-10)*A2104,-10*A2104)),0)</x:f>
        <x:v>781757.9907183506</x:v>
      </x:c>
      <x:c r="C2104" s="256" t="n">
        <x:f>IF(B2104=0,IF(B2103=0,0,1),IF(B2103=0,0,IF(SIGN(B2104)&lt;&gt;SIGN(B2103),1,0)))</x:f>
        <x:v>0</x:v>
      </x:c>
      <x:c r="D2104" s="256" t="n">
        <x:f>EXP(A2104-0.005)-1</x:f>
        <x:v>-0.9991455050796382</x:v>
      </x:c>
    </x:row>
    <x:row r="2105" ht="20" customHeight="1">
      <x:c r="A2105" s="256" t="n">
        <x:f>-12+495*0.01</x:f>
        <x:v>-7.05</x:v>
      </x:c>
      <x:c r="B2105" s="256" t="n">
        <x:f>IF(COUNT($B$129:$L$129)=11,B$129*EXP(IF(A2105&lt;0,(10-0)*A2105,-0*A2105))+C$129*EXP(IF(A2105&lt;0,(10-1)*A2105,-1*A2105))+D$129*EXP(IF(A2105&lt;0,(10-2)*A2105,-2*A2105))+E$129*EXP(IF(A2105&lt;0,(10-3)*A2105,-3*A2105))+F$129*EXP(IF(A2105&lt;0,(10-4)*A2105,-4*A2105))+G$129*EXP(IF(A2105&lt;0,(10-5)*A2105,-5*A2105))+H$129*EXP(IF(A2105&lt;0,(10-6)*A2105,-6*A2105))+I$129*EXP(IF(A2105&lt;0,(10-7)*A2105,-7*A2105))+J$129*EXP(IF(A2105&lt;0,(10-8)*A2105,-8*A2105))+K$129*EXP(IF(A2105&lt;0,(10-9)*A2105,-9*A2105))+L$129*EXP(IF(A2105&lt;0,(10-10)*A2105,-10*A2105)),0)</x:f>
        <x:v>781758.0995401529</x:v>
      </x:c>
      <x:c r="C2105" s="256" t="n">
        <x:f>IF(B2105=0,IF(B2104=0,0,1),IF(B2104=0,0,IF(SIGN(B2105)&lt;&gt;SIGN(B2104),1,0)))</x:f>
        <x:v>0</x:v>
      </x:c>
      <x:c r="D2105" s="256" t="n">
        <x:f>EXP(A2105-0.005)-1</x:f>
        <x:v>-0.999136917262916</x:v>
      </x:c>
    </x:row>
    <x:row r="2106" ht="20" customHeight="1">
      <x:c r="A2106" s="256" t="n">
        <x:f>-12+496*0.01</x:f>
        <x:v>-7.04</x:v>
      </x:c>
      <x:c r="B2106" s="256" t="n">
        <x:f>IF(COUNT($B$129:$L$129)=11,B$129*EXP(IF(A2106&lt;0,(10-0)*A2106,-0*A2106))+C$129*EXP(IF(A2106&lt;0,(10-1)*A2106,-1*A2106))+D$129*EXP(IF(A2106&lt;0,(10-2)*A2106,-2*A2106))+E$129*EXP(IF(A2106&lt;0,(10-3)*A2106,-3*A2106))+F$129*EXP(IF(A2106&lt;0,(10-4)*A2106,-4*A2106))+G$129*EXP(IF(A2106&lt;0,(10-5)*A2106,-5*A2106))+H$129*EXP(IF(A2106&lt;0,(10-6)*A2106,-6*A2106))+I$129*EXP(IF(A2106&lt;0,(10-7)*A2106,-7*A2106))+J$129*EXP(IF(A2106&lt;0,(10-8)*A2106,-8*A2106))+K$129*EXP(IF(A2106&lt;0,(10-9)*A2106,-9*A2106))+L$129*EXP(IF(A2106&lt;0,(10-10)*A2106,-10*A2106)),0)</x:f>
        <x:v>781758.2094570859</x:v>
      </x:c>
      <x:c r="C2106" s="256" t="n">
        <x:f>IF(B2106=0,IF(B2105=0,0,1),IF(B2105=0,0,IF(SIGN(B2106)&lt;&gt;SIGN(B2105),1,0)))</x:f>
        <x:v>0</x:v>
      </x:c>
      <x:c r="D2106" s="256" t="n">
        <x:f>EXP(A2106-0.005)-1</x:f>
        <x:v>-0.9991282431372008</x:v>
      </x:c>
    </x:row>
    <x:row r="2107" ht="20" customHeight="1">
      <x:c r="A2107" s="256" t="n">
        <x:f>-12+497*0.01</x:f>
        <x:v>-7.03</x:v>
      </x:c>
      <x:c r="B2107" s="256" t="n">
        <x:f>IF(COUNT($B$129:$L$129)=11,B$129*EXP(IF(A2107&lt;0,(10-0)*A2107,-0*A2107))+C$129*EXP(IF(A2107&lt;0,(10-1)*A2107,-1*A2107))+D$129*EXP(IF(A2107&lt;0,(10-2)*A2107,-2*A2107))+E$129*EXP(IF(A2107&lt;0,(10-3)*A2107,-3*A2107))+F$129*EXP(IF(A2107&lt;0,(10-4)*A2107,-4*A2107))+G$129*EXP(IF(A2107&lt;0,(10-5)*A2107,-5*A2107))+H$129*EXP(IF(A2107&lt;0,(10-6)*A2107,-6*A2107))+I$129*EXP(IF(A2107&lt;0,(10-7)*A2107,-7*A2107))+J$129*EXP(IF(A2107&lt;0,(10-8)*A2107,-8*A2107))+K$129*EXP(IF(A2107&lt;0,(10-9)*A2107,-9*A2107))+L$129*EXP(IF(A2107&lt;0,(10-10)*A2107,-10*A2107)),0)</x:f>
        <x:v>781758.3204801854</x:v>
      </x:c>
      <x:c r="C2107" s="256" t="n">
        <x:f>IF(B2107=0,IF(B2106=0,0,1),IF(B2106=0,0,IF(SIGN(B2107)&lt;&gt;SIGN(B2106),1,0)))</x:f>
        <x:v>0</x:v>
      </x:c>
      <x:c r="D2107" s="256" t="n">
        <x:f>EXP(A2107-0.005)-1</x:f>
        <x:v>-0.9991194818350729</x:v>
      </x:c>
    </x:row>
    <x:row r="2108" ht="20" customHeight="1">
      <x:c r="A2108" s="256" t="n">
        <x:f>-12+498*0.01</x:f>
        <x:v>-7.02</x:v>
      </x:c>
      <x:c r="B2108" s="256" t="n">
        <x:f>IF(COUNT($B$129:$L$129)=11,B$129*EXP(IF(A2108&lt;0,(10-0)*A2108,-0*A2108))+C$129*EXP(IF(A2108&lt;0,(10-1)*A2108,-1*A2108))+D$129*EXP(IF(A2108&lt;0,(10-2)*A2108,-2*A2108))+E$129*EXP(IF(A2108&lt;0,(10-3)*A2108,-3*A2108))+F$129*EXP(IF(A2108&lt;0,(10-4)*A2108,-4*A2108))+G$129*EXP(IF(A2108&lt;0,(10-5)*A2108,-5*A2108))+H$129*EXP(IF(A2108&lt;0,(10-6)*A2108,-6*A2108))+I$129*EXP(IF(A2108&lt;0,(10-7)*A2108,-7*A2108))+J$129*EXP(IF(A2108&lt;0,(10-8)*A2108,-8*A2108))+K$129*EXP(IF(A2108&lt;0,(10-9)*A2108,-9*A2108))+L$129*EXP(IF(A2108&lt;0,(10-10)*A2108,-10*A2108)),0)</x:f>
        <x:v>781758.4326205984</x:v>
      </x:c>
      <x:c r="C2108" s="256" t="n">
        <x:f>IF(B2108=0,IF(B2107=0,0,1),IF(B2107=0,0,IF(SIGN(B2108)&lt;&gt;SIGN(B2107),1,0)))</x:f>
        <x:v>0</x:v>
      </x:c>
      <x:c r="D2108" s="256" t="n">
        <x:f>EXP(A2108-0.005)-1</x:f>
        <x:v>-0.9991106324803948</x:v>
      </x:c>
    </x:row>
    <x:row r="2109" ht="20" customHeight="1">
      <x:c r="A2109" s="256" t="n">
        <x:f>-12+499*0.01</x:f>
        <x:v>-7.01</x:v>
      </x:c>
      <x:c r="B2109" s="256" t="n">
        <x:f>IF(COUNT($B$129:$L$129)=11,B$129*EXP(IF(A2109&lt;0,(10-0)*A2109,-0*A2109))+C$129*EXP(IF(A2109&lt;0,(10-1)*A2109,-1*A2109))+D$129*EXP(IF(A2109&lt;0,(10-2)*A2109,-2*A2109))+E$129*EXP(IF(A2109&lt;0,(10-3)*A2109,-3*A2109))+F$129*EXP(IF(A2109&lt;0,(10-4)*A2109,-4*A2109))+G$129*EXP(IF(A2109&lt;0,(10-5)*A2109,-5*A2109))+H$129*EXP(IF(A2109&lt;0,(10-6)*A2109,-6*A2109))+I$129*EXP(IF(A2109&lt;0,(10-7)*A2109,-7*A2109))+J$129*EXP(IF(A2109&lt;0,(10-8)*A2109,-8*A2109))+K$129*EXP(IF(A2109&lt;0,(10-9)*A2109,-9*A2109))+L$129*EXP(IF(A2109&lt;0,(10-10)*A2109,-10*A2109)),0)</x:f>
        <x:v>781758.5458895847</x:v>
      </x:c>
      <x:c r="C2109" s="256" t="n">
        <x:f>IF(B2109=0,IF(B2108=0,0,1),IF(B2108=0,0,IF(SIGN(B2109)&lt;&gt;SIGN(B2108),1,0)))</x:f>
        <x:v>0</x:v>
      </x:c>
      <x:c r="D2109" s="256" t="n">
        <x:f>EXP(A2109-0.005)-1</x:f>
        <x:v>-0.9991016941882236</x:v>
      </x:c>
    </x:row>
    <x:row r="2110" ht="20" customHeight="1">
      <x:c r="A2110" s="256" t="n">
        <x:f>-12+500*0.01</x:f>
        <x:v>-7</x:v>
      </x:c>
      <x:c r="B2110" s="256" t="n">
        <x:f>IF(COUNT($B$129:$L$129)=11,B$129*EXP(IF(A2110&lt;0,(10-0)*A2110,-0*A2110))+C$129*EXP(IF(A2110&lt;0,(10-1)*A2110,-1*A2110))+D$129*EXP(IF(A2110&lt;0,(10-2)*A2110,-2*A2110))+E$129*EXP(IF(A2110&lt;0,(10-3)*A2110,-3*A2110))+F$129*EXP(IF(A2110&lt;0,(10-4)*A2110,-4*A2110))+G$129*EXP(IF(A2110&lt;0,(10-5)*A2110,-5*A2110))+H$129*EXP(IF(A2110&lt;0,(10-6)*A2110,-6*A2110))+I$129*EXP(IF(A2110&lt;0,(10-7)*A2110,-7*A2110))+J$129*EXP(IF(A2110&lt;0,(10-8)*A2110,-8*A2110))+K$129*EXP(IF(A2110&lt;0,(10-9)*A2110,-9*A2110))+L$129*EXP(IF(A2110&lt;0,(10-10)*A2110,-10*A2110)),0)</x:f>
        <x:v>781758.6602985179</x:v>
      </x:c>
      <x:c r="C2110" s="256" t="n">
        <x:f>IF(B2110=0,IF(B2109=0,0,1),IF(B2109=0,0,IF(SIGN(B2110)&lt;&gt;SIGN(B2109),1,0)))</x:f>
        <x:v>0</x:v>
      </x:c>
      <x:c r="D2110" s="256" t="n">
        <x:f>EXP(A2110-0.005)-1</x:f>
        <x:v>-0.9990926660647225</x:v>
      </x:c>
    </x:row>
    <x:row r="2111" ht="20" customHeight="1">
      <x:c r="A2111" s="256" t="n">
        <x:f>-12+501*0.01</x:f>
        <x:v>-6.99</x:v>
      </x:c>
      <x:c r="B2111" s="256" t="n">
        <x:f>IF(COUNT($B$129:$L$129)=11,B$129*EXP(IF(A2111&lt;0,(10-0)*A2111,-0*A2111))+C$129*EXP(IF(A2111&lt;0,(10-1)*A2111,-1*A2111))+D$129*EXP(IF(A2111&lt;0,(10-2)*A2111,-2*A2111))+E$129*EXP(IF(A2111&lt;0,(10-3)*A2111,-3*A2111))+F$129*EXP(IF(A2111&lt;0,(10-4)*A2111,-4*A2111))+G$129*EXP(IF(A2111&lt;0,(10-5)*A2111,-5*A2111))+H$129*EXP(IF(A2111&lt;0,(10-6)*A2111,-6*A2111))+I$129*EXP(IF(A2111&lt;0,(10-7)*A2111,-7*A2111))+J$129*EXP(IF(A2111&lt;0,(10-8)*A2111,-8*A2111))+K$129*EXP(IF(A2111&lt;0,(10-9)*A2111,-9*A2111))+L$129*EXP(IF(A2111&lt;0,(10-10)*A2111,-10*A2111)),0)</x:f>
        <x:v>781758.7758588864</x:v>
      </x:c>
      <x:c r="C2111" s="256" t="n">
        <x:f>IF(B2111=0,IF(B2110=0,0,1),IF(B2110=0,0,IF(SIGN(B2111)&lt;&gt;SIGN(B2110),1,0)))</x:f>
        <x:v>0</x:v>
      </x:c>
      <x:c r="D2111" s="256" t="n">
        <x:f>EXP(A2111-0.005)-1</x:f>
        <x:v>-0.9990835472070718</x:v>
      </x:c>
    </x:row>
    <x:row r="2112" ht="20" customHeight="1">
      <x:c r="A2112" s="256" t="n">
        <x:f>-12+502*0.01</x:f>
        <x:v>-6.9799999999999995</x:v>
      </x:c>
      <x:c r="B2112" s="256" t="n">
        <x:f>IF(COUNT($B$129:$L$129)=11,B$129*EXP(IF(A2112&lt;0,(10-0)*A2112,-0*A2112))+C$129*EXP(IF(A2112&lt;0,(10-1)*A2112,-1*A2112))+D$129*EXP(IF(A2112&lt;0,(10-2)*A2112,-2*A2112))+E$129*EXP(IF(A2112&lt;0,(10-3)*A2112,-3*A2112))+F$129*EXP(IF(A2112&lt;0,(10-4)*A2112,-4*A2112))+G$129*EXP(IF(A2112&lt;0,(10-5)*A2112,-5*A2112))+H$129*EXP(IF(A2112&lt;0,(10-6)*A2112,-6*A2112))+I$129*EXP(IF(A2112&lt;0,(10-7)*A2112,-7*A2112))+J$129*EXP(IF(A2112&lt;0,(10-8)*A2112,-8*A2112))+K$129*EXP(IF(A2112&lt;0,(10-9)*A2112,-9*A2112))+L$129*EXP(IF(A2112&lt;0,(10-10)*A2112,-10*A2112)),0)</x:f>
        <x:v>781758.892582295</x:v>
      </x:c>
      <x:c r="C2112" s="256" t="n">
        <x:f>IF(B2112=0,IF(B2111=0,0,1),IF(B2111=0,0,IF(SIGN(B2112)&lt;&gt;SIGN(B2111),1,0)))</x:f>
        <x:v>0</x:v>
      </x:c>
      <x:c r="D2112" s="256" t="n">
        <x:f>EXP(A2112-0.005)-1</x:f>
        <x:v>-0.9990743367033782</x:v>
      </x:c>
    </x:row>
    <x:row r="2113" ht="20" customHeight="1">
      <x:c r="A2113" s="256" t="n">
        <x:f>-12+503*0.01</x:f>
        <x:v>-6.97</x:v>
      </x:c>
      <x:c r="B2113" s="256" t="n">
        <x:f>IF(COUNT($B$129:$L$129)=11,B$129*EXP(IF(A2113&lt;0,(10-0)*A2113,-0*A2113))+C$129*EXP(IF(A2113&lt;0,(10-1)*A2113,-1*A2113))+D$129*EXP(IF(A2113&lt;0,(10-2)*A2113,-2*A2113))+E$129*EXP(IF(A2113&lt;0,(10-3)*A2113,-3*A2113))+F$129*EXP(IF(A2113&lt;0,(10-4)*A2113,-4*A2113))+G$129*EXP(IF(A2113&lt;0,(10-5)*A2113,-5*A2113))+H$129*EXP(IF(A2113&lt;0,(10-6)*A2113,-6*A2113))+I$129*EXP(IF(A2113&lt;0,(10-7)*A2113,-7*A2113))+J$129*EXP(IF(A2113&lt;0,(10-8)*A2113,-8*A2113))+K$129*EXP(IF(A2113&lt;0,(10-9)*A2113,-9*A2113))+L$129*EXP(IF(A2113&lt;0,(10-10)*A2113,-10*A2113)),0)</x:f>
        <x:v>781759.0104804655</x:v>
      </x:c>
      <x:c r="C2113" s="256" t="n">
        <x:f>IF(B2113=0,IF(B2112=0,0,1),IF(B2112=0,0,IF(SIGN(B2113)&lt;&gt;SIGN(B2112),1,0)))</x:f>
        <x:v>0</x:v>
      </x:c>
      <x:c r="D2113" s="256" t="n">
        <x:f>EXP(A2113-0.005)-1</x:f>
        <x:v>-0.9990650336325834</x:v>
      </x:c>
    </x:row>
    <x:row r="2114" ht="20" customHeight="1">
      <x:c r="A2114" s="256" t="n">
        <x:f>-12+504*0.01</x:f>
        <x:v>-6.96</x:v>
      </x:c>
      <x:c r="B2114" s="256" t="n">
        <x:f>IF(COUNT($B$129:$L$129)=11,B$129*EXP(IF(A2114&lt;0,(10-0)*A2114,-0*A2114))+C$129*EXP(IF(A2114&lt;0,(10-1)*A2114,-1*A2114))+D$129*EXP(IF(A2114&lt;0,(10-2)*A2114,-2*A2114))+E$129*EXP(IF(A2114&lt;0,(10-3)*A2114,-3*A2114))+F$129*EXP(IF(A2114&lt;0,(10-4)*A2114,-4*A2114))+G$129*EXP(IF(A2114&lt;0,(10-5)*A2114,-5*A2114))+H$129*EXP(IF(A2114&lt;0,(10-6)*A2114,-6*A2114))+I$129*EXP(IF(A2114&lt;0,(10-7)*A2114,-7*A2114))+J$129*EXP(IF(A2114&lt;0,(10-8)*A2114,-8*A2114))+K$129*EXP(IF(A2114&lt;0,(10-9)*A2114,-9*A2114))+L$129*EXP(IF(A2114&lt;0,(10-10)*A2114,-10*A2114)),0)</x:f>
        <x:v>781759.1295652381</x:v>
      </x:c>
      <x:c r="C2114" s="256" t="n">
        <x:f>IF(B2114=0,IF(B2113=0,0,1),IF(B2113=0,0,IF(SIGN(B2114)&lt;&gt;SIGN(B2113),1,0)))</x:f>
        <x:v>0</x:v>
      </x:c>
      <x:c r="D2114" s="256" t="n">
        <x:f>EXP(A2114-0.005)-1</x:f>
        <x:v>-0.9990556370643728</x:v>
      </x:c>
    </x:row>
    <x:row r="2115" ht="20" customHeight="1">
      <x:c r="A2115" s="256" t="n">
        <x:f>-12+505*0.01</x:f>
        <x:v>-6.95</x:v>
      </x:c>
      <x:c r="B2115" s="256" t="n">
        <x:f>IF(COUNT($B$129:$L$129)=11,B$129*EXP(IF(A2115&lt;0,(10-0)*A2115,-0*A2115))+C$129*EXP(IF(A2115&lt;0,(10-1)*A2115,-1*A2115))+D$129*EXP(IF(A2115&lt;0,(10-2)*A2115,-2*A2115))+E$129*EXP(IF(A2115&lt;0,(10-3)*A2115,-3*A2115))+F$129*EXP(IF(A2115&lt;0,(10-4)*A2115,-4*A2115))+G$129*EXP(IF(A2115&lt;0,(10-5)*A2115,-5*A2115))+H$129*EXP(IF(A2115&lt;0,(10-6)*A2115,-6*A2115))+I$129*EXP(IF(A2115&lt;0,(10-7)*A2115,-7*A2115))+J$129*EXP(IF(A2115&lt;0,(10-8)*A2115,-8*A2115))+K$129*EXP(IF(A2115&lt;0,(10-9)*A2115,-9*A2115))+L$129*EXP(IF(A2115&lt;0,(10-10)*A2115,-10*A2115)),0)</x:f>
        <x:v>781759.2498485731</x:v>
      </x:c>
      <x:c r="C2115" s="256" t="n">
        <x:f>IF(B2115=0,IF(B2114=0,0,1),IF(B2114=0,0,IF(SIGN(B2115)&lt;&gt;SIGN(B2114),1,0)))</x:f>
        <x:v>0</x:v>
      </x:c>
      <x:c r="D2115" s="256" t="n">
        <x:f>EXP(A2115-0.005)-1</x:f>
        <x:v>-0.9990461460590817</x:v>
      </x:c>
    </x:row>
    <x:row r="2116" ht="20" customHeight="1">
      <x:c r="A2116" s="256" t="n">
        <x:f>-12+506*0.01</x:f>
        <x:v>-6.9399999999999995</x:v>
      </x:c>
      <x:c r="B2116" s="256" t="n">
        <x:f>IF(COUNT($B$129:$L$129)=11,B$129*EXP(IF(A2116&lt;0,(10-0)*A2116,-0*A2116))+C$129*EXP(IF(A2116&lt;0,(10-1)*A2116,-1*A2116))+D$129*EXP(IF(A2116&lt;0,(10-2)*A2116,-2*A2116))+E$129*EXP(IF(A2116&lt;0,(10-3)*A2116,-3*A2116))+F$129*EXP(IF(A2116&lt;0,(10-4)*A2116,-4*A2116))+G$129*EXP(IF(A2116&lt;0,(10-5)*A2116,-5*A2116))+H$129*EXP(IF(A2116&lt;0,(10-6)*A2116,-6*A2116))+I$129*EXP(IF(A2116&lt;0,(10-7)*A2116,-7*A2116))+J$129*EXP(IF(A2116&lt;0,(10-8)*A2116,-8*A2116))+K$129*EXP(IF(A2116&lt;0,(10-9)*A2116,-9*A2116))+L$129*EXP(IF(A2116&lt;0,(10-10)*A2116,-10*A2116)),0)</x:f>
        <x:v>781759.3713425513</x:v>
      </x:c>
      <x:c r="C2116" s="256" t="n">
        <x:f>IF(B2116=0,IF(B2115=0,0,1),IF(B2115=0,0,IF(SIGN(B2116)&lt;&gt;SIGN(B2115),1,0)))</x:f>
        <x:v>0</x:v>
      </x:c>
      <x:c r="D2116" s="256" t="n">
        <x:f>EXP(A2116-0.005)-1</x:f>
        <x:v>-0.9990365596676015</x:v>
      </x:c>
    </x:row>
    <x:row r="2117" ht="20" customHeight="1">
      <x:c r="A2117" s="256" t="n">
        <x:f>-12+507*0.01</x:f>
        <x:v>-6.93</x:v>
      </x:c>
      <x:c r="B2117" s="256" t="n">
        <x:f>IF(COUNT($B$129:$L$129)=11,B$129*EXP(IF(A2117&lt;0,(10-0)*A2117,-0*A2117))+C$129*EXP(IF(A2117&lt;0,(10-1)*A2117,-1*A2117))+D$129*EXP(IF(A2117&lt;0,(10-2)*A2117,-2*A2117))+E$129*EXP(IF(A2117&lt;0,(10-3)*A2117,-3*A2117))+F$129*EXP(IF(A2117&lt;0,(10-4)*A2117,-4*A2117))+G$129*EXP(IF(A2117&lt;0,(10-5)*A2117,-5*A2117))+H$129*EXP(IF(A2117&lt;0,(10-6)*A2117,-6*A2117))+I$129*EXP(IF(A2117&lt;0,(10-7)*A2117,-7*A2117))+J$129*EXP(IF(A2117&lt;0,(10-8)*A2117,-8*A2117))+K$129*EXP(IF(A2117&lt;0,(10-9)*A2117,-9*A2117))+L$129*EXP(IF(A2117&lt;0,(10-10)*A2117,-10*A2117)),0)</x:f>
        <x:v>781759.4940593757</x:v>
      </x:c>
      <x:c r="C2117" s="256" t="n">
        <x:f>IF(B2117=0,IF(B2116=0,0,1),IF(B2116=0,0,IF(SIGN(B2117)&lt;&gt;SIGN(B2116),1,0)))</x:f>
        <x:v>0</x:v>
      </x:c>
      <x:c r="D2117" s="256" t="n">
        <x:f>EXP(A2117-0.005)-1</x:f>
        <x:v>-0.9990268769312853</x:v>
      </x:c>
    </x:row>
    <x:row r="2118" ht="20" customHeight="1">
      <x:c r="A2118" s="256" t="n">
        <x:f>-12+508*0.01</x:f>
        <x:v>-6.92</x:v>
      </x:c>
      <x:c r="B2118" s="256" t="n">
        <x:f>IF(COUNT($B$129:$L$129)=11,B$129*EXP(IF(A2118&lt;0,(10-0)*A2118,-0*A2118))+C$129*EXP(IF(A2118&lt;0,(10-1)*A2118,-1*A2118))+D$129*EXP(IF(A2118&lt;0,(10-2)*A2118,-2*A2118))+E$129*EXP(IF(A2118&lt;0,(10-3)*A2118,-3*A2118))+F$129*EXP(IF(A2118&lt;0,(10-4)*A2118,-4*A2118))+G$129*EXP(IF(A2118&lt;0,(10-5)*A2118,-5*A2118))+H$129*EXP(IF(A2118&lt;0,(10-6)*A2118,-6*A2118))+I$129*EXP(IF(A2118&lt;0,(10-7)*A2118,-7*A2118))+J$129*EXP(IF(A2118&lt;0,(10-8)*A2118,-8*A2118))+K$129*EXP(IF(A2118&lt;0,(10-9)*A2118,-9*A2118))+L$129*EXP(IF(A2118&lt;0,(10-10)*A2118,-10*A2118)),0)</x:f>
        <x:v>781759.618011373</x:v>
      </x:c>
      <x:c r="C2118" s="256" t="n">
        <x:f>IF(B2118=0,IF(B2117=0,0,1),IF(B2117=0,0,IF(SIGN(B2118)&lt;&gt;SIGN(B2117),1,0)))</x:f>
        <x:v>0</x:v>
      </x:c>
      <x:c r="D2118" s="256" t="n">
        <x:f>EXP(A2118-0.005)-1</x:f>
        <x:v>-0.9990170968818513</x:v>
      </x:c>
    </x:row>
    <x:row r="2119" ht="20" customHeight="1">
      <x:c r="A2119" s="256" t="n">
        <x:f>-12+509*0.01</x:f>
        <x:v>-6.91</x:v>
      </x:c>
      <x:c r="B2119" s="256" t="n">
        <x:f>IF(COUNT($B$129:$L$129)=11,B$129*EXP(IF(A2119&lt;0,(10-0)*A2119,-0*A2119))+C$129*EXP(IF(A2119&lt;0,(10-1)*A2119,-1*A2119))+D$129*EXP(IF(A2119&lt;0,(10-2)*A2119,-2*A2119))+E$129*EXP(IF(A2119&lt;0,(10-3)*A2119,-3*A2119))+F$129*EXP(IF(A2119&lt;0,(10-4)*A2119,-4*A2119))+G$129*EXP(IF(A2119&lt;0,(10-5)*A2119,-5*A2119))+H$129*EXP(IF(A2119&lt;0,(10-6)*A2119,-6*A2119))+I$129*EXP(IF(A2119&lt;0,(10-7)*A2119,-7*A2119))+J$129*EXP(IF(A2119&lt;0,(10-8)*A2119,-8*A2119))+K$129*EXP(IF(A2119&lt;0,(10-9)*A2119,-9*A2119))+L$129*EXP(IF(A2119&lt;0,(10-10)*A2119,-10*A2119)),0)</x:f>
        <x:v>781759.743210994</x:v>
      </x:c>
      <x:c r="C2119" s="256" t="n">
        <x:f>IF(B2119=0,IF(B2118=0,0,1),IF(B2118=0,0,IF(SIGN(B2119)&lt;&gt;SIGN(B2118),1,0)))</x:f>
        <x:v>0</x:v>
      </x:c>
      <x:c r="D2119" s="256" t="n">
        <x:f>EXP(A2119-0.005)-1</x:f>
        <x:v>-0.9990072185412863</x:v>
      </x:c>
    </x:row>
    <x:row r="2120" ht="20" customHeight="1">
      <x:c r="A2120" s="256" t="n">
        <x:f>-12+510*0.01</x:f>
        <x:v>-6.8999999999999995</x:v>
      </x:c>
      <x:c r="B2120" s="256" t="n">
        <x:f>IF(COUNT($B$129:$L$129)=11,B$129*EXP(IF(A2120&lt;0,(10-0)*A2120,-0*A2120))+C$129*EXP(IF(A2120&lt;0,(10-1)*A2120,-1*A2120))+D$129*EXP(IF(A2120&lt;0,(10-2)*A2120,-2*A2120))+E$129*EXP(IF(A2120&lt;0,(10-3)*A2120,-3*A2120))+F$129*EXP(IF(A2120&lt;0,(10-4)*A2120,-4*A2120))+G$129*EXP(IF(A2120&lt;0,(10-5)*A2120,-5*A2120))+H$129*EXP(IF(A2120&lt;0,(10-6)*A2120,-6*A2120))+I$129*EXP(IF(A2120&lt;0,(10-7)*A2120,-7*A2120))+J$129*EXP(IF(A2120&lt;0,(10-8)*A2120,-8*A2120))+K$129*EXP(IF(A2120&lt;0,(10-9)*A2120,-9*A2120))+L$129*EXP(IF(A2120&lt;0,(10-10)*A2120,-10*A2120)),0)</x:f>
        <x:v>781759.8696708159</x:v>
      </x:c>
      <x:c r="C2120" s="256" t="n">
        <x:f>IF(B2120=0,IF(B2119=0,0,1),IF(B2119=0,0,IF(SIGN(B2120)&lt;&gt;SIGN(B2119),1,0)))</x:f>
        <x:v>0</x:v>
      </x:c>
      <x:c r="D2120" s="256" t="n">
        <x:f>EXP(A2120-0.005)-1</x:f>
        <x:v>-0.9989972409217481</x:v>
      </x:c>
    </x:row>
    <x:row r="2121" ht="20" customHeight="1">
      <x:c r="A2121" s="256" t="n">
        <x:f>-12+511*0.01</x:f>
        <x:v>-6.89</x:v>
      </x:c>
      <x:c r="B2121" s="256" t="n">
        <x:f>IF(COUNT($B$129:$L$129)=11,B$129*EXP(IF(A2121&lt;0,(10-0)*A2121,-0*A2121))+C$129*EXP(IF(A2121&lt;0,(10-1)*A2121,-1*A2121))+D$129*EXP(IF(A2121&lt;0,(10-2)*A2121,-2*A2121))+E$129*EXP(IF(A2121&lt;0,(10-3)*A2121,-3*A2121))+F$129*EXP(IF(A2121&lt;0,(10-4)*A2121,-4*A2121))+G$129*EXP(IF(A2121&lt;0,(10-5)*A2121,-5*A2121))+H$129*EXP(IF(A2121&lt;0,(10-6)*A2121,-6*A2121))+I$129*EXP(IF(A2121&lt;0,(10-7)*A2121,-7*A2121))+J$129*EXP(IF(A2121&lt;0,(10-8)*A2121,-8*A2121))+K$129*EXP(IF(A2121&lt;0,(10-9)*A2121,-9*A2121))+L$129*EXP(IF(A2121&lt;0,(10-10)*A2121,-10*A2121)),0)</x:f>
        <x:v>781759.9974035425</x:v>
      </x:c>
      <x:c r="C2121" s="256" t="n">
        <x:f>IF(B2121=0,IF(B2120=0,0,1),IF(B2120=0,0,IF(SIGN(B2121)&lt;&gt;SIGN(B2120),1,0)))</x:f>
        <x:v>0</x:v>
      </x:c>
      <x:c r="D2121" s="256" t="n">
        <x:f>EXP(A2121-0.005)-1</x:f>
        <x:v>-0.9989871630254665</x:v>
      </x:c>
    </x:row>
    <x:row r="2122" ht="20" customHeight="1">
      <x:c r="A2122" s="256" t="n">
        <x:f>-12+512*0.01</x:f>
        <x:v>-6.88</x:v>
      </x:c>
      <x:c r="B2122" s="256" t="n">
        <x:f>IF(COUNT($B$129:$L$129)=11,B$129*EXP(IF(A2122&lt;0,(10-0)*A2122,-0*A2122))+C$129*EXP(IF(A2122&lt;0,(10-1)*A2122,-1*A2122))+D$129*EXP(IF(A2122&lt;0,(10-2)*A2122,-2*A2122))+E$129*EXP(IF(A2122&lt;0,(10-3)*A2122,-3*A2122))+F$129*EXP(IF(A2122&lt;0,(10-4)*A2122,-4*A2122))+G$129*EXP(IF(A2122&lt;0,(10-5)*A2122,-5*A2122))+H$129*EXP(IF(A2122&lt;0,(10-6)*A2122,-6*A2122))+I$129*EXP(IF(A2122&lt;0,(10-7)*A2122,-7*A2122))+J$129*EXP(IF(A2122&lt;0,(10-8)*A2122,-8*A2122))+K$129*EXP(IF(A2122&lt;0,(10-9)*A2122,-9*A2122))+L$129*EXP(IF(A2122&lt;0,(10-10)*A2122,-10*A2122)),0)</x:f>
        <x:v>781760.1264220068</x:v>
      </x:c>
      <x:c r="C2122" s="256" t="n">
        <x:f>IF(B2122=0,IF(B2121=0,0,1),IF(B2121=0,0,IF(SIGN(B2122)&lt;&gt;SIGN(B2121),1,0)))</x:f>
        <x:v>0</x:v>
      </x:c>
      <x:c r="D2122" s="256" t="n">
        <x:f>EXP(A2122-0.005)-1</x:f>
        <x:v>-0.9989769838446435</x:v>
      </x:c>
    </x:row>
    <x:row r="2123" ht="20" customHeight="1">
      <x:c r="A2123" s="256" t="n">
        <x:f>-12+513*0.01</x:f>
        <x:v>-6.87</x:v>
      </x:c>
      <x:c r="B2123" s="256" t="n">
        <x:f>IF(COUNT($B$129:$L$129)=11,B$129*EXP(IF(A2123&lt;0,(10-0)*A2123,-0*A2123))+C$129*EXP(IF(A2123&lt;0,(10-1)*A2123,-1*A2123))+D$129*EXP(IF(A2123&lt;0,(10-2)*A2123,-2*A2123))+E$129*EXP(IF(A2123&lt;0,(10-3)*A2123,-3*A2123))+F$129*EXP(IF(A2123&lt;0,(10-4)*A2123,-4*A2123))+G$129*EXP(IF(A2123&lt;0,(10-5)*A2123,-5*A2123))+H$129*EXP(IF(A2123&lt;0,(10-6)*A2123,-6*A2123))+I$129*EXP(IF(A2123&lt;0,(10-7)*A2123,-7*A2123))+J$129*EXP(IF(A2123&lt;0,(10-8)*A2123,-8*A2123))+K$129*EXP(IF(A2123&lt;0,(10-9)*A2123,-9*A2123))+L$129*EXP(IF(A2123&lt;0,(10-10)*A2123,-10*A2123)),0)</x:f>
        <x:v>781760.2567391709</x:v>
      </x:c>
      <x:c r="C2123" s="256" t="n">
        <x:f>IF(B2123=0,IF(B2122=0,0,1),IF(B2122=0,0,IF(SIGN(B2123)&lt;&gt;SIGN(B2122),1,0)))</x:f>
        <x:v>0</x:v>
      </x:c>
      <x:c r="D2123" s="256" t="n">
        <x:f>EXP(A2123-0.005)-1</x:f>
        <x:v>-0.9989667023613523</x:v>
      </x:c>
    </x:row>
    <x:row r="2124" ht="20" customHeight="1">
      <x:c r="A2124" s="256" t="n">
        <x:f>-12+514*0.01</x:f>
        <x:v>-6.86</x:v>
      </x:c>
      <x:c r="B2124" s="256" t="n">
        <x:f>IF(COUNT($B$129:$L$129)=11,B$129*EXP(IF(A2124&lt;0,(10-0)*A2124,-0*A2124))+C$129*EXP(IF(A2124&lt;0,(10-1)*A2124,-1*A2124))+D$129*EXP(IF(A2124&lt;0,(10-2)*A2124,-2*A2124))+E$129*EXP(IF(A2124&lt;0,(10-3)*A2124,-3*A2124))+F$129*EXP(IF(A2124&lt;0,(10-4)*A2124,-4*A2124))+G$129*EXP(IF(A2124&lt;0,(10-5)*A2124,-5*A2124))+H$129*EXP(IF(A2124&lt;0,(10-6)*A2124,-6*A2124))+I$129*EXP(IF(A2124&lt;0,(10-7)*A2124,-7*A2124))+J$129*EXP(IF(A2124&lt;0,(10-8)*A2124,-8*A2124))+K$129*EXP(IF(A2124&lt;0,(10-9)*A2124,-9*A2124))+L$129*EXP(IF(A2124&lt;0,(10-10)*A2124,-10*A2124)),0)</x:f>
        <x:v>781760.3883681282</x:v>
      </x:c>
      <x:c r="C2124" s="256" t="n">
        <x:f>IF(B2124=0,IF(B2123=0,0,1),IF(B2123=0,0,IF(SIGN(B2124)&lt;&gt;SIGN(B2123),1,0)))</x:f>
        <x:v>0</x:v>
      </x:c>
      <x:c r="D2124" s="256" t="n">
        <x:f>EXP(A2124-0.005)-1</x:f>
        <x:v>-0.9989563175474363</x:v>
      </x:c>
    </x:row>
    <x:row r="2125" ht="20" customHeight="1">
      <x:c r="A2125" s="256" t="n">
        <x:f>-12+515*0.01</x:f>
        <x:v>-6.85</x:v>
      </x:c>
      <x:c r="B2125" s="256" t="n">
        <x:f>IF(COUNT($B$129:$L$129)=11,B$129*EXP(IF(A2125&lt;0,(10-0)*A2125,-0*A2125))+C$129*EXP(IF(A2125&lt;0,(10-1)*A2125,-1*A2125))+D$129*EXP(IF(A2125&lt;0,(10-2)*A2125,-2*A2125))+E$129*EXP(IF(A2125&lt;0,(10-3)*A2125,-3*A2125))+F$129*EXP(IF(A2125&lt;0,(10-4)*A2125,-4*A2125))+G$129*EXP(IF(A2125&lt;0,(10-5)*A2125,-5*A2125))+H$129*EXP(IF(A2125&lt;0,(10-6)*A2125,-6*A2125))+I$129*EXP(IF(A2125&lt;0,(10-7)*A2125,-7*A2125))+J$129*EXP(IF(A2125&lt;0,(10-8)*A2125,-8*A2125))+K$129*EXP(IF(A2125&lt;0,(10-9)*A2125,-9*A2125))+L$129*EXP(IF(A2125&lt;0,(10-10)*A2125,-10*A2125)),0)</x:f>
        <x:v>781760.5213221048</x:v>
      </x:c>
      <x:c r="C2125" s="256" t="n">
        <x:f>IF(B2125=0,IF(B2124=0,0,1),IF(B2124=0,0,IF(SIGN(B2125)&lt;&gt;SIGN(B2124),1,0)))</x:f>
        <x:v>0</x:v>
      </x:c>
      <x:c r="D2125" s="256" t="n">
        <x:f>EXP(A2125-0.005)-1</x:f>
        <x:v>-0.9989458283644052</x:v>
      </x:c>
    </x:row>
    <x:row r="2126" ht="20" customHeight="1">
      <x:c r="A2126" s="256" t="n">
        <x:f>-12+516*0.01</x:f>
        <x:v>-6.84</x:v>
      </x:c>
      <x:c r="B2126" s="256" t="n">
        <x:f>IF(COUNT($B$129:$L$129)=11,B$129*EXP(IF(A2126&lt;0,(10-0)*A2126,-0*A2126))+C$129*EXP(IF(A2126&lt;0,(10-1)*A2126,-1*A2126))+D$129*EXP(IF(A2126&lt;0,(10-2)*A2126,-2*A2126))+E$129*EXP(IF(A2126&lt;0,(10-3)*A2126,-3*A2126))+F$129*EXP(IF(A2126&lt;0,(10-4)*A2126,-4*A2126))+G$129*EXP(IF(A2126&lt;0,(10-5)*A2126,-5*A2126))+H$129*EXP(IF(A2126&lt;0,(10-6)*A2126,-6*A2126))+I$129*EXP(IF(A2126&lt;0,(10-7)*A2126,-7*A2126))+J$129*EXP(IF(A2126&lt;0,(10-8)*A2126,-8*A2126))+K$129*EXP(IF(A2126&lt;0,(10-9)*A2126,-9*A2126))+L$129*EXP(IF(A2126&lt;0,(10-10)*A2126,-10*A2126)),0)</x:f>
        <x:v>781760.6556144604</x:v>
      </x:c>
      <x:c r="C2126" s="256" t="n">
        <x:f>IF(B2126=0,IF(B2125=0,0,1),IF(B2125=0,0,IF(SIGN(B2126)&lt;&gt;SIGN(B2125),1,0)))</x:f>
        <x:v>0</x:v>
      </x:c>
      <x:c r="D2126" s="256" t="n">
        <x:f>EXP(A2126-0.005)-1</x:f>
        <x:v>-0.998935233763332</x:v>
      </x:c>
    </x:row>
    <x:row r="2127" ht="20" customHeight="1">
      <x:c r="A2127" s="256" t="n">
        <x:f>-12+517*0.01</x:f>
        <x:v>-6.83</x:v>
      </x:c>
      <x:c r="B2127" s="256" t="n">
        <x:f>IF(COUNT($B$129:$L$129)=11,B$129*EXP(IF(A2127&lt;0,(10-0)*A2127,-0*A2127))+C$129*EXP(IF(A2127&lt;0,(10-1)*A2127,-1*A2127))+D$129*EXP(IF(A2127&lt;0,(10-2)*A2127,-2*A2127))+E$129*EXP(IF(A2127&lt;0,(10-3)*A2127,-3*A2127))+F$129*EXP(IF(A2127&lt;0,(10-4)*A2127,-4*A2127))+G$129*EXP(IF(A2127&lt;0,(10-5)*A2127,-5*A2127))+H$129*EXP(IF(A2127&lt;0,(10-6)*A2127,-6*A2127))+I$129*EXP(IF(A2127&lt;0,(10-7)*A2127,-7*A2127))+J$129*EXP(IF(A2127&lt;0,(10-8)*A2127,-8*A2127))+K$129*EXP(IF(A2127&lt;0,(10-9)*A2127,-9*A2127))+L$129*EXP(IF(A2127&lt;0,(10-10)*A2127,-10*A2127)),0)</x:f>
        <x:v>781760.7912586896</x:v>
      </x:c>
      <x:c r="C2127" s="256" t="n">
        <x:f>IF(B2127=0,IF(B2126=0,0,1),IF(B2126=0,0,IF(SIGN(B2127)&lt;&gt;SIGN(B2126),1,0)))</x:f>
        <x:v>0</x:v>
      </x:c>
      <x:c r="D2127" s="256" t="n">
        <x:f>EXP(A2127-0.005)-1</x:f>
        <x:v>-0.998924532684748</x:v>
      </x:c>
    </x:row>
    <x:row r="2128" ht="20" customHeight="1">
      <x:c r="A2128" s="256" t="n">
        <x:f>-12+518*0.01</x:f>
        <x:v>-6.82</x:v>
      </x:c>
      <x:c r="B2128" s="256" t="n">
        <x:f>IF(COUNT($B$129:$L$129)=11,B$129*EXP(IF(A2128&lt;0,(10-0)*A2128,-0*A2128))+C$129*EXP(IF(A2128&lt;0,(10-1)*A2128,-1*A2128))+D$129*EXP(IF(A2128&lt;0,(10-2)*A2128,-2*A2128))+E$129*EXP(IF(A2128&lt;0,(10-3)*A2128,-3*A2128))+F$129*EXP(IF(A2128&lt;0,(10-4)*A2128,-4*A2128))+G$129*EXP(IF(A2128&lt;0,(10-5)*A2128,-5*A2128))+H$129*EXP(IF(A2128&lt;0,(10-6)*A2128,-6*A2128))+I$129*EXP(IF(A2128&lt;0,(10-7)*A2128,-7*A2128))+J$129*EXP(IF(A2128&lt;0,(10-8)*A2128,-8*A2128))+K$129*EXP(IF(A2128&lt;0,(10-9)*A2128,-9*A2128))+L$129*EXP(IF(A2128&lt;0,(10-10)*A2128,-10*A2128)),0)</x:f>
        <x:v>781760.9282684238</x:v>
      </x:c>
      <x:c r="C2128" s="256" t="n">
        <x:f>IF(B2128=0,IF(B2127=0,0,1),IF(B2127=0,0,IF(SIGN(B2128)&lt;&gt;SIGN(B2127),1,0)))</x:f>
        <x:v>0</x:v>
      </x:c>
      <x:c r="D2128" s="256" t="n">
        <x:f>EXP(A2128-0.005)-1</x:f>
        <x:v>-0.9989137240585362</x:v>
      </x:c>
    </x:row>
    <x:row r="2129" ht="20" customHeight="1">
      <x:c r="A2129" s="256" t="n">
        <x:f>-12+519*0.01</x:f>
        <x:v>-6.81</x:v>
      </x:c>
      <x:c r="B2129" s="256" t="n">
        <x:f>IF(COUNT($B$129:$L$129)=11,B$129*EXP(IF(A2129&lt;0,(10-0)*A2129,-0*A2129))+C$129*EXP(IF(A2129&lt;0,(10-1)*A2129,-1*A2129))+D$129*EXP(IF(A2129&lt;0,(10-2)*A2129,-2*A2129))+E$129*EXP(IF(A2129&lt;0,(10-3)*A2129,-3*A2129))+F$129*EXP(IF(A2129&lt;0,(10-4)*A2129,-4*A2129))+G$129*EXP(IF(A2129&lt;0,(10-5)*A2129,-5*A2129))+H$129*EXP(IF(A2129&lt;0,(10-6)*A2129,-6*A2129))+I$129*EXP(IF(A2129&lt;0,(10-7)*A2129,-7*A2129))+J$129*EXP(IF(A2129&lt;0,(10-8)*A2129,-8*A2129))+K$129*EXP(IF(A2129&lt;0,(10-9)*A2129,-9*A2129))+L$129*EXP(IF(A2129&lt;0,(10-10)*A2129,-10*A2129)),0)</x:f>
        <x:v>781761.0666574322</x:v>
      </x:c>
      <x:c r="C2129" s="256" t="n">
        <x:f>IF(B2129=0,IF(B2128=0,0,1),IF(B2128=0,0,IF(SIGN(B2129)&lt;&gt;SIGN(B2128),1,0)))</x:f>
        <x:v>0</x:v>
      </x:c>
      <x:c r="D2129" s="256" t="n">
        <x:f>EXP(A2129-0.005)-1</x:f>
        <x:v>-0.9989028068038249</x:v>
      </x:c>
    </x:row>
    <x:row r="2130" ht="20" customHeight="1">
      <x:c r="A2130" s="256" t="n">
        <x:f>-12+520*0.01</x:f>
        <x:v>-6.8</x:v>
      </x:c>
      <x:c r="B2130" s="256" t="n">
        <x:f>IF(COUNT($B$129:$L$129)=11,B$129*EXP(IF(A2130&lt;0,(10-0)*A2130,-0*A2130))+C$129*EXP(IF(A2130&lt;0,(10-1)*A2130,-1*A2130))+D$129*EXP(IF(A2130&lt;0,(10-2)*A2130,-2*A2130))+E$129*EXP(IF(A2130&lt;0,(10-3)*A2130,-3*A2130))+F$129*EXP(IF(A2130&lt;0,(10-4)*A2130,-4*A2130))+G$129*EXP(IF(A2130&lt;0,(10-5)*A2130,-5*A2130))+H$129*EXP(IF(A2130&lt;0,(10-6)*A2130,-6*A2130))+I$129*EXP(IF(A2130&lt;0,(10-7)*A2130,-7*A2130))+J$129*EXP(IF(A2130&lt;0,(10-8)*A2130,-8*A2130))+K$129*EXP(IF(A2130&lt;0,(10-9)*A2130,-9*A2130))+L$129*EXP(IF(A2130&lt;0,(10-10)*A2130,-10*A2130)),0)</x:f>
        <x:v>781761.2064396234</x:v>
      </x:c>
      <x:c r="C2130" s="256" t="n">
        <x:f>IF(B2130=0,IF(B2129=0,0,1),IF(B2129=0,0,IF(SIGN(B2130)&lt;&gt;SIGN(B2129),1,0)))</x:f>
        <x:v>0</x:v>
      </x:c>
      <x:c r="D2130" s="256" t="n">
        <x:f>EXP(A2130-0.005)-1</x:f>
        <x:v>-0.9988917798288798</x:v>
      </x:c>
    </x:row>
    <x:row r="2131" ht="20" customHeight="1">
      <x:c r="A2131" s="256" t="n">
        <x:f>-12+521*0.01</x:f>
        <x:v>-6.79</x:v>
      </x:c>
      <x:c r="B2131" s="256" t="n">
        <x:f>IF(COUNT($B$129:$L$129)=11,B$129*EXP(IF(A2131&lt;0,(10-0)*A2131,-0*A2131))+C$129*EXP(IF(A2131&lt;0,(10-1)*A2131,-1*A2131))+D$129*EXP(IF(A2131&lt;0,(10-2)*A2131,-2*A2131))+E$129*EXP(IF(A2131&lt;0,(10-3)*A2131,-3*A2131))+F$129*EXP(IF(A2131&lt;0,(10-4)*A2131,-4*A2131))+G$129*EXP(IF(A2131&lt;0,(10-5)*A2131,-5*A2131))+H$129*EXP(IF(A2131&lt;0,(10-6)*A2131,-6*A2131))+I$129*EXP(IF(A2131&lt;0,(10-7)*A2131,-7*A2131))+J$129*EXP(IF(A2131&lt;0,(10-8)*A2131,-8*A2131))+K$129*EXP(IF(A2131&lt;0,(10-9)*A2131,-9*A2131))+L$129*EXP(IF(A2131&lt;0,(10-10)*A2131,-10*A2131)),0)</x:f>
        <x:v>781761.3476290465</x:v>
      </x:c>
      <x:c r="C2131" s="256" t="n">
        <x:f>IF(B2131=0,IF(B2130=0,0,1),IF(B2130=0,0,IF(SIGN(B2131)&lt;&gt;SIGN(B2130),1,0)))</x:f>
        <x:v>0</x:v>
      </x:c>
      <x:c r="D2131" s="256" t="n">
        <x:f>EXP(A2131-0.005)-1</x:f>
        <x:v>-0.9988806420309939</x:v>
      </x:c>
    </x:row>
    <x:row r="2132" ht="20" customHeight="1">
      <x:c r="A2132" s="256" t="n">
        <x:f>-12+522*0.01</x:f>
        <x:v>-6.78</x:v>
      </x:c>
      <x:c r="B2132" s="256" t="n">
        <x:f>IF(COUNT($B$129:$L$129)=11,B$129*EXP(IF(A2132&lt;0,(10-0)*A2132,-0*A2132))+C$129*EXP(IF(A2132&lt;0,(10-1)*A2132,-1*A2132))+D$129*EXP(IF(A2132&lt;0,(10-2)*A2132,-2*A2132))+E$129*EXP(IF(A2132&lt;0,(10-3)*A2132,-3*A2132))+F$129*EXP(IF(A2132&lt;0,(10-4)*A2132,-4*A2132))+G$129*EXP(IF(A2132&lt;0,(10-5)*A2132,-5*A2132))+H$129*EXP(IF(A2132&lt;0,(10-6)*A2132,-6*A2132))+I$129*EXP(IF(A2132&lt;0,(10-7)*A2132,-7*A2132))+J$129*EXP(IF(A2132&lt;0,(10-8)*A2132,-8*A2132))+K$129*EXP(IF(A2132&lt;0,(10-9)*A2132,-9*A2132))+L$129*EXP(IF(A2132&lt;0,(10-10)*A2132,-10*A2132)),0)</x:f>
        <x:v>781761.490239893</x:v>
      </x:c>
      <x:c r="C2132" s="256" t="n">
        <x:f>IF(B2132=0,IF(B2131=0,0,1),IF(B2131=0,0,IF(SIGN(B2132)&lt;&gt;SIGN(B2131),1,0)))</x:f>
        <x:v>0</x:v>
      </x:c>
      <x:c r="D2132" s="256" t="n">
        <x:f>EXP(A2132-0.005)-1</x:f>
        <x:v>-0.9988693922963784</x:v>
      </x:c>
    </x:row>
    <x:row r="2133" ht="20" customHeight="1">
      <x:c r="A2133" s="256" t="n">
        <x:f>-12+523*0.01</x:f>
        <x:v>-6.77</x:v>
      </x:c>
      <x:c r="B2133" s="256" t="n">
        <x:f>IF(COUNT($B$129:$L$129)=11,B$129*EXP(IF(A2133&lt;0,(10-0)*A2133,-0*A2133))+C$129*EXP(IF(A2133&lt;0,(10-1)*A2133,-1*A2133))+D$129*EXP(IF(A2133&lt;0,(10-2)*A2133,-2*A2133))+E$129*EXP(IF(A2133&lt;0,(10-3)*A2133,-3*A2133))+F$129*EXP(IF(A2133&lt;0,(10-4)*A2133,-4*A2133))+G$129*EXP(IF(A2133&lt;0,(10-5)*A2133,-5*A2133))+H$129*EXP(IF(A2133&lt;0,(10-6)*A2133,-6*A2133))+I$129*EXP(IF(A2133&lt;0,(10-7)*A2133,-7*A2133))+J$129*EXP(IF(A2133&lt;0,(10-8)*A2133,-8*A2133))+K$129*EXP(IF(A2133&lt;0,(10-9)*A2133,-9*A2133))+L$129*EXP(IF(A2133&lt;0,(10-10)*A2133,-10*A2133)),0)</x:f>
        <x:v>781761.634286498</x:v>
      </x:c>
      <x:c r="C2133" s="256" t="n">
        <x:f>IF(B2133=0,IF(B2132=0,0,1),IF(B2132=0,0,IF(SIGN(B2133)&lt;&gt;SIGN(B2132),1,0)))</x:f>
        <x:v>0</x:v>
      </x:c>
      <x:c r="D2133" s="256" t="n">
        <x:f>EXP(A2133-0.005)-1</x:f>
        <x:v>-0.9988580295000504</x:v>
      </x:c>
    </x:row>
    <x:row r="2134" ht="20" customHeight="1">
      <x:c r="A2134" s="256" t="n">
        <x:f>-12+524*0.01</x:f>
        <x:v>-6.76</x:v>
      </x:c>
      <x:c r="B2134" s="256" t="n">
        <x:f>IF(COUNT($B$129:$L$129)=11,B$129*EXP(IF(A2134&lt;0,(10-0)*A2134,-0*A2134))+C$129*EXP(IF(A2134&lt;0,(10-1)*A2134,-1*A2134))+D$129*EXP(IF(A2134&lt;0,(10-2)*A2134,-2*A2134))+E$129*EXP(IF(A2134&lt;0,(10-3)*A2134,-3*A2134))+F$129*EXP(IF(A2134&lt;0,(10-4)*A2134,-4*A2134))+G$129*EXP(IF(A2134&lt;0,(10-5)*A2134,-5*A2134))+H$129*EXP(IF(A2134&lt;0,(10-6)*A2134,-6*A2134))+I$129*EXP(IF(A2134&lt;0,(10-7)*A2134,-7*A2134))+J$129*EXP(IF(A2134&lt;0,(10-8)*A2134,-8*A2134))+K$129*EXP(IF(A2134&lt;0,(10-9)*A2134,-9*A2134))+L$129*EXP(IF(A2134&lt;0,(10-10)*A2134,-10*A2134)),0)</x:f>
        <x:v>781761.7797833415</x:v>
      </x:c>
      <x:c r="C2134" s="256" t="n">
        <x:f>IF(B2134=0,IF(B2133=0,0,1),IF(B2133=0,0,IF(SIGN(B2134)&lt;&gt;SIGN(B2133),1,0)))</x:f>
        <x:v>0</x:v>
      </x:c>
      <x:c r="D2134" s="256" t="n">
        <x:f>EXP(A2134-0.005)-1</x:f>
        <x:v>-0.9988465525057207</x:v>
      </x:c>
    </x:row>
    <x:row r="2135" ht="20" customHeight="1">
      <x:c r="A2135" s="256" t="n">
        <x:f>-12+525*0.01</x:f>
        <x:v>-6.75</x:v>
      </x:c>
      <x:c r="B2135" s="256" t="n">
        <x:f>IF(COUNT($B$129:$L$129)=11,B$129*EXP(IF(A2135&lt;0,(10-0)*A2135,-0*A2135))+C$129*EXP(IF(A2135&lt;0,(10-1)*A2135,-1*A2135))+D$129*EXP(IF(A2135&lt;0,(10-2)*A2135,-2*A2135))+E$129*EXP(IF(A2135&lt;0,(10-3)*A2135,-3*A2135))+F$129*EXP(IF(A2135&lt;0,(10-4)*A2135,-4*A2135))+G$129*EXP(IF(A2135&lt;0,(10-5)*A2135,-5*A2135))+H$129*EXP(IF(A2135&lt;0,(10-6)*A2135,-6*A2135))+I$129*EXP(IF(A2135&lt;0,(10-7)*A2135,-7*A2135))+J$129*EXP(IF(A2135&lt;0,(10-8)*A2135,-8*A2135))+K$129*EXP(IF(A2135&lt;0,(10-9)*A2135,-9*A2135))+L$129*EXP(IF(A2135&lt;0,(10-10)*A2135,-10*A2135)),0)</x:f>
        <x:v>781761.92674505</x:v>
      </x:c>
      <x:c r="C2135" s="256" t="n">
        <x:f>IF(B2135=0,IF(B2134=0,0,1),IF(B2134=0,0,IF(SIGN(B2135)&lt;&gt;SIGN(B2134),1,0)))</x:f>
        <x:v>0</x:v>
      </x:c>
      <x:c r="D2135" s="256" t="n">
        <x:f>EXP(A2135-0.005)-1</x:f>
        <x:v>-0.9988349601656804</x:v>
      </x:c>
    </x:row>
    <x:row r="2136" ht="20" customHeight="1">
      <x:c r="A2136" s="256" t="n">
        <x:f>-12+526*0.01</x:f>
        <x:v>-6.74</x:v>
      </x:c>
      <x:c r="B2136" s="256" t="n">
        <x:f>IF(COUNT($B$129:$L$129)=11,B$129*EXP(IF(A2136&lt;0,(10-0)*A2136,-0*A2136))+C$129*EXP(IF(A2136&lt;0,(10-1)*A2136,-1*A2136))+D$129*EXP(IF(A2136&lt;0,(10-2)*A2136,-2*A2136))+E$129*EXP(IF(A2136&lt;0,(10-3)*A2136,-3*A2136))+F$129*EXP(IF(A2136&lt;0,(10-4)*A2136,-4*A2136))+G$129*EXP(IF(A2136&lt;0,(10-5)*A2136,-5*A2136))+H$129*EXP(IF(A2136&lt;0,(10-6)*A2136,-6*A2136))+I$129*EXP(IF(A2136&lt;0,(10-7)*A2136,-7*A2136))+J$129*EXP(IF(A2136&lt;0,(10-8)*A2136,-8*A2136))+K$129*EXP(IF(A2136&lt;0,(10-9)*A2136,-9*A2136))+L$129*EXP(IF(A2136&lt;0,(10-10)*A2136,-10*A2136)),0)</x:f>
        <x:v>781762.0751863985</x:v>
      </x:c>
      <x:c r="C2136" s="256" t="n">
        <x:f>IF(B2136=0,IF(B2135=0,0,1),IF(B2135=0,0,IF(SIGN(B2136)&lt;&gt;SIGN(B2135),1,0)))</x:f>
        <x:v>0</x:v>
      </x:c>
      <x:c r="D2136" s="256" t="n">
        <x:f>EXP(A2136-0.005)-1</x:f>
        <x:v>-0.9988232513206857</x:v>
      </x:c>
    </x:row>
    <x:row r="2137" ht="20" customHeight="1">
      <x:c r="A2137" s="256" t="n">
        <x:f>-12+527*0.01</x:f>
        <x:v>-6.7299999999999995</x:v>
      </x:c>
      <x:c r="B2137" s="256" t="n">
        <x:f>IF(COUNT($B$129:$L$129)=11,B$129*EXP(IF(A2137&lt;0,(10-0)*A2137,-0*A2137))+C$129*EXP(IF(A2137&lt;0,(10-1)*A2137,-1*A2137))+D$129*EXP(IF(A2137&lt;0,(10-2)*A2137,-2*A2137))+E$129*EXP(IF(A2137&lt;0,(10-3)*A2137,-3*A2137))+F$129*EXP(IF(A2137&lt;0,(10-4)*A2137,-4*A2137))+G$129*EXP(IF(A2137&lt;0,(10-5)*A2137,-5*A2137))+H$129*EXP(IF(A2137&lt;0,(10-6)*A2137,-6*A2137))+I$129*EXP(IF(A2137&lt;0,(10-7)*A2137,-7*A2137))+J$129*EXP(IF(A2137&lt;0,(10-8)*A2137,-8*A2137))+K$129*EXP(IF(A2137&lt;0,(10-9)*A2137,-9*A2137))+L$129*EXP(IF(A2137&lt;0,(10-10)*A2137,-10*A2137)),0)</x:f>
        <x:v>781762.2251223109</x:v>
      </x:c>
      <x:c r="C2137" s="256" t="n">
        <x:f>IF(B2137=0,IF(B2136=0,0,1),IF(B2136=0,0,IF(SIGN(B2137)&lt;&gt;SIGN(B2136),1,0)))</x:f>
        <x:v>0</x:v>
      </x:c>
      <x:c r="D2137" s="256" t="n">
        <x:f>EXP(A2137-0.005)-1</x:f>
        <x:v>-0.9988114247998425</x:v>
      </x:c>
    </x:row>
    <x:row r="2138" ht="20" customHeight="1">
      <x:c r="A2138" s="256" t="n">
        <x:f>-12+528*0.01</x:f>
        <x:v>-6.72</x:v>
      </x:c>
      <x:c r="B2138" s="256" t="n">
        <x:f>IF(COUNT($B$129:$L$129)=11,B$129*EXP(IF(A2138&lt;0,(10-0)*A2138,-0*A2138))+C$129*EXP(IF(A2138&lt;0,(10-1)*A2138,-1*A2138))+D$129*EXP(IF(A2138&lt;0,(10-2)*A2138,-2*A2138))+E$129*EXP(IF(A2138&lt;0,(10-3)*A2138,-3*A2138))+F$129*EXP(IF(A2138&lt;0,(10-4)*A2138,-4*A2138))+G$129*EXP(IF(A2138&lt;0,(10-5)*A2138,-5*A2138))+H$129*EXP(IF(A2138&lt;0,(10-6)*A2138,-6*A2138))+I$129*EXP(IF(A2138&lt;0,(10-7)*A2138,-7*A2138))+J$129*EXP(IF(A2138&lt;0,(10-8)*A2138,-8*A2138))+K$129*EXP(IF(A2138&lt;0,(10-9)*A2138,-9*A2138))+L$129*EXP(IF(A2138&lt;0,(10-10)*A2138,-10*A2138)),0)</x:f>
        <x:v>781762.3765678627</x:v>
      </x:c>
      <x:c r="C2138" s="256" t="n">
        <x:f>IF(B2138=0,IF(B2137=0,0,1),IF(B2137=0,0,IF(SIGN(B2138)&lt;&gt;SIGN(B2137),1,0)))</x:f>
        <x:v>0</x:v>
      </x:c>
      <x:c r="D2138" s="256" t="n">
        <x:f>EXP(A2138-0.005)-1</x:f>
        <x:v>-0.9987994794204889</x:v>
      </x:c>
    </x:row>
    <x:row r="2139" ht="20" customHeight="1">
      <x:c r="A2139" s="256" t="n">
        <x:f>-12+529*0.01</x:f>
        <x:v>-6.71</x:v>
      </x:c>
      <x:c r="B2139" s="256" t="n">
        <x:f>IF(COUNT($B$129:$L$129)=11,B$129*EXP(IF(A2139&lt;0,(10-0)*A2139,-0*A2139))+C$129*EXP(IF(A2139&lt;0,(10-1)*A2139,-1*A2139))+D$129*EXP(IF(A2139&lt;0,(10-2)*A2139,-2*A2139))+E$129*EXP(IF(A2139&lt;0,(10-3)*A2139,-3*A2139))+F$129*EXP(IF(A2139&lt;0,(10-4)*A2139,-4*A2139))+G$129*EXP(IF(A2139&lt;0,(10-5)*A2139,-5*A2139))+H$129*EXP(IF(A2139&lt;0,(10-6)*A2139,-6*A2139))+I$129*EXP(IF(A2139&lt;0,(10-7)*A2139,-7*A2139))+J$129*EXP(IF(A2139&lt;0,(10-8)*A2139,-8*A2139))+K$129*EXP(IF(A2139&lt;0,(10-9)*A2139,-9*A2139))+L$129*EXP(IF(A2139&lt;0,(10-10)*A2139,-10*A2139)),0)</x:f>
        <x:v>781762.5295382817</x:v>
      </x:c>
      <x:c r="C2139" s="256" t="n">
        <x:f>IF(B2139=0,IF(B2138=0,0,1),IF(B2138=0,0,IF(SIGN(B2139)&lt;&gt;SIGN(B2138),1,0)))</x:f>
        <x:v>0</x:v>
      </x:c>
      <x:c r="D2139" s="256" t="n">
        <x:f>EXP(A2139-0.005)-1</x:f>
        <x:v>-0.9987874139880768</x:v>
      </x:c>
    </x:row>
    <x:row r="2140" ht="20" customHeight="1">
      <x:c r="A2140" s="256" t="n">
        <x:f>-12+530*0.01</x:f>
        <x:v>-6.7</x:v>
      </x:c>
      <x:c r="B2140" s="256" t="n">
        <x:f>IF(COUNT($B$129:$L$129)=11,B$129*EXP(IF(A2140&lt;0,(10-0)*A2140,-0*A2140))+C$129*EXP(IF(A2140&lt;0,(10-1)*A2140,-1*A2140))+D$129*EXP(IF(A2140&lt;0,(10-2)*A2140,-2*A2140))+E$129*EXP(IF(A2140&lt;0,(10-3)*A2140,-3*A2140))+F$129*EXP(IF(A2140&lt;0,(10-4)*A2140,-4*A2140))+G$129*EXP(IF(A2140&lt;0,(10-5)*A2140,-5*A2140))+H$129*EXP(IF(A2140&lt;0,(10-6)*A2140,-6*A2140))+I$129*EXP(IF(A2140&lt;0,(10-7)*A2140,-7*A2140))+J$129*EXP(IF(A2140&lt;0,(10-8)*A2140,-8*A2140))+K$129*EXP(IF(A2140&lt;0,(10-9)*A2140,-9*A2140))+L$129*EXP(IF(A2140&lt;0,(10-10)*A2140,-10*A2140)),0)</x:f>
        <x:v>781762.6840489502</x:v>
      </x:c>
      <x:c r="C2140" s="256" t="n">
        <x:f>IF(B2140=0,IF(B2139=0,0,1),IF(B2139=0,0,IF(SIGN(B2140)&lt;&gt;SIGN(B2139),1,0)))</x:f>
        <x:v>0</x:v>
      </x:c>
      <x:c r="D2140" s="256" t="n">
        <x:f>EXP(A2140-0.005)-1</x:f>
        <x:v>-0.9987752272960531</x:v>
      </x:c>
    </x:row>
    <x:row r="2141" ht="20" customHeight="1">
      <x:c r="A2141" s="256" t="n">
        <x:f>-12+531*0.01</x:f>
        <x:v>-6.6899999999999995</x:v>
      </x:c>
      <x:c r="B2141" s="256" t="n">
        <x:f>IF(COUNT($B$129:$L$129)=11,B$129*EXP(IF(A2141&lt;0,(10-0)*A2141,-0*A2141))+C$129*EXP(IF(A2141&lt;0,(10-1)*A2141,-1*A2141))+D$129*EXP(IF(A2141&lt;0,(10-2)*A2141,-2*A2141))+E$129*EXP(IF(A2141&lt;0,(10-3)*A2141,-3*A2141))+F$129*EXP(IF(A2141&lt;0,(10-4)*A2141,-4*A2141))+G$129*EXP(IF(A2141&lt;0,(10-5)*A2141,-5*A2141))+H$129*EXP(IF(A2141&lt;0,(10-6)*A2141,-6*A2141))+I$129*EXP(IF(A2141&lt;0,(10-7)*A2141,-7*A2141))+J$129*EXP(IF(A2141&lt;0,(10-8)*A2141,-8*A2141))+K$129*EXP(IF(A2141&lt;0,(10-9)*A2141,-9*A2141))+L$129*EXP(IF(A2141&lt;0,(10-10)*A2141,-10*A2141)),0)</x:f>
        <x:v>781762.8401154059</x:v>
      </x:c>
      <x:c r="C2141" s="256" t="n">
        <x:f>IF(B2141=0,IF(B2140=0,0,1),IF(B2140=0,0,IF(SIGN(B2141)&lt;&gt;SIGN(B2140),1,0)))</x:f>
        <x:v>0</x:v>
      </x:c>
      <x:c r="D2141" s="256" t="n">
        <x:f>EXP(A2141-0.005)-1</x:f>
        <x:v>-0.9987629181257383</x:v>
      </x:c>
    </x:row>
    <x:row r="2142" ht="20" customHeight="1">
      <x:c r="A2142" s="256" t="n">
        <x:f>-12+532*0.01</x:f>
        <x:v>-6.68</x:v>
      </x:c>
      <x:c r="B2142" s="256" t="n">
        <x:f>IF(COUNT($B$129:$L$129)=11,B$129*EXP(IF(A2142&lt;0,(10-0)*A2142,-0*A2142))+C$129*EXP(IF(A2142&lt;0,(10-1)*A2142,-1*A2142))+D$129*EXP(IF(A2142&lt;0,(10-2)*A2142,-2*A2142))+E$129*EXP(IF(A2142&lt;0,(10-3)*A2142,-3*A2142))+F$129*EXP(IF(A2142&lt;0,(10-4)*A2142,-4*A2142))+G$129*EXP(IF(A2142&lt;0,(10-5)*A2142,-5*A2142))+H$129*EXP(IF(A2142&lt;0,(10-6)*A2142,-6*A2142))+I$129*EXP(IF(A2142&lt;0,(10-7)*A2142,-7*A2142))+J$129*EXP(IF(A2142&lt;0,(10-8)*A2142,-8*A2142))+K$129*EXP(IF(A2142&lt;0,(10-9)*A2142,-9*A2142))+L$129*EXP(IF(A2142&lt;0,(10-10)*A2142,-10*A2142)),0)</x:f>
        <x:v>781762.9977533439</x:v>
      </x:c>
      <x:c r="C2142" s="256" t="n">
        <x:f>IF(B2142=0,IF(B2141=0,0,1),IF(B2141=0,0,IF(SIGN(B2142)&lt;&gt;SIGN(B2141),1,0)))</x:f>
        <x:v>0</x:v>
      </x:c>
      <x:c r="D2142" s="256" t="n">
        <x:f>EXP(A2142-0.005)-1</x:f>
        <x:v>-0.9987504852462051</x:v>
      </x:c>
    </x:row>
    <x:row r="2143" ht="20" customHeight="1">
      <x:c r="A2143" s="256" t="n">
        <x:f>-12+533*0.01</x:f>
        <x:v>-6.67</x:v>
      </x:c>
      <x:c r="B2143" s="256" t="n">
        <x:f>IF(COUNT($B$129:$L$129)=11,B$129*EXP(IF(A2143&lt;0,(10-0)*A2143,-0*A2143))+C$129*EXP(IF(A2143&lt;0,(10-1)*A2143,-1*A2143))+D$129*EXP(IF(A2143&lt;0,(10-2)*A2143,-2*A2143))+E$129*EXP(IF(A2143&lt;0,(10-3)*A2143,-3*A2143))+F$129*EXP(IF(A2143&lt;0,(10-4)*A2143,-4*A2143))+G$129*EXP(IF(A2143&lt;0,(10-5)*A2143,-5*A2143))+H$129*EXP(IF(A2143&lt;0,(10-6)*A2143,-6*A2143))+I$129*EXP(IF(A2143&lt;0,(10-7)*A2143,-7*A2143))+J$129*EXP(IF(A2143&lt;0,(10-8)*A2143,-8*A2143))+K$129*EXP(IF(A2143&lt;0,(10-9)*A2143,-9*A2143))+L$129*EXP(IF(A2143&lt;0,(10-10)*A2143,-10*A2143)),0)</x:f>
        <x:v>781763.1569786185</x:v>
      </x:c>
      <x:c r="C2143" s="256" t="n">
        <x:f>IF(B2143=0,IF(B2142=0,0,1),IF(B2142=0,0,IF(SIGN(B2143)&lt;&gt;SIGN(B2142),1,0)))</x:f>
        <x:v>0</x:v>
      </x:c>
      <x:c r="D2143" s="256" t="n">
        <x:f>EXP(A2143-0.005)-1</x:f>
        <x:v>-0.9987379274141553</x:v>
      </x:c>
    </x:row>
    <x:row r="2144" ht="20" customHeight="1">
      <x:c r="A2144" s="256" t="n">
        <x:f>-12+534*0.01</x:f>
        <x:v>-6.66</x:v>
      </x:c>
      <x:c r="B2144" s="256" t="n">
        <x:f>IF(COUNT($B$129:$L$129)=11,B$129*EXP(IF(A2144&lt;0,(10-0)*A2144,-0*A2144))+C$129*EXP(IF(A2144&lt;0,(10-1)*A2144,-1*A2144))+D$129*EXP(IF(A2144&lt;0,(10-2)*A2144,-2*A2144))+E$129*EXP(IF(A2144&lt;0,(10-3)*A2144,-3*A2144))+F$129*EXP(IF(A2144&lt;0,(10-4)*A2144,-4*A2144))+G$129*EXP(IF(A2144&lt;0,(10-5)*A2144,-5*A2144))+H$129*EXP(IF(A2144&lt;0,(10-6)*A2144,-6*A2144))+I$129*EXP(IF(A2144&lt;0,(10-7)*A2144,-7*A2144))+J$129*EXP(IF(A2144&lt;0,(10-8)*A2144,-8*A2144))+K$129*EXP(IF(A2144&lt;0,(10-9)*A2144,-9*A2144))+L$129*EXP(IF(A2144&lt;0,(10-10)*A2144,-10*A2144)),0)</x:f>
        <x:v>781763.3178072441</x:v>
      </x:c>
      <x:c r="C2144" s="256" t="n">
        <x:f>IF(B2144=0,IF(B2143=0,0,1),IF(B2143=0,0,IF(SIGN(B2144)&lt;&gt;SIGN(B2143),1,0)))</x:f>
        <x:v>0</x:v>
      </x:c>
      <x:c r="D2144" s="256" t="n">
        <x:f>EXP(A2144-0.005)-1</x:f>
        <x:v>-0.9987252433737953</x:v>
      </x:c>
    </x:row>
    <x:row r="2145" ht="20" customHeight="1">
      <x:c r="A2145" s="256" t="n">
        <x:f>-12+535*0.01</x:f>
        <x:v>-6.6499999999999995</x:v>
      </x:c>
      <x:c r="B2145" s="256" t="n">
        <x:f>IF(COUNT($B$129:$L$129)=11,B$129*EXP(IF(A2145&lt;0,(10-0)*A2145,-0*A2145))+C$129*EXP(IF(A2145&lt;0,(10-1)*A2145,-1*A2145))+D$129*EXP(IF(A2145&lt;0,(10-2)*A2145,-2*A2145))+E$129*EXP(IF(A2145&lt;0,(10-3)*A2145,-3*A2145))+F$129*EXP(IF(A2145&lt;0,(10-4)*A2145,-4*A2145))+G$129*EXP(IF(A2145&lt;0,(10-5)*A2145,-5*A2145))+H$129*EXP(IF(A2145&lt;0,(10-6)*A2145,-6*A2145))+I$129*EXP(IF(A2145&lt;0,(10-7)*A2145,-7*A2145))+J$129*EXP(IF(A2145&lt;0,(10-8)*A2145,-8*A2145))+K$129*EXP(IF(A2145&lt;0,(10-9)*A2145,-9*A2145))+L$129*EXP(IF(A2145&lt;0,(10-10)*A2145,-10*A2145)),0)</x:f>
        <x:v>781763.4802553979</x:v>
      </x:c>
      <x:c r="C2145" s="256" t="n">
        <x:f>IF(B2145=0,IF(B2144=0,0,1),IF(B2144=0,0,IF(SIGN(B2145)&lt;&gt;SIGN(B2144),1,0)))</x:f>
        <x:v>0</x:v>
      </x:c>
      <x:c r="D2145" s="256" t="n">
        <x:f>EXP(A2145-0.005)-1</x:f>
        <x:v>-0.9987124318567103</x:v>
      </x:c>
    </x:row>
    <x:row r="2146" ht="20" customHeight="1">
      <x:c r="A2146" s="256" t="n">
        <x:f>-12+536*0.01</x:f>
        <x:v>-6.64</x:v>
      </x:c>
      <x:c r="B2146" s="256" t="n">
        <x:f>IF(COUNT($B$129:$L$129)=11,B$129*EXP(IF(A2146&lt;0,(10-0)*A2146,-0*A2146))+C$129*EXP(IF(A2146&lt;0,(10-1)*A2146,-1*A2146))+D$129*EXP(IF(A2146&lt;0,(10-2)*A2146,-2*A2146))+E$129*EXP(IF(A2146&lt;0,(10-3)*A2146,-3*A2146))+F$129*EXP(IF(A2146&lt;0,(10-4)*A2146,-4*A2146))+G$129*EXP(IF(A2146&lt;0,(10-5)*A2146,-5*A2146))+H$129*EXP(IF(A2146&lt;0,(10-6)*A2146,-6*A2146))+I$129*EXP(IF(A2146&lt;0,(10-7)*A2146,-7*A2146))+J$129*EXP(IF(A2146&lt;0,(10-8)*A2146,-8*A2146))+K$129*EXP(IF(A2146&lt;0,(10-9)*A2146,-9*A2146))+L$129*EXP(IF(A2146&lt;0,(10-10)*A2146,-10*A2146)),0)</x:f>
        <x:v>781763.6443394203</x:v>
      </x:c>
      <x:c r="C2146" s="256" t="n">
        <x:f>IF(B2146=0,IF(B2145=0,0,1),IF(B2145=0,0,IF(SIGN(B2146)&lt;&gt;SIGN(B2145),1,0)))</x:f>
        <x:v>0</x:v>
      </x:c>
      <x:c r="D2146" s="256" t="n">
        <x:f>EXP(A2146-0.005)-1</x:f>
        <x:v>-0.998699491581738</x:v>
      </x:c>
    </x:row>
    <x:row r="2147" ht="20" customHeight="1">
      <x:c r="A2147" s="256" t="n">
        <x:f>-12+537*0.01</x:f>
        <x:v>-6.63</x:v>
      </x:c>
      <x:c r="B2147" s="256" t="n">
        <x:f>IF(COUNT($B$129:$L$129)=11,B$129*EXP(IF(A2147&lt;0,(10-0)*A2147,-0*A2147))+C$129*EXP(IF(A2147&lt;0,(10-1)*A2147,-1*A2147))+D$129*EXP(IF(A2147&lt;0,(10-2)*A2147,-2*A2147))+E$129*EXP(IF(A2147&lt;0,(10-3)*A2147,-3*A2147))+F$129*EXP(IF(A2147&lt;0,(10-4)*A2147,-4*A2147))+G$129*EXP(IF(A2147&lt;0,(10-5)*A2147,-5*A2147))+H$129*EXP(IF(A2147&lt;0,(10-6)*A2147,-6*A2147))+I$129*EXP(IF(A2147&lt;0,(10-7)*A2147,-7*A2147))+J$129*EXP(IF(A2147&lt;0,(10-8)*A2147,-8*A2147))+K$129*EXP(IF(A2147&lt;0,(10-9)*A2147,-9*A2147))+L$129*EXP(IF(A2147&lt;0,(10-10)*A2147,-10*A2147)),0)</x:f>
        <x:v>781763.8100758177</x:v>
      </x:c>
      <x:c r="C2147" s="256" t="n">
        <x:f>IF(B2147=0,IF(B2146=0,0,1),IF(B2146=0,0,IF(SIGN(B2147)&lt;&gt;SIGN(B2146),1,0)))</x:f>
        <x:v>0</x:v>
      </x:c>
      <x:c r="D2147" s="256" t="n">
        <x:f>EXP(A2147-0.005)-1</x:f>
        <x:v>-0.9986864212548401</x:v>
      </x:c>
    </x:row>
    <x:row r="2148" ht="20" customHeight="1">
      <x:c r="A2148" s="256" t="n">
        <x:f>-12+538*0.01</x:f>
        <x:v>-6.62</x:v>
      </x:c>
      <x:c r="B2148" s="256" t="n">
        <x:f>IF(COUNT($B$129:$L$129)=11,B$129*EXP(IF(A2148&lt;0,(10-0)*A2148,-0*A2148))+C$129*EXP(IF(A2148&lt;0,(10-1)*A2148,-1*A2148))+D$129*EXP(IF(A2148&lt;0,(10-2)*A2148,-2*A2148))+E$129*EXP(IF(A2148&lt;0,(10-3)*A2148,-3*A2148))+F$129*EXP(IF(A2148&lt;0,(10-4)*A2148,-4*A2148))+G$129*EXP(IF(A2148&lt;0,(10-5)*A2148,-5*A2148))+H$129*EXP(IF(A2148&lt;0,(10-6)*A2148,-6*A2148))+I$129*EXP(IF(A2148&lt;0,(10-7)*A2148,-7*A2148))+J$129*EXP(IF(A2148&lt;0,(10-8)*A2148,-8*A2148))+K$129*EXP(IF(A2148&lt;0,(10-9)*A2148,-9*A2148))+L$129*EXP(IF(A2148&lt;0,(10-10)*A2148,-10*A2148)),0)</x:f>
        <x:v>781763.9774812637</x:v>
      </x:c>
      <x:c r="C2148" s="256" t="n">
        <x:f>IF(B2148=0,IF(B2147=0,0,1),IF(B2147=0,0,IF(SIGN(B2148)&lt;&gt;SIGN(B2147),1,0)))</x:f>
        <x:v>0</x:v>
      </x:c>
      <x:c r="D2148" s="256" t="n">
        <x:f>EXP(A2148-0.005)-1</x:f>
        <x:v>-0.998673219568973</x:v>
      </x:c>
    </x:row>
    <x:row r="2149" ht="20" customHeight="1">
      <x:c r="A2149" s="256" t="n">
        <x:f>-12+539*0.01</x:f>
        <x:v>-6.61</x:v>
      </x:c>
      <x:c r="B2149" s="256" t="n">
        <x:f>IF(COUNT($B$129:$L$129)=11,B$129*EXP(IF(A2149&lt;0,(10-0)*A2149,-0*A2149))+C$129*EXP(IF(A2149&lt;0,(10-1)*A2149,-1*A2149))+D$129*EXP(IF(A2149&lt;0,(10-2)*A2149,-2*A2149))+E$129*EXP(IF(A2149&lt;0,(10-3)*A2149,-3*A2149))+F$129*EXP(IF(A2149&lt;0,(10-4)*A2149,-4*A2149))+G$129*EXP(IF(A2149&lt;0,(10-5)*A2149,-5*A2149))+H$129*EXP(IF(A2149&lt;0,(10-6)*A2149,-6*A2149))+I$129*EXP(IF(A2149&lt;0,(10-7)*A2149,-7*A2149))+J$129*EXP(IF(A2149&lt;0,(10-8)*A2149,-8*A2149))+K$129*EXP(IF(A2149&lt;0,(10-9)*A2149,-9*A2149))+L$129*EXP(IF(A2149&lt;0,(10-10)*A2149,-10*A2149)),0)</x:f>
        <x:v>781764.1465726005</x:v>
      </x:c>
      <x:c r="C2149" s="256" t="n">
        <x:f>IF(B2149=0,IF(B2148=0,0,1),IF(B2148=0,0,IF(SIGN(B2149)&lt;&gt;SIGN(B2148),1,0)))</x:f>
        <x:v>0</x:v>
      </x:c>
      <x:c r="D2149" s="256" t="n">
        <x:f>EXP(A2149-0.005)-1</x:f>
        <x:v>-0.9986598852039572</x:v>
      </x:c>
    </x:row>
    <x:row r="2150" ht="20" customHeight="1">
      <x:c r="A2150" s="256" t="n">
        <x:f>-12+540*0.01</x:f>
        <x:v>-6.6</x:v>
      </x:c>
      <x:c r="B2150" s="256" t="n">
        <x:f>IF(COUNT($B$129:$L$129)=11,B$129*EXP(IF(A2150&lt;0,(10-0)*A2150,-0*A2150))+C$129*EXP(IF(A2150&lt;0,(10-1)*A2150,-1*A2150))+D$129*EXP(IF(A2150&lt;0,(10-2)*A2150,-2*A2150))+E$129*EXP(IF(A2150&lt;0,(10-3)*A2150,-3*A2150))+F$129*EXP(IF(A2150&lt;0,(10-4)*A2150,-4*A2150))+G$129*EXP(IF(A2150&lt;0,(10-5)*A2150,-5*A2150))+H$129*EXP(IF(A2150&lt;0,(10-6)*A2150,-6*A2150))+I$129*EXP(IF(A2150&lt;0,(10-7)*A2150,-7*A2150))+J$129*EXP(IF(A2150&lt;0,(10-8)*A2150,-8*A2150))+K$129*EXP(IF(A2150&lt;0,(10-9)*A2150,-9*A2150))+L$129*EXP(IF(A2150&lt;0,(10-10)*A2150,-10*A2150)),0)</x:f>
        <x:v>781764.3173668412</x:v>
      </x:c>
      <x:c r="C2150" s="256" t="n">
        <x:f>IF(B2150=0,IF(B2149=0,0,1),IF(B2149=0,0,IF(SIGN(B2150)&lt;&gt;SIGN(B2149),1,0)))</x:f>
        <x:v>0</x:v>
      </x:c>
      <x:c r="D2150" s="256" t="n">
        <x:f>EXP(A2150-0.005)-1</x:f>
        <x:v>-0.998646416826345</x:v>
      </x:c>
    </x:row>
    <x:row r="2151" ht="20" customHeight="1">
      <x:c r="A2151" s="256" t="n">
        <x:f>-12+541*0.01</x:f>
        <x:v>-6.59</x:v>
      </x:c>
      <x:c r="B2151" s="256" t="n">
        <x:f>IF(COUNT($B$129:$L$129)=11,B$129*EXP(IF(A2151&lt;0,(10-0)*A2151,-0*A2151))+C$129*EXP(IF(A2151&lt;0,(10-1)*A2151,-1*A2151))+D$129*EXP(IF(A2151&lt;0,(10-2)*A2151,-2*A2151))+E$129*EXP(IF(A2151&lt;0,(10-3)*A2151,-3*A2151))+F$129*EXP(IF(A2151&lt;0,(10-4)*A2151,-4*A2151))+G$129*EXP(IF(A2151&lt;0,(10-5)*A2151,-5*A2151))+H$129*EXP(IF(A2151&lt;0,(10-6)*A2151,-6*A2151))+I$129*EXP(IF(A2151&lt;0,(10-7)*A2151,-7*A2151))+J$129*EXP(IF(A2151&lt;0,(10-8)*A2151,-8*A2151))+K$129*EXP(IF(A2151&lt;0,(10-9)*A2151,-9*A2151))+L$129*EXP(IF(A2151&lt;0,(10-10)*A2151,-10*A2151)),0)</x:f>
        <x:v>781764.4898811713</x:v>
      </x:c>
      <x:c r="C2151" s="256" t="n">
        <x:f>IF(B2151=0,IF(B2150=0,0,1),IF(B2150=0,0,IF(SIGN(B2151)&lt;&gt;SIGN(B2150),1,0)))</x:f>
        <x:v>0</x:v>
      </x:c>
      <x:c r="D2151" s="256" t="n">
        <x:f>EXP(A2151-0.005)-1</x:f>
        <x:v>-0.9986328130892874</x:v>
      </x:c>
    </x:row>
    <x:row r="2152" ht="20" customHeight="1">
      <x:c r="A2152" s="256" t="n">
        <x:f>-12+542*0.01</x:f>
        <x:v>-6.58</x:v>
      </x:c>
      <x:c r="B2152" s="256" t="n">
        <x:f>IF(COUNT($B$129:$L$129)=11,B$129*EXP(IF(A2152&lt;0,(10-0)*A2152,-0*A2152))+C$129*EXP(IF(A2152&lt;0,(10-1)*A2152,-1*A2152))+D$129*EXP(IF(A2152&lt;0,(10-2)*A2152,-2*A2152))+E$129*EXP(IF(A2152&lt;0,(10-3)*A2152,-3*A2152))+F$129*EXP(IF(A2152&lt;0,(10-4)*A2152,-4*A2152))+G$129*EXP(IF(A2152&lt;0,(10-5)*A2152,-5*A2152))+H$129*EXP(IF(A2152&lt;0,(10-6)*A2152,-6*A2152))+I$129*EXP(IF(A2152&lt;0,(10-7)*A2152,-7*A2152))+J$129*EXP(IF(A2152&lt;0,(10-8)*A2152,-8*A2152))+K$129*EXP(IF(A2152&lt;0,(10-9)*A2152,-9*A2152))+L$129*EXP(IF(A2152&lt;0,(10-10)*A2152,-10*A2152)),0)</x:f>
        <x:v>781764.6641329501</x:v>
      </x:c>
      <x:c r="C2152" s="256" t="n">
        <x:f>IF(B2152=0,IF(B2151=0,0,1),IF(B2151=0,0,IF(SIGN(B2152)&lt;&gt;SIGN(B2151),1,0)))</x:f>
        <x:v>0</x:v>
      </x:c>
      <x:c r="D2152" s="256" t="n">
        <x:f>EXP(A2152-0.005)-1</x:f>
        <x:v>-0.9986190726323995</x:v>
      </x:c>
    </x:row>
    <x:row r="2153" ht="20" customHeight="1">
      <x:c r="A2153" s="256" t="n">
        <x:f>-12+543*0.01</x:f>
        <x:v>-6.57</x:v>
      </x:c>
      <x:c r="B2153" s="256" t="n">
        <x:f>IF(COUNT($B$129:$L$129)=11,B$129*EXP(IF(A2153&lt;0,(10-0)*A2153,-0*A2153))+C$129*EXP(IF(A2153&lt;0,(10-1)*A2153,-1*A2153))+D$129*EXP(IF(A2153&lt;0,(10-2)*A2153,-2*A2153))+E$129*EXP(IF(A2153&lt;0,(10-3)*A2153,-3*A2153))+F$129*EXP(IF(A2153&lt;0,(10-4)*A2153,-4*A2153))+G$129*EXP(IF(A2153&lt;0,(10-5)*A2153,-5*A2153))+H$129*EXP(IF(A2153&lt;0,(10-6)*A2153,-6*A2153))+I$129*EXP(IF(A2153&lt;0,(10-7)*A2153,-7*A2153))+J$129*EXP(IF(A2153&lt;0,(10-8)*A2153,-8*A2153))+K$129*EXP(IF(A2153&lt;0,(10-9)*A2153,-9*A2153))+L$129*EXP(IF(A2153&lt;0,(10-10)*A2153,-10*A2153)),0)</x:f>
        <x:v>781764.8401397136</x:v>
      </x:c>
      <x:c r="C2153" s="256" t="n">
        <x:f>IF(B2153=0,IF(B2152=0,0,1),IF(B2152=0,0,IF(SIGN(B2153)&lt;&gt;SIGN(B2152),1,0)))</x:f>
        <x:v>0</x:v>
      </x:c>
      <x:c r="D2153" s="256" t="n">
        <x:f>EXP(A2153-0.005)-1</x:f>
        <x:v>-0.998605194081624</x:v>
      </x:c>
    </x:row>
    <x:row r="2154" ht="20" customHeight="1">
      <x:c r="A2154" s="256" t="n">
        <x:f>-12+544*0.01</x:f>
        <x:v>-6.56</x:v>
      </x:c>
      <x:c r="B2154" s="256" t="n">
        <x:f>IF(COUNT($B$129:$L$129)=11,B$129*EXP(IF(A2154&lt;0,(10-0)*A2154,-0*A2154))+C$129*EXP(IF(A2154&lt;0,(10-1)*A2154,-1*A2154))+D$129*EXP(IF(A2154&lt;0,(10-2)*A2154,-2*A2154))+E$129*EXP(IF(A2154&lt;0,(10-3)*A2154,-3*A2154))+F$129*EXP(IF(A2154&lt;0,(10-4)*A2154,-4*A2154))+G$129*EXP(IF(A2154&lt;0,(10-5)*A2154,-5*A2154))+H$129*EXP(IF(A2154&lt;0,(10-6)*A2154,-6*A2154))+I$129*EXP(IF(A2154&lt;0,(10-7)*A2154,-7*A2154))+J$129*EXP(IF(A2154&lt;0,(10-8)*A2154,-8*A2154))+K$129*EXP(IF(A2154&lt;0,(10-9)*A2154,-9*A2154))+L$129*EXP(IF(A2154&lt;0,(10-10)*A2154,-10*A2154)),0)</x:f>
        <x:v>781765.0179191746</x:v>
      </x:c>
      <x:c r="C2154" s="256" t="n">
        <x:f>IF(B2154=0,IF(B2153=0,0,1),IF(B2153=0,0,IF(SIGN(B2154)&lt;&gt;SIGN(B2153),1,0)))</x:f>
        <x:v>0</x:v>
      </x:c>
      <x:c r="D2154" s="256" t="n">
        <x:f>EXP(A2154-0.005)-1</x:f>
        <x:v>-0.9985911760490943</x:v>
      </x:c>
    </x:row>
    <x:row r="2155" ht="20" customHeight="1">
      <x:c r="A2155" s="256" t="n">
        <x:f>-12+545*0.01</x:f>
        <x:v>-6.55</x:v>
      </x:c>
      <x:c r="B2155" s="256" t="n">
        <x:f>IF(COUNT($B$129:$L$129)=11,B$129*EXP(IF(A2155&lt;0,(10-0)*A2155,-0*A2155))+C$129*EXP(IF(A2155&lt;0,(10-1)*A2155,-1*A2155))+D$129*EXP(IF(A2155&lt;0,(10-2)*A2155,-2*A2155))+E$129*EXP(IF(A2155&lt;0,(10-3)*A2155,-3*A2155))+F$129*EXP(IF(A2155&lt;0,(10-4)*A2155,-4*A2155))+G$129*EXP(IF(A2155&lt;0,(10-5)*A2155,-5*A2155))+H$129*EXP(IF(A2155&lt;0,(10-6)*A2155,-6*A2155))+I$129*EXP(IF(A2155&lt;0,(10-7)*A2155,-7*A2155))+J$129*EXP(IF(A2155&lt;0,(10-8)*A2155,-8*A2155))+K$129*EXP(IF(A2155&lt;0,(10-9)*A2155,-9*A2155))+L$129*EXP(IF(A2155&lt;0,(10-10)*A2155,-10*A2155)),0)</x:f>
        <x:v>781765.1974892261</x:v>
      </x:c>
      <x:c r="C2155" s="256" t="n">
        <x:f>IF(B2155=0,IF(B2154=0,0,1),IF(B2154=0,0,IF(SIGN(B2155)&lt;&gt;SIGN(B2154),1,0)))</x:f>
        <x:v>0</x:v>
      </x:c>
      <x:c r="D2155" s="256" t="n">
        <x:f>EXP(A2155-0.005)-1</x:f>
        <x:v>-0.9985770171329955</x:v>
      </x:c>
    </x:row>
    <x:row r="2156" ht="20" customHeight="1">
      <x:c r="A2156" s="256" t="n">
        <x:f>-12+546*0.01</x:f>
        <x:v>-6.54</x:v>
      </x:c>
      <x:c r="B2156" s="256" t="n">
        <x:f>IF(COUNT($B$129:$L$129)=11,B$129*EXP(IF(A2156&lt;0,(10-0)*A2156,-0*A2156))+C$129*EXP(IF(A2156&lt;0,(10-1)*A2156,-1*A2156))+D$129*EXP(IF(A2156&lt;0,(10-2)*A2156,-2*A2156))+E$129*EXP(IF(A2156&lt;0,(10-3)*A2156,-3*A2156))+F$129*EXP(IF(A2156&lt;0,(10-4)*A2156,-4*A2156))+G$129*EXP(IF(A2156&lt;0,(10-5)*A2156,-5*A2156))+H$129*EXP(IF(A2156&lt;0,(10-6)*A2156,-6*A2156))+I$129*EXP(IF(A2156&lt;0,(10-7)*A2156,-7*A2156))+J$129*EXP(IF(A2156&lt;0,(10-8)*A2156,-8*A2156))+K$129*EXP(IF(A2156&lt;0,(10-9)*A2156,-9*A2156))+L$129*EXP(IF(A2156&lt;0,(10-10)*A2156,-10*A2156)),0)</x:f>
        <x:v>781765.3788679423</x:v>
      </x:c>
      <x:c r="C2156" s="256" t="n">
        <x:f>IF(B2156=0,IF(B2155=0,0,1),IF(B2155=0,0,IF(SIGN(B2156)&lt;&gt;SIGN(B2155),1,0)))</x:f>
        <x:v>0</x:v>
      </x:c>
      <x:c r="D2156" s="256" t="n">
        <x:f>EXP(A2156-0.005)-1</x:f>
        <x:v>-0.9985627159174243</x:v>
      </x:c>
    </x:row>
    <x:row r="2157" ht="20" customHeight="1">
      <x:c r="A2157" s="256" t="n">
        <x:f>-12+547*0.01</x:f>
        <x:v>-6.53</x:v>
      </x:c>
      <x:c r="B2157" s="256" t="n">
        <x:f>IF(COUNT($B$129:$L$129)=11,B$129*EXP(IF(A2157&lt;0,(10-0)*A2157,-0*A2157))+C$129*EXP(IF(A2157&lt;0,(10-1)*A2157,-1*A2157))+D$129*EXP(IF(A2157&lt;0,(10-2)*A2157,-2*A2157))+E$129*EXP(IF(A2157&lt;0,(10-3)*A2157,-3*A2157))+F$129*EXP(IF(A2157&lt;0,(10-4)*A2157,-4*A2157))+G$129*EXP(IF(A2157&lt;0,(10-5)*A2157,-5*A2157))+H$129*EXP(IF(A2157&lt;0,(10-6)*A2157,-6*A2157))+I$129*EXP(IF(A2157&lt;0,(10-7)*A2157,-7*A2157))+J$129*EXP(IF(A2157&lt;0,(10-8)*A2157,-8*A2157))+K$129*EXP(IF(A2157&lt;0,(10-9)*A2157,-9*A2157))+L$129*EXP(IF(A2157&lt;0,(10-10)*A2157,-10*A2157)),0)</x:f>
        <x:v>781765.5620735806</x:v>
      </x:c>
      <x:c r="C2157" s="256" t="n">
        <x:f>IF(B2157=0,IF(B2156=0,0,1),IF(B2156=0,0,IF(SIGN(B2157)&lt;&gt;SIGN(B2156),1,0)))</x:f>
        <x:v>0</x:v>
      </x:c>
      <x:c r="D2157" s="256" t="n">
        <x:f>EXP(A2157-0.005)-1</x:f>
        <x:v>-0.998548270972247</x:v>
      </x:c>
    </x:row>
    <x:row r="2158" ht="20" customHeight="1">
      <x:c r="A2158" s="256" t="n">
        <x:f>-12+548*0.01</x:f>
        <x:v>-6.52</x:v>
      </x:c>
      <x:c r="B2158" s="256" t="n">
        <x:f>IF(COUNT($B$129:$L$129)=11,B$129*EXP(IF(A2158&lt;0,(10-0)*A2158,-0*A2158))+C$129*EXP(IF(A2158&lt;0,(10-1)*A2158,-1*A2158))+D$129*EXP(IF(A2158&lt;0,(10-2)*A2158,-2*A2158))+E$129*EXP(IF(A2158&lt;0,(10-3)*A2158,-3*A2158))+F$129*EXP(IF(A2158&lt;0,(10-4)*A2158,-4*A2158))+G$129*EXP(IF(A2158&lt;0,(10-5)*A2158,-5*A2158))+H$129*EXP(IF(A2158&lt;0,(10-6)*A2158,-6*A2158))+I$129*EXP(IF(A2158&lt;0,(10-7)*A2158,-7*A2158))+J$129*EXP(IF(A2158&lt;0,(10-8)*A2158,-8*A2158))+K$129*EXP(IF(A2158&lt;0,(10-9)*A2158,-9*A2158))+L$129*EXP(IF(A2158&lt;0,(10-10)*A2158,-10*A2158)),0)</x:f>
        <x:v>781765.7471245833</x:v>
      </x:c>
      <x:c r="C2158" s="256" t="n">
        <x:f>IF(B2158=0,IF(B2157=0,0,1),IF(B2157=0,0,IF(SIGN(B2158)&lt;&gt;SIGN(B2157),1,0)))</x:f>
        <x:v>0</x:v>
      </x:c>
      <x:c r="D2158" s="256" t="n">
        <x:f>EXP(A2158-0.005)-1</x:f>
        <x:v>-0.9985336808529571</x:v>
      </x:c>
    </x:row>
    <x:row r="2159" ht="20" customHeight="1">
      <x:c r="A2159" s="256" t="n">
        <x:f>-12+549*0.01</x:f>
        <x:v>-6.51</x:v>
      </x:c>
      <x:c r="B2159" s="256" t="n">
        <x:f>IF(COUNT($B$129:$L$129)=11,B$129*EXP(IF(A2159&lt;0,(10-0)*A2159,-0*A2159))+C$129*EXP(IF(A2159&lt;0,(10-1)*A2159,-1*A2159))+D$129*EXP(IF(A2159&lt;0,(10-2)*A2159,-2*A2159))+E$129*EXP(IF(A2159&lt;0,(10-3)*A2159,-3*A2159))+F$129*EXP(IF(A2159&lt;0,(10-4)*A2159,-4*A2159))+G$129*EXP(IF(A2159&lt;0,(10-5)*A2159,-5*A2159))+H$129*EXP(IF(A2159&lt;0,(10-6)*A2159,-6*A2159))+I$129*EXP(IF(A2159&lt;0,(10-7)*A2159,-7*A2159))+J$129*EXP(IF(A2159&lt;0,(10-8)*A2159,-8*A2159))+K$129*EXP(IF(A2159&lt;0,(10-9)*A2159,-9*A2159))+L$129*EXP(IF(A2159&lt;0,(10-10)*A2159,-10*A2159)),0)</x:f>
        <x:v>781765.9340395803</x:v>
      </x:c>
      <x:c r="C2159" s="256" t="n">
        <x:f>IF(B2159=0,IF(B2158=0,0,1),IF(B2158=0,0,IF(SIGN(B2159)&lt;&gt;SIGN(B2158),1,0)))</x:f>
        <x:v>0</x:v>
      </x:c>
      <x:c r="D2159" s="256" t="n">
        <x:f>EXP(A2159-0.005)-1</x:f>
        <x:v>-0.9985189441005305</x:v>
      </x:c>
    </x:row>
    <x:row r="2160" ht="20" customHeight="1">
      <x:c r="A2160" s="256" t="n">
        <x:f>-12+550*0.01</x:f>
        <x:v>-6.5</x:v>
      </x:c>
      <x:c r="B2160" s="256" t="n">
        <x:f>IF(COUNT($B$129:$L$129)=11,B$129*EXP(IF(A2160&lt;0,(10-0)*A2160,-0*A2160))+C$129*EXP(IF(A2160&lt;0,(10-1)*A2160,-1*A2160))+D$129*EXP(IF(A2160&lt;0,(10-2)*A2160,-2*A2160))+E$129*EXP(IF(A2160&lt;0,(10-3)*A2160,-3*A2160))+F$129*EXP(IF(A2160&lt;0,(10-4)*A2160,-4*A2160))+G$129*EXP(IF(A2160&lt;0,(10-5)*A2160,-5*A2160))+H$129*EXP(IF(A2160&lt;0,(10-6)*A2160,-6*A2160))+I$129*EXP(IF(A2160&lt;0,(10-7)*A2160,-7*A2160))+J$129*EXP(IF(A2160&lt;0,(10-8)*A2160,-8*A2160))+K$129*EXP(IF(A2160&lt;0,(10-9)*A2160,-9*A2160))+L$129*EXP(IF(A2160&lt;0,(10-10)*A2160,-10*A2160)),0)</x:f>
        <x:v>781766.1228373897</x:v>
      </x:c>
      <x:c r="C2160" s="256" t="n">
        <x:f>IF(B2160=0,IF(B2159=0,0,1),IF(B2159=0,0,IF(SIGN(B2160)&lt;&gt;SIGN(B2159),1,0)))</x:f>
        <x:v>0</x:v>
      </x:c>
      <x:c r="D2160" s="256" t="n">
        <x:f>EXP(A2160-0.005)-1</x:f>
        <x:v>-0.9985040592412799</x:v>
      </x:c>
    </x:row>
    <x:row r="2161" ht="20" customHeight="1">
      <x:c r="A2161" s="256" t="n">
        <x:f>-12+551*0.01</x:f>
        <x:v>-6.49</x:v>
      </x:c>
      <x:c r="B2161" s="256" t="n">
        <x:f>IF(COUNT($B$129:$L$129)=11,B$129*EXP(IF(A2161&lt;0,(10-0)*A2161,-0*A2161))+C$129*EXP(IF(A2161&lt;0,(10-1)*A2161,-1*A2161))+D$129*EXP(IF(A2161&lt;0,(10-2)*A2161,-2*A2161))+E$129*EXP(IF(A2161&lt;0,(10-3)*A2161,-3*A2161))+F$129*EXP(IF(A2161&lt;0,(10-4)*A2161,-4*A2161))+G$129*EXP(IF(A2161&lt;0,(10-5)*A2161,-5*A2161))+H$129*EXP(IF(A2161&lt;0,(10-6)*A2161,-6*A2161))+I$129*EXP(IF(A2161&lt;0,(10-7)*A2161,-7*A2161))+J$129*EXP(IF(A2161&lt;0,(10-8)*A2161,-8*A2161))+K$129*EXP(IF(A2161&lt;0,(10-9)*A2161,-9*A2161))+L$129*EXP(IF(A2161&lt;0,(10-10)*A2161,-10*A2161)),0)</x:f>
        <x:v>781766.313537021</x:v>
      </x:c>
      <x:c r="C2161" s="256" t="n">
        <x:f>IF(B2161=0,IF(B2160=0,0,1),IF(B2160=0,0,IF(SIGN(B2161)&lt;&gt;SIGN(B2160),1,0)))</x:f>
        <x:v>0</x:v>
      </x:c>
      <x:c r="D2161" s="256" t="n">
        <x:f>EXP(A2161-0.005)-1</x:f>
        <x:v>-0.9984890247867068</x:v>
      </x:c>
    </x:row>
    <x:row r="2162" ht="20" customHeight="1">
      <x:c r="A2162" s="256" t="n">
        <x:f>-12+552*0.01</x:f>
        <x:v>-6.4799999999999995</x:v>
      </x:c>
      <x:c r="B2162" s="256" t="n">
        <x:f>IF(COUNT($B$129:$L$129)=11,B$129*EXP(IF(A2162&lt;0,(10-0)*A2162,-0*A2162))+C$129*EXP(IF(A2162&lt;0,(10-1)*A2162,-1*A2162))+D$129*EXP(IF(A2162&lt;0,(10-2)*A2162,-2*A2162))+E$129*EXP(IF(A2162&lt;0,(10-3)*A2162,-3*A2162))+F$129*EXP(IF(A2162&lt;0,(10-4)*A2162,-4*A2162))+G$129*EXP(IF(A2162&lt;0,(10-5)*A2162,-5*A2162))+H$129*EXP(IF(A2162&lt;0,(10-6)*A2162,-6*A2162))+I$129*EXP(IF(A2162&lt;0,(10-7)*A2162,-7*A2162))+J$129*EXP(IF(A2162&lt;0,(10-8)*A2162,-8*A2162))+K$129*EXP(IF(A2162&lt;0,(10-9)*A2162,-9*A2162))+L$129*EXP(IF(A2162&lt;0,(10-10)*A2162,-10*A2162)),0)</x:f>
        <x:v>781766.5061576763</x:v>
      </x:c>
      <x:c r="C2162" s="256" t="n">
        <x:f>IF(B2162=0,IF(B2161=0,0,1),IF(B2161=0,0,IF(SIGN(B2162)&lt;&gt;SIGN(B2161),1,0)))</x:f>
        <x:v>0</x:v>
      </x:c>
      <x:c r="D2162" s="256" t="n">
        <x:f>EXP(A2162-0.005)-1</x:f>
        <x:v>-0.9984738392333532</x:v>
      </x:c>
    </x:row>
    <x:row r="2163" ht="20" customHeight="1">
      <x:c r="A2163" s="256" t="n">
        <x:f>-12+553*0.01</x:f>
        <x:v>-6.47</x:v>
      </x:c>
      <x:c r="B2163" s="256" t="n">
        <x:f>IF(COUNT($B$129:$L$129)=11,B$129*EXP(IF(A2163&lt;0,(10-0)*A2163,-0*A2163))+C$129*EXP(IF(A2163&lt;0,(10-1)*A2163,-1*A2163))+D$129*EXP(IF(A2163&lt;0,(10-2)*A2163,-2*A2163))+E$129*EXP(IF(A2163&lt;0,(10-3)*A2163,-3*A2163))+F$129*EXP(IF(A2163&lt;0,(10-4)*A2163,-4*A2163))+G$129*EXP(IF(A2163&lt;0,(10-5)*A2163,-5*A2163))+H$129*EXP(IF(A2163&lt;0,(10-6)*A2163,-6*A2163))+I$129*EXP(IF(A2163&lt;0,(10-7)*A2163,-7*A2163))+J$129*EXP(IF(A2163&lt;0,(10-8)*A2163,-8*A2163))+K$129*EXP(IF(A2163&lt;0,(10-9)*A2163,-9*A2163))+L$129*EXP(IF(A2163&lt;0,(10-10)*A2163,-10*A2163)),0)</x:f>
        <x:v>781766.7007187523</x:v>
      </x:c>
      <x:c r="C2163" s="256" t="n">
        <x:f>IF(B2163=0,IF(B2162=0,0,1),IF(B2162=0,0,IF(SIGN(B2163)&lt;&gt;SIGN(B2162),1,0)))</x:f>
        <x:v>0</x:v>
      </x:c>
      <x:c r="D2163" s="256" t="n">
        <x:f>EXP(A2163-0.005)-1</x:f>
        <x:v>-0.9984585010626511</x:v>
      </x:c>
    </x:row>
    <x:row r="2164" ht="20" customHeight="1">
      <x:c r="A2164" s="256" t="n">
        <x:f>-12+554*0.01</x:f>
        <x:v>-6.46</x:v>
      </x:c>
      <x:c r="B2164" s="256" t="n">
        <x:f>IF(COUNT($B$129:$L$129)=11,B$129*EXP(IF(A2164&lt;0,(10-0)*A2164,-0*A2164))+C$129*EXP(IF(A2164&lt;0,(10-1)*A2164,-1*A2164))+D$129*EXP(IF(A2164&lt;0,(10-2)*A2164,-2*A2164))+E$129*EXP(IF(A2164&lt;0,(10-3)*A2164,-3*A2164))+F$129*EXP(IF(A2164&lt;0,(10-4)*A2164,-4*A2164))+G$129*EXP(IF(A2164&lt;0,(10-5)*A2164,-5*A2164))+H$129*EXP(IF(A2164&lt;0,(10-6)*A2164,-6*A2164))+I$129*EXP(IF(A2164&lt;0,(10-7)*A2164,-7*A2164))+J$129*EXP(IF(A2164&lt;0,(10-8)*A2164,-8*A2164))+K$129*EXP(IF(A2164&lt;0,(10-9)*A2164,-9*A2164))+L$129*EXP(IF(A2164&lt;0,(10-10)*A2164,-10*A2164)),0)</x:f>
        <x:v>781766.8972398429</x:v>
      </x:c>
      <x:c r="C2164" s="256" t="n">
        <x:f>IF(B2164=0,IF(B2163=0,0,1),IF(B2163=0,0,IF(SIGN(B2164)&lt;&gt;SIGN(B2163),1,0)))</x:f>
        <x:v>0</x:v>
      </x:c>
      <x:c r="D2164" s="256" t="n">
        <x:f>EXP(A2164-0.005)-1</x:f>
        <x:v>-0.9984430087407706</x:v>
      </x:c>
    </x:row>
    <x:row r="2165" ht="20" customHeight="1">
      <x:c r="A2165" s="256" t="n">
        <x:f>-12+555*0.01</x:f>
        <x:v>-6.45</x:v>
      </x:c>
      <x:c r="B2165" s="256" t="n">
        <x:f>IF(COUNT($B$129:$L$129)=11,B$129*EXP(IF(A2165&lt;0,(10-0)*A2165,-0*A2165))+C$129*EXP(IF(A2165&lt;0,(10-1)*A2165,-1*A2165))+D$129*EXP(IF(A2165&lt;0,(10-2)*A2165,-2*A2165))+E$129*EXP(IF(A2165&lt;0,(10-3)*A2165,-3*A2165))+F$129*EXP(IF(A2165&lt;0,(10-4)*A2165,-4*A2165))+G$129*EXP(IF(A2165&lt;0,(10-5)*A2165,-5*A2165))+H$129*EXP(IF(A2165&lt;0,(10-6)*A2165,-6*A2165))+I$129*EXP(IF(A2165&lt;0,(10-7)*A2165,-7*A2165))+J$129*EXP(IF(A2165&lt;0,(10-8)*A2165,-8*A2165))+K$129*EXP(IF(A2165&lt;0,(10-9)*A2165,-9*A2165))+L$129*EXP(IF(A2165&lt;0,(10-10)*A2165,-10*A2165)),0)</x:f>
        <x:v>781767.0957407403</x:v>
      </x:c>
      <x:c r="C2165" s="256" t="n">
        <x:f>IF(B2165=0,IF(B2164=0,0,1),IF(B2164=0,0,IF(SIGN(B2165)&lt;&gt;SIGN(B2164),1,0)))</x:f>
        <x:v>0</x:v>
      </x:c>
      <x:c r="D2165" s="256" t="n">
        <x:f>EXP(A2165-0.005)-1</x:f>
        <x:v>-0.9984273607184668</x:v>
      </x:c>
    </x:row>
    <x:row r="2166" ht="20" customHeight="1">
      <x:c r="A2166" s="256" t="n">
        <x:f>-12+556*0.01</x:f>
        <x:v>-6.4399999999999995</x:v>
      </x:c>
      <x:c r="B2166" s="256" t="n">
        <x:f>IF(COUNT($B$129:$L$129)=11,B$129*EXP(IF(A2166&lt;0,(10-0)*A2166,-0*A2166))+C$129*EXP(IF(A2166&lt;0,(10-1)*A2166,-1*A2166))+D$129*EXP(IF(A2166&lt;0,(10-2)*A2166,-2*A2166))+E$129*EXP(IF(A2166&lt;0,(10-3)*A2166,-3*A2166))+F$129*EXP(IF(A2166&lt;0,(10-4)*A2166,-4*A2166))+G$129*EXP(IF(A2166&lt;0,(10-5)*A2166,-5*A2166))+H$129*EXP(IF(A2166&lt;0,(10-6)*A2166,-6*A2166))+I$129*EXP(IF(A2166&lt;0,(10-7)*A2166,-7*A2166))+J$129*EXP(IF(A2166&lt;0,(10-8)*A2166,-8*A2166))+K$129*EXP(IF(A2166&lt;0,(10-9)*A2166,-9*A2166))+L$129*EXP(IF(A2166&lt;0,(10-10)*A2166,-10*A2166)),0)</x:f>
        <x:v>781767.2962414379</x:v>
      </x:c>
      <x:c r="C2166" s="256" t="n">
        <x:f>IF(B2166=0,IF(B2165=0,0,1),IF(B2165=0,0,IF(SIGN(B2166)&lt;&gt;SIGN(B2165),1,0)))</x:f>
        <x:v>0</x:v>
      </x:c>
      <x:c r="D2166" s="256" t="n">
        <x:f>EXP(A2166-0.005)-1</x:f>
        <x:v>-0.9984115554309242</x:v>
      </x:c>
    </x:row>
    <x:row r="2167" ht="20" customHeight="1">
      <x:c r="A2167" s="256" t="n">
        <x:f>-12+557*0.01</x:f>
        <x:v>-6.43</x:v>
      </x:c>
      <x:c r="B2167" s="256" t="n">
        <x:f>IF(COUNT($B$129:$L$129)=11,B$129*EXP(IF(A2167&lt;0,(10-0)*A2167,-0*A2167))+C$129*EXP(IF(A2167&lt;0,(10-1)*A2167,-1*A2167))+D$129*EXP(IF(A2167&lt;0,(10-2)*A2167,-2*A2167))+E$129*EXP(IF(A2167&lt;0,(10-3)*A2167,-3*A2167))+F$129*EXP(IF(A2167&lt;0,(10-4)*A2167,-4*A2167))+G$129*EXP(IF(A2167&lt;0,(10-5)*A2167,-5*A2167))+H$129*EXP(IF(A2167&lt;0,(10-6)*A2167,-6*A2167))+I$129*EXP(IF(A2167&lt;0,(10-7)*A2167,-7*A2167))+J$129*EXP(IF(A2167&lt;0,(10-8)*A2167,-8*A2167))+K$129*EXP(IF(A2167&lt;0,(10-9)*A2167,-9*A2167))+L$129*EXP(IF(A2167&lt;0,(10-10)*A2167,-10*A2167)),0)</x:f>
        <x:v>781767.4987621317</x:v>
      </x:c>
      <x:c r="C2167" s="256" t="n">
        <x:f>IF(B2167=0,IF(B2166=0,0,1),IF(B2166=0,0,IF(SIGN(B2167)&lt;&gt;SIGN(B2166),1,0)))</x:f>
        <x:v>0</x:v>
      </x:c>
      <x:c r="D2167" s="256" t="n">
        <x:f>EXP(A2167-0.005)-1</x:f>
        <x:v>-0.9983955912976011</x:v>
      </x:c>
    </x:row>
    <x:row r="2168" ht="20" customHeight="1">
      <x:c r="A2168" s="256" t="n">
        <x:f>-12+558*0.01</x:f>
        <x:v>-6.42</x:v>
      </x:c>
      <x:c r="B2168" s="256" t="n">
        <x:f>IF(COUNT($B$129:$L$129)=11,B$129*EXP(IF(A2168&lt;0,(10-0)*A2168,-0*A2168))+C$129*EXP(IF(A2168&lt;0,(10-1)*A2168,-1*A2168))+D$129*EXP(IF(A2168&lt;0,(10-2)*A2168,-2*A2168))+E$129*EXP(IF(A2168&lt;0,(10-3)*A2168,-3*A2168))+F$129*EXP(IF(A2168&lt;0,(10-4)*A2168,-4*A2168))+G$129*EXP(IF(A2168&lt;0,(10-5)*A2168,-5*A2168))+H$129*EXP(IF(A2168&lt;0,(10-6)*A2168,-6*A2168))+I$129*EXP(IF(A2168&lt;0,(10-7)*A2168,-7*A2168))+J$129*EXP(IF(A2168&lt;0,(10-8)*A2168,-8*A2168))+K$129*EXP(IF(A2168&lt;0,(10-9)*A2168,-9*A2168))+L$129*EXP(IF(A2168&lt;0,(10-10)*A2168,-10*A2168)),0)</x:f>
        <x:v>781767.7033232228</x:v>
      </x:c>
      <x:c r="C2168" s="256" t="n">
        <x:f>IF(B2168=0,IF(B2167=0,0,1),IF(B2167=0,0,IF(SIGN(B2168)&lt;&gt;SIGN(B2167),1,0)))</x:f>
        <x:v>0</x:v>
      </x:c>
      <x:c r="D2168" s="256" t="n">
        <x:f>EXP(A2168-0.005)-1</x:f>
        <x:v>-0.9983794667220707</x:v>
      </x:c>
    </x:row>
    <x:row r="2169" ht="20" customHeight="1">
      <x:c r="A2169" s="256" t="n">
        <x:f>-12+559*0.01</x:f>
        <x:v>-6.41</x:v>
      </x:c>
      <x:c r="B2169" s="256" t="n">
        <x:f>IF(COUNT($B$129:$L$129)=11,B$129*EXP(IF(A2169&lt;0,(10-0)*A2169,-0*A2169))+C$129*EXP(IF(A2169&lt;0,(10-1)*A2169,-1*A2169))+D$129*EXP(IF(A2169&lt;0,(10-2)*A2169,-2*A2169))+E$129*EXP(IF(A2169&lt;0,(10-3)*A2169,-3*A2169))+F$129*EXP(IF(A2169&lt;0,(10-4)*A2169,-4*A2169))+G$129*EXP(IF(A2169&lt;0,(10-5)*A2169,-5*A2169))+H$129*EXP(IF(A2169&lt;0,(10-6)*A2169,-6*A2169))+I$129*EXP(IF(A2169&lt;0,(10-7)*A2169,-7*A2169))+J$129*EXP(IF(A2169&lt;0,(10-8)*A2169,-8*A2169))+K$129*EXP(IF(A2169&lt;0,(10-9)*A2169,-9*A2169))+L$129*EXP(IF(A2169&lt;0,(10-10)*A2169,-10*A2169)),0)</x:f>
        <x:v>781767.9099453193</x:v>
      </x:c>
      <x:c r="C2169" s="256" t="n">
        <x:f>IF(B2169=0,IF(B2168=0,0,1),IF(B2168=0,0,IF(SIGN(B2169)&lt;&gt;SIGN(B2168),1,0)))</x:f>
        <x:v>0</x:v>
      </x:c>
      <x:c r="D2169" s="256" t="n">
        <x:f>EXP(A2169-0.005)-1</x:f>
        <x:v>-0.9983631800918621</x:v>
      </x:c>
    </x:row>
    <x:row r="2170" ht="20" customHeight="1">
      <x:c r="A2170" s="256" t="n">
        <x:f>-12+560*0.01</x:f>
        <x:v>-6.3999999999999995</x:v>
      </x:c>
      <x:c r="B2170" s="256" t="n">
        <x:f>IF(COUNT($B$129:$L$129)=11,B$129*EXP(IF(A2170&lt;0,(10-0)*A2170,-0*A2170))+C$129*EXP(IF(A2170&lt;0,(10-1)*A2170,-1*A2170))+D$129*EXP(IF(A2170&lt;0,(10-2)*A2170,-2*A2170))+E$129*EXP(IF(A2170&lt;0,(10-3)*A2170,-3*A2170))+F$129*EXP(IF(A2170&lt;0,(10-4)*A2170,-4*A2170))+G$129*EXP(IF(A2170&lt;0,(10-5)*A2170,-5*A2170))+H$129*EXP(IF(A2170&lt;0,(10-6)*A2170,-6*A2170))+I$129*EXP(IF(A2170&lt;0,(10-7)*A2170,-7*A2170))+J$129*EXP(IF(A2170&lt;0,(10-8)*A2170,-8*A2170))+K$129*EXP(IF(A2170&lt;0,(10-9)*A2170,-9*A2170))+L$129*EXP(IF(A2170&lt;0,(10-10)*A2170,-10*A2170)),0)</x:f>
        <x:v>781768.1186492387</x:v>
      </x:c>
      <x:c r="C2170" s="256" t="n">
        <x:f>IF(B2170=0,IF(B2169=0,0,1),IF(B2169=0,0,IF(SIGN(B2170)&lt;&gt;SIGN(B2169),1,0)))</x:f>
        <x:v>0</x:v>
      </x:c>
      <x:c r="D2170" s="256" t="n">
        <x:f>EXP(A2170-0.005)-1</x:f>
        <x:v>-0.9983467297782985</x:v>
      </x:c>
    </x:row>
    <x:row r="2171" ht="20" customHeight="1">
      <x:c r="A2171" s="256" t="n">
        <x:f>-12+561*0.01</x:f>
        <x:v>-6.39</x:v>
      </x:c>
      <x:c r="B2171" s="256" t="n">
        <x:f>IF(COUNT($B$129:$L$129)=11,B$129*EXP(IF(A2171&lt;0,(10-0)*A2171,-0*A2171))+C$129*EXP(IF(A2171&lt;0,(10-1)*A2171,-1*A2171))+D$129*EXP(IF(A2171&lt;0,(10-2)*A2171,-2*A2171))+E$129*EXP(IF(A2171&lt;0,(10-3)*A2171,-3*A2171))+F$129*EXP(IF(A2171&lt;0,(10-4)*A2171,-4*A2171))+G$129*EXP(IF(A2171&lt;0,(10-5)*A2171,-5*A2171))+H$129*EXP(IF(A2171&lt;0,(10-6)*A2171,-6*A2171))+I$129*EXP(IF(A2171&lt;0,(10-7)*A2171,-7*A2171))+J$129*EXP(IF(A2171&lt;0,(10-8)*A2171,-8*A2171))+K$129*EXP(IF(A2171&lt;0,(10-9)*A2171,-9*A2171))+L$129*EXP(IF(A2171&lt;0,(10-10)*A2171,-10*A2171)),0)</x:f>
        <x:v>781768.3294560094</x:v>
      </x:c>
      <x:c r="C2171" s="256" t="n">
        <x:f>IF(B2171=0,IF(B2170=0,0,1),IF(B2170=0,0,IF(SIGN(B2171)&lt;&gt;SIGN(B2170),1,0)))</x:f>
        <x:v>0</x:v>
      </x:c>
      <x:c r="D2171" s="256" t="n">
        <x:f>EXP(A2171-0.005)-1</x:f>
        <x:v>-0.9983301141363352</x:v>
      </x:c>
    </x:row>
    <x:row r="2172" ht="20" customHeight="1">
      <x:c r="A2172" s="256" t="n">
        <x:f>-12+562*0.01</x:f>
        <x:v>-6.38</x:v>
      </x:c>
      <x:c r="B2172" s="256" t="n">
        <x:f>IF(COUNT($B$129:$L$129)=11,B$129*EXP(IF(A2172&lt;0,(10-0)*A2172,-0*A2172))+C$129*EXP(IF(A2172&lt;0,(10-1)*A2172,-1*A2172))+D$129*EXP(IF(A2172&lt;0,(10-2)*A2172,-2*A2172))+E$129*EXP(IF(A2172&lt;0,(10-3)*A2172,-3*A2172))+F$129*EXP(IF(A2172&lt;0,(10-4)*A2172,-4*A2172))+G$129*EXP(IF(A2172&lt;0,(10-5)*A2172,-5*A2172))+H$129*EXP(IF(A2172&lt;0,(10-6)*A2172,-6*A2172))+I$129*EXP(IF(A2172&lt;0,(10-7)*A2172,-7*A2172))+J$129*EXP(IF(A2172&lt;0,(10-8)*A2172,-8*A2172))+K$129*EXP(IF(A2172&lt;0,(10-9)*A2172,-9*A2172))+L$129*EXP(IF(A2172&lt;0,(10-10)*A2172,-10*A2172)),0)</x:f>
        <x:v>781768.5423868736</x:v>
      </x:c>
      <x:c r="C2172" s="256" t="n">
        <x:f>IF(B2172=0,IF(B2171=0,0,1),IF(B2171=0,0,IF(SIGN(B2172)&lt;&gt;SIGN(B2171),1,0)))</x:f>
        <x:v>0</x:v>
      </x:c>
      <x:c r="D2172" s="256" t="n">
        <x:f>EXP(A2172-0.005)-1</x:f>
        <x:v>-0.9983133315043938</x:v>
      </x:c>
    </x:row>
    <x:row r="2173" ht="20" customHeight="1">
      <x:c r="A2173" s="256" t="n">
        <x:f>-12+563*0.01</x:f>
        <x:v>-6.37</x:v>
      </x:c>
      <x:c r="B2173" s="256" t="n">
        <x:f>IF(COUNT($B$129:$L$129)=11,B$129*EXP(IF(A2173&lt;0,(10-0)*A2173,-0*A2173))+C$129*EXP(IF(A2173&lt;0,(10-1)*A2173,-1*A2173))+D$129*EXP(IF(A2173&lt;0,(10-2)*A2173,-2*A2173))+E$129*EXP(IF(A2173&lt;0,(10-3)*A2173,-3*A2173))+F$129*EXP(IF(A2173&lt;0,(10-4)*A2173,-4*A2173))+G$129*EXP(IF(A2173&lt;0,(10-5)*A2173,-5*A2173))+H$129*EXP(IF(A2173&lt;0,(10-6)*A2173,-6*A2173))+I$129*EXP(IF(A2173&lt;0,(10-7)*A2173,-7*A2173))+J$129*EXP(IF(A2173&lt;0,(10-8)*A2173,-8*A2173))+K$129*EXP(IF(A2173&lt;0,(10-9)*A2173,-9*A2173))+L$129*EXP(IF(A2173&lt;0,(10-10)*A2173,-10*A2173)),0)</x:f>
        <x:v>781768.7574632892</x:v>
      </x:c>
      <x:c r="C2173" s="256" t="n">
        <x:f>IF(B2173=0,IF(B2172=0,0,1),IF(B2172=0,0,IF(SIGN(B2173)&lt;&gt;SIGN(B2172),1,0)))</x:f>
        <x:v>0</x:v>
      </x:c>
      <x:c r="D2173" s="256" t="n">
        <x:f>EXP(A2173-0.005)-1</x:f>
        <x:v>-0.9982963802041974</x:v>
      </x:c>
    </x:row>
    <x:row r="2174" ht="20" customHeight="1">
      <x:c r="A2174" s="256" t="n">
        <x:f>-12+564*0.01</x:f>
        <x:v>-6.36</x:v>
      </x:c>
      <x:c r="B2174" s="256" t="n">
        <x:f>IF(COUNT($B$129:$L$129)=11,B$129*EXP(IF(A2174&lt;0,(10-0)*A2174,-0*A2174))+C$129*EXP(IF(A2174&lt;0,(10-1)*A2174,-1*A2174))+D$129*EXP(IF(A2174&lt;0,(10-2)*A2174,-2*A2174))+E$129*EXP(IF(A2174&lt;0,(10-3)*A2174,-3*A2174))+F$129*EXP(IF(A2174&lt;0,(10-4)*A2174,-4*A2174))+G$129*EXP(IF(A2174&lt;0,(10-5)*A2174,-5*A2174))+H$129*EXP(IF(A2174&lt;0,(10-6)*A2174,-6*A2174))+I$129*EXP(IF(A2174&lt;0,(10-7)*A2174,-7*A2174))+J$129*EXP(IF(A2174&lt;0,(10-8)*A2174,-8*A2174))+K$129*EXP(IF(A2174&lt;0,(10-9)*A2174,-9*A2174))+L$129*EXP(IF(A2174&lt;0,(10-10)*A2174,-10*A2174)),0)</x:f>
        <x:v>781768.9747069317</x:v>
      </x:c>
      <x:c r="C2174" s="256" t="n">
        <x:f>IF(B2174=0,IF(B2173=0,0,1),IF(B2173=0,0,IF(SIGN(B2174)&lt;&gt;SIGN(B2173),1,0)))</x:f>
        <x:v>0</x:v>
      </x:c>
      <x:c r="D2174" s="256" t="n">
        <x:f>EXP(A2174-0.005)-1</x:f>
        <x:v>-0.9982792585406017</x:v>
      </x:c>
    </x:row>
    <x:row r="2175" ht="20" customHeight="1">
      <x:c r="A2175" s="256" t="n">
        <x:f>-12+565*0.01</x:f>
        <x:v>-6.35</x:v>
      </x:c>
      <x:c r="B2175" s="256" t="n">
        <x:f>IF(COUNT($B$129:$L$129)=11,B$129*EXP(IF(A2175&lt;0,(10-0)*A2175,-0*A2175))+C$129*EXP(IF(A2175&lt;0,(10-1)*A2175,-1*A2175))+D$129*EXP(IF(A2175&lt;0,(10-2)*A2175,-2*A2175))+E$129*EXP(IF(A2175&lt;0,(10-3)*A2175,-3*A2175))+F$129*EXP(IF(A2175&lt;0,(10-4)*A2175,-4*A2175))+G$129*EXP(IF(A2175&lt;0,(10-5)*A2175,-5*A2175))+H$129*EXP(IF(A2175&lt;0,(10-6)*A2175,-6*A2175))+I$129*EXP(IF(A2175&lt;0,(10-7)*A2175,-7*A2175))+J$129*EXP(IF(A2175&lt;0,(10-8)*A2175,-8*A2175))+K$129*EXP(IF(A2175&lt;0,(10-9)*A2175,-9*A2175))+L$129*EXP(IF(A2175&lt;0,(10-10)*A2175,-10*A2175)),0)</x:f>
        <x:v>781769.194139697</x:v>
      </x:c>
      <x:c r="C2175" s="256" t="n">
        <x:f>IF(B2175=0,IF(B2174=0,0,1),IF(B2174=0,0,IF(SIGN(B2175)&lt;&gt;SIGN(B2174),1,0)))</x:f>
        <x:v>0</x:v>
      </x:c>
      <x:c r="D2175" s="256" t="n">
        <x:f>EXP(A2175-0.005)-1</x:f>
        <x:v>-0.9982619648014261</x:v>
      </x:c>
    </x:row>
    <x:row r="2176" ht="20" customHeight="1">
      <x:c r="A2176" s="256" t="n">
        <x:f>-12+566*0.01</x:f>
        <x:v>-6.34</x:v>
      </x:c>
      <x:c r="B2176" s="256" t="n">
        <x:f>IF(COUNT($B$129:$L$129)=11,B$129*EXP(IF(A2176&lt;0,(10-0)*A2176,-0*A2176))+C$129*EXP(IF(A2176&lt;0,(10-1)*A2176,-1*A2176))+D$129*EXP(IF(A2176&lt;0,(10-2)*A2176,-2*A2176))+E$129*EXP(IF(A2176&lt;0,(10-3)*A2176,-3*A2176))+F$129*EXP(IF(A2176&lt;0,(10-4)*A2176,-4*A2176))+G$129*EXP(IF(A2176&lt;0,(10-5)*A2176,-5*A2176))+H$129*EXP(IF(A2176&lt;0,(10-6)*A2176,-6*A2176))+I$129*EXP(IF(A2176&lt;0,(10-7)*A2176,-7*A2176))+J$129*EXP(IF(A2176&lt;0,(10-8)*A2176,-8*A2176))+K$129*EXP(IF(A2176&lt;0,(10-9)*A2176,-9*A2176))+L$129*EXP(IF(A2176&lt;0,(10-10)*A2176,-10*A2176)),0)</x:f>
        <x:v>781769.4157837033</x:v>
      </x:c>
      <x:c r="C2176" s="256" t="n">
        <x:f>IF(B2176=0,IF(B2175=0,0,1),IF(B2175=0,0,IF(SIGN(B2176)&lt;&gt;SIGN(B2175),1,0)))</x:f>
        <x:v>0</x:v>
      </x:c>
      <x:c r="D2176" s="256" t="n">
        <x:f>EXP(A2176-0.005)-1</x:f>
        <x:v>-0.9982444972572823</x:v>
      </x:c>
    </x:row>
    <x:row r="2177" ht="20" customHeight="1">
      <x:c r="A2177" s="256" t="n">
        <x:f>-12+567*0.01</x:f>
        <x:v>-6.33</x:v>
      </x:c>
      <x:c r="B2177" s="256" t="n">
        <x:f>IF(COUNT($B$129:$L$129)=11,B$129*EXP(IF(A2177&lt;0,(10-0)*A2177,-0*A2177))+C$129*EXP(IF(A2177&lt;0,(10-1)*A2177,-1*A2177))+D$129*EXP(IF(A2177&lt;0,(10-2)*A2177,-2*A2177))+E$129*EXP(IF(A2177&lt;0,(10-3)*A2177,-3*A2177))+F$129*EXP(IF(A2177&lt;0,(10-4)*A2177,-4*A2177))+G$129*EXP(IF(A2177&lt;0,(10-5)*A2177,-5*A2177))+H$129*EXP(IF(A2177&lt;0,(10-6)*A2177,-6*A2177))+I$129*EXP(IF(A2177&lt;0,(10-7)*A2177,-7*A2177))+J$129*EXP(IF(A2177&lt;0,(10-8)*A2177,-8*A2177))+K$129*EXP(IF(A2177&lt;0,(10-9)*A2177,-9*A2177))+L$129*EXP(IF(A2177&lt;0,(10-10)*A2177,-10*A2177)),0)</x:f>
        <x:v>781769.6396612936</x:v>
      </x:c>
      <x:c r="C2177" s="256" t="n">
        <x:f>IF(B2177=0,IF(B2176=0,0,1),IF(B2176=0,0,IF(SIGN(B2177)&lt;&gt;SIGN(B2176),1,0)))</x:f>
        <x:v>0</x:v>
      </x:c>
      <x:c r="D2177" s="256" t="n">
        <x:f>EXP(A2177-0.005)-1</x:f>
        <x:v>-0.9982268541614012</x:v>
      </x:c>
    </x:row>
    <x:row r="2178" ht="20" customHeight="1">
      <x:c r="A2178" s="256" t="n">
        <x:f>-12+568*0.01</x:f>
        <x:v>-6.32</x:v>
      </x:c>
      <x:c r="B2178" s="256" t="n">
        <x:f>IF(COUNT($B$129:$L$129)=11,B$129*EXP(IF(A2178&lt;0,(10-0)*A2178,-0*A2178))+C$129*EXP(IF(A2178&lt;0,(10-1)*A2178,-1*A2178))+D$129*EXP(IF(A2178&lt;0,(10-2)*A2178,-2*A2178))+E$129*EXP(IF(A2178&lt;0,(10-3)*A2178,-3*A2178))+F$129*EXP(IF(A2178&lt;0,(10-4)*A2178,-4*A2178))+G$129*EXP(IF(A2178&lt;0,(10-5)*A2178,-5*A2178))+H$129*EXP(IF(A2178&lt;0,(10-6)*A2178,-6*A2178))+I$129*EXP(IF(A2178&lt;0,(10-7)*A2178,-7*A2178))+J$129*EXP(IF(A2178&lt;0,(10-8)*A2178,-8*A2178))+K$129*EXP(IF(A2178&lt;0,(10-9)*A2178,-9*A2178))+L$129*EXP(IF(A2178&lt;0,(10-10)*A2178,-10*A2178)),0)</x:f>
        <x:v>781769.8657950374</x:v>
      </x:c>
      <x:c r="C2178" s="256" t="n">
        <x:f>IF(B2178=0,IF(B2177=0,0,1),IF(B2177=0,0,IF(SIGN(B2178)&lt;&gt;SIGN(B2177),1,0)))</x:f>
        <x:v>0</x:v>
      </x:c>
      <x:c r="D2178" s="256" t="n">
        <x:f>EXP(A2178-0.005)-1</x:f>
        <x:v>-0.9982090337494587</x:v>
      </x:c>
    </x:row>
    <x:row r="2179" ht="20" customHeight="1">
      <x:c r="A2179" s="256" t="n">
        <x:f>-12+569*0.01</x:f>
        <x:v>-6.31</x:v>
      </x:c>
      <x:c r="B2179" s="256" t="n">
        <x:f>IF(COUNT($B$129:$L$129)=11,B$129*EXP(IF(A2179&lt;0,(10-0)*A2179,-0*A2179))+C$129*EXP(IF(A2179&lt;0,(10-1)*A2179,-1*A2179))+D$129*EXP(IF(A2179&lt;0,(10-2)*A2179,-2*A2179))+E$129*EXP(IF(A2179&lt;0,(10-3)*A2179,-3*A2179))+F$129*EXP(IF(A2179&lt;0,(10-4)*A2179,-4*A2179))+G$129*EXP(IF(A2179&lt;0,(10-5)*A2179,-5*A2179))+H$129*EXP(IF(A2179&lt;0,(10-6)*A2179,-6*A2179))+I$129*EXP(IF(A2179&lt;0,(10-7)*A2179,-7*A2179))+J$129*EXP(IF(A2179&lt;0,(10-8)*A2179,-8*A2179))+K$129*EXP(IF(A2179&lt;0,(10-9)*A2179,-9*A2179))+L$129*EXP(IF(A2179&lt;0,(10-10)*A2179,-10*A2179)),0)</x:f>
        <x:v>781770.094207734</x:v>
      </x:c>
      <x:c r="C2179" s="256" t="n">
        <x:f>IF(B2179=0,IF(B2178=0,0,1),IF(B2178=0,0,IF(SIGN(B2179)&lt;&gt;SIGN(B2178),1,0)))</x:f>
        <x:v>0</x:v>
      </x:c>
      <x:c r="D2179" s="256" t="n">
        <x:f>EXP(A2179-0.005)-1</x:f>
        <x:v>-0.9981910342393987</x:v>
      </x:c>
    </x:row>
    <x:row r="2180" ht="20" customHeight="1">
      <x:c r="A2180" s="256" t="n">
        <x:f>-12+570*0.01</x:f>
        <x:v>-6.3</x:v>
      </x:c>
      <x:c r="B2180" s="256" t="n">
        <x:f>IF(COUNT($B$129:$L$129)=11,B$129*EXP(IF(A2180&lt;0,(10-0)*A2180,-0*A2180))+C$129*EXP(IF(A2180&lt;0,(10-1)*A2180,-1*A2180))+D$129*EXP(IF(A2180&lt;0,(10-2)*A2180,-2*A2180))+E$129*EXP(IF(A2180&lt;0,(10-3)*A2180,-3*A2180))+F$129*EXP(IF(A2180&lt;0,(10-4)*A2180,-4*A2180))+G$129*EXP(IF(A2180&lt;0,(10-5)*A2180,-5*A2180))+H$129*EXP(IF(A2180&lt;0,(10-6)*A2180,-6*A2180))+I$129*EXP(IF(A2180&lt;0,(10-7)*A2180,-7*A2180))+J$129*EXP(IF(A2180&lt;0,(10-8)*A2180,-8*A2180))+K$129*EXP(IF(A2180&lt;0,(10-9)*A2180,-9*A2180))+L$129*EXP(IF(A2180&lt;0,(10-10)*A2180,-10*A2180)),0)</x:f>
        <x:v>781770.3249224141</x:v>
      </x:c>
      <x:c r="C2180" s="256" t="n">
        <x:f>IF(B2180=0,IF(B2179=0,0,1),IF(B2179=0,0,IF(SIGN(B2180)&lt;&gt;SIGN(B2179),1,0)))</x:f>
        <x:v>0</x:v>
      </x:c>
      <x:c r="D2180" s="256" t="n">
        <x:f>EXP(A2180-0.005)-1</x:f>
        <x:v>-0.9981728538312551</x:v>
      </x:c>
    </x:row>
    <x:row r="2181" ht="20" customHeight="1">
      <x:c r="A2181" s="256" t="n">
        <x:f>-12+571*0.01</x:f>
        <x:v>-6.29</x:v>
      </x:c>
      <x:c r="B2181" s="256" t="n">
        <x:f>IF(COUNT($B$129:$L$129)=11,B$129*EXP(IF(A2181&lt;0,(10-0)*A2181,-0*A2181))+C$129*EXP(IF(A2181&lt;0,(10-1)*A2181,-1*A2181))+D$129*EXP(IF(A2181&lt;0,(10-2)*A2181,-2*A2181))+E$129*EXP(IF(A2181&lt;0,(10-3)*A2181,-3*A2181))+F$129*EXP(IF(A2181&lt;0,(10-4)*A2181,-4*A2181))+G$129*EXP(IF(A2181&lt;0,(10-5)*A2181,-5*A2181))+H$129*EXP(IF(A2181&lt;0,(10-6)*A2181,-6*A2181))+I$129*EXP(IF(A2181&lt;0,(10-7)*A2181,-7*A2181))+J$129*EXP(IF(A2181&lt;0,(10-8)*A2181,-8*A2181))+K$129*EXP(IF(A2181&lt;0,(10-9)*A2181,-9*A2181))+L$129*EXP(IF(A2181&lt;0,(10-10)*A2181,-10*A2181)),0)</x:f>
        <x:v>781770.5579623427</x:v>
      </x:c>
      <x:c r="C2181" s="256" t="n">
        <x:f>IF(B2181=0,IF(B2180=0,0,1),IF(B2180=0,0,IF(SIGN(B2181)&lt;&gt;SIGN(B2180),1,0)))</x:f>
        <x:v>0</x:v>
      </x:c>
      <x:c r="D2181" s="256" t="n">
        <x:f>EXP(A2181-0.005)-1</x:f>
        <x:v>-0.998154490706972</x:v>
      </x:c>
    </x:row>
    <x:row r="2182" ht="20" customHeight="1">
      <x:c r="A2182" s="256" t="n">
        <x:f>-12+572*0.01</x:f>
        <x:v>-6.28</x:v>
      </x:c>
      <x:c r="B2182" s="256" t="n">
        <x:f>IF(COUNT($B$129:$L$129)=11,B$129*EXP(IF(A2182&lt;0,(10-0)*A2182,-0*A2182))+C$129*EXP(IF(A2182&lt;0,(10-1)*A2182,-1*A2182))+D$129*EXP(IF(A2182&lt;0,(10-2)*A2182,-2*A2182))+E$129*EXP(IF(A2182&lt;0,(10-3)*A2182,-3*A2182))+F$129*EXP(IF(A2182&lt;0,(10-4)*A2182,-4*A2182))+G$129*EXP(IF(A2182&lt;0,(10-5)*A2182,-5*A2182))+H$129*EXP(IF(A2182&lt;0,(10-6)*A2182,-6*A2182))+I$129*EXP(IF(A2182&lt;0,(10-7)*A2182,-7*A2182))+J$129*EXP(IF(A2182&lt;0,(10-8)*A2182,-8*A2182))+K$129*EXP(IF(A2182&lt;0,(10-9)*A2182,-9*A2182))+L$129*EXP(IF(A2182&lt;0,(10-10)*A2182,-10*A2182)),0)</x:f>
        <x:v>781770.7933510209</x:v>
      </x:c>
      <x:c r="C2182" s="256" t="n">
        <x:f>IF(B2182=0,IF(B2181=0,0,1),IF(B2181=0,0,IF(SIGN(B2182)&lt;&gt;SIGN(B2181),1,0)))</x:f>
        <x:v>0</x:v>
      </x:c>
      <x:c r="D2182" s="256" t="n">
        <x:f>EXP(A2182-0.005)-1</x:f>
        <x:v>-0.9981359430302217</x:v>
      </x:c>
    </x:row>
    <x:row r="2183" ht="20" customHeight="1">
      <x:c r="A2183" s="256" t="n">
        <x:f>-12+573*0.01</x:f>
        <x:v>-6.27</x:v>
      </x:c>
      <x:c r="B2183" s="256" t="n">
        <x:f>IF(COUNT($B$129:$L$129)=11,B$129*EXP(IF(A2183&lt;0,(10-0)*A2183,-0*A2183))+C$129*EXP(IF(A2183&lt;0,(10-1)*A2183,-1*A2183))+D$129*EXP(IF(A2183&lt;0,(10-2)*A2183,-2*A2183))+E$129*EXP(IF(A2183&lt;0,(10-3)*A2183,-3*A2183))+F$129*EXP(IF(A2183&lt;0,(10-4)*A2183,-4*A2183))+G$129*EXP(IF(A2183&lt;0,(10-5)*A2183,-5*A2183))+H$129*EXP(IF(A2183&lt;0,(10-6)*A2183,-6*A2183))+I$129*EXP(IF(A2183&lt;0,(10-7)*A2183,-7*A2183))+J$129*EXP(IF(A2183&lt;0,(10-8)*A2183,-8*A2183))+K$129*EXP(IF(A2183&lt;0,(10-9)*A2183,-9*A2183))+L$129*EXP(IF(A2183&lt;0,(10-10)*A2183,-10*A2183)),0)</x:f>
        <x:v>781771.0311121888</x:v>
      </x:c>
      <x:c r="C2183" s="256" t="n">
        <x:f>IF(B2183=0,IF(B2182=0,0,1),IF(B2182=0,0,IF(SIGN(B2183)&lt;&gt;SIGN(B2182),1,0)))</x:f>
        <x:v>0</x:v>
      </x:c>
      <x:c r="D2183" s="256" t="n">
        <x:f>EXP(A2183-0.005)-1</x:f>
        <x:v>-0.998117208946221</x:v>
      </x:c>
    </x:row>
    <x:row r="2184" ht="20" customHeight="1">
      <x:c r="A2184" s="256" t="n">
        <x:f>-12+574*0.01</x:f>
        <x:v>-6.26</x:v>
      </x:c>
      <x:c r="B2184" s="256" t="n">
        <x:f>IF(COUNT($B$129:$L$129)=11,B$129*EXP(IF(A2184&lt;0,(10-0)*A2184,-0*A2184))+C$129*EXP(IF(A2184&lt;0,(10-1)*A2184,-1*A2184))+D$129*EXP(IF(A2184&lt;0,(10-2)*A2184,-2*A2184))+E$129*EXP(IF(A2184&lt;0,(10-3)*A2184,-3*A2184))+F$129*EXP(IF(A2184&lt;0,(10-4)*A2184,-4*A2184))+G$129*EXP(IF(A2184&lt;0,(10-5)*A2184,-5*A2184))+H$129*EXP(IF(A2184&lt;0,(10-6)*A2184,-6*A2184))+I$129*EXP(IF(A2184&lt;0,(10-7)*A2184,-7*A2184))+J$129*EXP(IF(A2184&lt;0,(10-8)*A2184,-8*A2184))+K$129*EXP(IF(A2184&lt;0,(10-9)*A2184,-9*A2184))+L$129*EXP(IF(A2184&lt;0,(10-10)*A2184,-10*A2184)),0)</x:f>
        <x:v>781771.271269828</x:v>
      </x:c>
      <x:c r="C2184" s="256" t="n">
        <x:f>IF(B2184=0,IF(B2183=0,0,1),IF(B2183=0,0,IF(SIGN(B2184)&lt;&gt;SIGN(B2183),1,0)))</x:f>
        <x:v>0</x:v>
      </x:c>
      <x:c r="D2184" s="256" t="n">
        <x:f>EXP(A2184-0.005)-1</x:f>
        <x:v>-0.998098286581546</x:v>
      </x:c>
    </x:row>
    <x:row r="2185" ht="20" customHeight="1">
      <x:c r="A2185" s="256" t="n">
        <x:f>-12+575*0.01</x:f>
        <x:v>-6.25</x:v>
      </x:c>
      <x:c r="B2185" s="256" t="n">
        <x:f>IF(COUNT($B$129:$L$129)=11,B$129*EXP(IF(A2185&lt;0,(10-0)*A2185,-0*A2185))+C$129*EXP(IF(A2185&lt;0,(10-1)*A2185,-1*A2185))+D$129*EXP(IF(A2185&lt;0,(10-2)*A2185,-2*A2185))+E$129*EXP(IF(A2185&lt;0,(10-3)*A2185,-3*A2185))+F$129*EXP(IF(A2185&lt;0,(10-4)*A2185,-4*A2185))+G$129*EXP(IF(A2185&lt;0,(10-5)*A2185,-5*A2185))+H$129*EXP(IF(A2185&lt;0,(10-6)*A2185,-6*A2185))+I$129*EXP(IF(A2185&lt;0,(10-7)*A2185,-7*A2185))+J$129*EXP(IF(A2185&lt;0,(10-8)*A2185,-8*A2185))+K$129*EXP(IF(A2185&lt;0,(10-9)*A2185,-9*A2185))+L$129*EXP(IF(A2185&lt;0,(10-10)*A2185,-10*A2185)),0)</x:f>
        <x:v>781771.5138481635</x:v>
      </x:c>
      <x:c r="C2185" s="256" t="n">
        <x:f>IF(B2185=0,IF(B2184=0,0,1),IF(B2184=0,0,IF(SIGN(B2185)&lt;&gt;SIGN(B2184),1,0)))</x:f>
        <x:v>0</x:v>
      </x:c>
      <x:c r="D2185" s="256" t="n">
        <x:f>EXP(A2185-0.005)-1</x:f>
        <x:v>-0.9980791740439443</x:v>
      </x:c>
    </x:row>
    <x:row r="2186" ht="20" customHeight="1">
      <x:c r="A2186" s="256" t="n">
        <x:f>-12+576*0.01</x:f>
        <x:v>-6.24</x:v>
      </x:c>
      <x:c r="B2186" s="256" t="n">
        <x:f>IF(COUNT($B$129:$L$129)=11,B$129*EXP(IF(A2186&lt;0,(10-0)*A2186,-0*A2186))+C$129*EXP(IF(A2186&lt;0,(10-1)*A2186,-1*A2186))+D$129*EXP(IF(A2186&lt;0,(10-2)*A2186,-2*A2186))+E$129*EXP(IF(A2186&lt;0,(10-3)*A2186,-3*A2186))+F$129*EXP(IF(A2186&lt;0,(10-4)*A2186,-4*A2186))+G$129*EXP(IF(A2186&lt;0,(10-5)*A2186,-5*A2186))+H$129*EXP(IF(A2186&lt;0,(10-6)*A2186,-6*A2186))+I$129*EXP(IF(A2186&lt;0,(10-7)*A2186,-7*A2186))+J$129*EXP(IF(A2186&lt;0,(10-8)*A2186,-8*A2186))+K$129*EXP(IF(A2186&lt;0,(10-9)*A2186,-9*A2186))+L$129*EXP(IF(A2186&lt;0,(10-10)*A2186,-10*A2186)),0)</x:f>
        <x:v>781771.7588716672</x:v>
      </x:c>
      <x:c r="C2186" s="256" t="n">
        <x:f>IF(B2186=0,IF(B2185=0,0,1),IF(B2185=0,0,IF(SIGN(B2186)&lt;&gt;SIGN(B2185),1,0)))</x:f>
        <x:v>0</x:v>
      </x:c>
      <x:c r="D2186" s="256" t="n">
        <x:f>EXP(A2186-0.005)-1</x:f>
        <x:v>-0.9980598694221463</x:v>
      </x:c>
    </x:row>
    <x:row r="2187" ht="20" customHeight="1">
      <x:c r="A2187" s="256" t="n">
        <x:f>-12+577*0.01</x:f>
        <x:v>-6.2299999999999995</x:v>
      </x:c>
      <x:c r="B2187" s="256" t="n">
        <x:f>IF(COUNT($B$129:$L$129)=11,B$129*EXP(IF(A2187&lt;0,(10-0)*A2187,-0*A2187))+C$129*EXP(IF(A2187&lt;0,(10-1)*A2187,-1*A2187))+D$129*EXP(IF(A2187&lt;0,(10-2)*A2187,-2*A2187))+E$129*EXP(IF(A2187&lt;0,(10-3)*A2187,-3*A2187))+F$129*EXP(IF(A2187&lt;0,(10-4)*A2187,-4*A2187))+G$129*EXP(IF(A2187&lt;0,(10-5)*A2187,-5*A2187))+H$129*EXP(IF(A2187&lt;0,(10-6)*A2187,-6*A2187))+I$129*EXP(IF(A2187&lt;0,(10-7)*A2187,-7*A2187))+J$129*EXP(IF(A2187&lt;0,(10-8)*A2187,-8*A2187))+K$129*EXP(IF(A2187&lt;0,(10-9)*A2187,-9*A2187))+L$129*EXP(IF(A2187&lt;0,(10-10)*A2187,-10*A2187)),0)</x:f>
        <x:v>781772.0063650592</x:v>
      </x:c>
      <x:c r="C2187" s="256" t="n">
        <x:f>IF(B2187=0,IF(B2186=0,0,1),IF(B2186=0,0,IF(SIGN(B2187)&lt;&gt;SIGN(B2186),1,0)))</x:f>
        <x:v>0</x:v>
      </x:c>
      <x:c r="D2187" s="256" t="n">
        <x:f>EXP(A2187-0.005)-1</x:f>
        <x:v>-0.9980403707856738</x:v>
      </x:c>
    </x:row>
    <x:row r="2188" ht="20" customHeight="1">
      <x:c r="A2188" s="256" t="n">
        <x:f>-12+578*0.01</x:f>
        <x:v>-6.22</x:v>
      </x:c>
      <x:c r="B2188" s="256" t="n">
        <x:f>IF(COUNT($B$129:$L$129)=11,B$129*EXP(IF(A2188&lt;0,(10-0)*A2188,-0*A2188))+C$129*EXP(IF(A2188&lt;0,(10-1)*A2188,-1*A2188))+D$129*EXP(IF(A2188&lt;0,(10-2)*A2188,-2*A2188))+E$129*EXP(IF(A2188&lt;0,(10-3)*A2188,-3*A2188))+F$129*EXP(IF(A2188&lt;0,(10-4)*A2188,-4*A2188))+G$129*EXP(IF(A2188&lt;0,(10-5)*A2188,-5*A2188))+H$129*EXP(IF(A2188&lt;0,(10-6)*A2188,-6*A2188))+I$129*EXP(IF(A2188&lt;0,(10-7)*A2188,-7*A2188))+J$129*EXP(IF(A2188&lt;0,(10-8)*A2188,-8*A2188))+K$129*EXP(IF(A2188&lt;0,(10-9)*A2188,-9*A2188))+L$129*EXP(IF(A2188&lt;0,(10-10)*A2188,-10*A2188)),0)</x:f>
        <x:v>781772.2563533115</x:v>
      </x:c>
      <x:c r="C2188" s="256" t="n">
        <x:f>IF(B2188=0,IF(B2187=0,0,1),IF(B2187=0,0,IF(SIGN(B2188)&lt;&gt;SIGN(B2187),1,0)))</x:f>
        <x:v>0</x:v>
      </x:c>
      <x:c r="D2188" s="256" t="n">
        <x:f>EXP(A2188-0.005)-1</x:f>
        <x:v>-0.9980206761846468</x:v>
      </x:c>
    </x:row>
    <x:row r="2189" ht="20" customHeight="1">
      <x:c r="A2189" s="256" t="n">
        <x:f>-12+579*0.01</x:f>
        <x:v>-6.21</x:v>
      </x:c>
      <x:c r="B2189" s="256" t="n">
        <x:f>IF(COUNT($B$129:$L$129)=11,B$129*EXP(IF(A2189&lt;0,(10-0)*A2189,-0*A2189))+C$129*EXP(IF(A2189&lt;0,(10-1)*A2189,-1*A2189))+D$129*EXP(IF(A2189&lt;0,(10-2)*A2189,-2*A2189))+E$129*EXP(IF(A2189&lt;0,(10-3)*A2189,-3*A2189))+F$129*EXP(IF(A2189&lt;0,(10-4)*A2189,-4*A2189))+G$129*EXP(IF(A2189&lt;0,(10-5)*A2189,-5*A2189))+H$129*EXP(IF(A2189&lt;0,(10-6)*A2189,-6*A2189))+I$129*EXP(IF(A2189&lt;0,(10-7)*A2189,-7*A2189))+J$129*EXP(IF(A2189&lt;0,(10-8)*A2189,-8*A2189))+K$129*EXP(IF(A2189&lt;0,(10-9)*A2189,-9*A2189))+L$129*EXP(IF(A2189&lt;0,(10-10)*A2189,-10*A2189)),0)</x:f>
        <x:v>781772.5088616497</x:v>
      </x:c>
      <x:c r="C2189" s="256" t="n">
        <x:f>IF(B2189=0,IF(B2188=0,0,1),IF(B2188=0,0,IF(SIGN(B2189)&lt;&gt;SIGN(B2188),1,0)))</x:f>
        <x:v>0</x:v>
      </x:c>
      <x:c r="D2189" s="256" t="n">
        <x:f>EXP(A2189-0.005)-1</x:f>
        <x:v>-0.9980007836495889</x:v>
      </x:c>
    </x:row>
    <x:row r="2190" ht="20" customHeight="1">
      <x:c r="A2190" s="256" t="n">
        <x:f>-12+580*0.01</x:f>
        <x:v>-6.2</x:v>
      </x:c>
      <x:c r="B2190" s="256" t="n">
        <x:f>IF(COUNT($B$129:$L$129)=11,B$129*EXP(IF(A2190&lt;0,(10-0)*A2190,-0*A2190))+C$129*EXP(IF(A2190&lt;0,(10-1)*A2190,-1*A2190))+D$129*EXP(IF(A2190&lt;0,(10-2)*A2190,-2*A2190))+E$129*EXP(IF(A2190&lt;0,(10-3)*A2190,-3*A2190))+F$129*EXP(IF(A2190&lt;0,(10-4)*A2190,-4*A2190))+G$129*EXP(IF(A2190&lt;0,(10-5)*A2190,-5*A2190))+H$129*EXP(IF(A2190&lt;0,(10-6)*A2190,-6*A2190))+I$129*EXP(IF(A2190&lt;0,(10-7)*A2190,-7*A2190))+J$129*EXP(IF(A2190&lt;0,(10-8)*A2190,-8*A2190))+K$129*EXP(IF(A2190&lt;0,(10-9)*A2190,-9*A2190))+L$129*EXP(IF(A2190&lt;0,(10-10)*A2190,-10*A2190)),0)</x:f>
        <x:v>781772.7639155564</x:v>
      </x:c>
      <x:c r="C2190" s="256" t="n">
        <x:f>IF(B2190=0,IF(B2189=0,0,1),IF(B2189=0,0,IF(SIGN(B2190)&lt;&gt;SIGN(B2189),1,0)))</x:f>
        <x:v>0</x:v>
      </x:c>
      <x:c r="D2190" s="256" t="n">
        <x:f>EXP(A2190-0.005)-1</x:f>
        <x:v>-0.9979806911912298</x:v>
      </x:c>
    </x:row>
    <x:row r="2191" ht="20" customHeight="1">
      <x:c r="A2191" s="256" t="n">
        <x:f>-12+581*0.01</x:f>
        <x:v>-6.1899999999999995</x:v>
      </x:c>
      <x:c r="B2191" s="256" t="n">
        <x:f>IF(COUNT($B$129:$L$129)=11,B$129*EXP(IF(A2191&lt;0,(10-0)*A2191,-0*A2191))+C$129*EXP(IF(A2191&lt;0,(10-1)*A2191,-1*A2191))+D$129*EXP(IF(A2191&lt;0,(10-2)*A2191,-2*A2191))+E$129*EXP(IF(A2191&lt;0,(10-3)*A2191,-3*A2191))+F$129*EXP(IF(A2191&lt;0,(10-4)*A2191,-4*A2191))+G$129*EXP(IF(A2191&lt;0,(10-5)*A2191,-5*A2191))+H$129*EXP(IF(A2191&lt;0,(10-6)*A2191,-6*A2191))+I$129*EXP(IF(A2191&lt;0,(10-7)*A2191,-7*A2191))+J$129*EXP(IF(A2191&lt;0,(10-8)*A2191,-8*A2191))+K$129*EXP(IF(A2191&lt;0,(10-9)*A2191,-9*A2191))+L$129*EXP(IF(A2191&lt;0,(10-10)*A2191,-10*A2191)),0)</x:f>
        <x:v>781773.0215407731</x:v>
      </x:c>
      <x:c r="C2191" s="256" t="n">
        <x:f>IF(B2191=0,IF(B2190=0,0,1),IF(B2190=0,0,IF(SIGN(B2191)&lt;&gt;SIGN(B2190),1,0)))</x:f>
        <x:v>0</x:v>
      </x:c>
      <x:c r="D2191" s="256" t="n">
        <x:f>EXP(A2191-0.005)-1</x:f>
        <x:v>-0.9979603968003071</x:v>
      </x:c>
    </x:row>
    <x:row r="2192" ht="20" customHeight="1">
      <x:c r="A2192" s="256" t="n">
        <x:f>-12+582*0.01</x:f>
        <x:v>-6.18</x:v>
      </x:c>
      <x:c r="B2192" s="256" t="n">
        <x:f>IF(COUNT($B$129:$L$129)=11,B$129*EXP(IF(A2192&lt;0,(10-0)*A2192,-0*A2192))+C$129*EXP(IF(A2192&lt;0,(10-1)*A2192,-1*A2192))+D$129*EXP(IF(A2192&lt;0,(10-2)*A2192,-2*A2192))+E$129*EXP(IF(A2192&lt;0,(10-3)*A2192,-3*A2192))+F$129*EXP(IF(A2192&lt;0,(10-4)*A2192,-4*A2192))+G$129*EXP(IF(A2192&lt;0,(10-5)*A2192,-5*A2192))+H$129*EXP(IF(A2192&lt;0,(10-6)*A2192,-6*A2192))+I$129*EXP(IF(A2192&lt;0,(10-7)*A2192,-7*A2192))+J$129*EXP(IF(A2192&lt;0,(10-8)*A2192,-8*A2192))+K$129*EXP(IF(A2192&lt;0,(10-9)*A2192,-9*A2192))+L$129*EXP(IF(A2192&lt;0,(10-10)*A2192,-10*A2192)),0)</x:f>
        <x:v>781773.2817633036</x:v>
      </x:c>
      <x:c r="C2192" s="256" t="n">
        <x:f>IF(B2192=0,IF(B2191=0,0,1),IF(B2191=0,0,IF(SIGN(B2192)&lt;&gt;SIGN(B2191),1,0)))</x:f>
        <x:v>0</x:v>
      </x:c>
      <x:c r="D2192" s="256" t="n">
        <x:f>EXP(A2192-0.005)-1</x:f>
        <x:v>-0.9979398984473649</x:v>
      </x:c>
    </x:row>
    <x:row r="2193" ht="20" customHeight="1">
      <x:c r="A2193" s="256" t="n">
        <x:f>-12+583*0.01</x:f>
        <x:v>-6.17</x:v>
      </x:c>
      <x:c r="B2193" s="256" t="n">
        <x:f>IF(COUNT($B$129:$L$129)=11,B$129*EXP(IF(A2193&lt;0,(10-0)*A2193,-0*A2193))+C$129*EXP(IF(A2193&lt;0,(10-1)*A2193,-1*A2193))+D$129*EXP(IF(A2193&lt;0,(10-2)*A2193,-2*A2193))+E$129*EXP(IF(A2193&lt;0,(10-3)*A2193,-3*A2193))+F$129*EXP(IF(A2193&lt;0,(10-4)*A2193,-4*A2193))+G$129*EXP(IF(A2193&lt;0,(10-5)*A2193,-5*A2193))+H$129*EXP(IF(A2193&lt;0,(10-6)*A2193,-6*A2193))+I$129*EXP(IF(A2193&lt;0,(10-7)*A2193,-7*A2193))+J$129*EXP(IF(A2193&lt;0,(10-8)*A2193,-8*A2193))+K$129*EXP(IF(A2193&lt;0,(10-9)*A2193,-9*A2193))+L$129*EXP(IF(A2193&lt;0,(10-10)*A2193,-10*A2193)),0)</x:f>
        <x:v>781773.5446094158</x:v>
      </x:c>
      <x:c r="C2193" s="256" t="n">
        <x:f>IF(B2193=0,IF(B2192=0,0,1),IF(B2192=0,0,IF(SIGN(B2193)&lt;&gt;SIGN(B2192),1,0)))</x:f>
        <x:v>0</x:v>
      </x:c>
      <x:c r="D2193" s="256" t="n">
        <x:f>EXP(A2193-0.005)-1</x:f>
        <x:v>-0.9979191940825505</x:v>
      </x:c>
    </x:row>
    <x:row r="2194" ht="20" customHeight="1">
      <x:c r="A2194" s="256" t="n">
        <x:f>-12+584*0.01</x:f>
        <x:v>-6.16</x:v>
      </x:c>
      <x:c r="B2194" s="256" t="n">
        <x:f>IF(COUNT($B$129:$L$129)=11,B$129*EXP(IF(A2194&lt;0,(10-0)*A2194,-0*A2194))+C$129*EXP(IF(A2194&lt;0,(10-1)*A2194,-1*A2194))+D$129*EXP(IF(A2194&lt;0,(10-2)*A2194,-2*A2194))+E$129*EXP(IF(A2194&lt;0,(10-3)*A2194,-3*A2194))+F$129*EXP(IF(A2194&lt;0,(10-4)*A2194,-4*A2194))+G$129*EXP(IF(A2194&lt;0,(10-5)*A2194,-5*A2194))+H$129*EXP(IF(A2194&lt;0,(10-6)*A2194,-6*A2194))+I$129*EXP(IF(A2194&lt;0,(10-7)*A2194,-7*A2194))+J$129*EXP(IF(A2194&lt;0,(10-8)*A2194,-8*A2194))+K$129*EXP(IF(A2194&lt;0,(10-9)*A2194,-9*A2194))+L$129*EXP(IF(A2194&lt;0,(10-10)*A2194,-10*A2194)),0)</x:f>
        <x:v>781773.8101056453</x:v>
      </x:c>
      <x:c r="C2194" s="256" t="n">
        <x:f>IF(B2194=0,IF(B2193=0,0,1),IF(B2193=0,0,IF(SIGN(B2194)&lt;&gt;SIGN(B2193),1,0)))</x:f>
        <x:v>0</x:v>
      </x:c>
      <x:c r="D2194" s="256" t="n">
        <x:f>EXP(A2194-0.005)-1</x:f>
        <x:v>-0.9978982816354104</x:v>
      </x:c>
    </x:row>
    <x:row r="2195" ht="20" customHeight="1">
      <x:c r="A2195" s="256" t="n">
        <x:f>-12+585*0.01</x:f>
        <x:v>-6.1499999999999995</x:v>
      </x:c>
      <x:c r="B2195" s="256" t="n">
        <x:f>IF(COUNT($B$129:$L$129)=11,B$129*EXP(IF(A2195&lt;0,(10-0)*A2195,-0*A2195))+C$129*EXP(IF(A2195&lt;0,(10-1)*A2195,-1*A2195))+D$129*EXP(IF(A2195&lt;0,(10-2)*A2195,-2*A2195))+E$129*EXP(IF(A2195&lt;0,(10-3)*A2195,-3*A2195))+F$129*EXP(IF(A2195&lt;0,(10-4)*A2195,-4*A2195))+G$129*EXP(IF(A2195&lt;0,(10-5)*A2195,-5*A2195))+H$129*EXP(IF(A2195&lt;0,(10-6)*A2195,-6*A2195))+I$129*EXP(IF(A2195&lt;0,(10-7)*A2195,-7*A2195))+J$129*EXP(IF(A2195&lt;0,(10-8)*A2195,-8*A2195))+K$129*EXP(IF(A2195&lt;0,(10-9)*A2195,-9*A2195))+L$129*EXP(IF(A2195&lt;0,(10-10)*A2195,-10*A2195)),0)</x:f>
        <x:v>781774.0782787978</x:v>
      </x:c>
      <x:c r="C2195" s="256" t="n">
        <x:f>IF(B2195=0,IF(B2194=0,0,1),IF(B2194=0,0,IF(SIGN(B2195)&lt;&gt;SIGN(B2194),1,0)))</x:f>
        <x:v>0</x:v>
      </x:c>
      <x:c r="D2195" s="256" t="n">
        <x:f>EXP(A2195-0.005)-1</x:f>
        <x:v>-0.9978771590146824</x:v>
      </x:c>
    </x:row>
    <x:row r="2196" ht="20" customHeight="1">
      <x:c r="A2196" s="256" t="n">
        <x:f>-12+586*0.01</x:f>
        <x:v>-6.14</x:v>
      </x:c>
      <x:c r="B2196" s="256" t="n">
        <x:f>IF(COUNT($B$129:$L$129)=11,B$129*EXP(IF(A2196&lt;0,(10-0)*A2196,-0*A2196))+C$129*EXP(IF(A2196&lt;0,(10-1)*A2196,-1*A2196))+D$129*EXP(IF(A2196&lt;0,(10-2)*A2196,-2*A2196))+E$129*EXP(IF(A2196&lt;0,(10-3)*A2196,-3*A2196))+F$129*EXP(IF(A2196&lt;0,(10-4)*A2196,-4*A2196))+G$129*EXP(IF(A2196&lt;0,(10-5)*A2196,-5*A2196))+H$129*EXP(IF(A2196&lt;0,(10-6)*A2196,-6*A2196))+I$129*EXP(IF(A2196&lt;0,(10-7)*A2196,-7*A2196))+J$129*EXP(IF(A2196&lt;0,(10-8)*A2196,-8*A2196))+K$129*EXP(IF(A2196&lt;0,(10-9)*A2196,-9*A2196))+L$129*EXP(IF(A2196&lt;0,(10-10)*A2196,-10*A2196)),0)</x:f>
        <x:v>781774.3491559516</x:v>
      </x:c>
      <x:c r="C2196" s="256" t="n">
        <x:f>IF(B2196=0,IF(B2195=0,0,1),IF(B2195=0,0,IF(SIGN(B2196)&lt;&gt;SIGN(B2195),1,0)))</x:f>
        <x:v>0</x:v>
      </x:c>
      <x:c r="D2196" s="256" t="n">
        <x:f>EXP(A2196-0.005)-1</x:f>
        <x:v>-0.9978558241080868</x:v>
      </x:c>
    </x:row>
    <x:row r="2197" ht="20" customHeight="1">
      <x:c r="A2197" s="256" t="n">
        <x:f>-12+587*0.01</x:f>
        <x:v>-6.13</x:v>
      </x:c>
      <x:c r="B2197" s="256" t="n">
        <x:f>IF(COUNT($B$129:$L$129)=11,B$129*EXP(IF(A2197&lt;0,(10-0)*A2197,-0*A2197))+C$129*EXP(IF(A2197&lt;0,(10-1)*A2197,-1*A2197))+D$129*EXP(IF(A2197&lt;0,(10-2)*A2197,-2*A2197))+E$129*EXP(IF(A2197&lt;0,(10-3)*A2197,-3*A2197))+F$129*EXP(IF(A2197&lt;0,(10-4)*A2197,-4*A2197))+G$129*EXP(IF(A2197&lt;0,(10-5)*A2197,-5*A2197))+H$129*EXP(IF(A2197&lt;0,(10-6)*A2197,-6*A2197))+I$129*EXP(IF(A2197&lt;0,(10-7)*A2197,-7*A2197))+J$129*EXP(IF(A2197&lt;0,(10-8)*A2197,-8*A2197))+K$129*EXP(IF(A2197&lt;0,(10-9)*A2197,-9*A2197))+L$129*EXP(IF(A2197&lt;0,(10-10)*A2197,-10*A2197)),0)</x:f>
        <x:v>781774.6227644612</x:v>
      </x:c>
      <x:c r="C2197" s="256" t="n">
        <x:f>IF(B2197=0,IF(B2196=0,0,1),IF(B2196=0,0,IF(SIGN(B2197)&lt;&gt;SIGN(B2196),1,0)))</x:f>
        <x:v>0</x:v>
      </x:c>
      <x:c r="D2197" s="256" t="n">
        <x:f>EXP(A2197-0.005)-1</x:f>
        <x:v>-0.9978342747821153</x:v>
      </x:c>
    </x:row>
    <x:row r="2198" ht="20" customHeight="1">
      <x:c r="A2198" s="256" t="n">
        <x:f>-12+588*0.01</x:f>
        <x:v>-6.12</x:v>
      </x:c>
      <x:c r="B2198" s="256" t="n">
        <x:f>IF(COUNT($B$129:$L$129)=11,B$129*EXP(IF(A2198&lt;0,(10-0)*A2198,-0*A2198))+C$129*EXP(IF(A2198&lt;0,(10-1)*A2198,-1*A2198))+D$129*EXP(IF(A2198&lt;0,(10-2)*A2198,-2*A2198))+E$129*EXP(IF(A2198&lt;0,(10-3)*A2198,-3*A2198))+F$129*EXP(IF(A2198&lt;0,(10-4)*A2198,-4*A2198))+G$129*EXP(IF(A2198&lt;0,(10-5)*A2198,-5*A2198))+H$129*EXP(IF(A2198&lt;0,(10-6)*A2198,-6*A2198))+I$129*EXP(IF(A2198&lt;0,(10-7)*A2198,-7*A2198))+J$129*EXP(IF(A2198&lt;0,(10-8)*A2198,-8*A2198))+K$129*EXP(IF(A2198&lt;0,(10-9)*A2198,-9*A2198))+L$129*EXP(IF(A2198&lt;0,(10-10)*A2198,-10*A2198)),0)</x:f>
        <x:v>781774.8991319591</x:v>
      </x:c>
      <x:c r="C2198" s="256" t="n">
        <x:f>IF(B2198=0,IF(B2197=0,0,1),IF(B2197=0,0,IF(SIGN(B2198)&lt;&gt;SIGN(B2197),1,0)))</x:f>
        <x:v>0</x:v>
      </x:c>
      <x:c r="D2198" s="256" t="n">
        <x:f>EXP(A2198-0.005)-1</x:f>
        <x:v>-0.9978125088818172</x:v>
      </x:c>
    </x:row>
    <x:row r="2199" ht="20" customHeight="1">
      <x:c r="A2199" s="256" t="n">
        <x:f>-12+589*0.01</x:f>
        <x:v>-6.11</x:v>
      </x:c>
      <x:c r="B2199" s="256" t="n">
        <x:f>IF(COUNT($B$129:$L$129)=11,B$129*EXP(IF(A2199&lt;0,(10-0)*A2199,-0*A2199))+C$129*EXP(IF(A2199&lt;0,(10-1)*A2199,-1*A2199))+D$129*EXP(IF(A2199&lt;0,(10-2)*A2199,-2*A2199))+E$129*EXP(IF(A2199&lt;0,(10-3)*A2199,-3*A2199))+F$129*EXP(IF(A2199&lt;0,(10-4)*A2199,-4*A2199))+G$129*EXP(IF(A2199&lt;0,(10-5)*A2199,-5*A2199))+H$129*EXP(IF(A2199&lt;0,(10-6)*A2199,-6*A2199))+I$129*EXP(IF(A2199&lt;0,(10-7)*A2199,-7*A2199))+J$129*EXP(IF(A2199&lt;0,(10-8)*A2199,-8*A2199))+K$129*EXP(IF(A2199&lt;0,(10-9)*A2199,-9*A2199))+L$129*EXP(IF(A2199&lt;0,(10-10)*A2199,-10*A2199)),0)</x:f>
        <x:v>781775.1782863593</x:v>
      </x:c>
      <x:c r="C2199" s="256" t="n">
        <x:f>IF(B2199=0,IF(B2198=0,0,1),IF(B2198=0,0,IF(SIGN(B2199)&lt;&gt;SIGN(B2198),1,0)))</x:f>
        <x:v>0</x:v>
      </x:c>
      <x:c r="D2199" s="256" t="n">
        <x:f>EXP(A2199-0.005)-1</x:f>
        <x:v>-0.9977905242305842</x:v>
      </x:c>
    </x:row>
    <x:row r="2200" ht="20" customHeight="1">
      <x:c r="A2200" s="256" t="n">
        <x:f>-12+590*0.01</x:f>
        <x:v>-6.1</x:v>
      </x:c>
      <x:c r="B2200" s="256" t="n">
        <x:f>IF(COUNT($B$129:$L$129)=11,B$129*EXP(IF(A2200&lt;0,(10-0)*A2200,-0*A2200))+C$129*EXP(IF(A2200&lt;0,(10-1)*A2200,-1*A2200))+D$129*EXP(IF(A2200&lt;0,(10-2)*A2200,-2*A2200))+E$129*EXP(IF(A2200&lt;0,(10-3)*A2200,-3*A2200))+F$129*EXP(IF(A2200&lt;0,(10-4)*A2200,-4*A2200))+G$129*EXP(IF(A2200&lt;0,(10-5)*A2200,-5*A2200))+H$129*EXP(IF(A2200&lt;0,(10-6)*A2200,-6*A2200))+I$129*EXP(IF(A2200&lt;0,(10-7)*A2200,-7*A2200))+J$129*EXP(IF(A2200&lt;0,(10-8)*A2200,-8*A2200))+K$129*EXP(IF(A2200&lt;0,(10-9)*A2200,-9*A2200))+L$129*EXP(IF(A2200&lt;0,(10-10)*A2200,-10*A2200)),0)</x:f>
        <x:v>781775.4602558604</x:v>
      </x:c>
      <x:c r="C2200" s="256" t="n">
        <x:f>IF(B2200=0,IF(B2199=0,0,1),IF(B2199=0,0,IF(SIGN(B2200)&lt;&gt;SIGN(B2199),1,0)))</x:f>
        <x:v>0</x:v>
      </x:c>
      <x:c r="D2200" s="256" t="n">
        <x:f>EXP(A2200-0.005)-1</x:f>
        <x:v>-0.9977683186299332</x:v>
      </x:c>
    </x:row>
    <x:row r="2201" ht="20" customHeight="1">
      <x:c r="A2201" s="256" t="n">
        <x:f>-12+591*0.01</x:f>
        <x:v>-6.09</x:v>
      </x:c>
      <x:c r="B2201" s="256" t="n">
        <x:f>IF(COUNT($B$129:$L$129)=11,B$129*EXP(IF(A2201&lt;0,(10-0)*A2201,-0*A2201))+C$129*EXP(IF(A2201&lt;0,(10-1)*A2201,-1*A2201))+D$129*EXP(IF(A2201&lt;0,(10-2)*A2201,-2*A2201))+E$129*EXP(IF(A2201&lt;0,(10-3)*A2201,-3*A2201))+F$129*EXP(IF(A2201&lt;0,(10-4)*A2201,-4*A2201))+G$129*EXP(IF(A2201&lt;0,(10-5)*A2201,-5*A2201))+H$129*EXP(IF(A2201&lt;0,(10-6)*A2201,-6*A2201))+I$129*EXP(IF(A2201&lt;0,(10-7)*A2201,-7*A2201))+J$129*EXP(IF(A2201&lt;0,(10-8)*A2201,-8*A2201))+K$129*EXP(IF(A2201&lt;0,(10-9)*A2201,-9*A2201))+L$129*EXP(IF(A2201&lt;0,(10-10)*A2201,-10*A2201)),0)</x:f>
        <x:v>781775.7450689479</x:v>
      </x:c>
      <x:c r="C2201" s="256" t="n">
        <x:f>IF(B2201=0,IF(B2200=0,0,1),IF(B2200=0,0,IF(SIGN(B2201)&lt;&gt;SIGN(B2200),1,0)))</x:f>
        <x:v>0</x:v>
      </x:c>
      <x:c r="D2201" s="256" t="n">
        <x:f>EXP(A2201-0.005)-1</x:f>
        <x:v>-0.9977458898592854</x:v>
      </x:c>
    </x:row>
    <x:row r="2202" ht="20" customHeight="1">
      <x:c r="A2202" s="256" t="n">
        <x:f>-12+592*0.01</x:f>
        <x:v>-6.08</x:v>
      </x:c>
      <x:c r="B2202" s="256" t="n">
        <x:f>IF(COUNT($B$129:$L$129)=11,B$129*EXP(IF(A2202&lt;0,(10-0)*A2202,-0*A2202))+C$129*EXP(IF(A2202&lt;0,(10-1)*A2202,-1*A2202))+D$129*EXP(IF(A2202&lt;0,(10-2)*A2202,-2*A2202))+E$129*EXP(IF(A2202&lt;0,(10-3)*A2202,-3*A2202))+F$129*EXP(IF(A2202&lt;0,(10-4)*A2202,-4*A2202))+G$129*EXP(IF(A2202&lt;0,(10-5)*A2202,-5*A2202))+H$129*EXP(IF(A2202&lt;0,(10-6)*A2202,-6*A2202))+I$129*EXP(IF(A2202&lt;0,(10-7)*A2202,-7*A2202))+J$129*EXP(IF(A2202&lt;0,(10-8)*A2202,-8*A2202))+K$129*EXP(IF(A2202&lt;0,(10-9)*A2202,-9*A2202))+L$129*EXP(IF(A2202&lt;0,(10-10)*A2202,-10*A2202)),0)</x:f>
        <x:v>781776.032754398</x:v>
      </x:c>
      <x:c r="C2202" s="256" t="n">
        <x:f>IF(B2202=0,IF(B2201=0,0,1),IF(B2201=0,0,IF(SIGN(B2202)&lt;&gt;SIGN(B2201),1,0)))</x:f>
        <x:v>0</x:v>
      </x:c>
      <x:c r="D2202" s="256" t="n">
        <x:f>EXP(A2202-0.005)-1</x:f>
        <x:v>-0.9977232356757451</x:v>
      </x:c>
    </x:row>
    <x:row r="2203" ht="20" customHeight="1">
      <x:c r="A2203" s="256" t="n">
        <x:f>-12+593*0.01</x:f>
        <x:v>-6.07</x:v>
      </x:c>
      <x:c r="B2203" s="256" t="n">
        <x:f>IF(COUNT($B$129:$L$129)=11,B$129*EXP(IF(A2203&lt;0,(10-0)*A2203,-0*A2203))+C$129*EXP(IF(A2203&lt;0,(10-1)*A2203,-1*A2203))+D$129*EXP(IF(A2203&lt;0,(10-2)*A2203,-2*A2203))+E$129*EXP(IF(A2203&lt;0,(10-3)*A2203,-3*A2203))+F$129*EXP(IF(A2203&lt;0,(10-4)*A2203,-4*A2203))+G$129*EXP(IF(A2203&lt;0,(10-5)*A2203,-5*A2203))+H$129*EXP(IF(A2203&lt;0,(10-6)*A2203,-6*A2203))+I$129*EXP(IF(A2203&lt;0,(10-7)*A2203,-7*A2203))+J$129*EXP(IF(A2203&lt;0,(10-8)*A2203,-8*A2203))+K$129*EXP(IF(A2203&lt;0,(10-9)*A2203,-9*A2203))+L$129*EXP(IF(A2203&lt;0,(10-10)*A2203,-10*A2203)),0)</x:f>
        <x:v>781776.3233412793</x:v>
      </x:c>
      <x:c r="C2203" s="256" t="n">
        <x:f>IF(B2203=0,IF(B2202=0,0,1),IF(B2202=0,0,IF(SIGN(B2203)&lt;&gt;SIGN(B2202),1,0)))</x:f>
        <x:v>0</x:v>
      </x:c>
      <x:c r="D2203" s="256" t="n">
        <x:f>EXP(A2203-0.005)-1</x:f>
        <x:v>-0.9977003538138751</x:v>
      </x:c>
    </x:row>
    <x:row r="2204" ht="20" customHeight="1">
      <x:c r="A2204" s="256" t="n">
        <x:f>-12+594*0.01</x:f>
        <x:v>-6.06</x:v>
      </x:c>
      <x:c r="B2204" s="256" t="n">
        <x:f>IF(COUNT($B$129:$L$129)=11,B$129*EXP(IF(A2204&lt;0,(10-0)*A2204,-0*A2204))+C$129*EXP(IF(A2204&lt;0,(10-1)*A2204,-1*A2204))+D$129*EXP(IF(A2204&lt;0,(10-2)*A2204,-2*A2204))+E$129*EXP(IF(A2204&lt;0,(10-3)*A2204,-3*A2204))+F$129*EXP(IF(A2204&lt;0,(10-4)*A2204,-4*A2204))+G$129*EXP(IF(A2204&lt;0,(10-5)*A2204,-5*A2204))+H$129*EXP(IF(A2204&lt;0,(10-6)*A2204,-6*A2204))+I$129*EXP(IF(A2204&lt;0,(10-7)*A2204,-7*A2204))+J$129*EXP(IF(A2204&lt;0,(10-8)*A2204,-8*A2204))+K$129*EXP(IF(A2204&lt;0,(10-9)*A2204,-9*A2204))+L$129*EXP(IF(A2204&lt;0,(10-10)*A2204,-10*A2204)),0)</x:f>
        <x:v>781776.6168589576</x:v>
      </x:c>
      <x:c r="C2204" s="256" t="n">
        <x:f>IF(B2204=0,IF(B2203=0,0,1),IF(B2203=0,0,IF(SIGN(B2204)&lt;&gt;SIGN(B2203),1,0)))</x:f>
        <x:v>0</x:v>
      </x:c>
      <x:c r="D2204" s="256" t="n">
        <x:f>EXP(A2204-0.005)-1</x:f>
        <x:v>-0.99767724198547</x:v>
      </x:c>
    </x:row>
    <x:row r="2205" ht="20" customHeight="1">
      <x:c r="A2205" s="256" t="n">
        <x:f>-12+595*0.01</x:f>
        <x:v>-6.05</x:v>
      </x:c>
      <x:c r="B2205" s="256" t="n">
        <x:f>IF(COUNT($B$129:$L$129)=11,B$129*EXP(IF(A2205&lt;0,(10-0)*A2205,-0*A2205))+C$129*EXP(IF(A2205&lt;0,(10-1)*A2205,-1*A2205))+D$129*EXP(IF(A2205&lt;0,(10-2)*A2205,-2*A2205))+E$129*EXP(IF(A2205&lt;0,(10-3)*A2205,-3*A2205))+F$129*EXP(IF(A2205&lt;0,(10-4)*A2205,-4*A2205))+G$129*EXP(IF(A2205&lt;0,(10-5)*A2205,-5*A2205))+H$129*EXP(IF(A2205&lt;0,(10-6)*A2205,-6*A2205))+I$129*EXP(IF(A2205&lt;0,(10-7)*A2205,-7*A2205))+J$129*EXP(IF(A2205&lt;0,(10-8)*A2205,-8*A2205))+K$129*EXP(IF(A2205&lt;0,(10-9)*A2205,-9*A2205))+L$129*EXP(IF(A2205&lt;0,(10-10)*A2205,-10*A2205)),0)</x:f>
        <x:v>781776.913337097</x:v>
      </x:c>
      <x:c r="C2205" s="256" t="n">
        <x:f>IF(B2205=0,IF(B2204=0,0,1),IF(B2204=0,0,IF(SIGN(B2205)&lt;&gt;SIGN(B2204),1,0)))</x:f>
        <x:v>0</x:v>
      </x:c>
      <x:c r="D2205" s="256" t="n">
        <x:f>EXP(A2205-0.005)-1</x:f>
        <x:v>-0.9976538978793279</x:v>
      </x:c>
    </x:row>
    <x:row r="2206" ht="20" customHeight="1">
      <x:c r="A2206" s="256" t="n">
        <x:f>-12+596*0.01</x:f>
        <x:v>-6.04</x:v>
      </x:c>
      <x:c r="B2206" s="256" t="n">
        <x:f>IF(COUNT($B$129:$L$129)=11,B$129*EXP(IF(A2206&lt;0,(10-0)*A2206,-0*A2206))+C$129*EXP(IF(A2206&lt;0,(10-1)*A2206,-1*A2206))+D$129*EXP(IF(A2206&lt;0,(10-2)*A2206,-2*A2206))+E$129*EXP(IF(A2206&lt;0,(10-3)*A2206,-3*A2206))+F$129*EXP(IF(A2206&lt;0,(10-4)*A2206,-4*A2206))+G$129*EXP(IF(A2206&lt;0,(10-5)*A2206,-5*A2206))+H$129*EXP(IF(A2206&lt;0,(10-6)*A2206,-6*A2206))+I$129*EXP(IF(A2206&lt;0,(10-7)*A2206,-7*A2206))+J$129*EXP(IF(A2206&lt;0,(10-8)*A2206,-8*A2206))+K$129*EXP(IF(A2206&lt;0,(10-9)*A2206,-9*A2206))+L$129*EXP(IF(A2206&lt;0,(10-10)*A2206,-10*A2206)),0)</x:f>
        <x:v>781777.212805665</x:v>
      </x:c>
      <x:c r="C2206" s="256" t="n">
        <x:f>IF(B2206=0,IF(B2205=0,0,1),IF(B2205=0,0,IF(SIGN(B2206)&lt;&gt;SIGN(B2205),1,0)))</x:f>
        <x:v>0</x:v>
      </x:c>
      <x:c r="D2206" s="256" t="n">
        <x:f>EXP(A2206-0.005)-1</x:f>
        <x:v>-0.9976303191610186</x:v>
      </x:c>
    </x:row>
    <x:row r="2207" ht="20" customHeight="1">
      <x:c r="A2207" s="256" t="n">
        <x:f>-12+597*0.01</x:f>
        <x:v>-6.03</x:v>
      </x:c>
      <x:c r="B2207" s="256" t="n">
        <x:f>IF(COUNT($B$129:$L$129)=11,B$129*EXP(IF(A2207&lt;0,(10-0)*A2207,-0*A2207))+C$129*EXP(IF(A2207&lt;0,(10-1)*A2207,-1*A2207))+D$129*EXP(IF(A2207&lt;0,(10-2)*A2207,-2*A2207))+E$129*EXP(IF(A2207&lt;0,(10-3)*A2207,-3*A2207))+F$129*EXP(IF(A2207&lt;0,(10-4)*A2207,-4*A2207))+G$129*EXP(IF(A2207&lt;0,(10-5)*A2207,-5*A2207))+H$129*EXP(IF(A2207&lt;0,(10-6)*A2207,-6*A2207))+I$129*EXP(IF(A2207&lt;0,(10-7)*A2207,-7*A2207))+J$129*EXP(IF(A2207&lt;0,(10-8)*A2207,-8*A2207))+K$129*EXP(IF(A2207&lt;0,(10-9)*A2207,-9*A2207))+L$129*EXP(IF(A2207&lt;0,(10-10)*A2207,-10*A2207)),0)</x:f>
        <x:v>781777.5152949337</x:v>
      </x:c>
      <x:c r="C2207" s="256" t="n">
        <x:f>IF(B2207=0,IF(B2206=0,0,1),IF(B2206=0,0,IF(SIGN(B2207)&lt;&gt;SIGN(B2206),1,0)))</x:f>
        <x:v>0</x:v>
      </x:c>
      <x:c r="D2207" s="256" t="n">
        <x:f>EXP(A2207-0.005)-1</x:f>
        <x:v>-0.9976065034726508</x:v>
      </x:c>
    </x:row>
    <x:row r="2208" ht="20" customHeight="1">
      <x:c r="A2208" s="256" t="n">
        <x:f>-12+598*0.01</x:f>
        <x:v>-6.02</x:v>
      </x:c>
      <x:c r="B2208" s="256" t="n">
        <x:f>IF(COUNT($B$129:$L$129)=11,B$129*EXP(IF(A2208&lt;0,(10-0)*A2208,-0*A2208))+C$129*EXP(IF(A2208&lt;0,(10-1)*A2208,-1*A2208))+D$129*EXP(IF(A2208&lt;0,(10-2)*A2208,-2*A2208))+E$129*EXP(IF(A2208&lt;0,(10-3)*A2208,-3*A2208))+F$129*EXP(IF(A2208&lt;0,(10-4)*A2208,-4*A2208))+G$129*EXP(IF(A2208&lt;0,(10-5)*A2208,-5*A2208))+H$129*EXP(IF(A2208&lt;0,(10-6)*A2208,-6*A2208))+I$129*EXP(IF(A2208&lt;0,(10-7)*A2208,-7*A2208))+J$129*EXP(IF(A2208&lt;0,(10-8)*A2208,-8*A2208))+K$129*EXP(IF(A2208&lt;0,(10-9)*A2208,-9*A2208))+L$129*EXP(IF(A2208&lt;0,(10-10)*A2208,-10*A2208)),0)</x:f>
        <x:v>781777.8208354844</x:v>
      </x:c>
      <x:c r="C2208" s="256" t="n">
        <x:f>IF(B2208=0,IF(B2207=0,0,1),IF(B2207=0,0,IF(SIGN(B2208)&lt;&gt;SIGN(B2207),1,0)))</x:f>
        <x:v>0</x:v>
      </x:c>
      <x:c r="D2208" s="256" t="n">
        <x:f>EXP(A2208-0.005)-1</x:f>
        <x:v>-0.9975824484326355</x:v>
      </x:c>
    </x:row>
    <x:row r="2209" ht="20" customHeight="1">
      <x:c r="A2209" s="256" t="n">
        <x:f>-12+599*0.01</x:f>
        <x:v>-6.01</x:v>
      </x:c>
      <x:c r="B2209" s="256" t="n">
        <x:f>IF(COUNT($B$129:$L$129)=11,B$129*EXP(IF(A2209&lt;0,(10-0)*A2209,-0*A2209))+C$129*EXP(IF(A2209&lt;0,(10-1)*A2209,-1*A2209))+D$129*EXP(IF(A2209&lt;0,(10-2)*A2209,-2*A2209))+E$129*EXP(IF(A2209&lt;0,(10-3)*A2209,-3*A2209))+F$129*EXP(IF(A2209&lt;0,(10-4)*A2209,-4*A2209))+G$129*EXP(IF(A2209&lt;0,(10-5)*A2209,-5*A2209))+H$129*EXP(IF(A2209&lt;0,(10-6)*A2209,-6*A2209))+I$129*EXP(IF(A2209&lt;0,(10-7)*A2209,-7*A2209))+J$129*EXP(IF(A2209&lt;0,(10-8)*A2209,-8*A2209))+K$129*EXP(IF(A2209&lt;0,(10-9)*A2209,-9*A2209))+L$129*EXP(IF(A2209&lt;0,(10-10)*A2209,-10*A2209)),0)</x:f>
        <x:v>781778.1294582101</x:v>
      </x:c>
      <x:c r="C2209" s="256" t="n">
        <x:f>IF(B2209=0,IF(B2208=0,0,1),IF(B2208=0,0,IF(SIGN(B2209)&lt;&gt;SIGN(B2208),1,0)))</x:f>
        <x:v>0</x:v>
      </x:c>
      <x:c r="D2209" s="256" t="n">
        <x:f>EXP(A2209-0.005)-1</x:f>
        <x:v>-0.9975581516354489</x:v>
      </x:c>
    </x:row>
    <x:row r="2210" ht="20" customHeight="1">
      <x:c r="A2210" s="256" t="n">
        <x:f>-12+600*0.01</x:f>
        <x:v>-6</x:v>
      </x:c>
      <x:c r="B2210" s="256" t="n">
        <x:f>IF(COUNT($B$129:$L$129)=11,B$129*EXP(IF(A2210&lt;0,(10-0)*A2210,-0*A2210))+C$129*EXP(IF(A2210&lt;0,(10-1)*A2210,-1*A2210))+D$129*EXP(IF(A2210&lt;0,(10-2)*A2210,-2*A2210))+E$129*EXP(IF(A2210&lt;0,(10-3)*A2210,-3*A2210))+F$129*EXP(IF(A2210&lt;0,(10-4)*A2210,-4*A2210))+G$129*EXP(IF(A2210&lt;0,(10-5)*A2210,-5*A2210))+H$129*EXP(IF(A2210&lt;0,(10-6)*A2210,-6*A2210))+I$129*EXP(IF(A2210&lt;0,(10-7)*A2210,-7*A2210))+J$129*EXP(IF(A2210&lt;0,(10-8)*A2210,-8*A2210))+K$129*EXP(IF(A2210&lt;0,(10-9)*A2210,-9*A2210))+L$129*EXP(IF(A2210&lt;0,(10-10)*A2210,-10*A2210)),0)</x:f>
        <x:v>781778.4411943189</x:v>
      </x:c>
      <x:c r="C2210" s="256" t="n">
        <x:f>IF(B2210=0,IF(B2209=0,0,1),IF(B2209=0,0,IF(SIGN(B2210)&lt;&gt;SIGN(B2209),1,0)))</x:f>
        <x:v>0</x:v>
      </x:c>
      <x:c r="D2210" s="256" t="n">
        <x:f>EXP(A2210-0.005)-1</x:f>
        <x:v>-0.9975336106513909</x:v>
      </x:c>
    </x:row>
    <x:row r="2211" ht="20" customHeight="1">
      <x:c r="A2211" s="256" t="n">
        <x:f>-12+601*0.01</x:f>
        <x:v>-5.99</x:v>
      </x:c>
      <x:c r="B2211" s="256" t="n">
        <x:f>IF(COUNT($B$129:$L$129)=11,B$129*EXP(IF(A2211&lt;0,(10-0)*A2211,-0*A2211))+C$129*EXP(IF(A2211&lt;0,(10-1)*A2211,-1*A2211))+D$129*EXP(IF(A2211&lt;0,(10-2)*A2211,-2*A2211))+E$129*EXP(IF(A2211&lt;0,(10-3)*A2211,-3*A2211))+F$129*EXP(IF(A2211&lt;0,(10-4)*A2211,-4*A2211))+G$129*EXP(IF(A2211&lt;0,(10-5)*A2211,-5*A2211))+H$129*EXP(IF(A2211&lt;0,(10-6)*A2211,-6*A2211))+I$129*EXP(IF(A2211&lt;0,(10-7)*A2211,-7*A2211))+J$129*EXP(IF(A2211&lt;0,(10-8)*A2211,-8*A2211))+K$129*EXP(IF(A2211&lt;0,(10-9)*A2211,-9*A2211))+L$129*EXP(IF(A2211&lt;0,(10-10)*A2211,-10*A2211)),0)</x:f>
        <x:v>781778.7560753373</x:v>
      </x:c>
      <x:c r="C2211" s="256" t="n">
        <x:f>IF(B2211=0,IF(B2210=0,0,1),IF(B2210=0,0,IF(SIGN(B2211)&lt;&gt;SIGN(B2210),1,0)))</x:f>
        <x:v>0</x:v>
      </x:c>
      <x:c r="D2211" s="256" t="n">
        <x:f>EXP(A2211-0.005)-1</x:f>
        <x:v>-0.9975088230263428</x:v>
      </x:c>
    </x:row>
    <x:row r="2212" ht="20" customHeight="1">
      <x:c r="A2212" s="256" t="n">
        <x:f>-12+602*0.01</x:f>
        <x:v>-5.9799999999999995</x:v>
      </x:c>
      <x:c r="B2212" s="256" t="n">
        <x:f>IF(COUNT($B$129:$L$129)=11,B$129*EXP(IF(A2212&lt;0,(10-0)*A2212,-0*A2212))+C$129*EXP(IF(A2212&lt;0,(10-1)*A2212,-1*A2212))+D$129*EXP(IF(A2212&lt;0,(10-2)*A2212,-2*A2212))+E$129*EXP(IF(A2212&lt;0,(10-3)*A2212,-3*A2212))+F$129*EXP(IF(A2212&lt;0,(10-4)*A2212,-4*A2212))+G$129*EXP(IF(A2212&lt;0,(10-5)*A2212,-5*A2212))+H$129*EXP(IF(A2212&lt;0,(10-6)*A2212,-6*A2212))+I$129*EXP(IF(A2212&lt;0,(10-7)*A2212,-7*A2212))+J$129*EXP(IF(A2212&lt;0,(10-8)*A2212,-8*A2212))+K$129*EXP(IF(A2212&lt;0,(10-9)*A2212,-9*A2212))+L$129*EXP(IF(A2212&lt;0,(10-10)*A2212,-10*A2212)),0)</x:f>
        <x:v>781779.0741331134</x:v>
      </x:c>
      <x:c r="C2212" s="256" t="n">
        <x:f>IF(B2212=0,IF(B2211=0,0,1),IF(B2211=0,0,IF(SIGN(B2212)&lt;&gt;SIGN(B2211),1,0)))</x:f>
        <x:v>0</x:v>
      </x:c>
      <x:c r="D2212" s="256" t="n">
        <x:f>EXP(A2212-0.005)-1</x:f>
        <x:v>-0.9974837862815213</x:v>
      </x:c>
    </x:row>
    <x:row r="2213" ht="20" customHeight="1">
      <x:c r="A2213" s="256" t="n">
        <x:f>-12+603*0.01</x:f>
        <x:v>-5.97</x:v>
      </x:c>
      <x:c r="B2213" s="256" t="n">
        <x:f>IF(COUNT($B$129:$L$129)=11,B$129*EXP(IF(A2213&lt;0,(10-0)*A2213,-0*A2213))+C$129*EXP(IF(A2213&lt;0,(10-1)*A2213,-1*A2213))+D$129*EXP(IF(A2213&lt;0,(10-2)*A2213,-2*A2213))+E$129*EXP(IF(A2213&lt;0,(10-3)*A2213,-3*A2213))+F$129*EXP(IF(A2213&lt;0,(10-4)*A2213,-4*A2213))+G$129*EXP(IF(A2213&lt;0,(10-5)*A2213,-5*A2213))+H$129*EXP(IF(A2213&lt;0,(10-6)*A2213,-6*A2213))+I$129*EXP(IF(A2213&lt;0,(10-7)*A2213,-7*A2213))+J$129*EXP(IF(A2213&lt;0,(10-8)*A2213,-8*A2213))+K$129*EXP(IF(A2213&lt;0,(10-9)*A2213,-9*A2213))+L$129*EXP(IF(A2213&lt;0,(10-10)*A2213,-10*A2213)),0)</x:f>
        <x:v>781779.3953998202</x:v>
      </x:c>
      <x:c r="C2213" s="256" t="n">
        <x:f>IF(B2213=0,IF(B2212=0,0,1),IF(B2212=0,0,IF(SIGN(B2213)&lt;&gt;SIGN(B2212),1,0)))</x:f>
        <x:v>0</x:v>
      </x:c>
      <x:c r="D2213" s="256" t="n">
        <x:f>EXP(A2213-0.005)-1</x:f>
        <x:v>-0.9974584979132312</x:v>
      </x:c>
    </x:row>
    <x:row r="2214" ht="20" customHeight="1">
      <x:c r="A2214" s="256" t="n">
        <x:f>-12+604*0.01</x:f>
        <x:v>-5.96</x:v>
      </x:c>
      <x:c r="B2214" s="256" t="n">
        <x:f>IF(COUNT($B$129:$L$129)=11,B$129*EXP(IF(A2214&lt;0,(10-0)*A2214,-0*A2214))+C$129*EXP(IF(A2214&lt;0,(10-1)*A2214,-1*A2214))+D$129*EXP(IF(A2214&lt;0,(10-2)*A2214,-2*A2214))+E$129*EXP(IF(A2214&lt;0,(10-3)*A2214,-3*A2214))+F$129*EXP(IF(A2214&lt;0,(10-4)*A2214,-4*A2214))+G$129*EXP(IF(A2214&lt;0,(10-5)*A2214,-5*A2214))+H$129*EXP(IF(A2214&lt;0,(10-6)*A2214,-6*A2214))+I$129*EXP(IF(A2214&lt;0,(10-7)*A2214,-7*A2214))+J$129*EXP(IF(A2214&lt;0,(10-8)*A2214,-8*A2214))+K$129*EXP(IF(A2214&lt;0,(10-9)*A2214,-9*A2214))+L$129*EXP(IF(A2214&lt;0,(10-10)*A2214,-10*A2214)),0)</x:f>
        <x:v>781779.7199079591</x:v>
      </x:c>
      <x:c r="C2214" s="256" t="n">
        <x:f>IF(B2214=0,IF(B2213=0,0,1),IF(B2213=0,0,IF(SIGN(B2214)&lt;&gt;SIGN(B2213),1,0)))</x:f>
        <x:v>0</x:v>
      </x:c>
      <x:c r="D2214" s="256" t="n">
        <x:f>EXP(A2214-0.005)-1</x:f>
        <x:v>-0.9974329553926143</x:v>
      </x:c>
    </x:row>
    <x:row r="2215" ht="20" customHeight="1">
      <x:c r="A2215" s="256" t="n">
        <x:f>-12+605*0.01</x:f>
        <x:v>-5.95</x:v>
      </x:c>
      <x:c r="B2215" s="256" t="n">
        <x:f>IF(COUNT($B$129:$L$129)=11,B$129*EXP(IF(A2215&lt;0,(10-0)*A2215,-0*A2215))+C$129*EXP(IF(A2215&lt;0,(10-1)*A2215,-1*A2215))+D$129*EXP(IF(A2215&lt;0,(10-2)*A2215,-2*A2215))+E$129*EXP(IF(A2215&lt;0,(10-3)*A2215,-3*A2215))+F$129*EXP(IF(A2215&lt;0,(10-4)*A2215,-4*A2215))+G$129*EXP(IF(A2215&lt;0,(10-5)*A2215,-5*A2215))+H$129*EXP(IF(A2215&lt;0,(10-6)*A2215,-6*A2215))+I$129*EXP(IF(A2215&lt;0,(10-7)*A2215,-7*A2215))+J$129*EXP(IF(A2215&lt;0,(10-8)*A2215,-8*A2215))+K$129*EXP(IF(A2215&lt;0,(10-9)*A2215,-9*A2215))+L$129*EXP(IF(A2215&lt;0,(10-10)*A2215,-10*A2215)),0)</x:f>
        <x:v>781780.0476903633</x:v>
      </x:c>
      <x:c r="C2215" s="256" t="n">
        <x:f>IF(B2215=0,IF(B2214=0,0,1),IF(B2214=0,0,IF(SIGN(B2215)&lt;&gt;SIGN(B2214),1,0)))</x:f>
        <x:v>0</x:v>
      </x:c>
      <x:c r="D2215" s="256" t="n">
        <x:f>EXP(A2215-0.005)-1</x:f>
        <x:v>-0.9974071561653977</x:v>
      </x:c>
    </x:row>
    <x:row r="2216" ht="20" customHeight="1">
      <x:c r="A2216" s="256" t="n">
        <x:f>-12+606*0.01</x:f>
        <x:v>-5.9399999999999995</x:v>
      </x:c>
      <x:c r="B2216" s="256" t="n">
        <x:f>IF(COUNT($B$129:$L$129)=11,B$129*EXP(IF(A2216&lt;0,(10-0)*A2216,-0*A2216))+C$129*EXP(IF(A2216&lt;0,(10-1)*A2216,-1*A2216))+D$129*EXP(IF(A2216&lt;0,(10-2)*A2216,-2*A2216))+E$129*EXP(IF(A2216&lt;0,(10-3)*A2216,-3*A2216))+F$129*EXP(IF(A2216&lt;0,(10-4)*A2216,-4*A2216))+G$129*EXP(IF(A2216&lt;0,(10-5)*A2216,-5*A2216))+H$129*EXP(IF(A2216&lt;0,(10-6)*A2216,-6*A2216))+I$129*EXP(IF(A2216&lt;0,(10-7)*A2216,-7*A2216))+J$129*EXP(IF(A2216&lt;0,(10-8)*A2216,-8*A2216))+K$129*EXP(IF(A2216&lt;0,(10-9)*A2216,-9*A2216))+L$129*EXP(IF(A2216&lt;0,(10-10)*A2216,-10*A2216)),0)</x:f>
        <x:v>781780.3787802011</x:v>
      </x:c>
      <x:c r="C2216" s="256" t="n">
        <x:f>IF(B2216=0,IF(B2215=0,0,1),IF(B2215=0,0,IF(SIGN(B2216)&lt;&gt;SIGN(B2215),1,0)))</x:f>
        <x:v>0</x:v>
      </x:c>
      <x:c r="D2216" s="256" t="n">
        <x:f>EXP(A2216-0.005)-1</x:f>
        <x:v>-0.9973810976516367</x:v>
      </x:c>
    </x:row>
    <x:row r="2217" ht="20" customHeight="1">
      <x:c r="A2217" s="256" t="n">
        <x:f>-12+607*0.01</x:f>
        <x:v>-5.93</x:v>
      </x:c>
      <x:c r="B2217" s="256" t="n">
        <x:f>IF(COUNT($B$129:$L$129)=11,B$129*EXP(IF(A2217&lt;0,(10-0)*A2217,-0*A2217))+C$129*EXP(IF(A2217&lt;0,(10-1)*A2217,-1*A2217))+D$129*EXP(IF(A2217&lt;0,(10-2)*A2217,-2*A2217))+E$129*EXP(IF(A2217&lt;0,(10-3)*A2217,-3*A2217))+F$129*EXP(IF(A2217&lt;0,(10-4)*A2217,-4*A2217))+G$129*EXP(IF(A2217&lt;0,(10-5)*A2217,-5*A2217))+H$129*EXP(IF(A2217&lt;0,(10-6)*A2217,-6*A2217))+I$129*EXP(IF(A2217&lt;0,(10-7)*A2217,-7*A2217))+J$129*EXP(IF(A2217&lt;0,(10-8)*A2217,-8*A2217))+K$129*EXP(IF(A2217&lt;0,(10-9)*A2217,-9*A2217))+L$129*EXP(IF(A2217&lt;0,(10-10)*A2217,-10*A2217)),0)</x:f>
        <x:v>781780.7132109794</x:v>
      </x:c>
      <x:c r="C2217" s="256" t="n">
        <x:f>IF(B2217=0,IF(B2216=0,0,1),IF(B2216=0,0,IF(SIGN(B2217)&lt;&gt;SIGN(B2216),1,0)))</x:f>
        <x:v>0</x:v>
      </x:c>
      <x:c r="D2217" s="256" t="n">
        <x:f>EXP(A2217-0.005)-1</x:f>
        <x:v>-0.9973547772454585</x:v>
      </x:c>
    </x:row>
    <x:row r="2218" ht="20" customHeight="1">
      <x:c r="A2218" s="256" t="n">
        <x:f>-12+608*0.01</x:f>
        <x:v>-5.92</x:v>
      </x:c>
      <x:c r="B2218" s="256" t="n">
        <x:f>IF(COUNT($B$129:$L$129)=11,B$129*EXP(IF(A2218&lt;0,(10-0)*A2218,-0*A2218))+C$129*EXP(IF(A2218&lt;0,(10-1)*A2218,-1*A2218))+D$129*EXP(IF(A2218&lt;0,(10-2)*A2218,-2*A2218))+E$129*EXP(IF(A2218&lt;0,(10-3)*A2218,-3*A2218))+F$129*EXP(IF(A2218&lt;0,(10-4)*A2218,-4*A2218))+G$129*EXP(IF(A2218&lt;0,(10-5)*A2218,-5*A2218))+H$129*EXP(IF(A2218&lt;0,(10-6)*A2218,-6*A2218))+I$129*EXP(IF(A2218&lt;0,(10-7)*A2218,-7*A2218))+J$129*EXP(IF(A2218&lt;0,(10-8)*A2218,-8*A2218))+K$129*EXP(IF(A2218&lt;0,(10-9)*A2218,-9*A2218))+L$129*EXP(IF(A2218&lt;0,(10-10)*A2218,-10*A2218)),0)</x:f>
        <x:v>781781.0510165473</x:v>
      </x:c>
      <x:c r="C2218" s="256" t="n">
        <x:f>IF(B2218=0,IF(B2217=0,0,1),IF(B2217=0,0,IF(SIGN(B2218)&lt;&gt;SIGN(B2217),1,0)))</x:f>
        <x:v>0</x:v>
      </x:c>
      <x:c r="D2218" s="256" t="n">
        <x:f>EXP(A2218-0.005)-1</x:f>
        <x:v>-0.9973281923148005</x:v>
      </x:c>
    </x:row>
    <x:row r="2219" ht="20" customHeight="1">
      <x:c r="A2219" s="256" t="n">
        <x:f>-12+609*0.01</x:f>
        <x:v>-5.91</x:v>
      </x:c>
      <x:c r="B2219" s="256" t="n">
        <x:f>IF(COUNT($B$129:$L$129)=11,B$129*EXP(IF(A2219&lt;0,(10-0)*A2219,-0*A2219))+C$129*EXP(IF(A2219&lt;0,(10-1)*A2219,-1*A2219))+D$129*EXP(IF(A2219&lt;0,(10-2)*A2219,-2*A2219))+E$129*EXP(IF(A2219&lt;0,(10-3)*A2219,-3*A2219))+F$129*EXP(IF(A2219&lt;0,(10-4)*A2219,-4*A2219))+G$129*EXP(IF(A2219&lt;0,(10-5)*A2219,-5*A2219))+H$129*EXP(IF(A2219&lt;0,(10-6)*A2219,-6*A2219))+I$129*EXP(IF(A2219&lt;0,(10-7)*A2219,-7*A2219))+J$129*EXP(IF(A2219&lt;0,(10-8)*A2219,-8*A2219))+K$129*EXP(IF(A2219&lt;0,(10-9)*A2219,-9*A2219))+L$129*EXP(IF(A2219&lt;0,(10-10)*A2219,-10*A2219)),0)</x:f>
        <x:v>781781.3922310997</x:v>
      </x:c>
      <x:c r="C2219" s="256" t="n">
        <x:f>IF(B2219=0,IF(B2218=0,0,1),IF(B2218=0,0,IF(SIGN(B2219)&lt;&gt;SIGN(B2218),1,0)))</x:f>
        <x:v>0</x:v>
      </x:c>
      <x:c r="D2219" s="256" t="n">
        <x:f>EXP(A2219-0.005)-1</x:f>
        <x:v>-0.9973013402011476</x:v>
      </x:c>
    </x:row>
    <x:row r="2220" ht="20" customHeight="1">
      <x:c r="A2220" s="256" t="n">
        <x:f>-12+610*0.01</x:f>
        <x:v>-5.8999999999999995</x:v>
      </x:c>
      <x:c r="B2220" s="256" t="n">
        <x:f>IF(COUNT($B$129:$L$129)=11,B$129*EXP(IF(A2220&lt;0,(10-0)*A2220,-0*A2220))+C$129*EXP(IF(A2220&lt;0,(10-1)*A2220,-1*A2220))+D$129*EXP(IF(A2220&lt;0,(10-2)*A2220,-2*A2220))+E$129*EXP(IF(A2220&lt;0,(10-3)*A2220,-3*A2220))+F$129*EXP(IF(A2220&lt;0,(10-4)*A2220,-4*A2220))+G$129*EXP(IF(A2220&lt;0,(10-5)*A2220,-5*A2220))+H$129*EXP(IF(A2220&lt;0,(10-6)*A2220,-6*A2220))+I$129*EXP(IF(A2220&lt;0,(10-7)*A2220,-7*A2220))+J$129*EXP(IF(A2220&lt;0,(10-8)*A2220,-8*A2220))+K$129*EXP(IF(A2220&lt;0,(10-9)*A2220,-9*A2220))+L$129*EXP(IF(A2220&lt;0,(10-10)*A2220,-10*A2220)),0)</x:f>
        <x:v>781781.7368891808</x:v>
      </x:c>
      <x:c r="C2220" s="256" t="n">
        <x:f>IF(B2220=0,IF(B2219=0,0,1),IF(B2219=0,0,IF(SIGN(B2220)&lt;&gt;SIGN(B2219),1,0)))</x:f>
        <x:v>0</x:v>
      </x:c>
      <x:c r="D2220" s="256" t="n">
        <x:f>EXP(A2220-0.005)-1</x:f>
        <x:v>-0.9972742182192658</x:v>
      </x:c>
    </x:row>
    <x:row r="2221" ht="20" customHeight="1">
      <x:c r="A2221" s="256" t="n">
        <x:f>-12+611*0.01</x:f>
        <x:v>-5.89</x:v>
      </x:c>
      <x:c r="B2221" s="256" t="n">
        <x:f>IF(COUNT($B$129:$L$129)=11,B$129*EXP(IF(A2221&lt;0,(10-0)*A2221,-0*A2221))+C$129*EXP(IF(A2221&lt;0,(10-1)*A2221,-1*A2221))+D$129*EXP(IF(A2221&lt;0,(10-2)*A2221,-2*A2221))+E$129*EXP(IF(A2221&lt;0,(10-3)*A2221,-3*A2221))+F$129*EXP(IF(A2221&lt;0,(10-4)*A2221,-4*A2221))+G$129*EXP(IF(A2221&lt;0,(10-5)*A2221,-5*A2221))+H$129*EXP(IF(A2221&lt;0,(10-6)*A2221,-6*A2221))+I$129*EXP(IF(A2221&lt;0,(10-7)*A2221,-7*A2221))+J$129*EXP(IF(A2221&lt;0,(10-8)*A2221,-8*A2221))+K$129*EXP(IF(A2221&lt;0,(10-9)*A2221,-9*A2221))+L$129*EXP(IF(A2221&lt;0,(10-10)*A2221,-10*A2221)),0)</x:f>
        <x:v>781782.0850256876</x:v>
      </x:c>
      <x:c r="C2221" s="256" t="n">
        <x:f>IF(B2221=0,IF(B2220=0,0,1),IF(B2220=0,0,IF(SIGN(B2221)&lt;&gt;SIGN(B2220),1,0)))</x:f>
        <x:v>0</x:v>
      </x:c>
      <x:c r="D2221" s="256" t="n">
        <x:f>EXP(A2221-0.005)-1</x:f>
        <x:v>-0.9972468236569344</x:v>
      </x:c>
    </x:row>
    <x:row r="2222" ht="20" customHeight="1">
      <x:c r="A2222" s="256" t="n">
        <x:f>-12+612*0.01</x:f>
        <x:v>-5.88</x:v>
      </x:c>
      <x:c r="B2222" s="256" t="n">
        <x:f>IF(COUNT($B$129:$L$129)=11,B$129*EXP(IF(A2222&lt;0,(10-0)*A2222,-0*A2222))+C$129*EXP(IF(A2222&lt;0,(10-1)*A2222,-1*A2222))+D$129*EXP(IF(A2222&lt;0,(10-2)*A2222,-2*A2222))+E$129*EXP(IF(A2222&lt;0,(10-3)*A2222,-3*A2222))+F$129*EXP(IF(A2222&lt;0,(10-4)*A2222,-4*A2222))+G$129*EXP(IF(A2222&lt;0,(10-5)*A2222,-5*A2222))+H$129*EXP(IF(A2222&lt;0,(10-6)*A2222,-6*A2222))+I$129*EXP(IF(A2222&lt;0,(10-7)*A2222,-7*A2222))+J$129*EXP(IF(A2222&lt;0,(10-8)*A2222,-8*A2222))+K$129*EXP(IF(A2222&lt;0,(10-9)*A2222,-9*A2222))+L$129*EXP(IF(A2222&lt;0,(10-10)*A2222,-10*A2222)),0)</x:f>
        <x:v>781782.4366758736</x:v>
      </x:c>
      <x:c r="C2222" s="256" t="n">
        <x:f>IF(B2222=0,IF(B2221=0,0,1),IF(B2221=0,0,IF(SIGN(B2222)&lt;&gt;SIGN(B2221),1,0)))</x:f>
        <x:v>0</x:v>
      </x:c>
      <x:c r="D2222" s="256" t="n">
        <x:f>EXP(A2222-0.005)-1</x:f>
        <x:v>-0.9972191537746744</x:v>
      </x:c>
    </x:row>
    <x:row r="2223" ht="20" customHeight="1">
      <x:c r="A2223" s="256" t="n">
        <x:f>-12+613*0.01</x:f>
        <x:v>-5.87</x:v>
      </x:c>
      <x:c r="B2223" s="256" t="n">
        <x:f>IF(COUNT($B$129:$L$129)=11,B$129*EXP(IF(A2223&lt;0,(10-0)*A2223,-0*A2223))+C$129*EXP(IF(A2223&lt;0,(10-1)*A2223,-1*A2223))+D$129*EXP(IF(A2223&lt;0,(10-2)*A2223,-2*A2223))+E$129*EXP(IF(A2223&lt;0,(10-3)*A2223,-3*A2223))+F$129*EXP(IF(A2223&lt;0,(10-4)*A2223,-4*A2223))+G$129*EXP(IF(A2223&lt;0,(10-5)*A2223,-5*A2223))+H$129*EXP(IF(A2223&lt;0,(10-6)*A2223,-6*A2223))+I$129*EXP(IF(A2223&lt;0,(10-7)*A2223,-7*A2223))+J$129*EXP(IF(A2223&lt;0,(10-8)*A2223,-8*A2223))+K$129*EXP(IF(A2223&lt;0,(10-9)*A2223,-9*A2223))+L$129*EXP(IF(A2223&lt;0,(10-10)*A2223,-10*A2223)),0)</x:f>
        <x:v>781782.791875353</x:v>
      </x:c>
      <x:c r="C2223" s="256" t="n">
        <x:f>IF(B2223=0,IF(B2222=0,0,1),IF(B2222=0,0,IF(SIGN(B2223)&lt;&gt;SIGN(B2222),1,0)))</x:f>
        <x:v>0</x:v>
      </x:c>
      <x:c r="D2223" s="256" t="n">
        <x:f>EXP(A2223-0.005)-1</x:f>
        <x:v>-0.9971912058054745</x:v>
      </x:c>
    </x:row>
    <x:row r="2224" ht="20" customHeight="1">
      <x:c r="A2224" s="256" t="n">
        <x:f>-12+614*0.01</x:f>
        <x:v>-5.859999999999999</x:v>
      </x:c>
      <x:c r="B2224" s="256" t="n">
        <x:f>IF(COUNT($B$129:$L$129)=11,B$129*EXP(IF(A2224&lt;0,(10-0)*A2224,-0*A2224))+C$129*EXP(IF(A2224&lt;0,(10-1)*A2224,-1*A2224))+D$129*EXP(IF(A2224&lt;0,(10-2)*A2224,-2*A2224))+E$129*EXP(IF(A2224&lt;0,(10-3)*A2224,-3*A2224))+F$129*EXP(IF(A2224&lt;0,(10-4)*A2224,-4*A2224))+G$129*EXP(IF(A2224&lt;0,(10-5)*A2224,-5*A2224))+H$129*EXP(IF(A2224&lt;0,(10-6)*A2224,-6*A2224))+I$129*EXP(IF(A2224&lt;0,(10-7)*A2224,-7*A2224))+J$129*EXP(IF(A2224&lt;0,(10-8)*A2224,-8*A2224))+K$129*EXP(IF(A2224&lt;0,(10-9)*A2224,-9*A2224))+L$129*EXP(IF(A2224&lt;0,(10-10)*A2224,-10*A2224)),0)</x:f>
        <x:v>781783.1506601035</x:v>
      </x:c>
      <x:c r="C2224" s="256" t="n">
        <x:f>IF(B2224=0,IF(B2223=0,0,1),IF(B2223=0,0,IF(SIGN(B2224)&lt;&gt;SIGN(B2223),1,0)))</x:f>
        <x:v>0</x:v>
      </x:c>
      <x:c r="D2224" s="256" t="n">
        <x:f>EXP(A2224-0.005)-1</x:f>
        <x:v>-0.9971629769545145</x:v>
      </x:c>
    </x:row>
    <x:row r="2225" ht="20" customHeight="1">
      <x:c r="A2225" s="256" t="n">
        <x:f>-12+615*0.01</x:f>
        <x:v>-5.85</x:v>
      </x:c>
      <x:c r="B2225" s="256" t="n">
        <x:f>IF(COUNT($B$129:$L$129)=11,B$129*EXP(IF(A2225&lt;0,(10-0)*A2225,-0*A2225))+C$129*EXP(IF(A2225&lt;0,(10-1)*A2225,-1*A2225))+D$129*EXP(IF(A2225&lt;0,(10-2)*A2225,-2*A2225))+E$129*EXP(IF(A2225&lt;0,(10-3)*A2225,-3*A2225))+F$129*EXP(IF(A2225&lt;0,(10-4)*A2225,-4*A2225))+G$129*EXP(IF(A2225&lt;0,(10-5)*A2225,-5*A2225))+H$129*EXP(IF(A2225&lt;0,(10-6)*A2225,-6*A2225))+I$129*EXP(IF(A2225&lt;0,(10-7)*A2225,-7*A2225))+J$129*EXP(IF(A2225&lt;0,(10-8)*A2225,-8*A2225))+K$129*EXP(IF(A2225&lt;0,(10-9)*A2225,-9*A2225))+L$129*EXP(IF(A2225&lt;0,(10-10)*A2225,-10*A2225)),0)</x:f>
        <x:v>781783.513066471</x:v>
      </x:c>
      <x:c r="C2225" s="256" t="n">
        <x:f>IF(B2225=0,IF(B2224=0,0,1),IF(B2224=0,0,IF(SIGN(B2225)&lt;&gt;SIGN(B2224),1,0)))</x:f>
        <x:v>0</x:v>
      </x:c>
      <x:c r="D2225" s="256" t="n">
        <x:f>EXP(A2225-0.005)-1</x:f>
        <x:v>-0.9971344643988856</x:v>
      </x:c>
    </x:row>
    <x:row r="2226" ht="20" customHeight="1">
      <x:c r="A2226" s="256" t="n">
        <x:f>-12+616*0.01</x:f>
        <x:v>-5.84</x:v>
      </x:c>
      <x:c r="B2226" s="256" t="n">
        <x:f>IF(COUNT($B$129:$L$129)=11,B$129*EXP(IF(A2226&lt;0,(10-0)*A2226,-0*A2226))+C$129*EXP(IF(A2226&lt;0,(10-1)*A2226,-1*A2226))+D$129*EXP(IF(A2226&lt;0,(10-2)*A2226,-2*A2226))+E$129*EXP(IF(A2226&lt;0,(10-3)*A2226,-3*A2226))+F$129*EXP(IF(A2226&lt;0,(10-4)*A2226,-4*A2226))+G$129*EXP(IF(A2226&lt;0,(10-5)*A2226,-5*A2226))+H$129*EXP(IF(A2226&lt;0,(10-6)*A2226,-6*A2226))+I$129*EXP(IF(A2226&lt;0,(10-7)*A2226,-7*A2226))+J$129*EXP(IF(A2226&lt;0,(10-8)*A2226,-8*A2226))+K$129*EXP(IF(A2226&lt;0,(10-9)*A2226,-9*A2226))+L$129*EXP(IF(A2226&lt;0,(10-10)*A2226,-10*A2226)),0)</x:f>
        <x:v>781783.8791311728</x:v>
      </x:c>
      <x:c r="C2226" s="256" t="n">
        <x:f>IF(B2226=0,IF(B2225=0,0,1),IF(B2225=0,0,IF(SIGN(B2226)&lt;&gt;SIGN(B2225),1,0)))</x:f>
        <x:v>0</x:v>
      </x:c>
      <x:c r="D2226" s="256" t="n">
        <x:f>EXP(A2226-0.005)-1</x:f>
        <x:v>-0.9971056652873088</x:v>
      </x:c>
    </x:row>
    <x:row r="2227" ht="20" customHeight="1">
      <x:c r="A2227" s="256" t="n">
        <x:f>-12+617*0.01</x:f>
        <x:v>-5.83</x:v>
      </x:c>
      <x:c r="B2227" s="256" t="n">
        <x:f>IF(COUNT($B$129:$L$129)=11,B$129*EXP(IF(A2227&lt;0,(10-0)*A2227,-0*A2227))+C$129*EXP(IF(A2227&lt;0,(10-1)*A2227,-1*A2227))+D$129*EXP(IF(A2227&lt;0,(10-2)*A2227,-2*A2227))+E$129*EXP(IF(A2227&lt;0,(10-3)*A2227,-3*A2227))+F$129*EXP(IF(A2227&lt;0,(10-4)*A2227,-4*A2227))+G$129*EXP(IF(A2227&lt;0,(10-5)*A2227,-5*A2227))+H$129*EXP(IF(A2227&lt;0,(10-6)*A2227,-6*A2227))+I$129*EXP(IF(A2227&lt;0,(10-7)*A2227,-7*A2227))+J$129*EXP(IF(A2227&lt;0,(10-8)*A2227,-8*A2227))+K$129*EXP(IF(A2227&lt;0,(10-9)*A2227,-9*A2227))+L$129*EXP(IF(A2227&lt;0,(10-10)*A2227,-10*A2227)),0)</x:f>
        <x:v>781784.248891302</x:v>
      </x:c>
      <x:c r="C2227" s="256" t="n">
        <x:f>IF(B2227=0,IF(B2226=0,0,1),IF(B2226=0,0,IF(SIGN(B2227)&lt;&gt;SIGN(B2226),1,0)))</x:f>
        <x:v>0</x:v>
      </x:c>
      <x:c r="D2227" s="256" t="n">
        <x:f>EXP(A2227-0.005)-1</x:f>
        <x:v>-0.9970765767398488</x:v>
      </x:c>
    </x:row>
    <x:row r="2228" ht="20" customHeight="1">
      <x:c r="A2228" s="256" t="n">
        <x:f>-12+618*0.01</x:f>
        <x:v>-5.82</x:v>
      </x:c>
      <x:c r="B2228" s="256" t="n">
        <x:f>IF(COUNT($B$129:$L$129)=11,B$129*EXP(IF(A2228&lt;0,(10-0)*A2228,-0*A2228))+C$129*EXP(IF(A2228&lt;0,(10-1)*A2228,-1*A2228))+D$129*EXP(IF(A2228&lt;0,(10-2)*A2228,-2*A2228))+E$129*EXP(IF(A2228&lt;0,(10-3)*A2228,-3*A2228))+F$129*EXP(IF(A2228&lt;0,(10-4)*A2228,-4*A2228))+G$129*EXP(IF(A2228&lt;0,(10-5)*A2228,-5*A2228))+H$129*EXP(IF(A2228&lt;0,(10-6)*A2228,-6*A2228))+I$129*EXP(IF(A2228&lt;0,(10-7)*A2228,-7*A2228))+J$129*EXP(IF(A2228&lt;0,(10-8)*A2228,-8*A2228))+K$129*EXP(IF(A2228&lt;0,(10-9)*A2228,-9*A2228))+L$129*EXP(IF(A2228&lt;0,(10-10)*A2228,-10*A2228)),0)</x:f>
        <x:v>781784.6223843307</x:v>
      </x:c>
      <x:c r="C2228" s="256" t="n">
        <x:f>IF(B2228=0,IF(B2227=0,0,1),IF(B2227=0,0,IF(SIGN(B2228)&lt;&gt;SIGN(B2227),1,0)))</x:f>
        <x:v>0</x:v>
      </x:c>
      <x:c r="D2228" s="256" t="n">
        <x:f>EXP(A2228-0.005)-1</x:f>
        <x:v>-0.9970471958476266</x:v>
      </x:c>
    </x:row>
    <x:row r="2229" ht="20" customHeight="1">
      <x:c r="A2229" s="256" t="n">
        <x:f>-12+619*0.01</x:f>
        <x:v>-5.81</x:v>
      </x:c>
      <x:c r="B2229" s="256" t="n">
        <x:f>IF(COUNT($B$129:$L$129)=11,B$129*EXP(IF(A2229&lt;0,(10-0)*A2229,-0*A2229))+C$129*EXP(IF(A2229&lt;0,(10-1)*A2229,-1*A2229))+D$129*EXP(IF(A2229&lt;0,(10-2)*A2229,-2*A2229))+E$129*EXP(IF(A2229&lt;0,(10-3)*A2229,-3*A2229))+F$129*EXP(IF(A2229&lt;0,(10-4)*A2229,-4*A2229))+G$129*EXP(IF(A2229&lt;0,(10-5)*A2229,-5*A2229))+H$129*EXP(IF(A2229&lt;0,(10-6)*A2229,-6*A2229))+I$129*EXP(IF(A2229&lt;0,(10-7)*A2229,-7*A2229))+J$129*EXP(IF(A2229&lt;0,(10-8)*A2229,-8*A2229))+K$129*EXP(IF(A2229&lt;0,(10-9)*A2229,-9*A2229))+L$129*EXP(IF(A2229&lt;0,(10-10)*A2229,-10*A2229)),0)</x:f>
        <x:v>781784.9996481148</x:v>
      </x:c>
      <x:c r="C2229" s="256" t="n">
        <x:f>IF(B2229=0,IF(B2228=0,0,1),IF(B2228=0,0,IF(SIGN(B2229)&lt;&gt;SIGN(B2228),1,0)))</x:f>
        <x:v>0</x:v>
      </x:c>
      <x:c r="D2229" s="256" t="n">
        <x:f>EXP(A2229-0.005)-1</x:f>
        <x:v>-0.9970175196725284</x:v>
      </x:c>
    </x:row>
    <x:row r="2230" ht="20" customHeight="1">
      <x:c r="A2230" s="256" t="n">
        <x:f>-12+620*0.01</x:f>
        <x:v>-5.8</x:v>
      </x:c>
      <x:c r="B2230" s="256" t="n">
        <x:f>IF(COUNT($B$129:$L$129)=11,B$129*EXP(IF(A2230&lt;0,(10-0)*A2230,-0*A2230))+C$129*EXP(IF(A2230&lt;0,(10-1)*A2230,-1*A2230))+D$129*EXP(IF(A2230&lt;0,(10-2)*A2230,-2*A2230))+E$129*EXP(IF(A2230&lt;0,(10-3)*A2230,-3*A2230))+F$129*EXP(IF(A2230&lt;0,(10-4)*A2230,-4*A2230))+G$129*EXP(IF(A2230&lt;0,(10-5)*A2230,-5*A2230))+H$129*EXP(IF(A2230&lt;0,(10-6)*A2230,-6*A2230))+I$129*EXP(IF(A2230&lt;0,(10-7)*A2230,-7*A2230))+J$129*EXP(IF(A2230&lt;0,(10-8)*A2230,-8*A2230))+K$129*EXP(IF(A2230&lt;0,(10-9)*A2230,-9*A2230))+L$129*EXP(IF(A2230&lt;0,(10-10)*A2230,-10*A2230)),0)</x:f>
        <x:v>781785.380720897</x:v>
      </x:c>
      <x:c r="C2230" s="256" t="n">
        <x:f>IF(B2230=0,IF(B2229=0,0,1),IF(B2229=0,0,IF(SIGN(B2230)&lt;&gt;SIGN(B2229),1,0)))</x:f>
        <x:v>0</x:v>
      </x:c>
      <x:c r="D2230" s="256" t="n">
        <x:f>EXP(A2230-0.005)-1</x:f>
        <x:v>-0.996987545246912</x:v>
      </x:c>
    </x:row>
    <x:row r="2231" ht="20" customHeight="1">
      <x:c r="A2231" s="256" t="n">
        <x:f>-12+621*0.01</x:f>
        <x:v>-5.79</x:v>
      </x:c>
      <x:c r="B2231" s="256" t="n">
        <x:f>IF(COUNT($B$129:$L$129)=11,B$129*EXP(IF(A2231&lt;0,(10-0)*A2231,-0*A2231))+C$129*EXP(IF(A2231&lt;0,(10-1)*A2231,-1*A2231))+D$129*EXP(IF(A2231&lt;0,(10-2)*A2231,-2*A2231))+E$129*EXP(IF(A2231&lt;0,(10-3)*A2231,-3*A2231))+F$129*EXP(IF(A2231&lt;0,(10-4)*A2231,-4*A2231))+G$129*EXP(IF(A2231&lt;0,(10-5)*A2231,-5*A2231))+H$129*EXP(IF(A2231&lt;0,(10-6)*A2231,-6*A2231))+I$129*EXP(IF(A2231&lt;0,(10-7)*A2231,-7*A2231))+J$129*EXP(IF(A2231&lt;0,(10-8)*A2231,-8*A2231))+K$129*EXP(IF(A2231&lt;0,(10-9)*A2231,-9*A2231))+L$129*EXP(IF(A2231&lt;0,(10-10)*A2231,-10*A2231)),0)</x:f>
        <x:v>781785.765641312</x:v>
      </x:c>
      <x:c r="C2231" s="256" t="n">
        <x:f>IF(B2231=0,IF(B2230=0,0,1),IF(B2230=0,0,IF(SIGN(B2231)&lt;&gt;SIGN(B2230),1,0)))</x:f>
        <x:v>0</x:v>
      </x:c>
      <x:c r="D2231" s="256" t="n">
        <x:f>EXP(A2231-0.005)-1</x:f>
        <x:v>-0.99695726957331</x:v>
      </x:c>
    </x:row>
    <x:row r="2232" ht="20" customHeight="1">
      <x:c r="A2232" s="256" t="n">
        <x:f>-12+622*0.01</x:f>
        <x:v>-5.78</x:v>
      </x:c>
      <x:c r="B2232" s="256" t="n">
        <x:f>IF(COUNT($B$129:$L$129)=11,B$129*EXP(IF(A2232&lt;0,(10-0)*A2232,-0*A2232))+C$129*EXP(IF(A2232&lt;0,(10-1)*A2232,-1*A2232))+D$129*EXP(IF(A2232&lt;0,(10-2)*A2232,-2*A2232))+E$129*EXP(IF(A2232&lt;0,(10-3)*A2232,-3*A2232))+F$129*EXP(IF(A2232&lt;0,(10-4)*A2232,-4*A2232))+G$129*EXP(IF(A2232&lt;0,(10-5)*A2232,-5*A2232))+H$129*EXP(IF(A2232&lt;0,(10-6)*A2232,-6*A2232))+I$129*EXP(IF(A2232&lt;0,(10-7)*A2232,-7*A2232))+J$129*EXP(IF(A2232&lt;0,(10-8)*A2232,-8*A2232))+K$129*EXP(IF(A2232&lt;0,(10-9)*A2232,-9*A2232))+L$129*EXP(IF(A2232&lt;0,(10-10)*A2232,-10*A2232)),0)</x:f>
        <x:v>781786.1544483894</x:v>
      </x:c>
      <x:c r="C2232" s="256" t="n">
        <x:f>IF(B2232=0,IF(B2231=0,0,1),IF(B2231=0,0,IF(SIGN(B2232)&lt;&gt;SIGN(B2231),1,0)))</x:f>
        <x:v>0</x:v>
      </x:c>
      <x:c r="D2232" s="256" t="n">
        <x:f>EXP(A2232-0.005)-1</x:f>
        <x:v>-0.9969266896241297</x:v>
      </x:c>
    </x:row>
    <x:row r="2233" ht="20" customHeight="1">
      <x:c r="A2233" s="256" t="n">
        <x:f>-12+623*0.01</x:f>
        <x:v>-5.77</x:v>
      </x:c>
      <x:c r="B2233" s="256" t="n">
        <x:f>IF(COUNT($B$129:$L$129)=11,B$129*EXP(IF(A2233&lt;0,(10-0)*A2233,-0*A2233))+C$129*EXP(IF(A2233&lt;0,(10-1)*A2233,-1*A2233))+D$129*EXP(IF(A2233&lt;0,(10-2)*A2233,-2*A2233))+E$129*EXP(IF(A2233&lt;0,(10-3)*A2233,-3*A2233))+F$129*EXP(IF(A2233&lt;0,(10-4)*A2233,-4*A2233))+G$129*EXP(IF(A2233&lt;0,(10-5)*A2233,-5*A2233))+H$129*EXP(IF(A2233&lt;0,(10-6)*A2233,-6*A2233))+I$129*EXP(IF(A2233&lt;0,(10-7)*A2233,-7*A2233))+J$129*EXP(IF(A2233&lt;0,(10-8)*A2233,-8*A2233))+K$129*EXP(IF(A2233&lt;0,(10-9)*A2233,-9*A2233))+L$129*EXP(IF(A2233&lt;0,(10-10)*A2233,-10*A2233)),0)</x:f>
        <x:v>781786.5471815588</x:v>
      </x:c>
      <x:c r="C2233" s="256" t="n">
        <x:f>IF(B2233=0,IF(B2232=0,0,1),IF(B2232=0,0,IF(SIGN(B2233)&lt;&gt;SIGN(B2232),1,0)))</x:f>
        <x:v>0</x:v>
      </x:c>
      <x:c r="D2233" s="256" t="n">
        <x:f>EXP(A2233-0.005)-1</x:f>
        <x:v>-0.9968958023413507</x:v>
      </x:c>
    </x:row>
    <x:row r="2234" ht="20" customHeight="1">
      <x:c r="A2234" s="256" t="n">
        <x:f>-12+624*0.01</x:f>
        <x:v>-5.76</x:v>
      </x:c>
      <x:c r="B2234" s="256" t="n">
        <x:f>IF(COUNT($B$129:$L$129)=11,B$129*EXP(IF(A2234&lt;0,(10-0)*A2234,-0*A2234))+C$129*EXP(IF(A2234&lt;0,(10-1)*A2234,-1*A2234))+D$129*EXP(IF(A2234&lt;0,(10-2)*A2234,-2*A2234))+E$129*EXP(IF(A2234&lt;0,(10-3)*A2234,-3*A2234))+F$129*EXP(IF(A2234&lt;0,(10-4)*A2234,-4*A2234))+G$129*EXP(IF(A2234&lt;0,(10-5)*A2234,-5*A2234))+H$129*EXP(IF(A2234&lt;0,(10-6)*A2234,-6*A2234))+I$129*EXP(IF(A2234&lt;0,(10-7)*A2234,-7*A2234))+J$129*EXP(IF(A2234&lt;0,(10-8)*A2234,-8*A2234))+K$129*EXP(IF(A2234&lt;0,(10-9)*A2234,-9*A2234))+L$129*EXP(IF(A2234&lt;0,(10-10)*A2234,-10*A2234)),0)</x:f>
        <x:v>781786.9438806532</x:v>
      </x:c>
      <x:c r="C2234" s="256" t="n">
        <x:f>IF(B2234=0,IF(B2233=0,0,1),IF(B2233=0,0,IF(SIGN(B2234)&lt;&gt;SIGN(B2233),1,0)))</x:f>
        <x:v>0</x:v>
      </x:c>
      <x:c r="D2234" s="256" t="n">
        <x:f>EXP(A2234-0.005)-1</x:f>
        <x:v>-0.996864604636219</x:v>
      </x:c>
    </x:row>
    <x:row r="2235" ht="20" customHeight="1">
      <x:c r="A2235" s="256" t="n">
        <x:f>-12+625*0.01</x:f>
        <x:v>-5.75</x:v>
      </x:c>
      <x:c r="B2235" s="256" t="n">
        <x:f>IF(COUNT($B$129:$L$129)=11,B$129*EXP(IF(A2235&lt;0,(10-0)*A2235,-0*A2235))+C$129*EXP(IF(A2235&lt;0,(10-1)*A2235,-1*A2235))+D$129*EXP(IF(A2235&lt;0,(10-2)*A2235,-2*A2235))+E$129*EXP(IF(A2235&lt;0,(10-3)*A2235,-3*A2235))+F$129*EXP(IF(A2235&lt;0,(10-4)*A2235,-4*A2235))+G$129*EXP(IF(A2235&lt;0,(10-5)*A2235,-5*A2235))+H$129*EXP(IF(A2235&lt;0,(10-6)*A2235,-6*A2235))+I$129*EXP(IF(A2235&lt;0,(10-7)*A2235,-7*A2235))+J$129*EXP(IF(A2235&lt;0,(10-8)*A2235,-8*A2235))+K$129*EXP(IF(A2235&lt;0,(10-9)*A2235,-9*A2235))+L$129*EXP(IF(A2235&lt;0,(10-10)*A2235,-10*A2235)),0)</x:f>
        <x:v>781787.3445859139</x:v>
      </x:c>
      <x:c r="C2235" s="256" t="n">
        <x:f>IF(B2235=0,IF(B2234=0,0,1),IF(B2234=0,0,IF(SIGN(B2235)&lt;&gt;SIGN(B2234),1,0)))</x:f>
        <x:v>0</x:v>
      </x:c>
      <x:c r="D2235" s="256" t="n">
        <x:f>EXP(A2235-0.005)-1</x:f>
        <x:v>-0.9968330933889381</x:v>
      </x:c>
    </x:row>
    <x:row r="2236" ht="20" customHeight="1">
      <x:c r="A2236" s="256" t="n">
        <x:f>-12+626*0.01</x:f>
        <x:v>-5.74</x:v>
      </x:c>
      <x:c r="B2236" s="256" t="n">
        <x:f>IF(COUNT($B$129:$L$129)=11,B$129*EXP(IF(A2236&lt;0,(10-0)*A2236,-0*A2236))+C$129*EXP(IF(A2236&lt;0,(10-1)*A2236,-1*A2236))+D$129*EXP(IF(A2236&lt;0,(10-2)*A2236,-2*A2236))+E$129*EXP(IF(A2236&lt;0,(10-3)*A2236,-3*A2236))+F$129*EXP(IF(A2236&lt;0,(10-4)*A2236,-4*A2236))+G$129*EXP(IF(A2236&lt;0,(10-5)*A2236,-5*A2236))+H$129*EXP(IF(A2236&lt;0,(10-6)*A2236,-6*A2236))+I$129*EXP(IF(A2236&lt;0,(10-7)*A2236,-7*A2236))+J$129*EXP(IF(A2236&lt;0,(10-8)*A2236,-8*A2236))+K$129*EXP(IF(A2236&lt;0,(10-9)*A2236,-9*A2236))+L$129*EXP(IF(A2236&lt;0,(10-10)*A2236,-10*A2236)),0)</x:f>
        <x:v>781787.7493379941</x:v>
      </x:c>
      <x:c r="C2236" s="256" t="n">
        <x:f>IF(B2236=0,IF(B2235=0,0,1),IF(B2235=0,0,IF(SIGN(B2236)&lt;&gt;SIGN(B2235),1,0)))</x:f>
        <x:v>0</x:v>
      </x:c>
      <x:c r="D2236" s="256" t="n">
        <x:f>EXP(A2236-0.005)-1</x:f>
        <x:v>-0.9968012654483569</x:v>
      </x:c>
    </x:row>
    <x:row r="2237" ht="20" customHeight="1">
      <x:c r="A2237" s="256" t="n">
        <x:f>-12+627*0.01</x:f>
        <x:v>-5.7299999999999995</x:v>
      </x:c>
      <x:c r="B2237" s="256" t="n">
        <x:f>IF(COUNT($B$129:$L$129)=11,B$129*EXP(IF(A2237&lt;0,(10-0)*A2237,-0*A2237))+C$129*EXP(IF(A2237&lt;0,(10-1)*A2237,-1*A2237))+D$129*EXP(IF(A2237&lt;0,(10-2)*A2237,-2*A2237))+E$129*EXP(IF(A2237&lt;0,(10-3)*A2237,-3*A2237))+F$129*EXP(IF(A2237&lt;0,(10-4)*A2237,-4*A2237))+G$129*EXP(IF(A2237&lt;0,(10-5)*A2237,-5*A2237))+H$129*EXP(IF(A2237&lt;0,(10-6)*A2237,-6*A2237))+I$129*EXP(IF(A2237&lt;0,(10-7)*A2237,-7*A2237))+J$129*EXP(IF(A2237&lt;0,(10-8)*A2237,-8*A2237))+K$129*EXP(IF(A2237&lt;0,(10-9)*A2237,-9*A2237))+L$129*EXP(IF(A2237&lt;0,(10-10)*A2237,-10*A2237)),0)</x:f>
        <x:v>781788.1581779637</x:v>
      </x:c>
      <x:c r="C2237" s="256" t="n">
        <x:f>IF(B2237=0,IF(B2236=0,0,1),IF(B2236=0,0,IF(SIGN(B2237)&lt;&gt;SIGN(B2236),1,0)))</x:f>
        <x:v>0</x:v>
      </x:c>
      <x:c r="D2237" s="256" t="n">
        <x:f>EXP(A2237-0.005)-1</x:f>
        <x:v>-0.996769117631655</x:v>
      </x:c>
    </x:row>
    <x:row r="2238" ht="20" customHeight="1">
      <x:c r="A2238" s="256" t="n">
        <x:f>-12+628*0.01</x:f>
        <x:v>-5.72</x:v>
      </x:c>
      <x:c r="B2238" s="256" t="n">
        <x:f>IF(COUNT($B$129:$L$129)=11,B$129*EXP(IF(A2238&lt;0,(10-0)*A2238,-0*A2238))+C$129*EXP(IF(A2238&lt;0,(10-1)*A2238,-1*A2238))+D$129*EXP(IF(A2238&lt;0,(10-2)*A2238,-2*A2238))+E$129*EXP(IF(A2238&lt;0,(10-3)*A2238,-3*A2238))+F$129*EXP(IF(A2238&lt;0,(10-4)*A2238,-4*A2238))+G$129*EXP(IF(A2238&lt;0,(10-5)*A2238,-5*A2238))+H$129*EXP(IF(A2238&lt;0,(10-6)*A2238,-6*A2238))+I$129*EXP(IF(A2238&lt;0,(10-7)*A2238,-7*A2238))+J$129*EXP(IF(A2238&lt;0,(10-8)*A2238,-8*A2238))+K$129*EXP(IF(A2238&lt;0,(10-9)*A2238,-9*A2238))+L$129*EXP(IF(A2238&lt;0,(10-10)*A2238,-10*A2238)),0)</x:f>
        <x:v>781788.5711473131</x:v>
      </x:c>
      <x:c r="C2238" s="256" t="n">
        <x:f>IF(B2238=0,IF(B2237=0,0,1),IF(B2237=0,0,IF(SIGN(B2238)&lt;&gt;SIGN(B2237),1,0)))</x:f>
        <x:v>0</x:v>
      </x:c>
      <x:c r="D2238" s="256" t="n">
        <x:f>EXP(A2238-0.005)-1</x:f>
        <x:v>-0.9967366467240238</x:v>
      </x:c>
    </x:row>
    <x:row r="2239" ht="20" customHeight="1">
      <x:c r="A2239" s="256" t="n">
        <x:f>-12+629*0.01</x:f>
        <x:v>-5.71</x:v>
      </x:c>
      <x:c r="B2239" s="256" t="n">
        <x:f>IF(COUNT($B$129:$L$129)=11,B$129*EXP(IF(A2239&lt;0,(10-0)*A2239,-0*A2239))+C$129*EXP(IF(A2239&lt;0,(10-1)*A2239,-1*A2239))+D$129*EXP(IF(A2239&lt;0,(10-2)*A2239,-2*A2239))+E$129*EXP(IF(A2239&lt;0,(10-3)*A2239,-3*A2239))+F$129*EXP(IF(A2239&lt;0,(10-4)*A2239,-4*A2239))+G$129*EXP(IF(A2239&lt;0,(10-5)*A2239,-5*A2239))+H$129*EXP(IF(A2239&lt;0,(10-6)*A2239,-6*A2239))+I$129*EXP(IF(A2239&lt;0,(10-7)*A2239,-7*A2239))+J$129*EXP(IF(A2239&lt;0,(10-8)*A2239,-8*A2239))+K$129*EXP(IF(A2239&lt;0,(10-9)*A2239,-9*A2239))+L$129*EXP(IF(A2239&lt;0,(10-10)*A2239,-10*A2239)),0)</x:f>
        <x:v>781788.9882879585</x:v>
      </x:c>
      <x:c r="C2239" s="256" t="n">
        <x:f>IF(B2239=0,IF(B2238=0,0,1),IF(B2238=0,0,IF(SIGN(B2239)&lt;&gt;SIGN(B2238),1,0)))</x:f>
        <x:v>0</x:v>
      </x:c>
      <x:c r="D2239" s="256" t="n">
        <x:f>EXP(A2239-0.005)-1</x:f>
        <x:v>-0.9967038494783457</x:v>
      </x:c>
    </x:row>
    <x:row r="2240" ht="20" customHeight="1">
      <x:c r="A2240" s="256" t="n">
        <x:f>-12+630*0.01</x:f>
        <x:v>-5.7</x:v>
      </x:c>
      <x:c r="B2240" s="256" t="n">
        <x:f>IF(COUNT($B$129:$L$129)=11,B$129*EXP(IF(A2240&lt;0,(10-0)*A2240,-0*A2240))+C$129*EXP(IF(A2240&lt;0,(10-1)*A2240,-1*A2240))+D$129*EXP(IF(A2240&lt;0,(10-2)*A2240,-2*A2240))+E$129*EXP(IF(A2240&lt;0,(10-3)*A2240,-3*A2240))+F$129*EXP(IF(A2240&lt;0,(10-4)*A2240,-4*A2240))+G$129*EXP(IF(A2240&lt;0,(10-5)*A2240,-5*A2240))+H$129*EXP(IF(A2240&lt;0,(10-6)*A2240,-6*A2240))+I$129*EXP(IF(A2240&lt;0,(10-7)*A2240,-7*A2240))+J$129*EXP(IF(A2240&lt;0,(10-8)*A2240,-8*A2240))+K$129*EXP(IF(A2240&lt;0,(10-9)*A2240,-9*A2240))+L$129*EXP(IF(A2240&lt;0,(10-10)*A2240,-10*A2240)),0)</x:f>
        <x:v>781789.4096422454</x:v>
      </x:c>
      <x:c r="C2240" s="256" t="n">
        <x:f>IF(B2240=0,IF(B2239=0,0,1),IF(B2239=0,0,IF(SIGN(B2240)&lt;&gt;SIGN(B2239),1,0)))</x:f>
        <x:v>0</x:v>
      </x:c>
      <x:c r="D2240" s="256" t="n">
        <x:f>EXP(A2240-0.005)-1</x:f>
        <x:v>-0.9966707226148684</x:v>
      </x:c>
    </x:row>
    <x:row r="2241" ht="20" customHeight="1">
      <x:c r="A2241" s="256" t="n">
        <x:f>-12+631*0.01</x:f>
        <x:v>-5.6899999999999995</x:v>
      </x:c>
      <x:c r="B2241" s="256" t="n">
        <x:f>IF(COUNT($B$129:$L$129)=11,B$129*EXP(IF(A2241&lt;0,(10-0)*A2241,-0*A2241))+C$129*EXP(IF(A2241&lt;0,(10-1)*A2241,-1*A2241))+D$129*EXP(IF(A2241&lt;0,(10-2)*A2241,-2*A2241))+E$129*EXP(IF(A2241&lt;0,(10-3)*A2241,-3*A2241))+F$129*EXP(IF(A2241&lt;0,(10-4)*A2241,-4*A2241))+G$129*EXP(IF(A2241&lt;0,(10-5)*A2241,-5*A2241))+H$129*EXP(IF(A2241&lt;0,(10-6)*A2241,-6*A2241))+I$129*EXP(IF(A2241&lt;0,(10-7)*A2241,-7*A2241))+J$129*EXP(IF(A2241&lt;0,(10-8)*A2241,-8*A2241))+K$129*EXP(IF(A2241&lt;0,(10-9)*A2241,-9*A2241))+L$129*EXP(IF(A2241&lt;0,(10-10)*A2241,-10*A2241)),0)</x:f>
        <x:v>781789.8352529536</x:v>
      </x:c>
      <x:c r="C2241" s="256" t="n">
        <x:f>IF(B2241=0,IF(B2240=0,0,1),IF(B2240=0,0,IF(SIGN(B2241)&lt;&gt;SIGN(B2240),1,0)))</x:f>
        <x:v>0</x:v>
      </x:c>
      <x:c r="D2241" s="256" t="n">
        <x:f>EXP(A2241-0.005)-1</x:f>
        <x:v>-0.9966372628208783</x:v>
      </x:c>
    </x:row>
    <x:row r="2242" ht="20" customHeight="1">
      <x:c r="A2242" s="256" t="n">
        <x:f>-12+632*0.01</x:f>
        <x:v>-5.68</x:v>
      </x:c>
      <x:c r="B2242" s="256" t="n">
        <x:f>IF(COUNT($B$129:$L$129)=11,B$129*EXP(IF(A2242&lt;0,(10-0)*A2242,-0*A2242))+C$129*EXP(IF(A2242&lt;0,(10-1)*A2242,-1*A2242))+D$129*EXP(IF(A2242&lt;0,(10-2)*A2242,-2*A2242))+E$129*EXP(IF(A2242&lt;0,(10-3)*A2242,-3*A2242))+F$129*EXP(IF(A2242&lt;0,(10-4)*A2242,-4*A2242))+G$129*EXP(IF(A2242&lt;0,(10-5)*A2242,-5*A2242))+H$129*EXP(IF(A2242&lt;0,(10-6)*A2242,-6*A2242))+I$129*EXP(IF(A2242&lt;0,(10-7)*A2242,-7*A2242))+J$129*EXP(IF(A2242&lt;0,(10-8)*A2242,-8*A2242))+K$129*EXP(IF(A2242&lt;0,(10-9)*A2242,-9*A2242))+L$129*EXP(IF(A2242&lt;0,(10-10)*A2242,-10*A2242)),0)</x:f>
        <x:v>781790.2651633015</x:v>
      </x:c>
      <x:c r="C2242" s="256" t="n">
        <x:f>IF(B2242=0,IF(B2241=0,0,1),IF(B2241=0,0,IF(SIGN(B2242)&lt;&gt;SIGN(B2241),1,0)))</x:f>
        <x:v>0</x:v>
      </x:c>
      <x:c r="D2242" s="256" t="n">
        <x:f>EXP(A2242-0.005)-1</x:f>
        <x:v>-0.996603466750368</x:v>
      </x:c>
    </x:row>
    <x:row r="2243" ht="20" customHeight="1">
      <x:c r="A2243" s="256" t="n">
        <x:f>-12+633*0.01</x:f>
        <x:v>-5.67</x:v>
      </x:c>
      <x:c r="B2243" s="256" t="n">
        <x:f>IF(COUNT($B$129:$L$129)=11,B$129*EXP(IF(A2243&lt;0,(10-0)*A2243,-0*A2243))+C$129*EXP(IF(A2243&lt;0,(10-1)*A2243,-1*A2243))+D$129*EXP(IF(A2243&lt;0,(10-2)*A2243,-2*A2243))+E$129*EXP(IF(A2243&lt;0,(10-3)*A2243,-3*A2243))+F$129*EXP(IF(A2243&lt;0,(10-4)*A2243,-4*A2243))+G$129*EXP(IF(A2243&lt;0,(10-5)*A2243,-5*A2243))+H$129*EXP(IF(A2243&lt;0,(10-6)*A2243,-6*A2243))+I$129*EXP(IF(A2243&lt;0,(10-7)*A2243,-7*A2243))+J$129*EXP(IF(A2243&lt;0,(10-8)*A2243,-8*A2243))+K$129*EXP(IF(A2243&lt;0,(10-9)*A2243,-9*A2243))+L$129*EXP(IF(A2243&lt;0,(10-10)*A2243,-10*A2243)),0)</x:f>
        <x:v>781790.699416951</x:v>
      </x:c>
      <x:c r="C2243" s="256" t="n">
        <x:f>IF(B2243=0,IF(B2242=0,0,1),IF(B2242=0,0,IF(SIGN(B2243)&lt;&gt;SIGN(B2242),1,0)))</x:f>
        <x:v>0</x:v>
      </x:c>
      <x:c r="D2243" s="256" t="n">
        <x:f>EXP(A2243-0.005)-1</x:f>
        <x:v>-0.9965693310237023</x:v>
      </x:c>
    </x:row>
    <x:row r="2244" ht="20" customHeight="1">
      <x:c r="A2244" s="256" t="n">
        <x:f>-12+634*0.01</x:f>
        <x:v>-5.66</x:v>
      </x:c>
      <x:c r="B2244" s="256" t="n">
        <x:f>IF(COUNT($B$129:$L$129)=11,B$129*EXP(IF(A2244&lt;0,(10-0)*A2244,-0*A2244))+C$129*EXP(IF(A2244&lt;0,(10-1)*A2244,-1*A2244))+D$129*EXP(IF(A2244&lt;0,(10-2)*A2244,-2*A2244))+E$129*EXP(IF(A2244&lt;0,(10-3)*A2244,-3*A2244))+F$129*EXP(IF(A2244&lt;0,(10-4)*A2244,-4*A2244))+G$129*EXP(IF(A2244&lt;0,(10-5)*A2244,-5*A2244))+H$129*EXP(IF(A2244&lt;0,(10-6)*A2244,-6*A2244))+I$129*EXP(IF(A2244&lt;0,(10-7)*A2244,-7*A2244))+J$129*EXP(IF(A2244&lt;0,(10-8)*A2244,-8*A2244))+K$129*EXP(IF(A2244&lt;0,(10-9)*A2244,-9*A2244))+L$129*EXP(IF(A2244&lt;0,(10-10)*A2244,-10*A2244)),0)</x:f>
        <x:v>781791.1380580119</x:v>
      </x:c>
      <x:c r="C2244" s="256" t="n">
        <x:f>IF(B2244=0,IF(B2243=0,0,1),IF(B2243=0,0,IF(SIGN(B2244)&lt;&gt;SIGN(B2243),1,0)))</x:f>
        <x:v>0</x:v>
      </x:c>
      <x:c r="D2244" s="256" t="n">
        <x:f>EXP(A2244-0.005)-1</x:f>
        <x:v>-0.99653485222728</x:v>
      </x:c>
    </x:row>
    <x:row r="2245" ht="20" customHeight="1">
      <x:c r="A2245" s="256" t="n">
        <x:f>-12+635*0.01</x:f>
        <x:v>-5.6499999999999995</x:v>
      </x:c>
      <x:c r="B2245" s="256" t="n">
        <x:f>IF(COUNT($B$129:$L$129)=11,B$129*EXP(IF(A2245&lt;0,(10-0)*A2245,-0*A2245))+C$129*EXP(IF(A2245&lt;0,(10-1)*A2245,-1*A2245))+D$129*EXP(IF(A2245&lt;0,(10-2)*A2245,-2*A2245))+E$129*EXP(IF(A2245&lt;0,(10-3)*A2245,-3*A2245))+F$129*EXP(IF(A2245&lt;0,(10-4)*A2245,-4*A2245))+G$129*EXP(IF(A2245&lt;0,(10-5)*A2245,-5*A2245))+H$129*EXP(IF(A2245&lt;0,(10-6)*A2245,-6*A2245))+I$129*EXP(IF(A2245&lt;0,(10-7)*A2245,-7*A2245))+J$129*EXP(IF(A2245&lt;0,(10-8)*A2245,-8*A2245))+K$129*EXP(IF(A2245&lt;0,(10-9)*A2245,-9*A2245))+L$129*EXP(IF(A2245&lt;0,(10-10)*A2245,-10*A2245)),0)</x:f>
        <x:v>781791.5811310465</x:v>
      </x:c>
      <x:c r="C2245" s="256" t="n">
        <x:f>IF(B2245=0,IF(B2244=0,0,1),IF(B2244=0,0,IF(SIGN(B2245)&lt;&gt;SIGN(B2244),1,0)))</x:f>
        <x:v>0</x:v>
      </x:c>
      <x:c r="D2245" s="256" t="n">
        <x:f>EXP(A2245-0.005)-1</x:f>
        <x:v>-0.9965000269131928</x:v>
      </x:c>
    </x:row>
    <x:row r="2246" ht="20" customHeight="1">
      <x:c r="A2246" s="256" t="n">
        <x:f>-12+636*0.01</x:f>
        <x:v>-5.64</x:v>
      </x:c>
      <x:c r="B2246" s="256" t="n">
        <x:f>IF(COUNT($B$129:$L$129)=11,B$129*EXP(IF(A2246&lt;0,(10-0)*A2246,-0*A2246))+C$129*EXP(IF(A2246&lt;0,(10-1)*A2246,-1*A2246))+D$129*EXP(IF(A2246&lt;0,(10-2)*A2246,-2*A2246))+E$129*EXP(IF(A2246&lt;0,(10-3)*A2246,-3*A2246))+F$129*EXP(IF(A2246&lt;0,(10-4)*A2246,-4*A2246))+G$129*EXP(IF(A2246&lt;0,(10-5)*A2246,-5*A2246))+H$129*EXP(IF(A2246&lt;0,(10-6)*A2246,-6*A2246))+I$129*EXP(IF(A2246&lt;0,(10-7)*A2246,-7*A2246))+J$129*EXP(IF(A2246&lt;0,(10-8)*A2246,-8*A2246))+K$129*EXP(IF(A2246&lt;0,(10-9)*A2246,-9*A2246))+L$129*EXP(IF(A2246&lt;0,(10-10)*A2246,-10*A2246)),0)</x:f>
        <x:v>781792.0286810745</x:v>
      </x:c>
      <x:c r="C2246" s="256" t="n">
        <x:f>IF(B2246=0,IF(B2245=0,0,1),IF(B2245=0,0,IF(SIGN(B2246)&lt;&gt;SIGN(B2245),1,0)))</x:f>
        <x:v>0</x:v>
      </x:c>
      <x:c r="D2246" s="256" t="n">
        <x:f>EXP(A2246-0.005)-1</x:f>
        <x:v>-0.9964648515988803</x:v>
      </x:c>
    </x:row>
    <x:row r="2247" ht="20" customHeight="1">
      <x:c r="A2247" s="256" t="n">
        <x:f>-12+637*0.01</x:f>
        <x:v>-5.63</x:v>
      </x:c>
      <x:c r="B2247" s="256" t="n">
        <x:f>IF(COUNT($B$129:$L$129)=11,B$129*EXP(IF(A2247&lt;0,(10-0)*A2247,-0*A2247))+C$129*EXP(IF(A2247&lt;0,(10-1)*A2247,-1*A2247))+D$129*EXP(IF(A2247&lt;0,(10-2)*A2247,-2*A2247))+E$129*EXP(IF(A2247&lt;0,(10-3)*A2247,-3*A2247))+F$129*EXP(IF(A2247&lt;0,(10-4)*A2247,-4*A2247))+G$129*EXP(IF(A2247&lt;0,(10-5)*A2247,-5*A2247))+H$129*EXP(IF(A2247&lt;0,(10-6)*A2247,-6*A2247))+I$129*EXP(IF(A2247&lt;0,(10-7)*A2247,-7*A2247))+J$129*EXP(IF(A2247&lt;0,(10-8)*A2247,-8*A2247))+K$129*EXP(IF(A2247&lt;0,(10-9)*A2247,-9*A2247))+L$129*EXP(IF(A2247&lt;0,(10-10)*A2247,-10*A2247)),0)</x:f>
        <x:v>781792.4807535778</x:v>
      </x:c>
      <x:c r="C2247" s="256" t="n">
        <x:f>IF(B2247=0,IF(B2246=0,0,1),IF(B2246=0,0,IF(SIGN(B2247)&lt;&gt;SIGN(B2246),1,0)))</x:f>
        <x:v>0</x:v>
      </x:c>
      <x:c r="D2247" s="256" t="n">
        <x:f>EXP(A2247-0.005)-1</x:f>
        <x:v>-0.9964293227667818</x:v>
      </x:c>
    </x:row>
    <x:row r="2248" ht="20" customHeight="1">
      <x:c r="A2248" s="256" t="n">
        <x:f>-12+638*0.01</x:f>
        <x:v>-5.62</x:v>
      </x:c>
      <x:c r="B2248" s="256" t="n">
        <x:f>IF(COUNT($B$129:$L$129)=11,B$129*EXP(IF(A2248&lt;0,(10-0)*A2248,-0*A2248))+C$129*EXP(IF(A2248&lt;0,(10-1)*A2248,-1*A2248))+D$129*EXP(IF(A2248&lt;0,(10-2)*A2248,-2*A2248))+E$129*EXP(IF(A2248&lt;0,(10-3)*A2248,-3*A2248))+F$129*EXP(IF(A2248&lt;0,(10-4)*A2248,-4*A2248))+G$129*EXP(IF(A2248&lt;0,(10-5)*A2248,-5*A2248))+H$129*EXP(IF(A2248&lt;0,(10-6)*A2248,-6*A2248))+I$129*EXP(IF(A2248&lt;0,(10-7)*A2248,-7*A2248))+J$129*EXP(IF(A2248&lt;0,(10-8)*A2248,-8*A2248))+K$129*EXP(IF(A2248&lt;0,(10-9)*A2248,-9*A2248))+L$129*EXP(IF(A2248&lt;0,(10-10)*A2248,-10*A2248)),0)</x:f>
        <x:v>781792.9373945055</x:v>
      </x:c>
      <x:c r="C2248" s="256" t="n">
        <x:f>IF(B2248=0,IF(B2247=0,0,1),IF(B2247=0,0,IF(SIGN(B2248)&lt;&gt;SIGN(B2247),1,0)))</x:f>
        <x:v>0</x:v>
      </x:c>
      <x:c r="D2248" s="256" t="n">
        <x:f>EXP(A2248-0.005)-1</x:f>
        <x:v>-0.9963934368639843</x:v>
      </x:c>
    </x:row>
    <x:row r="2249" ht="20" customHeight="1">
      <x:c r="A2249" s="256" t="n">
        <x:f>-12+639*0.01</x:f>
        <x:v>-5.609999999999999</x:v>
      </x:c>
      <x:c r="B2249" s="256" t="n">
        <x:f>IF(COUNT($B$129:$L$129)=11,B$129*EXP(IF(A2249&lt;0,(10-0)*A2249,-0*A2249))+C$129*EXP(IF(A2249&lt;0,(10-1)*A2249,-1*A2249))+D$129*EXP(IF(A2249&lt;0,(10-2)*A2249,-2*A2249))+E$129*EXP(IF(A2249&lt;0,(10-3)*A2249,-3*A2249))+F$129*EXP(IF(A2249&lt;0,(10-4)*A2249,-4*A2249))+G$129*EXP(IF(A2249&lt;0,(10-5)*A2249,-5*A2249))+H$129*EXP(IF(A2249&lt;0,(10-6)*A2249,-6*A2249))+I$129*EXP(IF(A2249&lt;0,(10-7)*A2249,-7*A2249))+J$129*EXP(IF(A2249&lt;0,(10-8)*A2249,-8*A2249))+K$129*EXP(IF(A2249&lt;0,(10-9)*A2249,-9*A2249))+L$129*EXP(IF(A2249&lt;0,(10-10)*A2249,-10*A2249)),0)</x:f>
        <x:v>781793.3986502781</x:v>
      </x:c>
      <x:c r="C2249" s="256" t="n">
        <x:f>IF(B2249=0,IF(B2248=0,0,1),IF(B2248=0,0,IF(SIGN(B2249)&lt;&gt;SIGN(B2248),1,0)))</x:f>
        <x:v>0</x:v>
      </x:c>
      <x:c r="D2249" s="256" t="n">
        <x:f>EXP(A2249-0.005)-1</x:f>
        <x:v>-0.9963571903018678</x:v>
      </x:c>
    </x:row>
    <x:row r="2250" ht="20" customHeight="1">
      <x:c r="A2250" s="256" t="n">
        <x:f>-12+640*0.01</x:f>
        <x:v>-5.6</x:v>
      </x:c>
      <x:c r="B2250" s="256" t="n">
        <x:f>IF(COUNT($B$129:$L$129)=11,B$129*EXP(IF(A2250&lt;0,(10-0)*A2250,-0*A2250))+C$129*EXP(IF(A2250&lt;0,(10-1)*A2250,-1*A2250))+D$129*EXP(IF(A2250&lt;0,(10-2)*A2250,-2*A2250))+E$129*EXP(IF(A2250&lt;0,(10-3)*A2250,-3*A2250))+F$129*EXP(IF(A2250&lt;0,(10-4)*A2250,-4*A2250))+G$129*EXP(IF(A2250&lt;0,(10-5)*A2250,-5*A2250))+H$129*EXP(IF(A2250&lt;0,(10-6)*A2250,-6*A2250))+I$129*EXP(IF(A2250&lt;0,(10-7)*A2250,-7*A2250))+J$129*EXP(IF(A2250&lt;0,(10-8)*A2250,-8*A2250))+K$129*EXP(IF(A2250&lt;0,(10-9)*A2250,-9*A2250))+L$129*EXP(IF(A2250&lt;0,(10-10)*A2250,-10*A2250)),0)</x:f>
        <x:v>781793.8645677934</x:v>
      </x:c>
      <x:c r="C2250" s="256" t="n">
        <x:f>IF(B2250=0,IF(B2249=0,0,1),IF(B2249=0,0,IF(SIGN(B2250)&lt;&gt;SIGN(B2249),1,0)))</x:f>
        <x:v>0</x:v>
      </x:c>
      <x:c r="D2250" s="256" t="n">
        <x:f>EXP(A2250-0.005)-1</x:f>
        <x:v>-0.9963205794557457</x:v>
      </x:c>
    </x:row>
    <x:row r="2251" ht="20" customHeight="1">
      <x:c r="A2251" s="256" t="n">
        <x:f>-12+641*0.01</x:f>
        <x:v>-5.59</x:v>
      </x:c>
      <x:c r="B2251" s="256" t="n">
        <x:f>IF(COUNT($B$129:$L$129)=11,B$129*EXP(IF(A2251&lt;0,(10-0)*A2251,-0*A2251))+C$129*EXP(IF(A2251&lt;0,(10-1)*A2251,-1*A2251))+D$129*EXP(IF(A2251&lt;0,(10-2)*A2251,-2*A2251))+E$129*EXP(IF(A2251&lt;0,(10-3)*A2251,-3*A2251))+F$129*EXP(IF(A2251&lt;0,(10-4)*A2251,-4*A2251))+G$129*EXP(IF(A2251&lt;0,(10-5)*A2251,-5*A2251))+H$129*EXP(IF(A2251&lt;0,(10-6)*A2251,-6*A2251))+I$129*EXP(IF(A2251&lt;0,(10-7)*A2251,-7*A2251))+J$129*EXP(IF(A2251&lt;0,(10-8)*A2251,-8*A2251))+K$129*EXP(IF(A2251&lt;0,(10-9)*A2251,-9*A2251))+L$129*EXP(IF(A2251&lt;0,(10-10)*A2251,-10*A2251)),0)</x:f>
        <x:v>781794.335194431</x:v>
      </x:c>
      <x:c r="C2251" s="256" t="n">
        <x:f>IF(B2251=0,IF(B2250=0,0,1),IF(B2250=0,0,IF(SIGN(B2251)&lt;&gt;SIGN(B2250),1,0)))</x:f>
        <x:v>0</x:v>
      </x:c>
      <x:c r="D2251" s="256" t="n">
        <x:f>EXP(A2251-0.005)-1</x:f>
        <x:v>-0.9962836006645029</x:v>
      </x:c>
    </x:row>
    <x:row r="2252" ht="20" customHeight="1">
      <x:c r="A2252" s="256" t="n">
        <x:f>-12+642*0.01</x:f>
        <x:v>-5.58</x:v>
      </x:c>
      <x:c r="B2252" s="256" t="n">
        <x:f>IF(COUNT($B$129:$L$129)=11,B$129*EXP(IF(A2252&lt;0,(10-0)*A2252,-0*A2252))+C$129*EXP(IF(A2252&lt;0,(10-1)*A2252,-1*A2252))+D$129*EXP(IF(A2252&lt;0,(10-2)*A2252,-2*A2252))+E$129*EXP(IF(A2252&lt;0,(10-3)*A2252,-3*A2252))+F$129*EXP(IF(A2252&lt;0,(10-4)*A2252,-4*A2252))+G$129*EXP(IF(A2252&lt;0,(10-5)*A2252,-5*A2252))+H$129*EXP(IF(A2252&lt;0,(10-6)*A2252,-6*A2252))+I$129*EXP(IF(A2252&lt;0,(10-7)*A2252,-7*A2252))+J$129*EXP(IF(A2252&lt;0,(10-8)*A2252,-8*A2252))+K$129*EXP(IF(A2252&lt;0,(10-9)*A2252,-9*A2252))+L$129*EXP(IF(A2252&lt;0,(10-10)*A2252,-10*A2252)),0)</x:f>
        <x:v>781794.8105780572</x:v>
      </x:c>
      <x:c r="C2252" s="256" t="n">
        <x:f>IF(B2252=0,IF(B2251=0,0,1),IF(B2251=0,0,IF(SIGN(B2252)&lt;&gt;SIGN(B2251),1,0)))</x:f>
        <x:v>0</x:v>
      </x:c>
      <x:c r="D2252" s="256" t="n">
        <x:f>EXP(A2252-0.005)-1</x:f>
        <x:v>-0.9962462502302297</x:v>
      </x:c>
    </x:row>
    <x:row r="2253" ht="20" customHeight="1">
      <x:c r="A2253" s="256" t="n">
        <x:f>-12+643*0.01</x:f>
        <x:v>-5.57</x:v>
      </x:c>
      <x:c r="B2253" s="256" t="n">
        <x:f>IF(COUNT($B$129:$L$129)=11,B$129*EXP(IF(A2253&lt;0,(10-0)*A2253,-0*A2253))+C$129*EXP(IF(A2253&lt;0,(10-1)*A2253,-1*A2253))+D$129*EXP(IF(A2253&lt;0,(10-2)*A2253,-2*A2253))+E$129*EXP(IF(A2253&lt;0,(10-3)*A2253,-3*A2253))+F$129*EXP(IF(A2253&lt;0,(10-4)*A2253,-4*A2253))+G$129*EXP(IF(A2253&lt;0,(10-5)*A2253,-5*A2253))+H$129*EXP(IF(A2253&lt;0,(10-6)*A2253,-6*A2253))+I$129*EXP(IF(A2253&lt;0,(10-7)*A2253,-7*A2253))+J$129*EXP(IF(A2253&lt;0,(10-8)*A2253,-8*A2253))+K$129*EXP(IF(A2253&lt;0,(10-9)*A2253,-9*A2253))+L$129*EXP(IF(A2253&lt;0,(10-10)*A2253,-10*A2253)),0)</x:f>
        <x:v>781795.2907670303</x:v>
      </x:c>
      <x:c r="C2253" s="256" t="n">
        <x:f>IF(B2253=0,IF(B2252=0,0,1),IF(B2252=0,0,IF(SIGN(B2253)&lt;&gt;SIGN(B2252),1,0)))</x:f>
        <x:v>0</x:v>
      </x:c>
      <x:c r="D2253" s="256" t="n">
        <x:f>EXP(A2253-0.005)-1</x:f>
        <x:v>-0.9962085244178513</x:v>
      </x:c>
    </x:row>
    <x:row r="2254" ht="20" customHeight="1">
      <x:c r="A2254" s="256" t="n">
        <x:f>-12+644*0.01</x:f>
        <x:v>-5.56</x:v>
      </x:c>
      <x:c r="B2254" s="256" t="n">
        <x:f>IF(COUNT($B$129:$L$129)=11,B$129*EXP(IF(A2254&lt;0,(10-0)*A2254,-0*A2254))+C$129*EXP(IF(A2254&lt;0,(10-1)*A2254,-1*A2254))+D$129*EXP(IF(A2254&lt;0,(10-2)*A2254,-2*A2254))+E$129*EXP(IF(A2254&lt;0,(10-3)*A2254,-3*A2254))+F$129*EXP(IF(A2254&lt;0,(10-4)*A2254,-4*A2254))+G$129*EXP(IF(A2254&lt;0,(10-5)*A2254,-5*A2254))+H$129*EXP(IF(A2254&lt;0,(10-6)*A2254,-6*A2254))+I$129*EXP(IF(A2254&lt;0,(10-7)*A2254,-7*A2254))+J$129*EXP(IF(A2254&lt;0,(10-8)*A2254,-8*A2254))+K$129*EXP(IF(A2254&lt;0,(10-9)*A2254,-9*A2254))+L$129*EXP(IF(A2254&lt;0,(10-10)*A2254,-10*A2254)),0)</x:f>
        <x:v>781795.7758102062</x:v>
      </x:c>
      <x:c r="C2254" s="256" t="n">
        <x:f>IF(B2254=0,IF(B2253=0,0,1),IF(B2253=0,0,IF(SIGN(B2254)&lt;&gt;SIGN(B2253),1,0)))</x:f>
        <x:v>0</x:v>
      </x:c>
      <x:c r="D2254" s="256" t="n">
        <x:f>EXP(A2254-0.005)-1</x:f>
        <x:v>-0.9961704194547553</x:v>
      </x:c>
    </x:row>
    <x:row r="2255" ht="20" customHeight="1">
      <x:c r="A2255" s="256" t="n">
        <x:f>-12+645*0.01</x:f>
        <x:v>-5.55</x:v>
      </x:c>
      <x:c r="B2255" s="256" t="n">
        <x:f>IF(COUNT($B$129:$L$129)=11,B$129*EXP(IF(A2255&lt;0,(10-0)*A2255,-0*A2255))+C$129*EXP(IF(A2255&lt;0,(10-1)*A2255,-1*A2255))+D$129*EXP(IF(A2255&lt;0,(10-2)*A2255,-2*A2255))+E$129*EXP(IF(A2255&lt;0,(10-3)*A2255,-3*A2255))+F$129*EXP(IF(A2255&lt;0,(10-4)*A2255,-4*A2255))+G$129*EXP(IF(A2255&lt;0,(10-5)*A2255,-5*A2255))+H$129*EXP(IF(A2255&lt;0,(10-6)*A2255,-6*A2255))+I$129*EXP(IF(A2255&lt;0,(10-7)*A2255,-7*A2255))+J$129*EXP(IF(A2255&lt;0,(10-8)*A2255,-8*A2255))+K$129*EXP(IF(A2255&lt;0,(10-9)*A2255,-9*A2255))+L$129*EXP(IF(A2255&lt;0,(10-10)*A2255,-10*A2255)),0)</x:f>
        <x:v>781796.2657569426</x:v>
      </x:c>
      <x:c r="C2255" s="256" t="n">
        <x:f>IF(B2255=0,IF(B2254=0,0,1),IF(B2254=0,0,IF(SIGN(B2255)&lt;&gt;SIGN(B2254),1,0)))</x:f>
        <x:v>0</x:v>
      </x:c>
      <x:c r="D2255" s="256" t="n">
        <x:f>EXP(A2255-0.005)-1</x:f>
        <x:v>-0.9961319315304132</x:v>
      </x:c>
    </x:row>
    <x:row r="2256" ht="20" customHeight="1">
      <x:c r="A2256" s="256" t="n">
        <x:f>-12+646*0.01</x:f>
        <x:v>-5.54</x:v>
      </x:c>
      <x:c r="B2256" s="256" t="n">
        <x:f>IF(COUNT($B$129:$L$129)=11,B$129*EXP(IF(A2256&lt;0,(10-0)*A2256,-0*A2256))+C$129*EXP(IF(A2256&lt;0,(10-1)*A2256,-1*A2256))+D$129*EXP(IF(A2256&lt;0,(10-2)*A2256,-2*A2256))+E$129*EXP(IF(A2256&lt;0,(10-3)*A2256,-3*A2256))+F$129*EXP(IF(A2256&lt;0,(10-4)*A2256,-4*A2256))+G$129*EXP(IF(A2256&lt;0,(10-5)*A2256,-5*A2256))+H$129*EXP(IF(A2256&lt;0,(10-6)*A2256,-6*A2256))+I$129*EXP(IF(A2256&lt;0,(10-7)*A2256,-7*A2256))+J$129*EXP(IF(A2256&lt;0,(10-8)*A2256,-8*A2256))+K$129*EXP(IF(A2256&lt;0,(10-9)*A2256,-9*A2256))+L$129*EXP(IF(A2256&lt;0,(10-10)*A2256,-10*A2256)),0)</x:f>
        <x:v>781796.7606571054</x:v>
      </x:c>
      <x:c r="C2256" s="256" t="n">
        <x:f>IF(B2256=0,IF(B2255=0,0,1),IF(B2255=0,0,IF(SIGN(B2256)&lt;&gt;SIGN(B2255),1,0)))</x:f>
        <x:v>0</x:v>
      </x:c>
      <x:c r="D2256" s="256" t="n">
        <x:f>EXP(A2256-0.005)-1</x:f>
        <x:v>-0.9960930567960009</x:v>
      </x:c>
    </x:row>
    <x:row r="2257" ht="20" customHeight="1">
      <x:c r="A2257" s="256" t="n">
        <x:f>-12+647*0.01</x:f>
        <x:v>-5.53</x:v>
      </x:c>
      <x:c r="B2257" s="256" t="n">
        <x:f>IF(COUNT($B$129:$L$129)=11,B$129*EXP(IF(A2257&lt;0,(10-0)*A2257,-0*A2257))+C$129*EXP(IF(A2257&lt;0,(10-1)*A2257,-1*A2257))+D$129*EXP(IF(A2257&lt;0,(10-2)*A2257,-2*A2257))+E$129*EXP(IF(A2257&lt;0,(10-3)*A2257,-3*A2257))+F$129*EXP(IF(A2257&lt;0,(10-4)*A2257,-4*A2257))+G$129*EXP(IF(A2257&lt;0,(10-5)*A2257,-5*A2257))+H$129*EXP(IF(A2257&lt;0,(10-6)*A2257,-6*A2257))+I$129*EXP(IF(A2257&lt;0,(10-7)*A2257,-7*A2257))+J$129*EXP(IF(A2257&lt;0,(10-8)*A2257,-8*A2257))+K$129*EXP(IF(A2257&lt;0,(10-9)*A2257,-9*A2257))+L$129*EXP(IF(A2257&lt;0,(10-10)*A2257,-10*A2257)),0)</x:f>
        <x:v>781797.2605610732</x:v>
      </x:c>
      <x:c r="C2257" s="256" t="n">
        <x:f>IF(B2257=0,IF(B2256=0,0,1),IF(B2256=0,0,IF(SIGN(B2257)&lt;&gt;SIGN(B2256),1,0)))</x:f>
        <x:v>0</x:v>
      </x:c>
      <x:c r="D2257" s="256" t="n">
        <x:f>EXP(A2257-0.005)-1</x:f>
        <x:v>-0.9960537913640124</x:v>
      </x:c>
    </x:row>
    <x:row r="2258" ht="20" customHeight="1">
      <x:c r="A2258" s="256" t="n">
        <x:f>-12+648*0.01</x:f>
        <x:v>-5.52</x:v>
      </x:c>
      <x:c r="B2258" s="256" t="n">
        <x:f>IF(COUNT($B$129:$L$129)=11,B$129*EXP(IF(A2258&lt;0,(10-0)*A2258,-0*A2258))+C$129*EXP(IF(A2258&lt;0,(10-1)*A2258,-1*A2258))+D$129*EXP(IF(A2258&lt;0,(10-2)*A2258,-2*A2258))+E$129*EXP(IF(A2258&lt;0,(10-3)*A2258,-3*A2258))+F$129*EXP(IF(A2258&lt;0,(10-4)*A2258,-4*A2258))+G$129*EXP(IF(A2258&lt;0,(10-5)*A2258,-5*A2258))+H$129*EXP(IF(A2258&lt;0,(10-6)*A2258,-6*A2258))+I$129*EXP(IF(A2258&lt;0,(10-7)*A2258,-7*A2258))+J$129*EXP(IF(A2258&lt;0,(10-8)*A2258,-8*A2258))+K$129*EXP(IF(A2258&lt;0,(10-9)*A2258,-9*A2258))+L$129*EXP(IF(A2258&lt;0,(10-10)*A2258,-10*A2258)),0)</x:f>
        <x:v>781797.7655197433</x:v>
      </x:c>
      <x:c r="C2258" s="256" t="n">
        <x:f>IF(B2258=0,IF(B2257=0,0,1),IF(B2257=0,0,IF(SIGN(B2258)&lt;&gt;SIGN(B2257),1,0)))</x:f>
        <x:v>0</x:v>
      </x:c>
      <x:c r="D2258" s="256" t="n">
        <x:f>EXP(A2258-0.005)-1</x:f>
        <x:v>-0.9960141313078718</x:v>
      </x:c>
    </x:row>
    <x:row r="2259" ht="20" customHeight="1">
      <x:c r="A2259" s="256" t="n">
        <x:f>-12+649*0.01</x:f>
        <x:v>-5.51</x:v>
      </x:c>
      <x:c r="B2259" s="256" t="n">
        <x:f>IF(COUNT($B$129:$L$129)=11,B$129*EXP(IF(A2259&lt;0,(10-0)*A2259,-0*A2259))+C$129*EXP(IF(A2259&lt;0,(10-1)*A2259,-1*A2259))+D$129*EXP(IF(A2259&lt;0,(10-2)*A2259,-2*A2259))+E$129*EXP(IF(A2259&lt;0,(10-3)*A2259,-3*A2259))+F$129*EXP(IF(A2259&lt;0,(10-4)*A2259,-4*A2259))+G$129*EXP(IF(A2259&lt;0,(10-5)*A2259,-5*A2259))+H$129*EXP(IF(A2259&lt;0,(10-6)*A2259,-6*A2259))+I$129*EXP(IF(A2259&lt;0,(10-7)*A2259,-7*A2259))+J$129*EXP(IF(A2259&lt;0,(10-8)*A2259,-8*A2259))+K$129*EXP(IF(A2259&lt;0,(10-9)*A2259,-9*A2259))+L$129*EXP(IF(A2259&lt;0,(10-10)*A2259,-10*A2259)),0)</x:f>
        <x:v>781798.2755845367</x:v>
      </x:c>
      <x:c r="C2259" s="256" t="n">
        <x:f>IF(B2259=0,IF(B2258=0,0,1),IF(B2258=0,0,IF(SIGN(B2259)&lt;&gt;SIGN(B2258),1,0)))</x:f>
        <x:v>0</x:v>
      </x:c>
      <x:c r="D2259" s="256" t="n">
        <x:f>EXP(A2259-0.005)-1</x:f>
        <x:v>-0.9959740726615403</x:v>
      </x:c>
    </x:row>
    <x:row r="2260" ht="20" customHeight="1">
      <x:c r="A2260" s="256" t="n">
        <x:f>-12+650*0.01</x:f>
        <x:v>-5.5</x:v>
      </x:c>
      <x:c r="B2260" s="256" t="n">
        <x:f>IF(COUNT($B$129:$L$129)=11,B$129*EXP(IF(A2260&lt;0,(10-0)*A2260,-0*A2260))+C$129*EXP(IF(A2260&lt;0,(10-1)*A2260,-1*A2260))+D$129*EXP(IF(A2260&lt;0,(10-2)*A2260,-2*A2260))+E$129*EXP(IF(A2260&lt;0,(10-3)*A2260,-3*A2260))+F$129*EXP(IF(A2260&lt;0,(10-4)*A2260,-4*A2260))+G$129*EXP(IF(A2260&lt;0,(10-5)*A2260,-5*A2260))+H$129*EXP(IF(A2260&lt;0,(10-6)*A2260,-6*A2260))+I$129*EXP(IF(A2260&lt;0,(10-7)*A2260,-7*A2260))+J$129*EXP(IF(A2260&lt;0,(10-8)*A2260,-8*A2260))+K$129*EXP(IF(A2260&lt;0,(10-9)*A2260,-9*A2260))+L$129*EXP(IF(A2260&lt;0,(10-10)*A2260,-10*A2260)),0)</x:f>
        <x:v>781798.7908074039</x:v>
      </x:c>
      <x:c r="C2260" s="256" t="n">
        <x:f>IF(B2260=0,IF(B2259=0,0,1),IF(B2259=0,0,IF(SIGN(B2260)&lt;&gt;SIGN(B2259),1,0)))</x:f>
        <x:v>0</x:v>
      </x:c>
      <x:c r="D2260" s="256" t="n">
        <x:f>EXP(A2260-0.005)-1</x:f>
        <x:v>-0.9959336114191201</x:v>
      </x:c>
    </x:row>
    <x:row r="2261" ht="20" customHeight="1">
      <x:c r="A2261" s="256" t="n">
        <x:f>-12+651*0.01</x:f>
        <x:v>-5.49</x:v>
      </x:c>
      <x:c r="B2261" s="256" t="n">
        <x:f>IF(COUNT($B$129:$L$129)=11,B$129*EXP(IF(A2261&lt;0,(10-0)*A2261,-0*A2261))+C$129*EXP(IF(A2261&lt;0,(10-1)*A2261,-1*A2261))+D$129*EXP(IF(A2261&lt;0,(10-2)*A2261,-2*A2261))+E$129*EXP(IF(A2261&lt;0,(10-3)*A2261,-3*A2261))+F$129*EXP(IF(A2261&lt;0,(10-4)*A2261,-4*A2261))+G$129*EXP(IF(A2261&lt;0,(10-5)*A2261,-5*A2261))+H$129*EXP(IF(A2261&lt;0,(10-6)*A2261,-6*A2261))+I$129*EXP(IF(A2261&lt;0,(10-7)*A2261,-7*A2261))+J$129*EXP(IF(A2261&lt;0,(10-8)*A2261,-8*A2261))+K$129*EXP(IF(A2261&lt;0,(10-9)*A2261,-9*A2261))+L$129*EXP(IF(A2261&lt;0,(10-10)*A2261,-10*A2261)),0)</x:f>
        <x:v>781799.3112408302</x:v>
      </x:c>
      <x:c r="C2261" s="256" t="n">
        <x:f>IF(B2261=0,IF(B2260=0,0,1),IF(B2260=0,0,IF(SIGN(B2261)&lt;&gt;SIGN(B2260),1,0)))</x:f>
        <x:v>0</x:v>
      </x:c>
      <x:c r="D2261" s="256" t="n">
        <x:f>EXP(A2261-0.005)-1</x:f>
        <x:v>-0.995892743534453</x:v>
      </x:c>
    </x:row>
    <x:row r="2262" ht="20" customHeight="1">
      <x:c r="A2262" s="256" t="n">
        <x:f>-12+652*0.01</x:f>
        <x:v>-5.4799999999999995</x:v>
      </x:c>
      <x:c r="B2262" s="256" t="n">
        <x:f>IF(COUNT($B$129:$L$129)=11,B$129*EXP(IF(A2262&lt;0,(10-0)*A2262,-0*A2262))+C$129*EXP(IF(A2262&lt;0,(10-1)*A2262,-1*A2262))+D$129*EXP(IF(A2262&lt;0,(10-2)*A2262,-2*A2262))+E$129*EXP(IF(A2262&lt;0,(10-3)*A2262,-3*A2262))+F$129*EXP(IF(A2262&lt;0,(10-4)*A2262,-4*A2262))+G$129*EXP(IF(A2262&lt;0,(10-5)*A2262,-5*A2262))+H$129*EXP(IF(A2262&lt;0,(10-6)*A2262,-6*A2262))+I$129*EXP(IF(A2262&lt;0,(10-7)*A2262,-7*A2262))+J$129*EXP(IF(A2262&lt;0,(10-8)*A2262,-8*A2262))+K$129*EXP(IF(A2262&lt;0,(10-9)*A2262,-9*A2262))+L$129*EXP(IF(A2262&lt;0,(10-10)*A2262,-10*A2262)),0)</x:f>
        <x:v>781799.8369378418</x:v>
      </x:c>
      <x:c r="C2262" s="256" t="n">
        <x:f>IF(B2262=0,IF(B2261=0,0,1),IF(B2261=0,0,IF(SIGN(B2262)&lt;&gt;SIGN(B2261),1,0)))</x:f>
        <x:v>0</x:v>
      </x:c>
      <x:c r="D2262" s="256" t="n">
        <x:f>EXP(A2262-0.005)-1</x:f>
        <x:v>-0.9958514649207167</x:v>
      </x:c>
    </x:row>
    <x:row r="2263" ht="20" customHeight="1">
      <x:c r="A2263" s="256" t="n">
        <x:f>-12+653*0.01</x:f>
        <x:v>-5.47</x:v>
      </x:c>
      <x:c r="B2263" s="256" t="n">
        <x:f>IF(COUNT($B$129:$L$129)=11,B$129*EXP(IF(A2263&lt;0,(10-0)*A2263,-0*A2263))+C$129*EXP(IF(A2263&lt;0,(10-1)*A2263,-1*A2263))+D$129*EXP(IF(A2263&lt;0,(10-2)*A2263,-2*A2263))+E$129*EXP(IF(A2263&lt;0,(10-3)*A2263,-3*A2263))+F$129*EXP(IF(A2263&lt;0,(10-4)*A2263,-4*A2263))+G$129*EXP(IF(A2263&lt;0,(10-5)*A2263,-5*A2263))+H$129*EXP(IF(A2263&lt;0,(10-6)*A2263,-6*A2263))+I$129*EXP(IF(A2263&lt;0,(10-7)*A2263,-7*A2263))+J$129*EXP(IF(A2263&lt;0,(10-8)*A2263,-8*A2263))+K$129*EXP(IF(A2263&lt;0,(10-9)*A2263,-9*A2263))+L$129*EXP(IF(A2263&lt;0,(10-10)*A2263,-10*A2263)),0)</x:f>
        <x:v>781800.3679520111</x:v>
      </x:c>
      <x:c r="C2263" s="256" t="n">
        <x:f>IF(B2263=0,IF(B2262=0,0,1),IF(B2262=0,0,IF(SIGN(B2263)&lt;&gt;SIGN(B2262),1,0)))</x:f>
        <x:v>0</x:v>
      </x:c>
      <x:c r="D2263" s="256" t="n">
        <x:f>EXP(A2263-0.005)-1</x:f>
        <x:v>-0.9958097714500154</x:v>
      </x:c>
    </x:row>
    <x:row r="2264" ht="20" customHeight="1">
      <x:c r="A2264" s="256" t="n">
        <x:f>-12+654*0.01</x:f>
        <x:v>-5.46</x:v>
      </x:c>
      <x:c r="B2264" s="256" t="n">
        <x:f>IF(COUNT($B$129:$L$129)=11,B$129*EXP(IF(A2264&lt;0,(10-0)*A2264,-0*A2264))+C$129*EXP(IF(A2264&lt;0,(10-1)*A2264,-1*A2264))+D$129*EXP(IF(A2264&lt;0,(10-2)*A2264,-2*A2264))+E$129*EXP(IF(A2264&lt;0,(10-3)*A2264,-3*A2264))+F$129*EXP(IF(A2264&lt;0,(10-4)*A2264,-4*A2264))+G$129*EXP(IF(A2264&lt;0,(10-5)*A2264,-5*A2264))+H$129*EXP(IF(A2264&lt;0,(10-6)*A2264,-6*A2264))+I$129*EXP(IF(A2264&lt;0,(10-7)*A2264,-7*A2264))+J$129*EXP(IF(A2264&lt;0,(10-8)*A2264,-8*A2264))+K$129*EXP(IF(A2264&lt;0,(10-9)*A2264,-9*A2264))+L$129*EXP(IF(A2264&lt;0,(10-10)*A2264,-10*A2264)),0)</x:f>
        <x:v>781800.9043374624</x:v>
      </x:c>
      <x:c r="C2264" s="256" t="n">
        <x:f>IF(B2264=0,IF(B2263=0,0,1),IF(B2263=0,0,IF(SIGN(B2264)&lt;&gt;SIGN(B2263),1,0)))</x:f>
        <x:v>0</x:v>
      </x:c>
      <x:c r="D2264" s="256" t="n">
        <x:f>EXP(A2264-0.005)-1</x:f>
        <x:v>-0.9957676589529673</x:v>
      </x:c>
    </x:row>
    <x:row r="2265" ht="20" customHeight="1">
      <x:c r="A2265" s="256" t="n">
        <x:f>-12+655*0.01</x:f>
        <x:v>-5.45</x:v>
      </x:c>
      <x:c r="B2265" s="256" t="n">
        <x:f>IF(COUNT($B$129:$L$129)=11,B$129*EXP(IF(A2265&lt;0,(10-0)*A2265,-0*A2265))+C$129*EXP(IF(A2265&lt;0,(10-1)*A2265,-1*A2265))+D$129*EXP(IF(A2265&lt;0,(10-2)*A2265,-2*A2265))+E$129*EXP(IF(A2265&lt;0,(10-3)*A2265,-3*A2265))+F$129*EXP(IF(A2265&lt;0,(10-4)*A2265,-4*A2265))+G$129*EXP(IF(A2265&lt;0,(10-5)*A2265,-5*A2265))+H$129*EXP(IF(A2265&lt;0,(10-6)*A2265,-6*A2265))+I$129*EXP(IF(A2265&lt;0,(10-7)*A2265,-7*A2265))+J$129*EXP(IF(A2265&lt;0,(10-8)*A2265,-8*A2265))+K$129*EXP(IF(A2265&lt;0,(10-9)*A2265,-9*A2265))+L$129*EXP(IF(A2265&lt;0,(10-10)*A2265,-10*A2265)),0)</x:f>
        <x:v>781801.4461488782</x:v>
      </x:c>
      <x:c r="C2265" s="256" t="n">
        <x:f>IF(B2265=0,IF(B2264=0,0,1),IF(B2264=0,0,IF(SIGN(B2265)&lt;&gt;SIGN(B2264),1,0)))</x:f>
        <x:v>0</x:v>
      </x:c>
      <x:c r="D2265" s="256" t="n">
        <x:f>EXP(A2265-0.005)-1</x:f>
        <x:v>-0.9957251232182873</x:v>
      </x:c>
    </x:row>
    <x:row r="2266" ht="20" customHeight="1">
      <x:c r="A2266" s="256" t="n">
        <x:f>-12+656*0.01</x:f>
        <x:v>-5.4399999999999995</x:v>
      </x:c>
      <x:c r="B2266" s="256" t="n">
        <x:f>IF(COUNT($B$129:$L$129)=11,B$129*EXP(IF(A2266&lt;0,(10-0)*A2266,-0*A2266))+C$129*EXP(IF(A2266&lt;0,(10-1)*A2266,-1*A2266))+D$129*EXP(IF(A2266&lt;0,(10-2)*A2266,-2*A2266))+E$129*EXP(IF(A2266&lt;0,(10-3)*A2266,-3*A2266))+F$129*EXP(IF(A2266&lt;0,(10-4)*A2266,-4*A2266))+G$129*EXP(IF(A2266&lt;0,(10-5)*A2266,-5*A2266))+H$129*EXP(IF(A2266&lt;0,(10-6)*A2266,-6*A2266))+I$129*EXP(IF(A2266&lt;0,(10-7)*A2266,-7*A2266))+J$129*EXP(IF(A2266&lt;0,(10-8)*A2266,-8*A2266))+K$129*EXP(IF(A2266&lt;0,(10-9)*A2266,-9*A2266))+L$129*EXP(IF(A2266&lt;0,(10-10)*A2266,-10*A2266)),0)</x:f>
        <x:v>781801.9934415047</x:v>
      </x:c>
      <x:c r="C2266" s="256" t="n">
        <x:f>IF(B2266=0,IF(B2265=0,0,1),IF(B2265=0,0,IF(SIGN(B2266)&lt;&gt;SIGN(B2265),1,0)))</x:f>
        <x:v>0</x:v>
      </x:c>
      <x:c r="D2266" s="256" t="n">
        <x:f>EXP(A2266-0.005)-1</x:f>
        <x:v>-0.9956821599923669</x:v>
      </x:c>
    </x:row>
    <x:row r="2267" ht="20" customHeight="1">
      <x:c r="A2267" s="256" t="n">
        <x:f>-12+657*0.01</x:f>
        <x:v>-5.43</x:v>
      </x:c>
      <x:c r="B2267" s="256" t="n">
        <x:f>IF(COUNT($B$129:$L$129)=11,B$129*EXP(IF(A2267&lt;0,(10-0)*A2267,-0*A2267))+C$129*EXP(IF(A2267&lt;0,(10-1)*A2267,-1*A2267))+D$129*EXP(IF(A2267&lt;0,(10-2)*A2267,-2*A2267))+E$129*EXP(IF(A2267&lt;0,(10-3)*A2267,-3*A2267))+F$129*EXP(IF(A2267&lt;0,(10-4)*A2267,-4*A2267))+G$129*EXP(IF(A2267&lt;0,(10-5)*A2267,-5*A2267))+H$129*EXP(IF(A2267&lt;0,(10-6)*A2267,-6*A2267))+I$129*EXP(IF(A2267&lt;0,(10-7)*A2267,-7*A2267))+J$129*EXP(IF(A2267&lt;0,(10-8)*A2267,-8*A2267))+K$129*EXP(IF(A2267&lt;0,(10-9)*A2267,-9*A2267))+L$129*EXP(IF(A2267&lt;0,(10-10)*A2267,-10*A2267)),0)</x:f>
        <x:v>781802.5462711578</x:v>
      </x:c>
      <x:c r="C2267" s="256" t="n">
        <x:f>IF(B2267=0,IF(B2266=0,0,1),IF(B2266=0,0,IF(SIGN(B2267)&lt;&gt;SIGN(B2266),1,0)))</x:f>
        <x:v>0</x:v>
      </x:c>
      <x:c r="D2267" s="256" t="n">
        <x:f>EXP(A2267-0.005)-1</x:f>
        <x:v>-0.9956387649788475</x:v>
      </x:c>
    </x:row>
    <x:row r="2268" ht="20" customHeight="1">
      <x:c r="A2268" s="256" t="n">
        <x:f>-12+658*0.01</x:f>
        <x:v>-5.42</x:v>
      </x:c>
      <x:c r="B2268" s="256" t="n">
        <x:f>IF(COUNT($B$129:$L$129)=11,B$129*EXP(IF(A2268&lt;0,(10-0)*A2268,-0*A2268))+C$129*EXP(IF(A2268&lt;0,(10-1)*A2268,-1*A2268))+D$129*EXP(IF(A2268&lt;0,(10-2)*A2268,-2*A2268))+E$129*EXP(IF(A2268&lt;0,(10-3)*A2268,-3*A2268))+F$129*EXP(IF(A2268&lt;0,(10-4)*A2268,-4*A2268))+G$129*EXP(IF(A2268&lt;0,(10-5)*A2268,-5*A2268))+H$129*EXP(IF(A2268&lt;0,(10-6)*A2268,-6*A2268))+I$129*EXP(IF(A2268&lt;0,(10-7)*A2268,-7*A2268))+J$129*EXP(IF(A2268&lt;0,(10-8)*A2268,-8*A2268))+K$129*EXP(IF(A2268&lt;0,(10-9)*A2268,-9*A2268))+L$129*EXP(IF(A2268&lt;0,(10-10)*A2268,-10*A2268)),0)</x:f>
        <x:v>781803.1046942293</x:v>
      </x:c>
      <x:c r="C2268" s="256" t="n">
        <x:f>IF(B2268=0,IF(B2267=0,0,1),IF(B2267=0,0,IF(SIGN(B2268)&lt;&gt;SIGN(B2267),1,0)))</x:f>
        <x:v>0</x:v>
      </x:c>
      <x:c r="D2268" s="256" t="n">
        <x:f>EXP(A2268-0.005)-1</x:f>
        <x:v>-0.9955949338381916</x:v>
      </x:c>
    </x:row>
    <x:row r="2269" ht="20" customHeight="1">
      <x:c r="A2269" s="256" t="n">
        <x:f>-12+659*0.01</x:f>
        <x:v>-5.41</x:v>
      </x:c>
      <x:c r="B2269" s="256" t="n">
        <x:f>IF(COUNT($B$129:$L$129)=11,B$129*EXP(IF(A2269&lt;0,(10-0)*A2269,-0*A2269))+C$129*EXP(IF(A2269&lt;0,(10-1)*A2269,-1*A2269))+D$129*EXP(IF(A2269&lt;0,(10-2)*A2269,-2*A2269))+E$129*EXP(IF(A2269&lt;0,(10-3)*A2269,-3*A2269))+F$129*EXP(IF(A2269&lt;0,(10-4)*A2269,-4*A2269))+G$129*EXP(IF(A2269&lt;0,(10-5)*A2269,-5*A2269))+H$129*EXP(IF(A2269&lt;0,(10-6)*A2269,-6*A2269))+I$129*EXP(IF(A2269&lt;0,(10-7)*A2269,-7*A2269))+J$129*EXP(IF(A2269&lt;0,(10-8)*A2269,-8*A2269))+K$129*EXP(IF(A2269&lt;0,(10-9)*A2269,-9*A2269))+L$129*EXP(IF(A2269&lt;0,(10-10)*A2269,-10*A2269)),0)</x:f>
        <x:v>781803.6687676928</x:v>
      </x:c>
      <x:c r="C2269" s="256" t="n">
        <x:f>IF(B2269=0,IF(B2268=0,0,1),IF(B2268=0,0,IF(SIGN(B2269)&lt;&gt;SIGN(B2268),1,0)))</x:f>
        <x:v>0</x:v>
      </x:c>
      <x:c r="D2269" s="256" t="n">
        <x:f>EXP(A2269-0.005)-1</x:f>
        <x:v>-0.9955506621872486</x:v>
      </x:c>
    </x:row>
    <x:row r="2270" ht="20" customHeight="1">
      <x:c r="A2270" s="256" t="n">
        <x:f>-12+660*0.01</x:f>
        <x:v>-5.3999999999999995</x:v>
      </x:c>
      <x:c r="B2270" s="256" t="n">
        <x:f>IF(COUNT($B$129:$L$129)=11,B$129*EXP(IF(A2270&lt;0,(10-0)*A2270,-0*A2270))+C$129*EXP(IF(A2270&lt;0,(10-1)*A2270,-1*A2270))+D$129*EXP(IF(A2270&lt;0,(10-2)*A2270,-2*A2270))+E$129*EXP(IF(A2270&lt;0,(10-3)*A2270,-3*A2270))+F$129*EXP(IF(A2270&lt;0,(10-4)*A2270,-4*A2270))+G$129*EXP(IF(A2270&lt;0,(10-5)*A2270,-5*A2270))+H$129*EXP(IF(A2270&lt;0,(10-6)*A2270,-6*A2270))+I$129*EXP(IF(A2270&lt;0,(10-7)*A2270,-7*A2270))+J$129*EXP(IF(A2270&lt;0,(10-8)*A2270,-8*A2270))+K$129*EXP(IF(A2270&lt;0,(10-9)*A2270,-9*A2270))+L$129*EXP(IF(A2270&lt;0,(10-10)*A2270,-10*A2270)),0)</x:f>
        <x:v>781804.2385491099</x:v>
      </x:c>
      <x:c r="C2270" s="256" t="n">
        <x:f>IF(B2270=0,IF(B2269=0,0,1),IF(B2269=0,0,IF(SIGN(B2270)&lt;&gt;SIGN(B2269),1,0)))</x:f>
        <x:v>0</x:v>
      </x:c>
      <x:c r="D2270" s="256" t="n">
        <x:f>EXP(A2270-0.005)-1</x:f>
        <x:v>-0.9955059455988166</x:v>
      </x:c>
    </x:row>
    <x:row r="2271" ht="20" customHeight="1">
      <x:c r="A2271" s="256" t="n">
        <x:f>-12+661*0.01</x:f>
        <x:v>-5.39</x:v>
      </x:c>
      <x:c r="B2271" s="256" t="n">
        <x:f>IF(COUNT($B$129:$L$129)=11,B$129*EXP(IF(A2271&lt;0,(10-0)*A2271,-0*A2271))+C$129*EXP(IF(A2271&lt;0,(10-1)*A2271,-1*A2271))+D$129*EXP(IF(A2271&lt;0,(10-2)*A2271,-2*A2271))+E$129*EXP(IF(A2271&lt;0,(10-3)*A2271,-3*A2271))+F$129*EXP(IF(A2271&lt;0,(10-4)*A2271,-4*A2271))+G$129*EXP(IF(A2271&lt;0,(10-5)*A2271,-5*A2271))+H$129*EXP(IF(A2271&lt;0,(10-6)*A2271,-6*A2271))+I$129*EXP(IF(A2271&lt;0,(10-7)*A2271,-7*A2271))+J$129*EXP(IF(A2271&lt;0,(10-8)*A2271,-8*A2271))+K$129*EXP(IF(A2271&lt;0,(10-9)*A2271,-9*A2271))+L$129*EXP(IF(A2271&lt;0,(10-10)*A2271,-10*A2271)),0)</x:f>
        <x:v>781804.8140966365</x:v>
      </x:c>
      <x:c r="C2271" s="256" t="n">
        <x:f>IF(B2271=0,IF(B2270=0,0,1),IF(B2270=0,0,IF(SIGN(B2271)&lt;&gt;SIGN(B2270),1,0)))</x:f>
        <x:v>0</x:v>
      </x:c>
      <x:c r="D2271" s="256" t="n">
        <x:f>EXP(A2271-0.005)-1</x:f>
        <x:v>-0.9954607796011993</x:v>
      </x:c>
    </x:row>
    <x:row r="2272" ht="20" customHeight="1">
      <x:c r="A2272" s="256" t="n">
        <x:f>-12+662*0.01</x:f>
        <x:v>-5.38</x:v>
      </x:c>
      <x:c r="B2272" s="256" t="n">
        <x:f>IF(COUNT($B$129:$L$129)=11,B$129*EXP(IF(A2272&lt;0,(10-0)*A2272,-0*A2272))+C$129*EXP(IF(A2272&lt;0,(10-1)*A2272,-1*A2272))+D$129*EXP(IF(A2272&lt;0,(10-2)*A2272,-2*A2272))+E$129*EXP(IF(A2272&lt;0,(10-3)*A2272,-3*A2272))+F$129*EXP(IF(A2272&lt;0,(10-4)*A2272,-4*A2272))+G$129*EXP(IF(A2272&lt;0,(10-5)*A2272,-5*A2272))+H$129*EXP(IF(A2272&lt;0,(10-6)*A2272,-6*A2272))+I$129*EXP(IF(A2272&lt;0,(10-7)*A2272,-7*A2272))+J$129*EXP(IF(A2272&lt;0,(10-8)*A2272,-8*A2272))+K$129*EXP(IF(A2272&lt;0,(10-9)*A2272,-9*A2272))+L$129*EXP(IF(A2272&lt;0,(10-10)*A2272,-10*A2272)),0)</x:f>
        <x:v>781805.3954690291</x:v>
      </x:c>
      <x:c r="C2272" s="256" t="n">
        <x:f>IF(B2272=0,IF(B2271=0,0,1),IF(B2271=0,0,IF(SIGN(B2272)&lt;&gt;SIGN(B2271),1,0)))</x:f>
        <x:v>0</x:v>
      </x:c>
      <x:c r="D2272" s="256" t="n">
        <x:f>EXP(A2272-0.005)-1</x:f>
        <x:v>-0.9954151596777595</x:v>
      </x:c>
    </x:row>
    <x:row r="2273" ht="20" customHeight="1">
      <x:c r="A2273" s="256" t="n">
        <x:f>-12+663*0.01</x:f>
        <x:v>-5.37</x:v>
      </x:c>
      <x:c r="B2273" s="256" t="n">
        <x:f>IF(COUNT($B$129:$L$129)=11,B$129*EXP(IF(A2273&lt;0,(10-0)*A2273,-0*A2273))+C$129*EXP(IF(A2273&lt;0,(10-1)*A2273,-1*A2273))+D$129*EXP(IF(A2273&lt;0,(10-2)*A2273,-2*A2273))+E$129*EXP(IF(A2273&lt;0,(10-3)*A2273,-3*A2273))+F$129*EXP(IF(A2273&lt;0,(10-4)*A2273,-4*A2273))+G$129*EXP(IF(A2273&lt;0,(10-5)*A2273,-5*A2273))+H$129*EXP(IF(A2273&lt;0,(10-6)*A2273,-6*A2273))+I$129*EXP(IF(A2273&lt;0,(10-7)*A2273,-7*A2273))+J$129*EXP(IF(A2273&lt;0,(10-8)*A2273,-8*A2273))+K$129*EXP(IF(A2273&lt;0,(10-9)*A2273,-9*A2273))+L$129*EXP(IF(A2273&lt;0,(10-10)*A2273,-10*A2273)),0)</x:f>
        <x:v>781805.982725651</x:v>
      </x:c>
      <x:c r="C2273" s="256" t="n">
        <x:f>IF(B2273=0,IF(B2272=0,0,1),IF(B2272=0,0,IF(SIGN(B2273)&lt;&gt;SIGN(B2272),1,0)))</x:f>
        <x:v>0</x:v>
      </x:c>
      <x:c r="D2273" s="256" t="n">
        <x:f>EXP(A2273-0.005)-1</x:f>
        <x:v>-0.9953690812664667</x:v>
      </x:c>
    </x:row>
    <x:row r="2274" ht="20" customHeight="1">
      <x:c r="A2274" s="256" t="n">
        <x:f>-12+664*0.01</x:f>
        <x:v>-5.359999999999999</x:v>
      </x:c>
      <x:c r="B2274" s="256" t="n">
        <x:f>IF(COUNT($B$129:$L$129)=11,B$129*EXP(IF(A2274&lt;0,(10-0)*A2274,-0*A2274))+C$129*EXP(IF(A2274&lt;0,(10-1)*A2274,-1*A2274))+D$129*EXP(IF(A2274&lt;0,(10-2)*A2274,-2*A2274))+E$129*EXP(IF(A2274&lt;0,(10-3)*A2274,-3*A2274))+F$129*EXP(IF(A2274&lt;0,(10-4)*A2274,-4*A2274))+G$129*EXP(IF(A2274&lt;0,(10-5)*A2274,-5*A2274))+H$129*EXP(IF(A2274&lt;0,(10-6)*A2274,-6*A2274))+I$129*EXP(IF(A2274&lt;0,(10-7)*A2274,-7*A2274))+J$129*EXP(IF(A2274&lt;0,(10-8)*A2274,-8*A2274))+K$129*EXP(IF(A2274&lt;0,(10-9)*A2274,-9*A2274))+L$129*EXP(IF(A2274&lt;0,(10-10)*A2274,-10*A2274)),0)</x:f>
        <x:v>781806.575926479</x:v>
      </x:c>
      <x:c r="C2274" s="256" t="n">
        <x:f>IF(B2274=0,IF(B2273=0,0,1),IF(B2273=0,0,IF(SIGN(B2274)&lt;&gt;SIGN(B2273),1,0)))</x:f>
        <x:v>0</x:v>
      </x:c>
      <x:c r="D2274" s="256" t="n">
        <x:f>EXP(A2274-0.005)-1</x:f>
        <x:v>-0.9953225397594415</x:v>
      </x:c>
    </x:row>
    <x:row r="2275" ht="20" customHeight="1">
      <x:c r="A2275" s="256" t="n">
        <x:f>-12+665*0.01</x:f>
        <x:v>-5.35</x:v>
      </x:c>
      <x:c r="B2275" s="256" t="n">
        <x:f>IF(COUNT($B$129:$L$129)=11,B$129*EXP(IF(A2275&lt;0,(10-0)*A2275,-0*A2275))+C$129*EXP(IF(A2275&lt;0,(10-1)*A2275,-1*A2275))+D$129*EXP(IF(A2275&lt;0,(10-2)*A2275,-2*A2275))+E$129*EXP(IF(A2275&lt;0,(10-3)*A2275,-3*A2275))+F$129*EXP(IF(A2275&lt;0,(10-4)*A2275,-4*A2275))+G$129*EXP(IF(A2275&lt;0,(10-5)*A2275,-5*A2275))+H$129*EXP(IF(A2275&lt;0,(10-6)*A2275,-6*A2275))+I$129*EXP(IF(A2275&lt;0,(10-7)*A2275,-7*A2275))+J$129*EXP(IF(A2275&lt;0,(10-8)*A2275,-8*A2275))+K$129*EXP(IF(A2275&lt;0,(10-9)*A2275,-9*A2275))+L$129*EXP(IF(A2275&lt;0,(10-10)*A2275,-10*A2275)),0)</x:f>
        <x:v>781807.1751321096</x:v>
      </x:c>
      <x:c r="C2275" s="256" t="n">
        <x:f>IF(B2275=0,IF(B2274=0,0,1),IF(B2274=0,0,IF(SIGN(B2275)&lt;&gt;SIGN(B2274),1,0)))</x:f>
        <x:v>0</x:v>
      </x:c>
      <x:c r="D2275" s="256" t="n">
        <x:f>EXP(A2275-0.005)-1</x:f>
        <x:v>-0.9952755305024944</x:v>
      </x:c>
    </x:row>
    <x:row r="2276" ht="20" customHeight="1">
      <x:c r="A2276" s="256" t="n">
        <x:f>-12+666*0.01</x:f>
        <x:v>-5.34</x:v>
      </x:c>
      <x:c r="B2276" s="256" t="n">
        <x:f>IF(COUNT($B$129:$L$129)=11,B$129*EXP(IF(A2276&lt;0,(10-0)*A2276,-0*A2276))+C$129*EXP(IF(A2276&lt;0,(10-1)*A2276,-1*A2276))+D$129*EXP(IF(A2276&lt;0,(10-2)*A2276,-2*A2276))+E$129*EXP(IF(A2276&lt;0,(10-3)*A2276,-3*A2276))+F$129*EXP(IF(A2276&lt;0,(10-4)*A2276,-4*A2276))+G$129*EXP(IF(A2276&lt;0,(10-5)*A2276,-5*A2276))+H$129*EXP(IF(A2276&lt;0,(10-6)*A2276,-6*A2276))+I$129*EXP(IF(A2276&lt;0,(10-7)*A2276,-7*A2276))+J$129*EXP(IF(A2276&lt;0,(10-8)*A2276,-8*A2276))+K$129*EXP(IF(A2276&lt;0,(10-9)*A2276,-9*A2276))+L$129*EXP(IF(A2276&lt;0,(10-10)*A2276,-10*A2276)),0)</x:f>
        <x:v>781807.7804037657</x:v>
      </x:c>
      <x:c r="C2276" s="256" t="n">
        <x:f>IF(B2276=0,IF(B2275=0,0,1),IF(B2275=0,0,IF(SIGN(B2276)&lt;&gt;SIGN(B2275),1,0)))</x:f>
        <x:v>0</x:v>
      </x:c>
      <x:c r="D2276" s="256" t="n">
        <x:f>EXP(A2276-0.005)-1</x:f>
        <x:v>-0.9952280487946604</x:v>
      </x:c>
    </x:row>
    <x:row r="2277" ht="20" customHeight="1">
      <x:c r="A2277" s="256" t="n">
        <x:f>-12+667*0.01</x:f>
        <x:v>-5.33</x:v>
      </x:c>
      <x:c r="B2277" s="256" t="n">
        <x:f>IF(COUNT($B$129:$L$129)=11,B$129*EXP(IF(A2277&lt;0,(10-0)*A2277,-0*A2277))+C$129*EXP(IF(A2277&lt;0,(10-1)*A2277,-1*A2277))+D$129*EXP(IF(A2277&lt;0,(10-2)*A2277,-2*A2277))+E$129*EXP(IF(A2277&lt;0,(10-3)*A2277,-3*A2277))+F$129*EXP(IF(A2277&lt;0,(10-4)*A2277,-4*A2277))+G$129*EXP(IF(A2277&lt;0,(10-5)*A2277,-5*A2277))+H$129*EXP(IF(A2277&lt;0,(10-6)*A2277,-6*A2277))+I$129*EXP(IF(A2277&lt;0,(10-7)*A2277,-7*A2277))+J$129*EXP(IF(A2277&lt;0,(10-8)*A2277,-8*A2277))+K$129*EXP(IF(A2277&lt;0,(10-9)*A2277,-9*A2277))+L$129*EXP(IF(A2277&lt;0,(10-10)*A2277,-10*A2277)),0)</x:f>
        <x:v>781808.3918033037</x:v>
      </x:c>
      <x:c r="C2277" s="256" t="n">
        <x:f>IF(B2277=0,IF(B2276=0,0,1),IF(B2276=0,0,IF(SIGN(B2277)&lt;&gt;SIGN(B2276),1,0)))</x:f>
        <x:v>0</x:v>
      </x:c>
      <x:c r="D2277" s="256" t="n">
        <x:f>EXP(A2277-0.005)-1</x:f>
        <x:v>-0.9951800898877292</x:v>
      </x:c>
    </x:row>
    <x:row r="2278" ht="20" customHeight="1">
      <x:c r="A2278" s="256" t="n">
        <x:f>-12+668*0.01</x:f>
        <x:v>-5.32</x:v>
      </x:c>
      <x:c r="B2278" s="256" t="n">
        <x:f>IF(COUNT($B$129:$L$129)=11,B$129*EXP(IF(A2278&lt;0,(10-0)*A2278,-0*A2278))+C$129*EXP(IF(A2278&lt;0,(10-1)*A2278,-1*A2278))+D$129*EXP(IF(A2278&lt;0,(10-2)*A2278,-2*A2278))+E$129*EXP(IF(A2278&lt;0,(10-3)*A2278,-3*A2278))+F$129*EXP(IF(A2278&lt;0,(10-4)*A2278,-4*A2278))+G$129*EXP(IF(A2278&lt;0,(10-5)*A2278,-5*A2278))+H$129*EXP(IF(A2278&lt;0,(10-6)*A2278,-6*A2278))+I$129*EXP(IF(A2278&lt;0,(10-7)*A2278,-7*A2278))+J$129*EXP(IF(A2278&lt;0,(10-8)*A2278,-8*A2278))+K$129*EXP(IF(A2278&lt;0,(10-9)*A2278,-9*A2278))+L$129*EXP(IF(A2278&lt;0,(10-10)*A2278,-10*A2278)),0)</x:f>
        <x:v>781809.0093932193</x:v>
      </x:c>
      <x:c r="C2278" s="256" t="n">
        <x:f>IF(B2278=0,IF(B2277=0,0,1),IF(B2277=0,0,IF(SIGN(B2278)&lt;&gt;SIGN(B2277),1,0)))</x:f>
        <x:v>0</x:v>
      </x:c>
      <x:c r="D2278" s="256" t="n">
        <x:f>EXP(A2278-0.005)-1</x:f>
        <x:v>-0.9951316489857702</x:v>
      </x:c>
    </x:row>
    <x:row r="2279" ht="20" customHeight="1">
      <x:c r="A2279" s="256" t="n">
        <x:f>-12+669*0.01</x:f>
        <x:v>-5.31</x:v>
      </x:c>
      <x:c r="B2279" s="256" t="n">
        <x:f>IF(COUNT($B$129:$L$129)=11,B$129*EXP(IF(A2279&lt;0,(10-0)*A2279,-0*A2279))+C$129*EXP(IF(A2279&lt;0,(10-1)*A2279,-1*A2279))+D$129*EXP(IF(A2279&lt;0,(10-2)*A2279,-2*A2279))+E$129*EXP(IF(A2279&lt;0,(10-3)*A2279,-3*A2279))+F$129*EXP(IF(A2279&lt;0,(10-4)*A2279,-4*A2279))+G$129*EXP(IF(A2279&lt;0,(10-5)*A2279,-5*A2279))+H$129*EXP(IF(A2279&lt;0,(10-6)*A2279,-6*A2279))+I$129*EXP(IF(A2279&lt;0,(10-7)*A2279,-7*A2279))+J$129*EXP(IF(A2279&lt;0,(10-8)*A2279,-8*A2279))+K$129*EXP(IF(A2279&lt;0,(10-9)*A2279,-9*A2279))+L$129*EXP(IF(A2279&lt;0,(10-10)*A2279,-10*A2279)),0)</x:f>
        <x:v>781809.6332366549</x:v>
      </x:c>
      <x:c r="C2279" s="256" t="n">
        <x:f>IF(B2279=0,IF(B2278=0,0,1),IF(B2278=0,0,IF(SIGN(B2279)&lt;&gt;SIGN(B2278),1,0)))</x:f>
        <x:v>0</x:v>
      </x:c>
      <x:c r="D2279" s="256" t="n">
        <x:f>EXP(A2279-0.005)-1</x:f>
        <x:v>-0.9950827212446528</x:v>
      </x:c>
    </x:row>
    <x:row r="2280" ht="20" customHeight="1">
      <x:c r="A2280" s="256" t="n">
        <x:f>-12+670*0.01</x:f>
        <x:v>-5.3</x:v>
      </x:c>
      <x:c r="B2280" s="256" t="n">
        <x:f>IF(COUNT($B$129:$L$129)=11,B$129*EXP(IF(A2280&lt;0,(10-0)*A2280,-0*A2280))+C$129*EXP(IF(A2280&lt;0,(10-1)*A2280,-1*A2280))+D$129*EXP(IF(A2280&lt;0,(10-2)*A2280,-2*A2280))+E$129*EXP(IF(A2280&lt;0,(10-3)*A2280,-3*A2280))+F$129*EXP(IF(A2280&lt;0,(10-4)*A2280,-4*A2280))+G$129*EXP(IF(A2280&lt;0,(10-5)*A2280,-5*A2280))+H$129*EXP(IF(A2280&lt;0,(10-6)*A2280,-6*A2280))+I$129*EXP(IF(A2280&lt;0,(10-7)*A2280,-7*A2280))+J$129*EXP(IF(A2280&lt;0,(10-8)*A2280,-8*A2280))+K$129*EXP(IF(A2280&lt;0,(10-9)*A2280,-9*A2280))+L$129*EXP(IF(A2280&lt;0,(10-10)*A2280,-10*A2280)),0)</x:f>
        <x:v>781810.2633974067</x:v>
      </x:c>
      <x:c r="C2280" s="256" t="n">
        <x:f>IF(B2280=0,IF(B2279=0,0,1),IF(B2279=0,0,IF(SIGN(B2280)&lt;&gt;SIGN(B2279),1,0)))</x:f>
        <x:v>0</x:v>
      </x:c>
      <x:c r="D2280" s="256" t="n">
        <x:f>EXP(A2280-0.005)-1</x:f>
        <x:v>-0.9950333017715621</x:v>
      </x:c>
    </x:row>
    <x:row r="2281" ht="20" customHeight="1">
      <x:c r="A2281" s="256" t="n">
        <x:f>-12+671*0.01</x:f>
        <x:v>-5.29</x:v>
      </x:c>
      <x:c r="B2281" s="256" t="n">
        <x:f>IF(COUNT($B$129:$L$129)=11,B$129*EXP(IF(A2281&lt;0,(10-0)*A2281,-0*A2281))+C$129*EXP(IF(A2281&lt;0,(10-1)*A2281,-1*A2281))+D$129*EXP(IF(A2281&lt;0,(10-2)*A2281,-2*A2281))+E$129*EXP(IF(A2281&lt;0,(10-3)*A2281,-3*A2281))+F$129*EXP(IF(A2281&lt;0,(10-4)*A2281,-4*A2281))+G$129*EXP(IF(A2281&lt;0,(10-5)*A2281,-5*A2281))+H$129*EXP(IF(A2281&lt;0,(10-6)*A2281,-6*A2281))+I$129*EXP(IF(A2281&lt;0,(10-7)*A2281,-7*A2281))+J$129*EXP(IF(A2281&lt;0,(10-8)*A2281,-8*A2281))+K$129*EXP(IF(A2281&lt;0,(10-9)*A2281,-9*A2281))+L$129*EXP(IF(A2281&lt;0,(10-10)*A2281,-10*A2281)),0)</x:f>
        <x:v>781810.899939931</x:v>
      </x:c>
      <x:c r="C2281" s="256" t="n">
        <x:f>IF(B2281=0,IF(B2280=0,0,1),IF(B2280=0,0,IF(SIGN(B2281)&lt;&gt;SIGN(B2280),1,0)))</x:f>
        <x:v>0</x:v>
      </x:c>
      <x:c r="D2281" s="256" t="n">
        <x:f>EXP(A2281-0.005)-1</x:f>
        <x:v>-0.9949833856245097</x:v>
      </x:c>
    </x:row>
    <x:row r="2282" ht="20" customHeight="1">
      <x:c r="A2282" s="256" t="n">
        <x:f>-12+672*0.01</x:f>
        <x:v>-5.28</x:v>
      </x:c>
      <x:c r="B2282" s="256" t="n">
        <x:f>IF(COUNT($B$129:$L$129)=11,B$129*EXP(IF(A2282&lt;0,(10-0)*A2282,-0*A2282))+C$129*EXP(IF(A2282&lt;0,(10-1)*A2282,-1*A2282))+D$129*EXP(IF(A2282&lt;0,(10-2)*A2282,-2*A2282))+E$129*EXP(IF(A2282&lt;0,(10-3)*A2282,-3*A2282))+F$129*EXP(IF(A2282&lt;0,(10-4)*A2282,-4*A2282))+G$129*EXP(IF(A2282&lt;0,(10-5)*A2282,-5*A2282))+H$129*EXP(IF(A2282&lt;0,(10-6)*A2282,-6*A2282))+I$129*EXP(IF(A2282&lt;0,(10-7)*A2282,-7*A2282))+J$129*EXP(IF(A2282&lt;0,(10-8)*A2282,-8*A2282))+K$129*EXP(IF(A2282&lt;0,(10-9)*A2282,-9*A2282))+L$129*EXP(IF(A2282&lt;0,(10-10)*A2282,-10*A2282)),0)</x:f>
        <x:v>781811.5429293518</x:v>
      </x:c>
      <x:c r="C2282" s="256" t="n">
        <x:f>IF(B2282=0,IF(B2281=0,0,1),IF(B2281=0,0,IF(SIGN(B2282)&lt;&gt;SIGN(B2281),1,0)))</x:f>
        <x:v>0</x:v>
      </x:c>
      <x:c r="D2282" s="256" t="n">
        <x:f>EXP(A2282-0.005)-1</x:f>
        <x:v>-0.9949329678118393</x:v>
      </x:c>
    </x:row>
    <x:row r="2283" ht="20" customHeight="1">
      <x:c r="A2283" s="256" t="n">
        <x:f>-12+673*0.01</x:f>
        <x:v>-5.27</x:v>
      </x:c>
      <x:c r="B2283" s="256" t="n">
        <x:f>IF(COUNT($B$129:$L$129)=11,B$129*EXP(IF(A2283&lt;0,(10-0)*A2283,-0*A2283))+C$129*EXP(IF(A2283&lt;0,(10-1)*A2283,-1*A2283))+D$129*EXP(IF(A2283&lt;0,(10-2)*A2283,-2*A2283))+E$129*EXP(IF(A2283&lt;0,(10-3)*A2283,-3*A2283))+F$129*EXP(IF(A2283&lt;0,(10-4)*A2283,-4*A2283))+G$129*EXP(IF(A2283&lt;0,(10-5)*A2283,-5*A2283))+H$129*EXP(IF(A2283&lt;0,(10-6)*A2283,-6*A2283))+I$129*EXP(IF(A2283&lt;0,(10-7)*A2283,-7*A2283))+J$129*EXP(IF(A2283&lt;0,(10-8)*A2283,-8*A2283))+K$129*EXP(IF(A2283&lt;0,(10-9)*A2283,-9*A2283))+L$129*EXP(IF(A2283&lt;0,(10-10)*A2283,-10*A2283)),0)</x:f>
        <x:v>781812.1924314676</x:v>
      </x:c>
      <x:c r="C2283" s="256" t="n">
        <x:f>IF(B2283=0,IF(B2282=0,0,1),IF(B2282=0,0,IF(SIGN(B2283)&lt;&gt;SIGN(B2282),1,0)))</x:f>
        <x:v>0</x:v>
      </x:c>
      <x:c r="D2283" s="256" t="n">
        <x:f>EXP(A2283-0.005)-1</x:f>
        <x:v>-0.9948820432917274</x:v>
      </x:c>
    </x:row>
    <x:row r="2284" ht="20" customHeight="1">
      <x:c r="A2284" s="256" t="n">
        <x:f>-12+674*0.01</x:f>
        <x:v>-5.26</x:v>
      </x:c>
      <x:c r="B2284" s="256" t="n">
        <x:f>IF(COUNT($B$129:$L$129)=11,B$129*EXP(IF(A2284&lt;0,(10-0)*A2284,-0*A2284))+C$129*EXP(IF(A2284&lt;0,(10-1)*A2284,-1*A2284))+D$129*EXP(IF(A2284&lt;0,(10-2)*A2284,-2*A2284))+E$129*EXP(IF(A2284&lt;0,(10-3)*A2284,-3*A2284))+F$129*EXP(IF(A2284&lt;0,(10-4)*A2284,-4*A2284))+G$129*EXP(IF(A2284&lt;0,(10-5)*A2284,-5*A2284))+H$129*EXP(IF(A2284&lt;0,(10-6)*A2284,-6*A2284))+I$129*EXP(IF(A2284&lt;0,(10-7)*A2284,-7*A2284))+J$129*EXP(IF(A2284&lt;0,(10-8)*A2284,-8*A2284))+K$129*EXP(IF(A2284&lt;0,(10-9)*A2284,-9*A2284))+L$129*EXP(IF(A2284&lt;0,(10-10)*A2284,-10*A2284)),0)</x:f>
        <x:v>781812.8485127587</x:v>
      </x:c>
      <x:c r="C2284" s="256" t="n">
        <x:f>IF(B2284=0,IF(B2283=0,0,1),IF(B2283=0,0,IF(SIGN(B2284)&lt;&gt;SIGN(B2283),1,0)))</x:f>
        <x:v>0</x:v>
      </x:c>
      <x:c r="D2284" s="256" t="n">
        <x:f>EXP(A2284-0.005)-1</x:f>
        <x:v>-0.9948306069716797</x:v>
      </x:c>
    </x:row>
    <x:row r="2285" ht="20" customHeight="1">
      <x:c r="A2285" s="256" t="n">
        <x:f>-12+675*0.01</x:f>
        <x:v>-5.25</x:v>
      </x:c>
      <x:c r="B2285" s="256" t="n">
        <x:f>IF(COUNT($B$129:$L$129)=11,B$129*EXP(IF(A2285&lt;0,(10-0)*A2285,-0*A2285))+C$129*EXP(IF(A2285&lt;0,(10-1)*A2285,-1*A2285))+D$129*EXP(IF(A2285&lt;0,(10-2)*A2285,-2*A2285))+E$129*EXP(IF(A2285&lt;0,(10-3)*A2285,-3*A2285))+F$129*EXP(IF(A2285&lt;0,(10-4)*A2285,-4*A2285))+G$129*EXP(IF(A2285&lt;0,(10-5)*A2285,-5*A2285))+H$129*EXP(IF(A2285&lt;0,(10-6)*A2285,-6*A2285))+I$129*EXP(IF(A2285&lt;0,(10-7)*A2285,-7*A2285))+J$129*EXP(IF(A2285&lt;0,(10-8)*A2285,-8*A2285))+K$129*EXP(IF(A2285&lt;0,(10-9)*A2285,-9*A2285))+L$129*EXP(IF(A2285&lt;0,(10-10)*A2285,-10*A2285)),0)</x:f>
        <x:v>781813.5112403944</x:v>
      </x:c>
      <x:c r="C2285" s="256" t="n">
        <x:f>IF(B2285=0,IF(B2284=0,0,1),IF(B2284=0,0,IF(SIGN(B2285)&lt;&gt;SIGN(B2284),1,0)))</x:f>
        <x:v>0</x:v>
      </x:c>
      <x:c r="D2285" s="256" t="n">
        <x:f>EXP(A2285-0.005)-1</x:f>
        <x:v>-0.9947786537080213</x:v>
      </x:c>
    </x:row>
    <x:row r="2286" ht="20" customHeight="1">
      <x:c r="A2286" s="256" t="n">
        <x:f>-12+676*0.01</x:f>
        <x:v>-5.24</x:v>
      </x:c>
      <x:c r="B2286" s="256" t="n">
        <x:f>IF(COUNT($B$129:$L$129)=11,B$129*EXP(IF(A2286&lt;0,(10-0)*A2286,-0*A2286))+C$129*EXP(IF(A2286&lt;0,(10-1)*A2286,-1*A2286))+D$129*EXP(IF(A2286&lt;0,(10-2)*A2286,-2*A2286))+E$129*EXP(IF(A2286&lt;0,(10-3)*A2286,-3*A2286))+F$129*EXP(IF(A2286&lt;0,(10-4)*A2286,-4*A2286))+G$129*EXP(IF(A2286&lt;0,(10-5)*A2286,-5*A2286))+H$129*EXP(IF(A2286&lt;0,(10-6)*A2286,-6*A2286))+I$129*EXP(IF(A2286&lt;0,(10-7)*A2286,-7*A2286))+J$129*EXP(IF(A2286&lt;0,(10-8)*A2286,-8*A2286))+K$129*EXP(IF(A2286&lt;0,(10-9)*A2286,-9*A2286))+L$129*EXP(IF(A2286&lt;0,(10-10)*A2286,-10*A2286)),0)</x:f>
        <x:v>781814.1806822404</x:v>
      </x:c>
      <x:c r="C2286" s="256" t="n">
        <x:f>IF(B2286=0,IF(B2285=0,0,1),IF(B2285=0,0,IF(SIGN(B2286)&lt;&gt;SIGN(B2285),1,0)))</x:f>
        <x:v>0</x:v>
      </x:c>
      <x:c r="D2286" s="256" t="n">
        <x:f>EXP(A2286-0.005)-1</x:f>
        <x:v>-0.9947261783053827</x:v>
      </x:c>
    </x:row>
    <x:row r="2287" ht="20" customHeight="1">
      <x:c r="A2287" s="256" t="n">
        <x:f>-12+677*0.01</x:f>
        <x:v>-5.2299999999999995</x:v>
      </x:c>
      <x:c r="B2287" s="256" t="n">
        <x:f>IF(COUNT($B$129:$L$129)=11,B$129*EXP(IF(A2287&lt;0,(10-0)*A2287,-0*A2287))+C$129*EXP(IF(A2287&lt;0,(10-1)*A2287,-1*A2287))+D$129*EXP(IF(A2287&lt;0,(10-2)*A2287,-2*A2287))+E$129*EXP(IF(A2287&lt;0,(10-3)*A2287,-3*A2287))+F$129*EXP(IF(A2287&lt;0,(10-4)*A2287,-4*A2287))+G$129*EXP(IF(A2287&lt;0,(10-5)*A2287,-5*A2287))+H$129*EXP(IF(A2287&lt;0,(10-6)*A2287,-6*A2287))+I$129*EXP(IF(A2287&lt;0,(10-7)*A2287,-7*A2287))+J$129*EXP(IF(A2287&lt;0,(10-8)*A2287,-8*A2287))+K$129*EXP(IF(A2287&lt;0,(10-9)*A2287,-9*A2287))+L$129*EXP(IF(A2287&lt;0,(10-10)*A2287,-10*A2287)),0)</x:f>
        <x:v>781814.8569068663</x:v>
      </x:c>
      <x:c r="C2287" s="256" t="n">
        <x:f>IF(B2287=0,IF(B2286=0,0,1),IF(B2286=0,0,IF(SIGN(B2287)&lt;&gt;SIGN(B2286),1,0)))</x:f>
        <x:v>0</x:v>
      </x:c>
      <x:c r="D2287" s="256" t="n">
        <x:f>EXP(A2287-0.005)-1</x:f>
        <x:v>-0.9946731755161796</x:v>
      </x:c>
    </x:row>
    <x:row r="2288" ht="20" customHeight="1">
      <x:c r="A2288" s="256" t="n">
        <x:f>-12+678*0.01</x:f>
        <x:v>-5.22</x:v>
      </x:c>
      <x:c r="B2288" s="256" t="n">
        <x:f>IF(COUNT($B$129:$L$129)=11,B$129*EXP(IF(A2288&lt;0,(10-0)*A2288,-0*A2288))+C$129*EXP(IF(A2288&lt;0,(10-1)*A2288,-1*A2288))+D$129*EXP(IF(A2288&lt;0,(10-2)*A2288,-2*A2288))+E$129*EXP(IF(A2288&lt;0,(10-3)*A2288,-3*A2288))+F$129*EXP(IF(A2288&lt;0,(10-4)*A2288,-4*A2288))+G$129*EXP(IF(A2288&lt;0,(10-5)*A2288,-5*A2288))+H$129*EXP(IF(A2288&lt;0,(10-6)*A2288,-6*A2288))+I$129*EXP(IF(A2288&lt;0,(10-7)*A2288,-7*A2288))+J$129*EXP(IF(A2288&lt;0,(10-8)*A2288,-8*A2288))+K$129*EXP(IF(A2288&lt;0,(10-9)*A2288,-9*A2288))+L$129*EXP(IF(A2288&lt;0,(10-10)*A2288,-10*A2288)),0)</x:f>
        <x:v>781815.539983553</x:v>
      </x:c>
      <x:c r="C2288" s="256" t="n">
        <x:f>IF(B2288=0,IF(B2287=0,0,1),IF(B2287=0,0,IF(SIGN(B2288)&lt;&gt;SIGN(B2287),1,0)))</x:f>
        <x:v>0</x:v>
      </x:c>
      <x:c r="D2288" s="256" t="n">
        <x:f>EXP(A2288-0.005)-1</x:f>
        <x:v>-0.9946196400400892</x:v>
      </x:c>
    </x:row>
    <x:row r="2289" ht="20" customHeight="1">
      <x:c r="A2289" s="256" t="n">
        <x:f>-12+679*0.01</x:f>
        <x:v>-5.21</x:v>
      </x:c>
      <x:c r="B2289" s="256" t="n">
        <x:f>IF(COUNT($B$129:$L$129)=11,B$129*EXP(IF(A2289&lt;0,(10-0)*A2289,-0*A2289))+C$129*EXP(IF(A2289&lt;0,(10-1)*A2289,-1*A2289))+D$129*EXP(IF(A2289&lt;0,(10-2)*A2289,-2*A2289))+E$129*EXP(IF(A2289&lt;0,(10-3)*A2289,-3*A2289))+F$129*EXP(IF(A2289&lt;0,(10-4)*A2289,-4*A2289))+G$129*EXP(IF(A2289&lt;0,(10-5)*A2289,-5*A2289))+H$129*EXP(IF(A2289&lt;0,(10-6)*A2289,-6*A2289))+I$129*EXP(IF(A2289&lt;0,(10-7)*A2289,-7*A2289))+J$129*EXP(IF(A2289&lt;0,(10-8)*A2289,-8*A2289))+K$129*EXP(IF(A2289&lt;0,(10-9)*A2289,-9*A2289))+L$129*EXP(IF(A2289&lt;0,(10-10)*A2289,-10*A2289)),0)</x:f>
        <x:v>781816.2299823003</x:v>
      </x:c>
      <x:c r="C2289" s="256" t="n">
        <x:f>IF(B2289=0,IF(B2288=0,0,1),IF(B2288=0,0,IF(SIGN(B2289)&lt;&gt;SIGN(B2288),1,0)))</x:f>
        <x:v>0</x:v>
      </x:c>
      <x:c r="D2289" s="256" t="n">
        <x:f>EXP(A2289-0.005)-1</x:f>
        <x:v>-0.9945655665235191</x:v>
      </x:c>
    </x:row>
    <x:row r="2290" ht="20" customHeight="1">
      <x:c r="A2290" s="256" t="n">
        <x:f>-12+680*0.01</x:f>
        <x:v>-5.2</x:v>
      </x:c>
      <x:c r="B2290" s="256" t="n">
        <x:f>IF(COUNT($B$129:$L$129)=11,B$129*EXP(IF(A2290&lt;0,(10-0)*A2290,-0*A2290))+C$129*EXP(IF(A2290&lt;0,(10-1)*A2290,-1*A2290))+D$129*EXP(IF(A2290&lt;0,(10-2)*A2290,-2*A2290))+E$129*EXP(IF(A2290&lt;0,(10-3)*A2290,-3*A2290))+F$129*EXP(IF(A2290&lt;0,(10-4)*A2290,-4*A2290))+G$129*EXP(IF(A2290&lt;0,(10-5)*A2290,-5*A2290))+H$129*EXP(IF(A2290&lt;0,(10-6)*A2290,-6*A2290))+I$129*EXP(IF(A2290&lt;0,(10-7)*A2290,-7*A2290))+J$129*EXP(IF(A2290&lt;0,(10-8)*A2290,-8*A2290))+K$129*EXP(IF(A2290&lt;0,(10-9)*A2290,-9*A2290))+L$129*EXP(IF(A2290&lt;0,(10-10)*A2290,-10*A2290)),0)</x:f>
        <x:v>781816.9269738349</x:v>
      </x:c>
      <x:c r="C2290" s="256" t="n">
        <x:f>IF(B2290=0,IF(B2289=0,0,1),IF(B2289=0,0,IF(SIGN(B2290)&lt;&gt;SIGN(B2289),1,0)))</x:f>
        <x:v>0</x:v>
      </x:c>
      <x:c r="D2290" s="256" t="n">
        <x:f>EXP(A2290-0.005)-1</x:f>
        <x:v>-0.9945109495590727</x:v>
      </x:c>
    </x:row>
    <x:row r="2291" ht="20" customHeight="1">
      <x:c r="A2291" s="256" t="n">
        <x:f>-12+681*0.01</x:f>
        <x:v>-5.1899999999999995</x:v>
      </x:c>
      <x:c r="B2291" s="256" t="n">
        <x:f>IF(COUNT($B$129:$L$129)=11,B$129*EXP(IF(A2291&lt;0,(10-0)*A2291,-0*A2291))+C$129*EXP(IF(A2291&lt;0,(10-1)*A2291,-1*A2291))+D$129*EXP(IF(A2291&lt;0,(10-2)*A2291,-2*A2291))+E$129*EXP(IF(A2291&lt;0,(10-3)*A2291,-3*A2291))+F$129*EXP(IF(A2291&lt;0,(10-4)*A2291,-4*A2291))+G$129*EXP(IF(A2291&lt;0,(10-5)*A2291,-5*A2291))+H$129*EXP(IF(A2291&lt;0,(10-6)*A2291,-6*A2291))+I$129*EXP(IF(A2291&lt;0,(10-7)*A2291,-7*A2291))+J$129*EXP(IF(A2291&lt;0,(10-8)*A2291,-8*A2291))+K$129*EXP(IF(A2291&lt;0,(10-9)*A2291,-9*A2291))+L$129*EXP(IF(A2291&lt;0,(10-10)*A2291,-10*A2291)),0)</x:f>
        <x:v>781817.6310296176</x:v>
      </x:c>
      <x:c r="C2291" s="256" t="n">
        <x:f>IF(B2291=0,IF(B2290=0,0,1),IF(B2290=0,0,IF(SIGN(B2291)&lt;&gt;SIGN(B2290),1,0)))</x:f>
        <x:v>0</x:v>
      </x:c>
      <x:c r="D2291" s="256" t="n">
        <x:f>EXP(A2291-0.005)-1</x:f>
        <x:v>-0.994455783685008</x:v>
      </x:c>
    </x:row>
    <x:row r="2292" ht="20" customHeight="1">
      <x:c r="A2292" s="256" t="n">
        <x:f>-12+682*0.01</x:f>
        <x:v>-5.18</x:v>
      </x:c>
      <x:c r="B2292" s="256" t="n">
        <x:f>IF(COUNT($B$129:$L$129)=11,B$129*EXP(IF(A2292&lt;0,(10-0)*A2292,-0*A2292))+C$129*EXP(IF(A2292&lt;0,(10-1)*A2292,-1*A2292))+D$129*EXP(IF(A2292&lt;0,(10-2)*A2292,-2*A2292))+E$129*EXP(IF(A2292&lt;0,(10-3)*A2292,-3*A2292))+F$129*EXP(IF(A2292&lt;0,(10-4)*A2292,-4*A2292))+G$129*EXP(IF(A2292&lt;0,(10-5)*A2292,-5*A2292))+H$129*EXP(IF(A2292&lt;0,(10-6)*A2292,-6*A2292))+I$129*EXP(IF(A2292&lt;0,(10-7)*A2292,-7*A2292))+J$129*EXP(IF(A2292&lt;0,(10-8)*A2292,-8*A2292))+K$129*EXP(IF(A2292&lt;0,(10-9)*A2292,-9*A2292))+L$129*EXP(IF(A2292&lt;0,(10-10)*A2292,-10*A2292)),0)</x:f>
        <x:v>781818.3422218517</x:v>
      </x:c>
      <x:c r="C2292" s="256" t="n">
        <x:f>IF(B2292=0,IF(B2291=0,0,1),IF(B2291=0,0,IF(SIGN(B2292)&lt;&gt;SIGN(B2291),1,0)))</x:f>
        <x:v>0</x:v>
      </x:c>
      <x:c r="D2292" s="256" t="n">
        <x:f>EXP(A2292-0.005)-1</x:f>
        <x:v>-0.9944000633846914</x:v>
      </x:c>
    </x:row>
    <x:row r="2293" ht="20" customHeight="1">
      <x:c r="A2293" s="256" t="n">
        <x:f>-12+683*0.01</x:f>
        <x:v>-5.17</x:v>
      </x:c>
      <x:c r="B2293" s="256" t="n">
        <x:f>IF(COUNT($B$129:$L$129)=11,B$129*EXP(IF(A2293&lt;0,(10-0)*A2293,-0*A2293))+C$129*EXP(IF(A2293&lt;0,(10-1)*A2293,-1*A2293))+D$129*EXP(IF(A2293&lt;0,(10-2)*A2293,-2*A2293))+E$129*EXP(IF(A2293&lt;0,(10-3)*A2293,-3*A2293))+F$129*EXP(IF(A2293&lt;0,(10-4)*A2293,-4*A2293))+G$129*EXP(IF(A2293&lt;0,(10-5)*A2293,-5*A2293))+H$129*EXP(IF(A2293&lt;0,(10-6)*A2293,-6*A2293))+I$129*EXP(IF(A2293&lt;0,(10-7)*A2293,-7*A2293))+J$129*EXP(IF(A2293&lt;0,(10-8)*A2293,-8*A2293))+K$129*EXP(IF(A2293&lt;0,(10-9)*A2293,-9*A2293))+L$129*EXP(IF(A2293&lt;0,(10-10)*A2293,-10*A2293)),0)</x:f>
        <x:v>781819.0606234906</x:v>
      </x:c>
      <x:c r="C2293" s="256" t="n">
        <x:f>IF(B2293=0,IF(B2292=0,0,1),IF(B2292=0,0,IF(SIGN(B2293)&lt;&gt;SIGN(B2292),1,0)))</x:f>
        <x:v>0</x:v>
      </x:c>
      <x:c r="D2293" s="256" t="n">
        <x:f>EXP(A2293-0.005)-1</x:f>
        <x:v>-0.9943437830860469</x:v>
      </x:c>
    </x:row>
    <x:row r="2294" ht="20" customHeight="1">
      <x:c r="A2294" s="256" t="n">
        <x:f>-12+684*0.01</x:f>
        <x:v>-5.16</x:v>
      </x:c>
      <x:c r="B2294" s="256" t="n">
        <x:f>IF(COUNT($B$129:$L$129)=11,B$129*EXP(IF(A2294&lt;0,(10-0)*A2294,-0*A2294))+C$129*EXP(IF(A2294&lt;0,(10-1)*A2294,-1*A2294))+D$129*EXP(IF(A2294&lt;0,(10-2)*A2294,-2*A2294))+E$129*EXP(IF(A2294&lt;0,(10-3)*A2294,-3*A2294))+F$129*EXP(IF(A2294&lt;0,(10-4)*A2294,-4*A2294))+G$129*EXP(IF(A2294&lt;0,(10-5)*A2294,-5*A2294))+H$129*EXP(IF(A2294&lt;0,(10-6)*A2294,-6*A2294))+I$129*EXP(IF(A2294&lt;0,(10-7)*A2294,-7*A2294))+J$129*EXP(IF(A2294&lt;0,(10-8)*A2294,-8*A2294))+K$129*EXP(IF(A2294&lt;0,(10-9)*A2294,-9*A2294))+L$129*EXP(IF(A2294&lt;0,(10-10)*A2294,-10*A2294)),0)</x:f>
        <x:v>781819.786308246</x:v>
      </x:c>
      <x:c r="C2294" s="256" t="n">
        <x:f>IF(B2294=0,IF(B2293=0,0,1),IF(B2293=0,0,IF(SIGN(B2294)&lt;&gt;SIGN(B2293),1,0)))</x:f>
        <x:v>0</x:v>
      </x:c>
      <x:c r="D2294" s="256" t="n">
        <x:f>EXP(A2294-0.005)-1</x:f>
        <x:v>-0.9942869371609974</x:v>
      </x:c>
    </x:row>
    <x:row r="2295" ht="20" customHeight="1">
      <x:c r="A2295" s="256" t="n">
        <x:f>-12+685*0.01</x:f>
        <x:v>-5.1499999999999995</x:v>
      </x:c>
      <x:c r="B2295" s="256" t="n">
        <x:f>IF(COUNT($B$129:$L$129)=11,B$129*EXP(IF(A2295&lt;0,(10-0)*A2295,-0*A2295))+C$129*EXP(IF(A2295&lt;0,(10-1)*A2295,-1*A2295))+D$129*EXP(IF(A2295&lt;0,(10-2)*A2295,-2*A2295))+E$129*EXP(IF(A2295&lt;0,(10-3)*A2295,-3*A2295))+F$129*EXP(IF(A2295&lt;0,(10-4)*A2295,-4*A2295))+G$129*EXP(IF(A2295&lt;0,(10-5)*A2295,-5*A2295))+H$129*EXP(IF(A2295&lt;0,(10-6)*A2295,-6*A2295))+I$129*EXP(IF(A2295&lt;0,(10-7)*A2295,-7*A2295))+J$129*EXP(IF(A2295&lt;0,(10-8)*A2295,-8*A2295))+K$129*EXP(IF(A2295&lt;0,(10-9)*A2295,-9*A2295))+L$129*EXP(IF(A2295&lt;0,(10-10)*A2295,-10*A2295)),0)</x:f>
        <x:v>781820.5193505962</x:v>
      </x:c>
      <x:c r="C2295" s="256" t="n">
        <x:f>IF(B2295=0,IF(B2294=0,0,1),IF(B2294=0,0,IF(SIGN(B2295)&lt;&gt;SIGN(B2294),1,0)))</x:f>
        <x:v>0</x:v>
      </x:c>
      <x:c r="D2295" s="256" t="n">
        <x:f>EXP(A2295-0.005)-1</x:f>
        <x:v>-0.994229519924903</x:v>
      </x:c>
    </x:row>
    <x:row r="2296" ht="20" customHeight="1">
      <x:c r="A2296" s="256" t="n">
        <x:f>-12+686*0.01</x:f>
        <x:v>-5.14</x:v>
      </x:c>
      <x:c r="B2296" s="256" t="n">
        <x:f>IF(COUNT($B$129:$L$129)=11,B$129*EXP(IF(A2296&lt;0,(10-0)*A2296,-0*A2296))+C$129*EXP(IF(A2296&lt;0,(10-1)*A2296,-1*A2296))+D$129*EXP(IF(A2296&lt;0,(10-2)*A2296,-2*A2296))+E$129*EXP(IF(A2296&lt;0,(10-3)*A2296,-3*A2296))+F$129*EXP(IF(A2296&lt;0,(10-4)*A2296,-4*A2296))+G$129*EXP(IF(A2296&lt;0,(10-5)*A2296,-5*A2296))+H$129*EXP(IF(A2296&lt;0,(10-6)*A2296,-6*A2296))+I$129*EXP(IF(A2296&lt;0,(10-7)*A2296,-7*A2296))+J$129*EXP(IF(A2296&lt;0,(10-8)*A2296,-8*A2296))+K$129*EXP(IF(A2296&lt;0,(10-9)*A2296,-9*A2296))+L$129*EXP(IF(A2296&lt;0,(10-10)*A2296,-10*A2296)),0)</x:f>
        <x:v>781821.259825794</x:v>
      </x:c>
      <x:c r="C2296" s="256" t="n">
        <x:f>IF(B2296=0,IF(B2295=0,0,1),IF(B2295=0,0,IF(SIGN(B2296)&lt;&gt;SIGN(B2295),1,0)))</x:f>
        <x:v>0</x:v>
      </x:c>
      <x:c r="D2296" s="256" t="n">
        <x:f>EXP(A2296-0.005)-1</x:f>
        <x:v>-0.9941715256359924</x:v>
      </x:c>
    </x:row>
    <x:row r="2297" ht="20" customHeight="1">
      <x:c r="A2297" s="256" t="n">
        <x:f>-12+687*0.01</x:f>
        <x:v>-5.13</x:v>
      </x:c>
      <x:c r="B2297" s="256" t="n">
        <x:f>IF(COUNT($B$129:$L$129)=11,B$129*EXP(IF(A2297&lt;0,(10-0)*A2297,-0*A2297))+C$129*EXP(IF(A2297&lt;0,(10-1)*A2297,-1*A2297))+D$129*EXP(IF(A2297&lt;0,(10-2)*A2297,-2*A2297))+E$129*EXP(IF(A2297&lt;0,(10-3)*A2297,-3*A2297))+F$129*EXP(IF(A2297&lt;0,(10-4)*A2297,-4*A2297))+G$129*EXP(IF(A2297&lt;0,(10-5)*A2297,-5*A2297))+H$129*EXP(IF(A2297&lt;0,(10-6)*A2297,-6*A2297))+I$129*EXP(IF(A2297&lt;0,(10-7)*A2297,-7*A2297))+J$129*EXP(IF(A2297&lt;0,(10-8)*A2297,-8*A2297))+K$129*EXP(IF(A2297&lt;0,(10-9)*A2297,-9*A2297))+L$129*EXP(IF(A2297&lt;0,(10-10)*A2297,-10*A2297)),0)</x:f>
        <x:v>781822.0078098752</x:v>
      </x:c>
      <x:c r="C2297" s="256" t="n">
        <x:f>IF(B2297=0,IF(B2296=0,0,1),IF(B2296=0,0,IF(SIGN(B2297)&lt;&gt;SIGN(B2296),1,0)))</x:f>
        <x:v>0</x:v>
      </x:c>
      <x:c r="D2297" s="256" t="n">
        <x:f>EXP(A2297-0.005)-1</x:f>
        <x:v>-0.9941129484947884</x:v>
      </x:c>
    </x:row>
    <x:row r="2298" ht="20" customHeight="1">
      <x:c r="A2298" s="256" t="n">
        <x:f>-12+688*0.01</x:f>
        <x:v>-5.12</x:v>
      </x:c>
      <x:c r="B2298" s="256" t="n">
        <x:f>IF(COUNT($B$129:$L$129)=11,B$129*EXP(IF(A2298&lt;0,(10-0)*A2298,-0*A2298))+C$129*EXP(IF(A2298&lt;0,(10-1)*A2298,-1*A2298))+D$129*EXP(IF(A2298&lt;0,(10-2)*A2298,-2*A2298))+E$129*EXP(IF(A2298&lt;0,(10-3)*A2298,-3*A2298))+F$129*EXP(IF(A2298&lt;0,(10-4)*A2298,-4*A2298))+G$129*EXP(IF(A2298&lt;0,(10-5)*A2298,-5*A2298))+H$129*EXP(IF(A2298&lt;0,(10-6)*A2298,-6*A2298))+I$129*EXP(IF(A2298&lt;0,(10-7)*A2298,-7*A2298))+J$129*EXP(IF(A2298&lt;0,(10-8)*A2298,-8*A2298))+K$129*EXP(IF(A2298&lt;0,(10-9)*A2298,-9*A2298))+L$129*EXP(IF(A2298&lt;0,(10-10)*A2298,-10*A2298)),0)</x:f>
        <x:v>781822.763379667</x:v>
      </x:c>
      <x:c r="C2298" s="256" t="n">
        <x:f>IF(B2298=0,IF(B2297=0,0,1),IF(B2297=0,0,IF(SIGN(B2298)&lt;&gt;SIGN(B2297),1,0)))</x:f>
        <x:v>0</x:v>
      </x:c>
      <x:c r="D2298" s="256" t="n">
        <x:f>EXP(A2298-0.005)-1</x:f>
        <x:v>-0.994053782643528</x:v>
      </x:c>
    </x:row>
    <x:row r="2299" ht="20" customHeight="1">
      <x:c r="A2299" s="256" t="n">
        <x:f>-12+689*0.01</x:f>
        <x:v>-5.109999999999999</x:v>
      </x:c>
      <x:c r="B2299" s="256" t="n">
        <x:f>IF(COUNT($B$129:$L$129)=11,B$129*EXP(IF(A2299&lt;0,(10-0)*A2299,-0*A2299))+C$129*EXP(IF(A2299&lt;0,(10-1)*A2299,-1*A2299))+D$129*EXP(IF(A2299&lt;0,(10-2)*A2299,-2*A2299))+E$129*EXP(IF(A2299&lt;0,(10-3)*A2299,-3*A2299))+F$129*EXP(IF(A2299&lt;0,(10-4)*A2299,-4*A2299))+G$129*EXP(IF(A2299&lt;0,(10-5)*A2299,-5*A2299))+H$129*EXP(IF(A2299&lt;0,(10-6)*A2299,-6*A2299))+I$129*EXP(IF(A2299&lt;0,(10-7)*A2299,-7*A2299))+J$129*EXP(IF(A2299&lt;0,(10-8)*A2299,-8*A2299))+K$129*EXP(IF(A2299&lt;0,(10-9)*A2299,-9*A2299))+L$129*EXP(IF(A2299&lt;0,(10-10)*A2299,-10*A2299)),0)</x:f>
        <x:v>781823.5266127962</x:v>
      </x:c>
      <x:c r="C2299" s="256" t="n">
        <x:f>IF(B2299=0,IF(B2298=0,0,1),IF(B2298=0,0,IF(SIGN(B2299)&lt;&gt;SIGN(B2298),1,0)))</x:f>
        <x:v>0</x:v>
      </x:c>
      <x:c r="D2299" s="256" t="n">
        <x:f>EXP(A2299-0.005)-1</x:f>
        <x:v>-0.9939940221655765</x:v>
      </x:c>
    </x:row>
    <x:row r="2300" ht="20" customHeight="1">
      <x:c r="A2300" s="256" t="n">
        <x:f>-12+690*0.01</x:f>
        <x:v>-5.1</x:v>
      </x:c>
      <x:c r="B2300" s="256" t="n">
        <x:f>IF(COUNT($B$129:$L$129)=11,B$129*EXP(IF(A2300&lt;0,(10-0)*A2300,-0*A2300))+C$129*EXP(IF(A2300&lt;0,(10-1)*A2300,-1*A2300))+D$129*EXP(IF(A2300&lt;0,(10-2)*A2300,-2*A2300))+E$129*EXP(IF(A2300&lt;0,(10-3)*A2300,-3*A2300))+F$129*EXP(IF(A2300&lt;0,(10-4)*A2300,-4*A2300))+G$129*EXP(IF(A2300&lt;0,(10-5)*A2300,-5*A2300))+H$129*EXP(IF(A2300&lt;0,(10-6)*A2300,-6*A2300))+I$129*EXP(IF(A2300&lt;0,(10-7)*A2300,-7*A2300))+J$129*EXP(IF(A2300&lt;0,(10-8)*A2300,-8*A2300))+K$129*EXP(IF(A2300&lt;0,(10-9)*A2300,-9*A2300))+L$129*EXP(IF(A2300&lt;0,(10-10)*A2300,-10*A2300)),0)</x:f>
        <x:v>781824.2975876986</x:v>
      </x:c>
      <x:c r="C2300" s="256" t="n">
        <x:f>IF(B2300=0,IF(B2299=0,0,1),IF(B2299=0,0,IF(SIGN(B2300)&lt;&gt;SIGN(B2299),1,0)))</x:f>
        <x:v>0</x:v>
      </x:c>
      <x:c r="D2300" s="256" t="n">
        <x:f>EXP(A2300-0.005)-1</x:f>
        <x:v>-0.9939336610848368</x:v>
      </x:c>
    </x:row>
    <x:row r="2301" ht="20" customHeight="1">
      <x:c r="A2301" s="256" t="n">
        <x:f>-12+691*0.01</x:f>
        <x:v>-5.09</x:v>
      </x:c>
      <x:c r="B2301" s="256" t="n">
        <x:f>IF(COUNT($B$129:$L$129)=11,B$129*EXP(IF(A2301&lt;0,(10-0)*A2301,-0*A2301))+C$129*EXP(IF(A2301&lt;0,(10-1)*A2301,-1*A2301))+D$129*EXP(IF(A2301&lt;0,(10-2)*A2301,-2*A2301))+E$129*EXP(IF(A2301&lt;0,(10-3)*A2301,-3*A2301))+F$129*EXP(IF(A2301&lt;0,(10-4)*A2301,-4*A2301))+G$129*EXP(IF(A2301&lt;0,(10-5)*A2301,-5*A2301))+H$129*EXP(IF(A2301&lt;0,(10-6)*A2301,-6*A2301))+I$129*EXP(IF(A2301&lt;0,(10-7)*A2301,-7*A2301))+J$129*EXP(IF(A2301&lt;0,(10-8)*A2301,-8*A2301))+K$129*EXP(IF(A2301&lt;0,(10-9)*A2301,-9*A2301))+L$129*EXP(IF(A2301&lt;0,(10-10)*A2301,-10*A2301)),0)</x:f>
        <x:v>781825.0763836269</x:v>
      </x:c>
      <x:c r="C2301" s="256" t="n">
        <x:f>IF(B2301=0,IF(B2300=0,0,1),IF(B2300=0,0,IF(SIGN(B2301)&lt;&gt;SIGN(B2300),1,0)))</x:f>
        <x:v>0</x:v>
      </x:c>
      <x:c r="D2301" s="256" t="n">
        <x:f>EXP(A2301-0.005)-1</x:f>
        <x:v>-0.9938726933651503</x:v>
      </x:c>
    </x:row>
    <x:row r="2302" ht="20" customHeight="1">
      <x:c r="A2302" s="256" t="n">
        <x:f>-12+692*0.01</x:f>
        <x:v>-5.08</x:v>
      </x:c>
      <x:c r="B2302" s="256" t="n">
        <x:f>IF(COUNT($B$129:$L$129)=11,B$129*EXP(IF(A2302&lt;0,(10-0)*A2302,-0*A2302))+C$129*EXP(IF(A2302&lt;0,(10-1)*A2302,-1*A2302))+D$129*EXP(IF(A2302&lt;0,(10-2)*A2302,-2*A2302))+E$129*EXP(IF(A2302&lt;0,(10-3)*A2302,-3*A2302))+F$129*EXP(IF(A2302&lt;0,(10-4)*A2302,-4*A2302))+G$129*EXP(IF(A2302&lt;0,(10-5)*A2302,-5*A2302))+H$129*EXP(IF(A2302&lt;0,(10-6)*A2302,-6*A2302))+I$129*EXP(IF(A2302&lt;0,(10-7)*A2302,-7*A2302))+J$129*EXP(IF(A2302&lt;0,(10-8)*A2302,-8*A2302))+K$129*EXP(IF(A2302&lt;0,(10-9)*A2302,-9*A2302))+L$129*EXP(IF(A2302&lt;0,(10-10)*A2302,-10*A2302)),0)</x:f>
        <x:v>781825.8630806599</x:v>
      </x:c>
      <x:c r="C2302" s="256" t="n">
        <x:f>IF(B2302=0,IF(B2301=0,0,1),IF(B2301=0,0,IF(SIGN(B2302)&lt;&gt;SIGN(B2301),1,0)))</x:f>
        <x:v>0</x:v>
      </x:c>
      <x:c r="D2302" s="256" t="n">
        <x:f>EXP(A2302-0.005)-1</x:f>
        <x:v>-0.993811112909694</x:v>
      </x:c>
    </x:row>
    <x:row r="2303" ht="20" customHeight="1">
      <x:c r="A2303" s="256" t="n">
        <x:f>-12+693*0.01</x:f>
        <x:v>-5.07</x:v>
      </x:c>
      <x:c r="B2303" s="256" t="n">
        <x:f>IF(COUNT($B$129:$L$129)=11,B$129*EXP(IF(A2303&lt;0,(10-0)*A2303,-0*A2303))+C$129*EXP(IF(A2303&lt;0,(10-1)*A2303,-1*A2303))+D$129*EXP(IF(A2303&lt;0,(10-2)*A2303,-2*A2303))+E$129*EXP(IF(A2303&lt;0,(10-3)*A2303,-3*A2303))+F$129*EXP(IF(A2303&lt;0,(10-4)*A2303,-4*A2303))+G$129*EXP(IF(A2303&lt;0,(10-5)*A2303,-5*A2303))+H$129*EXP(IF(A2303&lt;0,(10-6)*A2303,-6*A2303))+I$129*EXP(IF(A2303&lt;0,(10-7)*A2303,-7*A2303))+J$129*EXP(IF(A2303&lt;0,(10-8)*A2303,-8*A2303))+K$129*EXP(IF(A2303&lt;0,(10-9)*A2303,-9*A2303))+L$129*EXP(IF(A2303&lt;0,(10-10)*A2303,-10*A2303)),0)</x:f>
        <x:v>781826.6577597113</x:v>
      </x:c>
      <x:c r="C2303" s="256" t="n">
        <x:f>IF(B2303=0,IF(B2302=0,0,1),IF(B2302=0,0,IF(SIGN(B2303)&lt;&gt;SIGN(B2302),1,0)))</x:f>
        <x:v>0</x:v>
      </x:c>
      <x:c r="D2303" s="256" t="n">
        <x:f>EXP(A2303-0.005)-1</x:f>
        <x:v>-0.9937489135603714</x:v>
      </x:c>
    </x:row>
    <x:row r="2304" ht="20" customHeight="1">
      <x:c r="A2304" s="256" t="n">
        <x:f>-12+694*0.01</x:f>
        <x:v>-5.06</x:v>
      </x:c>
      <x:c r="B2304" s="256" t="n">
        <x:f>IF(COUNT($B$129:$L$129)=11,B$129*EXP(IF(A2304&lt;0,(10-0)*A2304,-0*A2304))+C$129*EXP(IF(A2304&lt;0,(10-1)*A2304,-1*A2304))+D$129*EXP(IF(A2304&lt;0,(10-2)*A2304,-2*A2304))+E$129*EXP(IF(A2304&lt;0,(10-3)*A2304,-3*A2304))+F$129*EXP(IF(A2304&lt;0,(10-4)*A2304,-4*A2304))+G$129*EXP(IF(A2304&lt;0,(10-5)*A2304,-5*A2304))+H$129*EXP(IF(A2304&lt;0,(10-6)*A2304,-6*A2304))+I$129*EXP(IF(A2304&lt;0,(10-7)*A2304,-7*A2304))+J$129*EXP(IF(A2304&lt;0,(10-8)*A2304,-8*A2304))+K$129*EXP(IF(A2304&lt;0,(10-9)*A2304,-9*A2304))+L$129*EXP(IF(A2304&lt;0,(10-10)*A2304,-10*A2304)),0)</x:f>
        <x:v>781827.4605025386</x:v>
      </x:c>
      <x:c r="C2304" s="256" t="n">
        <x:f>IF(B2304=0,IF(B2303=0,0,1),IF(B2303=0,0,IF(SIGN(B2304)&lt;&gt;SIGN(B2303),1,0)))</x:f>
        <x:v>0</x:v>
      </x:c>
      <x:c r="D2304" s="256" t="n">
        <x:f>EXP(A2304-0.005)-1</x:f>
        <x:v>-0.9936860890971956</x:v>
      </x:c>
    </x:row>
    <x:row r="2305" ht="20" customHeight="1">
      <x:c r="A2305" s="256" t="n">
        <x:f>-12+695*0.01</x:f>
        <x:v>-5.05</x:v>
      </x:c>
      <x:c r="B2305" s="256" t="n">
        <x:f>IF(COUNT($B$129:$L$129)=11,B$129*EXP(IF(A2305&lt;0,(10-0)*A2305,-0*A2305))+C$129*EXP(IF(A2305&lt;0,(10-1)*A2305,-1*A2305))+D$129*EXP(IF(A2305&lt;0,(10-2)*A2305,-2*A2305))+E$129*EXP(IF(A2305&lt;0,(10-3)*A2305,-3*A2305))+F$129*EXP(IF(A2305&lt;0,(10-4)*A2305,-4*A2305))+G$129*EXP(IF(A2305&lt;0,(10-5)*A2305,-5*A2305))+H$129*EXP(IF(A2305&lt;0,(10-6)*A2305,-6*A2305))+I$129*EXP(IF(A2305&lt;0,(10-7)*A2305,-7*A2305))+J$129*EXP(IF(A2305&lt;0,(10-8)*A2305,-8*A2305))+K$129*EXP(IF(A2305&lt;0,(10-9)*A2305,-9*A2305))+L$129*EXP(IF(A2305&lt;0,(10-10)*A2305,-10*A2305)),0)</x:f>
        <x:v>781828.2713917525</x:v>
      </x:c>
      <x:c r="C2305" s="256" t="n">
        <x:f>IF(B2305=0,IF(B2304=0,0,1),IF(B2304=0,0,IF(SIGN(B2305)&lt;&gt;SIGN(B2304),1,0)))</x:f>
        <x:v>0</x:v>
      </x:c>
      <x:c r="D2305" s="256" t="n">
        <x:f>EXP(A2305-0.005)-1</x:f>
        <x:v>-0.9936226332376679</x:v>
      </x:c>
    </x:row>
    <x:row r="2306" ht="20" customHeight="1">
      <x:c r="A2306" s="256" t="n">
        <x:f>-12+696*0.01</x:f>
        <x:v>-5.04</x:v>
      </x:c>
      <x:c r="B2306" s="256" t="n">
        <x:f>IF(COUNT($B$129:$L$129)=11,B$129*EXP(IF(A2306&lt;0,(10-0)*A2306,-0*A2306))+C$129*EXP(IF(A2306&lt;0,(10-1)*A2306,-1*A2306))+D$129*EXP(IF(A2306&lt;0,(10-2)*A2306,-2*A2306))+E$129*EXP(IF(A2306&lt;0,(10-3)*A2306,-3*A2306))+F$129*EXP(IF(A2306&lt;0,(10-4)*A2306,-4*A2306))+G$129*EXP(IF(A2306&lt;0,(10-5)*A2306,-5*A2306))+H$129*EXP(IF(A2306&lt;0,(10-6)*A2306,-6*A2306))+I$129*EXP(IF(A2306&lt;0,(10-7)*A2306,-7*A2306))+J$129*EXP(IF(A2306&lt;0,(10-8)*A2306,-8*A2306))+K$129*EXP(IF(A2306&lt;0,(10-9)*A2306,-9*A2306))+L$129*EXP(IF(A2306&lt;0,(10-10)*A2306,-10*A2306)),0)</x:f>
        <x:v>781829.0905108261</x:v>
      </x:c>
      <x:c r="C2306" s="256" t="n">
        <x:f>IF(B2306=0,IF(B2305=0,0,1),IF(B2305=0,0,IF(SIGN(B2306)&lt;&gt;SIGN(B2305),1,0)))</x:f>
        <x:v>0</x:v>
      </x:c>
      <x:c r="D2306" s="256" t="n">
        <x:f>EXP(A2306-0.005)-1</x:f>
        <x:v>-0.9935585396361494</x:v>
      </x:c>
    </x:row>
    <x:row r="2307" ht="20" customHeight="1">
      <x:c r="A2307" s="256" t="n">
        <x:f>-12+697*0.01</x:f>
        <x:v>-5.03</x:v>
      </x:c>
      <x:c r="B2307" s="256" t="n">
        <x:f>IF(COUNT($B$129:$L$129)=11,B$129*EXP(IF(A2307&lt;0,(10-0)*A2307,-0*A2307))+C$129*EXP(IF(A2307&lt;0,(10-1)*A2307,-1*A2307))+D$129*EXP(IF(A2307&lt;0,(10-2)*A2307,-2*A2307))+E$129*EXP(IF(A2307&lt;0,(10-3)*A2307,-3*A2307))+F$129*EXP(IF(A2307&lt;0,(10-4)*A2307,-4*A2307))+G$129*EXP(IF(A2307&lt;0,(10-5)*A2307,-5*A2307))+H$129*EXP(IF(A2307&lt;0,(10-6)*A2307,-6*A2307))+I$129*EXP(IF(A2307&lt;0,(10-7)*A2307,-7*A2307))+J$129*EXP(IF(A2307&lt;0,(10-8)*A2307,-8*A2307))+K$129*EXP(IF(A2307&lt;0,(10-9)*A2307,-9*A2307))+L$129*EXP(IF(A2307&lt;0,(10-10)*A2307,-10*A2307)),0)</x:f>
        <x:v>781829.9179441036</x:v>
      </x:c>
      <x:c r="C2307" s="256" t="n">
        <x:f>IF(B2307=0,IF(B2306=0,0,1),IF(B2306=0,0,IF(SIGN(B2307)&lt;&gt;SIGN(B2306),1,0)))</x:f>
        <x:v>0</x:v>
      </x:c>
      <x:c r="D2307" s="256" t="n">
        <x:f>EXP(A2307-0.005)-1</x:f>
        <x:v>-0.9934938018832267</x:v>
      </x:c>
    </x:row>
    <x:row r="2308" ht="20" customHeight="1">
      <x:c r="A2308" s="256" t="n">
        <x:f>-12+698*0.01</x:f>
        <x:v>-5.02</x:v>
      </x:c>
      <x:c r="B2308" s="256" t="n">
        <x:f>IF(COUNT($B$129:$L$129)=11,B$129*EXP(IF(A2308&lt;0,(10-0)*A2308,-0*A2308))+C$129*EXP(IF(A2308&lt;0,(10-1)*A2308,-1*A2308))+D$129*EXP(IF(A2308&lt;0,(10-2)*A2308,-2*A2308))+E$129*EXP(IF(A2308&lt;0,(10-3)*A2308,-3*A2308))+F$129*EXP(IF(A2308&lt;0,(10-4)*A2308,-4*A2308))+G$129*EXP(IF(A2308&lt;0,(10-5)*A2308,-5*A2308))+H$129*EXP(IF(A2308&lt;0,(10-6)*A2308,-6*A2308))+I$129*EXP(IF(A2308&lt;0,(10-7)*A2308,-7*A2308))+J$129*EXP(IF(A2308&lt;0,(10-8)*A2308,-8*A2308))+K$129*EXP(IF(A2308&lt;0,(10-9)*A2308,-9*A2308))+L$129*EXP(IF(A2308&lt;0,(10-10)*A2308,-10*A2308)),0)</x:f>
        <x:v>781830.7537768107</x:v>
      </x:c>
      <x:c r="C2308" s="256" t="n">
        <x:f>IF(B2308=0,IF(B2307=0,0,1),IF(B2307=0,0,IF(SIGN(B2308)&lt;&gt;SIGN(B2307),1,0)))</x:f>
        <x:v>0</x:v>
      </x:c>
      <x:c r="D2308" s="256" t="n">
        <x:f>EXP(A2308-0.005)-1</x:f>
        <x:v>-0.9934284135050704</x:v>
      </x:c>
    </x:row>
    <x:row r="2309" ht="20" customHeight="1">
      <x:c r="A2309" s="256" t="n">
        <x:f>-12+699*0.01</x:f>
        <x:v>-5.01</x:v>
      </x:c>
      <x:c r="B2309" s="256" t="n">
        <x:f>IF(COUNT($B$129:$L$129)=11,B$129*EXP(IF(A2309&lt;0,(10-0)*A2309,-0*A2309))+C$129*EXP(IF(A2309&lt;0,(10-1)*A2309,-1*A2309))+D$129*EXP(IF(A2309&lt;0,(10-2)*A2309,-2*A2309))+E$129*EXP(IF(A2309&lt;0,(10-3)*A2309,-3*A2309))+F$129*EXP(IF(A2309&lt;0,(10-4)*A2309,-4*A2309))+G$129*EXP(IF(A2309&lt;0,(10-5)*A2309,-5*A2309))+H$129*EXP(IF(A2309&lt;0,(10-6)*A2309,-6*A2309))+I$129*EXP(IF(A2309&lt;0,(10-7)*A2309,-7*A2309))+J$129*EXP(IF(A2309&lt;0,(10-8)*A2309,-8*A2309))+K$129*EXP(IF(A2309&lt;0,(10-9)*A2309,-9*A2309))+L$129*EXP(IF(A2309&lt;0,(10-10)*A2309,-10*A2309)),0)</x:f>
        <x:v>781831.5980950634</x:v>
      </x:c>
      <x:c r="C2309" s="256" t="n">
        <x:f>IF(B2309=0,IF(B2308=0,0,1),IF(B2308=0,0,IF(SIGN(B2309)&lt;&gt;SIGN(B2308),1,0)))</x:f>
        <x:v>0</x:v>
      </x:c>
      <x:c r="D2309" s="256" t="n">
        <x:f>EXP(A2309-0.005)-1</x:f>
        <x:v>-0.9933623679627883</x:v>
      </x:c>
    </x:row>
    <x:row r="2310" ht="20" customHeight="1">
      <x:c r="A2310" s="256" t="n">
        <x:f>-12+700*0.01</x:f>
        <x:v>-5</x:v>
      </x:c>
      <x:c r="B2310" s="256" t="n">
        <x:f>IF(COUNT($B$129:$L$129)=11,B$129*EXP(IF(A2310&lt;0,(10-0)*A2310,-0*A2310))+C$129*EXP(IF(A2310&lt;0,(10-1)*A2310,-1*A2310))+D$129*EXP(IF(A2310&lt;0,(10-2)*A2310,-2*A2310))+E$129*EXP(IF(A2310&lt;0,(10-3)*A2310,-3*A2310))+F$129*EXP(IF(A2310&lt;0,(10-4)*A2310,-4*A2310))+G$129*EXP(IF(A2310&lt;0,(10-5)*A2310,-5*A2310))+H$129*EXP(IF(A2310&lt;0,(10-6)*A2310,-6*A2310))+I$129*EXP(IF(A2310&lt;0,(10-7)*A2310,-7*A2310))+J$129*EXP(IF(A2310&lt;0,(10-8)*A2310,-8*A2310))+K$129*EXP(IF(A2310&lt;0,(10-9)*A2310,-9*A2310))+L$129*EXP(IF(A2310&lt;0,(10-10)*A2310,-10*A2310)),0)</x:f>
        <x:v>781832.4509858778</x:v>
      </x:c>
      <x:c r="C2310" s="256" t="n">
        <x:f>IF(B2310=0,IF(B2309=0,0,1),IF(B2309=0,0,IF(SIGN(B2310)&lt;&gt;SIGN(B2309),1,0)))</x:f>
        <x:v>0</x:v>
      </x:c>
      <x:c r="D2310" s="256" t="n">
        <x:f>EXP(A2310-0.005)-1</x:f>
        <x:v>-0.993295658651771</x:v>
      </x:c>
    </x:row>
    <x:row r="2311" ht="20" customHeight="1">
      <x:c r="A2311" s="256" t="n">
        <x:f>-12+701*0.01</x:f>
        <x:v>-4.99</x:v>
      </x:c>
      <x:c r="B2311" s="256" t="n">
        <x:f>IF(COUNT($B$129:$L$129)=11,B$129*EXP(IF(A2311&lt;0,(10-0)*A2311,-0*A2311))+C$129*EXP(IF(A2311&lt;0,(10-1)*A2311,-1*A2311))+D$129*EXP(IF(A2311&lt;0,(10-2)*A2311,-2*A2311))+E$129*EXP(IF(A2311&lt;0,(10-3)*A2311,-3*A2311))+F$129*EXP(IF(A2311&lt;0,(10-4)*A2311,-4*A2311))+G$129*EXP(IF(A2311&lt;0,(10-5)*A2311,-5*A2311))+H$129*EXP(IF(A2311&lt;0,(10-6)*A2311,-6*A2311))+I$129*EXP(IF(A2311&lt;0,(10-7)*A2311,-7*A2311))+J$129*EXP(IF(A2311&lt;0,(10-8)*A2311,-8*A2311))+K$129*EXP(IF(A2311&lt;0,(10-9)*A2311,-9*A2311))+L$129*EXP(IF(A2311&lt;0,(10-10)*A2311,-10*A2311)),0)</x:f>
        <x:v>781833.31253718</x:v>
      </x:c>
      <x:c r="C2311" s="256" t="n">
        <x:f>IF(B2311=0,IF(B2310=0,0,1),IF(B2310=0,0,IF(SIGN(B2311)&lt;&gt;SIGN(B2310),1,0)))</x:f>
        <x:v>0</x:v>
      </x:c>
      <x:c r="D2311" s="256" t="n">
        <x:f>EXP(A2311-0.005)-1</x:f>
        <x:v>-0.993228278901032</x:v>
      </x:c>
    </x:row>
    <x:row r="2312" ht="20" customHeight="1">
      <x:c r="A2312" s="256" t="n">
        <x:f>-12+702*0.01</x:f>
        <x:v>-4.9799999999999995</x:v>
      </x:c>
      <x:c r="B2312" s="256" t="n">
        <x:f>IF(COUNT($B$129:$L$129)=11,B$129*EXP(IF(A2312&lt;0,(10-0)*A2312,-0*A2312))+C$129*EXP(IF(A2312&lt;0,(10-1)*A2312,-1*A2312))+D$129*EXP(IF(A2312&lt;0,(10-2)*A2312,-2*A2312))+E$129*EXP(IF(A2312&lt;0,(10-3)*A2312,-3*A2312))+F$129*EXP(IF(A2312&lt;0,(10-4)*A2312,-4*A2312))+G$129*EXP(IF(A2312&lt;0,(10-5)*A2312,-5*A2312))+H$129*EXP(IF(A2312&lt;0,(10-6)*A2312,-6*A2312))+I$129*EXP(IF(A2312&lt;0,(10-7)*A2312,-7*A2312))+J$129*EXP(IF(A2312&lt;0,(10-8)*A2312,-8*A2312))+K$129*EXP(IF(A2312&lt;0,(10-9)*A2312,-9*A2312))+L$129*EXP(IF(A2312&lt;0,(10-10)*A2312,-10*A2312)),0)</x:f>
        <x:v>781834.1828378164</x:v>
      </x:c>
      <x:c r="C2312" s="256" t="n">
        <x:f>IF(B2312=0,IF(B2311=0,0,1),IF(B2311=0,0,IF(SIGN(B2312)&lt;&gt;SIGN(B2311),1,0)))</x:f>
        <x:v>0</x:v>
      </x:c>
      <x:c r="D2312" s="256" t="n">
        <x:f>EXP(A2312-0.005)-1</x:f>
        <x:v>-0.9931602219725401</x:v>
      </x:c>
    </x:row>
    <x:row r="2313" ht="20" customHeight="1">
      <x:c r="A2313" s="256" t="n">
        <x:f>-12+703*0.01</x:f>
        <x:v>-4.97</x:v>
      </x:c>
      <x:c r="B2313" s="256" t="n">
        <x:f>IF(COUNT($B$129:$L$129)=11,B$129*EXP(IF(A2313&lt;0,(10-0)*A2313,-0*A2313))+C$129*EXP(IF(A2313&lt;0,(10-1)*A2313,-1*A2313))+D$129*EXP(IF(A2313&lt;0,(10-2)*A2313,-2*A2313))+E$129*EXP(IF(A2313&lt;0,(10-3)*A2313,-3*A2313))+F$129*EXP(IF(A2313&lt;0,(10-4)*A2313,-4*A2313))+G$129*EXP(IF(A2313&lt;0,(10-5)*A2313,-5*A2313))+H$129*EXP(IF(A2313&lt;0,(10-6)*A2313,-6*A2313))+I$129*EXP(IF(A2313&lt;0,(10-7)*A2313,-7*A2313))+J$129*EXP(IF(A2313&lt;0,(10-8)*A2313,-8*A2313))+K$129*EXP(IF(A2313&lt;0,(10-9)*A2313,-9*A2313))+L$129*EXP(IF(A2313&lt;0,(10-10)*A2313,-10*A2313)),0)</x:f>
        <x:v>781835.0619775625</x:v>
      </x:c>
      <x:c r="C2313" s="256" t="n">
        <x:f>IF(B2313=0,IF(B2312=0,0,1),IF(B2312=0,0,IF(SIGN(B2313)&lt;&gt;SIGN(B2312),1,0)))</x:f>
        <x:v>0</x:v>
      </x:c>
      <x:c r="D2313" s="256" t="n">
        <x:f>EXP(A2313-0.005)-1</x:f>
        <x:v>-0.9930914810605455</x:v>
      </x:c>
    </x:row>
    <x:row r="2314" ht="20" customHeight="1">
      <x:c r="A2314" s="256" t="n">
        <x:f>-12+704*0.01</x:f>
        <x:v>-4.96</x:v>
      </x:c>
      <x:c r="B2314" s="256" t="n">
        <x:f>IF(COUNT($B$129:$L$129)=11,B$129*EXP(IF(A2314&lt;0,(10-0)*A2314,-0*A2314))+C$129*EXP(IF(A2314&lt;0,(10-1)*A2314,-1*A2314))+D$129*EXP(IF(A2314&lt;0,(10-2)*A2314,-2*A2314))+E$129*EXP(IF(A2314&lt;0,(10-3)*A2314,-3*A2314))+F$129*EXP(IF(A2314&lt;0,(10-4)*A2314,-4*A2314))+G$129*EXP(IF(A2314&lt;0,(10-5)*A2314,-5*A2314))+H$129*EXP(IF(A2314&lt;0,(10-6)*A2314,-6*A2314))+I$129*EXP(IF(A2314&lt;0,(10-7)*A2314,-7*A2314))+J$129*EXP(IF(A2314&lt;0,(10-8)*A2314,-8*A2314))+K$129*EXP(IF(A2314&lt;0,(10-9)*A2314,-9*A2314))+L$129*EXP(IF(A2314&lt;0,(10-10)*A2314,-10*A2314)),0)</x:f>
        <x:v>781835.950047134</x:v>
      </x:c>
      <x:c r="C2314" s="256" t="n">
        <x:f>IF(B2314=0,IF(B2313=0,0,1),IF(B2313=0,0,IF(SIGN(B2314)&lt;&gt;SIGN(B2313),1,0)))</x:f>
        <x:v>0</x:v>
      </x:c>
      <x:c r="D2314" s="256" t="n">
        <x:f>EXP(A2314-0.005)-1</x:f>
        <x:v>-0.9930220492908998</x:v>
      </x:c>
    </x:row>
    <x:row r="2315" ht="20" customHeight="1">
      <x:c r="A2315" s="256" t="n">
        <x:f>-12+705*0.01</x:f>
        <x:v>-4.95</x:v>
      </x:c>
      <x:c r="B2315" s="256" t="n">
        <x:f>IF(COUNT($B$129:$L$129)=11,B$129*EXP(IF(A2315&lt;0,(10-0)*A2315,-0*A2315))+C$129*EXP(IF(A2315&lt;0,(10-1)*A2315,-1*A2315))+D$129*EXP(IF(A2315&lt;0,(10-2)*A2315,-2*A2315))+E$129*EXP(IF(A2315&lt;0,(10-3)*A2315,-3*A2315))+F$129*EXP(IF(A2315&lt;0,(10-4)*A2315,-4*A2315))+G$129*EXP(IF(A2315&lt;0,(10-5)*A2315,-5*A2315))+H$129*EXP(IF(A2315&lt;0,(10-6)*A2315,-6*A2315))+I$129*EXP(IF(A2315&lt;0,(10-7)*A2315,-7*A2315))+J$129*EXP(IF(A2315&lt;0,(10-8)*A2315,-8*A2315))+K$129*EXP(IF(A2315&lt;0,(10-9)*A2315,-9*A2315))+L$129*EXP(IF(A2315&lt;0,(10-10)*A2315,-10*A2315)),0)</x:f>
        <x:v>781836.8471381969</x:v>
      </x:c>
      <x:c r="C2315" s="256" t="n">
        <x:f>IF(B2315=0,IF(B2314=0,0,1),IF(B2314=0,0,IF(SIGN(B2315)&lt;&gt;SIGN(B2314),1,0)))</x:f>
        <x:v>0</x:v>
      </x:c>
      <x:c r="D2315" s="256" t="n">
        <x:f>EXP(A2315-0.005)-1</x:f>
        <x:v>-0.9929519197203682</x:v>
      </x:c>
    </x:row>
    <x:row r="2316" ht="20" customHeight="1">
      <x:c r="A2316" s="256" t="n">
        <x:f>-12+706*0.01</x:f>
        <x:v>-4.9399999999999995</x:v>
      </x:c>
      <x:c r="B2316" s="256" t="n">
        <x:f>IF(COUNT($B$129:$L$129)=11,B$129*EXP(IF(A2316&lt;0,(10-0)*A2316,-0*A2316))+C$129*EXP(IF(A2316&lt;0,(10-1)*A2316,-1*A2316))+D$129*EXP(IF(A2316&lt;0,(10-2)*A2316,-2*A2316))+E$129*EXP(IF(A2316&lt;0,(10-3)*A2316,-3*A2316))+F$129*EXP(IF(A2316&lt;0,(10-4)*A2316,-4*A2316))+G$129*EXP(IF(A2316&lt;0,(10-5)*A2316,-5*A2316))+H$129*EXP(IF(A2316&lt;0,(10-6)*A2316,-6*A2316))+I$129*EXP(IF(A2316&lt;0,(10-7)*A2316,-7*A2316))+J$129*EXP(IF(A2316&lt;0,(10-8)*A2316,-8*A2316))+K$129*EXP(IF(A2316&lt;0,(10-9)*A2316,-9*A2316))+L$129*EXP(IF(A2316&lt;0,(10-10)*A2316,-10*A2316)),0)</x:f>
        <x:v>781837.7533433774</x:v>
      </x:c>
      <x:c r="C2316" s="256" t="n">
        <x:f>IF(B2316=0,IF(B2315=0,0,1),IF(B2315=0,0,IF(SIGN(B2316)&lt;&gt;SIGN(B2315),1,0)))</x:f>
        <x:v>0</x:v>
      </x:c>
      <x:c r="D2316" s="256" t="n">
        <x:f>EXP(A2316-0.005)-1</x:f>
        <x:v>-0.9928810853359353</x:v>
      </x:c>
    </x:row>
    <x:row r="2317" ht="20" customHeight="1">
      <x:c r="A2317" s="256" t="n">
        <x:f>-12+707*0.01</x:f>
        <x:v>-4.93</x:v>
      </x:c>
      <x:c r="B2317" s="256" t="n">
        <x:f>IF(COUNT($B$129:$L$129)=11,B$129*EXP(IF(A2317&lt;0,(10-0)*A2317,-0*A2317))+C$129*EXP(IF(A2317&lt;0,(10-1)*A2317,-1*A2317))+D$129*EXP(IF(A2317&lt;0,(10-2)*A2317,-2*A2317))+E$129*EXP(IF(A2317&lt;0,(10-3)*A2317,-3*A2317))+F$129*EXP(IF(A2317&lt;0,(10-4)*A2317,-4*A2317))+G$129*EXP(IF(A2317&lt;0,(10-5)*A2317,-5*A2317))+H$129*EXP(IF(A2317&lt;0,(10-6)*A2317,-6*A2317))+I$129*EXP(IF(A2317&lt;0,(10-7)*A2317,-7*A2317))+J$129*EXP(IF(A2317&lt;0,(10-8)*A2317,-8*A2317))+K$129*EXP(IF(A2317&lt;0,(10-9)*A2317,-9*A2317))+L$129*EXP(IF(A2317&lt;0,(10-10)*A2317,-10*A2317)),0)</x:f>
        <x:v>781838.6687562728</x:v>
      </x:c>
      <x:c r="C2317" s="256" t="n">
        <x:f>IF(B2317=0,IF(B2316=0,0,1),IF(B2316=0,0,IF(SIGN(B2317)&lt;&gt;SIGN(B2316),1,0)))</x:f>
        <x:v>0</x:v>
      </x:c>
      <x:c r="D2317" s="256" t="n">
        <x:f>EXP(A2317-0.005)-1</x:f>
        <x:v>-0.9928095390541035</x:v>
      </x:c>
    </x:row>
    <x:row r="2318" ht="20" customHeight="1">
      <x:c r="A2318" s="256" t="n">
        <x:f>-12+708*0.01</x:f>
        <x:v>-4.92</x:v>
      </x:c>
      <x:c r="B2318" s="256" t="n">
        <x:f>IF(COUNT($B$129:$L$129)=11,B$129*EXP(IF(A2318&lt;0,(10-0)*A2318,-0*A2318))+C$129*EXP(IF(A2318&lt;0,(10-1)*A2318,-1*A2318))+D$129*EXP(IF(A2318&lt;0,(10-2)*A2318,-2*A2318))+E$129*EXP(IF(A2318&lt;0,(10-3)*A2318,-3*A2318))+F$129*EXP(IF(A2318&lt;0,(10-4)*A2318,-4*A2318))+G$129*EXP(IF(A2318&lt;0,(10-5)*A2318,-5*A2318))+H$129*EXP(IF(A2318&lt;0,(10-6)*A2318,-6*A2318))+I$129*EXP(IF(A2318&lt;0,(10-7)*A2318,-7*A2318))+J$129*EXP(IF(A2318&lt;0,(10-8)*A2318,-8*A2318))+K$129*EXP(IF(A2318&lt;0,(10-9)*A2318,-9*A2318))+L$129*EXP(IF(A2318&lt;0,(10-10)*A2318,-10*A2318)),0)</x:f>
        <x:v>781839.5934714619</x:v>
      </x:c>
      <x:c r="C2318" s="256" t="n">
        <x:f>IF(B2318=0,IF(B2317=0,0,1),IF(B2317=0,0,IF(SIGN(B2318)&lt;&gt;SIGN(B2317),1,0)))</x:f>
        <x:v>0</x:v>
      </x:c>
      <x:c r="D2318" s="256" t="n">
        <x:f>EXP(A2318-0.005)-1</x:f>
        <x:v>-0.992737273720185</x:v>
      </x:c>
    </x:row>
    <x:row r="2319" ht="20" customHeight="1">
      <x:c r="A2319" s="256" t="n">
        <x:f>-12+709*0.01</x:f>
        <x:v>-4.91</x:v>
      </x:c>
      <x:c r="B2319" s="256" t="n">
        <x:f>IF(COUNT($B$129:$L$129)=11,B$129*EXP(IF(A2319&lt;0,(10-0)*A2319,-0*A2319))+C$129*EXP(IF(A2319&lt;0,(10-1)*A2319,-1*A2319))+D$129*EXP(IF(A2319&lt;0,(10-2)*A2319,-2*A2319))+E$129*EXP(IF(A2319&lt;0,(10-3)*A2319,-3*A2319))+F$129*EXP(IF(A2319&lt;0,(10-4)*A2319,-4*A2319))+G$129*EXP(IF(A2319&lt;0,(10-5)*A2319,-5*A2319))+H$129*EXP(IF(A2319&lt;0,(10-6)*A2319,-6*A2319))+I$129*EXP(IF(A2319&lt;0,(10-7)*A2319,-7*A2319))+J$129*EXP(IF(A2319&lt;0,(10-8)*A2319,-8*A2319))+K$129*EXP(IF(A2319&lt;0,(10-9)*A2319,-9*A2319))+L$129*EXP(IF(A2319&lt;0,(10-10)*A2319,-10*A2319)),0)</x:f>
        <x:v>781840.5275845155</x:v>
      </x:c>
      <x:c r="C2319" s="256" t="n">
        <x:f>IF(B2319=0,IF(B2318=0,0,1),IF(B2318=0,0,IF(SIGN(B2319)&lt;&gt;SIGN(B2318),1,0)))</x:f>
        <x:v>0</x:v>
      </x:c>
      <x:c r="D2319" s="256" t="n">
        <x:f>EXP(A2319-0.005)-1</x:f>
        <x:v>-0.9926642821075864</x:v>
      </x:c>
    </x:row>
    <x:row r="2320" ht="20" customHeight="1">
      <x:c r="A2320" s="256" t="n">
        <x:f>-12+710*0.01</x:f>
        <x:v>-4.8999999999999995</x:v>
      </x:c>
      <x:c r="B2320" s="256" t="n">
        <x:f>IF(COUNT($B$129:$L$129)=11,B$129*EXP(IF(A2320&lt;0,(10-0)*A2320,-0*A2320))+C$129*EXP(IF(A2320&lt;0,(10-1)*A2320,-1*A2320))+D$129*EXP(IF(A2320&lt;0,(10-2)*A2320,-2*A2320))+E$129*EXP(IF(A2320&lt;0,(10-3)*A2320,-3*A2320))+F$129*EXP(IF(A2320&lt;0,(10-4)*A2320,-4*A2320))+G$129*EXP(IF(A2320&lt;0,(10-5)*A2320,-5*A2320))+H$129*EXP(IF(A2320&lt;0,(10-6)*A2320,-6*A2320))+I$129*EXP(IF(A2320&lt;0,(10-7)*A2320,-7*A2320))+J$129*EXP(IF(A2320&lt;0,(10-8)*A2320,-8*A2320))+K$129*EXP(IF(A2320&lt;0,(10-9)*A2320,-9*A2320))+L$129*EXP(IF(A2320&lt;0,(10-10)*A2320,-10*A2320)),0)</x:f>
        <x:v>781841.4711920079</x:v>
      </x:c>
      <x:c r="C2320" s="256" t="n">
        <x:f>IF(B2320=0,IF(B2319=0,0,1),IF(B2319=0,0,IF(SIGN(B2320)&lt;&gt;SIGN(B2319),1,0)))</x:f>
        <x:v>0</x:v>
      </x:c>
      <x:c r="D2320" s="256" t="n">
        <x:f>EXP(A2320-0.005)-1</x:f>
        <x:v>-0.9925905569170853</x:v>
      </x:c>
    </x:row>
    <x:row r="2321" ht="20" customHeight="1">
      <x:c r="A2321" s="256" t="n">
        <x:f>-12+711*0.01</x:f>
        <x:v>-4.89</x:v>
      </x:c>
      <x:c r="B2321" s="256" t="n">
        <x:f>IF(COUNT($B$129:$L$129)=11,B$129*EXP(IF(A2321&lt;0,(10-0)*A2321,-0*A2321))+C$129*EXP(IF(A2321&lt;0,(10-1)*A2321,-1*A2321))+D$129*EXP(IF(A2321&lt;0,(10-2)*A2321,-2*A2321))+E$129*EXP(IF(A2321&lt;0,(10-3)*A2321,-3*A2321))+F$129*EXP(IF(A2321&lt;0,(10-4)*A2321,-4*A2321))+G$129*EXP(IF(A2321&lt;0,(10-5)*A2321,-5*A2321))+H$129*EXP(IF(A2321&lt;0,(10-6)*A2321,-6*A2321))+I$129*EXP(IF(A2321&lt;0,(10-7)*A2321,-7*A2321))+J$129*EXP(IF(A2321&lt;0,(10-8)*A2321,-8*A2321))+K$129*EXP(IF(A2321&lt;0,(10-9)*A2321,-9*A2321))+L$129*EXP(IF(A2321&lt;0,(10-10)*A2321,-10*A2321)),0)</x:f>
        <x:v>781842.4243915267</x:v>
      </x:c>
      <x:c r="C2321" s="256" t="n">
        <x:f>IF(B2321=0,IF(B2320=0,0,1),IF(B2320=0,0,IF(SIGN(B2321)&lt;&gt;SIGN(B2320),1,0)))</x:f>
        <x:v>0</x:v>
      </x:c>
      <x:c r="D2321" s="256" t="n">
        <x:f>EXP(A2321-0.005)-1</x:f>
        <x:v>-0.9925160907761014</x:v>
      </x:c>
    </x:row>
    <x:row r="2322" ht="20" customHeight="1">
      <x:c r="A2322" s="256" t="n">
        <x:f>-12+712*0.01</x:f>
        <x:v>-4.88</x:v>
      </x:c>
      <x:c r="B2322" s="256" t="n">
        <x:f>IF(COUNT($B$129:$L$129)=11,B$129*EXP(IF(A2322&lt;0,(10-0)*A2322,-0*A2322))+C$129*EXP(IF(A2322&lt;0,(10-1)*A2322,-1*A2322))+D$129*EXP(IF(A2322&lt;0,(10-2)*A2322,-2*A2322))+E$129*EXP(IF(A2322&lt;0,(10-3)*A2322,-3*A2322))+F$129*EXP(IF(A2322&lt;0,(10-4)*A2322,-4*A2322))+G$129*EXP(IF(A2322&lt;0,(10-5)*A2322,-5*A2322))+H$129*EXP(IF(A2322&lt;0,(10-6)*A2322,-6*A2322))+I$129*EXP(IF(A2322&lt;0,(10-7)*A2322,-7*A2322))+J$129*EXP(IF(A2322&lt;0,(10-8)*A2322,-8*A2322))+K$129*EXP(IF(A2322&lt;0,(10-9)*A2322,-9*A2322))+L$129*EXP(IF(A2322&lt;0,(10-10)*A2322,-10*A2322)),0)</x:f>
        <x:v>781843.3872816854</x:v>
      </x:c>
      <x:c r="C2322" s="256" t="n">
        <x:f>IF(B2322=0,IF(B2321=0,0,1),IF(B2321=0,0,IF(SIGN(B2322)&lt;&gt;SIGN(B2321),1,0)))</x:f>
        <x:v>0</x:v>
      </x:c>
      <x:c r="D2322" s="256" t="n">
        <x:f>EXP(A2322-0.005)-1</x:f>
        <x:v>-0.9924408762379585</x:v>
      </x:c>
    </x:row>
    <x:row r="2323" ht="20" customHeight="1">
      <x:c r="A2323" s="256" t="n">
        <x:f>-12+713*0.01</x:f>
        <x:v>-4.87</x:v>
      </x:c>
      <x:c r="B2323" s="256" t="n">
        <x:f>IF(COUNT($B$129:$L$129)=11,B$129*EXP(IF(A2323&lt;0,(10-0)*A2323,-0*A2323))+C$129*EXP(IF(A2323&lt;0,(10-1)*A2323,-1*A2323))+D$129*EXP(IF(A2323&lt;0,(10-2)*A2323,-2*A2323))+E$129*EXP(IF(A2323&lt;0,(10-3)*A2323,-3*A2323))+F$129*EXP(IF(A2323&lt;0,(10-4)*A2323,-4*A2323))+G$129*EXP(IF(A2323&lt;0,(10-5)*A2323,-5*A2323))+H$129*EXP(IF(A2323&lt;0,(10-6)*A2323,-6*A2323))+I$129*EXP(IF(A2323&lt;0,(10-7)*A2323,-7*A2323))+J$129*EXP(IF(A2323&lt;0,(10-8)*A2323,-8*A2323))+K$129*EXP(IF(A2323&lt;0,(10-9)*A2323,-9*A2323))+L$129*EXP(IF(A2323&lt;0,(10-10)*A2323,-10*A2323)),0)</x:f>
        <x:v>781844.359962133</x:v>
      </x:c>
      <x:c r="C2323" s="256" t="n">
        <x:f>IF(B2323=0,IF(B2322=0,0,1),IF(B2322=0,0,IF(SIGN(B2323)&lt;&gt;SIGN(B2322),1,0)))</x:f>
        <x:v>0</x:v>
      </x:c>
      <x:c r="D2323" s="256" t="n">
        <x:f>EXP(A2323-0.005)-1</x:f>
        <x:v>-0.99236490578114</x:v>
      </x:c>
    </x:row>
    <x:row r="2324" ht="20" customHeight="1">
      <x:c r="A2324" s="256" t="n">
        <x:f>-12+714*0.01</x:f>
        <x:v>-4.859999999999999</x:v>
      </x:c>
      <x:c r="B2324" s="256" t="n">
        <x:f>IF(COUNT($B$129:$L$129)=11,B$129*EXP(IF(A2324&lt;0,(10-0)*A2324,-0*A2324))+C$129*EXP(IF(A2324&lt;0,(10-1)*A2324,-1*A2324))+D$129*EXP(IF(A2324&lt;0,(10-2)*A2324,-2*A2324))+E$129*EXP(IF(A2324&lt;0,(10-3)*A2324,-3*A2324))+F$129*EXP(IF(A2324&lt;0,(10-4)*A2324,-4*A2324))+G$129*EXP(IF(A2324&lt;0,(10-5)*A2324,-5*A2324))+H$129*EXP(IF(A2324&lt;0,(10-6)*A2324,-6*A2324))+I$129*EXP(IF(A2324&lt;0,(10-7)*A2324,-7*A2324))+J$129*EXP(IF(A2324&lt;0,(10-8)*A2324,-8*A2324))+K$129*EXP(IF(A2324&lt;0,(10-9)*A2324,-9*A2324))+L$129*EXP(IF(A2324&lt;0,(10-10)*A2324,-10*A2324)),0)</x:f>
        <x:v>781845.3425335666</x:v>
      </x:c>
      <x:c r="C2324" s="256" t="n">
        <x:f>IF(B2324=0,IF(B2323=0,0,1),IF(B2323=0,0,IF(SIGN(B2324)&lt;&gt;SIGN(B2323),1,0)))</x:f>
        <x:v>0</x:v>
      </x:c>
      <x:c r="D2324" s="256" t="n">
        <x:f>EXP(A2324-0.005)-1</x:f>
        <x:v>-0.9922881718085371</x:v>
      </x:c>
    </x:row>
    <x:row r="2325" ht="20" customHeight="1">
      <x:c r="A2325" s="256" t="n">
        <x:f>-12+715*0.01</x:f>
        <x:v>-4.85</x:v>
      </x:c>
      <x:c r="B2325" s="256" t="n">
        <x:f>IF(COUNT($B$129:$L$129)=11,B$129*EXP(IF(A2325&lt;0,(10-0)*A2325,-0*A2325))+C$129*EXP(IF(A2325&lt;0,(10-1)*A2325,-1*A2325))+D$129*EXP(IF(A2325&lt;0,(10-2)*A2325,-2*A2325))+E$129*EXP(IF(A2325&lt;0,(10-3)*A2325,-3*A2325))+F$129*EXP(IF(A2325&lt;0,(10-4)*A2325,-4*A2325))+G$129*EXP(IF(A2325&lt;0,(10-5)*A2325,-5*A2325))+H$129*EXP(IF(A2325&lt;0,(10-6)*A2325,-6*A2325))+I$129*EXP(IF(A2325&lt;0,(10-7)*A2325,-7*A2325))+J$129*EXP(IF(A2325&lt;0,(10-8)*A2325,-8*A2325))+K$129*EXP(IF(A2325&lt;0,(10-9)*A2325,-9*A2325))+L$129*EXP(IF(A2325&lt;0,(10-10)*A2325,-10*A2325)),0)</x:f>
        <x:v>781846.3350977424</x:v>
      </x:c>
      <x:c r="C2325" s="256" t="n">
        <x:f>IF(B2325=0,IF(B2324=0,0,1),IF(B2324=0,0,IF(SIGN(B2325)&lt;&gt;SIGN(B2324),1,0)))</x:f>
        <x:v>0</x:v>
      </x:c>
      <x:c r="D2325" s="256" t="n">
        <x:f>EXP(A2325-0.005)-1</x:f>
        <x:v>-0.9922106666466886</x:v>
      </x:c>
    </x:row>
    <x:row r="2326" ht="20" customHeight="1">
      <x:c r="A2326" s="256" t="n">
        <x:f>-12+716*0.01</x:f>
        <x:v>-4.84</x:v>
      </x:c>
      <x:c r="B2326" s="256" t="n">
        <x:f>IF(COUNT($B$129:$L$129)=11,B$129*EXP(IF(A2326&lt;0,(10-0)*A2326,-0*A2326))+C$129*EXP(IF(A2326&lt;0,(10-1)*A2326,-1*A2326))+D$129*EXP(IF(A2326&lt;0,(10-2)*A2326,-2*A2326))+E$129*EXP(IF(A2326&lt;0,(10-3)*A2326,-3*A2326))+F$129*EXP(IF(A2326&lt;0,(10-4)*A2326,-4*A2326))+G$129*EXP(IF(A2326&lt;0,(10-5)*A2326,-5*A2326))+H$129*EXP(IF(A2326&lt;0,(10-6)*A2326,-6*A2326))+I$129*EXP(IF(A2326&lt;0,(10-7)*A2326,-7*A2326))+J$129*EXP(IF(A2326&lt;0,(10-8)*A2326,-8*A2326))+K$129*EXP(IF(A2326&lt;0,(10-9)*A2326,-9*A2326))+L$129*EXP(IF(A2326&lt;0,(10-10)*A2326,-10*A2326)),0)</x:f>
        <x:v>781847.3377574872</x:v>
      </x:c>
      <x:c r="C2326" s="256" t="n">
        <x:f>IF(B2326=0,IF(B2325=0,0,1),IF(B2325=0,0,IF(SIGN(B2326)&lt;&gt;SIGN(B2325),1,0)))</x:f>
        <x:v>0</x:v>
      </x:c>
      <x:c r="D2326" s="256" t="n">
        <x:f>EXP(A2326-0.005)-1</x:f>
        <x:v>-0.9921323825450135</x:v>
      </x:c>
    </x:row>
    <x:row r="2327" ht="20" customHeight="1">
      <x:c r="A2327" s="256" t="n">
        <x:f>-12+717*0.01</x:f>
        <x:v>-4.83</x:v>
      </x:c>
      <x:c r="B2327" s="256" t="n">
        <x:f>IF(COUNT($B$129:$L$129)=11,B$129*EXP(IF(A2327&lt;0,(10-0)*A2327,-0*A2327))+C$129*EXP(IF(A2327&lt;0,(10-1)*A2327,-1*A2327))+D$129*EXP(IF(A2327&lt;0,(10-2)*A2327,-2*A2327))+E$129*EXP(IF(A2327&lt;0,(10-3)*A2327,-3*A2327))+F$129*EXP(IF(A2327&lt;0,(10-4)*A2327,-4*A2327))+G$129*EXP(IF(A2327&lt;0,(10-5)*A2327,-5*A2327))+H$129*EXP(IF(A2327&lt;0,(10-6)*A2327,-6*A2327))+I$129*EXP(IF(A2327&lt;0,(10-7)*A2327,-7*A2327))+J$129*EXP(IF(A2327&lt;0,(10-8)*A2327,-8*A2327))+K$129*EXP(IF(A2327&lt;0,(10-9)*A2327,-9*A2327))+L$129*EXP(IF(A2327&lt;0,(10-10)*A2327,-10*A2327)),0)</x:f>
        <x:v>781848.3506167104</x:v>
      </x:c>
      <x:c r="C2327" s="256" t="n">
        <x:f>IF(B2327=0,IF(B2326=0,0,1),IF(B2326=0,0,IF(SIGN(B2327)&lt;&gt;SIGN(B2326),1,0)))</x:f>
        <x:v>0</x:v>
      </x:c>
      <x:c r="D2327" s="256" t="n">
        <x:f>EXP(A2327-0.005)-1</x:f>
        <x:v>-0.9920533116750365</x:v>
      </x:c>
    </x:row>
    <x:row r="2328" ht="20" customHeight="1">
      <x:c r="A2328" s="256" t="n">
        <x:f>-12+718*0.01</x:f>
        <x:v>-4.82</x:v>
      </x:c>
      <x:c r="B2328" s="256" t="n">
        <x:f>IF(COUNT($B$129:$L$129)=11,B$129*EXP(IF(A2328&lt;0,(10-0)*A2328,-0*A2328))+C$129*EXP(IF(A2328&lt;0,(10-1)*A2328,-1*A2328))+D$129*EXP(IF(A2328&lt;0,(10-2)*A2328,-2*A2328))+E$129*EXP(IF(A2328&lt;0,(10-3)*A2328,-3*A2328))+F$129*EXP(IF(A2328&lt;0,(10-4)*A2328,-4*A2328))+G$129*EXP(IF(A2328&lt;0,(10-5)*A2328,-5*A2328))+H$129*EXP(IF(A2328&lt;0,(10-6)*A2328,-6*A2328))+I$129*EXP(IF(A2328&lt;0,(10-7)*A2328,-7*A2328))+J$129*EXP(IF(A2328&lt;0,(10-8)*A2328,-8*A2328))+K$129*EXP(IF(A2328&lt;0,(10-9)*A2328,-9*A2328))+L$129*EXP(IF(A2328&lt;0,(10-10)*A2328,-10*A2328)),0)</x:f>
        <x:v>781849.3737804155</x:v>
      </x:c>
      <x:c r="C2328" s="256" t="n">
        <x:f>IF(B2328=0,IF(B2327=0,0,1),IF(B2327=0,0,IF(SIGN(B2328)&lt;&gt;SIGN(B2327),1,0)))</x:f>
        <x:v>0</x:v>
      </x:c>
      <x:c r="D2328" s="256" t="n">
        <x:f>EXP(A2328-0.005)-1</x:f>
        <x:v>-0.9919734461296048</x:v>
      </x:c>
    </x:row>
    <x:row r="2329" ht="20" customHeight="1">
      <x:c r="A2329" s="256" t="n">
        <x:f>-12+719*0.01</x:f>
        <x:v>-4.81</x:v>
      </x:c>
      <x:c r="B2329" s="256" t="n">
        <x:f>IF(COUNT($B$129:$L$129)=11,B$129*EXP(IF(A2329&lt;0,(10-0)*A2329,-0*A2329))+C$129*EXP(IF(A2329&lt;0,(10-1)*A2329,-1*A2329))+D$129*EXP(IF(A2329&lt;0,(10-2)*A2329,-2*A2329))+E$129*EXP(IF(A2329&lt;0,(10-3)*A2329,-3*A2329))+F$129*EXP(IF(A2329&lt;0,(10-4)*A2329,-4*A2329))+G$129*EXP(IF(A2329&lt;0,(10-5)*A2329,-5*A2329))+H$129*EXP(IF(A2329&lt;0,(10-6)*A2329,-6*A2329))+I$129*EXP(IF(A2329&lt;0,(10-7)*A2329,-7*A2329))+J$129*EXP(IF(A2329&lt;0,(10-8)*A2329,-8*A2329))+K$129*EXP(IF(A2329&lt;0,(10-9)*A2329,-9*A2329))+L$129*EXP(IF(A2329&lt;0,(10-10)*A2329,-10*A2329)),0)</x:f>
        <x:v>781850.4073547126</x:v>
      </x:c>
      <x:c r="C2329" s="256" t="n">
        <x:f>IF(B2329=0,IF(B2328=0,0,1),IF(B2328=0,0,IF(SIGN(B2329)&lt;&gt;SIGN(B2328),1,0)))</x:f>
        <x:v>0</x:v>
      </x:c>
      <x:c r="D2329" s="256" t="n">
        <x:f>EXP(A2329-0.005)-1</x:f>
        <x:v>-0.9918927779220973</x:v>
      </x:c>
    </x:row>
    <x:row r="2330" ht="20" customHeight="1">
      <x:c r="A2330" s="256" t="n">
        <x:f>-12+720*0.01</x:f>
        <x:v>-4.8</x:v>
      </x:c>
      <x:c r="B2330" s="256" t="n">
        <x:f>IF(COUNT($B$129:$L$129)=11,B$129*EXP(IF(A2330&lt;0,(10-0)*A2330,-0*A2330))+C$129*EXP(IF(A2330&lt;0,(10-1)*A2330,-1*A2330))+D$129*EXP(IF(A2330&lt;0,(10-2)*A2330,-2*A2330))+E$129*EXP(IF(A2330&lt;0,(10-3)*A2330,-3*A2330))+F$129*EXP(IF(A2330&lt;0,(10-4)*A2330,-4*A2330))+G$129*EXP(IF(A2330&lt;0,(10-5)*A2330,-5*A2330))+H$129*EXP(IF(A2330&lt;0,(10-6)*A2330,-6*A2330))+I$129*EXP(IF(A2330&lt;0,(10-7)*A2330,-7*A2330))+J$129*EXP(IF(A2330&lt;0,(10-8)*A2330,-8*A2330))+K$129*EXP(IF(A2330&lt;0,(10-9)*A2330,-9*A2330))+L$129*EXP(IF(A2330&lt;0,(10-10)*A2330,-10*A2330)),0)</x:f>
        <x:v>781851.4514468305</x:v>
      </x:c>
      <x:c r="C2330" s="256" t="n">
        <x:f>IF(B2330=0,IF(B2329=0,0,1),IF(B2329=0,0,IF(SIGN(B2330)&lt;&gt;SIGN(B2329),1,0)))</x:f>
        <x:v>0</x:v>
      </x:c>
      <x:c r="D2330" s="256" t="n">
        <x:f>EXP(A2330-0.005)-1</x:f>
        <x:v>-0.9918112989856259</x:v>
      </x:c>
    </x:row>
    <x:row r="2331" ht="20" customHeight="1">
      <x:c r="A2331" s="256" t="n">
        <x:f>-12+721*0.01</x:f>
        <x:v>-4.79</x:v>
      </x:c>
      <x:c r="B2331" s="256" t="n">
        <x:f>IF(COUNT($B$129:$L$129)=11,B$129*EXP(IF(A2331&lt;0,(10-0)*A2331,-0*A2331))+C$129*EXP(IF(A2331&lt;0,(10-1)*A2331,-1*A2331))+D$129*EXP(IF(A2331&lt;0,(10-2)*A2331,-2*A2331))+E$129*EXP(IF(A2331&lt;0,(10-3)*A2331,-3*A2331))+F$129*EXP(IF(A2331&lt;0,(10-4)*A2331,-4*A2331))+G$129*EXP(IF(A2331&lt;0,(10-5)*A2331,-5*A2331))+H$129*EXP(IF(A2331&lt;0,(10-6)*A2331,-6*A2331))+I$129*EXP(IF(A2331&lt;0,(10-7)*A2331,-7*A2331))+J$129*EXP(IF(A2331&lt;0,(10-8)*A2331,-8*A2331))+K$129*EXP(IF(A2331&lt;0,(10-9)*A2331,-9*A2331))+L$129*EXP(IF(A2331&lt;0,(10-10)*A2331,-10*A2331)),0)</x:f>
        <x:v>781852.5061651286</x:v>
      </x:c>
      <x:c r="C2331" s="256" t="n">
        <x:f>IF(B2331=0,IF(B2330=0,0,1),IF(B2330=0,0,IF(SIGN(B2331)&lt;&gt;SIGN(B2330),1,0)))</x:f>
        <x:v>0</x:v>
      </x:c>
      <x:c r="D2331" s="256" t="n">
        <x:f>EXP(A2331-0.005)-1</x:f>
        <x:v>-0.9917290011722292</x:v>
      </x:c>
    </x:row>
    <x:row r="2332" ht="20" customHeight="1">
      <x:c r="A2332" s="256" t="n">
        <x:f>-12+722*0.01</x:f>
        <x:v>-4.78</x:v>
      </x:c>
      <x:c r="B2332" s="256" t="n">
        <x:f>IF(COUNT($B$129:$L$129)=11,B$129*EXP(IF(A2332&lt;0,(10-0)*A2332,-0*A2332))+C$129*EXP(IF(A2332&lt;0,(10-1)*A2332,-1*A2332))+D$129*EXP(IF(A2332&lt;0,(10-2)*A2332,-2*A2332))+E$129*EXP(IF(A2332&lt;0,(10-3)*A2332,-3*A2332))+F$129*EXP(IF(A2332&lt;0,(10-4)*A2332,-4*A2332))+G$129*EXP(IF(A2332&lt;0,(10-5)*A2332,-5*A2332))+H$129*EXP(IF(A2332&lt;0,(10-6)*A2332,-6*A2332))+I$129*EXP(IF(A2332&lt;0,(10-7)*A2332,-7*A2332))+J$129*EXP(IF(A2332&lt;0,(10-8)*A2332,-8*A2332))+K$129*EXP(IF(A2332&lt;0,(10-9)*A2332,-9*A2332))+L$129*EXP(IF(A2332&lt;0,(10-10)*A2332,-10*A2332)),0)</x:f>
        <x:v>781853.5716191096</x:v>
      </x:c>
      <x:c r="C2332" s="256" t="n">
        <x:f>IF(B2332=0,IF(B2331=0,0,1),IF(B2331=0,0,IF(SIGN(B2332)&lt;&gt;SIGN(B2331),1,0)))</x:f>
        <x:v>0</x:v>
      </x:c>
      <x:c r="D2332" s="256" t="n">
        <x:f>EXP(A2332-0.005)-1</x:f>
        <x:v>-0.9916458762520571</x:v>
      </x:c>
    </x:row>
    <x:row r="2333" ht="20" customHeight="1">
      <x:c r="A2333" s="256" t="n">
        <x:f>-12+723*0.01</x:f>
        <x:v>-4.77</x:v>
      </x:c>
      <x:c r="B2333" s="256" t="n">
        <x:f>IF(COUNT($B$129:$L$129)=11,B$129*EXP(IF(A2333&lt;0,(10-0)*A2333,-0*A2333))+C$129*EXP(IF(A2333&lt;0,(10-1)*A2333,-1*A2333))+D$129*EXP(IF(A2333&lt;0,(10-2)*A2333,-2*A2333))+E$129*EXP(IF(A2333&lt;0,(10-3)*A2333,-3*A2333))+F$129*EXP(IF(A2333&lt;0,(10-4)*A2333,-4*A2333))+G$129*EXP(IF(A2333&lt;0,(10-5)*A2333,-5*A2333))+H$129*EXP(IF(A2333&lt;0,(10-6)*A2333,-6*A2333))+I$129*EXP(IF(A2333&lt;0,(10-7)*A2333,-7*A2333))+J$129*EXP(IF(A2333&lt;0,(10-8)*A2333,-8*A2333))+K$129*EXP(IF(A2333&lt;0,(10-9)*A2333,-9*A2333))+L$129*EXP(IF(A2333&lt;0,(10-10)*A2333,-10*A2333)),0)</x:f>
        <x:v>781854.6479194326</x:v>
      </x:c>
      <x:c r="C2333" s="256" t="n">
        <x:f>IF(B2333=0,IF(B2332=0,0,1),IF(B2332=0,0,IF(SIGN(B2333)&lt;&gt;SIGN(B2332),1,0)))</x:f>
        <x:v>0</x:v>
      </x:c>
      <x:c r="D2333" s="256" t="n">
        <x:f>EXP(A2333-0.005)-1</x:f>
        <x:v>-0.9915619159125485</x:v>
      </x:c>
    </x:row>
    <x:row r="2334" ht="20" customHeight="1">
      <x:c r="A2334" s="256" t="n">
        <x:f>-12+724*0.01</x:f>
        <x:v>-4.76</x:v>
      </x:c>
      <x:c r="B2334" s="256" t="n">
        <x:f>IF(COUNT($B$129:$L$129)=11,B$129*EXP(IF(A2334&lt;0,(10-0)*A2334,-0*A2334))+C$129*EXP(IF(A2334&lt;0,(10-1)*A2334,-1*A2334))+D$129*EXP(IF(A2334&lt;0,(10-2)*A2334,-2*A2334))+E$129*EXP(IF(A2334&lt;0,(10-3)*A2334,-3*A2334))+F$129*EXP(IF(A2334&lt;0,(10-4)*A2334,-4*A2334))+G$129*EXP(IF(A2334&lt;0,(10-5)*A2334,-5*A2334))+H$129*EXP(IF(A2334&lt;0,(10-6)*A2334,-6*A2334))+I$129*EXP(IF(A2334&lt;0,(10-7)*A2334,-7*A2334))+J$129*EXP(IF(A2334&lt;0,(10-8)*A2334,-8*A2334))+K$129*EXP(IF(A2334&lt;0,(10-9)*A2334,-9*A2334))+L$129*EXP(IF(A2334&lt;0,(10-10)*A2334,-10*A2334)),0)</x:f>
        <x:v>781855.7351779249</x:v>
      </x:c>
      <x:c r="C2334" s="256" t="n">
        <x:f>IF(B2334=0,IF(B2333=0,0,1),IF(B2333=0,0,IF(SIGN(B2334)&lt;&gt;SIGN(B2333),1,0)))</x:f>
        <x:v>0</x:v>
      </x:c>
      <x:c r="D2334" s="256" t="n">
        <x:f>EXP(A2334-0.005)-1</x:f>
        <x:v>-0.9914771117575993</x:v>
      </x:c>
    </x:row>
    <x:row r="2335" ht="20" customHeight="1">
      <x:c r="A2335" s="256" t="n">
        <x:f>-12+725*0.01</x:f>
        <x:v>-4.75</x:v>
      </x:c>
      <x:c r="B2335" s="256" t="n">
        <x:f>IF(COUNT($B$129:$L$129)=11,B$129*EXP(IF(A2335&lt;0,(10-0)*A2335,-0*A2335))+C$129*EXP(IF(A2335&lt;0,(10-1)*A2335,-1*A2335))+D$129*EXP(IF(A2335&lt;0,(10-2)*A2335,-2*A2335))+E$129*EXP(IF(A2335&lt;0,(10-3)*A2335,-3*A2335))+F$129*EXP(IF(A2335&lt;0,(10-4)*A2335,-4*A2335))+G$129*EXP(IF(A2335&lt;0,(10-5)*A2335,-5*A2335))+H$129*EXP(IF(A2335&lt;0,(10-6)*A2335,-6*A2335))+I$129*EXP(IF(A2335&lt;0,(10-7)*A2335,-7*A2335))+J$129*EXP(IF(A2335&lt;0,(10-8)*A2335,-8*A2335))+K$129*EXP(IF(A2335&lt;0,(10-9)*A2335,-9*A2335))+L$129*EXP(IF(A2335&lt;0,(10-10)*A2335,-10*A2335)),0)</x:f>
        <x:v>781856.8335075957</x:v>
      </x:c>
      <x:c r="C2335" s="256" t="n">
        <x:f>IF(B2335=0,IF(B2334=0,0,1),IF(B2334=0,0,IF(SIGN(B2335)&lt;&gt;SIGN(B2334),1,0)))</x:f>
        <x:v>0</x:v>
      </x:c>
      <x:c r="D2335" s="256" t="n">
        <x:f>EXP(A2335-0.005)-1</x:f>
        <x:v>-0.9913914553067235</x:v>
      </x:c>
    </x:row>
    <x:row r="2336" ht="20" customHeight="1">
      <x:c r="A2336" s="256" t="n">
        <x:f>-12+726*0.01</x:f>
        <x:v>-4.74</x:v>
      </x:c>
      <x:c r="B2336" s="256" t="n">
        <x:f>IF(COUNT($B$129:$L$129)=11,B$129*EXP(IF(A2336&lt;0,(10-0)*A2336,-0*A2336))+C$129*EXP(IF(A2336&lt;0,(10-1)*A2336,-1*A2336))+D$129*EXP(IF(A2336&lt;0,(10-2)*A2336,-2*A2336))+E$129*EXP(IF(A2336&lt;0,(10-3)*A2336,-3*A2336))+F$129*EXP(IF(A2336&lt;0,(10-4)*A2336,-4*A2336))+G$129*EXP(IF(A2336&lt;0,(10-5)*A2336,-5*A2336))+H$129*EXP(IF(A2336&lt;0,(10-6)*A2336,-6*A2336))+I$129*EXP(IF(A2336&lt;0,(10-7)*A2336,-7*A2336))+J$129*EXP(IF(A2336&lt;0,(10-8)*A2336,-8*A2336))+K$129*EXP(IF(A2336&lt;0,(10-9)*A2336,-9*A2336))+L$129*EXP(IF(A2336&lt;0,(10-10)*A2336,-10*A2336)),0)</x:f>
        <x:v>781857.9430226489</x:v>
      </x:c>
      <x:c r="C2336" s="256" t="n">
        <x:f>IF(B2336=0,IF(B2335=0,0,1),IF(B2335=0,0,IF(SIGN(B2336)&lt;&gt;SIGN(B2335),1,0)))</x:f>
        <x:v>0</x:v>
      </x:c>
      <x:c r="D2336" s="256" t="n">
        <x:f>EXP(A2336-0.005)-1</x:f>
        <x:v>-0.9913049379942045</x:v>
      </x:c>
    </x:row>
    <x:row r="2337" ht="20" customHeight="1">
      <x:c r="A2337" s="256" t="n">
        <x:f>-12+727*0.01</x:f>
        <x:v>-4.7299999999999995</x:v>
      </x:c>
      <x:c r="B2337" s="256" t="n">
        <x:f>IF(COUNT($B$129:$L$129)=11,B$129*EXP(IF(A2337&lt;0,(10-0)*A2337,-0*A2337))+C$129*EXP(IF(A2337&lt;0,(10-1)*A2337,-1*A2337))+D$129*EXP(IF(A2337&lt;0,(10-2)*A2337,-2*A2337))+E$129*EXP(IF(A2337&lt;0,(10-3)*A2337,-3*A2337))+F$129*EXP(IF(A2337&lt;0,(10-4)*A2337,-4*A2337))+G$129*EXP(IF(A2337&lt;0,(10-5)*A2337,-5*A2337))+H$129*EXP(IF(A2337&lt;0,(10-6)*A2337,-6*A2337))+I$129*EXP(IF(A2337&lt;0,(10-7)*A2337,-7*A2337))+J$129*EXP(IF(A2337&lt;0,(10-8)*A2337,-8*A2337))+K$129*EXP(IF(A2337&lt;0,(10-9)*A2337,-9*A2337))+L$129*EXP(IF(A2337&lt;0,(10-10)*A2337,-10*A2337)),0)</x:f>
        <x:v>781859.0638384961</x:v>
      </x:c>
      <x:c r="C2337" s="256" t="n">
        <x:f>IF(B2337=0,IF(B2336=0,0,1),IF(B2336=0,0,IF(SIGN(B2337)&lt;&gt;SIGN(B2336),1,0)))</x:f>
        <x:v>0</x:v>
      </x:c>
      <x:c r="D2337" s="256" t="n">
        <x:f>EXP(A2337-0.005)-1</x:f>
        <x:v>-0.9912175511682391</x:v>
      </x:c>
    </x:row>
    <x:row r="2338" ht="20" customHeight="1">
      <x:c r="A2338" s="256" t="n">
        <x:f>-12+728*0.01</x:f>
        <x:v>-4.72</x:v>
      </x:c>
      <x:c r="B2338" s="256" t="n">
        <x:f>IF(COUNT($B$129:$L$129)=11,B$129*EXP(IF(A2338&lt;0,(10-0)*A2338,-0*A2338))+C$129*EXP(IF(A2338&lt;0,(10-1)*A2338,-1*A2338))+D$129*EXP(IF(A2338&lt;0,(10-2)*A2338,-2*A2338))+E$129*EXP(IF(A2338&lt;0,(10-3)*A2338,-3*A2338))+F$129*EXP(IF(A2338&lt;0,(10-4)*A2338,-4*A2338))+G$129*EXP(IF(A2338&lt;0,(10-5)*A2338,-5*A2338))+H$129*EXP(IF(A2338&lt;0,(10-6)*A2338,-6*A2338))+I$129*EXP(IF(A2338&lt;0,(10-7)*A2338,-7*A2338))+J$129*EXP(IF(A2338&lt;0,(10-8)*A2338,-8*A2338))+K$129*EXP(IF(A2338&lt;0,(10-9)*A2338,-9*A2338))+L$129*EXP(IF(A2338&lt;0,(10-10)*A2338,-10*A2338)),0)</x:f>
        <x:v>781860.1960717705</x:v>
      </x:c>
      <x:c r="C2338" s="256" t="n">
        <x:f>IF(B2338=0,IF(B2337=0,0,1),IF(B2337=0,0,IF(SIGN(B2338)&lt;&gt;SIGN(B2337),1,0)))</x:f>
        <x:v>0</x:v>
      </x:c>
      <x:c r="D2338" s="256" t="n">
        <x:f>EXP(A2338-0.005)-1</x:f>
        <x:v>-0.9911292860900718</x:v>
      </x:c>
    </x:row>
    <x:row r="2339" ht="20" customHeight="1">
      <x:c r="A2339" s="256" t="n">
        <x:f>-12+729*0.01</x:f>
        <x:v>-4.71</x:v>
      </x:c>
      <x:c r="B2339" s="256" t="n">
        <x:f>IF(COUNT($B$129:$L$129)=11,B$129*EXP(IF(A2339&lt;0,(10-0)*A2339,-0*A2339))+C$129*EXP(IF(A2339&lt;0,(10-1)*A2339,-1*A2339))+D$129*EXP(IF(A2339&lt;0,(10-2)*A2339,-2*A2339))+E$129*EXP(IF(A2339&lt;0,(10-3)*A2339,-3*A2339))+F$129*EXP(IF(A2339&lt;0,(10-4)*A2339,-4*A2339))+G$129*EXP(IF(A2339&lt;0,(10-5)*A2339,-5*A2339))+H$129*EXP(IF(A2339&lt;0,(10-6)*A2339,-6*A2339))+I$129*EXP(IF(A2339&lt;0,(10-7)*A2339,-7*A2339))+J$129*EXP(IF(A2339&lt;0,(10-8)*A2339,-8*A2339))+K$129*EXP(IF(A2339&lt;0,(10-9)*A2339,-9*A2339))+L$129*EXP(IF(A2339&lt;0,(10-10)*A2339,-10*A2339)),0)</x:f>
        <x:v>781861.3398403397</x:v>
      </x:c>
      <x:c r="C2339" s="256" t="n">
        <x:f>IF(B2339=0,IF(B2338=0,0,1),IF(B2338=0,0,IF(SIGN(B2339)&lt;&gt;SIGN(B2338),1,0)))</x:f>
        <x:v>0</x:v>
      </x:c>
      <x:c r="D2339" s="256" t="n">
        <x:f>EXP(A2339-0.005)-1</x:f>
        <x:v>-0.9910401339331211</x:v>
      </x:c>
    </x:row>
    <x:row r="2340" ht="20" customHeight="1">
      <x:c r="A2340" s="256" t="n">
        <x:f>-12+730*0.01</x:f>
        <x:v>-4.7</x:v>
      </x:c>
      <x:c r="B2340" s="256" t="n">
        <x:f>IF(COUNT($B$129:$L$129)=11,B$129*EXP(IF(A2340&lt;0,(10-0)*A2340,-0*A2340))+C$129*EXP(IF(A2340&lt;0,(10-1)*A2340,-1*A2340))+D$129*EXP(IF(A2340&lt;0,(10-2)*A2340,-2*A2340))+E$129*EXP(IF(A2340&lt;0,(10-3)*A2340,-3*A2340))+F$129*EXP(IF(A2340&lt;0,(10-4)*A2340,-4*A2340))+G$129*EXP(IF(A2340&lt;0,(10-5)*A2340,-5*A2340))+H$129*EXP(IF(A2340&lt;0,(10-6)*A2340,-6*A2340))+I$129*EXP(IF(A2340&lt;0,(10-7)*A2340,-7*A2340))+J$129*EXP(IF(A2340&lt;0,(10-8)*A2340,-8*A2340))+K$129*EXP(IF(A2340&lt;0,(10-9)*A2340,-9*A2340))+L$129*EXP(IF(A2340&lt;0,(10-10)*A2340,-10*A2340)),0)</x:f>
        <x:v>781862.4952633203</x:v>
      </x:c>
      <x:c r="C2340" s="256" t="n">
        <x:f>IF(B2340=0,IF(B2339=0,0,1),IF(B2339=0,0,IF(SIGN(B2340)&lt;&gt;SIGN(B2339),1,0)))</x:f>
        <x:v>0</x:v>
      </x:c>
      <x:c r="D2340" s="256" t="n">
        <x:f>EXP(A2340-0.005)-1</x:f>
        <x:v>-0.9909500857820972</x:v>
      </x:c>
    </x:row>
    <x:row r="2341" ht="20" customHeight="1">
      <x:c r="A2341" s="256" t="n">
        <x:f>-12+731*0.01</x:f>
        <x:v>-4.6899999999999995</x:v>
      </x:c>
      <x:c r="B2341" s="256" t="n">
        <x:f>IF(COUNT($B$129:$L$129)=11,B$129*EXP(IF(A2341&lt;0,(10-0)*A2341,-0*A2341))+C$129*EXP(IF(A2341&lt;0,(10-1)*A2341,-1*A2341))+D$129*EXP(IF(A2341&lt;0,(10-2)*A2341,-2*A2341))+E$129*EXP(IF(A2341&lt;0,(10-3)*A2341,-3*A2341))+F$129*EXP(IF(A2341&lt;0,(10-4)*A2341,-4*A2341))+G$129*EXP(IF(A2341&lt;0,(10-5)*A2341,-5*A2341))+H$129*EXP(IF(A2341&lt;0,(10-6)*A2341,-6*A2341))+I$129*EXP(IF(A2341&lt;0,(10-7)*A2341,-7*A2341))+J$129*EXP(IF(A2341&lt;0,(10-8)*A2341,-8*A2341))+K$129*EXP(IF(A2341&lt;0,(10-9)*A2341,-9*A2341))+L$129*EXP(IF(A2341&lt;0,(10-10)*A2341,-10*A2341)),0)</x:f>
        <x:v>781863.662461091</x:v>
      </x:c>
      <x:c r="C2341" s="256" t="n">
        <x:f>IF(B2341=0,IF(B2340=0,0,1),IF(B2340=0,0,IF(SIGN(B2341)&lt;&gt;SIGN(B2340),1,0)))</x:f>
        <x:v>0</x:v>
      </x:c>
      <x:c r="D2341" s="256" t="n">
        <x:f>EXP(A2341-0.005)-1</x:f>
        <x:v>-0.9908591326321099</x:v>
      </x:c>
    </x:row>
    <x:row r="2342" ht="20" customHeight="1">
      <x:c r="A2342" s="256" t="n">
        <x:f>-12+732*0.01</x:f>
        <x:v>-4.68</x:v>
      </x:c>
      <x:c r="B2342" s="256" t="n">
        <x:f>IF(COUNT($B$129:$L$129)=11,B$129*EXP(IF(A2342&lt;0,(10-0)*A2342,-0*A2342))+C$129*EXP(IF(A2342&lt;0,(10-1)*A2342,-1*A2342))+D$129*EXP(IF(A2342&lt;0,(10-2)*A2342,-2*A2342))+E$129*EXP(IF(A2342&lt;0,(10-3)*A2342,-3*A2342))+F$129*EXP(IF(A2342&lt;0,(10-4)*A2342,-4*A2342))+G$129*EXP(IF(A2342&lt;0,(10-5)*A2342,-5*A2342))+H$129*EXP(IF(A2342&lt;0,(10-6)*A2342,-6*A2342))+I$129*EXP(IF(A2342&lt;0,(10-7)*A2342,-7*A2342))+J$129*EXP(IF(A2342&lt;0,(10-8)*A2342,-8*A2342))+K$129*EXP(IF(A2342&lt;0,(10-9)*A2342,-9*A2342))+L$129*EXP(IF(A2342&lt;0,(10-10)*A2342,-10*A2342)),0)</x:f>
        <x:v>781864.8415553069</x:v>
      </x:c>
      <x:c r="C2342" s="256" t="n">
        <x:f>IF(B2342=0,IF(B2341=0,0,1),IF(B2341=0,0,IF(SIGN(B2342)&lt;&gt;SIGN(B2341),1,0)))</x:f>
        <x:v>0</x:v>
      </x:c>
      <x:c r="D2342" s="256" t="n">
        <x:f>EXP(A2342-0.005)-1</x:f>
        <x:v>-0.9907672653877684</x:v>
      </x:c>
    </x:row>
    <x:row r="2343" ht="20" customHeight="1">
      <x:c r="A2343" s="256" t="n">
        <x:f>-12+733*0.01</x:f>
        <x:v>-4.67</x:v>
      </x:c>
      <x:c r="B2343" s="256" t="n">
        <x:f>IF(COUNT($B$129:$L$129)=11,B$129*EXP(IF(A2343&lt;0,(10-0)*A2343,-0*A2343))+C$129*EXP(IF(A2343&lt;0,(10-1)*A2343,-1*A2343))+D$129*EXP(IF(A2343&lt;0,(10-2)*A2343,-2*A2343))+E$129*EXP(IF(A2343&lt;0,(10-3)*A2343,-3*A2343))+F$129*EXP(IF(A2343&lt;0,(10-4)*A2343,-4*A2343))+G$129*EXP(IF(A2343&lt;0,(10-5)*A2343,-5*A2343))+H$129*EXP(IF(A2343&lt;0,(10-6)*A2343,-6*A2343))+I$129*EXP(IF(A2343&lt;0,(10-7)*A2343,-7*A2343))+J$129*EXP(IF(A2343&lt;0,(10-8)*A2343,-8*A2343))+K$129*EXP(IF(A2343&lt;0,(10-9)*A2343,-9*A2343))+L$129*EXP(IF(A2343&lt;0,(10-10)*A2343,-10*A2343)),0)</x:f>
        <x:v>781866.0326689141</x:v>
      </x:c>
      <x:c r="C2343" s="256" t="n">
        <x:f>IF(B2343=0,IF(B2342=0,0,1),IF(B2342=0,0,IF(SIGN(B2343)&lt;&gt;SIGN(B2342),1,0)))</x:f>
        <x:v>0</x:v>
      </x:c>
      <x:c r="D2343" s="256" t="n">
        <x:f>EXP(A2343-0.005)-1</x:f>
        <x:v>-0.9906744748622717</x:v>
      </x:c>
    </x:row>
    <x:row r="2344" ht="20" customHeight="1">
      <x:c r="A2344" s="256" t="n">
        <x:f>-12+734*0.01</x:f>
        <x:v>-4.66</x:v>
      </x:c>
      <x:c r="B2344" s="256" t="n">
        <x:f>IF(COUNT($B$129:$L$129)=11,B$129*EXP(IF(A2344&lt;0,(10-0)*A2344,-0*A2344))+C$129*EXP(IF(A2344&lt;0,(10-1)*A2344,-1*A2344))+D$129*EXP(IF(A2344&lt;0,(10-2)*A2344,-2*A2344))+E$129*EXP(IF(A2344&lt;0,(10-3)*A2344,-3*A2344))+F$129*EXP(IF(A2344&lt;0,(10-4)*A2344,-4*A2344))+G$129*EXP(IF(A2344&lt;0,(10-5)*A2344,-5*A2344))+H$129*EXP(IF(A2344&lt;0,(10-6)*A2344,-6*A2344))+I$129*EXP(IF(A2344&lt;0,(10-7)*A2344,-7*A2344))+J$129*EXP(IF(A2344&lt;0,(10-8)*A2344,-8*A2344))+K$129*EXP(IF(A2344&lt;0,(10-9)*A2344,-9*A2344))+L$129*EXP(IF(A2344&lt;0,(10-10)*A2344,-10*A2344)),0)</x:f>
        <x:v>781867.2359261631</x:v>
      </x:c>
      <x:c r="C2344" s="256" t="n">
        <x:f>IF(B2344=0,IF(B2343=0,0,1),IF(B2343=0,0,IF(SIGN(B2344)&lt;&gt;SIGN(B2343),1,0)))</x:f>
        <x:v>0</x:v>
      </x:c>
      <x:c r="D2344" s="256" t="n">
        <x:f>EXP(A2344-0.005)-1</x:f>
        <x:v>-0.9905807517764899</x:v>
      </x:c>
    </x:row>
    <x:row r="2345" ht="20" customHeight="1">
      <x:c r="A2345" s="256" t="n">
        <x:f>-12+735*0.01</x:f>
        <x:v>-4.6499999999999995</x:v>
      </x:c>
      <x:c r="B2345" s="256" t="n">
        <x:f>IF(COUNT($B$129:$L$129)=11,B$129*EXP(IF(A2345&lt;0,(10-0)*A2345,-0*A2345))+C$129*EXP(IF(A2345&lt;0,(10-1)*A2345,-1*A2345))+D$129*EXP(IF(A2345&lt;0,(10-2)*A2345,-2*A2345))+E$129*EXP(IF(A2345&lt;0,(10-3)*A2345,-3*A2345))+F$129*EXP(IF(A2345&lt;0,(10-4)*A2345,-4*A2345))+G$129*EXP(IF(A2345&lt;0,(10-5)*A2345,-5*A2345))+H$129*EXP(IF(A2345&lt;0,(10-6)*A2345,-6*A2345))+I$129*EXP(IF(A2345&lt;0,(10-7)*A2345,-7*A2345))+J$129*EXP(IF(A2345&lt;0,(10-8)*A2345,-8*A2345))+K$129*EXP(IF(A2345&lt;0,(10-9)*A2345,-9*A2345))+L$129*EXP(IF(A2345&lt;0,(10-10)*A2345,-10*A2345)),0)</x:f>
        <x:v>781868.4514526248</x:v>
      </x:c>
      <x:c r="C2345" s="256" t="n">
        <x:f>IF(B2345=0,IF(B2344=0,0,1),IF(B2344=0,0,IF(SIGN(B2345)&lt;&gt;SIGN(B2344),1,0)))</x:f>
        <x:v>0</x:v>
      </x:c>
      <x:c r="D2345" s="256" t="n">
        <x:f>EXP(A2345-0.005)-1</x:f>
        <x:v>-0.9904860867580364</x:v>
      </x:c>
    </x:row>
    <x:row r="2346" ht="20" customHeight="1">
      <x:c r="A2346" s="256" t="n">
        <x:f>-12+736*0.01</x:f>
        <x:v>-4.64</x:v>
      </x:c>
      <x:c r="B2346" s="256" t="n">
        <x:f>IF(COUNT($B$129:$L$129)=11,B$129*EXP(IF(A2346&lt;0,(10-0)*A2346,-0*A2346))+C$129*EXP(IF(A2346&lt;0,(10-1)*A2346,-1*A2346))+D$129*EXP(IF(A2346&lt;0,(10-2)*A2346,-2*A2346))+E$129*EXP(IF(A2346&lt;0,(10-3)*A2346,-3*A2346))+F$129*EXP(IF(A2346&lt;0,(10-4)*A2346,-4*A2346))+G$129*EXP(IF(A2346&lt;0,(10-5)*A2346,-5*A2346))+H$129*EXP(IF(A2346&lt;0,(10-6)*A2346,-6*A2346))+I$129*EXP(IF(A2346&lt;0,(10-7)*A2346,-7*A2346))+J$129*EXP(IF(A2346&lt;0,(10-8)*A2346,-8*A2346))+K$129*EXP(IF(A2346&lt;0,(10-9)*A2346,-9*A2346))+L$129*EXP(IF(A2346&lt;0,(10-10)*A2346,-10*A2346)),0)</x:f>
        <x:v>781869.6793752033</x:v>
      </x:c>
      <x:c r="C2346" s="256" t="n">
        <x:f>IF(B2346=0,IF(B2345=0,0,1),IF(B2345=0,0,IF(SIGN(B2346)&lt;&gt;SIGN(B2345),1,0)))</x:f>
        <x:v>0</x:v>
      </x:c>
      <x:c r="D2346" s="256" t="n">
        <x:f>EXP(A2346-0.005)-1</x:f>
        <x:v>-0.9903904703403303</x:v>
      </x:c>
    </x:row>
    <x:row r="2347" ht="20" customHeight="1">
      <x:c r="A2347" s="256" t="n">
        <x:f>-12+737*0.01</x:f>
        <x:v>-4.63</x:v>
      </x:c>
      <x:c r="B2347" s="256" t="n">
        <x:f>IF(COUNT($B$129:$L$129)=11,B$129*EXP(IF(A2347&lt;0,(10-0)*A2347,-0*A2347))+C$129*EXP(IF(A2347&lt;0,(10-1)*A2347,-1*A2347))+D$129*EXP(IF(A2347&lt;0,(10-2)*A2347,-2*A2347))+E$129*EXP(IF(A2347&lt;0,(10-3)*A2347,-3*A2347))+F$129*EXP(IF(A2347&lt;0,(10-4)*A2347,-4*A2347))+G$129*EXP(IF(A2347&lt;0,(10-5)*A2347,-5*A2347))+H$129*EXP(IF(A2347&lt;0,(10-6)*A2347,-6*A2347))+I$129*EXP(IF(A2347&lt;0,(10-7)*A2347,-7*A2347))+J$129*EXP(IF(A2347&lt;0,(10-8)*A2347,-8*A2347))+K$129*EXP(IF(A2347&lt;0,(10-9)*A2347,-9*A2347))+L$129*EXP(IF(A2347&lt;0,(10-10)*A2347,-10*A2347)),0)</x:f>
        <x:v>781870.9198221529</x:v>
      </x:c>
      <x:c r="C2347" s="256" t="n">
        <x:f>IF(B2347=0,IF(B2346=0,0,1),IF(B2346=0,0,IF(SIGN(B2347)&lt;&gt;SIGN(B2346),1,0)))</x:f>
        <x:v>0</x:v>
      </x:c>
      <x:c r="D2347" s="256" t="n">
        <x:f>EXP(A2347-0.005)-1</x:f>
        <x:v>-0.9902938929616504</x:v>
      </x:c>
    </x:row>
    <x:row r="2348" ht="20" customHeight="1">
      <x:c r="A2348" s="256" t="n">
        <x:f>-12+738*0.01</x:f>
        <x:v>-4.62</x:v>
      </x:c>
      <x:c r="B2348" s="256" t="n">
        <x:f>IF(COUNT($B$129:$L$129)=11,B$129*EXP(IF(A2348&lt;0,(10-0)*A2348,-0*A2348))+C$129*EXP(IF(A2348&lt;0,(10-1)*A2348,-1*A2348))+D$129*EXP(IF(A2348&lt;0,(10-2)*A2348,-2*A2348))+E$129*EXP(IF(A2348&lt;0,(10-3)*A2348,-3*A2348))+F$129*EXP(IF(A2348&lt;0,(10-4)*A2348,-4*A2348))+G$129*EXP(IF(A2348&lt;0,(10-5)*A2348,-5*A2348))+H$129*EXP(IF(A2348&lt;0,(10-6)*A2348,-6*A2348))+I$129*EXP(IF(A2348&lt;0,(10-7)*A2348,-7*A2348))+J$129*EXP(IF(A2348&lt;0,(10-8)*A2348,-8*A2348))+K$129*EXP(IF(A2348&lt;0,(10-9)*A2348,-9*A2348))+L$129*EXP(IF(A2348&lt;0,(10-10)*A2348,-10*A2348)),0)</x:f>
        <x:v>781872.1729230917</x:v>
      </x:c>
      <x:c r="C2348" s="256" t="n">
        <x:f>IF(B2348=0,IF(B2347=0,0,1),IF(B2347=0,0,IF(SIGN(B2348)&lt;&gt;SIGN(B2347),1,0)))</x:f>
        <x:v>0</x:v>
      </x:c>
      <x:c r="D2348" s="256" t="n">
        <x:f>EXP(A2348-0.005)-1</x:f>
        <x:v>-0.9901963449641782</x:v>
      </x:c>
    </x:row>
    <x:row r="2349" ht="20" customHeight="1">
      <x:c r="A2349" s="256" t="n">
        <x:f>-12+739*0.01</x:f>
        <x:v>-4.609999999999999</x:v>
      </x:c>
      <x:c r="B2349" s="256" t="n">
        <x:f>IF(COUNT($B$129:$L$129)=11,B$129*EXP(IF(A2349&lt;0,(10-0)*A2349,-0*A2349))+C$129*EXP(IF(A2349&lt;0,(10-1)*A2349,-1*A2349))+D$129*EXP(IF(A2349&lt;0,(10-2)*A2349,-2*A2349))+E$129*EXP(IF(A2349&lt;0,(10-3)*A2349,-3*A2349))+F$129*EXP(IF(A2349&lt;0,(10-4)*A2349,-4*A2349))+G$129*EXP(IF(A2349&lt;0,(10-5)*A2349,-5*A2349))+H$129*EXP(IF(A2349&lt;0,(10-6)*A2349,-6*A2349))+I$129*EXP(IF(A2349&lt;0,(10-7)*A2349,-7*A2349))+J$129*EXP(IF(A2349&lt;0,(10-8)*A2349,-8*A2349))+K$129*EXP(IF(A2349&lt;0,(10-9)*A2349,-9*A2349))+L$129*EXP(IF(A2349&lt;0,(10-10)*A2349,-10*A2349)),0)</x:f>
        <x:v>781873.4388090172</x:v>
      </x:c>
      <x:c r="C2349" s="256" t="n">
        <x:f>IF(B2349=0,IF(B2348=0,0,1),IF(B2348=0,0,IF(SIGN(B2349)&lt;&gt;SIGN(B2348),1,0)))</x:f>
        <x:v>0</x:v>
      </x:c>
      <x:c r="D2349" s="256" t="n">
        <x:f>EXP(A2349-0.005)-1</x:f>
        <x:v>-0.9900978165930326</x:v>
      </x:c>
    </x:row>
    <x:row r="2350" ht="20" customHeight="1">
      <x:c r="A2350" s="256" t="n">
        <x:f>-12+740*0.01</x:f>
        <x:v>-4.6</x:v>
      </x:c>
      <x:c r="B2350" s="256" t="n">
        <x:f>IF(COUNT($B$129:$L$129)=11,B$129*EXP(IF(A2350&lt;0,(10-0)*A2350,-0*A2350))+C$129*EXP(IF(A2350&lt;0,(10-1)*A2350,-1*A2350))+D$129*EXP(IF(A2350&lt;0,(10-2)*A2350,-2*A2350))+E$129*EXP(IF(A2350&lt;0,(10-3)*A2350,-3*A2350))+F$129*EXP(IF(A2350&lt;0,(10-4)*A2350,-4*A2350))+G$129*EXP(IF(A2350&lt;0,(10-5)*A2350,-5*A2350))+H$129*EXP(IF(A2350&lt;0,(10-6)*A2350,-6*A2350))+I$129*EXP(IF(A2350&lt;0,(10-7)*A2350,-7*A2350))+J$129*EXP(IF(A2350&lt;0,(10-8)*A2350,-8*A2350))+K$129*EXP(IF(A2350&lt;0,(10-9)*A2350,-9*A2350))+L$129*EXP(IF(A2350&lt;0,(10-10)*A2350,-10*A2350)),0)</x:f>
        <x:v>781874.7176123222</x:v>
      </x:c>
      <x:c r="C2350" s="256" t="n">
        <x:f>IF(B2350=0,IF(B2349=0,0,1),IF(B2349=0,0,IF(SIGN(B2350)&lt;&gt;SIGN(B2349),1,0)))</x:f>
        <x:v>0</x:v>
      </x:c>
      <x:c r="D2350" s="256" t="n">
        <x:f>EXP(A2350-0.005)-1</x:f>
        <x:v>-0.9899982979952945</x:v>
      </x:c>
    </x:row>
    <x:row r="2351" ht="20" customHeight="1">
      <x:c r="A2351" s="256" t="n">
        <x:f>-12+741*0.01</x:f>
        <x:v>-4.59</x:v>
      </x:c>
      <x:c r="B2351" s="256" t="n">
        <x:f>IF(COUNT($B$129:$L$129)=11,B$129*EXP(IF(A2351&lt;0,(10-0)*A2351,-0*A2351))+C$129*EXP(IF(A2351&lt;0,(10-1)*A2351,-1*A2351))+D$129*EXP(IF(A2351&lt;0,(10-2)*A2351,-2*A2351))+E$129*EXP(IF(A2351&lt;0,(10-3)*A2351,-3*A2351))+F$129*EXP(IF(A2351&lt;0,(10-4)*A2351,-4*A2351))+G$129*EXP(IF(A2351&lt;0,(10-5)*A2351,-5*A2351))+H$129*EXP(IF(A2351&lt;0,(10-6)*A2351,-6*A2351))+I$129*EXP(IF(A2351&lt;0,(10-7)*A2351,-7*A2351))+J$129*EXP(IF(A2351&lt;0,(10-8)*A2351,-8*A2351))+K$129*EXP(IF(A2351&lt;0,(10-9)*A2351,-9*A2351))+L$129*EXP(IF(A2351&lt;0,(10-10)*A2351,-10*A2351)),0)</x:f>
        <x:v>781876.0094668099</x:v>
      </x:c>
      <x:c r="C2351" s="256" t="n">
        <x:f>IF(B2351=0,IF(B2350=0,0,1),IF(B2350=0,0,IF(SIGN(B2351)&lt;&gt;SIGN(B2350),1,0)))</x:f>
        <x:v>0</x:v>
      </x:c>
      <x:c r="D2351" s="256" t="n">
        <x:f>EXP(A2351-0.005)-1</x:f>
        <x:v>-0.9898977792190211</x:v>
      </x:c>
    </x:row>
    <x:row r="2352" ht="20" customHeight="1">
      <x:c r="A2352" s="256" t="n">
        <x:f>-12+742*0.01</x:f>
        <x:v>-4.58</x:v>
      </x:c>
      <x:c r="B2352" s="256" t="n">
        <x:f>IF(COUNT($B$129:$L$129)=11,B$129*EXP(IF(A2352&lt;0,(10-0)*A2352,-0*A2352))+C$129*EXP(IF(A2352&lt;0,(10-1)*A2352,-1*A2352))+D$129*EXP(IF(A2352&lt;0,(10-2)*A2352,-2*A2352))+E$129*EXP(IF(A2352&lt;0,(10-3)*A2352,-3*A2352))+F$129*EXP(IF(A2352&lt;0,(10-4)*A2352,-4*A2352))+G$129*EXP(IF(A2352&lt;0,(10-5)*A2352,-5*A2352))+H$129*EXP(IF(A2352&lt;0,(10-6)*A2352,-6*A2352))+I$129*EXP(IF(A2352&lt;0,(10-7)*A2352,-7*A2352))+J$129*EXP(IF(A2352&lt;0,(10-8)*A2352,-8*A2352))+K$129*EXP(IF(A2352&lt;0,(10-9)*A2352,-9*A2352))+L$129*EXP(IF(A2352&lt;0,(10-10)*A2352,-10*A2352)),0)</x:f>
        <x:v>781877.3145077102</x:v>
      </x:c>
      <x:c r="C2352" s="256" t="n">
        <x:f>IF(B2352=0,IF(B2351=0,0,1),IF(B2351=0,0,IF(SIGN(B2352)&lt;&gt;SIGN(B2351),1,0)))</x:f>
        <x:v>0</x:v>
      </x:c>
      <x:c r="D2352" s="256" t="n">
        <x:f>EXP(A2352-0.005)-1</x:f>
        <x:v>-0.9897962502122511</x:v>
      </x:c>
    </x:row>
    <x:row r="2353" ht="20" customHeight="1">
      <x:c r="A2353" s="256" t="n">
        <x:f>-12+743*0.01</x:f>
        <x:v>-4.57</x:v>
      </x:c>
      <x:c r="B2353" s="256" t="n">
        <x:f>IF(COUNT($B$129:$L$129)=11,B$129*EXP(IF(A2353&lt;0,(10-0)*A2353,-0*A2353))+C$129*EXP(IF(A2353&lt;0,(10-1)*A2353,-1*A2353))+D$129*EXP(IF(A2353&lt;0,(10-2)*A2353,-2*A2353))+E$129*EXP(IF(A2353&lt;0,(10-3)*A2353,-3*A2353))+F$129*EXP(IF(A2353&lt;0,(10-4)*A2353,-4*A2353))+G$129*EXP(IF(A2353&lt;0,(10-5)*A2353,-5*A2353))+H$129*EXP(IF(A2353&lt;0,(10-6)*A2353,-6*A2353))+I$129*EXP(IF(A2353&lt;0,(10-7)*A2353,-7*A2353))+J$129*EXP(IF(A2353&lt;0,(10-8)*A2353,-8*A2353))+K$129*EXP(IF(A2353&lt;0,(10-9)*A2353,-9*A2353))+L$129*EXP(IF(A2353&lt;0,(10-10)*A2353,-10*A2353)),0)</x:f>
        <x:v>781878.6328716953</x:v>
      </x:c>
      <x:c r="C2353" s="256" t="n">
        <x:f>IF(B2353=0,IF(B2352=0,0,1),IF(B2352=0,0,IF(SIGN(B2353)&lt;&gt;SIGN(B2352),1,0)))</x:f>
        <x:v>0</x:v>
      </x:c>
      <x:c r="D2353" s="256" t="n">
        <x:f>EXP(A2353-0.005)-1</x:f>
        <x:v>-0.9896937008219993</x:v>
      </x:c>
    </x:row>
    <x:row r="2354" ht="20" customHeight="1">
      <x:c r="A2354" s="256" t="n">
        <x:f>-12+744*0.01</x:f>
        <x:v>-4.56</x:v>
      </x:c>
      <x:c r="B2354" s="256" t="n">
        <x:f>IF(COUNT($B$129:$L$129)=11,B$129*EXP(IF(A2354&lt;0,(10-0)*A2354,-0*A2354))+C$129*EXP(IF(A2354&lt;0,(10-1)*A2354,-1*A2354))+D$129*EXP(IF(A2354&lt;0,(10-2)*A2354,-2*A2354))+E$129*EXP(IF(A2354&lt;0,(10-3)*A2354,-3*A2354))+F$129*EXP(IF(A2354&lt;0,(10-4)*A2354,-4*A2354))+G$129*EXP(IF(A2354&lt;0,(10-5)*A2354,-5*A2354))+H$129*EXP(IF(A2354&lt;0,(10-6)*A2354,-6*A2354))+I$129*EXP(IF(A2354&lt;0,(10-7)*A2354,-7*A2354))+J$129*EXP(IF(A2354&lt;0,(10-8)*A2354,-8*A2354))+K$129*EXP(IF(A2354&lt;0,(10-9)*A2354,-9*A2354))+L$129*EXP(IF(A2354&lt;0,(10-10)*A2354,-10*A2354)),0)</x:f>
        <x:v>781879.9646968961</x:v>
      </x:c>
      <x:c r="C2354" s="256" t="n">
        <x:f>IF(B2354=0,IF(B2353=0,0,1),IF(B2353=0,0,IF(SIGN(B2354)&lt;&gt;SIGN(B2353),1,0)))</x:f>
        <x:v>0</x:v>
      </x:c>
      <x:c r="D2354" s="256" t="n">
        <x:f>EXP(A2354-0.005)-1</x:f>
        <x:v>-0.9895901207932409</x:v>
      </x:c>
    </x:row>
    <x:row r="2355" ht="20" customHeight="1">
      <x:c r="A2355" s="256" t="n">
        <x:f>-12+745*0.01</x:f>
        <x:v>-4.55</x:v>
      </x:c>
      <x:c r="B2355" s="256" t="n">
        <x:f>IF(COUNT($B$129:$L$129)=11,B$129*EXP(IF(A2355&lt;0,(10-0)*A2355,-0*A2355))+C$129*EXP(IF(A2355&lt;0,(10-1)*A2355,-1*A2355))+D$129*EXP(IF(A2355&lt;0,(10-2)*A2355,-2*A2355))+E$129*EXP(IF(A2355&lt;0,(10-3)*A2355,-3*A2355))+F$129*EXP(IF(A2355&lt;0,(10-4)*A2355,-4*A2355))+G$129*EXP(IF(A2355&lt;0,(10-5)*A2355,-5*A2355))+H$129*EXP(IF(A2355&lt;0,(10-6)*A2355,-6*A2355))+I$129*EXP(IF(A2355&lt;0,(10-7)*A2355,-7*A2355))+J$129*EXP(IF(A2355&lt;0,(10-8)*A2355,-8*A2355))+K$129*EXP(IF(A2355&lt;0,(10-9)*A2355,-9*A2355))+L$129*EXP(IF(A2355&lt;0,(10-10)*A2355,-10*A2355)),0)</x:f>
        <x:v>781881.3101229189</x:v>
      </x:c>
      <x:c r="C2355" s="256" t="n">
        <x:f>IF(B2355=0,IF(B2354=0,0,1),IF(B2354=0,0,IF(SIGN(B2355)&lt;&gt;SIGN(B2354),1,0)))</x:f>
        <x:v>0</x:v>
      </x:c>
      <x:c r="D2355" s="256" t="n">
        <x:f>EXP(A2355-0.005)-1</x:f>
        <x:v>-0.989485499767887</x:v>
      </x:c>
    </x:row>
    <x:row r="2356" ht="20" customHeight="1">
      <x:c r="A2356" s="256" t="n">
        <x:f>-12+746*0.01</x:f>
        <x:v>-4.54</x:v>
      </x:c>
      <x:c r="B2356" s="256" t="n">
        <x:f>IF(COUNT($B$129:$L$129)=11,B$129*EXP(IF(A2356&lt;0,(10-0)*A2356,-0*A2356))+C$129*EXP(IF(A2356&lt;0,(10-1)*A2356,-1*A2356))+D$129*EXP(IF(A2356&lt;0,(10-2)*A2356,-2*A2356))+E$129*EXP(IF(A2356&lt;0,(10-3)*A2356,-3*A2356))+F$129*EXP(IF(A2356&lt;0,(10-4)*A2356,-4*A2356))+G$129*EXP(IF(A2356&lt;0,(10-5)*A2356,-5*A2356))+H$129*EXP(IF(A2356&lt;0,(10-6)*A2356,-6*A2356))+I$129*EXP(IF(A2356&lt;0,(10-7)*A2356,-7*A2356))+J$129*EXP(IF(A2356&lt;0,(10-8)*A2356,-8*A2356))+K$129*EXP(IF(A2356&lt;0,(10-9)*A2356,-9*A2356))+L$129*EXP(IF(A2356&lt;0,(10-10)*A2356,-10*A2356)),0)</x:f>
        <x:v>781882.6692908613</x:v>
      </x:c>
      <x:c r="C2356" s="256" t="n">
        <x:f>IF(B2356=0,IF(B2355=0,0,1),IF(B2355=0,0,IF(SIGN(B2356)&lt;&gt;SIGN(B2355),1,0)))</x:f>
        <x:v>0</x:v>
      </x:c>
      <x:c r="D2356" s="256" t="n">
        <x:f>EXP(A2356-0.005)-1</x:f>
        <x:v>-0.9893798272837477</x:v>
      </x:c>
    </x:row>
    <x:row r="2357" ht="20" customHeight="1">
      <x:c r="A2357" s="256" t="n">
        <x:f>-12+747*0.01</x:f>
        <x:v>-4.53</x:v>
      </x:c>
      <x:c r="B2357" s="256" t="n">
        <x:f>IF(COUNT($B$129:$L$129)=11,B$129*EXP(IF(A2357&lt;0,(10-0)*A2357,-0*A2357))+C$129*EXP(IF(A2357&lt;0,(10-1)*A2357,-1*A2357))+D$129*EXP(IF(A2357&lt;0,(10-2)*A2357,-2*A2357))+E$129*EXP(IF(A2357&lt;0,(10-3)*A2357,-3*A2357))+F$129*EXP(IF(A2357&lt;0,(10-4)*A2357,-4*A2357))+G$129*EXP(IF(A2357&lt;0,(10-5)*A2357,-5*A2357))+H$129*EXP(IF(A2357&lt;0,(10-6)*A2357,-6*A2357))+I$129*EXP(IF(A2357&lt;0,(10-7)*A2357,-7*A2357))+J$129*EXP(IF(A2357&lt;0,(10-8)*A2357,-8*A2357))+K$129*EXP(IF(A2357&lt;0,(10-9)*A2357,-9*A2357))+L$129*EXP(IF(A2357&lt;0,(10-10)*A2357,-10*A2357)),0)</x:f>
        <x:v>781884.0423433301</x:v>
      </x:c>
      <x:c r="C2357" s="256" t="n">
        <x:f>IF(B2357=0,IF(B2356=0,0,1),IF(B2356=0,0,IF(SIGN(B2357)&lt;&gt;SIGN(B2356),1,0)))</x:f>
        <x:v>0</x:v>
      </x:c>
      <x:c r="D2357" s="256" t="n">
        <x:f>EXP(A2357-0.005)-1</x:f>
        <x:v>-0.9892730927734866</x:v>
      </x:c>
    </x:row>
    <x:row r="2358" ht="20" customHeight="1">
      <x:c r="A2358" s="256" t="n">
        <x:f>-12+748*0.01</x:f>
        <x:v>-4.52</x:v>
      </x:c>
      <x:c r="B2358" s="256" t="n">
        <x:f>IF(COUNT($B$129:$L$129)=11,B$129*EXP(IF(A2358&lt;0,(10-0)*A2358,-0*A2358))+C$129*EXP(IF(A2358&lt;0,(10-1)*A2358,-1*A2358))+D$129*EXP(IF(A2358&lt;0,(10-2)*A2358,-2*A2358))+E$129*EXP(IF(A2358&lt;0,(10-3)*A2358,-3*A2358))+F$129*EXP(IF(A2358&lt;0,(10-4)*A2358,-4*A2358))+G$129*EXP(IF(A2358&lt;0,(10-5)*A2358,-5*A2358))+H$129*EXP(IF(A2358&lt;0,(10-6)*A2358,-6*A2358))+I$129*EXP(IF(A2358&lt;0,(10-7)*A2358,-7*A2358))+J$129*EXP(IF(A2358&lt;0,(10-8)*A2358,-8*A2358))+K$129*EXP(IF(A2358&lt;0,(10-9)*A2358,-9*A2358))+L$129*EXP(IF(A2358&lt;0,(10-10)*A2358,-10*A2358)),0)</x:f>
        <x:v>781885.429424457</x:v>
      </x:c>
      <x:c r="C2358" s="256" t="n">
        <x:f>IF(B2358=0,IF(B2357=0,0,1),IF(B2357=0,0,IF(SIGN(B2358)&lt;&gt;SIGN(B2357),1,0)))</x:f>
        <x:v>0</x:v>
      </x:c>
      <x:c r="D2358" s="256" t="n">
        <x:f>EXP(A2358-0.005)-1</x:f>
        <x:v>-0.9891652855635639</x:v>
      </x:c>
    </x:row>
    <x:row r="2359" ht="20" customHeight="1">
      <x:c r="A2359" s="256" t="n">
        <x:f>-12+749*0.01</x:f>
        <x:v>-4.51</x:v>
      </x:c>
      <x:c r="B2359" s="256" t="n">
        <x:f>IF(COUNT($B$129:$L$129)=11,B$129*EXP(IF(A2359&lt;0,(10-0)*A2359,-0*A2359))+C$129*EXP(IF(A2359&lt;0,(10-1)*A2359,-1*A2359))+D$129*EXP(IF(A2359&lt;0,(10-2)*A2359,-2*A2359))+E$129*EXP(IF(A2359&lt;0,(10-3)*A2359,-3*A2359))+F$129*EXP(IF(A2359&lt;0,(10-4)*A2359,-4*A2359))+G$129*EXP(IF(A2359&lt;0,(10-5)*A2359,-5*A2359))+H$129*EXP(IF(A2359&lt;0,(10-6)*A2359,-6*A2359))+I$129*EXP(IF(A2359&lt;0,(10-7)*A2359,-7*A2359))+J$129*EXP(IF(A2359&lt;0,(10-8)*A2359,-8*A2359))+K$129*EXP(IF(A2359&lt;0,(10-9)*A2359,-9*A2359))+L$129*EXP(IF(A2359&lt;0,(10-10)*A2359,-10*A2359)),0)</x:f>
        <x:v>781886.8306799171</x:v>
      </x:c>
      <x:c r="C2359" s="256" t="n">
        <x:f>IF(B2359=0,IF(B2358=0,0,1),IF(B2358=0,0,IF(SIGN(B2359)&lt;&gt;SIGN(B2358),1,0)))</x:f>
        <x:v>0</x:v>
      </x:c>
      <x:c r="D2359" s="256" t="n">
        <x:f>EXP(A2359-0.005)-1</x:f>
        <x:v>-0.9890563948731684</x:v>
      </x:c>
    </x:row>
    <x:row r="2360" ht="20" customHeight="1">
      <x:c r="A2360" s="256" t="n">
        <x:f>-12+750*0.01</x:f>
        <x:v>-4.5</x:v>
      </x:c>
      <x:c r="B2360" s="256" t="n">
        <x:f>IF(COUNT($B$129:$L$129)=11,B$129*EXP(IF(A2360&lt;0,(10-0)*A2360,-0*A2360))+C$129*EXP(IF(A2360&lt;0,(10-1)*A2360,-1*A2360))+D$129*EXP(IF(A2360&lt;0,(10-2)*A2360,-2*A2360))+E$129*EXP(IF(A2360&lt;0,(10-3)*A2360,-3*A2360))+F$129*EXP(IF(A2360&lt;0,(10-4)*A2360,-4*A2360))+G$129*EXP(IF(A2360&lt;0,(10-5)*A2360,-5*A2360))+H$129*EXP(IF(A2360&lt;0,(10-6)*A2360,-6*A2360))+I$129*EXP(IF(A2360&lt;0,(10-7)*A2360,-7*A2360))+J$129*EXP(IF(A2360&lt;0,(10-8)*A2360,-8*A2360))+K$129*EXP(IF(A2360&lt;0,(10-9)*A2360,-9*A2360))+L$129*EXP(IF(A2360&lt;0,(10-10)*A2360,-10*A2360)),0)</x:f>
        <x:v>781888.2462569459</x:v>
      </x:c>
      <x:c r="C2360" s="256" t="n">
        <x:f>IF(B2360=0,IF(B2359=0,0,1),IF(B2359=0,0,IF(SIGN(B2360)&lt;&gt;SIGN(B2359),1,0)))</x:f>
        <x:v>0</x:v>
      </x:c>
      <x:c r="D2360" s="256" t="n">
        <x:f>EXP(A2360-0.005)-1</x:f>
        <x:v>-0.9889464098131406</x:v>
      </x:c>
    </x:row>
    <x:row r="2361" ht="20" customHeight="1">
      <x:c r="A2361" s="256" t="n">
        <x:f>-12+751*0.01</x:f>
        <x:v>-4.49</x:v>
      </x:c>
      <x:c r="B2361" s="256" t="n">
        <x:f>IF(COUNT($B$129:$L$129)=11,B$129*EXP(IF(A2361&lt;0,(10-0)*A2361,-0*A2361))+C$129*EXP(IF(A2361&lt;0,(10-1)*A2361,-1*A2361))+D$129*EXP(IF(A2361&lt;0,(10-2)*A2361,-2*A2361))+E$129*EXP(IF(A2361&lt;0,(10-3)*A2361,-3*A2361))+F$129*EXP(IF(A2361&lt;0,(10-4)*A2361,-4*A2361))+G$129*EXP(IF(A2361&lt;0,(10-5)*A2361,-5*A2361))+H$129*EXP(IF(A2361&lt;0,(10-6)*A2361,-6*A2361))+I$129*EXP(IF(A2361&lt;0,(10-7)*A2361,-7*A2361))+J$129*EXP(IF(A2361&lt;0,(10-8)*A2361,-8*A2361))+K$129*EXP(IF(A2361&lt;0,(10-9)*A2361,-9*A2361))+L$129*EXP(IF(A2361&lt;0,(10-10)*A2361,-10*A2361)),0)</x:f>
        <x:v>781889.6763043563</x:v>
      </x:c>
      <x:c r="C2361" s="256" t="n">
        <x:f>IF(B2361=0,IF(B2360=0,0,1),IF(B2360=0,0,IF(SIGN(B2361)&lt;&gt;SIGN(B2360),1,0)))</x:f>
        <x:v>0</x:v>
      </x:c>
      <x:c r="D2361" s="256" t="n">
        <x:f>EXP(A2361-0.005)-1</x:f>
        <x:v>-0.9888353193848828</x:v>
      </x:c>
    </x:row>
    <x:row r="2362" ht="20" customHeight="1">
      <x:c r="A2362" s="256" t="n">
        <x:f>-12+752*0.01</x:f>
        <x:v>-4.4799999999999995</x:v>
      </x:c>
      <x:c r="B2362" s="256" t="n">
        <x:f>IF(COUNT($B$129:$L$129)=11,B$129*EXP(IF(A2362&lt;0,(10-0)*A2362,-0*A2362))+C$129*EXP(IF(A2362&lt;0,(10-1)*A2362,-1*A2362))+D$129*EXP(IF(A2362&lt;0,(10-2)*A2362,-2*A2362))+E$129*EXP(IF(A2362&lt;0,(10-3)*A2362,-3*A2362))+F$129*EXP(IF(A2362&lt;0,(10-4)*A2362,-4*A2362))+G$129*EXP(IF(A2362&lt;0,(10-5)*A2362,-5*A2362))+H$129*EXP(IF(A2362&lt;0,(10-6)*A2362,-6*A2362))+I$129*EXP(IF(A2362&lt;0,(10-7)*A2362,-7*A2362))+J$129*EXP(IF(A2362&lt;0,(10-8)*A2362,-8*A2362))+K$129*EXP(IF(A2362&lt;0,(10-9)*A2362,-9*A2362))+L$129*EXP(IF(A2362&lt;0,(10-10)*A2362,-10*A2362)),0)</x:f>
        <x:v>781891.1209725578</x:v>
      </x:c>
      <x:c r="C2362" s="256" t="n">
        <x:f>IF(B2362=0,IF(B2361=0,0,1),IF(B2361=0,0,IF(SIGN(B2362)&lt;&gt;SIGN(B2361),1,0)))</x:f>
        <x:v>0</x:v>
      </x:c>
      <x:c r="D2362" s="256" t="n">
        <x:f>EXP(A2362-0.005)-1</x:f>
        <x:v>-0.9887231124792595</x:v>
      </x:c>
    </x:row>
    <x:row r="2363" ht="20" customHeight="1">
      <x:c r="A2363" s="256" t="n">
        <x:f>-12+753*0.01</x:f>
        <x:v>-4.47</x:v>
      </x:c>
      <x:c r="B2363" s="256" t="n">
        <x:f>IF(COUNT($B$129:$L$129)=11,B$129*EXP(IF(A2363&lt;0,(10-0)*A2363,-0*A2363))+C$129*EXP(IF(A2363&lt;0,(10-1)*A2363,-1*A2363))+D$129*EXP(IF(A2363&lt;0,(10-2)*A2363,-2*A2363))+E$129*EXP(IF(A2363&lt;0,(10-3)*A2363,-3*A2363))+F$129*EXP(IF(A2363&lt;0,(10-4)*A2363,-4*A2363))+G$129*EXP(IF(A2363&lt;0,(10-5)*A2363,-5*A2363))+H$129*EXP(IF(A2363&lt;0,(10-6)*A2363,-6*A2363))+I$129*EXP(IF(A2363&lt;0,(10-7)*A2363,-7*A2363))+J$129*EXP(IF(A2363&lt;0,(10-8)*A2363,-8*A2363))+K$129*EXP(IF(A2363&lt;0,(10-9)*A2363,-9*A2363))+L$129*EXP(IF(A2363&lt;0,(10-10)*A2363,-10*A2363)),0)</x:f>
        <x:v>781892.5804135735</x:v>
      </x:c>
      <x:c r="C2363" s="256" t="n">
        <x:f>IF(B2363=0,IF(B2362=0,0,1),IF(B2362=0,0,IF(SIGN(B2363)&lt;&gt;SIGN(B2362),1,0)))</x:f>
        <x:v>0</x:v>
      </x:c>
      <x:c r="D2363" s="256" t="n">
        <x:f>EXP(A2363-0.005)-1</x:f>
        <x:v>-0.9886097778754867</x:v>
      </x:c>
    </x:row>
    <x:row r="2364" ht="20" customHeight="1">
      <x:c r="A2364" s="256" t="n">
        <x:f>-12+754*0.01</x:f>
        <x:v>-4.46</x:v>
      </x:c>
      <x:c r="B2364" s="256" t="n">
        <x:f>IF(COUNT($B$129:$L$129)=11,B$129*EXP(IF(A2364&lt;0,(10-0)*A2364,-0*A2364))+C$129*EXP(IF(A2364&lt;0,(10-1)*A2364,-1*A2364))+D$129*EXP(IF(A2364&lt;0,(10-2)*A2364,-2*A2364))+E$129*EXP(IF(A2364&lt;0,(10-3)*A2364,-3*A2364))+F$129*EXP(IF(A2364&lt;0,(10-4)*A2364,-4*A2364))+G$129*EXP(IF(A2364&lt;0,(10-5)*A2364,-5*A2364))+H$129*EXP(IF(A2364&lt;0,(10-6)*A2364,-6*A2364))+I$129*EXP(IF(A2364&lt;0,(10-7)*A2364,-7*A2364))+J$129*EXP(IF(A2364&lt;0,(10-8)*A2364,-8*A2364))+K$129*EXP(IF(A2364&lt;0,(10-9)*A2364,-9*A2364))+L$129*EXP(IF(A2364&lt;0,(10-10)*A2364,-10*A2364)),0)</x:f>
        <x:v>781894.054781059</x:v>
      </x:c>
      <x:c r="C2364" s="256" t="n">
        <x:f>IF(B2364=0,IF(B2363=0,0,1),IF(B2363=0,0,IF(SIGN(B2364)&lt;&gt;SIGN(B2363),1,0)))</x:f>
        <x:v>0</x:v>
      </x:c>
      <x:c r="D2364" s="256" t="n">
        <x:f>EXP(A2364-0.005)-1</x:f>
        <x:v>-0.9884953042400095</x:v>
      </x:c>
    </x:row>
    <x:row r="2365" ht="20" customHeight="1">
      <x:c r="A2365" s="256" t="n">
        <x:f>-12+755*0.01</x:f>
        <x:v>-4.45</x:v>
      </x:c>
      <x:c r="B2365" s="256" t="n">
        <x:f>IF(COUNT($B$129:$L$129)=11,B$129*EXP(IF(A2365&lt;0,(10-0)*A2365,-0*A2365))+C$129*EXP(IF(A2365&lt;0,(10-1)*A2365,-1*A2365))+D$129*EXP(IF(A2365&lt;0,(10-2)*A2365,-2*A2365))+E$129*EXP(IF(A2365&lt;0,(10-3)*A2365,-3*A2365))+F$129*EXP(IF(A2365&lt;0,(10-4)*A2365,-4*A2365))+G$129*EXP(IF(A2365&lt;0,(10-5)*A2365,-5*A2365))+H$129*EXP(IF(A2365&lt;0,(10-6)*A2365,-6*A2365))+I$129*EXP(IF(A2365&lt;0,(10-7)*A2365,-7*A2365))+J$129*EXP(IF(A2365&lt;0,(10-8)*A2365,-8*A2365))+K$129*EXP(IF(A2365&lt;0,(10-9)*A2365,-9*A2365))+L$129*EXP(IF(A2365&lt;0,(10-10)*A2365,-10*A2365)),0)</x:f>
        <x:v>781895.5442303211</x:v>
      </x:c>
      <x:c r="C2365" s="256" t="n">
        <x:f>IF(B2365=0,IF(B2364=0,0,1),IF(B2364=0,0,IF(SIGN(B2365)&lt;&gt;SIGN(B2364),1,0)))</x:f>
        <x:v>0</x:v>
      </x:c>
      <x:c r="D2365" s="256" t="n">
        <x:f>EXP(A2365-0.005)-1</x:f>
        <x:v>-0.988379680125369</x:v>
      </x:c>
    </x:row>
    <x:row r="2366" ht="20" customHeight="1">
      <x:c r="A2366" s="256" t="n">
        <x:f>-12+756*0.01</x:f>
        <x:v>-4.4399999999999995</x:v>
      </x:c>
      <x:c r="B2366" s="256" t="n">
        <x:f>IF(COUNT($B$129:$L$129)=11,B$129*EXP(IF(A2366&lt;0,(10-0)*A2366,-0*A2366))+C$129*EXP(IF(A2366&lt;0,(10-1)*A2366,-1*A2366))+D$129*EXP(IF(A2366&lt;0,(10-2)*A2366,-2*A2366))+E$129*EXP(IF(A2366&lt;0,(10-3)*A2366,-3*A2366))+F$129*EXP(IF(A2366&lt;0,(10-4)*A2366,-4*A2366))+G$129*EXP(IF(A2366&lt;0,(10-5)*A2366,-5*A2366))+H$129*EXP(IF(A2366&lt;0,(10-6)*A2366,-6*A2366))+I$129*EXP(IF(A2366&lt;0,(10-7)*A2366,-7*A2366))+J$129*EXP(IF(A2366&lt;0,(10-8)*A2366,-8*A2366))+K$129*EXP(IF(A2366&lt;0,(10-9)*A2366,-9*A2366))+L$129*EXP(IF(A2366&lt;0,(10-10)*A2366,-10*A2366)),0)</x:f>
        <x:v>781897.0489183356</x:v>
      </x:c>
      <x:c r="C2366" s="256" t="n">
        <x:f>IF(B2366=0,IF(B2365=0,0,1),IF(B2365=0,0,IF(SIGN(B2366)&lt;&gt;SIGN(B2365),1,0)))</x:f>
        <x:v>0</x:v>
      </x:c>
      <x:c r="D2366" s="256" t="n">
        <x:f>EXP(A2366-0.005)-1</x:f>
        <x:v>-0.9882628939690575</x:v>
      </x:c>
    </x:row>
    <x:row r="2367" ht="20" customHeight="1">
      <x:c r="A2367" s="256" t="n">
        <x:f>-12+757*0.01</x:f>
        <x:v>-4.43</x:v>
      </x:c>
      <x:c r="B2367" s="256" t="n">
        <x:f>IF(COUNT($B$129:$L$129)=11,B$129*EXP(IF(A2367&lt;0,(10-0)*A2367,-0*A2367))+C$129*EXP(IF(A2367&lt;0,(10-1)*A2367,-1*A2367))+D$129*EXP(IF(A2367&lt;0,(10-2)*A2367,-2*A2367))+E$129*EXP(IF(A2367&lt;0,(10-3)*A2367,-3*A2367))+F$129*EXP(IF(A2367&lt;0,(10-4)*A2367,-4*A2367))+G$129*EXP(IF(A2367&lt;0,(10-5)*A2367,-5*A2367))+H$129*EXP(IF(A2367&lt;0,(10-6)*A2367,-6*A2367))+I$129*EXP(IF(A2367&lt;0,(10-7)*A2367,-7*A2367))+J$129*EXP(IF(A2367&lt;0,(10-8)*A2367,-8*A2367))+K$129*EXP(IF(A2367&lt;0,(10-9)*A2367,-9*A2367))+L$129*EXP(IF(A2367&lt;0,(10-10)*A2367,-10*A2367)),0)</x:f>
        <x:v>781898.569003768</x:v>
      </x:c>
      <x:c r="C2367" s="256" t="n">
        <x:f>IF(B2367=0,IF(B2366=0,0,1),IF(B2366=0,0,IF(SIGN(B2367)&lt;&gt;SIGN(B2366),1,0)))</x:f>
        <x:v>0</x:v>
      </x:c>
      <x:c r="D2367" s="256" t="n">
        <x:f>EXP(A2367-0.005)-1</x:f>
        <x:v>-0.9881449340923619</x:v>
      </x:c>
    </x:row>
    <x:row r="2368" ht="20" customHeight="1">
      <x:c r="A2368" s="256" t="n">
        <x:f>-12+758*0.01</x:f>
        <x:v>-4.42</x:v>
      </x:c>
      <x:c r="B2368" s="256" t="n">
        <x:f>IF(COUNT($B$129:$L$129)=11,B$129*EXP(IF(A2368&lt;0,(10-0)*A2368,-0*A2368))+C$129*EXP(IF(A2368&lt;0,(10-1)*A2368,-1*A2368))+D$129*EXP(IF(A2368&lt;0,(10-2)*A2368,-2*A2368))+E$129*EXP(IF(A2368&lt;0,(10-3)*A2368,-3*A2368))+F$129*EXP(IF(A2368&lt;0,(10-4)*A2368,-4*A2368))+G$129*EXP(IF(A2368&lt;0,(10-5)*A2368,-5*A2368))+H$129*EXP(IF(A2368&lt;0,(10-6)*A2368,-6*A2368))+I$129*EXP(IF(A2368&lt;0,(10-7)*A2368,-7*A2368))+J$129*EXP(IF(A2368&lt;0,(10-8)*A2368,-8*A2368))+K$129*EXP(IF(A2368&lt;0,(10-9)*A2368,-9*A2368))+L$129*EXP(IF(A2368&lt;0,(10-10)*A2368,-10*A2368)),0)</x:f>
        <x:v>781900.1046469912</x:v>
      </x:c>
      <x:c r="C2368" s="256" t="n">
        <x:f>IF(B2368=0,IF(B2367=0,0,1),IF(B2367=0,0,IF(SIGN(B2368)&lt;&gt;SIGN(B2367),1,0)))</x:f>
        <x:v>0</x:v>
      </x:c>
      <x:c r="D2368" s="256" t="n">
        <x:f>EXP(A2368-0.005)-1</x:f>
        <x:v>-0.9880257886991963</x:v>
      </x:c>
    </x:row>
    <x:row r="2369" ht="20" customHeight="1">
      <x:c r="A2369" s="256" t="n">
        <x:f>-12+759*0.01</x:f>
        <x:v>-4.41</x:v>
      </x:c>
      <x:c r="B2369" s="256" t="n">
        <x:f>IF(COUNT($B$129:$L$129)=11,B$129*EXP(IF(A2369&lt;0,(10-0)*A2369,-0*A2369))+C$129*EXP(IF(A2369&lt;0,(10-1)*A2369,-1*A2369))+D$129*EXP(IF(A2369&lt;0,(10-2)*A2369,-2*A2369))+E$129*EXP(IF(A2369&lt;0,(10-3)*A2369,-3*A2369))+F$129*EXP(IF(A2369&lt;0,(10-4)*A2369,-4*A2369))+G$129*EXP(IF(A2369&lt;0,(10-5)*A2369,-5*A2369))+H$129*EXP(IF(A2369&lt;0,(10-6)*A2369,-6*A2369))+I$129*EXP(IF(A2369&lt;0,(10-7)*A2369,-7*A2369))+J$129*EXP(IF(A2369&lt;0,(10-8)*A2369,-8*A2369))+K$129*EXP(IF(A2369&lt;0,(10-9)*A2369,-9*A2369))+L$129*EXP(IF(A2369&lt;0,(10-10)*A2369,-10*A2369)),0)</x:f>
        <x:v>781901.6560101062</x:v>
      </x:c>
      <x:c r="C2369" s="256" t="n">
        <x:f>IF(B2369=0,IF(B2368=0,0,1),IF(B2368=0,0,IF(SIGN(B2369)&lt;&gt;SIGN(B2368),1,0)))</x:f>
        <x:v>0</x:v>
      </x:c>
      <x:c r="D2369" s="256" t="n">
        <x:f>EXP(A2369-0.005)-1</x:f>
        <x:v>-0.9879054458749221</x:v>
      </x:c>
    </x:row>
    <x:row r="2370" ht="20" customHeight="1">
      <x:c r="A2370" s="256" t="n">
        <x:f>-12+760*0.01</x:f>
        <x:v>-4.3999999999999995</x:v>
      </x:c>
      <x:c r="B2370" s="256" t="n">
        <x:f>IF(COUNT($B$129:$L$129)=11,B$129*EXP(IF(A2370&lt;0,(10-0)*A2370,-0*A2370))+C$129*EXP(IF(A2370&lt;0,(10-1)*A2370,-1*A2370))+D$129*EXP(IF(A2370&lt;0,(10-2)*A2370,-2*A2370))+E$129*EXP(IF(A2370&lt;0,(10-3)*A2370,-3*A2370))+F$129*EXP(IF(A2370&lt;0,(10-4)*A2370,-4*A2370))+G$129*EXP(IF(A2370&lt;0,(10-5)*A2370,-5*A2370))+H$129*EXP(IF(A2370&lt;0,(10-6)*A2370,-6*A2370))+I$129*EXP(IF(A2370&lt;0,(10-7)*A2370,-7*A2370))+J$129*EXP(IF(A2370&lt;0,(10-8)*A2370,-8*A2370))+K$129*EXP(IF(A2370&lt;0,(10-9)*A2370,-9*A2370))+L$129*EXP(IF(A2370&lt;0,(10-10)*A2370,-10*A2370)),0)</x:f>
        <x:v>781903.223256961</x:v>
      </x:c>
      <x:c r="C2370" s="256" t="n">
        <x:f>IF(B2370=0,IF(B2369=0,0,1),IF(B2369=0,0,IF(SIGN(B2370)&lt;&gt;SIGN(B2369),1,0)))</x:f>
        <x:v>0</x:v>
      </x:c>
      <x:c r="D2370" s="256" t="n">
        <x:f>EXP(A2370-0.005)-1</x:f>
        <x:v>-0.9877838935851566</x:v>
      </x:c>
    </x:row>
    <x:row r="2371" ht="20" customHeight="1">
      <x:c r="A2371" s="256" t="n">
        <x:f>-12+761*0.01</x:f>
        <x:v>-4.39</x:v>
      </x:c>
      <x:c r="B2371" s="256" t="n">
        <x:f>IF(COUNT($B$129:$L$129)=11,B$129*EXP(IF(A2371&lt;0,(10-0)*A2371,-0*A2371))+C$129*EXP(IF(A2371&lt;0,(10-1)*A2371,-1*A2371))+D$129*EXP(IF(A2371&lt;0,(10-2)*A2371,-2*A2371))+E$129*EXP(IF(A2371&lt;0,(10-3)*A2371,-3*A2371))+F$129*EXP(IF(A2371&lt;0,(10-4)*A2371,-4*A2371))+G$129*EXP(IF(A2371&lt;0,(10-5)*A2371,-5*A2371))+H$129*EXP(IF(A2371&lt;0,(10-6)*A2371,-6*A2371))+I$129*EXP(IF(A2371&lt;0,(10-7)*A2371,-7*A2371))+J$129*EXP(IF(A2371&lt;0,(10-8)*A2371,-8*A2371))+K$129*EXP(IF(A2371&lt;0,(10-9)*A2371,-9*A2371))+L$129*EXP(IF(A2371&lt;0,(10-10)*A2371,-10*A2371)),0)</x:f>
        <x:v>781904.8065531711</x:v>
      </x:c>
      <x:c r="C2371" s="256" t="n">
        <x:f>IF(B2371=0,IF(B2370=0,0,1),IF(B2370=0,0,IF(SIGN(B2371)&lt;&gt;SIGN(B2370),1,0)))</x:f>
        <x:v>0</x:v>
      </x:c>
      <x:c r="D2371" s="256" t="n">
        <x:f>EXP(A2371-0.005)-1</x:f>
        <x:v>-0.9876611196745695</x:v>
      </x:c>
    </x:row>
    <x:row r="2372" ht="20" customHeight="1">
      <x:c r="A2372" s="256" t="n">
        <x:f>-12+762*0.01</x:f>
        <x:v>-4.38</x:v>
      </x:c>
      <x:c r="B2372" s="256" t="n">
        <x:f>IF(COUNT($B$129:$L$129)=11,B$129*EXP(IF(A2372&lt;0,(10-0)*A2372,-0*A2372))+C$129*EXP(IF(A2372&lt;0,(10-1)*A2372,-1*A2372))+D$129*EXP(IF(A2372&lt;0,(10-2)*A2372,-2*A2372))+E$129*EXP(IF(A2372&lt;0,(10-3)*A2372,-3*A2372))+F$129*EXP(IF(A2372&lt;0,(10-4)*A2372,-4*A2372))+G$129*EXP(IF(A2372&lt;0,(10-5)*A2372,-5*A2372))+H$129*EXP(IF(A2372&lt;0,(10-6)*A2372,-6*A2372))+I$129*EXP(IF(A2372&lt;0,(10-7)*A2372,-7*A2372))+J$129*EXP(IF(A2372&lt;0,(10-8)*A2372,-8*A2372))+K$129*EXP(IF(A2372&lt;0,(10-9)*A2372,-9*A2372))+L$129*EXP(IF(A2372&lt;0,(10-10)*A2372,-10*A2372)),0)</x:f>
        <x:v>781906.4060661397</x:v>
      </x:c>
      <x:c r="C2372" s="256" t="n">
        <x:f>IF(B2372=0,IF(B2371=0,0,1),IF(B2371=0,0,IF(SIGN(B2372)&lt;&gt;SIGN(B2371),1,0)))</x:f>
        <x:v>0</x:v>
      </x:c>
      <x:c r="D2372" s="256" t="n">
        <x:f>EXP(A2372-0.005)-1</x:f>
        <x:v>-0.9875371118656673</x:v>
      </x:c>
    </x:row>
    <x:row r="2373" ht="20" customHeight="1">
      <x:c r="A2373" s="256" t="n">
        <x:f>-12+763*0.01</x:f>
        <x:v>-4.37</x:v>
      </x:c>
      <x:c r="B2373" s="256" t="n">
        <x:f>IF(COUNT($B$129:$L$129)=11,B$129*EXP(IF(A2373&lt;0,(10-0)*A2373,-0*A2373))+C$129*EXP(IF(A2373&lt;0,(10-1)*A2373,-1*A2373))+D$129*EXP(IF(A2373&lt;0,(10-2)*A2373,-2*A2373))+E$129*EXP(IF(A2373&lt;0,(10-3)*A2373,-3*A2373))+F$129*EXP(IF(A2373&lt;0,(10-4)*A2373,-4*A2373))+G$129*EXP(IF(A2373&lt;0,(10-5)*A2373,-5*A2373))+H$129*EXP(IF(A2373&lt;0,(10-6)*A2373,-6*A2373))+I$129*EXP(IF(A2373&lt;0,(10-7)*A2373,-7*A2373))+J$129*EXP(IF(A2373&lt;0,(10-8)*A2373,-8*A2373))+K$129*EXP(IF(A2373&lt;0,(10-9)*A2373,-9*A2373))+L$129*EXP(IF(A2373&lt;0,(10-10)*A2373,-10*A2373)),0)</x:f>
        <x:v>781908.021965078</x:v>
      </x:c>
      <x:c r="C2373" s="256" t="n">
        <x:f>IF(B2373=0,IF(B2372=0,0,1),IF(B2372=0,0,IF(SIGN(B2373)&lt;&gt;SIGN(B2372),1,0)))</x:f>
        <x:v>0</x:v>
      </x:c>
      <x:c r="D2373" s="256" t="n">
        <x:f>EXP(A2373-0.005)-1</x:f>
        <x:v>-0.987411857757566</x:v>
      </x:c>
    </x:row>
    <x:row r="2374" ht="20" customHeight="1">
      <x:c r="A2374" s="256" t="n">
        <x:f>-12+764*0.01</x:f>
        <x:v>-4.359999999999999</x:v>
      </x:c>
      <x:c r="B2374" s="256" t="n">
        <x:f>IF(COUNT($B$129:$L$129)=11,B$129*EXP(IF(A2374&lt;0,(10-0)*A2374,-0*A2374))+C$129*EXP(IF(A2374&lt;0,(10-1)*A2374,-1*A2374))+D$129*EXP(IF(A2374&lt;0,(10-2)*A2374,-2*A2374))+E$129*EXP(IF(A2374&lt;0,(10-3)*A2374,-3*A2374))+F$129*EXP(IF(A2374&lt;0,(10-4)*A2374,-4*A2374))+G$129*EXP(IF(A2374&lt;0,(10-5)*A2374,-5*A2374))+H$129*EXP(IF(A2374&lt;0,(10-6)*A2374,-6*A2374))+I$129*EXP(IF(A2374&lt;0,(10-7)*A2374,-7*A2374))+J$129*EXP(IF(A2374&lt;0,(10-8)*A2374,-8*A2374))+K$129*EXP(IF(A2374&lt;0,(10-9)*A2374,-9*A2374))+L$129*EXP(IF(A2374&lt;0,(10-10)*A2374,-10*A2374)),0)</x:f>
        <x:v>781909.6544210265</x:v>
      </x:c>
      <x:c r="C2374" s="256" t="n">
        <x:f>IF(B2374=0,IF(B2373=0,0,1),IF(B2373=0,0,IF(SIGN(B2374)&lt;&gt;SIGN(B2373),1,0)))</x:f>
        <x:v>0</x:v>
      </x:c>
      <x:c r="D2374" s="256" t="n">
        <x:f>EXP(A2374-0.005)-1</x:f>
        <x:v>-0.9872853448247503</x:v>
      </x:c>
    </x:row>
    <x:row r="2375" ht="20" customHeight="1">
      <x:c r="A2375" s="256" t="n">
        <x:f>-12+765*0.01</x:f>
        <x:v>-4.35</x:v>
      </x:c>
      <x:c r="B2375" s="256" t="n">
        <x:f>IF(COUNT($B$129:$L$129)=11,B$129*EXP(IF(A2375&lt;0,(10-0)*A2375,-0*A2375))+C$129*EXP(IF(A2375&lt;0,(10-1)*A2375,-1*A2375))+D$129*EXP(IF(A2375&lt;0,(10-2)*A2375,-2*A2375))+E$129*EXP(IF(A2375&lt;0,(10-3)*A2375,-3*A2375))+F$129*EXP(IF(A2375&lt;0,(10-4)*A2375,-4*A2375))+G$129*EXP(IF(A2375&lt;0,(10-5)*A2375,-5*A2375))+H$129*EXP(IF(A2375&lt;0,(10-6)*A2375,-6*A2375))+I$129*EXP(IF(A2375&lt;0,(10-7)*A2375,-7*A2375))+J$129*EXP(IF(A2375&lt;0,(10-8)*A2375,-8*A2375))+K$129*EXP(IF(A2375&lt;0,(10-9)*A2375,-9*A2375))+L$129*EXP(IF(A2375&lt;0,(10-10)*A2375,-10*A2375)),0)</x:f>
        <x:v>781911.3036068755</x:v>
      </x:c>
      <x:c r="C2375" s="256" t="n">
        <x:f>IF(B2375=0,IF(B2374=0,0,1),IF(B2374=0,0,IF(SIGN(B2375)&lt;&gt;SIGN(B2374),1,0)))</x:f>
        <x:v>0</x:v>
      </x:c>
      <x:c r="D2375" s="256" t="n">
        <x:f>EXP(A2375-0.005)-1</x:f>
        <x:v>-0.9871575604158214</x:v>
      </x:c>
    </x:row>
    <x:row r="2376" ht="20" customHeight="1">
      <x:c r="A2376" s="256" t="n">
        <x:f>-12+766*0.01</x:f>
        <x:v>-4.34</x:v>
      </x:c>
      <x:c r="B2376" s="256" t="n">
        <x:f>IF(COUNT($B$129:$L$129)=11,B$129*EXP(IF(A2376&lt;0,(10-0)*A2376,-0*A2376))+C$129*EXP(IF(A2376&lt;0,(10-1)*A2376,-1*A2376))+D$129*EXP(IF(A2376&lt;0,(10-2)*A2376,-2*A2376))+E$129*EXP(IF(A2376&lt;0,(10-3)*A2376,-3*A2376))+F$129*EXP(IF(A2376&lt;0,(10-4)*A2376,-4*A2376))+G$129*EXP(IF(A2376&lt;0,(10-5)*A2376,-5*A2376))+H$129*EXP(IF(A2376&lt;0,(10-6)*A2376,-6*A2376))+I$129*EXP(IF(A2376&lt;0,(10-7)*A2376,-7*A2376))+J$129*EXP(IF(A2376&lt;0,(10-8)*A2376,-8*A2376))+K$129*EXP(IF(A2376&lt;0,(10-9)*A2376,-9*A2376))+L$129*EXP(IF(A2376&lt;0,(10-10)*A2376,-10*A2376)),0)</x:f>
        <x:v>781912.9696973866</x:v>
      </x:c>
      <x:c r="C2376" s="256" t="n">
        <x:f>IF(B2376=0,IF(B2375=0,0,1),IF(B2375=0,0,IF(SIGN(B2376)&lt;&gt;SIGN(B2375),1,0)))</x:f>
        <x:v>0</x:v>
      </x:c>
      <x:c r="D2376" s="256" t="n">
        <x:f>EXP(A2376-0.005)-1</x:f>
        <x:v>-0.9870284917522321</x:v>
      </x:c>
    </x:row>
    <x:row r="2377" ht="20" customHeight="1">
      <x:c r="A2377" s="256" t="n">
        <x:f>-12+767*0.01</x:f>
        <x:v>-4.33</x:v>
      </x:c>
      <x:c r="B2377" s="256" t="n">
        <x:f>IF(COUNT($B$129:$L$129)=11,B$129*EXP(IF(A2377&lt;0,(10-0)*A2377,-0*A2377))+C$129*EXP(IF(A2377&lt;0,(10-1)*A2377,-1*A2377))+D$129*EXP(IF(A2377&lt;0,(10-2)*A2377,-2*A2377))+E$129*EXP(IF(A2377&lt;0,(10-3)*A2377,-3*A2377))+F$129*EXP(IF(A2377&lt;0,(10-4)*A2377,-4*A2377))+G$129*EXP(IF(A2377&lt;0,(10-5)*A2377,-5*A2377))+H$129*EXP(IF(A2377&lt;0,(10-6)*A2377,-6*A2377))+I$129*EXP(IF(A2377&lt;0,(10-7)*A2377,-7*A2377))+J$129*EXP(IF(A2377&lt;0,(10-8)*A2377,-8*A2377))+K$129*EXP(IF(A2377&lt;0,(10-9)*A2377,-9*A2377))+L$129*EXP(IF(A2377&lt;0,(10-10)*A2377,-10*A2377)),0)</x:f>
        <x:v>781914.6528692144</x:v>
      </x:c>
      <x:c r="C2377" s="256" t="n">
        <x:f>IF(B2377=0,IF(B2376=0,0,1),IF(B2376=0,0,IF(SIGN(B2377)&lt;&gt;SIGN(B2376),1,0)))</x:f>
        <x:v>0</x:v>
      </x:c>
      <x:c r="D2377" s="256" t="n">
        <x:f>EXP(A2377-0.005)-1</x:f>
        <x:v>-0.9868981259270083</x:v>
      </x:c>
    </x:row>
    <x:row r="2378" ht="20" customHeight="1">
      <x:c r="A2378" s="256" t="n">
        <x:f>-12+768*0.01</x:f>
        <x:v>-4.32</x:v>
      </x:c>
      <x:c r="B2378" s="256" t="n">
        <x:f>IF(COUNT($B$129:$L$129)=11,B$129*EXP(IF(A2378&lt;0,(10-0)*A2378,-0*A2378))+C$129*EXP(IF(A2378&lt;0,(10-1)*A2378,-1*A2378))+D$129*EXP(IF(A2378&lt;0,(10-2)*A2378,-2*A2378))+E$129*EXP(IF(A2378&lt;0,(10-3)*A2378,-3*A2378))+F$129*EXP(IF(A2378&lt;0,(10-4)*A2378,-4*A2378))+G$129*EXP(IF(A2378&lt;0,(10-5)*A2378,-5*A2378))+H$129*EXP(IF(A2378&lt;0,(10-6)*A2378,-6*A2378))+I$129*EXP(IF(A2378&lt;0,(10-7)*A2378,-7*A2378))+J$129*EXP(IF(A2378&lt;0,(10-8)*A2378,-8*A2378))+K$129*EXP(IF(A2378&lt;0,(10-9)*A2378,-9*A2378))+L$129*EXP(IF(A2378&lt;0,(10-10)*A2378,-10*A2378)),0)</x:f>
        <x:v>781916.3533009284</x:v>
      </x:c>
      <x:c r="C2378" s="256" t="n">
        <x:f>IF(B2378=0,IF(B2377=0,0,1),IF(B2377=0,0,IF(SIGN(B2378)&lt;&gt;SIGN(B2377),1,0)))</x:f>
        <x:v>0</x:v>
      </x:c>
      <x:c r="D2378" s="256" t="n">
        <x:f>EXP(A2378-0.005)-1</x:f>
        <x:v>-0.9867664499034591</x:v>
      </x:c>
    </x:row>
    <x:row r="2379" ht="20" customHeight="1">
      <x:c r="A2379" s="256" t="n">
        <x:f>-12+769*0.01</x:f>
        <x:v>-4.31</x:v>
      </x:c>
      <x:c r="B2379" s="256" t="n">
        <x:f>IF(COUNT($B$129:$L$129)=11,B$129*EXP(IF(A2379&lt;0,(10-0)*A2379,-0*A2379))+C$129*EXP(IF(A2379&lt;0,(10-1)*A2379,-1*A2379))+D$129*EXP(IF(A2379&lt;0,(10-2)*A2379,-2*A2379))+E$129*EXP(IF(A2379&lt;0,(10-3)*A2379,-3*A2379))+F$129*EXP(IF(A2379&lt;0,(10-4)*A2379,-4*A2379))+G$129*EXP(IF(A2379&lt;0,(10-5)*A2379,-5*A2379))+H$129*EXP(IF(A2379&lt;0,(10-6)*A2379,-6*A2379))+I$129*EXP(IF(A2379&lt;0,(10-7)*A2379,-7*A2379))+J$129*EXP(IF(A2379&lt;0,(10-8)*A2379,-8*A2379))+K$129*EXP(IF(A2379&lt;0,(10-9)*A2379,-9*A2379))+L$129*EXP(IF(A2379&lt;0,(10-10)*A2379,-10*A2379)),0)</x:f>
        <x:v>781918.071173035</x:v>
      </x:c>
      <x:c r="C2379" s="256" t="n">
        <x:f>IF(B2379=0,IF(B2378=0,0,1),IF(B2378=0,0,IF(SIGN(B2379)&lt;&gt;SIGN(B2378),1,0)))</x:f>
        <x:v>0</x:v>
      </x:c>
      <x:c r="D2379" s="256" t="n">
        <x:f>EXP(A2379-0.005)-1</x:f>
        <x:v>-0.9866334505138721</x:v>
      </x:c>
    </x:row>
    <x:row r="2380" ht="20" customHeight="1">
      <x:c r="A2380" s="256" t="n">
        <x:f>-12+770*0.01</x:f>
        <x:v>-4.3</x:v>
      </x:c>
      <x:c r="B2380" s="256" t="n">
        <x:f>IF(COUNT($B$129:$L$129)=11,B$129*EXP(IF(A2380&lt;0,(10-0)*A2380,-0*A2380))+C$129*EXP(IF(A2380&lt;0,(10-1)*A2380,-1*A2380))+D$129*EXP(IF(A2380&lt;0,(10-2)*A2380,-2*A2380))+E$129*EXP(IF(A2380&lt;0,(10-3)*A2380,-3*A2380))+F$129*EXP(IF(A2380&lt;0,(10-4)*A2380,-4*A2380))+G$129*EXP(IF(A2380&lt;0,(10-5)*A2380,-5*A2380))+H$129*EXP(IF(A2380&lt;0,(10-6)*A2380,-6*A2380))+I$129*EXP(IF(A2380&lt;0,(10-7)*A2380,-7*A2380))+J$129*EXP(IF(A2380&lt;0,(10-8)*A2380,-8*A2380))+K$129*EXP(IF(A2380&lt;0,(10-9)*A2380,-9*A2380))+L$129*EXP(IF(A2380&lt;0,(10-10)*A2380,-10*A2380)),0)</x:f>
        <x:v>781919.8066679998</x:v>
      </x:c>
      <x:c r="C2380" s="256" t="n">
        <x:f>IF(B2380=0,IF(B2379=0,0,1),IF(B2379=0,0,IF(SIGN(B2380)&lt;&gt;SIGN(B2379),1,0)))</x:f>
        <x:v>0</x:v>
      </x:c>
      <x:c r="D2380" s="256" t="n">
        <x:f>EXP(A2380-0.005)-1</x:f>
        <x:v>-0.9864991144581977</x:v>
      </x:c>
    </x:row>
    <x:row r="2381" ht="20" customHeight="1">
      <x:c r="A2381" s="256" t="n">
        <x:f>-12+771*0.01</x:f>
        <x:v>-4.29</x:v>
      </x:c>
      <x:c r="B2381" s="256" t="n">
        <x:f>IF(COUNT($B$129:$L$129)=11,B$129*EXP(IF(A2381&lt;0,(10-0)*A2381,-0*A2381))+C$129*EXP(IF(A2381&lt;0,(10-1)*A2381,-1*A2381))+D$129*EXP(IF(A2381&lt;0,(10-2)*A2381,-2*A2381))+E$129*EXP(IF(A2381&lt;0,(10-3)*A2381,-3*A2381))+F$129*EXP(IF(A2381&lt;0,(10-4)*A2381,-4*A2381))+G$129*EXP(IF(A2381&lt;0,(10-5)*A2381,-5*A2381))+H$129*EXP(IF(A2381&lt;0,(10-6)*A2381,-6*A2381))+I$129*EXP(IF(A2381&lt;0,(10-7)*A2381,-7*A2381))+J$129*EXP(IF(A2381&lt;0,(10-8)*A2381,-8*A2381))+K$129*EXP(IF(A2381&lt;0,(10-9)*A2381,-9*A2381))+L$129*EXP(IF(A2381&lt;0,(10-10)*A2381,-10*A2381)),0)</x:f>
        <x:v>781921.5599702707</x:v>
      </x:c>
      <x:c r="C2381" s="256" t="n">
        <x:f>IF(B2381=0,IF(B2380=0,0,1),IF(B2380=0,0,IF(SIGN(B2381)&lt;&gt;SIGN(B2380),1,0)))</x:f>
        <x:v>0</x:v>
      </x:c>
      <x:c r="D2381" s="256" t="n">
        <x:f>EXP(A2381-0.005)-1</x:f>
        <x:v>-0.9863634283027184</x:v>
      </x:c>
    </x:row>
    <x:row r="2382" ht="20" customHeight="1">
      <x:c r="A2382" s="256" t="n">
        <x:f>-12+772*0.01</x:f>
        <x:v>-4.28</x:v>
      </x:c>
      <x:c r="B2382" s="256" t="n">
        <x:f>IF(COUNT($B$129:$L$129)=11,B$129*EXP(IF(A2382&lt;0,(10-0)*A2382,-0*A2382))+C$129*EXP(IF(A2382&lt;0,(10-1)*A2382,-1*A2382))+D$129*EXP(IF(A2382&lt;0,(10-2)*A2382,-2*A2382))+E$129*EXP(IF(A2382&lt;0,(10-3)*A2382,-3*A2382))+F$129*EXP(IF(A2382&lt;0,(10-4)*A2382,-4*A2382))+G$129*EXP(IF(A2382&lt;0,(10-5)*A2382,-5*A2382))+H$129*EXP(IF(A2382&lt;0,(10-6)*A2382,-6*A2382))+I$129*EXP(IF(A2382&lt;0,(10-7)*A2382,-7*A2382))+J$129*EXP(IF(A2382&lt;0,(10-8)*A2382,-8*A2382))+K$129*EXP(IF(A2382&lt;0,(10-9)*A2382,-9*A2382))+L$129*EXP(IF(A2382&lt;0,(10-10)*A2382,-10*A2382)),0)</x:f>
        <x:v>781923.3312663008</x:v>
      </x:c>
      <x:c r="C2382" s="256" t="n">
        <x:f>IF(B2382=0,IF(B2381=0,0,1),IF(B2381=0,0,IF(SIGN(B2382)&lt;&gt;SIGN(B2381),1,0)))</x:f>
        <x:v>0</x:v>
      </x:c>
      <x:c r="D2382" s="256" t="n">
        <x:f>EXP(A2382-0.005)-1</x:f>
        <x:v>-0.9862263784787055</x:v>
      </x:c>
    </x:row>
    <x:row r="2383" ht="20" customHeight="1">
      <x:c r="A2383" s="256" t="n">
        <x:f>-12+773*0.01</x:f>
        <x:v>-4.27</x:v>
      </x:c>
      <x:c r="B2383" s="256" t="n">
        <x:f>IF(COUNT($B$129:$L$129)=11,B$129*EXP(IF(A2383&lt;0,(10-0)*A2383,-0*A2383))+C$129*EXP(IF(A2383&lt;0,(10-1)*A2383,-1*A2383))+D$129*EXP(IF(A2383&lt;0,(10-2)*A2383,-2*A2383))+E$129*EXP(IF(A2383&lt;0,(10-3)*A2383,-3*A2383))+F$129*EXP(IF(A2383&lt;0,(10-4)*A2383,-4*A2383))+G$129*EXP(IF(A2383&lt;0,(10-5)*A2383,-5*A2383))+H$129*EXP(IF(A2383&lt;0,(10-6)*A2383,-6*A2383))+I$129*EXP(IF(A2383&lt;0,(10-7)*A2383,-7*A2383))+J$129*EXP(IF(A2383&lt;0,(10-8)*A2383,-8*A2383))+K$129*EXP(IF(A2383&lt;0,(10-9)*A2383,-9*A2383))+L$129*EXP(IF(A2383&lt;0,(10-10)*A2383,-10*A2383)),0)</x:f>
        <x:v>781925.1207445713</x:v>
      </x:c>
      <x:c r="C2383" s="256" t="n">
        <x:f>IF(B2383=0,IF(B2382=0,0,1),IF(B2382=0,0,IF(SIGN(B2383)&lt;&gt;SIGN(B2382),1,0)))</x:f>
        <x:v>0</x:v>
      </x:c>
      <x:c r="D2383" s="256" t="n">
        <x:f>EXP(A2383-0.005)-1</x:f>
        <x:v>-0.9860879512810624</x:v>
      </x:c>
    </x:row>
    <x:row r="2384" ht="20" customHeight="1">
      <x:c r="A2384" s="256" t="n">
        <x:f>-12+774*0.01</x:f>
        <x:v>-4.26</x:v>
      </x:c>
      <x:c r="B2384" s="256" t="n">
        <x:f>IF(COUNT($B$129:$L$129)=11,B$129*EXP(IF(A2384&lt;0,(10-0)*A2384,-0*A2384))+C$129*EXP(IF(A2384&lt;0,(10-1)*A2384,-1*A2384))+D$129*EXP(IF(A2384&lt;0,(10-2)*A2384,-2*A2384))+E$129*EXP(IF(A2384&lt;0,(10-3)*A2384,-3*A2384))+F$129*EXP(IF(A2384&lt;0,(10-4)*A2384,-4*A2384))+G$129*EXP(IF(A2384&lt;0,(10-5)*A2384,-5*A2384))+H$129*EXP(IF(A2384&lt;0,(10-6)*A2384,-6*A2384))+I$129*EXP(IF(A2384&lt;0,(10-7)*A2384,-7*A2384))+J$129*EXP(IF(A2384&lt;0,(10-8)*A2384,-8*A2384))+K$129*EXP(IF(A2384&lt;0,(10-9)*A2384,-9*A2384))+L$129*EXP(IF(A2384&lt;0,(10-10)*A2384,-10*A2384)),0)</x:f>
        <x:v>781926.9285956157</x:v>
      </x:c>
      <x:c r="C2384" s="256" t="n">
        <x:f>IF(B2384=0,IF(B2383=0,0,1),IF(B2383=0,0,IF(SIGN(B2384)&lt;&gt;SIGN(B2383),1,0)))</x:f>
        <x:v>0</x:v>
      </x:c>
      <x:c r="D2384" s="256" t="n">
        <x:f>EXP(A2384-0.005)-1</x:f>
        <x:v>-0.9859481328669539</x:v>
      </x:c>
    </x:row>
    <x:row r="2385" ht="20" customHeight="1">
      <x:c r="A2385" s="256" t="n">
        <x:f>-12+775*0.01</x:f>
        <x:v>-4.25</x:v>
      </x:c>
      <x:c r="B2385" s="256" t="n">
        <x:f>IF(COUNT($B$129:$L$129)=11,B$129*EXP(IF(A2385&lt;0,(10-0)*A2385,-0*A2385))+C$129*EXP(IF(A2385&lt;0,(10-1)*A2385,-1*A2385))+D$129*EXP(IF(A2385&lt;0,(10-2)*A2385,-2*A2385))+E$129*EXP(IF(A2385&lt;0,(10-3)*A2385,-3*A2385))+F$129*EXP(IF(A2385&lt;0,(10-4)*A2385,-4*A2385))+G$129*EXP(IF(A2385&lt;0,(10-5)*A2385,-5*A2385))+H$129*EXP(IF(A2385&lt;0,(10-6)*A2385,-6*A2385))+I$129*EXP(IF(A2385&lt;0,(10-7)*A2385,-7*A2385))+J$129*EXP(IF(A2385&lt;0,(10-8)*A2385,-8*A2385))+K$129*EXP(IF(A2385&lt;0,(10-9)*A2385,-9*A2385))+L$129*EXP(IF(A2385&lt;0,(10-10)*A2385,-10*A2385)),0)</x:f>
        <x:v>781928.7550120433</x:v>
      </x:c>
      <x:c r="C2385" s="256" t="n">
        <x:f>IF(B2385=0,IF(B2384=0,0,1),IF(B2384=0,0,IF(SIGN(B2385)&lt;&gt;SIGN(B2384),1,0)))</x:f>
        <x:v>0</x:v>
      </x:c>
      <x:c r="D2385" s="256" t="n">
        <x:f>EXP(A2385-0.005)-1</x:f>
        <x:v>-0.9858069092544223</x:v>
      </x:c>
    </x:row>
    <x:row r="2386" ht="20" customHeight="1">
      <x:c r="A2386" s="256" t="n">
        <x:f>-12+776*0.01</x:f>
        <x:v>-4.24</x:v>
      </x:c>
      <x:c r="B2386" s="256" t="n">
        <x:f>IF(COUNT($B$129:$L$129)=11,B$129*EXP(IF(A2386&lt;0,(10-0)*A2386,-0*A2386))+C$129*EXP(IF(A2386&lt;0,(10-1)*A2386,-1*A2386))+D$129*EXP(IF(A2386&lt;0,(10-2)*A2386,-2*A2386))+E$129*EXP(IF(A2386&lt;0,(10-3)*A2386,-3*A2386))+F$129*EXP(IF(A2386&lt;0,(10-4)*A2386,-4*A2386))+G$129*EXP(IF(A2386&lt;0,(10-5)*A2386,-5*A2386))+H$129*EXP(IF(A2386&lt;0,(10-6)*A2386,-6*A2386))+I$129*EXP(IF(A2386&lt;0,(10-7)*A2386,-7*A2386))+J$129*EXP(IF(A2386&lt;0,(10-8)*A2386,-8*A2386))+K$129*EXP(IF(A2386&lt;0,(10-9)*A2386,-9*A2386))+L$129*EXP(IF(A2386&lt;0,(10-10)*A2386,-10*A2386)),0)</x:f>
        <x:v>781930.6001885637</x:v>
      </x:c>
      <x:c r="C2386" s="256" t="n">
        <x:f>IF(B2386=0,IF(B2385=0,0,1),IF(B2385=0,0,IF(SIGN(B2386)&lt;&gt;SIGN(B2385),1,0)))</x:f>
        <x:v>0</x:v>
      </x:c>
      <x:c r="D2386" s="256" t="n">
        <x:f>EXP(A2386-0.005)-1</x:f>
        <x:v>-0.9856642663209885</x:v>
      </x:c>
    </x:row>
    <x:row r="2387" ht="20" customHeight="1">
      <x:c r="A2387" s="256" t="n">
        <x:f>-12+777*0.01</x:f>
        <x:v>-4.2299999999999995</x:v>
      </x:c>
      <x:c r="B2387" s="256" t="n">
        <x:f>IF(COUNT($B$129:$L$129)=11,B$129*EXP(IF(A2387&lt;0,(10-0)*A2387,-0*A2387))+C$129*EXP(IF(A2387&lt;0,(10-1)*A2387,-1*A2387))+D$129*EXP(IF(A2387&lt;0,(10-2)*A2387,-2*A2387))+E$129*EXP(IF(A2387&lt;0,(10-3)*A2387,-3*A2387))+F$129*EXP(IF(A2387&lt;0,(10-4)*A2387,-4*A2387))+G$129*EXP(IF(A2387&lt;0,(10-5)*A2387,-5*A2387))+H$129*EXP(IF(A2387&lt;0,(10-6)*A2387,-6*A2387))+I$129*EXP(IF(A2387&lt;0,(10-7)*A2387,-7*A2387))+J$129*EXP(IF(A2387&lt;0,(10-8)*A2387,-8*A2387))+K$129*EXP(IF(A2387&lt;0,(10-9)*A2387,-9*A2387))+L$129*EXP(IF(A2387&lt;0,(10-10)*A2387,-10*A2387)),0)</x:f>
        <x:v>781932.464322011</x:v>
      </x:c>
      <x:c r="C2387" s="256" t="n">
        <x:f>IF(B2387=0,IF(B2386=0,0,1),IF(B2386=0,0,IF(SIGN(B2387)&lt;&gt;SIGN(B2386),1,0)))</x:f>
        <x:v>0</x:v>
      </x:c>
      <x:c r="D2387" s="256" t="n">
        <x:f>EXP(A2387-0.005)-1</x:f>
        <x:v>-0.9855201898022403</x:v>
      </x:c>
    </x:row>
    <x:row r="2388" ht="20" customHeight="1">
      <x:c r="A2388" s="256" t="n">
        <x:f>-12+778*0.01</x:f>
        <x:v>-4.22</x:v>
      </x:c>
      <x:c r="B2388" s="256" t="n">
        <x:f>IF(COUNT($B$129:$L$129)=11,B$129*EXP(IF(A2388&lt;0,(10-0)*A2388,-0*A2388))+C$129*EXP(IF(A2388&lt;0,(10-1)*A2388,-1*A2388))+D$129*EXP(IF(A2388&lt;0,(10-2)*A2388,-2*A2388))+E$129*EXP(IF(A2388&lt;0,(10-3)*A2388,-3*A2388))+F$129*EXP(IF(A2388&lt;0,(10-4)*A2388,-4*A2388))+G$129*EXP(IF(A2388&lt;0,(10-5)*A2388,-5*A2388))+H$129*EXP(IF(A2388&lt;0,(10-6)*A2388,-6*A2388))+I$129*EXP(IF(A2388&lt;0,(10-7)*A2388,-7*A2388))+J$129*EXP(IF(A2388&lt;0,(10-8)*A2388,-8*A2388))+K$129*EXP(IF(A2388&lt;0,(10-9)*A2388,-9*A2388))+L$129*EXP(IF(A2388&lt;0,(10-10)*A2388,-10*A2388)),0)</x:f>
        <x:v>781934.3476113691</x:v>
      </x:c>
      <x:c r="C2388" s="256" t="n">
        <x:f>IF(B2388=0,IF(B2387=0,0,1),IF(B2387=0,0,IF(SIGN(B2388)&lt;&gt;SIGN(B2387),1,0)))</x:f>
        <x:v>0</x:v>
      </x:c>
      <x:c r="D2388" s="256" t="n">
        <x:f>EXP(A2388-0.005)-1</x:f>
        <x:v>-0.9853746652904057</x:v>
      </x:c>
    </x:row>
    <x:row r="2389" ht="20" customHeight="1">
      <x:c r="A2389" s="256" t="n">
        <x:f>-12+779*0.01</x:f>
        <x:v>-4.21</x:v>
      </x:c>
      <x:c r="B2389" s="256" t="n">
        <x:f>IF(COUNT($B$129:$L$129)=11,B$129*EXP(IF(A2389&lt;0,(10-0)*A2389,-0*A2389))+C$129*EXP(IF(A2389&lt;0,(10-1)*A2389,-1*A2389))+D$129*EXP(IF(A2389&lt;0,(10-2)*A2389,-2*A2389))+E$129*EXP(IF(A2389&lt;0,(10-3)*A2389,-3*A2389))+F$129*EXP(IF(A2389&lt;0,(10-4)*A2389,-4*A2389))+G$129*EXP(IF(A2389&lt;0,(10-5)*A2389,-5*A2389))+H$129*EXP(IF(A2389&lt;0,(10-6)*A2389,-6*A2389))+I$129*EXP(IF(A2389&lt;0,(10-7)*A2389,-7*A2389))+J$129*EXP(IF(A2389&lt;0,(10-8)*A2389,-8*A2389))+K$129*EXP(IF(A2389&lt;0,(10-9)*A2389,-9*A2389))+L$129*EXP(IF(A2389&lt;0,(10-10)*A2389,-10*A2389)),0)</x:f>
        <x:v>781936.2502577967</x:v>
      </x:c>
      <x:c r="C2389" s="256" t="n">
        <x:f>IF(B2389=0,IF(B2388=0,0,1),IF(B2388=0,0,IF(SIGN(B2389)&lt;&gt;SIGN(B2388),1,0)))</x:f>
        <x:v>0</x:v>
      </x:c>
      <x:c r="D2389" s="256" t="n">
        <x:f>EXP(A2389-0.005)-1</x:f>
        <x:v>-0.9852276782329125</x:v>
      </x:c>
    </x:row>
    <x:row r="2390" ht="20" customHeight="1">
      <x:c r="A2390" s="256" t="n">
        <x:f>-12+780*0.01</x:f>
        <x:v>-4.2</x:v>
      </x:c>
      <x:c r="B2390" s="256" t="n">
        <x:f>IF(COUNT($B$129:$L$129)=11,B$129*EXP(IF(A2390&lt;0,(10-0)*A2390,-0*A2390))+C$129*EXP(IF(A2390&lt;0,(10-1)*A2390,-1*A2390))+D$129*EXP(IF(A2390&lt;0,(10-2)*A2390,-2*A2390))+E$129*EXP(IF(A2390&lt;0,(10-3)*A2390,-3*A2390))+F$129*EXP(IF(A2390&lt;0,(10-4)*A2390,-4*A2390))+G$129*EXP(IF(A2390&lt;0,(10-5)*A2390,-5*A2390))+H$129*EXP(IF(A2390&lt;0,(10-6)*A2390,-6*A2390))+I$129*EXP(IF(A2390&lt;0,(10-7)*A2390,-7*A2390))+J$129*EXP(IF(A2390&lt;0,(10-8)*A2390,-8*A2390))+K$129*EXP(IF(A2390&lt;0,(10-9)*A2390,-9*A2390))+L$129*EXP(IF(A2390&lt;0,(10-10)*A2390,-10*A2390)),0)</x:f>
        <x:v>781938.1724646525</x:v>
      </x:c>
      <x:c r="C2390" s="256" t="n">
        <x:f>IF(B2390=0,IF(B2389=0,0,1),IF(B2389=0,0,IF(SIGN(B2390)&lt;&gt;SIGN(B2389),1,0)))</x:f>
        <x:v>0</x:v>
      </x:c>
      <x:c r="D2390" s="256" t="n">
        <x:f>EXP(A2390-0.005)-1</x:f>
        <x:v>-0.9850792139309321</x:v>
      </x:c>
    </x:row>
    <x:row r="2391" ht="20" customHeight="1">
      <x:c r="A2391" s="256" t="n">
        <x:f>-12+781*0.01</x:f>
        <x:v>-4.1899999999999995</x:v>
      </x:c>
      <x:c r="B2391" s="256" t="n">
        <x:f>IF(COUNT($B$129:$L$129)=11,B$129*EXP(IF(A2391&lt;0,(10-0)*A2391,-0*A2391))+C$129*EXP(IF(A2391&lt;0,(10-1)*A2391,-1*A2391))+D$129*EXP(IF(A2391&lt;0,(10-2)*A2391,-2*A2391))+E$129*EXP(IF(A2391&lt;0,(10-3)*A2391,-3*A2391))+F$129*EXP(IF(A2391&lt;0,(10-4)*A2391,-4*A2391))+G$129*EXP(IF(A2391&lt;0,(10-5)*A2391,-5*A2391))+H$129*EXP(IF(A2391&lt;0,(10-6)*A2391,-6*A2391))+I$129*EXP(IF(A2391&lt;0,(10-7)*A2391,-7*A2391))+J$129*EXP(IF(A2391&lt;0,(10-8)*A2391,-8*A2391))+K$129*EXP(IF(A2391&lt;0,(10-9)*A2391,-9*A2391))+L$129*EXP(IF(A2391&lt;0,(10-10)*A2391,-10*A2391)),0)</x:f>
        <x:v>781940.1144375213</x:v>
      </x:c>
      <x:c r="C2391" s="256" t="n">
        <x:f>IF(B2391=0,IF(B2390=0,0,1),IF(B2390=0,0,IF(SIGN(B2391)&lt;&gt;SIGN(B2390),1,0)))</x:f>
        <x:v>0</x:v>
      </x:c>
      <x:c r="D2391" s="256" t="n">
        <x:f>EXP(A2391-0.005)-1</x:f>
        <x:v>-0.9849292575379109</x:v>
      </x:c>
    </x:row>
    <x:row r="2392" ht="20" customHeight="1">
      <x:c r="A2392" s="256" t="n">
        <x:f>-12+782*0.01</x:f>
        <x:v>-4.18</x:v>
      </x:c>
      <x:c r="B2392" s="256" t="n">
        <x:f>IF(COUNT($B$129:$L$129)=11,B$129*EXP(IF(A2392&lt;0,(10-0)*A2392,-0*A2392))+C$129*EXP(IF(A2392&lt;0,(10-1)*A2392,-1*A2392))+D$129*EXP(IF(A2392&lt;0,(10-2)*A2392,-2*A2392))+E$129*EXP(IF(A2392&lt;0,(10-3)*A2392,-3*A2392))+F$129*EXP(IF(A2392&lt;0,(10-4)*A2392,-4*A2392))+G$129*EXP(IF(A2392&lt;0,(10-5)*A2392,-5*A2392))+H$129*EXP(IF(A2392&lt;0,(10-6)*A2392,-6*A2392))+I$129*EXP(IF(A2392&lt;0,(10-7)*A2392,-7*A2392))+J$129*EXP(IF(A2392&lt;0,(10-8)*A2392,-8*A2392))+K$129*EXP(IF(A2392&lt;0,(10-9)*A2392,-9*A2392))+L$129*EXP(IF(A2392&lt;0,(10-10)*A2392,-10*A2392)),0)</x:f>
        <x:v>781942.0763842406</x:v>
      </x:c>
      <x:c r="C2392" s="256" t="n">
        <x:f>IF(B2392=0,IF(B2391=0,0,1),IF(B2391=0,0,IF(SIGN(B2392)&lt;&gt;SIGN(B2391),1,0)))</x:f>
        <x:v>0</x:v>
      </x:c>
      <x:c r="D2392" s="256" t="n">
        <x:f>EXP(A2392-0.005)-1</x:f>
        <x:v>-0.9847777940580844</x:v>
      </x:c>
    </x:row>
    <x:row r="2393" ht="20" customHeight="1">
      <x:c r="A2393" s="256" t="n">
        <x:f>-12+783*0.01</x:f>
        <x:v>-4.17</x:v>
      </x:c>
      <x:c r="B2393" s="256" t="n">
        <x:f>IF(COUNT($B$129:$L$129)=11,B$129*EXP(IF(A2393&lt;0,(10-0)*A2393,-0*A2393))+C$129*EXP(IF(A2393&lt;0,(10-1)*A2393,-1*A2393))+D$129*EXP(IF(A2393&lt;0,(10-2)*A2393,-2*A2393))+E$129*EXP(IF(A2393&lt;0,(10-3)*A2393,-3*A2393))+F$129*EXP(IF(A2393&lt;0,(10-4)*A2393,-4*A2393))+G$129*EXP(IF(A2393&lt;0,(10-5)*A2393,-5*A2393))+H$129*EXP(IF(A2393&lt;0,(10-6)*A2393,-6*A2393))+I$129*EXP(IF(A2393&lt;0,(10-7)*A2393,-7*A2393))+J$129*EXP(IF(A2393&lt;0,(10-8)*A2393,-8*A2393))+K$129*EXP(IF(A2393&lt;0,(10-9)*A2393,-9*A2393))+L$129*EXP(IF(A2393&lt;0,(10-10)*A2393,-10*A2393)),0)</x:f>
        <x:v>781944.0585149265</x:v>
      </x:c>
      <x:c r="C2393" s="256" t="n">
        <x:f>IF(B2393=0,IF(B2392=0,0,1),IF(B2392=0,0,IF(SIGN(B2393)&lt;&gt;SIGN(B2392),1,0)))</x:f>
        <x:v>0</x:v>
      </x:c>
      <x:c r="D2393" s="256" t="n">
        <x:f>EXP(A2393-0.005)-1</x:f>
        <x:v>-0.9846248083449786</x:v>
      </x:c>
    </x:row>
    <x:row r="2394" ht="20" customHeight="1">
      <x:c r="A2394" s="256" t="n">
        <x:f>-12+784*0.01</x:f>
        <x:v>-4.16</x:v>
      </x:c>
      <x:c r="B2394" s="256" t="n">
        <x:f>IF(COUNT($B$129:$L$129)=11,B$129*EXP(IF(A2394&lt;0,(10-0)*A2394,-0*A2394))+C$129*EXP(IF(A2394&lt;0,(10-1)*A2394,-1*A2394))+D$129*EXP(IF(A2394&lt;0,(10-2)*A2394,-2*A2394))+E$129*EXP(IF(A2394&lt;0,(10-3)*A2394,-3*A2394))+F$129*EXP(IF(A2394&lt;0,(10-4)*A2394,-4*A2394))+G$129*EXP(IF(A2394&lt;0,(10-5)*A2394,-5*A2394))+H$129*EXP(IF(A2394&lt;0,(10-6)*A2394,-6*A2394))+I$129*EXP(IF(A2394&lt;0,(10-7)*A2394,-7*A2394))+J$129*EXP(IF(A2394&lt;0,(10-8)*A2394,-8*A2394))+K$129*EXP(IF(A2394&lt;0,(10-9)*A2394,-9*A2394))+L$129*EXP(IF(A2394&lt;0,(10-10)*A2394,-10*A2394)),0)</x:f>
        <x:v>781946.0610420007</x:v>
      </x:c>
      <x:c r="C2394" s="256" t="n">
        <x:f>IF(B2394=0,IF(B2393=0,0,1),IF(B2393=0,0,IF(SIGN(B2394)&lt;&gt;SIGN(B2393),1,0)))</x:f>
        <x:v>0</x:v>
      </x:c>
      <x:c r="D2394" s="256" t="n">
        <x:f>EXP(A2394-0.005)-1</x:f>
        <x:v>-0.9844702850998945</x:v>
      </x:c>
    </x:row>
    <x:row r="2395" ht="20" customHeight="1">
      <x:c r="A2395" s="256" t="n">
        <x:f>-12+785*0.01</x:f>
        <x:v>-4.1499999999999995</x:v>
      </x:c>
      <x:c r="B2395" s="256" t="n">
        <x:f>IF(COUNT($B$129:$L$129)=11,B$129*EXP(IF(A2395&lt;0,(10-0)*A2395,-0*A2395))+C$129*EXP(IF(A2395&lt;0,(10-1)*A2395,-1*A2395))+D$129*EXP(IF(A2395&lt;0,(10-2)*A2395,-2*A2395))+E$129*EXP(IF(A2395&lt;0,(10-3)*A2395,-3*A2395))+F$129*EXP(IF(A2395&lt;0,(10-4)*A2395,-4*A2395))+G$129*EXP(IF(A2395&lt;0,(10-5)*A2395,-5*A2395))+H$129*EXP(IF(A2395&lt;0,(10-6)*A2395,-6*A2395))+I$129*EXP(IF(A2395&lt;0,(10-7)*A2395,-7*A2395))+J$129*EXP(IF(A2395&lt;0,(10-8)*A2395,-8*A2395))+K$129*EXP(IF(A2395&lt;0,(10-9)*A2395,-9*A2395))+L$129*EXP(IF(A2395&lt;0,(10-10)*A2395,-10*A2395)),0)</x:f>
        <x:v>781948.0841802178</x:v>
      </x:c>
      <x:c r="C2395" s="256" t="n">
        <x:f>IF(B2395=0,IF(B2394=0,0,1),IF(B2394=0,0,IF(SIGN(B2395)&lt;&gt;SIGN(B2394),1,0)))</x:f>
        <x:v>0</x:v>
      </x:c>
      <x:c r="D2395" s="256" t="n">
        <x:f>EXP(A2395-0.005)-1</x:f>
        <x:v>-0.9843142088703789</x:v>
      </x:c>
    </x:row>
    <x:row r="2396" ht="20" customHeight="1">
      <x:c r="A2396" s="256" t="n">
        <x:f>-12+786*0.01</x:f>
        <x:v>-4.14</x:v>
      </x:c>
      <x:c r="B2396" s="256" t="n">
        <x:f>IF(COUNT($B$129:$L$129)=11,B$129*EXP(IF(A2396&lt;0,(10-0)*A2396,-0*A2396))+C$129*EXP(IF(A2396&lt;0,(10-1)*A2396,-1*A2396))+D$129*EXP(IF(A2396&lt;0,(10-2)*A2396,-2*A2396))+E$129*EXP(IF(A2396&lt;0,(10-3)*A2396,-3*A2396))+F$129*EXP(IF(A2396&lt;0,(10-4)*A2396,-4*A2396))+G$129*EXP(IF(A2396&lt;0,(10-5)*A2396,-5*A2396))+H$129*EXP(IF(A2396&lt;0,(10-6)*A2396,-6*A2396))+I$129*EXP(IF(A2396&lt;0,(10-7)*A2396,-7*A2396))+J$129*EXP(IF(A2396&lt;0,(10-8)*A2396,-8*A2396))+K$129*EXP(IF(A2396&lt;0,(10-9)*A2396,-9*A2396))+L$129*EXP(IF(A2396&lt;0,(10-10)*A2396,-10*A2396)),0)</x:f>
        <x:v>781950.1281466933</x:v>
      </x:c>
      <x:c r="C2396" s="256" t="n">
        <x:f>IF(B2396=0,IF(B2395=0,0,1),IF(B2395=0,0,IF(SIGN(B2396)&lt;&gt;SIGN(B2395),1,0)))</x:f>
        <x:v>0</x:v>
      </x:c>
      <x:c r="D2396" s="256" t="n">
        <x:f>EXP(A2396-0.005)-1</x:f>
        <x:v>-0.9841565640486789</x:v>
      </x:c>
    </x:row>
    <x:row r="2397" ht="20" customHeight="1">
      <x:c r="A2397" s="256" t="n">
        <x:f>-12+787*0.01</x:f>
        <x:v>-4.13</x:v>
      </x:c>
      <x:c r="B2397" s="256" t="n">
        <x:f>IF(COUNT($B$129:$L$129)=11,B$129*EXP(IF(A2397&lt;0,(10-0)*A2397,-0*A2397))+C$129*EXP(IF(A2397&lt;0,(10-1)*A2397,-1*A2397))+D$129*EXP(IF(A2397&lt;0,(10-2)*A2397,-2*A2397))+E$129*EXP(IF(A2397&lt;0,(10-3)*A2397,-3*A2397))+F$129*EXP(IF(A2397&lt;0,(10-4)*A2397,-4*A2397))+G$129*EXP(IF(A2397&lt;0,(10-5)*A2397,-5*A2397))+H$129*EXP(IF(A2397&lt;0,(10-6)*A2397,-6*A2397))+I$129*EXP(IF(A2397&lt;0,(10-7)*A2397,-7*A2397))+J$129*EXP(IF(A2397&lt;0,(10-8)*A2397,-8*A2397))+K$129*EXP(IF(A2397&lt;0,(10-9)*A2397,-9*A2397))+L$129*EXP(IF(A2397&lt;0,(10-10)*A2397,-10*A2397)),0)</x:f>
        <x:v>781952.193160931</x:v>
      </x:c>
      <x:c r="C2397" s="256" t="n">
        <x:f>IF(B2397=0,IF(B2396=0,0,1),IF(B2396=0,0,IF(SIGN(B2397)&lt;&gt;SIGN(B2396),1,0)))</x:f>
        <x:v>0</x:v>
      </x:c>
      <x:c r="D2397" s="256" t="n">
        <x:f>EXP(A2397-0.005)-1</x:f>
        <x:v>-0.9839973348701808</x:v>
      </x:c>
    </x:row>
    <x:row r="2398" ht="20" customHeight="1">
      <x:c r="A2398" s="256" t="n">
        <x:f>-12+788*0.01</x:f>
        <x:v>-4.12</x:v>
      </x:c>
      <x:c r="B2398" s="256" t="n">
        <x:f>IF(COUNT($B$129:$L$129)=11,B$129*EXP(IF(A2398&lt;0,(10-0)*A2398,-0*A2398))+C$129*EXP(IF(A2398&lt;0,(10-1)*A2398,-1*A2398))+D$129*EXP(IF(A2398&lt;0,(10-2)*A2398,-2*A2398))+E$129*EXP(IF(A2398&lt;0,(10-3)*A2398,-3*A2398))+F$129*EXP(IF(A2398&lt;0,(10-4)*A2398,-4*A2398))+G$129*EXP(IF(A2398&lt;0,(10-5)*A2398,-5*A2398))+H$129*EXP(IF(A2398&lt;0,(10-6)*A2398,-6*A2398))+I$129*EXP(IF(A2398&lt;0,(10-7)*A2398,-7*A2398))+J$129*EXP(IF(A2398&lt;0,(10-8)*A2398,-8*A2398))+K$129*EXP(IF(A2398&lt;0,(10-9)*A2398,-9*A2398))+L$129*EXP(IF(A2398&lt;0,(10-10)*A2398,-10*A2398)),0)</x:f>
        <x:v>781954.2794448513</x:v>
      </x:c>
      <x:c r="C2398" s="256" t="n">
        <x:f>IF(B2398=0,IF(B2397=0,0,1),IF(B2397=0,0,IF(SIGN(B2398)&lt;&gt;SIGN(B2397),1,0)))</x:f>
        <x:v>0</x:v>
      </x:c>
      <x:c r="D2398" s="256" t="n">
        <x:f>EXP(A2398-0.005)-1</x:f>
        <x:v>-0.9838365054118341</x:v>
      </x:c>
    </x:row>
    <x:row r="2399" ht="20" customHeight="1">
      <x:c r="A2399" s="256" t="n">
        <x:f>-12+789*0.01</x:f>
        <x:v>-4.109999999999999</x:v>
      </x:c>
      <x:c r="B2399" s="256" t="n">
        <x:f>IF(COUNT($B$129:$L$129)=11,B$129*EXP(IF(A2399&lt;0,(10-0)*A2399,-0*A2399))+C$129*EXP(IF(A2399&lt;0,(10-1)*A2399,-1*A2399))+D$129*EXP(IF(A2399&lt;0,(10-2)*A2399,-2*A2399))+E$129*EXP(IF(A2399&lt;0,(10-3)*A2399,-3*A2399))+F$129*EXP(IF(A2399&lt;0,(10-4)*A2399,-4*A2399))+G$129*EXP(IF(A2399&lt;0,(10-5)*A2399,-5*A2399))+H$129*EXP(IF(A2399&lt;0,(10-6)*A2399,-6*A2399))+I$129*EXP(IF(A2399&lt;0,(10-7)*A2399,-7*A2399))+J$129*EXP(IF(A2399&lt;0,(10-8)*A2399,-8*A2399))+K$129*EXP(IF(A2399&lt;0,(10-9)*A2399,-9*A2399))+L$129*EXP(IF(A2399&lt;0,(10-10)*A2399,-10*A2399)),0)</x:f>
        <x:v>781956.3872228207</x:v>
      </x:c>
      <x:c r="C2399" s="256" t="n">
        <x:f>IF(B2399=0,IF(B2398=0,0,1),IF(B2398=0,0,IF(SIGN(B2399)&lt;&gt;SIGN(B2398),1,0)))</x:f>
        <x:v>0</x:v>
      </x:c>
      <x:c r="D2399" s="256" t="n">
        <x:f>EXP(A2399-0.005)-1</x:f>
        <x:v>-0.983674059590559</x:v>
      </x:c>
    </x:row>
    <x:row r="2400" ht="20" customHeight="1">
      <x:c r="A2400" s="256" t="n">
        <x:f>-12+790*0.01</x:f>
        <x:v>-4.1</x:v>
      </x:c>
      <x:c r="B2400" s="256" t="n">
        <x:f>IF(COUNT($B$129:$L$129)=11,B$129*EXP(IF(A2400&lt;0,(10-0)*A2400,-0*A2400))+C$129*EXP(IF(A2400&lt;0,(10-1)*A2400,-1*A2400))+D$129*EXP(IF(A2400&lt;0,(10-2)*A2400,-2*A2400))+E$129*EXP(IF(A2400&lt;0,(10-3)*A2400,-3*A2400))+F$129*EXP(IF(A2400&lt;0,(10-4)*A2400,-4*A2400))+G$129*EXP(IF(A2400&lt;0,(10-5)*A2400,-5*A2400))+H$129*EXP(IF(A2400&lt;0,(10-6)*A2400,-6*A2400))+I$129*EXP(IF(A2400&lt;0,(10-7)*A2400,-7*A2400))+J$129*EXP(IF(A2400&lt;0,(10-8)*A2400,-8*A2400))+K$129*EXP(IF(A2400&lt;0,(10-9)*A2400,-9*A2400))+L$129*EXP(IF(A2400&lt;0,(10-10)*A2400,-10*A2400)),0)</x:f>
        <x:v>781958.5167216796</x:v>
      </x:c>
      <x:c r="C2400" s="256" t="n">
        <x:f>IF(B2400=0,IF(B2399=0,0,1),IF(B2399=0,0,IF(SIGN(B2400)&lt;&gt;SIGN(B2399),1,0)))</x:f>
        <x:v>0</x:v>
      </x:c>
      <x:c r="D2400" s="256" t="n">
        <x:f>EXP(A2400-0.005)-1</x:f>
        <x:v>-0.9835099811616379</x:v>
      </x:c>
    </x:row>
    <x:row r="2401" ht="20" customHeight="1">
      <x:c r="A2401" s="256" t="n">
        <x:f>-12+791*0.01</x:f>
        <x:v>-4.09</x:v>
      </x:c>
      <x:c r="B2401" s="256" t="n">
        <x:f>IF(COUNT($B$129:$L$129)=11,B$129*EXP(IF(A2401&lt;0,(10-0)*A2401,-0*A2401))+C$129*EXP(IF(A2401&lt;0,(10-1)*A2401,-1*A2401))+D$129*EXP(IF(A2401&lt;0,(10-2)*A2401,-2*A2401))+E$129*EXP(IF(A2401&lt;0,(10-3)*A2401,-3*A2401))+F$129*EXP(IF(A2401&lt;0,(10-4)*A2401,-4*A2401))+G$129*EXP(IF(A2401&lt;0,(10-5)*A2401,-5*A2401))+H$129*EXP(IF(A2401&lt;0,(10-6)*A2401,-6*A2401))+I$129*EXP(IF(A2401&lt;0,(10-7)*A2401,-7*A2401))+J$129*EXP(IF(A2401&lt;0,(10-8)*A2401,-8*A2401))+K$129*EXP(IF(A2401&lt;0,(10-9)*A2401,-9*A2401))+L$129*EXP(IF(A2401&lt;0,(10-10)*A2401,-10*A2401)),0)</x:f>
        <x:v>781960.6681707733</x:v>
      </x:c>
      <x:c r="C2401" s="256" t="n">
        <x:f>IF(B2401=0,IF(B2400=0,0,1),IF(B2400=0,0,IF(SIGN(B2401)&lt;&gt;SIGN(B2400),1,0)))</x:f>
        <x:v>0</x:v>
      </x:c>
      <x:c r="D2401" s="256" t="n">
        <x:f>EXP(A2401-0.005)-1</x:f>
        <x:v>-0.9833442537170913</x:v>
      </x:c>
    </x:row>
    <x:row r="2402" ht="20" customHeight="1">
      <x:c r="A2402" s="256" t="n">
        <x:f>-12+792*0.01</x:f>
        <x:v>-4.08</x:v>
      </x:c>
      <x:c r="B2402" s="256" t="n">
        <x:f>IF(COUNT($B$129:$L$129)=11,B$129*EXP(IF(A2402&lt;0,(10-0)*A2402,-0*A2402))+C$129*EXP(IF(A2402&lt;0,(10-1)*A2402,-1*A2402))+D$129*EXP(IF(A2402&lt;0,(10-2)*A2402,-2*A2402))+E$129*EXP(IF(A2402&lt;0,(10-3)*A2402,-3*A2402))+F$129*EXP(IF(A2402&lt;0,(10-4)*A2402,-4*A2402))+G$129*EXP(IF(A2402&lt;0,(10-5)*A2402,-5*A2402))+H$129*EXP(IF(A2402&lt;0,(10-6)*A2402,-6*A2402))+I$129*EXP(IF(A2402&lt;0,(10-7)*A2402,-7*A2402))+J$129*EXP(IF(A2402&lt;0,(10-8)*A2402,-8*A2402))+K$129*EXP(IF(A2402&lt;0,(10-9)*A2402,-9*A2402))+L$129*EXP(IF(A2402&lt;0,(10-10)*A2402,-10*A2402)),0)</x:f>
        <x:v>781962.8418019805</x:v>
      </x:c>
      <x:c r="C2402" s="256" t="n">
        <x:f>IF(B2402=0,IF(B2401=0,0,1),IF(B2401=0,0,IF(SIGN(B2402)&lt;&gt;SIGN(B2401),1,0)))</x:f>
        <x:v>0</x:v>
      </x:c>
      <x:c r="D2402" s="256" t="n">
        <x:f>EXP(A2402-0.005)-1</x:f>
        <x:v>-0.9831768606840366</x:v>
      </x:c>
    </x:row>
    <x:row r="2403" ht="20" customHeight="1">
      <x:c r="A2403" s="256" t="n">
        <x:f>-12+793*0.01</x:f>
        <x:v>-4.069999999999999</x:v>
      </x:c>
      <x:c r="B2403" s="256" t="n">
        <x:f>IF(COUNT($B$129:$L$129)=11,B$129*EXP(IF(A2403&lt;0,(10-0)*A2403,-0*A2403))+C$129*EXP(IF(A2403&lt;0,(10-1)*A2403,-1*A2403))+D$129*EXP(IF(A2403&lt;0,(10-2)*A2403,-2*A2403))+E$129*EXP(IF(A2403&lt;0,(10-3)*A2403,-3*A2403))+F$129*EXP(IF(A2403&lt;0,(10-4)*A2403,-4*A2403))+G$129*EXP(IF(A2403&lt;0,(10-5)*A2403,-5*A2403))+H$129*EXP(IF(A2403&lt;0,(10-6)*A2403,-6*A2403))+I$129*EXP(IF(A2403&lt;0,(10-7)*A2403,-7*A2403))+J$129*EXP(IF(A2403&lt;0,(10-8)*A2403,-8*A2403))+K$129*EXP(IF(A2403&lt;0,(10-9)*A2403,-9*A2403))+L$129*EXP(IF(A2403&lt;0,(10-10)*A2403,-10*A2403)),0)</x:f>
        <x:v>781965.0378497444</x:v>
      </x:c>
      <x:c r="C2403" s="256" t="n">
        <x:f>IF(B2403=0,IF(B2402=0,0,1),IF(B2402=0,0,IF(SIGN(B2403)&lt;&gt;SIGN(B2402),1,0)))</x:f>
        <x:v>0</x:v>
      </x:c>
      <x:c r="D2403" s="256" t="n">
        <x:f>EXP(A2403-0.005)-1</x:f>
        <x:v>-0.9830077853230309</x:v>
      </x:c>
    </x:row>
    <x:row r="2404" ht="20" customHeight="1">
      <x:c r="A2404" s="256" t="n">
        <x:f>-12+794*0.01</x:f>
        <x:v>-4.06</x:v>
      </x:c>
      <x:c r="B2404" s="256" t="n">
        <x:f>IF(COUNT($B$129:$L$129)=11,B$129*EXP(IF(A2404&lt;0,(10-0)*A2404,-0*A2404))+C$129*EXP(IF(A2404&lt;0,(10-1)*A2404,-1*A2404))+D$129*EXP(IF(A2404&lt;0,(10-2)*A2404,-2*A2404))+E$129*EXP(IF(A2404&lt;0,(10-3)*A2404,-3*A2404))+F$129*EXP(IF(A2404&lt;0,(10-4)*A2404,-4*A2404))+G$129*EXP(IF(A2404&lt;0,(10-5)*A2404,-5*A2404))+H$129*EXP(IF(A2404&lt;0,(10-6)*A2404,-6*A2404))+I$129*EXP(IF(A2404&lt;0,(10-7)*A2404,-7*A2404))+J$129*EXP(IF(A2404&lt;0,(10-8)*A2404,-8*A2404))+K$129*EXP(IF(A2404&lt;0,(10-9)*A2404,-9*A2404))+L$129*EXP(IF(A2404&lt;0,(10-10)*A2404,-10*A2404)),0)</x:f>
        <x:v>781967.2565511033</x:v>
      </x:c>
      <x:c r="C2404" s="256" t="n">
        <x:f>IF(B2404=0,IF(B2403=0,0,1),IF(B2403=0,0,IF(SIGN(B2404)&lt;&gt;SIGN(B2403),1,0)))</x:f>
        <x:v>0</x:v>
      </x:c>
      <x:c r="D2404" s="256" t="n">
        <x:f>EXP(A2404-0.005)-1</x:f>
        <x:v>-0.9828370107263973</x:v>
      </x:c>
    </x:row>
    <x:row r="2405" ht="20" customHeight="1">
      <x:c r="A2405" s="256" t="n">
        <x:f>-12+795*0.01</x:f>
        <x:v>-4.05</x:v>
      </x:c>
      <x:c r="B2405" s="256" t="n">
        <x:f>IF(COUNT($B$129:$L$129)=11,B$129*EXP(IF(A2405&lt;0,(10-0)*A2405,-0*A2405))+C$129*EXP(IF(A2405&lt;0,(10-1)*A2405,-1*A2405))+D$129*EXP(IF(A2405&lt;0,(10-2)*A2405,-2*A2405))+E$129*EXP(IF(A2405&lt;0,(10-3)*A2405,-3*A2405))+F$129*EXP(IF(A2405&lt;0,(10-4)*A2405,-4*A2405))+G$129*EXP(IF(A2405&lt;0,(10-5)*A2405,-5*A2405))+H$129*EXP(IF(A2405&lt;0,(10-6)*A2405,-6*A2405))+I$129*EXP(IF(A2405&lt;0,(10-7)*A2405,-7*A2405))+J$129*EXP(IF(A2405&lt;0,(10-8)*A2405,-8*A2405))+K$129*EXP(IF(A2405&lt;0,(10-9)*A2405,-9*A2405))+L$129*EXP(IF(A2405&lt;0,(10-10)*A2405,-10*A2405)),0)</x:f>
        <x:v>781969.4981457212</x:v>
      </x:c>
      <x:c r="C2405" s="256" t="n">
        <x:f>IF(B2405=0,IF(B2404=0,0,1),IF(B2404=0,0,IF(SIGN(B2405)&lt;&gt;SIGN(B2404),1,0)))</x:f>
        <x:v>0</x:v>
      </x:c>
      <x:c r="D2405" s="256" t="n">
        <x:f>EXP(A2405-0.005)-1</x:f>
        <x:v>-0.9826645198165338</x:v>
      </x:c>
    </x:row>
    <x:row r="2406" ht="20" customHeight="1">
      <x:c r="A2406" s="256" t="n">
        <x:f>-12+796*0.01</x:f>
        <x:v>-4.04</x:v>
      </x:c>
      <x:c r="B2406" s="256" t="n">
        <x:f>IF(COUNT($B$129:$L$129)=11,B$129*EXP(IF(A2406&lt;0,(10-0)*A2406,-0*A2406))+C$129*EXP(IF(A2406&lt;0,(10-1)*A2406,-1*A2406))+D$129*EXP(IF(A2406&lt;0,(10-2)*A2406,-2*A2406))+E$129*EXP(IF(A2406&lt;0,(10-3)*A2406,-3*A2406))+F$129*EXP(IF(A2406&lt;0,(10-4)*A2406,-4*A2406))+G$129*EXP(IF(A2406&lt;0,(10-5)*A2406,-5*A2406))+H$129*EXP(IF(A2406&lt;0,(10-6)*A2406,-6*A2406))+I$129*EXP(IF(A2406&lt;0,(10-7)*A2406,-7*A2406))+J$129*EXP(IF(A2406&lt;0,(10-8)*A2406,-8*A2406))+K$129*EXP(IF(A2406&lt;0,(10-9)*A2406,-9*A2406))+L$129*EXP(IF(A2406&lt;0,(10-10)*A2406,-10*A2406)),0)</x:f>
        <x:v>781971.7628759198</x:v>
      </x:c>
      <x:c r="C2406" s="256" t="n">
        <x:f>IF(B2406=0,IF(B2405=0,0,1),IF(B2405=0,0,IF(SIGN(B2406)&lt;&gt;SIGN(B2405),1,0)))</x:f>
        <x:v>0</x:v>
      </x:c>
      <x:c r="D2406" s="256" t="n">
        <x:f>EXP(A2406-0.005)-1</x:f>
        <x:v>-0.9824902953442057</x:v>
      </x:c>
    </x:row>
    <x:row r="2407" ht="20" customHeight="1">
      <x:c r="A2407" s="256" t="n">
        <x:f>-12+797*0.01</x:f>
        <x:v>-4.03</x:v>
      </x:c>
      <x:c r="B2407" s="256" t="n">
        <x:f>IF(COUNT($B$129:$L$129)=11,B$129*EXP(IF(A2407&lt;0,(10-0)*A2407,-0*A2407))+C$129*EXP(IF(A2407&lt;0,(10-1)*A2407,-1*A2407))+D$129*EXP(IF(A2407&lt;0,(10-2)*A2407,-2*A2407))+E$129*EXP(IF(A2407&lt;0,(10-3)*A2407,-3*A2407))+F$129*EXP(IF(A2407&lt;0,(10-4)*A2407,-4*A2407))+G$129*EXP(IF(A2407&lt;0,(10-5)*A2407,-5*A2407))+H$129*EXP(IF(A2407&lt;0,(10-6)*A2407,-6*A2407))+I$129*EXP(IF(A2407&lt;0,(10-7)*A2407,-7*A2407))+J$129*EXP(IF(A2407&lt;0,(10-8)*A2407,-8*A2407))+K$129*EXP(IF(A2407&lt;0,(10-9)*A2407,-9*A2407))+L$129*EXP(IF(A2407&lt;0,(10-10)*A2407,-10*A2407)),0)</x:f>
        <x:v>781974.0509867106</x:v>
      </x:c>
      <x:c r="C2407" s="256" t="n">
        <x:f>IF(B2407=0,IF(B2406=0,0,1),IF(B2406=0,0,IF(SIGN(B2407)&lt;&gt;SIGN(B2406),1,0)))</x:f>
        <x:v>0</x:v>
      </x:c>
      <x:c r="D2407" s="256" t="n">
        <x:f>EXP(A2407-0.005)-1</x:f>
        <x:v>-0.9823143198868206</x:v>
      </x:c>
    </x:row>
    <x:row r="2408" ht="20" customHeight="1">
      <x:c r="A2408" s="256" t="n">
        <x:f>-12+798*0.01</x:f>
        <x:v>-4.02</x:v>
      </x:c>
      <x:c r="B2408" s="256" t="n">
        <x:f>IF(COUNT($B$129:$L$129)=11,B$129*EXP(IF(A2408&lt;0,(10-0)*A2408,-0*A2408))+C$129*EXP(IF(A2408&lt;0,(10-1)*A2408,-1*A2408))+D$129*EXP(IF(A2408&lt;0,(10-2)*A2408,-2*A2408))+E$129*EXP(IF(A2408&lt;0,(10-3)*A2408,-3*A2408))+F$129*EXP(IF(A2408&lt;0,(10-4)*A2408,-4*A2408))+G$129*EXP(IF(A2408&lt;0,(10-5)*A2408,-5*A2408))+H$129*EXP(IF(A2408&lt;0,(10-6)*A2408,-6*A2408))+I$129*EXP(IF(A2408&lt;0,(10-7)*A2408,-7*A2408))+J$129*EXP(IF(A2408&lt;0,(10-8)*A2408,-8*A2408))+K$129*EXP(IF(A2408&lt;0,(10-9)*A2408,-9*A2408))+L$129*EXP(IF(A2408&lt;0,(10-10)*A2408,-10*A2408)),0)</x:f>
        <x:v>781976.3627258266</x:v>
      </x:c>
      <x:c r="C2408" s="256" t="n">
        <x:f>IF(B2408=0,IF(B2407=0,0,1),IF(B2407=0,0,IF(SIGN(B2408)&lt;&gt;SIGN(B2407),1,0)))</x:f>
        <x:v>0</x:v>
      </x:c>
      <x:c r="D2408" s="256" t="n">
        <x:f>EXP(A2408-0.005)-1</x:f>
        <x:v>-0.9821365758466859</x:v>
      </x:c>
    </x:row>
    <x:row r="2409" ht="20" customHeight="1">
      <x:c r="A2409" s="256" t="n">
        <x:f>-12+799*0.01</x:f>
        <x:v>-4.01</x:v>
      </x:c>
      <x:c r="B2409" s="256" t="n">
        <x:f>IF(COUNT($B$129:$L$129)=11,B$129*EXP(IF(A2409&lt;0,(10-0)*A2409,-0*A2409))+C$129*EXP(IF(A2409&lt;0,(10-1)*A2409,-1*A2409))+D$129*EXP(IF(A2409&lt;0,(10-2)*A2409,-2*A2409))+E$129*EXP(IF(A2409&lt;0,(10-3)*A2409,-3*A2409))+F$129*EXP(IF(A2409&lt;0,(10-4)*A2409,-4*A2409))+G$129*EXP(IF(A2409&lt;0,(10-5)*A2409,-5*A2409))+H$129*EXP(IF(A2409&lt;0,(10-6)*A2409,-6*A2409))+I$129*EXP(IF(A2409&lt;0,(10-7)*A2409,-7*A2409))+J$129*EXP(IF(A2409&lt;0,(10-8)*A2409,-8*A2409))+K$129*EXP(IF(A2409&lt;0,(10-9)*A2409,-9*A2409))+L$129*EXP(IF(A2409&lt;0,(10-10)*A2409,-10*A2409)),0)</x:f>
        <x:v>781978.6983437554</x:v>
      </x:c>
      <x:c r="C2409" s="256" t="n">
        <x:f>IF(B2409=0,IF(B2408=0,0,1),IF(B2408=0,0,IF(SIGN(B2409)&lt;&gt;SIGN(B2408),1,0)))</x:f>
        <x:v>0</x:v>
      </x:c>
      <x:c r="D2409" s="256" t="n">
        <x:f>EXP(A2409-0.005)-1</x:f>
        <x:v>-0.9819570454492498</x:v>
      </x:c>
    </x:row>
    <x:row r="2410" ht="20" customHeight="1">
      <x:c r="A2410" s="256" t="n">
        <x:f>-12+800*0.01</x:f>
        <x:v>-4</x:v>
      </x:c>
      <x:c r="B2410" s="256" t="n">
        <x:f>IF(COUNT($B$129:$L$129)=11,B$129*EXP(IF(A2410&lt;0,(10-0)*A2410,-0*A2410))+C$129*EXP(IF(A2410&lt;0,(10-1)*A2410,-1*A2410))+D$129*EXP(IF(A2410&lt;0,(10-2)*A2410,-2*A2410))+E$129*EXP(IF(A2410&lt;0,(10-3)*A2410,-3*A2410))+F$129*EXP(IF(A2410&lt;0,(10-4)*A2410,-4*A2410))+G$129*EXP(IF(A2410&lt;0,(10-5)*A2410,-5*A2410))+H$129*EXP(IF(A2410&lt;0,(10-6)*A2410,-6*A2410))+I$129*EXP(IF(A2410&lt;0,(10-7)*A2410,-7*A2410))+J$129*EXP(IF(A2410&lt;0,(10-8)*A2410,-8*A2410))+K$129*EXP(IF(A2410&lt;0,(10-9)*A2410,-9*A2410))+L$129*EXP(IF(A2410&lt;0,(10-10)*A2410,-10*A2410)),0)</x:f>
        <x:v>781981.0580937733</x:v>
      </x:c>
      <x:c r="C2410" s="256" t="n">
        <x:f>IF(B2410=0,IF(B2409=0,0,1),IF(B2409=0,0,IF(SIGN(B2410)&lt;&gt;SIGN(B2409),1,0)))</x:f>
        <x:v>0</x:v>
      </x:c>
      <x:c r="D2410" s="256" t="n">
        <x:f>EXP(A2410-0.005)-1</x:f>
        <x:v>-0.9817757107413227</x:v>
      </x:c>
    </x:row>
    <x:row r="2411" ht="20" customHeight="1">
      <x:c r="A2411" s="256" t="n">
        <x:f>-12+801*0.01</x:f>
        <x:v>-3.99</x:v>
      </x:c>
      <x:c r="B2411" s="256" t="n">
        <x:f>IF(COUNT($B$129:$L$129)=11,B$129*EXP(IF(A2411&lt;0,(10-0)*A2411,-0*A2411))+C$129*EXP(IF(A2411&lt;0,(10-1)*A2411,-1*A2411))+D$129*EXP(IF(A2411&lt;0,(10-2)*A2411,-2*A2411))+E$129*EXP(IF(A2411&lt;0,(10-3)*A2411,-3*A2411))+F$129*EXP(IF(A2411&lt;0,(10-4)*A2411,-4*A2411))+G$129*EXP(IF(A2411&lt;0,(10-5)*A2411,-5*A2411))+H$129*EXP(IF(A2411&lt;0,(10-6)*A2411,-6*A2411))+I$129*EXP(IF(A2411&lt;0,(10-7)*A2411,-7*A2411))+J$129*EXP(IF(A2411&lt;0,(10-8)*A2411,-8*A2411))+K$129*EXP(IF(A2411&lt;0,(10-9)*A2411,-9*A2411))+L$129*EXP(IF(A2411&lt;0,(10-10)*A2411,-10*A2411)),0)</x:f>
        <x:v>781983.4422319775</x:v>
      </x:c>
      <x:c r="C2411" s="256" t="n">
        <x:f>IF(B2411=0,IF(B2410=0,0,1),IF(B2410=0,0,IF(SIGN(B2411)&lt;&gt;SIGN(B2410),1,0)))</x:f>
        <x:v>0</x:v>
      </x:c>
      <x:c r="D2411" s="256" t="n">
        <x:f>EXP(A2411-0.005)-1</x:f>
        <x:v>-0.9815925535892828</x:v>
      </x:c>
    </x:row>
    <x:row r="2412" ht="20" customHeight="1">
      <x:c r="A2412" s="256" t="n">
        <x:f>-12+802*0.01</x:f>
        <x:v>-3.9800000000000004</x:v>
      </x:c>
      <x:c r="B2412" s="256" t="n">
        <x:f>IF(COUNT($B$129:$L$129)=11,B$129*EXP(IF(A2412&lt;0,(10-0)*A2412,-0*A2412))+C$129*EXP(IF(A2412&lt;0,(10-1)*A2412,-1*A2412))+D$129*EXP(IF(A2412&lt;0,(10-2)*A2412,-2*A2412))+E$129*EXP(IF(A2412&lt;0,(10-3)*A2412,-3*A2412))+F$129*EXP(IF(A2412&lt;0,(10-4)*A2412,-4*A2412))+G$129*EXP(IF(A2412&lt;0,(10-5)*A2412,-5*A2412))+H$129*EXP(IF(A2412&lt;0,(10-6)*A2412,-6*A2412))+I$129*EXP(IF(A2412&lt;0,(10-7)*A2412,-7*A2412))+J$129*EXP(IF(A2412&lt;0,(10-8)*A2412,-8*A2412))+K$129*EXP(IF(A2412&lt;0,(10-9)*A2412,-9*A2412))+L$129*EXP(IF(A2412&lt;0,(10-10)*A2412,-10*A2412)),0)</x:f>
        <x:v>781985.8510173212</x:v>
      </x:c>
      <x:c r="C2412" s="256" t="n">
        <x:f>IF(B2412=0,IF(B2411=0,0,1),IF(B2411=0,0,IF(SIGN(B2412)&lt;&gt;SIGN(B2411),1,0)))</x:f>
        <x:v>0</x:v>
      </x:c>
      <x:c r="D2412" s="256" t="n">
        <x:f>EXP(A2412-0.005)-1</x:f>
        <x:v>-0.9814075556772622</x:v>
      </x:c>
    </x:row>
    <x:row r="2413" ht="20" customHeight="1">
      <x:c r="A2413" s="256" t="n">
        <x:f>-12+803*0.01</x:f>
        <x:v>-3.9700000000000006</x:v>
      </x:c>
      <x:c r="B2413" s="256" t="n">
        <x:f>IF(COUNT($B$129:$L$129)=11,B$129*EXP(IF(A2413&lt;0,(10-0)*A2413,-0*A2413))+C$129*EXP(IF(A2413&lt;0,(10-1)*A2413,-1*A2413))+D$129*EXP(IF(A2413&lt;0,(10-2)*A2413,-2*A2413))+E$129*EXP(IF(A2413&lt;0,(10-3)*A2413,-3*A2413))+F$129*EXP(IF(A2413&lt;0,(10-4)*A2413,-4*A2413))+G$129*EXP(IF(A2413&lt;0,(10-5)*A2413,-5*A2413))+H$129*EXP(IF(A2413&lt;0,(10-6)*A2413,-6*A2413))+I$129*EXP(IF(A2413&lt;0,(10-7)*A2413,-7*A2413))+J$129*EXP(IF(A2413&lt;0,(10-8)*A2413,-8*A2413))+K$129*EXP(IF(A2413&lt;0,(10-9)*A2413,-9*A2413))+L$129*EXP(IF(A2413&lt;0,(10-10)*A2413,-10*A2413)),0)</x:f>
        <x:v>781988.2847116486</x:v>
      </x:c>
      <x:c r="C2413" s="256" t="n">
        <x:f>IF(B2413=0,IF(B2412=0,0,1),IF(B2412=0,0,IF(SIGN(B2413)&lt;&gt;SIGN(B2412),1,0)))</x:f>
        <x:v>0</x:v>
      </x:c>
      <x:c r="D2413" s="256" t="n">
        <x:f>EXP(A2413-0.005)-1</x:f>
        <x:v>-0.9812206985053156</x:v>
      </x:c>
    </x:row>
    <x:row r="2414" ht="20" customHeight="1">
      <x:c r="A2414" s="256" t="n">
        <x:f>-12+804*0.01</x:f>
        <x:v>-3.959999999999999</x:v>
      </x:c>
      <x:c r="B2414" s="256" t="n">
        <x:f>IF(COUNT($B$129:$L$129)=11,B$129*EXP(IF(A2414&lt;0,(10-0)*A2414,-0*A2414))+C$129*EXP(IF(A2414&lt;0,(10-1)*A2414,-1*A2414))+D$129*EXP(IF(A2414&lt;0,(10-2)*A2414,-2*A2414))+E$129*EXP(IF(A2414&lt;0,(10-3)*A2414,-3*A2414))+F$129*EXP(IF(A2414&lt;0,(10-4)*A2414,-4*A2414))+G$129*EXP(IF(A2414&lt;0,(10-5)*A2414,-5*A2414))+H$129*EXP(IF(A2414&lt;0,(10-6)*A2414,-6*A2414))+I$129*EXP(IF(A2414&lt;0,(10-7)*A2414,-7*A2414))+J$129*EXP(IF(A2414&lt;0,(10-8)*A2414,-8*A2414))+K$129*EXP(IF(A2414&lt;0,(10-9)*A2414,-9*A2414))+L$129*EXP(IF(A2414&lt;0,(10-10)*A2414,-10*A2414)),0)</x:f>
        <x:v>781990.743579729</x:v>
      </x:c>
      <x:c r="C2414" s="256" t="n">
        <x:f>IF(B2414=0,IF(B2413=0,0,1),IF(B2413=0,0,IF(SIGN(B2414)&lt;&gt;SIGN(B2413),1,0)))</x:f>
        <x:v>0</x:v>
      </x:c>
      <x:c r="D2414" s="256" t="n">
        <x:f>EXP(A2414-0.005)-1</x:f>
        <x:v>-0.98103196338757</x:v>
      </x:c>
    </x:row>
    <x:row r="2415" ht="20" customHeight="1">
      <x:c r="A2415" s="256" t="n">
        <x:f>-12+805*0.01</x:f>
        <x:v>-3.9499999999999993</x:v>
      </x:c>
      <x:c r="B2415" s="256" t="n">
        <x:f>IF(COUNT($B$129:$L$129)=11,B$129*EXP(IF(A2415&lt;0,(10-0)*A2415,-0*A2415))+C$129*EXP(IF(A2415&lt;0,(10-1)*A2415,-1*A2415))+D$129*EXP(IF(A2415&lt;0,(10-2)*A2415,-2*A2415))+E$129*EXP(IF(A2415&lt;0,(10-3)*A2415,-3*A2415))+F$129*EXP(IF(A2415&lt;0,(10-4)*A2415,-4*A2415))+G$129*EXP(IF(A2415&lt;0,(10-5)*A2415,-5*A2415))+H$129*EXP(IF(A2415&lt;0,(10-6)*A2415,-6*A2415))+I$129*EXP(IF(A2415&lt;0,(10-7)*A2415,-7*A2415))+J$129*EXP(IF(A2415&lt;0,(10-8)*A2415,-8*A2415))+K$129*EXP(IF(A2415&lt;0,(10-9)*A2415,-9*A2415))+L$129*EXP(IF(A2415&lt;0,(10-10)*A2415,-10*A2415)),0)</x:f>
        <x:v>781993.2278892932</x:v>
      </x:c>
      <x:c r="C2415" s="256" t="n">
        <x:f>IF(B2415=0,IF(B2414=0,0,1),IF(B2414=0,0,IF(SIGN(B2415)&lt;&gt;SIGN(B2414),1,0)))</x:f>
        <x:v>0</x:v>
      </x:c>
      <x:c r="D2415" s="256" t="n">
        <x:f>EXP(A2415-0.005)-1</x:f>
        <x:v>-0.9808413314503565</x:v>
      </x:c>
    </x:row>
    <x:row r="2416" ht="20" customHeight="1">
      <x:c r="A2416" s="256" t="n">
        <x:f>-12+806*0.01</x:f>
        <x:v>-3.9399999999999995</x:v>
      </x:c>
      <x:c r="B2416" s="256" t="n">
        <x:f>IF(COUNT($B$129:$L$129)=11,B$129*EXP(IF(A2416&lt;0,(10-0)*A2416,-0*A2416))+C$129*EXP(IF(A2416&lt;0,(10-1)*A2416,-1*A2416))+D$129*EXP(IF(A2416&lt;0,(10-2)*A2416,-2*A2416))+E$129*EXP(IF(A2416&lt;0,(10-3)*A2416,-3*A2416))+F$129*EXP(IF(A2416&lt;0,(10-4)*A2416,-4*A2416))+G$129*EXP(IF(A2416&lt;0,(10-5)*A2416,-5*A2416))+H$129*EXP(IF(A2416&lt;0,(10-6)*A2416,-6*A2416))+I$129*EXP(IF(A2416&lt;0,(10-7)*A2416,-7*A2416))+J$129*EXP(IF(A2416&lt;0,(10-8)*A2416,-8*A2416))+K$129*EXP(IF(A2416&lt;0,(10-9)*A2416,-9*A2416))+L$129*EXP(IF(A2416&lt;0,(10-10)*A2416,-10*A2416)),0)</x:f>
        <x:v>781995.7379110692</x:v>
      </x:c>
      <x:c r="C2416" s="256" t="n">
        <x:f>IF(B2416=0,IF(B2415=0,0,1),IF(B2415=0,0,IF(SIGN(B2416)&lt;&gt;SIGN(B2415),1,0)))</x:f>
        <x:v>0</x:v>
      </x:c>
      <x:c r="D2416" s="256" t="n">
        <x:f>EXP(A2416-0.005)-1</x:f>
        <x:v>-0.9806487836303224</x:v>
      </x:c>
    </x:row>
    <x:row r="2417" ht="20" customHeight="1">
      <x:c r="A2417" s="256" t="n">
        <x:f>-12+807*0.01</x:f>
        <x:v>-3.9299999999999997</x:v>
      </x:c>
      <x:c r="B2417" s="256" t="n">
        <x:f>IF(COUNT($B$129:$L$129)=11,B$129*EXP(IF(A2417&lt;0,(10-0)*A2417,-0*A2417))+C$129*EXP(IF(A2417&lt;0,(10-1)*A2417,-1*A2417))+D$129*EXP(IF(A2417&lt;0,(10-2)*A2417,-2*A2417))+E$129*EXP(IF(A2417&lt;0,(10-3)*A2417,-3*A2417))+F$129*EXP(IF(A2417&lt;0,(10-4)*A2417,-4*A2417))+G$129*EXP(IF(A2417&lt;0,(10-5)*A2417,-5*A2417))+H$129*EXP(IF(A2417&lt;0,(10-6)*A2417,-6*A2417))+I$129*EXP(IF(A2417&lt;0,(10-7)*A2417,-7*A2417))+J$129*EXP(IF(A2417&lt;0,(10-8)*A2417,-8*A2417))+K$129*EXP(IF(A2417&lt;0,(10-9)*A2417,-9*A2417))+L$129*EXP(IF(A2417&lt;0,(10-10)*A2417,-10*A2417)),0)</x:f>
        <x:v>781998.273918819</x:v>
      </x:c>
      <x:c r="C2417" s="256" t="n">
        <x:f>IF(B2417=0,IF(B2416=0,0,1),IF(B2416=0,0,IF(SIGN(B2417)&lt;&gt;SIGN(B2416),1,0)))</x:f>
        <x:v>0</x:v>
      </x:c>
      <x:c r="D2417" s="256" t="n">
        <x:f>EXP(A2417-0.005)-1</x:f>
        <x:v>-0.9804543006725253</x:v>
      </x:c>
    </x:row>
    <x:row r="2418" ht="20" customHeight="1">
      <x:c r="A2418" s="256" t="n">
        <x:f>-12+808*0.01</x:f>
        <x:v>-3.92</x:v>
      </x:c>
      <x:c r="B2418" s="256" t="n">
        <x:f>IF(COUNT($B$129:$L$129)=11,B$129*EXP(IF(A2418&lt;0,(10-0)*A2418,-0*A2418))+C$129*EXP(IF(A2418&lt;0,(10-1)*A2418,-1*A2418))+D$129*EXP(IF(A2418&lt;0,(10-2)*A2418,-2*A2418))+E$129*EXP(IF(A2418&lt;0,(10-3)*A2418,-3*A2418))+F$129*EXP(IF(A2418&lt;0,(10-4)*A2418,-4*A2418))+G$129*EXP(IF(A2418&lt;0,(10-5)*A2418,-5*A2418))+H$129*EXP(IF(A2418&lt;0,(10-6)*A2418,-6*A2418))+I$129*EXP(IF(A2418&lt;0,(10-7)*A2418,-7*A2418))+J$129*EXP(IF(A2418&lt;0,(10-8)*A2418,-8*A2418))+K$129*EXP(IF(A2418&lt;0,(10-9)*A2418,-9*A2418))+L$129*EXP(IF(A2418&lt;0,(10-10)*A2418,-10*A2418)),0)</x:f>
        <x:v>782000.8361893757</x:v>
      </x:c>
      <x:c r="C2418" s="256" t="n">
        <x:f>IF(B2418=0,IF(B2417=0,0,1),IF(B2417=0,0,IF(SIGN(B2418)&lt;&gt;SIGN(B2417),1,0)))</x:f>
        <x:v>0</x:v>
      </x:c>
      <x:c r="D2418" s="256" t="n">
        <x:f>EXP(A2418-0.005)-1</x:f>
        <x:v>-0.9802578631285073</x:v>
      </x:c>
    </x:row>
    <x:row r="2419" ht="20" customHeight="1">
      <x:c r="A2419" s="256" t="n">
        <x:f>-12+809*0.01</x:f>
        <x:v>-3.91</x:v>
      </x:c>
      <x:c r="B2419" s="256" t="n">
        <x:f>IF(COUNT($B$129:$L$129)=11,B$129*EXP(IF(A2419&lt;0,(10-0)*A2419,-0*A2419))+C$129*EXP(IF(A2419&lt;0,(10-1)*A2419,-1*A2419))+D$129*EXP(IF(A2419&lt;0,(10-2)*A2419,-2*A2419))+E$129*EXP(IF(A2419&lt;0,(10-3)*A2419,-3*A2419))+F$129*EXP(IF(A2419&lt;0,(10-4)*A2419,-4*A2419))+G$129*EXP(IF(A2419&lt;0,(10-5)*A2419,-5*A2419))+H$129*EXP(IF(A2419&lt;0,(10-6)*A2419,-6*A2419))+I$129*EXP(IF(A2419&lt;0,(10-7)*A2419,-7*A2419))+J$129*EXP(IF(A2419&lt;0,(10-8)*A2419,-8*A2419))+K$129*EXP(IF(A2419&lt;0,(10-9)*A2419,-9*A2419))+L$129*EXP(IF(A2419&lt;0,(10-10)*A2419,-10*A2419)),0)</x:f>
        <x:v>782003.4250026811</x:v>
      </x:c>
      <x:c r="C2419" s="256" t="n">
        <x:f>IF(B2419=0,IF(B2418=0,0,1),IF(B2418=0,0,IF(SIGN(B2419)&lt;&gt;SIGN(B2418),1,0)))</x:f>
        <x:v>0</x:v>
      </x:c>
      <x:c r="D2419" s="256" t="n">
        <x:f>EXP(A2419-0.005)-1</x:f>
        <x:v>-0.9800594513543502</x:v>
      </x:c>
    </x:row>
    <x:row r="2420" ht="20" customHeight="1">
      <x:c r="A2420" s="256" t="n">
        <x:f>-12+810*0.01</x:f>
        <x:v>-3.9000000000000004</x:v>
      </x:c>
      <x:c r="B2420" s="256" t="n">
        <x:f>IF(COUNT($B$129:$L$129)=11,B$129*EXP(IF(A2420&lt;0,(10-0)*A2420,-0*A2420))+C$129*EXP(IF(A2420&lt;0,(10-1)*A2420,-1*A2420))+D$129*EXP(IF(A2420&lt;0,(10-2)*A2420,-2*A2420))+E$129*EXP(IF(A2420&lt;0,(10-3)*A2420,-3*A2420))+F$129*EXP(IF(A2420&lt;0,(10-4)*A2420,-4*A2420))+G$129*EXP(IF(A2420&lt;0,(10-5)*A2420,-5*A2420))+H$129*EXP(IF(A2420&lt;0,(10-6)*A2420,-6*A2420))+I$129*EXP(IF(A2420&lt;0,(10-7)*A2420,-7*A2420))+J$129*EXP(IF(A2420&lt;0,(10-8)*A2420,-8*A2420))+K$129*EXP(IF(A2420&lt;0,(10-9)*A2420,-9*A2420))+L$129*EXP(IF(A2420&lt;0,(10-10)*A2420,-10*A2420)),0)</x:f>
        <x:v>782006.0406418234</x:v>
      </x:c>
      <x:c r="C2420" s="256" t="n">
        <x:f>IF(B2420=0,IF(B2419=0,0,1),IF(B2419=0,0,IF(SIGN(B2420)&lt;&gt;SIGN(B2419),1,0)))</x:f>
        <x:v>0</x:v>
      </x:c>
      <x:c r="D2420" s="256" t="n">
        <x:f>EXP(A2420-0.005)-1</x:f>
        <x:v>-0.9798590455087115</x:v>
      </x:c>
    </x:row>
    <x:row r="2421" ht="20" customHeight="1">
      <x:c r="A2421" s="256" t="n">
        <x:f>-12+811*0.01</x:f>
        <x:v>-3.8900000000000006</x:v>
      </x:c>
      <x:c r="B2421" s="256" t="n">
        <x:f>IF(COUNT($B$129:$L$129)=11,B$129*EXP(IF(A2421&lt;0,(10-0)*A2421,-0*A2421))+C$129*EXP(IF(A2421&lt;0,(10-1)*A2421,-1*A2421))+D$129*EXP(IF(A2421&lt;0,(10-2)*A2421,-2*A2421))+E$129*EXP(IF(A2421&lt;0,(10-3)*A2421,-3*A2421))+F$129*EXP(IF(A2421&lt;0,(10-4)*A2421,-4*A2421))+G$129*EXP(IF(A2421&lt;0,(10-5)*A2421,-5*A2421))+H$129*EXP(IF(A2421&lt;0,(10-6)*A2421,-6*A2421))+I$129*EXP(IF(A2421&lt;0,(10-7)*A2421,-7*A2421))+J$129*EXP(IF(A2421&lt;0,(10-8)*A2421,-8*A2421))+K$129*EXP(IF(A2421&lt;0,(10-9)*A2421,-9*A2421))+L$129*EXP(IF(A2421&lt;0,(10-10)*A2421,-10*A2421)),0)</x:f>
        <x:v>782008.683393077</x:v>
      </x:c>
      <x:c r="C2421" s="256" t="n">
        <x:f>IF(B2421=0,IF(B2420=0,0,1),IF(B2420=0,0,IF(SIGN(B2421)&lt;&gt;SIGN(B2420),1,0)))</x:f>
        <x:v>0</x:v>
      </x:c>
      <x:c r="D2421" s="256" t="n">
        <x:f>EXP(A2421-0.005)-1</x:f>
        <x:v>-0.9796566255508394</x:v>
      </x:c>
    </x:row>
    <x:row r="2422" ht="20" customHeight="1">
      <x:c r="A2422" s="256" t="n">
        <x:f>-12+812*0.01</x:f>
        <x:v>-3.879999999999999</x:v>
      </x:c>
      <x:c r="B2422" s="256" t="n">
        <x:f>IF(COUNT($B$129:$L$129)=11,B$129*EXP(IF(A2422&lt;0,(10-0)*A2422,-0*A2422))+C$129*EXP(IF(A2422&lt;0,(10-1)*A2422,-1*A2422))+D$129*EXP(IF(A2422&lt;0,(10-2)*A2422,-2*A2422))+E$129*EXP(IF(A2422&lt;0,(10-3)*A2422,-3*A2422))+F$129*EXP(IF(A2422&lt;0,(10-4)*A2422,-4*A2422))+G$129*EXP(IF(A2422&lt;0,(10-5)*A2422,-5*A2422))+H$129*EXP(IF(A2422&lt;0,(10-6)*A2422,-6*A2422))+I$129*EXP(IF(A2422&lt;0,(10-7)*A2422,-7*A2422))+J$129*EXP(IF(A2422&lt;0,(10-8)*A2422,-8*A2422))+K$129*EXP(IF(A2422&lt;0,(10-9)*A2422,-9*A2422))+L$129*EXP(IF(A2422&lt;0,(10-10)*A2422,-10*A2422)),0)</x:f>
        <x:v>782011.3535459402</x:v>
      </x:c>
      <x:c r="C2422" s="256" t="n">
        <x:f>IF(B2422=0,IF(B2421=0,0,1),IF(B2421=0,0,IF(SIGN(B2422)&lt;&gt;SIGN(B2421),1,0)))</x:f>
        <x:v>0</x:v>
      </x:c>
      <x:c r="D2422" s="256" t="n">
        <x:f>EXP(A2422-0.005)-1</x:f>
        <x:v>-0.9794521712385695</x:v>
      </x:c>
    </x:row>
    <x:row r="2423" ht="20" customHeight="1">
      <x:c r="A2423" s="256" t="n">
        <x:f>-12+813*0.01</x:f>
        <x:v>-3.869999999999999</x:v>
      </x:c>
      <x:c r="B2423" s="256" t="n">
        <x:f>IF(COUNT($B$129:$L$129)=11,B$129*EXP(IF(A2423&lt;0,(10-0)*A2423,-0*A2423))+C$129*EXP(IF(A2423&lt;0,(10-1)*A2423,-1*A2423))+D$129*EXP(IF(A2423&lt;0,(10-2)*A2423,-2*A2423))+E$129*EXP(IF(A2423&lt;0,(10-3)*A2423,-3*A2423))+F$129*EXP(IF(A2423&lt;0,(10-4)*A2423,-4*A2423))+G$129*EXP(IF(A2423&lt;0,(10-5)*A2423,-5*A2423))+H$129*EXP(IF(A2423&lt;0,(10-6)*A2423,-6*A2423))+I$129*EXP(IF(A2423&lt;0,(10-7)*A2423,-7*A2423))+J$129*EXP(IF(A2423&lt;0,(10-8)*A2423,-8*A2423))+K$129*EXP(IF(A2423&lt;0,(10-9)*A2423,-9*A2423))+L$129*EXP(IF(A2423&lt;0,(10-10)*A2423,-10*A2423)),0)</x:f>
        <x:v>782014.0513931765</x:v>
      </x:c>
      <x:c r="C2423" s="256" t="n">
        <x:f>IF(B2423=0,IF(B2422=0,0,1),IF(B2422=0,0,IF(SIGN(B2423)&lt;&gt;SIGN(B2422),1,0)))</x:f>
        <x:v>0</x:v>
      </x:c>
      <x:c r="D2423" s="256" t="n">
        <x:f>EXP(A2423-0.005)-1</x:f>
        <x:v>-0.9792456621263003</x:v>
      </x:c>
    </x:row>
    <x:row r="2424" ht="20" customHeight="1">
      <x:c r="A2424" s="256" t="n">
        <x:f>-12+814*0.01</x:f>
        <x:v>-3.8599999999999994</x:v>
      </x:c>
      <x:c r="B2424" s="256" t="n">
        <x:f>IF(COUNT($B$129:$L$129)=11,B$129*EXP(IF(A2424&lt;0,(10-0)*A2424,-0*A2424))+C$129*EXP(IF(A2424&lt;0,(10-1)*A2424,-1*A2424))+D$129*EXP(IF(A2424&lt;0,(10-2)*A2424,-2*A2424))+E$129*EXP(IF(A2424&lt;0,(10-3)*A2424,-3*A2424))+F$129*EXP(IF(A2424&lt;0,(10-4)*A2424,-4*A2424))+G$129*EXP(IF(A2424&lt;0,(10-5)*A2424,-5*A2424))+H$129*EXP(IF(A2424&lt;0,(10-6)*A2424,-6*A2424))+I$129*EXP(IF(A2424&lt;0,(10-7)*A2424,-7*A2424))+J$129*EXP(IF(A2424&lt;0,(10-8)*A2424,-8*A2424))+K$129*EXP(IF(A2424&lt;0,(10-9)*A2424,-9*A2424))+L$129*EXP(IF(A2424&lt;0,(10-10)*A2424,-10*A2424)),0)</x:f>
        <x:v>782016.7772308538</x:v>
      </x:c>
      <x:c r="C2424" s="256" t="n">
        <x:f>IF(B2424=0,IF(B2423=0,0,1),IF(B2423=0,0,IF(SIGN(B2424)&lt;&gt;SIGN(B2423),1,0)))</x:f>
        <x:v>0</x:v>
      </x:c>
      <x:c r="D2424" s="256" t="n">
        <x:f>EXP(A2424-0.005)-1</x:f>
        <x:v>-0.9790370775629483</x:v>
      </x:c>
    </x:row>
    <x:row r="2425" ht="20" customHeight="1">
      <x:c r="A2425" s="256" t="n">
        <x:f>-12+815*0.01</x:f>
        <x:v>-3.8499999999999996</x:v>
      </x:c>
      <x:c r="B2425" s="256" t="n">
        <x:f>IF(COUNT($B$129:$L$129)=11,B$129*EXP(IF(A2425&lt;0,(10-0)*A2425,-0*A2425))+C$129*EXP(IF(A2425&lt;0,(10-1)*A2425,-1*A2425))+D$129*EXP(IF(A2425&lt;0,(10-2)*A2425,-2*A2425))+E$129*EXP(IF(A2425&lt;0,(10-3)*A2425,-3*A2425))+F$129*EXP(IF(A2425&lt;0,(10-4)*A2425,-4*A2425))+G$129*EXP(IF(A2425&lt;0,(10-5)*A2425,-5*A2425))+H$129*EXP(IF(A2425&lt;0,(10-6)*A2425,-6*A2425))+I$129*EXP(IF(A2425&lt;0,(10-7)*A2425,-7*A2425))+J$129*EXP(IF(A2425&lt;0,(10-8)*A2425,-8*A2425))+K$129*EXP(IF(A2425&lt;0,(10-9)*A2425,-9*A2425))+L$129*EXP(IF(A2425&lt;0,(10-10)*A2425,-10*A2425)),0)</x:f>
        <x:v>782019.5313583856</x:v>
      </x:c>
      <x:c r="C2425" s="256" t="n">
        <x:f>IF(B2425=0,IF(B2424=0,0,1),IF(B2424=0,0,IF(SIGN(B2425)&lt;&gt;SIGN(B2424),1,0)))</x:f>
        <x:v>0</x:v>
      </x:c>
      <x:c r="D2425" s="256" t="n">
        <x:f>EXP(A2425-0.005)-1</x:f>
        <x:v>-0.9788263966898835</x:v>
      </x:c>
    </x:row>
    <x:row r="2426" ht="20" customHeight="1">
      <x:c r="A2426" s="256" t="n">
        <x:f>-12+816*0.01</x:f>
        <x:v>-3.84</x:v>
      </x:c>
      <x:c r="B2426" s="256" t="n">
        <x:f>IF(COUNT($B$129:$L$129)=11,B$129*EXP(IF(A2426&lt;0,(10-0)*A2426,-0*A2426))+C$129*EXP(IF(A2426&lt;0,(10-1)*A2426,-1*A2426))+D$129*EXP(IF(A2426&lt;0,(10-2)*A2426,-2*A2426))+E$129*EXP(IF(A2426&lt;0,(10-3)*A2426,-3*A2426))+F$129*EXP(IF(A2426&lt;0,(10-4)*A2426,-4*A2426))+G$129*EXP(IF(A2426&lt;0,(10-5)*A2426,-5*A2426))+H$129*EXP(IF(A2426&lt;0,(10-6)*A2426,-6*A2426))+I$129*EXP(IF(A2426&lt;0,(10-7)*A2426,-7*A2426))+J$129*EXP(IF(A2426&lt;0,(10-8)*A2426,-8*A2426))+K$129*EXP(IF(A2426&lt;0,(10-9)*A2426,-9*A2426))+L$129*EXP(IF(A2426&lt;0,(10-10)*A2426,-10*A2426)),0)</x:f>
        <x:v>782022.3140785728</x:v>
      </x:c>
      <x:c r="C2426" s="256" t="n">
        <x:f>IF(B2426=0,IF(B2425=0,0,1),IF(B2425=0,0,IF(SIGN(B2426)&lt;&gt;SIGN(B2425),1,0)))</x:f>
        <x:v>0</x:v>
      </x:c>
      <x:c r="D2426" s="256" t="n">
        <x:f>EXP(A2426-0.005)-1</x:f>
        <x:v>-0.9786135984388429</x:v>
      </x:c>
    </x:row>
    <x:row r="2427" ht="20" customHeight="1">
      <x:c r="A2427" s="256" t="n">
        <x:f>-12+817*0.01</x:f>
        <x:v>-3.83</x:v>
      </x:c>
      <x:c r="B2427" s="256" t="n">
        <x:f>IF(COUNT($B$129:$L$129)=11,B$129*EXP(IF(A2427&lt;0,(10-0)*A2427,-0*A2427))+C$129*EXP(IF(A2427&lt;0,(10-1)*A2427,-1*A2427))+D$129*EXP(IF(A2427&lt;0,(10-2)*A2427,-2*A2427))+E$129*EXP(IF(A2427&lt;0,(10-3)*A2427,-3*A2427))+F$129*EXP(IF(A2427&lt;0,(10-4)*A2427,-4*A2427))+G$129*EXP(IF(A2427&lt;0,(10-5)*A2427,-5*A2427))+H$129*EXP(IF(A2427&lt;0,(10-6)*A2427,-6*A2427))+I$129*EXP(IF(A2427&lt;0,(10-7)*A2427,-7*A2427))+J$129*EXP(IF(A2427&lt;0,(10-8)*A2427,-8*A2427))+K$129*EXP(IF(A2427&lt;0,(10-9)*A2427,-9*A2427))+L$129*EXP(IF(A2427&lt;0,(10-10)*A2427,-10*A2427)),0)</x:f>
        <x:v>782025.1256976455</x:v>
      </x:c>
      <x:c r="C2427" s="256" t="n">
        <x:f>IF(B2427=0,IF(B2426=0,0,1),IF(B2426=0,0,IF(SIGN(B2427)&lt;&gt;SIGN(B2426),1,0)))</x:f>
        <x:v>0</x:v>
      </x:c>
      <x:c r="D2427" s="256" t="n">
        <x:f>EXP(A2427-0.005)-1</x:f>
        <x:v>-0.9783986615298241</x:v>
      </x:c>
    </x:row>
    <x:row r="2428" ht="20" customHeight="1">
      <x:c r="A2428" s="256" t="n">
        <x:f>-12+818*0.01</x:f>
        <x:v>-3.8200000000000003</x:v>
      </x:c>
      <x:c r="B2428" s="256" t="n">
        <x:f>IF(COUNT($B$129:$L$129)=11,B$129*EXP(IF(A2428&lt;0,(10-0)*A2428,-0*A2428))+C$129*EXP(IF(A2428&lt;0,(10-1)*A2428,-1*A2428))+D$129*EXP(IF(A2428&lt;0,(10-2)*A2428,-2*A2428))+E$129*EXP(IF(A2428&lt;0,(10-3)*A2428,-3*A2428))+F$129*EXP(IF(A2428&lt;0,(10-4)*A2428,-4*A2428))+G$129*EXP(IF(A2428&lt;0,(10-5)*A2428,-5*A2428))+H$129*EXP(IF(A2428&lt;0,(10-6)*A2428,-6*A2428))+I$129*EXP(IF(A2428&lt;0,(10-7)*A2428,-7*A2428))+J$129*EXP(IF(A2428&lt;0,(10-8)*A2428,-8*A2428))+K$129*EXP(IF(A2428&lt;0,(10-9)*A2428,-9*A2428))+L$129*EXP(IF(A2428&lt;0,(10-10)*A2428,-10*A2428)),0)</x:f>
        <x:v>782027.9665253055</x:v>
      </x:c>
      <x:c r="C2428" s="256" t="n">
        <x:f>IF(B2428=0,IF(B2427=0,0,1),IF(B2427=0,0,IF(SIGN(B2428)&lt;&gt;SIGN(B2427),1,0)))</x:f>
        <x:v>0</x:v>
      </x:c>
      <x:c r="D2428" s="256" t="n">
        <x:f>EXP(A2428-0.005)-1</x:f>
        <x:v>-0.9781815644689572</x:v>
      </x:c>
    </x:row>
    <x:row r="2429" ht="20" customHeight="1">
      <x:c r="A2429" s="256" t="n">
        <x:f>-12+819*0.01</x:f>
        <x:v>-3.8100000000000005</x:v>
      </x:c>
      <x:c r="B2429" s="256" t="n">
        <x:f>IF(COUNT($B$129:$L$129)=11,B$129*EXP(IF(A2429&lt;0,(10-0)*A2429,-0*A2429))+C$129*EXP(IF(A2429&lt;0,(10-1)*A2429,-1*A2429))+D$129*EXP(IF(A2429&lt;0,(10-2)*A2429,-2*A2429))+E$129*EXP(IF(A2429&lt;0,(10-3)*A2429,-3*A2429))+F$129*EXP(IF(A2429&lt;0,(10-4)*A2429,-4*A2429))+G$129*EXP(IF(A2429&lt;0,(10-5)*A2429,-5*A2429))+H$129*EXP(IF(A2429&lt;0,(10-6)*A2429,-6*A2429))+I$129*EXP(IF(A2429&lt;0,(10-7)*A2429,-7*A2429))+J$129*EXP(IF(A2429&lt;0,(10-8)*A2429,-8*A2429))+K$129*EXP(IF(A2429&lt;0,(10-9)*A2429,-9*A2429))+L$129*EXP(IF(A2429&lt;0,(10-10)*A2429,-10*A2429)),0)</x:f>
        <x:v>782030.83687477</x:v>
      </x:c>
      <x:c r="C2429" s="256" t="n">
        <x:f>IF(B2429=0,IF(B2428=0,0,1),IF(B2428=0,0,IF(SIGN(B2429)&lt;&gt;SIGN(B2428),1,0)))</x:f>
        <x:v>0</x:v>
      </x:c>
      <x:c r="D2429" s="256" t="n">
        <x:f>EXP(A2429-0.005)-1</x:f>
        <x:v>-0.9779622855463551</x:v>
      </x:c>
    </x:row>
    <x:row r="2430" ht="20" customHeight="1">
      <x:c r="A2430" s="256" t="n">
        <x:f>-12+820*0.01</x:f>
        <x:v>-3.8000000000000007</x:v>
      </x:c>
      <x:c r="B2430" s="256" t="n">
        <x:f>IF(COUNT($B$129:$L$129)=11,B$129*EXP(IF(A2430&lt;0,(10-0)*A2430,-0*A2430))+C$129*EXP(IF(A2430&lt;0,(10-1)*A2430,-1*A2430))+D$129*EXP(IF(A2430&lt;0,(10-2)*A2430,-2*A2430))+E$129*EXP(IF(A2430&lt;0,(10-3)*A2430,-3*A2430))+F$129*EXP(IF(A2430&lt;0,(10-4)*A2430,-4*A2430))+G$129*EXP(IF(A2430&lt;0,(10-5)*A2430,-5*A2430))+H$129*EXP(IF(A2430&lt;0,(10-6)*A2430,-6*A2430))+I$129*EXP(IF(A2430&lt;0,(10-7)*A2430,-7*A2430))+J$129*EXP(IF(A2430&lt;0,(10-8)*A2430,-8*A2430))+K$129*EXP(IF(A2430&lt;0,(10-9)*A2430,-9*A2430))+L$129*EXP(IF(A2430&lt;0,(10-10)*A2430,-10*A2430)),0)</x:f>
        <x:v>782033.7370628151</x:v>
      </x:c>
      <x:c r="C2430" s="256" t="n">
        <x:f>IF(B2430=0,IF(B2429=0,0,1),IF(B2429=0,0,IF(SIGN(B2430)&lt;&gt;SIGN(B2429),1,0)))</x:f>
        <x:v>0</x:v>
      </x:c>
      <x:c r="D2430" s="256" t="n">
        <x:f>EXP(A2430-0.005)-1</x:f>
        <x:v>-0.9777408028339428</x:v>
      </x:c>
    </x:row>
    <x:row r="2431" ht="20" customHeight="1">
      <x:c r="A2431" s="256" t="n">
        <x:f>-12+821*0.01</x:f>
        <x:v>-3.789999999999999</x:v>
      </x:c>
      <x:c r="B2431" s="256" t="n">
        <x:f>IF(COUNT($B$129:$L$129)=11,B$129*EXP(IF(A2431&lt;0,(10-0)*A2431,-0*A2431))+C$129*EXP(IF(A2431&lt;0,(10-1)*A2431,-1*A2431))+D$129*EXP(IF(A2431&lt;0,(10-2)*A2431,-2*A2431))+E$129*EXP(IF(A2431&lt;0,(10-3)*A2431,-3*A2431))+F$129*EXP(IF(A2431&lt;0,(10-4)*A2431,-4*A2431))+G$129*EXP(IF(A2431&lt;0,(10-5)*A2431,-5*A2431))+H$129*EXP(IF(A2431&lt;0,(10-6)*A2431,-6*A2431))+I$129*EXP(IF(A2431&lt;0,(10-7)*A2431,-7*A2431))+J$129*EXP(IF(A2431&lt;0,(10-8)*A2431,-8*A2431))+K$129*EXP(IF(A2431&lt;0,(10-9)*A2431,-9*A2431))+L$129*EXP(IF(A2431&lt;0,(10-10)*A2431,-10*A2431)),0)</x:f>
        <x:v>782036.6674098204</x:v>
      </x:c>
      <x:c r="C2431" s="256" t="n">
        <x:f>IF(B2431=0,IF(B2430=0,0,1),IF(B2430=0,0,IF(SIGN(B2431)&lt;&gt;SIGN(B2430),1,0)))</x:f>
        <x:v>0</x:v>
      </x:c>
      <x:c r="D2431" s="256" t="n">
        <x:f>EXP(A2431-0.005)-1</x:f>
        <x:v>-0.9775170941832645</x:v>
      </x:c>
    </x:row>
    <x:row r="2432" ht="20" customHeight="1">
      <x:c r="A2432" s="256" t="n">
        <x:f>-12+822*0.01</x:f>
        <x:v>-3.7799999999999994</x:v>
      </x:c>
      <x:c r="B2432" s="256" t="n">
        <x:f>IF(COUNT($B$129:$L$129)=11,B$129*EXP(IF(A2432&lt;0,(10-0)*A2432,-0*A2432))+C$129*EXP(IF(A2432&lt;0,(10-1)*A2432,-1*A2432))+D$129*EXP(IF(A2432&lt;0,(10-2)*A2432,-2*A2432))+E$129*EXP(IF(A2432&lt;0,(10-3)*A2432,-3*A2432))+F$129*EXP(IF(A2432&lt;0,(10-4)*A2432,-4*A2432))+G$129*EXP(IF(A2432&lt;0,(10-5)*A2432,-5*A2432))+H$129*EXP(IF(A2432&lt;0,(10-6)*A2432,-6*A2432))+I$129*EXP(IF(A2432&lt;0,(10-7)*A2432,-7*A2432))+J$129*EXP(IF(A2432&lt;0,(10-8)*A2432,-8*A2432))+K$129*EXP(IF(A2432&lt;0,(10-9)*A2432,-9*A2432))+L$129*EXP(IF(A2432&lt;0,(10-10)*A2432,-10*A2432)),0)</x:f>
        <x:v>782039.628239814</x:v>
      </x:c>
      <x:c r="C2432" s="256" t="n">
        <x:f>IF(B2432=0,IF(B2431=0,0,1),IF(B2431=0,0,IF(SIGN(B2432)&lt;&gt;SIGN(B2431),1,0)))</x:f>
        <x:v>0</x:v>
      </x:c>
      <x:c r="D2432" s="256" t="n">
        <x:f>EXP(A2432-0.005)-1</x:f>
        <x:v>-0.9772911372232687</x:v>
      </x:c>
    </x:row>
    <x:row r="2433" ht="20" customHeight="1">
      <x:c r="A2433" s="256" t="n">
        <x:f>-12+823*0.01</x:f>
        <x:v>-3.7699999999999996</x:v>
      </x:c>
      <x:c r="B2433" s="256" t="n">
        <x:f>IF(COUNT($B$129:$L$129)=11,B$129*EXP(IF(A2433&lt;0,(10-0)*A2433,-0*A2433))+C$129*EXP(IF(A2433&lt;0,(10-1)*A2433,-1*A2433))+D$129*EXP(IF(A2433&lt;0,(10-2)*A2433,-2*A2433))+E$129*EXP(IF(A2433&lt;0,(10-3)*A2433,-3*A2433))+F$129*EXP(IF(A2433&lt;0,(10-4)*A2433,-4*A2433))+G$129*EXP(IF(A2433&lt;0,(10-5)*A2433,-5*A2433))+H$129*EXP(IF(A2433&lt;0,(10-6)*A2433,-6*A2433))+I$129*EXP(IF(A2433&lt;0,(10-7)*A2433,-7*A2433))+J$129*EXP(IF(A2433&lt;0,(10-8)*A2433,-8*A2433))+K$129*EXP(IF(A2433&lt;0,(10-9)*A2433,-9*A2433))+L$129*EXP(IF(A2433&lt;0,(10-10)*A2433,-10*A2433)),0)</x:f>
        <x:v>782042.6198805189</x:v>
      </x:c>
      <x:c r="C2433" s="256" t="n">
        <x:f>IF(B2433=0,IF(B2432=0,0,1),IF(B2432=0,0,IF(SIGN(B2433)&lt;&gt;SIGN(B2432),1,0)))</x:f>
        <x:v>0</x:v>
      </x:c>
      <x:c r="D2433" s="256" t="n">
        <x:f>EXP(A2433-0.005)-1</x:f>
        <x:v>-0.977062909358071</x:v>
      </x:c>
    </x:row>
    <x:row r="2434" ht="20" customHeight="1">
      <x:c r="A2434" s="256" t="n">
        <x:f>-12+824*0.01</x:f>
        <x:v>-3.76</x:v>
      </x:c>
      <x:c r="B2434" s="256" t="n">
        <x:f>IF(COUNT($B$129:$L$129)=11,B$129*EXP(IF(A2434&lt;0,(10-0)*A2434,-0*A2434))+C$129*EXP(IF(A2434&lt;0,(10-1)*A2434,-1*A2434))+D$129*EXP(IF(A2434&lt;0,(10-2)*A2434,-2*A2434))+E$129*EXP(IF(A2434&lt;0,(10-3)*A2434,-3*A2434))+F$129*EXP(IF(A2434&lt;0,(10-4)*A2434,-4*A2434))+G$129*EXP(IF(A2434&lt;0,(10-5)*A2434,-5*A2434))+H$129*EXP(IF(A2434&lt;0,(10-6)*A2434,-6*A2434))+I$129*EXP(IF(A2434&lt;0,(10-7)*A2434,-7*A2434))+J$129*EXP(IF(A2434&lt;0,(10-8)*A2434,-8*A2434))+K$129*EXP(IF(A2434&lt;0,(10-9)*A2434,-9*A2434))+L$129*EXP(IF(A2434&lt;0,(10-10)*A2434,-10*A2434)),0)</x:f>
        <x:v>782045.6426633985</x:v>
      </x:c>
      <x:c r="C2434" s="256" t="n">
        <x:f>IF(B2434=0,IF(B2433=0,0,1),IF(B2433=0,0,IF(SIGN(B2434)&lt;&gt;SIGN(B2433),1,0)))</x:f>
        <x:v>0</x:v>
      </x:c>
      <x:c r="D2434" s="256" t="n">
        <x:f>EXP(A2434-0.005)-1</x:f>
        <x:v>-0.9768323877646949</x:v>
      </x:c>
    </x:row>
    <x:row r="2435" ht="20" customHeight="1">
      <x:c r="A2435" s="256" t="n">
        <x:f>-12+825*0.01</x:f>
        <x:v>-3.75</x:v>
      </x:c>
      <x:c r="B2435" s="256" t="n">
        <x:f>IF(COUNT($B$129:$L$129)=11,B$129*EXP(IF(A2435&lt;0,(10-0)*A2435,-0*A2435))+C$129*EXP(IF(A2435&lt;0,(10-1)*A2435,-1*A2435))+D$129*EXP(IF(A2435&lt;0,(10-2)*A2435,-2*A2435))+E$129*EXP(IF(A2435&lt;0,(10-3)*A2435,-3*A2435))+F$129*EXP(IF(A2435&lt;0,(10-4)*A2435,-4*A2435))+G$129*EXP(IF(A2435&lt;0,(10-5)*A2435,-5*A2435))+H$129*EXP(IF(A2435&lt;0,(10-6)*A2435,-6*A2435))+I$129*EXP(IF(A2435&lt;0,(10-7)*A2435,-7*A2435))+J$129*EXP(IF(A2435&lt;0,(10-8)*A2435,-8*A2435))+K$129*EXP(IF(A2435&lt;0,(10-9)*A2435,-9*A2435))+L$129*EXP(IF(A2435&lt;0,(10-10)*A2435,-10*A2435)),0)</x:f>
        <x:v>782048.6969237049</x:v>
      </x:c>
      <x:c r="C2435" s="256" t="n">
        <x:f>IF(B2435=0,IF(B2434=0,0,1),IF(B2434=0,0,IF(SIGN(B2435)&lt;&gt;SIGN(B2434),1,0)))</x:f>
        <x:v>0</x:v>
      </x:c>
      <x:c r="D2435" s="256" t="n">
        <x:f>EXP(A2435-0.005)-1</x:f>
        <x:v>-0.976599549390789</x:v>
      </x:c>
    </x:row>
    <x:row r="2436" ht="20" customHeight="1">
      <x:c r="A2436" s="256" t="n">
        <x:f>-12+826*0.01</x:f>
        <x:v>-3.74</x:v>
      </x:c>
      <x:c r="B2436" s="256" t="n">
        <x:f>IF(COUNT($B$129:$L$129)=11,B$129*EXP(IF(A2436&lt;0,(10-0)*A2436,-0*A2436))+C$129*EXP(IF(A2436&lt;0,(10-1)*A2436,-1*A2436))+D$129*EXP(IF(A2436&lt;0,(10-2)*A2436,-2*A2436))+E$129*EXP(IF(A2436&lt;0,(10-3)*A2436,-3*A2436))+F$129*EXP(IF(A2436&lt;0,(10-4)*A2436,-4*A2436))+G$129*EXP(IF(A2436&lt;0,(10-5)*A2436,-5*A2436))+H$129*EXP(IF(A2436&lt;0,(10-6)*A2436,-6*A2436))+I$129*EXP(IF(A2436&lt;0,(10-7)*A2436,-7*A2436))+J$129*EXP(IF(A2436&lt;0,(10-8)*A2436,-8*A2436))+K$129*EXP(IF(A2436&lt;0,(10-9)*A2436,-9*A2436))+L$129*EXP(IF(A2436&lt;0,(10-10)*A2436,-10*A2436)),0)</x:f>
        <x:v>782051.7830005253</x:v>
      </x:c>
      <x:c r="C2436" s="256" t="n">
        <x:f>IF(B2436=0,IF(B2435=0,0,1),IF(B2435=0,0,IF(SIGN(B2436)&lt;&gt;SIGN(B2435),1,0)))</x:f>
        <x:v>0</x:v>
      </x:c>
      <x:c r="D2436" s="256" t="n">
        <x:f>EXP(A2436-0.005)-1</x:f>
        <x:v>-0.9763643709523215</x:v>
      </x:c>
    </x:row>
    <x:row r="2437" ht="20" customHeight="1">
      <x:c r="A2437" s="256" t="n">
        <x:f>-12+827*0.01</x:f>
        <x:v>-3.7300000000000004</x:v>
      </x:c>
      <x:c r="B2437" s="256" t="n">
        <x:f>IF(COUNT($B$129:$L$129)=11,B$129*EXP(IF(A2437&lt;0,(10-0)*A2437,-0*A2437))+C$129*EXP(IF(A2437&lt;0,(10-1)*A2437,-1*A2437))+D$129*EXP(IF(A2437&lt;0,(10-2)*A2437,-2*A2437))+E$129*EXP(IF(A2437&lt;0,(10-3)*A2437,-3*A2437))+F$129*EXP(IF(A2437&lt;0,(10-4)*A2437,-4*A2437))+G$129*EXP(IF(A2437&lt;0,(10-5)*A2437,-5*A2437))+H$129*EXP(IF(A2437&lt;0,(10-6)*A2437,-6*A2437))+I$129*EXP(IF(A2437&lt;0,(10-7)*A2437,-7*A2437))+J$129*EXP(IF(A2437&lt;0,(10-8)*A2437,-8*A2437))+K$129*EXP(IF(A2437&lt;0,(10-9)*A2437,-9*A2437))+L$129*EXP(IF(A2437&lt;0,(10-10)*A2437,-10*A2437)),0)</x:f>
        <x:v>782054.9012368317</x:v>
      </x:c>
      <x:c r="C2437" s="256" t="n">
        <x:f>IF(B2437=0,IF(B2436=0,0,1),IF(B2436=0,0,IF(SIGN(B2437)&lt;&gt;SIGN(B2436),1,0)))</x:f>
        <x:v>0</x:v>
      </x:c>
      <x:c r="D2437" s="256" t="n">
        <x:f>EXP(A2437-0.005)-1</x:f>
        <x:v>-0.976126828931253</x:v>
      </x:c>
    </x:row>
    <x:row r="2438" ht="20" customHeight="1">
      <x:c r="A2438" s="256" t="n">
        <x:f>-12+828*0.01</x:f>
        <x:v>-3.7200000000000006</x:v>
      </x:c>
      <x:c r="B2438" s="256" t="n">
        <x:f>IF(COUNT($B$129:$L$129)=11,B$129*EXP(IF(A2438&lt;0,(10-0)*A2438,-0*A2438))+C$129*EXP(IF(A2438&lt;0,(10-1)*A2438,-1*A2438))+D$129*EXP(IF(A2438&lt;0,(10-2)*A2438,-2*A2438))+E$129*EXP(IF(A2438&lt;0,(10-3)*A2438,-3*A2438))+F$129*EXP(IF(A2438&lt;0,(10-4)*A2438,-4*A2438))+G$129*EXP(IF(A2438&lt;0,(10-5)*A2438,-5*A2438))+H$129*EXP(IF(A2438&lt;0,(10-6)*A2438,-6*A2438))+I$129*EXP(IF(A2438&lt;0,(10-7)*A2438,-7*A2438))+J$129*EXP(IF(A2438&lt;0,(10-8)*A2438,-8*A2438))+K$129*EXP(IF(A2438&lt;0,(10-9)*A2438,-9*A2438))+L$129*EXP(IF(A2438&lt;0,(10-10)*A2438,-10*A2438)),0)</x:f>
        <x:v>782058.0519795293</x:v>
      </x:c>
      <x:c r="C2438" s="256" t="n">
        <x:f>IF(B2438=0,IF(B2437=0,0,1),IF(B2437=0,0,IF(SIGN(B2438)&lt;&gt;SIGN(B2437),1,0)))</x:f>
        <x:v>0</x:v>
      </x:c>
      <x:c r="D2438" s="256" t="n">
        <x:f>EXP(A2438-0.005)-1</x:f>
        <x:v>-0.9758868995731832</x:v>
      </x:c>
    </x:row>
    <x:row r="2439" ht="20" customHeight="1">
      <x:c r="A2439" s="256" t="n">
        <x:f>-12+829*0.01</x:f>
        <x:v>-3.709999999999999</x:v>
      </x:c>
      <x:c r="B2439" s="256" t="n">
        <x:f>IF(COUNT($B$129:$L$129)=11,B$129*EXP(IF(A2439&lt;0,(10-0)*A2439,-0*A2439))+C$129*EXP(IF(A2439&lt;0,(10-1)*A2439,-1*A2439))+D$129*EXP(IF(A2439&lt;0,(10-2)*A2439,-2*A2439))+E$129*EXP(IF(A2439&lt;0,(10-3)*A2439,-3*A2439))+F$129*EXP(IF(A2439&lt;0,(10-4)*A2439,-4*A2439))+G$129*EXP(IF(A2439&lt;0,(10-5)*A2439,-5*A2439))+H$129*EXP(IF(A2439&lt;0,(10-6)*A2439,-6*A2439))+I$129*EXP(IF(A2439&lt;0,(10-7)*A2439,-7*A2439))+J$129*EXP(IF(A2439&lt;0,(10-8)*A2439,-8*A2439))+K$129*EXP(IF(A2439&lt;0,(10-9)*A2439,-9*A2439))+L$129*EXP(IF(A2439&lt;0,(10-10)*A2439,-10*A2439)),0)</x:f>
        <x:v>782061.2355795073</x:v>
      </x:c>
      <x:c r="C2439" s="256" t="n">
        <x:f>IF(B2439=0,IF(B2438=0,0,1),IF(B2438=0,0,IF(SIGN(B2439)&lt;&gt;SIGN(B2438),1,0)))</x:f>
        <x:v>0</x:v>
      </x:c>
      <x:c r="D2439" s="256" t="n">
        <x:f>EXP(A2439-0.005)-1</x:f>
        <x:v>-0.9756445588849763</x:v>
      </x:c>
    </x:row>
    <x:row r="2440" ht="20" customHeight="1">
      <x:c r="A2440" s="256" t="n">
        <x:f>-12+830*0.01</x:f>
        <x:v>-3.6999999999999993</x:v>
      </x:c>
      <x:c r="B2440" s="256" t="n">
        <x:f>IF(COUNT($B$129:$L$129)=11,B$129*EXP(IF(A2440&lt;0,(10-0)*A2440,-0*A2440))+C$129*EXP(IF(A2440&lt;0,(10-1)*A2440,-1*A2440))+D$129*EXP(IF(A2440&lt;0,(10-2)*A2440,-2*A2440))+E$129*EXP(IF(A2440&lt;0,(10-3)*A2440,-3*A2440))+F$129*EXP(IF(A2440&lt;0,(10-4)*A2440,-4*A2440))+G$129*EXP(IF(A2440&lt;0,(10-5)*A2440,-5*A2440))+H$129*EXP(IF(A2440&lt;0,(10-6)*A2440,-6*A2440))+I$129*EXP(IF(A2440&lt;0,(10-7)*A2440,-7*A2440))+J$129*EXP(IF(A2440&lt;0,(10-8)*A2440,-8*A2440))+K$129*EXP(IF(A2440&lt;0,(10-9)*A2440,-9*A2440))+L$129*EXP(IF(A2440&lt;0,(10-10)*A2440,-10*A2440)),0)</x:f>
        <x:v>782064.4523916882</x:v>
      </x:c>
      <x:c r="C2440" s="256" t="n">
        <x:f>IF(B2440=0,IF(B2439=0,0,1),IF(B2439=0,0,IF(SIGN(B2440)&lt;&gt;SIGN(B2439),1,0)))</x:f>
        <x:v>0</x:v>
      </x:c>
      <x:c r="D2440" s="256" t="n">
        <x:f>EXP(A2440-0.005)-1</x:f>
        <x:v>-0.9753997826323617</x:v>
      </x:c>
    </x:row>
    <x:row r="2441" ht="20" customHeight="1">
      <x:c r="A2441" s="256" t="n">
        <x:f>-12+831*0.01</x:f>
        <x:v>-3.6899999999999995</x:v>
      </x:c>
      <x:c r="B2441" s="256" t="n">
        <x:f>IF(COUNT($B$129:$L$129)=11,B$129*EXP(IF(A2441&lt;0,(10-0)*A2441,-0*A2441))+C$129*EXP(IF(A2441&lt;0,(10-1)*A2441,-1*A2441))+D$129*EXP(IF(A2441&lt;0,(10-2)*A2441,-2*A2441))+E$129*EXP(IF(A2441&lt;0,(10-3)*A2441,-3*A2441))+F$129*EXP(IF(A2441&lt;0,(10-4)*A2441,-4*A2441))+G$129*EXP(IF(A2441&lt;0,(10-5)*A2441,-5*A2441))+H$129*EXP(IF(A2441&lt;0,(10-6)*A2441,-6*A2441))+I$129*EXP(IF(A2441&lt;0,(10-7)*A2441,-7*A2441))+J$129*EXP(IF(A2441&lt;0,(10-8)*A2441,-8*A2441))+K$129*EXP(IF(A2441&lt;0,(10-9)*A2441,-9*A2441))+L$129*EXP(IF(A2441&lt;0,(10-10)*A2441,-10*A2441)),0)</x:f>
        <x:v>782067.7027750808</x:v>
      </x:c>
      <x:c r="C2441" s="256" t="n">
        <x:f>IF(B2441=0,IF(B2440=0,0,1),IF(B2440=0,0,IF(SIGN(B2441)&lt;&gt;SIGN(B2440),1,0)))</x:f>
        <x:v>0</x:v>
      </x:c>
      <x:c r="D2441" s="256" t="n">
        <x:f>EXP(A2441-0.005)-1</x:f>
        <x:v>-0.97515254633751</x:v>
      </x:c>
    </x:row>
    <x:row r="2442" ht="20" customHeight="1">
      <x:c r="A2442" s="256" t="n">
        <x:f>-12+832*0.01</x:f>
        <x:v>-3.6799999999999997</x:v>
      </x:c>
      <x:c r="B2442" s="256" t="n">
        <x:f>IF(COUNT($B$129:$L$129)=11,B$129*EXP(IF(A2442&lt;0,(10-0)*A2442,-0*A2442))+C$129*EXP(IF(A2442&lt;0,(10-1)*A2442,-1*A2442))+D$129*EXP(IF(A2442&lt;0,(10-2)*A2442,-2*A2442))+E$129*EXP(IF(A2442&lt;0,(10-3)*A2442,-3*A2442))+F$129*EXP(IF(A2442&lt;0,(10-4)*A2442,-4*A2442))+G$129*EXP(IF(A2442&lt;0,(10-5)*A2442,-5*A2442))+H$129*EXP(IF(A2442&lt;0,(10-6)*A2442,-6*A2442))+I$129*EXP(IF(A2442&lt;0,(10-7)*A2442,-7*A2442))+J$129*EXP(IF(A2442&lt;0,(10-8)*A2442,-8*A2442))+K$129*EXP(IF(A2442&lt;0,(10-9)*A2442,-9*A2442))+L$129*EXP(IF(A2442&lt;0,(10-10)*A2442,-10*A2442)),0)</x:f>
        <x:v>782070.9870928308</x:v>
      </x:c>
      <x:c r="C2442" s="256" t="n">
        <x:f>IF(B2442=0,IF(B2441=0,0,1),IF(B2441=0,0,IF(SIGN(B2442)&lt;&gt;SIGN(B2441),1,0)))</x:f>
        <x:v>0</x:v>
      </x:c>
      <x:c r="D2442" s="256" t="n">
        <x:f>EXP(A2442-0.005)-1</x:f>
        <x:v>-0.9749028252765859</x:v>
      </x:c>
    </x:row>
    <x:row r="2443" ht="20" customHeight="1">
      <x:c r="A2443" s="256" t="n">
        <x:f>-12+833*0.01</x:f>
        <x:v>-3.67</x:v>
      </x:c>
      <x:c r="B2443" s="256" t="n">
        <x:f>IF(COUNT($B$129:$L$129)=11,B$129*EXP(IF(A2443&lt;0,(10-0)*A2443,-0*A2443))+C$129*EXP(IF(A2443&lt;0,(10-1)*A2443,-1*A2443))+D$129*EXP(IF(A2443&lt;0,(10-2)*A2443,-2*A2443))+E$129*EXP(IF(A2443&lt;0,(10-3)*A2443,-3*A2443))+F$129*EXP(IF(A2443&lt;0,(10-4)*A2443,-4*A2443))+G$129*EXP(IF(A2443&lt;0,(10-5)*A2443,-5*A2443))+H$129*EXP(IF(A2443&lt;0,(10-6)*A2443,-6*A2443))+I$129*EXP(IF(A2443&lt;0,(10-7)*A2443,-7*A2443))+J$129*EXP(IF(A2443&lt;0,(10-8)*A2443,-8*A2443))+K$129*EXP(IF(A2443&lt;0,(10-9)*A2443,-9*A2443))+L$129*EXP(IF(A2443&lt;0,(10-10)*A2443,-10*A2443)),0)</x:f>
        <x:v>782074.305712275</x:v>
      </x:c>
      <x:c r="C2443" s="256" t="n">
        <x:f>IF(B2443=0,IF(B2442=0,0,1),IF(B2442=0,0,IF(SIGN(B2443)&lt;&gt;SIGN(B2442),1,0)))</x:f>
        <x:v>0</x:v>
      </x:c>
      <x:c r="D2443" s="256" t="n">
        <x:f>EXP(A2443-0.005)-1</x:f>
        <x:v>-0.9746505944772751</x:v>
      </x:c>
    </x:row>
    <x:row r="2444" ht="20" customHeight="1">
      <x:c r="A2444" s="256" t="n">
        <x:f>-12+834*0.01</x:f>
        <x:v>-3.66</x:v>
      </x:c>
      <x:c r="B2444" s="256" t="n">
        <x:f>IF(COUNT($B$129:$L$129)=11,B$129*EXP(IF(A2444&lt;0,(10-0)*A2444,-0*A2444))+C$129*EXP(IF(A2444&lt;0,(10-1)*A2444,-1*A2444))+D$129*EXP(IF(A2444&lt;0,(10-2)*A2444,-2*A2444))+E$129*EXP(IF(A2444&lt;0,(10-3)*A2444,-3*A2444))+F$129*EXP(IF(A2444&lt;0,(10-4)*A2444,-4*A2444))+G$129*EXP(IF(A2444&lt;0,(10-5)*A2444,-5*A2444))+H$129*EXP(IF(A2444&lt;0,(10-6)*A2444,-6*A2444))+I$129*EXP(IF(A2444&lt;0,(10-7)*A2444,-7*A2444))+J$129*EXP(IF(A2444&lt;0,(10-8)*A2444,-8*A2444))+K$129*EXP(IF(A2444&lt;0,(10-9)*A2444,-9*A2444))+L$129*EXP(IF(A2444&lt;0,(10-10)*A2444,-10*A2444)),0)</x:f>
        <x:v>782077.6590049939</x:v>
      </x:c>
      <x:c r="C2444" s="256" t="n">
        <x:f>IF(B2444=0,IF(B2443=0,0,1),IF(B2443=0,0,IF(SIGN(B2444)&lt;&gt;SIGN(B2443),1,0)))</x:f>
        <x:v>0</x:v>
      </x:c>
      <x:c r="D2444" s="256" t="n">
        <x:f>EXP(A2444-0.005)-1</x:f>
        <x:v>-0.9743958287162874</x:v>
      </x:c>
    </x:row>
    <x:row r="2445" ht="20" customHeight="1">
      <x:c r="A2445" s="256" t="n">
        <x:f>-12+835*0.01</x:f>
        <x:v>-3.6500000000000004</x:v>
      </x:c>
      <x:c r="B2445" s="256" t="n">
        <x:f>IF(COUNT($B$129:$L$129)=11,B$129*EXP(IF(A2445&lt;0,(10-0)*A2445,-0*A2445))+C$129*EXP(IF(A2445&lt;0,(10-1)*A2445,-1*A2445))+D$129*EXP(IF(A2445&lt;0,(10-2)*A2445,-2*A2445))+E$129*EXP(IF(A2445&lt;0,(10-3)*A2445,-3*A2445))+F$129*EXP(IF(A2445&lt;0,(10-4)*A2445,-4*A2445))+G$129*EXP(IF(A2445&lt;0,(10-5)*A2445,-5*A2445))+H$129*EXP(IF(A2445&lt;0,(10-6)*A2445,-6*A2445))+I$129*EXP(IF(A2445&lt;0,(10-7)*A2445,-7*A2445))+J$129*EXP(IF(A2445&lt;0,(10-8)*A2445,-8*A2445))+K$129*EXP(IF(A2445&lt;0,(10-9)*A2445,-9*A2445))+L$129*EXP(IF(A2445&lt;0,(10-10)*A2445,-10*A2445)),0)</x:f>
        <x:v>782081.047346867</x:v>
      </x:c>
      <x:c r="C2445" s="256" t="n">
        <x:f>IF(B2445=0,IF(B2444=0,0,1),IF(B2444=0,0,IF(SIGN(B2445)&lt;&gt;SIGN(B2444),1,0)))</x:f>
        <x:v>0</x:v>
      </x:c>
      <x:c r="D2445" s="256" t="n">
        <x:f>EXP(A2445-0.005)-1</x:f>
        <x:v>-0.9741385025168344</x:v>
      </x:c>
    </x:row>
    <x:row r="2446" ht="20" customHeight="1">
      <x:c r="A2446" s="256" t="n">
        <x:f>-12+836*0.01</x:f>
        <x:v>-3.6400000000000006</x:v>
      </x:c>
      <x:c r="B2446" s="256" t="n">
        <x:f>IF(COUNT($B$129:$L$129)=11,B$129*EXP(IF(A2446&lt;0,(10-0)*A2446,-0*A2446))+C$129*EXP(IF(A2446&lt;0,(10-1)*A2446,-1*A2446))+D$129*EXP(IF(A2446&lt;0,(10-2)*A2446,-2*A2446))+E$129*EXP(IF(A2446&lt;0,(10-3)*A2446,-3*A2446))+F$129*EXP(IF(A2446&lt;0,(10-4)*A2446,-4*A2446))+G$129*EXP(IF(A2446&lt;0,(10-5)*A2446,-5*A2446))+H$129*EXP(IF(A2446&lt;0,(10-6)*A2446,-6*A2446))+I$129*EXP(IF(A2446&lt;0,(10-7)*A2446,-7*A2446))+J$129*EXP(IF(A2446&lt;0,(10-8)*A2446,-8*A2446))+K$129*EXP(IF(A2446&lt;0,(10-9)*A2446,-9*A2446))+L$129*EXP(IF(A2446&lt;0,(10-10)*A2446,-10*A2446)),0)</x:f>
        <x:v>782084.4711181278</x:v>
      </x:c>
      <x:c r="C2446" s="256" t="n">
        <x:f>IF(B2446=0,IF(B2445=0,0,1),IF(B2445=0,0,IF(SIGN(B2446)&lt;&gt;SIGN(B2445),1,0)))</x:f>
        <x:v>0</x:v>
      </x:c>
      <x:c r="D2446" s="256" t="n">
        <x:f>EXP(A2446-0.005)-1</x:f>
        <x:v>-0.9738785901460818</x:v>
      </x:c>
    </x:row>
    <x:row r="2447" ht="20" customHeight="1">
      <x:c r="A2447" s="256" t="n">
        <x:f>-12+837*0.01</x:f>
        <x:v>-3.629999999999999</x:v>
      </x:c>
      <x:c r="B2447" s="256" t="n">
        <x:f>IF(COUNT($B$129:$L$129)=11,B$129*EXP(IF(A2447&lt;0,(10-0)*A2447,-0*A2447))+C$129*EXP(IF(A2447&lt;0,(10-1)*A2447,-1*A2447))+D$129*EXP(IF(A2447&lt;0,(10-2)*A2447,-2*A2447))+E$129*EXP(IF(A2447&lt;0,(10-3)*A2447,-3*A2447))+F$129*EXP(IF(A2447&lt;0,(10-4)*A2447,-4*A2447))+G$129*EXP(IF(A2447&lt;0,(10-5)*A2447,-5*A2447))+H$129*EXP(IF(A2447&lt;0,(10-6)*A2447,-6*A2447))+I$129*EXP(IF(A2447&lt;0,(10-7)*A2447,-7*A2447))+J$129*EXP(IF(A2447&lt;0,(10-8)*A2447,-8*A2447))+K$129*EXP(IF(A2447&lt;0,(10-9)*A2447,-9*A2447))+L$129*EXP(IF(A2447&lt;0,(10-10)*A2447,-10*A2447)),0)</x:f>
        <x:v>782087.9307034197</x:v>
      </x:c>
      <x:c r="C2447" s="256" t="n">
        <x:f>IF(B2447=0,IF(B2446=0,0,1),IF(B2446=0,0,IF(SIGN(B2447)&lt;&gt;SIGN(B2446),1,0)))</x:f>
        <x:v>0</x:v>
      </x:c>
      <x:c r="D2447" s="256" t="n">
        <x:f>EXP(A2447-0.005)-1</x:f>
        <x:v>-0.9736160656125759</x:v>
      </x:c>
    </x:row>
    <x:row r="2448" ht="20" customHeight="1">
      <x:c r="A2448" s="256" t="n">
        <x:f>-12+838*0.01</x:f>
        <x:v>-3.619999999999999</x:v>
      </x:c>
      <x:c r="B2448" s="256" t="n">
        <x:f>IF(COUNT($B$129:$L$129)=11,B$129*EXP(IF(A2448&lt;0,(10-0)*A2448,-0*A2448))+C$129*EXP(IF(A2448&lt;0,(10-1)*A2448,-1*A2448))+D$129*EXP(IF(A2448&lt;0,(10-2)*A2448,-2*A2448))+E$129*EXP(IF(A2448&lt;0,(10-3)*A2448,-3*A2448))+F$129*EXP(IF(A2448&lt;0,(10-4)*A2448,-4*A2448))+G$129*EXP(IF(A2448&lt;0,(10-5)*A2448,-5*A2448))+H$129*EXP(IF(A2448&lt;0,(10-6)*A2448,-6*A2448))+I$129*EXP(IF(A2448&lt;0,(10-7)*A2448,-7*A2448))+J$129*EXP(IF(A2448&lt;0,(10-8)*A2448,-8*A2448))+K$129*EXP(IF(A2448&lt;0,(10-9)*A2448,-9*A2448))+L$129*EXP(IF(A2448&lt;0,(10-10)*A2448,-10*A2448)),0)</x:f>
        <x:v>782091.4264918532</x:v>
      </x:c>
      <x:c r="C2448" s="256" t="n">
        <x:f>IF(B2448=0,IF(B2447=0,0,1),IF(B2447=0,0,IF(SIGN(B2448)&lt;&gt;SIGN(B2447),1,0)))</x:f>
        <x:v>0</x:v>
      </x:c>
      <x:c r="D2448" s="256" t="n">
        <x:f>EXP(A2448-0.005)-1</x:f>
        <x:v>-0.9733509026636444</x:v>
      </x:c>
    </x:row>
    <x:row r="2449" ht="20" customHeight="1">
      <x:c r="A2449" s="256" t="n">
        <x:f>-12+839*0.01</x:f>
        <x:v>-3.6099999999999994</x:v>
      </x:c>
      <x:c r="B2449" s="256" t="n">
        <x:f>IF(COUNT($B$129:$L$129)=11,B$129*EXP(IF(A2449&lt;0,(10-0)*A2449,-0*A2449))+C$129*EXP(IF(A2449&lt;0,(10-1)*A2449,-1*A2449))+D$129*EXP(IF(A2449&lt;0,(10-2)*A2449,-2*A2449))+E$129*EXP(IF(A2449&lt;0,(10-3)*A2449,-3*A2449))+F$129*EXP(IF(A2449&lt;0,(10-4)*A2449,-4*A2449))+G$129*EXP(IF(A2449&lt;0,(10-5)*A2449,-5*A2449))+H$129*EXP(IF(A2449&lt;0,(10-6)*A2449,-6*A2449))+I$129*EXP(IF(A2449&lt;0,(10-7)*A2449,-7*A2449))+J$129*EXP(IF(A2449&lt;0,(10-8)*A2449,-8*A2449))+K$129*EXP(IF(A2449&lt;0,(10-9)*A2449,-9*A2449))+L$129*EXP(IF(A2449&lt;0,(10-10)*A2449,-10*A2449)),0)</x:f>
        <x:v>782094.9588770637</x:v>
      </x:c>
      <x:c r="C2449" s="256" t="n">
        <x:f>IF(B2449=0,IF(B2448=0,0,1),IF(B2448=0,0,IF(SIGN(B2449)&lt;&gt;SIGN(B2448),1,0)))</x:f>
        <x:v>0</x:v>
      </x:c>
      <x:c r="D2449" s="256" t="n">
        <x:f>EXP(A2449-0.005)-1</x:f>
        <x:v>-0.9730830747827719</x:v>
      </x:c>
    </x:row>
    <x:row r="2450" ht="20" customHeight="1">
      <x:c r="A2450" s="256" t="n">
        <x:f>-12+840*0.01</x:f>
        <x:v>-3.5999999999999996</x:v>
      </x:c>
      <x:c r="B2450" s="256" t="n">
        <x:f>IF(COUNT($B$129:$L$129)=11,B$129*EXP(IF(A2450&lt;0,(10-0)*A2450,-0*A2450))+C$129*EXP(IF(A2450&lt;0,(10-1)*A2450,-1*A2450))+D$129*EXP(IF(A2450&lt;0,(10-2)*A2450,-2*A2450))+E$129*EXP(IF(A2450&lt;0,(10-3)*A2450,-3*A2450))+F$129*EXP(IF(A2450&lt;0,(10-4)*A2450,-4*A2450))+G$129*EXP(IF(A2450&lt;0,(10-5)*A2450,-5*A2450))+H$129*EXP(IF(A2450&lt;0,(10-6)*A2450,-6*A2450))+I$129*EXP(IF(A2450&lt;0,(10-7)*A2450,-7*A2450))+J$129*EXP(IF(A2450&lt;0,(10-8)*A2450,-8*A2450))+K$129*EXP(IF(A2450&lt;0,(10-9)*A2450,-9*A2450))+L$129*EXP(IF(A2450&lt;0,(10-10)*A2450,-10*A2450)),0)</x:f>
        <x:v>782098.52825727</x:v>
      </x:c>
      <x:c r="C2450" s="256" t="n">
        <x:f>IF(B2450=0,IF(B2449=0,0,1),IF(B2449=0,0,IF(SIGN(B2450)&lt;&gt;SIGN(B2449),1,0)))</x:f>
        <x:v>0</x:v>
      </x:c>
      <x:c r="D2450" s="256" t="n">
        <x:f>EXP(A2450-0.005)-1</x:f>
        <x:v>-0.9728125551869466</x:v>
      </x:c>
    </x:row>
    <x:row r="2451" ht="20" customHeight="1">
      <x:c r="A2451" s="256" t="n">
        <x:f>-12+841*0.01</x:f>
        <x:v>-3.59</x:v>
      </x:c>
      <x:c r="B2451" s="256" t="n">
        <x:f>IF(COUNT($B$129:$L$129)=11,B$129*EXP(IF(A2451&lt;0,(10-0)*A2451,-0*A2451))+C$129*EXP(IF(A2451&lt;0,(10-1)*A2451,-1*A2451))+D$129*EXP(IF(A2451&lt;0,(10-2)*A2451,-2*A2451))+E$129*EXP(IF(A2451&lt;0,(10-3)*A2451,-3*A2451))+F$129*EXP(IF(A2451&lt;0,(10-4)*A2451,-4*A2451))+G$129*EXP(IF(A2451&lt;0,(10-5)*A2451,-5*A2451))+H$129*EXP(IF(A2451&lt;0,(10-6)*A2451,-6*A2451))+I$129*EXP(IF(A2451&lt;0,(10-7)*A2451,-7*A2451))+J$129*EXP(IF(A2451&lt;0,(10-8)*A2451,-8*A2451))+K$129*EXP(IF(A2451&lt;0,(10-9)*A2451,-9*A2451))+L$129*EXP(IF(A2451&lt;0,(10-10)*A2451,-10*A2451)),0)</x:f>
        <x:v>782102.135035334</x:v>
      </x:c>
      <x:c r="C2451" s="256" t="n">
        <x:f>IF(B2451=0,IF(B2450=0,0,1),IF(B2450=0,0,IF(SIGN(B2451)&lt;&gt;SIGN(B2450),1,0)))</x:f>
        <x:v>0</x:v>
      </x:c>
      <x:c r="D2451" s="256" t="n">
        <x:f>EXP(A2451-0.005)-1</x:f>
        <x:v>-0.9725393168239839</x:v>
      </x:c>
    </x:row>
    <x:row r="2452" ht="20" customHeight="1">
      <x:c r="A2452" s="256" t="n">
        <x:f>-12+842*0.01</x:f>
        <x:v>-3.58</x:v>
      </x:c>
      <x:c r="B2452" s="256" t="n">
        <x:f>IF(COUNT($B$129:$L$129)=11,B$129*EXP(IF(A2452&lt;0,(10-0)*A2452,-0*A2452))+C$129*EXP(IF(A2452&lt;0,(10-1)*A2452,-1*A2452))+D$129*EXP(IF(A2452&lt;0,(10-2)*A2452,-2*A2452))+E$129*EXP(IF(A2452&lt;0,(10-3)*A2452,-3*A2452))+F$129*EXP(IF(A2452&lt;0,(10-4)*A2452,-4*A2452))+G$129*EXP(IF(A2452&lt;0,(10-5)*A2452,-5*A2452))+H$129*EXP(IF(A2452&lt;0,(10-6)*A2452,-6*A2452))+I$129*EXP(IF(A2452&lt;0,(10-7)*A2452,-7*A2452))+J$129*EXP(IF(A2452&lt;0,(10-8)*A2452,-8*A2452))+K$129*EXP(IF(A2452&lt;0,(10-9)*A2452,-9*A2452))+L$129*EXP(IF(A2452&lt;0,(10-10)*A2452,-10*A2452)),0)</x:f>
        <x:v>782105.779618821</x:v>
      </x:c>
      <x:c r="C2452" s="256" t="n">
        <x:f>IF(B2452=0,IF(B2451=0,0,1),IF(B2451=0,0,IF(SIGN(B2452)&lt;&gt;SIGN(B2451),1,0)))</x:f>
        <x:v>0</x:v>
      </x:c>
      <x:c r="D2452" s="256" t="n">
        <x:f>EXP(A2452-0.005)-1</x:f>
        <x:v>-0.9722633323698195</x:v>
      </x:c>
    </x:row>
    <x:row r="2453" ht="20" customHeight="1">
      <x:c r="A2453" s="256" t="n">
        <x:f>-12+843*0.01</x:f>
        <x:v>-3.5700000000000003</x:v>
      </x:c>
      <x:c r="B2453" s="256" t="n">
        <x:f>IF(COUNT($B$129:$L$129)=11,B$129*EXP(IF(A2453&lt;0,(10-0)*A2453,-0*A2453))+C$129*EXP(IF(A2453&lt;0,(10-1)*A2453,-1*A2453))+D$129*EXP(IF(A2453&lt;0,(10-2)*A2453,-2*A2453))+E$129*EXP(IF(A2453&lt;0,(10-3)*A2453,-3*A2453))+F$129*EXP(IF(A2453&lt;0,(10-4)*A2453,-4*A2453))+G$129*EXP(IF(A2453&lt;0,(10-5)*A2453,-5*A2453))+H$129*EXP(IF(A2453&lt;0,(10-6)*A2453,-6*A2453))+I$129*EXP(IF(A2453&lt;0,(10-7)*A2453,-7*A2453))+J$129*EXP(IF(A2453&lt;0,(10-8)*A2453,-8*A2453))+K$129*EXP(IF(A2453&lt;0,(10-9)*A2453,-9*A2453))+L$129*EXP(IF(A2453&lt;0,(10-10)*A2453,-10*A2453)),0)</x:f>
        <x:v>782109.462420061</x:v>
      </x:c>
      <x:c r="C2453" s="256" t="n">
        <x:f>IF(B2453=0,IF(B2452=0,0,1),IF(B2452=0,0,IF(SIGN(B2453)&lt;&gt;SIGN(B2452),1,0)))</x:f>
        <x:v>0</x:v>
      </x:c>
      <x:c r="D2453" s="256" t="n">
        <x:f>EXP(A2453-0.005)-1</x:f>
        <x:v>-0.9719845742257782</x:v>
      </x:c>
    </x:row>
    <x:row r="2454" ht="20" customHeight="1">
      <x:c r="A2454" s="256" t="n">
        <x:f>-12+844*0.01</x:f>
        <x:v>-3.5600000000000005</x:v>
      </x:c>
      <x:c r="B2454" s="256" t="n">
        <x:f>IF(COUNT($B$129:$L$129)=11,B$129*EXP(IF(A2454&lt;0,(10-0)*A2454,-0*A2454))+C$129*EXP(IF(A2454&lt;0,(10-1)*A2454,-1*A2454))+D$129*EXP(IF(A2454&lt;0,(10-2)*A2454,-2*A2454))+E$129*EXP(IF(A2454&lt;0,(10-3)*A2454,-3*A2454))+F$129*EXP(IF(A2454&lt;0,(10-4)*A2454,-4*A2454))+G$129*EXP(IF(A2454&lt;0,(10-5)*A2454,-5*A2454))+H$129*EXP(IF(A2454&lt;0,(10-6)*A2454,-6*A2454))+I$129*EXP(IF(A2454&lt;0,(10-7)*A2454,-7*A2454))+J$129*EXP(IF(A2454&lt;0,(10-8)*A2454,-8*A2454))+K$129*EXP(IF(A2454&lt;0,(10-9)*A2454,-9*A2454))+L$129*EXP(IF(A2454&lt;0,(10-10)*A2454,-10*A2454)),0)</x:f>
        <x:v>782113.1838562115</x:v>
      </x:c>
      <x:c r="C2454" s="256" t="n">
        <x:f>IF(B2454=0,IF(B2453=0,0,1),IF(B2453=0,0,IF(SIGN(B2454)&lt;&gt;SIGN(B2453),1,0)))</x:f>
        <x:v>0</x:v>
      </x:c>
      <x:c r="D2454" s="256" t="n">
        <x:f>EXP(A2454-0.005)-1</x:f>
        <x:v>-0.9717030145158132</x:v>
      </x:c>
    </x:row>
    <x:row r="2455" ht="20" customHeight="1">
      <x:c r="A2455" s="256" t="n">
        <x:f>-12+845*0.01</x:f>
        <x:v>-3.5500000000000007</x:v>
      </x:c>
      <x:c r="B2455" s="256" t="n">
        <x:f>IF(COUNT($B$129:$L$129)=11,B$129*EXP(IF(A2455&lt;0,(10-0)*A2455,-0*A2455))+C$129*EXP(IF(A2455&lt;0,(10-1)*A2455,-1*A2455))+D$129*EXP(IF(A2455&lt;0,(10-2)*A2455,-2*A2455))+E$129*EXP(IF(A2455&lt;0,(10-3)*A2455,-3*A2455))+F$129*EXP(IF(A2455&lt;0,(10-4)*A2455,-4*A2455))+G$129*EXP(IF(A2455&lt;0,(10-5)*A2455,-5*A2455))+H$129*EXP(IF(A2455&lt;0,(10-6)*A2455,-6*A2455))+I$129*EXP(IF(A2455&lt;0,(10-7)*A2455,-7*A2455))+J$129*EXP(IF(A2455&lt;0,(10-8)*A2455,-8*A2455))+K$129*EXP(IF(A2455&lt;0,(10-9)*A2455,-9*A2455))+L$129*EXP(IF(A2455&lt;0,(10-10)*A2455,-10*A2455)),0)</x:f>
        <x:v>782116.9443493198</x:v>
      </x:c>
      <x:c r="C2455" s="256" t="n">
        <x:f>IF(B2455=0,IF(B2454=0,0,1),IF(B2454=0,0,IF(SIGN(B2455)&lt;&gt;SIGN(B2454),1,0)))</x:f>
        <x:v>0</x:v>
      </x:c>
      <x:c r="D2455" s="256" t="n">
        <x:f>EXP(A2455-0.005)-1</x:f>
        <x:v>-0.9714186250837188</x:v>
      </x:c>
    </x:row>
    <x:row r="2456" ht="20" customHeight="1">
      <x:c r="A2456" s="256" t="n">
        <x:f>-12+846*0.01</x:f>
        <x:v>-3.539999999999999</x:v>
      </x:c>
      <x:c r="B2456" s="256" t="n">
        <x:f>IF(COUNT($B$129:$L$129)=11,B$129*EXP(IF(A2456&lt;0,(10-0)*A2456,-0*A2456))+C$129*EXP(IF(A2456&lt;0,(10-1)*A2456,-1*A2456))+D$129*EXP(IF(A2456&lt;0,(10-2)*A2456,-2*A2456))+E$129*EXP(IF(A2456&lt;0,(10-3)*A2456,-3*A2456))+F$129*EXP(IF(A2456&lt;0,(10-4)*A2456,-4*A2456))+G$129*EXP(IF(A2456&lt;0,(10-5)*A2456,-5*A2456))+H$129*EXP(IF(A2456&lt;0,(10-6)*A2456,-6*A2456))+I$129*EXP(IF(A2456&lt;0,(10-7)*A2456,-7*A2456))+J$129*EXP(IF(A2456&lt;0,(10-8)*A2456,-8*A2456))+K$129*EXP(IF(A2456&lt;0,(10-9)*A2456,-9*A2456))+L$129*EXP(IF(A2456&lt;0,(10-10)*A2456,-10*A2456)),0)</x:f>
        <x:v>782120.7443263879</x:v>
      </x:c>
      <x:c r="C2456" s="256" t="n">
        <x:f>IF(B2456=0,IF(B2455=0,0,1),IF(B2455=0,0,IF(SIGN(B2456)&lt;&gt;SIGN(B2455),1,0)))</x:f>
        <x:v>0</x:v>
      </x:c>
      <x:c r="D2456" s="256" t="n">
        <x:f>EXP(A2456-0.005)-1</x:f>
        <x:v>-0.9711313774903149</x:v>
      </x:c>
    </x:row>
    <x:row r="2457" ht="20" customHeight="1">
      <x:c r="A2457" s="256" t="n">
        <x:f>-12+847*0.01</x:f>
        <x:v>-3.5299999999999994</x:v>
      </x:c>
      <x:c r="B2457" s="256" t="n">
        <x:f>IF(COUNT($B$129:$L$129)=11,B$129*EXP(IF(A2457&lt;0,(10-0)*A2457,-0*A2457))+C$129*EXP(IF(A2457&lt;0,(10-1)*A2457,-1*A2457))+D$129*EXP(IF(A2457&lt;0,(10-2)*A2457,-2*A2457))+E$129*EXP(IF(A2457&lt;0,(10-3)*A2457,-3*A2457))+F$129*EXP(IF(A2457&lt;0,(10-4)*A2457,-4*A2457))+G$129*EXP(IF(A2457&lt;0,(10-5)*A2457,-5*A2457))+H$129*EXP(IF(A2457&lt;0,(10-6)*A2457,-6*A2457))+I$129*EXP(IF(A2457&lt;0,(10-7)*A2457,-7*A2457))+J$129*EXP(IF(A2457&lt;0,(10-8)*A2457,-8*A2457))+K$129*EXP(IF(A2457&lt;0,(10-9)*A2457,-9*A2457))+L$129*EXP(IF(A2457&lt;0,(10-10)*A2457,-10*A2457)),0)</x:f>
        <x:v>782124.5842194377</x:v>
      </x:c>
      <x:c r="C2457" s="256" t="n">
        <x:f>IF(B2457=0,IF(B2456=0,0,1),IF(B2456=0,0,IF(SIGN(B2457)&lt;&gt;SIGN(B2456),1,0)))</x:f>
        <x:v>0</x:v>
      </x:c>
      <x:c r="D2457" s="256" t="n">
        <x:f>EXP(A2457-0.005)-1</x:f>
        <x:v>-0.9708412430106028</x:v>
      </x:c>
    </x:row>
    <x:row r="2458" ht="20" customHeight="1">
      <x:c r="A2458" s="256" t="n">
        <x:f>-12+848*0.01</x:f>
        <x:v>-3.5199999999999996</x:v>
      </x:c>
      <x:c r="B2458" s="256" t="n">
        <x:f>IF(COUNT($B$129:$L$129)=11,B$129*EXP(IF(A2458&lt;0,(10-0)*A2458,-0*A2458))+C$129*EXP(IF(A2458&lt;0,(10-1)*A2458,-1*A2458))+D$129*EXP(IF(A2458&lt;0,(10-2)*A2458,-2*A2458))+E$129*EXP(IF(A2458&lt;0,(10-3)*A2458,-3*A2458))+F$129*EXP(IF(A2458&lt;0,(10-4)*A2458,-4*A2458))+G$129*EXP(IF(A2458&lt;0,(10-5)*A2458,-5*A2458))+H$129*EXP(IF(A2458&lt;0,(10-6)*A2458,-6*A2458))+I$129*EXP(IF(A2458&lt;0,(10-7)*A2458,-7*A2458))+J$129*EXP(IF(A2458&lt;0,(10-8)*A2458,-8*A2458))+K$129*EXP(IF(A2458&lt;0,(10-9)*A2458,-9*A2458))+L$129*EXP(IF(A2458&lt;0,(10-10)*A2458,-10*A2458)),0)</x:f>
        <x:v>782128.4644655766</x:v>
      </x:c>
      <x:c r="C2458" s="256" t="n">
        <x:f>IF(B2458=0,IF(B2457=0,0,1),IF(B2457=0,0,IF(SIGN(B2458)&lt;&gt;SIGN(B2457),1,0)))</x:f>
        <x:v>0</x:v>
      </x:c>
      <x:c r="D2458" s="256" t="n">
        <x:f>EXP(A2458-0.005)-1</x:f>
        <x:v>-0.9705481926308926</x:v>
      </x:c>
    </x:row>
    <x:row r="2459" ht="20" customHeight="1">
      <x:c r="A2459" s="256" t="n">
        <x:f>-12+849*0.01</x:f>
        <x:v>-3.51</x:v>
      </x:c>
      <x:c r="B2459" s="256" t="n">
        <x:f>IF(COUNT($B$129:$L$129)=11,B$129*EXP(IF(A2459&lt;0,(10-0)*A2459,-0*A2459))+C$129*EXP(IF(A2459&lt;0,(10-1)*A2459,-1*A2459))+D$129*EXP(IF(A2459&lt;0,(10-2)*A2459,-2*A2459))+E$129*EXP(IF(A2459&lt;0,(10-3)*A2459,-3*A2459))+F$129*EXP(IF(A2459&lt;0,(10-4)*A2459,-4*A2459))+G$129*EXP(IF(A2459&lt;0,(10-5)*A2459,-5*A2459))+H$129*EXP(IF(A2459&lt;0,(10-6)*A2459,-6*A2459))+I$129*EXP(IF(A2459&lt;0,(10-7)*A2459,-7*A2459))+J$129*EXP(IF(A2459&lt;0,(10-8)*A2459,-8*A2459))+K$129*EXP(IF(A2459&lt;0,(10-9)*A2459,-9*A2459))+L$129*EXP(IF(A2459&lt;0,(10-10)*A2459,-10*A2459)),0)</x:f>
        <x:v>782132.385507065</x:v>
      </x:c>
      <x:c r="C2459" s="256" t="n">
        <x:f>IF(B2459=0,IF(B2458=0,0,1),IF(B2458=0,0,IF(SIGN(B2459)&lt;&gt;SIGN(B2458),1,0)))</x:f>
        <x:v>0</x:v>
      </x:c>
      <x:c r="D2459" s="256" t="n">
        <x:f>EXP(A2459-0.005)-1</x:f>
        <x:v>-0.9702521970459025</x:v>
      </x:c>
    </x:row>
    <x:row r="2460" ht="20" customHeight="1">
      <x:c r="A2460" s="256" t="n">
        <x:f>-12+850*0.01</x:f>
        <x:v>-3.5</x:v>
      </x:c>
      <x:c r="B2460" s="256" t="n">
        <x:f>IF(COUNT($B$129:$L$129)=11,B$129*EXP(IF(A2460&lt;0,(10-0)*A2460,-0*A2460))+C$129*EXP(IF(A2460&lt;0,(10-1)*A2460,-1*A2460))+D$129*EXP(IF(A2460&lt;0,(10-2)*A2460,-2*A2460))+E$129*EXP(IF(A2460&lt;0,(10-3)*A2460,-3*A2460))+F$129*EXP(IF(A2460&lt;0,(10-4)*A2460,-4*A2460))+G$129*EXP(IF(A2460&lt;0,(10-5)*A2460,-5*A2460))+H$129*EXP(IF(A2460&lt;0,(10-6)*A2460,-6*A2460))+I$129*EXP(IF(A2460&lt;0,(10-7)*A2460,-7*A2460))+J$129*EXP(IF(A2460&lt;0,(10-8)*A2460,-8*A2460))+K$129*EXP(IF(A2460&lt;0,(10-9)*A2460,-9*A2460))+L$129*EXP(IF(A2460&lt;0,(10-10)*A2460,-10*A2460)),0)</x:f>
        <x:v>782136.3477913847</x:v>
      </x:c>
      <x:c r="C2460" s="256" t="n">
        <x:f>IF(B2460=0,IF(B2459=0,0,1),IF(B2459=0,0,IF(SIGN(B2460)&lt;&gt;SIGN(B2459),1,0)))</x:f>
        <x:v>0</x:v>
      </x:c>
      <x:c r="D2460" s="256" t="n">
        <x:f>EXP(A2460-0.005)-1</x:f>
        <x:v>-0.9699532266558268</x:v>
      </x:c>
    </x:row>
    <x:row r="2461" ht="20" customHeight="1">
      <x:c r="A2461" s="256" t="n">
        <x:f>-12+851*0.01</x:f>
        <x:v>-3.49</x:v>
      </x:c>
      <x:c r="B2461" s="256" t="n">
        <x:f>IF(COUNT($B$129:$L$129)=11,B$129*EXP(IF(A2461&lt;0,(10-0)*A2461,-0*A2461))+C$129*EXP(IF(A2461&lt;0,(10-1)*A2461,-1*A2461))+D$129*EXP(IF(A2461&lt;0,(10-2)*A2461,-2*A2461))+E$129*EXP(IF(A2461&lt;0,(10-3)*A2461,-3*A2461))+F$129*EXP(IF(A2461&lt;0,(10-4)*A2461,-4*A2461))+G$129*EXP(IF(A2461&lt;0,(10-5)*A2461,-5*A2461))+H$129*EXP(IF(A2461&lt;0,(10-6)*A2461,-6*A2461))+I$129*EXP(IF(A2461&lt;0,(10-7)*A2461,-7*A2461))+J$129*EXP(IF(A2461&lt;0,(10-8)*A2461,-8*A2461))+K$129*EXP(IF(A2461&lt;0,(10-9)*A2461,-9*A2461))+L$129*EXP(IF(A2461&lt;0,(10-10)*A2461,-10*A2461)),0)</x:f>
        <x:v>782140.3517713075</x:v>
      </x:c>
      <x:c r="C2461" s="256" t="n">
        <x:f>IF(B2461=0,IF(B2460=0,0,1),IF(B2460=0,0,IF(SIGN(B2461)&lt;&gt;SIGN(B2460),1,0)))</x:f>
        <x:v>0</x:v>
      </x:c>
      <x:c r="D2461" s="256" t="n">
        <x:f>EXP(A2461-0.005)-1</x:f>
        <x:v>-0.9696512515633778</x:v>
      </x:c>
    </x:row>
    <x:row r="2462" ht="20" customHeight="1">
      <x:c r="A2462" s="256" t="n">
        <x:f>-12+852*0.01</x:f>
        <x:v>-3.4800000000000004</x:v>
      </x:c>
      <x:c r="B2462" s="256" t="n">
        <x:f>IF(COUNT($B$129:$L$129)=11,B$129*EXP(IF(A2462&lt;0,(10-0)*A2462,-0*A2462))+C$129*EXP(IF(A2462&lt;0,(10-1)*A2462,-1*A2462))+D$129*EXP(IF(A2462&lt;0,(10-2)*A2462,-2*A2462))+E$129*EXP(IF(A2462&lt;0,(10-3)*A2462,-3*A2462))+F$129*EXP(IF(A2462&lt;0,(10-4)*A2462,-4*A2462))+G$129*EXP(IF(A2462&lt;0,(10-5)*A2462,-5*A2462))+H$129*EXP(IF(A2462&lt;0,(10-6)*A2462,-6*A2462))+I$129*EXP(IF(A2462&lt;0,(10-7)*A2462,-7*A2462))+J$129*EXP(IF(A2462&lt;0,(10-8)*A2462,-8*A2462))+K$129*EXP(IF(A2462&lt;0,(10-9)*A2462,-9*A2462))+L$129*EXP(IF(A2462&lt;0,(10-10)*A2462,-10*A2462)),0)</x:f>
        <x:v>782144.3979049667</x:v>
      </x:c>
      <x:c r="C2462" s="256" t="n">
        <x:f>IF(B2462=0,IF(B2461=0,0,1),IF(B2461=0,0,IF(SIGN(B2462)&lt;&gt;SIGN(B2461),1,0)))</x:f>
        <x:v>0</x:v>
      </x:c>
      <x:c r="D2462" s="256" t="n">
        <x:f>EXP(A2462-0.005)-1</x:f>
        <x:v>-0.9693462415707944</x:v>
      </x:c>
    </x:row>
    <x:row r="2463" ht="20" customHeight="1">
      <x:c r="A2463" s="256" t="n">
        <x:f>-12+853*0.01</x:f>
        <x:v>-3.4700000000000006</x:v>
      </x:c>
      <x:c r="B2463" s="256" t="n">
        <x:f>IF(COUNT($B$129:$L$129)=11,B$129*EXP(IF(A2463&lt;0,(10-0)*A2463,-0*A2463))+C$129*EXP(IF(A2463&lt;0,(10-1)*A2463,-1*A2463))+D$129*EXP(IF(A2463&lt;0,(10-2)*A2463,-2*A2463))+E$129*EXP(IF(A2463&lt;0,(10-3)*A2463,-3*A2463))+F$129*EXP(IF(A2463&lt;0,(10-4)*A2463,-4*A2463))+G$129*EXP(IF(A2463&lt;0,(10-5)*A2463,-5*A2463))+H$129*EXP(IF(A2463&lt;0,(10-6)*A2463,-6*A2463))+I$129*EXP(IF(A2463&lt;0,(10-7)*A2463,-7*A2463))+J$129*EXP(IF(A2463&lt;0,(10-8)*A2463,-8*A2463))+K$129*EXP(IF(A2463&lt;0,(10-9)*A2463,-9*A2463))+L$129*EXP(IF(A2463&lt;0,(10-10)*A2463,-10*A2463)),0)</x:f>
        <x:v>782148.4866559269</x:v>
      </x:c>
      <x:c r="C2463" s="256" t="n">
        <x:f>IF(B2463=0,IF(B2462=0,0,1),IF(B2462=0,0,IF(SIGN(B2463)&lt;&gt;SIGN(B2462),1,0)))</x:f>
        <x:v>0</x:v>
      </x:c>
      <x:c r="D2463" s="256" t="n">
        <x:f>EXP(A2463-0.005)-1</x:f>
        <x:v>-0.9690381661768231</x:v>
      </x:c>
    </x:row>
    <x:row r="2464" ht="20" customHeight="1">
      <x:c r="A2464" s="256" t="n">
        <x:f>-12+854*0.01</x:f>
        <x:v>-3.459999999999999</x:v>
      </x:c>
      <x:c r="B2464" s="256" t="n">
        <x:f>IF(COUNT($B$129:$L$129)=11,B$129*EXP(IF(A2464&lt;0,(10-0)*A2464,-0*A2464))+C$129*EXP(IF(A2464&lt;0,(10-1)*A2464,-1*A2464))+D$129*EXP(IF(A2464&lt;0,(10-2)*A2464,-2*A2464))+E$129*EXP(IF(A2464&lt;0,(10-3)*A2464,-3*A2464))+F$129*EXP(IF(A2464&lt;0,(10-4)*A2464,-4*A2464))+G$129*EXP(IF(A2464&lt;0,(10-5)*A2464,-5*A2464))+H$129*EXP(IF(A2464&lt;0,(10-6)*A2464,-6*A2464))+I$129*EXP(IF(A2464&lt;0,(10-7)*A2464,-7*A2464))+J$129*EXP(IF(A2464&lt;0,(10-8)*A2464,-8*A2464))+K$129*EXP(IF(A2464&lt;0,(10-9)*A2464,-9*A2464))+L$129*EXP(IF(A2464&lt;0,(10-10)*A2464,-10*A2464)),0)</x:f>
        <x:v>782152.6184932581</x:v>
      </x:c>
      <x:c r="C2464" s="256" t="n">
        <x:f>IF(B2464=0,IF(B2463=0,0,1),IF(B2463=0,0,IF(SIGN(B2464)&lt;&gt;SIGN(B2463),1,0)))</x:f>
        <x:v>0</x:v>
      </x:c>
      <x:c r="D2464" s="256" t="n">
        <x:f>EXP(A2464-0.005)-1</x:f>
        <x:v>-0.968726994573668</x:v>
      </x:c>
    </x:row>
    <x:row r="2465" ht="20" customHeight="1">
      <x:c r="A2465" s="256" t="n">
        <x:f>-12+855*0.01</x:f>
        <x:v>-3.4499999999999993</x:v>
      </x:c>
      <x:c r="B2465" s="256" t="n">
        <x:f>IF(COUNT($B$129:$L$129)=11,B$129*EXP(IF(A2465&lt;0,(10-0)*A2465,-0*A2465))+C$129*EXP(IF(A2465&lt;0,(10-1)*A2465,-1*A2465))+D$129*EXP(IF(A2465&lt;0,(10-2)*A2465,-2*A2465))+E$129*EXP(IF(A2465&lt;0,(10-3)*A2465,-3*A2465))+F$129*EXP(IF(A2465&lt;0,(10-4)*A2465,-4*A2465))+G$129*EXP(IF(A2465&lt;0,(10-5)*A2465,-5*A2465))+H$129*EXP(IF(A2465&lt;0,(10-6)*A2465,-6*A2465))+I$129*EXP(IF(A2465&lt;0,(10-7)*A2465,-7*A2465))+J$129*EXP(IF(A2465&lt;0,(10-8)*A2465,-8*A2465))+K$129*EXP(IF(A2465&lt;0,(10-9)*A2465,-9*A2465))+L$129*EXP(IF(A2465&lt;0,(10-10)*A2465,-10*A2465)),0)</x:f>
        <x:v>782156.7938916084</x:v>
      </x:c>
      <x:c r="C2465" s="256" t="n">
        <x:f>IF(B2465=0,IF(B2464=0,0,1),IF(B2464=0,0,IF(SIGN(B2465)&lt;&gt;SIGN(B2464),1,0)))</x:f>
        <x:v>0</x:v>
      </x:c>
      <x:c r="D2465" s="256" t="n">
        <x:f>EXP(A2465-0.005)-1</x:f>
        <x:v>-0.9684126956439092</x:v>
      </x:c>
    </x:row>
    <x:row r="2466" ht="20" customHeight="1">
      <x:c r="A2466" s="256" t="n">
        <x:f>-12+856*0.01</x:f>
        <x:v>-3.4399999999999995</x:v>
      </x:c>
      <x:c r="B2466" s="256" t="n">
        <x:f>IF(COUNT($B$129:$L$129)=11,B$129*EXP(IF(A2466&lt;0,(10-0)*A2466,-0*A2466))+C$129*EXP(IF(A2466&lt;0,(10-1)*A2466,-1*A2466))+D$129*EXP(IF(A2466&lt;0,(10-2)*A2466,-2*A2466))+E$129*EXP(IF(A2466&lt;0,(10-3)*A2466,-3*A2466))+F$129*EXP(IF(A2466&lt;0,(10-4)*A2466,-4*A2466))+G$129*EXP(IF(A2466&lt;0,(10-5)*A2466,-5*A2466))+H$129*EXP(IF(A2466&lt;0,(10-6)*A2466,-6*A2466))+I$129*EXP(IF(A2466&lt;0,(10-7)*A2466,-7*A2466))+J$129*EXP(IF(A2466&lt;0,(10-8)*A2466,-8*A2466))+K$129*EXP(IF(A2466&lt;0,(10-9)*A2466,-9*A2466))+L$129*EXP(IF(A2466&lt;0,(10-10)*A2466,-10*A2466)),0)</x:f>
        <x:v>782161.0133312787</x:v>
      </x:c>
      <x:c r="C2466" s="256" t="n">
        <x:f>IF(B2466=0,IF(B2465=0,0,1),IF(B2465=0,0,IF(SIGN(B2466)&lt;&gt;SIGN(B2465),1,0)))</x:f>
        <x:v>0</x:v>
      </x:c>
      <x:c r="D2466" s="256" t="n">
        <x:f>EXP(A2466-0.005)-1</x:f>
        <x:v>-0.968095237957392</x:v>
      </x:c>
    </x:row>
    <x:row r="2467" ht="20" customHeight="1">
      <x:c r="A2467" s="256" t="n">
        <x:f>-12+857*0.01</x:f>
        <x:v>-3.4299999999999997</x:v>
      </x:c>
      <x:c r="B2467" s="256" t="n">
        <x:f>IF(COUNT($B$129:$L$129)=11,B$129*EXP(IF(A2467&lt;0,(10-0)*A2467,-0*A2467))+C$129*EXP(IF(A2467&lt;0,(10-1)*A2467,-1*A2467))+D$129*EXP(IF(A2467&lt;0,(10-2)*A2467,-2*A2467))+E$129*EXP(IF(A2467&lt;0,(10-3)*A2467,-3*A2467))+F$129*EXP(IF(A2467&lt;0,(10-4)*A2467,-4*A2467))+G$129*EXP(IF(A2467&lt;0,(10-5)*A2467,-5*A2467))+H$129*EXP(IF(A2467&lt;0,(10-6)*A2467,-6*A2467))+I$129*EXP(IF(A2467&lt;0,(10-7)*A2467,-7*A2467))+J$129*EXP(IF(A2467&lt;0,(10-8)*A2467,-8*A2467))+K$129*EXP(IF(A2467&lt;0,(10-9)*A2467,-9*A2467))+L$129*EXP(IF(A2467&lt;0,(10-10)*A2467,-10*A2467)),0)</x:f>
        <x:v>782165.2772982995</x:v>
      </x:c>
      <x:c r="C2467" s="256" t="n">
        <x:f>IF(B2467=0,IF(B2466=0,0,1),IF(B2466=0,0,IF(SIGN(B2467)&lt;&gt;SIGN(B2466),1,0)))</x:f>
        <x:v>0</x:v>
      </x:c>
      <x:c r="D2467" s="256" t="n">
        <x:f>EXP(A2467-0.005)-1</x:f>
        <x:v>-0.9677745897680832</x:v>
      </x:c>
    </x:row>
    <x:row r="2468" ht="20" customHeight="1">
      <x:c r="A2468" s="256" t="n">
        <x:f>-12+858*0.01</x:f>
        <x:v>-3.42</x:v>
      </x:c>
      <x:c r="B2468" s="256" t="n">
        <x:f>IF(COUNT($B$129:$L$129)=11,B$129*EXP(IF(A2468&lt;0,(10-0)*A2468,-0*A2468))+C$129*EXP(IF(A2468&lt;0,(10-1)*A2468,-1*A2468))+D$129*EXP(IF(A2468&lt;0,(10-2)*A2468,-2*A2468))+E$129*EXP(IF(A2468&lt;0,(10-3)*A2468,-3*A2468))+F$129*EXP(IF(A2468&lt;0,(10-4)*A2468,-4*A2468))+G$129*EXP(IF(A2468&lt;0,(10-5)*A2468,-5*A2468))+H$129*EXP(IF(A2468&lt;0,(10-6)*A2468,-6*A2468))+I$129*EXP(IF(A2468&lt;0,(10-7)*A2468,-7*A2468))+J$129*EXP(IF(A2468&lt;0,(10-8)*A2468,-8*A2468))+K$129*EXP(IF(A2468&lt;0,(10-9)*A2468,-9*A2468))+L$129*EXP(IF(A2468&lt;0,(10-10)*A2468,-10*A2468)),0)</x:f>
        <x:v>782169.5862845074</x:v>
      </x:c>
      <x:c r="C2468" s="256" t="n">
        <x:f>IF(B2468=0,IF(B2467=0,0,1),IF(B2467=0,0,IF(SIGN(B2468)&lt;&gt;SIGN(B2467),1,0)))</x:f>
        <x:v>0</x:v>
      </x:c>
      <x:c r="D2468" s="256" t="n">
        <x:f>EXP(A2468-0.005)-1</x:f>
        <x:v>-0.9674507190108965</x:v>
      </x:c>
    </x:row>
    <x:row r="2469" ht="20" customHeight="1">
      <x:c r="A2469" s="256" t="n">
        <x:f>-12+859*0.01</x:f>
        <x:v>-3.41</x:v>
      </x:c>
      <x:c r="B2469" s="256" t="n">
        <x:f>IF(COUNT($B$129:$L$129)=11,B$129*EXP(IF(A2469&lt;0,(10-0)*A2469,-0*A2469))+C$129*EXP(IF(A2469&lt;0,(10-1)*A2469,-1*A2469))+D$129*EXP(IF(A2469&lt;0,(10-2)*A2469,-2*A2469))+E$129*EXP(IF(A2469&lt;0,(10-3)*A2469,-3*A2469))+F$129*EXP(IF(A2469&lt;0,(10-4)*A2469,-4*A2469))+G$129*EXP(IF(A2469&lt;0,(10-5)*A2469,-5*A2469))+H$129*EXP(IF(A2469&lt;0,(10-6)*A2469,-6*A2469))+I$129*EXP(IF(A2469&lt;0,(10-7)*A2469,-7*A2469))+J$129*EXP(IF(A2469&lt;0,(10-8)*A2469,-8*A2469))+K$129*EXP(IF(A2469&lt;0,(10-9)*A2469,-9*A2469))+L$129*EXP(IF(A2469&lt;0,(10-10)*A2469,-10*A2469)),0)</x:f>
        <x:v>782173.9407876236</x:v>
      </x:c>
      <x:c r="C2469" s="256" t="n">
        <x:f>IF(B2469=0,IF(B2468=0,0,1),IF(B2468=0,0,IF(SIGN(B2469)&lt;&gt;SIGN(B2468),1,0)))</x:f>
        <x:v>0</x:v>
      </x:c>
      <x:c r="D2469" s="256" t="n">
        <x:f>EXP(A2469-0.005)-1</x:f>
        <x:v>-0.9671235932984865</x:v>
      </x:c>
    </x:row>
    <x:row r="2470" ht="20" customHeight="1">
      <x:c r="A2470" s="256" t="n">
        <x:f>-12+860*0.01</x:f>
        <x:v>-3.4000000000000004</x:v>
      </x:c>
      <x:c r="B2470" s="256" t="n">
        <x:f>IF(COUNT($B$129:$L$129)=11,B$129*EXP(IF(A2470&lt;0,(10-0)*A2470,-0*A2470))+C$129*EXP(IF(A2470&lt;0,(10-1)*A2470,-1*A2470))+D$129*EXP(IF(A2470&lt;0,(10-2)*A2470,-2*A2470))+E$129*EXP(IF(A2470&lt;0,(10-3)*A2470,-3*A2470))+F$129*EXP(IF(A2470&lt;0,(10-4)*A2470,-4*A2470))+G$129*EXP(IF(A2470&lt;0,(10-5)*A2470,-5*A2470))+H$129*EXP(IF(A2470&lt;0,(10-6)*A2470,-6*A2470))+I$129*EXP(IF(A2470&lt;0,(10-7)*A2470,-7*A2470))+J$129*EXP(IF(A2470&lt;0,(10-8)*A2470,-8*A2470))+K$129*EXP(IF(A2470&lt;0,(10-9)*A2470,-9*A2470))+L$129*EXP(IF(A2470&lt;0,(10-10)*A2470,-10*A2470)),0)</x:f>
        <x:v>782178.3413113337</x:v>
      </x:c>
      <x:c r="C2470" s="256" t="n">
        <x:f>IF(B2470=0,IF(B2469=0,0,1),IF(B2469=0,0,IF(SIGN(B2470)&lt;&gt;SIGN(B2469),1,0)))</x:f>
        <x:v>0</x:v>
      </x:c>
      <x:c r="D2470" s="256" t="n">
        <x:f>EXP(A2470-0.005)-1</x:f>
        <x:v>-0.9667931799180093</x:v>
      </x:c>
    </x:row>
    <x:row r="2471" ht="20" customHeight="1">
      <x:c r="A2471" s="256" t="n">
        <x:f>-12+861*0.01</x:f>
        <x:v>-3.3900000000000006</x:v>
      </x:c>
      <x:c r="B2471" s="256" t="n">
        <x:f>IF(COUNT($B$129:$L$129)=11,B$129*EXP(IF(A2471&lt;0,(10-0)*A2471,-0*A2471))+C$129*EXP(IF(A2471&lt;0,(10-1)*A2471,-1*A2471))+D$129*EXP(IF(A2471&lt;0,(10-2)*A2471,-2*A2471))+E$129*EXP(IF(A2471&lt;0,(10-3)*A2471,-3*A2471))+F$129*EXP(IF(A2471&lt;0,(10-4)*A2471,-4*A2471))+G$129*EXP(IF(A2471&lt;0,(10-5)*A2471,-5*A2471))+H$129*EXP(IF(A2471&lt;0,(10-6)*A2471,-6*A2471))+I$129*EXP(IF(A2471&lt;0,(10-7)*A2471,-7*A2471))+J$129*EXP(IF(A2471&lt;0,(10-8)*A2471,-8*A2471))+K$129*EXP(IF(A2471&lt;0,(10-9)*A2471,-9*A2471))+L$129*EXP(IF(A2471&lt;0,(10-10)*A2471,-10*A2471)),0)</x:f>
        <x:v>782182.7883653683</x:v>
      </x:c>
      <x:c r="C2471" s="256" t="n">
        <x:f>IF(B2471=0,IF(B2470=0,0,1),IF(B2470=0,0,IF(SIGN(B2471)&lt;&gt;SIGN(B2470),1,0)))</x:f>
        <x:v>0</x:v>
      </x:c>
      <x:c r="D2471" s="256" t="n">
        <x:f>EXP(A2471-0.005)-1</x:f>
        <x:v>-0.9664594458278514</x:v>
      </x:c>
    </x:row>
    <x:row r="2472" ht="20" customHeight="1">
      <x:c r="A2472" s="256" t="n">
        <x:f>-12+862*0.01</x:f>
        <x:v>-3.379999999999999</x:v>
      </x:c>
      <x:c r="B2472" s="256" t="n">
        <x:f>IF(COUNT($B$129:$L$129)=11,B$129*EXP(IF(A2472&lt;0,(10-0)*A2472,-0*A2472))+C$129*EXP(IF(A2472&lt;0,(10-1)*A2472,-1*A2472))+D$129*EXP(IF(A2472&lt;0,(10-2)*A2472,-2*A2472))+E$129*EXP(IF(A2472&lt;0,(10-3)*A2472,-3*A2472))+F$129*EXP(IF(A2472&lt;0,(10-4)*A2472,-4*A2472))+G$129*EXP(IF(A2472&lt;0,(10-5)*A2472,-5*A2472))+H$129*EXP(IF(A2472&lt;0,(10-6)*A2472,-6*A2472))+I$129*EXP(IF(A2472&lt;0,(10-7)*A2472,-7*A2472))+J$129*EXP(IF(A2472&lt;0,(10-8)*A2472,-8*A2472))+K$129*EXP(IF(A2472&lt;0,(10-9)*A2472,-9*A2472))+L$129*EXP(IF(A2472&lt;0,(10-10)*A2472,-10*A2472)),0)</x:f>
        <x:v>782187.2824655854</x:v>
      </x:c>
      <x:c r="C2472" s="256" t="n">
        <x:f>IF(B2472=0,IF(B2471=0,0,1),IF(B2471=0,0,IF(SIGN(B2472)&lt;&gt;SIGN(B2471),1,0)))</x:f>
        <x:v>0</x:v>
      </x:c>
      <x:c r="D2472" s="256" t="n">
        <x:f>EXP(A2472-0.005)-1</x:f>
        <x:v>-0.9661223576543256</x:v>
      </x:c>
    </x:row>
    <x:row r="2473" ht="20" customHeight="1">
      <x:c r="A2473" s="256" t="n">
        <x:f>-12+863*0.01</x:f>
        <x:v>-3.369999999999999</x:v>
      </x:c>
      <x:c r="B2473" s="256" t="n">
        <x:f>IF(COUNT($B$129:$L$129)=11,B$129*EXP(IF(A2473&lt;0,(10-0)*A2473,-0*A2473))+C$129*EXP(IF(A2473&lt;0,(10-1)*A2473,-1*A2473))+D$129*EXP(IF(A2473&lt;0,(10-2)*A2473,-2*A2473))+E$129*EXP(IF(A2473&lt;0,(10-3)*A2473,-3*A2473))+F$129*EXP(IF(A2473&lt;0,(10-4)*A2473,-4*A2473))+G$129*EXP(IF(A2473&lt;0,(10-5)*A2473,-5*A2473))+H$129*EXP(IF(A2473&lt;0,(10-6)*A2473,-6*A2473))+I$129*EXP(IF(A2473&lt;0,(10-7)*A2473,-7*A2473))+J$129*EXP(IF(A2473&lt;0,(10-8)*A2473,-8*A2473))+K$129*EXP(IF(A2473&lt;0,(10-9)*A2473,-9*A2473))+L$129*EXP(IF(A2473&lt;0,(10-10)*A2473,-10*A2473)),0)</x:f>
        <x:v>782191.8241340535</x:v>
      </x:c>
      <x:c r="C2473" s="256" t="n">
        <x:f>IF(B2473=0,IF(B2472=0,0,1),IF(B2472=0,0,IF(SIGN(B2473)&lt;&gt;SIGN(B2472),1,0)))</x:f>
        <x:v>0</x:v>
      </x:c>
      <x:c r="D2473" s="256" t="n">
        <x:f>EXP(A2473-0.005)-1</x:f>
        <x:v>-0.9657818816883339</x:v>
      </x:c>
    </x:row>
    <x:row r="2474" ht="20" customHeight="1">
      <x:c r="A2474" s="256" t="n">
        <x:f>-12+864*0.01</x:f>
        <x:v>-3.3599999999999994</x:v>
      </x:c>
      <x:c r="B2474" s="256" t="n">
        <x:f>IF(COUNT($B$129:$L$129)=11,B$129*EXP(IF(A2474&lt;0,(10-0)*A2474,-0*A2474))+C$129*EXP(IF(A2474&lt;0,(10-1)*A2474,-1*A2474))+D$129*EXP(IF(A2474&lt;0,(10-2)*A2474,-2*A2474))+E$129*EXP(IF(A2474&lt;0,(10-3)*A2474,-3*A2474))+F$129*EXP(IF(A2474&lt;0,(10-4)*A2474,-4*A2474))+G$129*EXP(IF(A2474&lt;0,(10-5)*A2474,-5*A2474))+H$129*EXP(IF(A2474&lt;0,(10-6)*A2474,-6*A2474))+I$129*EXP(IF(A2474&lt;0,(10-7)*A2474,-7*A2474))+J$129*EXP(IF(A2474&lt;0,(10-8)*A2474,-8*A2474))+K$129*EXP(IF(A2474&lt;0,(10-9)*A2474,-9*A2474))+L$129*EXP(IF(A2474&lt;0,(10-10)*A2474,-10*A2474)),0)</x:f>
        <x:v>782196.4138991372</x:v>
      </x:c>
      <x:c r="C2474" s="256" t="n">
        <x:f>IF(B2474=0,IF(B2473=0,0,1),IF(B2473=0,0,IF(SIGN(B2474)&lt;&gt;SIGN(B2473),1,0)))</x:f>
        <x:v>0</x:v>
      </x:c>
      <x:c r="D2474" s="256" t="n">
        <x:f>EXP(A2474-0.005)-1</x:f>
        <x:v>-0.9654379838819959</x:v>
      </x:c>
    </x:row>
    <x:row r="2475" ht="20" customHeight="1">
      <x:c r="A2475" s="256" t="n">
        <x:f>-12+865*0.01</x:f>
        <x:v>-3.3499999999999996</x:v>
      </x:c>
      <x:c r="B2475" s="256" t="n">
        <x:f>IF(COUNT($B$129:$L$129)=11,B$129*EXP(IF(A2475&lt;0,(10-0)*A2475,-0*A2475))+C$129*EXP(IF(A2475&lt;0,(10-1)*A2475,-1*A2475))+D$129*EXP(IF(A2475&lt;0,(10-2)*A2475,-2*A2475))+E$129*EXP(IF(A2475&lt;0,(10-3)*A2475,-3*A2475))+F$129*EXP(IF(A2475&lt;0,(10-4)*A2475,-4*A2475))+G$129*EXP(IF(A2475&lt;0,(10-5)*A2475,-5*A2475))+H$129*EXP(IF(A2475&lt;0,(10-6)*A2475,-6*A2475))+I$129*EXP(IF(A2475&lt;0,(10-7)*A2475,-7*A2475))+J$129*EXP(IF(A2475&lt;0,(10-8)*A2475,-8*A2475))+K$129*EXP(IF(A2475&lt;0,(10-9)*A2475,-9*A2475))+L$129*EXP(IF(A2475&lt;0,(10-10)*A2475,-10*A2475)),0)</x:f>
        <x:v>782201.0522955823</x:v>
      </x:c>
      <x:c r="C2475" s="256" t="n">
        <x:f>IF(B2475=0,IF(B2474=0,0,1),IF(B2474=0,0,IF(SIGN(B2475)&lt;&gt;SIGN(B2474),1,0)))</x:f>
        <x:v>0</x:v>
      </x:c>
      <x:c r="D2475" s="256" t="n">
        <x:f>EXP(A2475-0.005)-1</x:f>
        <x:v>-0.9650906298452442</x:v>
      </x:c>
    </x:row>
    <x:row r="2476" ht="20" customHeight="1">
      <x:c r="A2476" s="256" t="n">
        <x:f>-12+866*0.01</x:f>
        <x:v>-3.34</x:v>
      </x:c>
      <x:c r="B2476" s="256" t="n">
        <x:f>IF(COUNT($B$129:$L$129)=11,B$129*EXP(IF(A2476&lt;0,(10-0)*A2476,-0*A2476))+C$129*EXP(IF(A2476&lt;0,(10-1)*A2476,-1*A2476))+D$129*EXP(IF(A2476&lt;0,(10-2)*A2476,-2*A2476))+E$129*EXP(IF(A2476&lt;0,(10-3)*A2476,-3*A2476))+F$129*EXP(IF(A2476&lt;0,(10-4)*A2476,-4*A2476))+G$129*EXP(IF(A2476&lt;0,(10-5)*A2476,-5*A2476))+H$129*EXP(IF(A2476&lt;0,(10-6)*A2476,-6*A2476))+I$129*EXP(IF(A2476&lt;0,(10-7)*A2476,-7*A2476))+J$129*EXP(IF(A2476&lt;0,(10-8)*A2476,-8*A2476))+K$129*EXP(IF(A2476&lt;0,(10-9)*A2476,-9*A2476))+L$129*EXP(IF(A2476&lt;0,(10-10)*A2476,-10*A2476)),0)</x:f>
        <x:v>782205.739864604</x:v>
      </x:c>
      <x:c r="C2476" s="256" t="n">
        <x:f>IF(B2476=0,IF(B2475=0,0,1),IF(B2475=0,0,IF(SIGN(B2476)&lt;&gt;SIGN(B2475),1,0)))</x:f>
        <x:v>0</x:v>
      </x:c>
      <x:c r="D2476" s="256" t="n">
        <x:f>EXP(A2476-0.005)-1</x:f>
        <x:v>-0.9647397848423859</x:v>
      </x:c>
    </x:row>
    <x:row r="2477" ht="20" customHeight="1">
      <x:c r="A2477" s="256" t="n">
        <x:f>-12+867*0.01</x:f>
        <x:v>-3.33</x:v>
      </x:c>
      <x:c r="B2477" s="256" t="n">
        <x:f>IF(COUNT($B$129:$L$129)=11,B$129*EXP(IF(A2477&lt;0,(10-0)*A2477,-0*A2477))+C$129*EXP(IF(A2477&lt;0,(10-1)*A2477,-1*A2477))+D$129*EXP(IF(A2477&lt;0,(10-2)*A2477,-2*A2477))+E$129*EXP(IF(A2477&lt;0,(10-3)*A2477,-3*A2477))+F$129*EXP(IF(A2477&lt;0,(10-4)*A2477,-4*A2477))+G$129*EXP(IF(A2477&lt;0,(10-5)*A2477,-5*A2477))+H$129*EXP(IF(A2477&lt;0,(10-6)*A2477,-6*A2477))+I$129*EXP(IF(A2477&lt;0,(10-7)*A2477,-7*A2477))+J$129*EXP(IF(A2477&lt;0,(10-8)*A2477,-8*A2477))+K$129*EXP(IF(A2477&lt;0,(10-9)*A2477,-9*A2477))+L$129*EXP(IF(A2477&lt;0,(10-10)*A2477,-10*A2477)),0)</x:f>
        <x:v>782210.4771539759</x:v>
      </x:c>
      <x:c r="C2477" s="256" t="n">
        <x:f>IF(B2477=0,IF(B2476=0,0,1),IF(B2476=0,0,IF(SIGN(B2477)&lt;&gt;SIGN(B2476),1,0)))</x:f>
        <x:v>0</x:v>
      </x:c>
      <x:c r="D2477" s="256" t="n">
        <x:f>EXP(A2477-0.005)-1</x:f>
        <x:v>-0.9643854137886282</x:v>
      </x:c>
    </x:row>
    <x:row r="2478" ht="20" customHeight="1">
      <x:c r="A2478" s="256" t="n">
        <x:f>-12+868*0.01</x:f>
        <x:v>-3.3200000000000003</x:v>
      </x:c>
      <x:c r="B2478" s="256" t="n">
        <x:f>IF(COUNT($B$129:$L$129)=11,B$129*EXP(IF(A2478&lt;0,(10-0)*A2478,-0*A2478))+C$129*EXP(IF(A2478&lt;0,(10-1)*A2478,-1*A2478))+D$129*EXP(IF(A2478&lt;0,(10-2)*A2478,-2*A2478))+E$129*EXP(IF(A2478&lt;0,(10-3)*A2478,-3*A2478))+F$129*EXP(IF(A2478&lt;0,(10-4)*A2478,-4*A2478))+G$129*EXP(IF(A2478&lt;0,(10-5)*A2478,-5*A2478))+H$129*EXP(IF(A2478&lt;0,(10-6)*A2478,-6*A2478))+I$129*EXP(IF(A2478&lt;0,(10-7)*A2478,-7*A2478))+J$129*EXP(IF(A2478&lt;0,(10-8)*A2478,-8*A2478))+K$129*EXP(IF(A2478&lt;0,(10-9)*A2478,-9*A2478))+L$129*EXP(IF(A2478&lt;0,(10-10)*A2478,-10*A2478)),0)</x:f>
        <x:v>782215.2647181198</x:v>
      </x:c>
      <x:c r="C2478" s="256" t="n">
        <x:f>IF(B2478=0,IF(B2477=0,0,1),IF(B2477=0,0,IF(SIGN(B2478)&lt;&gt;SIGN(B2477),1,0)))</x:f>
        <x:v>0</x:v>
      </x:c>
      <x:c r="D2478" s="256" t="n">
        <x:f>EXP(A2478-0.005)-1</x:f>
        <x:v>-0.9640274812465703</x:v>
      </x:c>
    </x:row>
    <x:row r="2479" ht="20" customHeight="1">
      <x:c r="A2479" s="256" t="n">
        <x:f>-12+869*0.01</x:f>
        <x:v>-3.3100000000000005</x:v>
      </x:c>
      <x:c r="B2479" s="256" t="n">
        <x:f>IF(COUNT($B$129:$L$129)=11,B$129*EXP(IF(A2479&lt;0,(10-0)*A2479,-0*A2479))+C$129*EXP(IF(A2479&lt;0,(10-1)*A2479,-1*A2479))+D$129*EXP(IF(A2479&lt;0,(10-2)*A2479,-2*A2479))+E$129*EXP(IF(A2479&lt;0,(10-3)*A2479,-3*A2479))+F$129*EXP(IF(A2479&lt;0,(10-4)*A2479,-4*A2479))+G$129*EXP(IF(A2479&lt;0,(10-5)*A2479,-5*A2479))+H$129*EXP(IF(A2479&lt;0,(10-6)*A2479,-6*A2479))+I$129*EXP(IF(A2479&lt;0,(10-7)*A2479,-7*A2479))+J$129*EXP(IF(A2479&lt;0,(10-8)*A2479,-8*A2479))+K$129*EXP(IF(A2479&lt;0,(10-9)*A2479,-9*A2479))+L$129*EXP(IF(A2479&lt;0,(10-10)*A2479,-10*A2479)),0)</x:f>
        <x:v>782220.1031181982</x:v>
      </x:c>
      <x:c r="C2479" s="256" t="n">
        <x:f>IF(B2479=0,IF(B2478=0,0,1),IF(B2478=0,0,IF(SIGN(B2479)&lt;&gt;SIGN(B2478),1,0)))</x:f>
        <x:v>0</x:v>
      </x:c>
      <x:c r="D2479" s="256" t="n">
        <x:f>EXP(A2479-0.005)-1</x:f>
        <x:v>-0.96366595142266</x:v>
      </x:c>
    </x:row>
    <x:row r="2480" ht="20" customHeight="1">
      <x:c r="A2480" s="256" t="n">
        <x:f>-12+870*0.01</x:f>
        <x:v>-3.299999999999999</x:v>
      </x:c>
      <x:c r="B2480" s="256" t="n">
        <x:f>IF(COUNT($B$129:$L$129)=11,B$129*EXP(IF(A2480&lt;0,(10-0)*A2480,-0*A2480))+C$129*EXP(IF(A2480&lt;0,(10-1)*A2480,-1*A2480))+D$129*EXP(IF(A2480&lt;0,(10-2)*A2480,-2*A2480))+E$129*EXP(IF(A2480&lt;0,(10-3)*A2480,-3*A2480))+F$129*EXP(IF(A2480&lt;0,(10-4)*A2480,-4*A2480))+G$129*EXP(IF(A2480&lt;0,(10-5)*A2480,-5*A2480))+H$129*EXP(IF(A2480&lt;0,(10-6)*A2480,-6*A2480))+I$129*EXP(IF(A2480&lt;0,(10-7)*A2480,-7*A2480))+J$129*EXP(IF(A2480&lt;0,(10-8)*A2480,-8*A2480))+K$129*EXP(IF(A2480&lt;0,(10-9)*A2480,-9*A2480))+L$129*EXP(IF(A2480&lt;0,(10-10)*A2480,-10*A2480)),0)</x:f>
        <x:v>782224.9929222072</x:v>
      </x:c>
      <x:c r="C2480" s="256" t="n">
        <x:f>IF(B2480=0,IF(B2479=0,0,1),IF(B2479=0,0,IF(SIGN(B2480)&lt;&gt;SIGN(B2479),1,0)))</x:f>
        <x:v>0</x:v>
      </x:c>
      <x:c r="D2480" s="256" t="n">
        <x:f>EXP(A2480-0.005)-1</x:f>
        <x:v>-0.9633007881636134</x:v>
      </x:c>
    </x:row>
    <x:row r="2481" ht="20" customHeight="1">
      <x:c r="A2481" s="256" t="n">
        <x:f>-12+871*0.01</x:f>
        <x:v>-3.289999999999999</x:v>
      </x:c>
      <x:c r="B2481" s="256" t="n">
        <x:f>IF(COUNT($B$129:$L$129)=11,B$129*EXP(IF(A2481&lt;0,(10-0)*A2481,-0*A2481))+C$129*EXP(IF(A2481&lt;0,(10-1)*A2481,-1*A2481))+D$129*EXP(IF(A2481&lt;0,(10-2)*A2481,-2*A2481))+E$129*EXP(IF(A2481&lt;0,(10-3)*A2481,-3*A2481))+F$129*EXP(IF(A2481&lt;0,(10-4)*A2481,-4*A2481))+G$129*EXP(IF(A2481&lt;0,(10-5)*A2481,-5*A2481))+H$129*EXP(IF(A2481&lt;0,(10-6)*A2481,-6*A2481))+I$129*EXP(IF(A2481&lt;0,(10-7)*A2481,-7*A2481))+J$129*EXP(IF(A2481&lt;0,(10-8)*A2481,-8*A2481))+K$129*EXP(IF(A2481&lt;0,(10-9)*A2481,-9*A2481))+L$129*EXP(IF(A2481&lt;0,(10-10)*A2481,-10*A2481)),0)</x:f>
        <x:v>782229.9347050716</x:v>
      </x:c>
      <x:c r="C2481" s="256" t="n">
        <x:f>IF(B2481=0,IF(B2480=0,0,1),IF(B2480=0,0,IF(SIGN(B2481)&lt;&gt;SIGN(B2480),1,0)))</x:f>
        <x:v>0</x:v>
      </x:c>
      <x:c r="D2481" s="256" t="n">
        <x:f>EXP(A2481-0.005)-1</x:f>
        <x:v>-0.9629319549528005</x:v>
      </x:c>
    </x:row>
    <x:row r="2482" ht="20" customHeight="1">
      <x:c r="A2482" s="256" t="n">
        <x:f>-12+872*0.01</x:f>
        <x:v>-3.2799999999999994</x:v>
      </x:c>
      <x:c r="B2482" s="256" t="n">
        <x:f>IF(COUNT($B$129:$L$129)=11,B$129*EXP(IF(A2482&lt;0,(10-0)*A2482,-0*A2482))+C$129*EXP(IF(A2482&lt;0,(10-1)*A2482,-1*A2482))+D$129*EXP(IF(A2482&lt;0,(10-2)*A2482,-2*A2482))+E$129*EXP(IF(A2482&lt;0,(10-3)*A2482,-3*A2482))+F$129*EXP(IF(A2482&lt;0,(10-4)*A2482,-4*A2482))+G$129*EXP(IF(A2482&lt;0,(10-5)*A2482,-5*A2482))+H$129*EXP(IF(A2482&lt;0,(10-6)*A2482,-6*A2482))+I$129*EXP(IF(A2482&lt;0,(10-7)*A2482,-7*A2482))+J$129*EXP(IF(A2482&lt;0,(10-8)*A2482,-8*A2482))+K$129*EXP(IF(A2482&lt;0,(10-9)*A2482,-9*A2482))+L$129*EXP(IF(A2482&lt;0,(10-10)*A2482,-10*A2482)),0)</x:f>
        <x:v>782234.9290487411</x:v>
      </x:c>
      <x:c r="C2482" s="256" t="n">
        <x:f>IF(B2482=0,IF(B2481=0,0,1),IF(B2481=0,0,IF(SIGN(B2482)&lt;&gt;SIGN(B2481),1,0)))</x:f>
        <x:v>0</x:v>
      </x:c>
      <x:c r="D2482" s="256" t="n">
        <x:f>EXP(A2482-0.005)-1</x:f>
        <x:v>-0.9625594149065927</x:v>
      </x:c>
    </x:row>
    <x:row r="2483" ht="20" customHeight="1">
      <x:c r="A2483" s="256" t="n">
        <x:f>-12+873*0.01</x:f>
        <x:v>-3.2699999999999996</x:v>
      </x:c>
      <x:c r="B2483" s="256" t="n">
        <x:f>IF(COUNT($B$129:$L$129)=11,B$129*EXP(IF(A2483&lt;0,(10-0)*A2483,-0*A2483))+C$129*EXP(IF(A2483&lt;0,(10-1)*A2483,-1*A2483))+D$129*EXP(IF(A2483&lt;0,(10-2)*A2483,-2*A2483))+E$129*EXP(IF(A2483&lt;0,(10-3)*A2483,-3*A2483))+F$129*EXP(IF(A2483&lt;0,(10-4)*A2483,-4*A2483))+G$129*EXP(IF(A2483&lt;0,(10-5)*A2483,-5*A2483))+H$129*EXP(IF(A2483&lt;0,(10-6)*A2483,-6*A2483))+I$129*EXP(IF(A2483&lt;0,(10-7)*A2483,-7*A2483))+J$129*EXP(IF(A2483&lt;0,(10-8)*A2483,-8*A2483))+K$129*EXP(IF(A2483&lt;0,(10-9)*A2483,-9*A2483))+L$129*EXP(IF(A2483&lt;0,(10-10)*A2483,-10*A2483)),0)</x:f>
        <x:v>782239.9765422883</x:v>
      </x:c>
      <x:c r="C2483" s="256" t="n">
        <x:f>IF(B2483=0,IF(B2482=0,0,1),IF(B2482=0,0,IF(SIGN(B2483)&lt;&gt;SIGN(B2482),1,0)))</x:f>
        <x:v>0</x:v>
      </x:c>
      <x:c r="D2483" s="256" t="n">
        <x:f>EXP(A2483-0.005)-1</x:f>
        <x:v>-0.9621831307706749</x:v>
      </x:c>
    </x:row>
    <x:row r="2484" ht="20" customHeight="1">
      <x:c r="A2484" s="256" t="n">
        <x:f>-12+874*0.01</x:f>
        <x:v>-3.26</x:v>
      </x:c>
      <x:c r="B2484" s="256" t="n">
        <x:f>IF(COUNT($B$129:$L$129)=11,B$129*EXP(IF(A2484&lt;0,(10-0)*A2484,-0*A2484))+C$129*EXP(IF(A2484&lt;0,(10-1)*A2484,-1*A2484))+D$129*EXP(IF(A2484&lt;0,(10-2)*A2484,-2*A2484))+E$129*EXP(IF(A2484&lt;0,(10-3)*A2484,-3*A2484))+F$129*EXP(IF(A2484&lt;0,(10-4)*A2484,-4*A2484))+G$129*EXP(IF(A2484&lt;0,(10-5)*A2484,-5*A2484))+H$129*EXP(IF(A2484&lt;0,(10-6)*A2484,-6*A2484))+I$129*EXP(IF(A2484&lt;0,(10-7)*A2484,-7*A2484))+J$129*EXP(IF(A2484&lt;0,(10-8)*A2484,-8*A2484))+K$129*EXP(IF(A2484&lt;0,(10-9)*A2484,-9*A2484))+L$129*EXP(IF(A2484&lt;0,(10-10)*A2484,-10*A2484)),0)</x:f>
        <x:v>782245.0777820083</x:v>
      </x:c>
      <x:c r="C2484" s="256" t="n">
        <x:f>IF(B2484=0,IF(B2483=0,0,1),IF(B2483=0,0,IF(SIGN(B2484)&lt;&gt;SIGN(B2483),1,0)))</x:f>
        <x:v>0</x:v>
      </x:c>
      <x:c r="D2484" s="256" t="n">
        <x:f>EXP(A2484-0.005)-1</x:f>
        <x:v>-0.9618030649163201</x:v>
      </x:c>
    </x:row>
    <x:row r="2485" ht="20" customHeight="1">
      <x:c r="A2485" s="256" t="n">
        <x:f>-12+875*0.01</x:f>
        <x:v>-3.25</x:v>
      </x:c>
      <x:c r="B2485" s="256" t="n">
        <x:f>IF(COUNT($B$129:$L$129)=11,B$129*EXP(IF(A2485&lt;0,(10-0)*A2485,-0*A2485))+C$129*EXP(IF(A2485&lt;0,(10-1)*A2485,-1*A2485))+D$129*EXP(IF(A2485&lt;0,(10-2)*A2485,-2*A2485))+E$129*EXP(IF(A2485&lt;0,(10-3)*A2485,-3*A2485))+F$129*EXP(IF(A2485&lt;0,(10-4)*A2485,-4*A2485))+G$129*EXP(IF(A2485&lt;0,(10-5)*A2485,-5*A2485))+H$129*EXP(IF(A2485&lt;0,(10-6)*A2485,-6*A2485))+I$129*EXP(IF(A2485&lt;0,(10-7)*A2485,-7*A2485))+J$129*EXP(IF(A2485&lt;0,(10-8)*A2485,-8*A2485))+K$129*EXP(IF(A2485&lt;0,(10-9)*A2485,-9*A2485))+L$129*EXP(IF(A2485&lt;0,(10-10)*A2485,-10*A2485)),0)</x:f>
        <x:v>782250.2333715203</x:v>
      </x:c>
      <x:c r="C2485" s="256" t="n">
        <x:f>IF(B2485=0,IF(B2484=0,0,1),IF(B2484=0,0,IF(SIGN(B2485)&lt;&gt;SIGN(B2484),1,0)))</x:f>
        <x:v>0</x:v>
      </x:c>
      <x:c r="D2485" s="256" t="n">
        <x:f>EXP(A2485-0.005)-1</x:f>
        <x:v>-0.961419179336626</x:v>
      </x:c>
    </x:row>
    <x:row r="2486" ht="20" customHeight="1">
      <x:c r="A2486" s="256" t="n">
        <x:f>-12+876*0.01</x:f>
        <x:v>-3.24</x:v>
      </x:c>
      <x:c r="B2486" s="256" t="n">
        <x:f>IF(COUNT($B$129:$L$129)=11,B$129*EXP(IF(A2486&lt;0,(10-0)*A2486,-0*A2486))+C$129*EXP(IF(A2486&lt;0,(10-1)*A2486,-1*A2486))+D$129*EXP(IF(A2486&lt;0,(10-2)*A2486,-2*A2486))+E$129*EXP(IF(A2486&lt;0,(10-3)*A2486,-3*A2486))+F$129*EXP(IF(A2486&lt;0,(10-4)*A2486,-4*A2486))+G$129*EXP(IF(A2486&lt;0,(10-5)*A2486,-5*A2486))+H$129*EXP(IF(A2486&lt;0,(10-6)*A2486,-6*A2486))+I$129*EXP(IF(A2486&lt;0,(10-7)*A2486,-7*A2486))+J$129*EXP(IF(A2486&lt;0,(10-8)*A2486,-8*A2486))+K$129*EXP(IF(A2486&lt;0,(10-9)*A2486,-9*A2486))+L$129*EXP(IF(A2486&lt;0,(10-10)*A2486,-10*A2486)),0)</x:f>
        <x:v>782255.4439218696</x:v>
      </x:c>
      <x:c r="C2486" s="256" t="n">
        <x:f>IF(B2486=0,IF(B2485=0,0,1),IF(B2485=0,0,IF(SIGN(B2486)&lt;&gt;SIGN(B2485),1,0)))</x:f>
        <x:v>0</x:v>
      </x:c>
      <x:c r="D2486" s="256" t="n">
        <x:f>EXP(A2486-0.005)-1</x:f>
        <x:v>-0.9610314356427148</x:v>
      </x:c>
    </x:row>
    <x:row r="2487" ht="20" customHeight="1">
      <x:c r="A2487" s="256" t="n">
        <x:f>-12+877*0.01</x:f>
        <x:v>-3.2300000000000004</x:v>
      </x:c>
      <x:c r="B2487" s="256" t="n">
        <x:f>IF(COUNT($B$129:$L$129)=11,B$129*EXP(IF(A2487&lt;0,(10-0)*A2487,-0*A2487))+C$129*EXP(IF(A2487&lt;0,(10-1)*A2487,-1*A2487))+D$129*EXP(IF(A2487&lt;0,(10-2)*A2487,-2*A2487))+E$129*EXP(IF(A2487&lt;0,(10-3)*A2487,-3*A2487))+F$129*EXP(IF(A2487&lt;0,(10-4)*A2487,-4*A2487))+G$129*EXP(IF(A2487&lt;0,(10-5)*A2487,-5*A2487))+H$129*EXP(IF(A2487&lt;0,(10-6)*A2487,-6*A2487))+I$129*EXP(IF(A2487&lt;0,(10-7)*A2487,-7*A2487))+J$129*EXP(IF(A2487&lt;0,(10-8)*A2487,-8*A2487))+K$129*EXP(IF(A2487&lt;0,(10-9)*A2487,-9*A2487))+L$129*EXP(IF(A2487&lt;0,(10-10)*A2487,-10*A2487)),0)</x:f>
        <x:v>782260.7100516332</x:v>
      </x:c>
      <x:c r="C2487" s="256" t="n">
        <x:f>IF(B2487=0,IF(B2486=0,0,1),IF(B2486=0,0,IF(SIGN(B2487)&lt;&gt;SIGN(B2486),1,0)))</x:f>
        <x:v>0</x:v>
      </x:c>
      <x:c r="D2487" s="256" t="n">
        <x:f>EXP(A2487-0.005)-1</x:f>
        <x:v>-0.9606397950598938</x:v>
      </x:c>
    </x:row>
    <x:row r="2488" ht="20" customHeight="1">
      <x:c r="A2488" s="256" t="n">
        <x:f>-12+878*0.01</x:f>
        <x:v>-3.2200000000000006</x:v>
      </x:c>
      <x:c r="B2488" s="256" t="n">
        <x:f>IF(COUNT($B$129:$L$129)=11,B$129*EXP(IF(A2488&lt;0,(10-0)*A2488,-0*A2488))+C$129*EXP(IF(A2488&lt;0,(10-1)*A2488,-1*A2488))+D$129*EXP(IF(A2488&lt;0,(10-2)*A2488,-2*A2488))+E$129*EXP(IF(A2488&lt;0,(10-3)*A2488,-3*A2488))+F$129*EXP(IF(A2488&lt;0,(10-4)*A2488,-4*A2488))+G$129*EXP(IF(A2488&lt;0,(10-5)*A2488,-5*A2488))+H$129*EXP(IF(A2488&lt;0,(10-6)*A2488,-6*A2488))+I$129*EXP(IF(A2488&lt;0,(10-7)*A2488,-7*A2488))+J$129*EXP(IF(A2488&lt;0,(10-8)*A2488,-8*A2488))+K$129*EXP(IF(A2488&lt;0,(10-9)*A2488,-9*A2488))+L$129*EXP(IF(A2488&lt;0,(10-10)*A2488,-10*A2488)),0)</x:f>
        <x:v>782266.0323870253</x:v>
      </x:c>
      <x:c r="C2488" s="256" t="n">
        <x:f>IF(B2488=0,IF(B2487=0,0,1),IF(B2487=0,0,IF(SIGN(B2488)&lt;&gt;SIGN(B2487),1,0)))</x:f>
        <x:v>0</x:v>
      </x:c>
      <x:c r="D2488" s="256" t="n">
        <x:f>EXP(A2488-0.005)-1</x:f>
        <x:v>-0.9602442184237787</x:v>
      </x:c>
    </x:row>
    <x:row r="2489" ht="20" customHeight="1">
      <x:c r="A2489" s="256" t="n">
        <x:f>-12+879*0.01</x:f>
        <x:v>-3.209999999999999</x:v>
      </x:c>
      <x:c r="B2489" s="256" t="n">
        <x:f>IF(COUNT($B$129:$L$129)=11,B$129*EXP(IF(A2489&lt;0,(10-0)*A2489,-0*A2489))+C$129*EXP(IF(A2489&lt;0,(10-1)*A2489,-1*A2489))+D$129*EXP(IF(A2489&lt;0,(10-2)*A2489,-2*A2489))+E$129*EXP(IF(A2489&lt;0,(10-3)*A2489,-3*A2489))+F$129*EXP(IF(A2489&lt;0,(10-4)*A2489,-4*A2489))+G$129*EXP(IF(A2489&lt;0,(10-5)*A2489,-5*A2489))+H$129*EXP(IF(A2489&lt;0,(10-6)*A2489,-6*A2489))+I$129*EXP(IF(A2489&lt;0,(10-7)*A2489,-7*A2489))+J$129*EXP(IF(A2489&lt;0,(10-8)*A2489,-8*A2489))+K$129*EXP(IF(A2489&lt;0,(10-9)*A2489,-9*A2489))+L$129*EXP(IF(A2489&lt;0,(10-10)*A2489,-10*A2489)),0)</x:f>
        <x:v>782271.411562006</x:v>
      </x:c>
      <x:c r="C2489" s="256" t="n">
        <x:f>IF(B2489=0,IF(B2488=0,0,1),IF(B2488=0,0,IF(SIGN(B2489)&lt;&gt;SIGN(B2488),1,0)))</x:f>
        <x:v>0</x:v>
      </x:c>
      <x:c r="D2489" s="256" t="n">
        <x:f>EXP(A2489-0.005)-1</x:f>
        <x:v>-0.959844666176376</x:v>
      </x:c>
    </x:row>
    <x:row r="2490" ht="20" customHeight="1">
      <x:c r="A2490" s="256" t="n">
        <x:f>-12+880*0.01</x:f>
        <x:v>-3.1999999999999993</x:v>
      </x:c>
      <x:c r="B2490" s="256" t="n">
        <x:f>IF(COUNT($B$129:$L$129)=11,B$129*EXP(IF(A2490&lt;0,(10-0)*A2490,-0*A2490))+C$129*EXP(IF(A2490&lt;0,(10-1)*A2490,-1*A2490))+D$129*EXP(IF(A2490&lt;0,(10-2)*A2490,-2*A2490))+E$129*EXP(IF(A2490&lt;0,(10-3)*A2490,-3*A2490))+F$129*EXP(IF(A2490&lt;0,(10-4)*A2490,-4*A2490))+G$129*EXP(IF(A2490&lt;0,(10-5)*A2490,-5*A2490))+H$129*EXP(IF(A2490&lt;0,(10-6)*A2490,-6*A2490))+I$129*EXP(IF(A2490&lt;0,(10-7)*A2490,-7*A2490))+J$129*EXP(IF(A2490&lt;0,(10-8)*A2490,-8*A2490))+K$129*EXP(IF(A2490&lt;0,(10-9)*A2490,-9*A2490))+L$129*EXP(IF(A2490&lt;0,(10-10)*A2490,-10*A2490)),0)</x:f>
        <x:v>782276.8482183907</x:v>
      </x:c>
      <x:c r="C2490" s="256" t="n">
        <x:f>IF(B2490=0,IF(B2489=0,0,1),IF(B2489=0,0,IF(SIGN(B2490)&lt;&gt;SIGN(B2489),1,0)))</x:f>
        <x:v>0</x:v>
      </x:c>
      <x:c r="D2490" s="256" t="n">
        <x:f>EXP(A2490-0.005)-1</x:f>
        <x:v>-0.959441098362128</x:v>
      </x:c>
    </x:row>
    <x:row r="2491" ht="20" customHeight="1">
      <x:c r="A2491" s="256" t="n">
        <x:f>-12+881*0.01</x:f>
        <x:v>-3.1899999999999995</x:v>
      </x:c>
      <x:c r="B2491" s="256" t="n">
        <x:f>IF(COUNT($B$129:$L$129)=11,B$129*EXP(IF(A2491&lt;0,(10-0)*A2491,-0*A2491))+C$129*EXP(IF(A2491&lt;0,(10-1)*A2491,-1*A2491))+D$129*EXP(IF(A2491&lt;0,(10-2)*A2491,-2*A2491))+E$129*EXP(IF(A2491&lt;0,(10-3)*A2491,-3*A2491))+F$129*EXP(IF(A2491&lt;0,(10-4)*A2491,-4*A2491))+G$129*EXP(IF(A2491&lt;0,(10-5)*A2491,-5*A2491))+H$129*EXP(IF(A2491&lt;0,(10-6)*A2491,-6*A2491))+I$129*EXP(IF(A2491&lt;0,(10-7)*A2491,-7*A2491))+J$129*EXP(IF(A2491&lt;0,(10-8)*A2491,-8*A2491))+K$129*EXP(IF(A2491&lt;0,(10-9)*A2491,-9*A2491))+L$129*EXP(IF(A2491&lt;0,(10-10)*A2491,-10*A2491)),0)</x:f>
        <x:v>782282.3430059623</x:v>
      </x:c>
      <x:c r="C2491" s="256" t="n">
        <x:f>IF(B2491=0,IF(B2490=0,0,1),IF(B2490=0,0,IF(SIGN(B2491)&lt;&gt;SIGN(B2490),1,0)))</x:f>
        <x:v>0</x:v>
      </x:c>
      <x:c r="D2491" s="256" t="n">
        <x:f>EXP(A2491-0.005)-1</x:f>
        <x:v>-0.9590334746239171</x:v>
      </x:c>
    </x:row>
    <x:row r="2492" ht="20" customHeight="1">
      <x:c r="A2492" s="256" t="n">
        <x:f>-12+882*0.01</x:f>
        <x:v>-3.1799999999999997</x:v>
      </x:c>
      <x:c r="B2492" s="256" t="n">
        <x:f>IF(COUNT($B$129:$L$129)=11,B$129*EXP(IF(A2492&lt;0,(10-0)*A2492,-0*A2492))+C$129*EXP(IF(A2492&lt;0,(10-1)*A2492,-1*A2492))+D$129*EXP(IF(A2492&lt;0,(10-2)*A2492,-2*A2492))+E$129*EXP(IF(A2492&lt;0,(10-3)*A2492,-3*A2492))+F$129*EXP(IF(A2492&lt;0,(10-4)*A2492,-4*A2492))+G$129*EXP(IF(A2492&lt;0,(10-5)*A2492,-5*A2492))+H$129*EXP(IF(A2492&lt;0,(10-6)*A2492,-6*A2492))+I$129*EXP(IF(A2492&lt;0,(10-7)*A2492,-7*A2492))+J$129*EXP(IF(A2492&lt;0,(10-8)*A2492,-8*A2492))+K$129*EXP(IF(A2492&lt;0,(10-9)*A2492,-9*A2492))+L$129*EXP(IF(A2492&lt;0,(10-10)*A2492,-10*A2492)),0)</x:f>
        <x:v>782287.8965825846</x:v>
      </x:c>
      <x:c r="C2492" s="256" t="n">
        <x:f>IF(B2492=0,IF(B2491=0,0,1),IF(B2491=0,0,IF(SIGN(B2492)&lt;&gt;SIGN(B2491),1,0)))</x:f>
        <x:v>0</x:v>
      </x:c>
      <x:c r="D2492" s="256" t="n">
        <x:f>EXP(A2492-0.005)-1</x:f>
        <x:v>-0.9586217541990296</x:v>
      </x:c>
    </x:row>
    <x:row r="2493" ht="20" customHeight="1">
      <x:c r="A2493" s="256" t="n">
        <x:f>-12+883*0.01</x:f>
        <x:v>-3.17</x:v>
      </x:c>
      <x:c r="B2493" s="256" t="n">
        <x:f>IF(COUNT($B$129:$L$129)=11,B$129*EXP(IF(A2493&lt;0,(10-0)*A2493,-0*A2493))+C$129*EXP(IF(A2493&lt;0,(10-1)*A2493,-1*A2493))+D$129*EXP(IF(A2493&lt;0,(10-2)*A2493,-2*A2493))+E$129*EXP(IF(A2493&lt;0,(10-3)*A2493,-3*A2493))+F$129*EXP(IF(A2493&lt;0,(10-4)*A2493,-4*A2493))+G$129*EXP(IF(A2493&lt;0,(10-5)*A2493,-5*A2493))+H$129*EXP(IF(A2493&lt;0,(10-6)*A2493,-6*A2493))+I$129*EXP(IF(A2493&lt;0,(10-7)*A2493,-7*A2493))+J$129*EXP(IF(A2493&lt;0,(10-8)*A2493,-8*A2493))+K$129*EXP(IF(A2493&lt;0,(10-9)*A2493,-9*A2493))+L$129*EXP(IF(A2493&lt;0,(10-10)*A2493,-10*A2493)),0)</x:f>
        <x:v>782293.5096143176</x:v>
      </x:c>
      <x:c r="C2493" s="256" t="n">
        <x:f>IF(B2493=0,IF(B2492=0,0,1),IF(B2492=0,0,IF(SIGN(B2493)&lt;&gt;SIGN(B2492),1,0)))</x:f>
        <x:v>0</x:v>
      </x:c>
      <x:c r="D2493" s="256" t="n">
        <x:f>EXP(A2493-0.005)-1</x:f>
        <x:v>-0.9582058959150801</x:v>
      </x:c>
    </x:row>
    <x:row r="2494" ht="20" customHeight="1">
      <x:c r="A2494" s="256" t="n">
        <x:f>-12+884*0.01</x:f>
        <x:v>-3.16</x:v>
      </x:c>
      <x:c r="B2494" s="256" t="n">
        <x:f>IF(COUNT($B$129:$L$129)=11,B$129*EXP(IF(A2494&lt;0,(10-0)*A2494,-0*A2494))+C$129*EXP(IF(A2494&lt;0,(10-1)*A2494,-1*A2494))+D$129*EXP(IF(A2494&lt;0,(10-2)*A2494,-2*A2494))+E$129*EXP(IF(A2494&lt;0,(10-3)*A2494,-3*A2494))+F$129*EXP(IF(A2494&lt;0,(10-4)*A2494,-4*A2494))+G$129*EXP(IF(A2494&lt;0,(10-5)*A2494,-5*A2494))+H$129*EXP(IF(A2494&lt;0,(10-6)*A2494,-6*A2494))+I$129*EXP(IF(A2494&lt;0,(10-7)*A2494,-7*A2494))+J$129*EXP(IF(A2494&lt;0,(10-8)*A2494,-8*A2494))+K$129*EXP(IF(A2494&lt;0,(10-9)*A2494,-9*A2494))+L$129*EXP(IF(A2494&lt;0,(10-10)*A2494,-10*A2494)),0)</x:f>
        <x:v>782299.1827755353</x:v>
      </x:c>
      <x:c r="C2494" s="256" t="n">
        <x:f>IF(B2494=0,IF(B2493=0,0,1),IF(B2493=0,0,IF(SIGN(B2494)&lt;&gt;SIGN(B2493),1,0)))</x:f>
        <x:v>0</x:v>
      </x:c>
      <x:c r="D2494" s="256" t="n">
        <x:f>EXP(A2494-0.005)-1</x:f>
        <x:v>-0.9577858581858936</x:v>
      </x:c>
    </x:row>
    <x:row r="2495" ht="20" customHeight="1">
      <x:c r="A2495" s="256" t="n">
        <x:f>-12+885*0.01</x:f>
        <x:v>-3.1500000000000004</x:v>
      </x:c>
      <x:c r="B2495" s="256" t="n">
        <x:f>IF(COUNT($B$129:$L$129)=11,B$129*EXP(IF(A2495&lt;0,(10-0)*A2495,-0*A2495))+C$129*EXP(IF(A2495&lt;0,(10-1)*A2495,-1*A2495))+D$129*EXP(IF(A2495&lt;0,(10-2)*A2495,-2*A2495))+E$129*EXP(IF(A2495&lt;0,(10-3)*A2495,-3*A2495))+F$129*EXP(IF(A2495&lt;0,(10-4)*A2495,-4*A2495))+G$129*EXP(IF(A2495&lt;0,(10-5)*A2495,-5*A2495))+H$129*EXP(IF(A2495&lt;0,(10-6)*A2495,-6*A2495))+I$129*EXP(IF(A2495&lt;0,(10-7)*A2495,-7*A2495))+J$129*EXP(IF(A2495&lt;0,(10-8)*A2495,-8*A2495))+K$129*EXP(IF(A2495&lt;0,(10-9)*A2495,-9*A2495))+L$129*EXP(IF(A2495&lt;0,(10-10)*A2495,-10*A2495)),0)</x:f>
        <x:v>782304.916749045</x:v>
      </x:c>
      <x:c r="C2495" s="256" t="n">
        <x:f>IF(B2495=0,IF(B2494=0,0,1),IF(B2494=0,0,IF(SIGN(B2495)&lt;&gt;SIGN(B2494),1,0)))</x:f>
        <x:v>0</x:v>
      </x:c>
      <x:c r="D2495" s="256" t="n">
        <x:f>EXP(A2495-0.005)-1</x:f>
        <x:v>-0.957361599007347</x:v>
      </x:c>
    </x:row>
    <x:row r="2496" ht="20" customHeight="1">
      <x:c r="A2496" s="256" t="n">
        <x:f>-12+886*0.01</x:f>
        <x:v>-3.1400000000000006</x:v>
      </x:c>
      <x:c r="B2496" s="256" t="n">
        <x:f>IF(COUNT($B$129:$L$129)=11,B$129*EXP(IF(A2496&lt;0,(10-0)*A2496,-0*A2496))+C$129*EXP(IF(A2496&lt;0,(10-1)*A2496,-1*A2496))+D$129*EXP(IF(A2496&lt;0,(10-2)*A2496,-2*A2496))+E$129*EXP(IF(A2496&lt;0,(10-3)*A2496,-3*A2496))+F$129*EXP(IF(A2496&lt;0,(10-4)*A2496,-4*A2496))+G$129*EXP(IF(A2496&lt;0,(10-5)*A2496,-5*A2496))+H$129*EXP(IF(A2496&lt;0,(10-6)*A2496,-6*A2496))+I$129*EXP(IF(A2496&lt;0,(10-7)*A2496,-7*A2496))+J$129*EXP(IF(A2496&lt;0,(10-8)*A2496,-8*A2496))+K$129*EXP(IF(A2496&lt;0,(10-9)*A2496,-9*A2496))+L$129*EXP(IF(A2496&lt;0,(10-10)*A2496,-10*A2496)),0)</x:f>
        <x:v>782310.7122262091</x:v>
      </x:c>
      <x:c r="C2496" s="256" t="n">
        <x:f>IF(B2496=0,IF(B2495=0,0,1),IF(B2495=0,0,IF(SIGN(B2496)&lt;&gt;SIGN(B2495),1,0)))</x:f>
        <x:v>0</x:v>
      </x:c>
      <x:c r="D2496" s="256" t="n">
        <x:f>EXP(A2496-0.005)-1</x:f>
        <x:v>-0.9569330759531691</x:v>
      </x:c>
    </x:row>
    <x:row r="2497" ht="20" customHeight="1">
      <x:c r="A2497" s="256" t="n">
        <x:f>-12+887*0.01</x:f>
        <x:v>-3.129999999999999</x:v>
      </x:c>
      <x:c r="B2497" s="256" t="n">
        <x:f>IF(COUNT($B$129:$L$129)=11,B$129*EXP(IF(A2497&lt;0,(10-0)*A2497,-0*A2497))+C$129*EXP(IF(A2497&lt;0,(10-1)*A2497,-1*A2497))+D$129*EXP(IF(A2497&lt;0,(10-2)*A2497,-2*A2497))+E$129*EXP(IF(A2497&lt;0,(10-3)*A2497,-3*A2497))+F$129*EXP(IF(A2497&lt;0,(10-4)*A2497,-4*A2497))+G$129*EXP(IF(A2497&lt;0,(10-5)*A2497,-5*A2497))+H$129*EXP(IF(A2497&lt;0,(10-6)*A2497,-6*A2497))+I$129*EXP(IF(A2497&lt;0,(10-7)*A2497,-7*A2497))+J$129*EXP(IF(A2497&lt;0,(10-8)*A2497,-8*A2497))+K$129*EXP(IF(A2497&lt;0,(10-9)*A2497,-9*A2497))+L$129*EXP(IF(A2497&lt;0,(10-10)*A2497,-10*A2497)),0)</x:f>
        <x:v>782316.569907068</x:v>
      </x:c>
      <x:c r="C2497" s="256" t="n">
        <x:f>IF(B2497=0,IF(B2496=0,0,1),IF(B2496=0,0,IF(SIGN(B2497)&lt;&gt;SIGN(B2496),1,0)))</x:f>
        <x:v>0</x:v>
      </x:c>
      <x:c r="D2497" s="256" t="n">
        <x:f>EXP(A2497-0.005)-1</x:f>
        <x:v>-0.9565002461706972</x:v>
      </x:c>
    </x:row>
    <x:row r="2498" ht="20" customHeight="1">
      <x:c r="A2498" s="256" t="n">
        <x:f>-12+888*0.01</x:f>
        <x:v>-3.119999999999999</x:v>
      </x:c>
      <x:c r="B2498" s="256" t="n">
        <x:f>IF(COUNT($B$129:$L$129)=11,B$129*EXP(IF(A2498&lt;0,(10-0)*A2498,-0*A2498))+C$129*EXP(IF(A2498&lt;0,(10-1)*A2498,-1*A2498))+D$129*EXP(IF(A2498&lt;0,(10-2)*A2498,-2*A2498))+E$129*EXP(IF(A2498&lt;0,(10-3)*A2498,-3*A2498))+F$129*EXP(IF(A2498&lt;0,(10-4)*A2498,-4*A2498))+G$129*EXP(IF(A2498&lt;0,(10-5)*A2498,-5*A2498))+H$129*EXP(IF(A2498&lt;0,(10-6)*A2498,-6*A2498))+I$129*EXP(IF(A2498&lt;0,(10-7)*A2498,-7*A2498))+J$129*EXP(IF(A2498&lt;0,(10-8)*A2498,-8*A2498))+K$129*EXP(IF(A2498&lt;0,(10-9)*A2498,-9*A2498))+L$129*EXP(IF(A2498&lt;0,(10-10)*A2498,-10*A2498)),0)</x:f>
        <x:v>782322.4905004667</x:v>
      </x:c>
      <x:c r="C2498" s="256" t="n">
        <x:f>IF(B2498=0,IF(B2497=0,0,1),IF(B2497=0,0,IF(SIGN(B2498)&lt;&gt;SIGN(B2497),1,0)))</x:f>
        <x:v>0</x:v>
      </x:c>
      <x:c r="D2498" s="256" t="n">
        <x:f>EXP(A2498-0.005)-1</x:f>
        <x:v>-0.9560630663765926</x:v>
      </x:c>
    </x:row>
    <x:row r="2499" ht="20" customHeight="1">
      <x:c r="A2499" s="256" t="n">
        <x:f>-12+889*0.01</x:f>
        <x:v>-3.1099999999999994</x:v>
      </x:c>
      <x:c r="B2499" s="256" t="n">
        <x:f>IF(COUNT($B$129:$L$129)=11,B$129*EXP(IF(A2499&lt;0,(10-0)*A2499,-0*A2499))+C$129*EXP(IF(A2499&lt;0,(10-1)*A2499,-1*A2499))+D$129*EXP(IF(A2499&lt;0,(10-2)*A2499,-2*A2499))+E$129*EXP(IF(A2499&lt;0,(10-3)*A2499,-3*A2499))+F$129*EXP(IF(A2499&lt;0,(10-4)*A2499,-4*A2499))+G$129*EXP(IF(A2499&lt;0,(10-5)*A2499,-5*A2499))+H$129*EXP(IF(A2499&lt;0,(10-6)*A2499,-6*A2499))+I$129*EXP(IF(A2499&lt;0,(10-7)*A2499,-7*A2499))+J$129*EXP(IF(A2499&lt;0,(10-8)*A2499,-8*A2499))+K$129*EXP(IF(A2499&lt;0,(10-9)*A2499,-9*A2499))+L$129*EXP(IF(A2499&lt;0,(10-10)*A2499,-10*A2499)),0)</x:f>
        <x:v>782328.4747241815</x:v>
      </x:c>
      <x:c r="C2499" s="256" t="n">
        <x:f>IF(B2499=0,IF(B2498=0,0,1),IF(B2498=0,0,IF(SIGN(B2499)&lt;&gt;SIGN(B2498),1,0)))</x:f>
        <x:v>0</x:v>
      </x:c>
      <x:c r="D2499" s="256" t="n">
        <x:f>EXP(A2499-0.005)-1</x:f>
        <x:v>-0.9556214928525113</x:v>
      </x:c>
    </x:row>
    <x:row r="2500" ht="20" customHeight="1">
      <x:c r="A2500" s="256" t="n">
        <x:f>-12+890*0.01</x:f>
        <x:v>-3.0999999999999996</x:v>
      </x:c>
      <x:c r="B2500" s="256" t="n">
        <x:f>IF(COUNT($B$129:$L$129)=11,B$129*EXP(IF(A2500&lt;0,(10-0)*A2500,-0*A2500))+C$129*EXP(IF(A2500&lt;0,(10-1)*A2500,-1*A2500))+D$129*EXP(IF(A2500&lt;0,(10-2)*A2500,-2*A2500))+E$129*EXP(IF(A2500&lt;0,(10-3)*A2500,-3*A2500))+F$129*EXP(IF(A2500&lt;0,(10-4)*A2500,-4*A2500))+G$129*EXP(IF(A2500&lt;0,(10-5)*A2500,-5*A2500))+H$129*EXP(IF(A2500&lt;0,(10-6)*A2500,-6*A2500))+I$129*EXP(IF(A2500&lt;0,(10-7)*A2500,-7*A2500))+J$129*EXP(IF(A2500&lt;0,(10-8)*A2500,-8*A2500))+K$129*EXP(IF(A2500&lt;0,(10-9)*A2500,-9*A2500))+L$129*EXP(IF(A2500&lt;0,(10-10)*A2500,-10*A2500)),0)</x:f>
        <x:v>782334.5233050509</x:v>
      </x:c>
      <x:c r="C2500" s="256" t="n">
        <x:f>IF(B2500=0,IF(B2499=0,0,1),IF(B2499=0,0,IF(SIGN(B2500)&lt;&gt;SIGN(B2499),1,0)))</x:f>
        <x:v>0</x:v>
      </x:c>
      <x:c r="D2500" s="256" t="n">
        <x:f>EXP(A2500-0.005)-1</x:f>
        <x:v>-0.9551754814407332</x:v>
      </x:c>
    </x:row>
    <x:row r="2501" ht="20" customHeight="1">
      <x:c r="A2501" s="256" t="n">
        <x:f>-12+891*0.01</x:f>
        <x:v>-3.09</x:v>
      </x:c>
      <x:c r="B2501" s="256" t="n">
        <x:f>IF(COUNT($B$129:$L$129)=11,B$129*EXP(IF(A2501&lt;0,(10-0)*A2501,-0*A2501))+C$129*EXP(IF(A2501&lt;0,(10-1)*A2501,-1*A2501))+D$129*EXP(IF(A2501&lt;0,(10-2)*A2501,-2*A2501))+E$129*EXP(IF(A2501&lt;0,(10-3)*A2501,-3*A2501))+F$129*EXP(IF(A2501&lt;0,(10-4)*A2501,-4*A2501))+G$129*EXP(IF(A2501&lt;0,(10-5)*A2501,-5*A2501))+H$129*EXP(IF(A2501&lt;0,(10-6)*A2501,-6*A2501))+I$129*EXP(IF(A2501&lt;0,(10-7)*A2501,-7*A2501))+J$129*EXP(IF(A2501&lt;0,(10-8)*A2501,-8*A2501))+K$129*EXP(IF(A2501&lt;0,(10-9)*A2501,-9*A2501))+L$129*EXP(IF(A2501&lt;0,(10-10)*A2501,-10*A2501)),0)</x:f>
        <x:v>782340.6369791076</x:v>
      </x:c>
      <x:c r="C2501" s="256" t="n">
        <x:f>IF(B2501=0,IF(B2500=0,0,1),IF(B2500=0,0,IF(SIGN(B2501)&lt;&gt;SIGN(B2500),1,0)))</x:f>
        <x:v>0</x:v>
      </x:c>
      <x:c r="D2501" s="256" t="n">
        <x:f>EXP(A2501-0.005)-1</x:f>
        <x:v>-0.9547249875397451</x:v>
      </x:c>
    </x:row>
    <x:row r="2502" ht="20" customHeight="1">
      <x:c r="A2502" s="256" t="n">
        <x:f>-12+892*0.01</x:f>
        <x:v>-3.08</x:v>
      </x:c>
      <x:c r="B2502" s="256" t="n">
        <x:f>IF(COUNT($B$129:$L$129)=11,B$129*EXP(IF(A2502&lt;0,(10-0)*A2502,-0*A2502))+C$129*EXP(IF(A2502&lt;0,(10-1)*A2502,-1*A2502))+D$129*EXP(IF(A2502&lt;0,(10-2)*A2502,-2*A2502))+E$129*EXP(IF(A2502&lt;0,(10-3)*A2502,-3*A2502))+F$129*EXP(IF(A2502&lt;0,(10-4)*A2502,-4*A2502))+G$129*EXP(IF(A2502&lt;0,(10-5)*A2502,-5*A2502))+H$129*EXP(IF(A2502&lt;0,(10-6)*A2502,-6*A2502))+I$129*EXP(IF(A2502&lt;0,(10-7)*A2502,-7*A2502))+J$129*EXP(IF(A2502&lt;0,(10-8)*A2502,-8*A2502))+K$129*EXP(IF(A2502&lt;0,(10-9)*A2502,-9*A2502))+L$129*EXP(IF(A2502&lt;0,(10-10)*A2502,-10*A2502)),0)</x:f>
        <x:v>782346.8164917132</x:v>
      </x:c>
      <x:c r="C2502" s="256" t="n">
        <x:f>IF(B2502=0,IF(B2501=0,0,1),IF(B2501=0,0,IF(SIGN(B2502)&lt;&gt;SIGN(B2501),1,0)))</x:f>
        <x:v>0</x:v>
      </x:c>
      <x:c r="D2502" s="256" t="n">
        <x:f>EXP(A2502-0.005)-1</x:f>
        <x:v>-0.9542699660997818</x:v>
      </x:c>
    </x:row>
    <x:row r="2503" ht="20" customHeight="1">
      <x:c r="A2503" s="256" t="n">
        <x:f>-12+893*0.01</x:f>
        <x:v>-3.0700000000000003</x:v>
      </x:c>
      <x:c r="B2503" s="256" t="n">
        <x:f>IF(COUNT($B$129:$L$129)=11,B$129*EXP(IF(A2503&lt;0,(10-0)*A2503,-0*A2503))+C$129*EXP(IF(A2503&lt;0,(10-1)*A2503,-1*A2503))+D$129*EXP(IF(A2503&lt;0,(10-2)*A2503,-2*A2503))+E$129*EXP(IF(A2503&lt;0,(10-3)*A2503,-3*A2503))+F$129*EXP(IF(A2503&lt;0,(10-4)*A2503,-4*A2503))+G$129*EXP(IF(A2503&lt;0,(10-5)*A2503,-5*A2503))+H$129*EXP(IF(A2503&lt;0,(10-6)*A2503,-6*A2503))+I$129*EXP(IF(A2503&lt;0,(10-7)*A2503,-7*A2503))+J$129*EXP(IF(A2503&lt;0,(10-8)*A2503,-8*A2503))+K$129*EXP(IF(A2503&lt;0,(10-9)*A2503,-9*A2503))+L$129*EXP(IF(A2503&lt;0,(10-10)*A2503,-10*A2503)),0)</x:f>
        <x:v>782353.0625976943</x:v>
      </x:c>
      <x:c r="C2503" s="256" t="n">
        <x:f>IF(B2503=0,IF(B2502=0,0,1),IF(B2502=0,0,IF(SIGN(B2503)&lt;&gt;SIGN(B2502),1,0)))</x:f>
        <x:v>0</x:v>
      </x:c>
      <x:c r="D2503" s="256" t="n">
        <x:f>EXP(A2503-0.005)-1</x:f>
        <x:v>-0.9538103716183199</x:v>
      </x:c>
    </x:row>
    <x:row r="2504" ht="20" customHeight="1">
      <x:c r="A2504" s="256" t="n">
        <x:f>-12+894*0.01</x:f>
        <x:v>-3.0600000000000005</x:v>
      </x:c>
      <x:c r="B2504" s="256" t="n">
        <x:f>IF(COUNT($B$129:$L$129)=11,B$129*EXP(IF(A2504&lt;0,(10-0)*A2504,-0*A2504))+C$129*EXP(IF(A2504&lt;0,(10-1)*A2504,-1*A2504))+D$129*EXP(IF(A2504&lt;0,(10-2)*A2504,-2*A2504))+E$129*EXP(IF(A2504&lt;0,(10-3)*A2504,-3*A2504))+F$129*EXP(IF(A2504&lt;0,(10-4)*A2504,-4*A2504))+G$129*EXP(IF(A2504&lt;0,(10-5)*A2504,-5*A2504))+H$129*EXP(IF(A2504&lt;0,(10-6)*A2504,-6*A2504))+I$129*EXP(IF(A2504&lt;0,(10-7)*A2504,-7*A2504))+J$129*EXP(IF(A2504&lt;0,(10-8)*A2504,-8*A2504))+K$129*EXP(IF(A2504&lt;0,(10-9)*A2504,-9*A2504))+L$129*EXP(IF(A2504&lt;0,(10-10)*A2504,-10*A2504)),0)</x:f>
        <x:v>782359.376061483</x:v>
      </x:c>
      <x:c r="C2504" s="256" t="n">
        <x:f>IF(B2504=0,IF(B2503=0,0,1),IF(B2503=0,0,IF(SIGN(B2504)&lt;&gt;SIGN(B2503),1,0)))</x:f>
        <x:v>0</x:v>
      </x:c>
      <x:c r="D2504" s="256" t="n">
        <x:f>EXP(A2504-0.005)-1</x:f>
        <x:v>-0.9533461581355284</x:v>
      </x:c>
    </x:row>
    <x:row r="2505" ht="20" customHeight="1">
      <x:c r="A2505" s="256" t="n">
        <x:f>-12+895*0.01</x:f>
        <x:v>-3.049999999999999</x:v>
      </x:c>
      <x:c r="B2505" s="256" t="n">
        <x:f>IF(COUNT($B$129:$L$129)=11,B$129*EXP(IF(A2505&lt;0,(10-0)*A2505,-0*A2505))+C$129*EXP(IF(A2505&lt;0,(10-1)*A2505,-1*A2505))+D$129*EXP(IF(A2505&lt;0,(10-2)*A2505,-2*A2505))+E$129*EXP(IF(A2505&lt;0,(10-3)*A2505,-3*A2505))+F$129*EXP(IF(A2505&lt;0,(10-4)*A2505,-4*A2505))+G$129*EXP(IF(A2505&lt;0,(10-5)*A2505,-5*A2505))+H$129*EXP(IF(A2505&lt;0,(10-6)*A2505,-6*A2505))+I$129*EXP(IF(A2505&lt;0,(10-7)*A2505,-7*A2505))+J$129*EXP(IF(A2505&lt;0,(10-8)*A2505,-8*A2505))+K$129*EXP(IF(A2505&lt;0,(10-9)*A2505,-9*A2505))+L$129*EXP(IF(A2505&lt;0,(10-10)*A2505,-10*A2505)),0)</x:f>
        <x:v>782365.7576572576</x:v>
      </x:c>
      <x:c r="C2505" s="256" t="n">
        <x:f>IF(B2505=0,IF(B2504=0,0,1),IF(B2504=0,0,IF(SIGN(B2505)&lt;&gt;SIGN(B2504),1,0)))</x:f>
        <x:v>0</x:v>
      </x:c>
      <x:c r="D2505" s="256" t="n">
        <x:f>EXP(A2505-0.005)-1</x:f>
        <x:v>-0.952877279229672</x:v>
      </x:c>
    </x:row>
    <x:row r="2506" ht="20" customHeight="1">
      <x:c r="A2506" s="256" t="n">
        <x:f>-12+896*0.01</x:f>
        <x:v>-3.039999999999999</x:v>
      </x:c>
      <x:c r="B2506" s="256" t="n">
        <x:f>IF(COUNT($B$129:$L$129)=11,B$129*EXP(IF(A2506&lt;0,(10-0)*A2506,-0*A2506))+C$129*EXP(IF(A2506&lt;0,(10-1)*A2506,-1*A2506))+D$129*EXP(IF(A2506&lt;0,(10-2)*A2506,-2*A2506))+E$129*EXP(IF(A2506&lt;0,(10-3)*A2506,-3*A2506))+F$129*EXP(IF(A2506&lt;0,(10-4)*A2506,-4*A2506))+G$129*EXP(IF(A2506&lt;0,(10-5)*A2506,-5*A2506))+H$129*EXP(IF(A2506&lt;0,(10-6)*A2506,-6*A2506))+I$129*EXP(IF(A2506&lt;0,(10-7)*A2506,-7*A2506))+J$129*EXP(IF(A2506&lt;0,(10-8)*A2506,-8*A2506))+K$129*EXP(IF(A2506&lt;0,(10-9)*A2506,-9*A2506))+L$129*EXP(IF(A2506&lt;0,(10-10)*A2506,-10*A2506)),0)</x:f>
        <x:v>782372.2081690872</x:v>
      </x:c>
      <x:c r="C2506" s="256" t="n">
        <x:f>IF(B2506=0,IF(B2505=0,0,1),IF(B2505=0,0,IF(SIGN(B2506)&lt;&gt;SIGN(B2505),1,0)))</x:f>
        <x:v>0</x:v>
      </x:c>
      <x:c r="D2506" s="256" t="n">
        <x:f>EXP(A2506-0.005)-1</x:f>
        <x:v>-0.9524036880124697</x:v>
      </x:c>
    </x:row>
    <x:row r="2507" ht="20" customHeight="1">
      <x:c r="A2507" s="256" t="n">
        <x:f>-12+897*0.01</x:f>
        <x:v>-3.0299999999999994</x:v>
      </x:c>
      <x:c r="B2507" s="256" t="n">
        <x:f>IF(COUNT($B$129:$L$129)=11,B$129*EXP(IF(A2507&lt;0,(10-0)*A2507,-0*A2507))+C$129*EXP(IF(A2507&lt;0,(10-1)*A2507,-1*A2507))+D$129*EXP(IF(A2507&lt;0,(10-2)*A2507,-2*A2507))+E$129*EXP(IF(A2507&lt;0,(10-3)*A2507,-3*A2507))+F$129*EXP(IF(A2507&lt;0,(10-4)*A2507,-4*A2507))+G$129*EXP(IF(A2507&lt;0,(10-5)*A2507,-5*A2507))+H$129*EXP(IF(A2507&lt;0,(10-6)*A2507,-6*A2507))+I$129*EXP(IF(A2507&lt;0,(10-7)*A2507,-7*A2507))+J$129*EXP(IF(A2507&lt;0,(10-8)*A2507,-8*A2507))+K$129*EXP(IF(A2507&lt;0,(10-9)*A2507,-9*A2507))+L$129*EXP(IF(A2507&lt;0,(10-10)*A2507,-10*A2507)),0)</x:f>
        <x:v>782378.728391078</x:v>
      </x:c>
      <x:c r="C2507" s="256" t="n">
        <x:f>IF(B2507=0,IF(B2506=0,0,1),IF(B2506=0,0,IF(SIGN(B2507)&lt;&gt;SIGN(B2506),1,0)))</x:f>
        <x:v>0</x:v>
      </x:c>
      <x:c r="D2507" s="256" t="n">
        <x:f>EXP(A2507-0.005)-1</x:f>
        <x:v>-0.9519253371244047</x:v>
      </x:c>
    </x:row>
    <x:row r="2508" ht="20" customHeight="1">
      <x:c r="A2508" s="256" t="n">
        <x:f>-12+898*0.01</x:f>
        <x:v>-3.0199999999999996</x:v>
      </x:c>
      <x:c r="B2508" s="256" t="n">
        <x:f>IF(COUNT($B$129:$L$129)=11,B$129*EXP(IF(A2508&lt;0,(10-0)*A2508,-0*A2508))+C$129*EXP(IF(A2508&lt;0,(10-1)*A2508,-1*A2508))+D$129*EXP(IF(A2508&lt;0,(10-2)*A2508,-2*A2508))+E$129*EXP(IF(A2508&lt;0,(10-3)*A2508,-3*A2508))+F$129*EXP(IF(A2508&lt;0,(10-4)*A2508,-4*A2508))+G$129*EXP(IF(A2508&lt;0,(10-5)*A2508,-5*A2508))+H$129*EXP(IF(A2508&lt;0,(10-6)*A2508,-6*A2508))+I$129*EXP(IF(A2508&lt;0,(10-7)*A2508,-7*A2508))+J$129*EXP(IF(A2508&lt;0,(10-8)*A2508,-8*A2508))+K$129*EXP(IF(A2508&lt;0,(10-9)*A2508,-9*A2508))+L$129*EXP(IF(A2508&lt;0,(10-10)*A2508,-10*A2508)),0)</x:f>
        <x:v>782385.319127523</x:v>
      </x:c>
      <x:c r="C2508" s="256" t="n">
        <x:f>IF(B2508=0,IF(B2507=0,0,1),IF(B2507=0,0,IF(SIGN(B2508)&lt;&gt;SIGN(B2507),1,0)))</x:f>
        <x:v>0</x:v>
      </x:c>
      <x:c r="D2508" s="256" t="n">
        <x:f>EXP(A2508-0.005)-1</x:f>
        <x:v>-0.95144217872999</x:v>
      </x:c>
    </x:row>
    <x:row r="2509" ht="20" customHeight="1">
      <x:c r="A2509" s="256" t="n">
        <x:f>-12+899*0.01</x:f>
        <x:v>-3.01</x:v>
      </x:c>
      <x:c r="B2509" s="256" t="n">
        <x:f>IF(COUNT($B$129:$L$129)=11,B$129*EXP(IF(A2509&lt;0,(10-0)*A2509,-0*A2509))+C$129*EXP(IF(A2509&lt;0,(10-1)*A2509,-1*A2509))+D$129*EXP(IF(A2509&lt;0,(10-2)*A2509,-2*A2509))+E$129*EXP(IF(A2509&lt;0,(10-3)*A2509,-3*A2509))+F$129*EXP(IF(A2509&lt;0,(10-4)*A2509,-4*A2509))+G$129*EXP(IF(A2509&lt;0,(10-5)*A2509,-5*A2509))+H$129*EXP(IF(A2509&lt;0,(10-6)*A2509,-6*A2509))+I$129*EXP(IF(A2509&lt;0,(10-7)*A2509,-7*A2509))+J$129*EXP(IF(A2509&lt;0,(10-8)*A2509,-8*A2509))+K$129*EXP(IF(A2509&lt;0,(10-9)*A2509,-9*A2509))+L$129*EXP(IF(A2509&lt;0,(10-10)*A2509,-10*A2509)),0)</x:f>
        <x:v>782391.981193054</x:v>
      </x:c>
      <x:c r="C2509" s="256" t="n">
        <x:f>IF(B2509=0,IF(B2508=0,0,1),IF(B2508=0,0,IF(SIGN(B2509)&lt;&gt;SIGN(B2508),1,0)))</x:f>
        <x:v>0</x:v>
      </x:c>
      <x:c r="D2509" s="256" t="n">
        <x:f>EXP(A2509-0.005)-1</x:f>
        <x:v>-0.9509541645129832</x:v>
      </x:c>
    </x:row>
    <x:row r="2510" ht="20" customHeight="1">
      <x:c r="A2510" s="256" t="n">
        <x:f>-12+900*0.01</x:f>
        <x:v>-3</x:v>
      </x:c>
      <x:c r="B2510" s="256" t="n">
        <x:f>IF(COUNT($B$129:$L$129)=11,B$129*EXP(IF(A2510&lt;0,(10-0)*A2510,-0*A2510))+C$129*EXP(IF(A2510&lt;0,(10-1)*A2510,-1*A2510))+D$129*EXP(IF(A2510&lt;0,(10-2)*A2510,-2*A2510))+E$129*EXP(IF(A2510&lt;0,(10-3)*A2510,-3*A2510))+F$129*EXP(IF(A2510&lt;0,(10-4)*A2510,-4*A2510))+G$129*EXP(IF(A2510&lt;0,(10-5)*A2510,-5*A2510))+H$129*EXP(IF(A2510&lt;0,(10-6)*A2510,-6*A2510))+I$129*EXP(IF(A2510&lt;0,(10-7)*A2510,-7*A2510))+J$129*EXP(IF(A2510&lt;0,(10-8)*A2510,-8*A2510))+K$129*EXP(IF(A2510&lt;0,(10-9)*A2510,-9*A2510))+L$129*EXP(IF(A2510&lt;0,(10-10)*A2510,-10*A2510)),0)</x:f>
        <x:v>782398.7154127957</x:v>
      </x:c>
      <x:c r="C2510" s="256" t="n">
        <x:f>IF(B2510=0,IF(B2509=0,0,1),IF(B2509=0,0,IF(SIGN(B2510)&lt;&gt;SIGN(B2509),1,0)))</x:f>
        <x:v>0</x:v>
      </x:c>
      <x:c r="D2510" s="256" t="n">
        <x:f>EXP(A2510-0.005)-1</x:f>
        <x:v>-0.9504612456715561</x:v>
      </x:c>
    </x:row>
    <x:row r="2511" ht="20" customHeight="1">
      <x:c r="A2511" s="256" t="n">
        <x:f>-12+901*0.01</x:f>
        <x:v>-2.99</x:v>
      </x:c>
      <x:c r="B2511" s="256" t="n">
        <x:f>IF(COUNT($B$129:$L$129)=11,B$129*EXP(IF(A2511&lt;0,(10-0)*A2511,-0*A2511))+C$129*EXP(IF(A2511&lt;0,(10-1)*A2511,-1*A2511))+D$129*EXP(IF(A2511&lt;0,(10-2)*A2511,-2*A2511))+E$129*EXP(IF(A2511&lt;0,(10-3)*A2511,-3*A2511))+F$129*EXP(IF(A2511&lt;0,(10-4)*A2511,-4*A2511))+G$129*EXP(IF(A2511&lt;0,(10-5)*A2511,-5*A2511))+H$129*EXP(IF(A2511&lt;0,(10-6)*A2511,-6*A2511))+I$129*EXP(IF(A2511&lt;0,(10-7)*A2511,-7*A2511))+J$129*EXP(IF(A2511&lt;0,(10-8)*A2511,-8*A2511))+K$129*EXP(IF(A2511&lt;0,(10-9)*A2511,-9*A2511))+L$129*EXP(IF(A2511&lt;0,(10-10)*A2511,-10*A2511)),0)</x:f>
        <x:v>782405.5226225229</x:v>
      </x:c>
      <x:c r="C2511" s="256" t="n">
        <x:f>IF(B2511=0,IF(B2510=0,0,1),IF(B2510=0,0,IF(SIGN(B2511)&lt;&gt;SIGN(B2510),1,0)))</x:f>
        <x:v>0</x:v>
      </x:c>
      <x:c r="D2511" s="256" t="n">
        <x:f>EXP(A2511-0.005)-1</x:f>
        <x:v>-0.9499633729134137</x:v>
      </x:c>
    </x:row>
    <x:row r="2512" ht="20" customHeight="1">
      <x:c r="A2512" s="256" t="n">
        <x:f>-12+902*0.01</x:f>
        <x:v>-2.9800000000000004</x:v>
      </x:c>
      <x:c r="B2512" s="256" t="n">
        <x:f>IF(COUNT($B$129:$L$129)=11,B$129*EXP(IF(A2512&lt;0,(10-0)*A2512,-0*A2512))+C$129*EXP(IF(A2512&lt;0,(10-1)*A2512,-1*A2512))+D$129*EXP(IF(A2512&lt;0,(10-2)*A2512,-2*A2512))+E$129*EXP(IF(A2512&lt;0,(10-3)*A2512,-3*A2512))+F$129*EXP(IF(A2512&lt;0,(10-4)*A2512,-4*A2512))+G$129*EXP(IF(A2512&lt;0,(10-5)*A2512,-5*A2512))+H$129*EXP(IF(A2512&lt;0,(10-6)*A2512,-6*A2512))+I$129*EXP(IF(A2512&lt;0,(10-7)*A2512,-7*A2512))+J$129*EXP(IF(A2512&lt;0,(10-8)*A2512,-8*A2512))+K$129*EXP(IF(A2512&lt;0,(10-9)*A2512,-9*A2512))+L$129*EXP(IF(A2512&lt;0,(10-10)*A2512,-10*A2512)),0)</x:f>
        <x:v>782412.4036688216</x:v>
      </x:c>
      <x:c r="C2512" s="256" t="n">
        <x:f>IF(B2512=0,IF(B2511=0,0,1),IF(B2511=0,0,IF(SIGN(B2512)&lt;&gt;SIGN(B2511),1,0)))</x:f>
        <x:v>0</x:v>
      </x:c>
      <x:c r="D2512" s="256" t="n">
        <x:f>EXP(A2512-0.005)-1</x:f>
        <x:v>-0.9494604964508653</x:v>
      </x:c>
    </x:row>
    <x:row r="2513" ht="20" customHeight="1">
      <x:c r="A2513" s="256" t="n">
        <x:f>-12+903*0.01</x:f>
        <x:v>-2.9700000000000006</x:v>
      </x:c>
      <x:c r="B2513" s="256" t="n">
        <x:f>IF(COUNT($B$129:$L$129)=11,B$129*EXP(IF(A2513&lt;0,(10-0)*A2513,-0*A2513))+C$129*EXP(IF(A2513&lt;0,(10-1)*A2513,-1*A2513))+D$129*EXP(IF(A2513&lt;0,(10-2)*A2513,-2*A2513))+E$129*EXP(IF(A2513&lt;0,(10-3)*A2513,-3*A2513))+F$129*EXP(IF(A2513&lt;0,(10-4)*A2513,-4*A2513))+G$129*EXP(IF(A2513&lt;0,(10-5)*A2513,-5*A2513))+H$129*EXP(IF(A2513&lt;0,(10-6)*A2513,-6*A2513))+I$129*EXP(IF(A2513&lt;0,(10-7)*A2513,-7*A2513))+J$129*EXP(IF(A2513&lt;0,(10-8)*A2513,-8*A2513))+K$129*EXP(IF(A2513&lt;0,(10-9)*A2513,-9*A2513))+L$129*EXP(IF(A2513&lt;0,(10-10)*A2513,-10*A2513)),0)</x:f>
        <x:v>782419.3594092509</x:v>
      </x:c>
      <x:c r="C2513" s="256" t="n">
        <x:f>IF(B2513=0,IF(B2512=0,0,1),IF(B2512=0,0,IF(SIGN(B2513)&lt;&gt;SIGN(B2512),1,0)))</x:f>
        <x:v>0</x:v>
      </x:c>
      <x:c r="D2513" s="256" t="n">
        <x:f>EXP(A2513-0.005)-1</x:f>
        <x:v>-0.9489525659958457</x:v>
      </x:c>
    </x:row>
    <x:row r="2514" ht="20" customHeight="1">
      <x:c r="A2514" s="256" t="n">
        <x:f>-12+904*0.01</x:f>
        <x:v>-2.959999999999999</x:v>
      </x:c>
      <x:c r="B2514" s="256" t="n">
        <x:f>IF(COUNT($B$129:$L$129)=11,B$129*EXP(IF(A2514&lt;0,(10-0)*A2514,-0*A2514))+C$129*EXP(IF(A2514&lt;0,(10-1)*A2514,-1*A2514))+D$129*EXP(IF(A2514&lt;0,(10-2)*A2514,-2*A2514))+E$129*EXP(IF(A2514&lt;0,(10-3)*A2514,-3*A2514))+F$129*EXP(IF(A2514&lt;0,(10-4)*A2514,-4*A2514))+G$129*EXP(IF(A2514&lt;0,(10-5)*A2514,-5*A2514))+H$129*EXP(IF(A2514&lt;0,(10-6)*A2514,-6*A2514))+I$129*EXP(IF(A2514&lt;0,(10-7)*A2514,-7*A2514))+J$129*EXP(IF(A2514&lt;0,(10-8)*A2514,-8*A2514))+K$129*EXP(IF(A2514&lt;0,(10-9)*A2514,-9*A2514))+L$129*EXP(IF(A2514&lt;0,(10-10)*A2514,-10*A2514)),0)</x:f>
        <x:v>782426.3907125096</x:v>
      </x:c>
      <x:c r="C2514" s="256" t="n">
        <x:f>IF(B2514=0,IF(B2513=0,0,1),IF(B2513=0,0,IF(SIGN(B2514)&lt;&gt;SIGN(B2513),1,0)))</x:f>
        <x:v>0</x:v>
      </x:c>
      <x:c r="D2514" s="256" t="n">
        <x:f>EXP(A2514-0.005)-1</x:f>
        <x:v>-0.9484395307548857</x:v>
      </x:c>
    </x:row>
    <x:row r="2515" ht="20" customHeight="1">
      <x:c r="A2515" s="256" t="n">
        <x:f>-12+905*0.01</x:f>
        <x:v>-2.9499999999999993</x:v>
      </x:c>
      <x:c r="B2515" s="256" t="n">
        <x:f>IF(COUNT($B$129:$L$129)=11,B$129*EXP(IF(A2515&lt;0,(10-0)*A2515,-0*A2515))+C$129*EXP(IF(A2515&lt;0,(10-1)*A2515,-1*A2515))+D$129*EXP(IF(A2515&lt;0,(10-2)*A2515,-2*A2515))+E$129*EXP(IF(A2515&lt;0,(10-3)*A2515,-3*A2515))+F$129*EXP(IF(A2515&lt;0,(10-4)*A2515,-4*A2515))+G$129*EXP(IF(A2515&lt;0,(10-5)*A2515,-5*A2515))+H$129*EXP(IF(A2515&lt;0,(10-6)*A2515,-6*A2515))+I$129*EXP(IF(A2515&lt;0,(10-7)*A2515,-7*A2515))+J$129*EXP(IF(A2515&lt;0,(10-8)*A2515,-8*A2515))+K$129*EXP(IF(A2515&lt;0,(10-9)*A2515,-9*A2515))+L$129*EXP(IF(A2515&lt;0,(10-10)*A2515,-10*A2515)),0)</x:f>
        <x:v>782433.4984586049</x:v>
      </x:c>
      <x:c r="C2515" s="256" t="n">
        <x:f>IF(B2515=0,IF(B2514=0,0,1),IF(B2514=0,0,IF(SIGN(B2515)&lt;&gt;SIGN(B2514),1,0)))</x:f>
        <x:v>0</x:v>
      </x:c>
      <x:c r="D2515" s="256" t="n">
        <x:f>EXP(A2515-0.005)-1</x:f>
        <x:v>-0.9479213394240342</x:v>
      </x:c>
    </x:row>
    <x:row r="2516" ht="20" customHeight="1">
      <x:c r="A2516" s="256" t="n">
        <x:f>-12+906*0.01</x:f>
        <x:v>-2.9399999999999995</x:v>
      </x:c>
      <x:c r="B2516" s="256" t="n">
        <x:f>IF(COUNT($B$129:$L$129)=11,B$129*EXP(IF(A2516&lt;0,(10-0)*A2516,-0*A2516))+C$129*EXP(IF(A2516&lt;0,(10-1)*A2516,-1*A2516))+D$129*EXP(IF(A2516&lt;0,(10-2)*A2516,-2*A2516))+E$129*EXP(IF(A2516&lt;0,(10-3)*A2516,-3*A2516))+F$129*EXP(IF(A2516&lt;0,(10-4)*A2516,-4*A2516))+G$129*EXP(IF(A2516&lt;0,(10-5)*A2516,-5*A2516))+H$129*EXP(IF(A2516&lt;0,(10-6)*A2516,-6*A2516))+I$129*EXP(IF(A2516&lt;0,(10-7)*A2516,-7*A2516))+J$129*EXP(IF(A2516&lt;0,(10-8)*A2516,-8*A2516))+K$129*EXP(IF(A2516&lt;0,(10-9)*A2516,-9*A2516))+L$129*EXP(IF(A2516&lt;0,(10-10)*A2516,-10*A2516)),0)</x:f>
        <x:v>782440.6835390241</x:v>
      </x:c>
      <x:c r="C2516" s="256" t="n">
        <x:f>IF(B2516=0,IF(B2515=0,0,1),IF(B2515=0,0,IF(SIGN(B2516)&lt;&gt;SIGN(B2515),1,0)))</x:f>
        <x:v>0</x:v>
      </x:c>
      <x:c r="D2516" s="256" t="n">
        <x:f>EXP(A2516-0.005)-1</x:f>
        <x:v>-0.9473979401837261</x:v>
      </x:c>
    </x:row>
    <x:row r="2517" ht="20" customHeight="1">
      <x:c r="A2517" s="256" t="n">
        <x:f>-12+907*0.01</x:f>
        <x:v>-2.9299999999999997</x:v>
      </x:c>
      <x:c r="B2517" s="256" t="n">
        <x:f>IF(COUNT($B$129:$L$129)=11,B$129*EXP(IF(A2517&lt;0,(10-0)*A2517,-0*A2517))+C$129*EXP(IF(A2517&lt;0,(10-1)*A2517,-1*A2517))+D$129*EXP(IF(A2517&lt;0,(10-2)*A2517,-2*A2517))+E$129*EXP(IF(A2517&lt;0,(10-3)*A2517,-3*A2517))+F$129*EXP(IF(A2517&lt;0,(10-4)*A2517,-4*A2517))+G$129*EXP(IF(A2517&lt;0,(10-5)*A2517,-5*A2517))+H$129*EXP(IF(A2517&lt;0,(10-6)*A2517,-6*A2517))+I$129*EXP(IF(A2517&lt;0,(10-7)*A2517,-7*A2517))+J$129*EXP(IF(A2517&lt;0,(10-8)*A2517,-8*A2517))+K$129*EXP(IF(A2517&lt;0,(10-9)*A2517,-9*A2517))+L$129*EXP(IF(A2517&lt;0,(10-10)*A2517,-10*A2517)),0)</x:f>
        <x:v>782447.9468569098</x:v>
      </x:c>
      <x:c r="C2517" s="256" t="n">
        <x:f>IF(B2517=0,IF(B2516=0,0,1),IF(B2516=0,0,IF(SIGN(B2517)&lt;&gt;SIGN(B2516),1,0)))</x:f>
        <x:v>0</x:v>
      </x:c>
      <x:c r="D2517" s="256" t="n">
        <x:f>EXP(A2517-0.005)-1</x:f>
        <x:v>-0.9468692806936012</x:v>
      </x:c>
    </x:row>
    <x:row r="2518" ht="20" customHeight="1">
      <x:c r="A2518" s="256" t="n">
        <x:f>-12+908*0.01</x:f>
        <x:v>-2.92</x:v>
      </x:c>
      <x:c r="B2518" s="256" t="n">
        <x:f>IF(COUNT($B$129:$L$129)=11,B$129*EXP(IF(A2518&lt;0,(10-0)*A2518,-0*A2518))+C$129*EXP(IF(A2518&lt;0,(10-1)*A2518,-1*A2518))+D$129*EXP(IF(A2518&lt;0,(10-2)*A2518,-2*A2518))+E$129*EXP(IF(A2518&lt;0,(10-3)*A2518,-3*A2518))+F$129*EXP(IF(A2518&lt;0,(10-4)*A2518,-4*A2518))+G$129*EXP(IF(A2518&lt;0,(10-5)*A2518,-5*A2518))+H$129*EXP(IF(A2518&lt;0,(10-6)*A2518,-6*A2518))+I$129*EXP(IF(A2518&lt;0,(10-7)*A2518,-7*A2518))+J$129*EXP(IF(A2518&lt;0,(10-8)*A2518,-8*A2518))+K$129*EXP(IF(A2518&lt;0,(10-9)*A2518,-9*A2518))+L$129*EXP(IF(A2518&lt;0,(10-10)*A2518,-10*A2518)),0)</x:f>
        <x:v>782455.2893272385</x:v>
      </x:c>
      <x:c r="C2518" s="256" t="n">
        <x:f>IF(B2518=0,IF(B2517=0,0,1),IF(B2517=0,0,IF(SIGN(B2518)&lt;&gt;SIGN(B2517),1,0)))</x:f>
        <x:v>0</x:v>
      </x:c>
      <x:c r="D2518" s="256" t="n">
        <x:f>EXP(A2518-0.005)-1</x:f>
        <x:v>-0.9463353080872698</x:v>
      </x:c>
    </x:row>
    <x:row r="2519" ht="20" customHeight="1">
      <x:c r="A2519" s="256" t="n">
        <x:f>-12+909*0.01</x:f>
        <x:v>-2.91</x:v>
      </x:c>
      <x:c r="B2519" s="256" t="n">
        <x:f>IF(COUNT($B$129:$L$129)=11,B$129*EXP(IF(A2519&lt;0,(10-0)*A2519,-0*A2519))+C$129*EXP(IF(A2519&lt;0,(10-1)*A2519,-1*A2519))+D$129*EXP(IF(A2519&lt;0,(10-2)*A2519,-2*A2519))+E$129*EXP(IF(A2519&lt;0,(10-3)*A2519,-3*A2519))+F$129*EXP(IF(A2519&lt;0,(10-4)*A2519,-4*A2519))+G$129*EXP(IF(A2519&lt;0,(10-5)*A2519,-5*A2519))+H$129*EXP(IF(A2519&lt;0,(10-6)*A2519,-6*A2519))+I$129*EXP(IF(A2519&lt;0,(10-7)*A2519,-7*A2519))+J$129*EXP(IF(A2519&lt;0,(10-8)*A2519,-8*A2519))+K$129*EXP(IF(A2519&lt;0,(10-9)*A2519,-9*A2519))+L$129*EXP(IF(A2519&lt;0,(10-10)*A2519,-10*A2519)),0)</x:f>
        <x:v>782462.7118770011</x:v>
      </x:c>
      <x:c r="C2519" s="256" t="n">
        <x:f>IF(B2519=0,IF(B2518=0,0,1),IF(B2518=0,0,IF(SIGN(B2519)&lt;&gt;SIGN(B2518),1,0)))</x:f>
        <x:v>0</x:v>
      </x:c>
      <x:c r="D2519" s="256" t="n">
        <x:f>EXP(A2519-0.005)-1</x:f>
        <x:v>-0.9457959689670266</x:v>
      </x:c>
    </x:row>
    <x:row r="2520" ht="20" customHeight="1">
      <x:c r="A2520" s="256" t="n">
        <x:f>-12+910*0.01</x:f>
        <x:v>-2.9000000000000004</x:v>
      </x:c>
      <x:c r="B2520" s="256" t="n">
        <x:f>IF(COUNT($B$129:$L$129)=11,B$129*EXP(IF(A2520&lt;0,(10-0)*A2520,-0*A2520))+C$129*EXP(IF(A2520&lt;0,(10-1)*A2520,-1*A2520))+D$129*EXP(IF(A2520&lt;0,(10-2)*A2520,-2*A2520))+E$129*EXP(IF(A2520&lt;0,(10-3)*A2520,-3*A2520))+F$129*EXP(IF(A2520&lt;0,(10-4)*A2520,-4*A2520))+G$129*EXP(IF(A2520&lt;0,(10-5)*A2520,-5*A2520))+H$129*EXP(IF(A2520&lt;0,(10-6)*A2520,-6*A2520))+I$129*EXP(IF(A2520&lt;0,(10-7)*A2520,-7*A2520))+J$129*EXP(IF(A2520&lt;0,(10-8)*A2520,-8*A2520))+K$129*EXP(IF(A2520&lt;0,(10-9)*A2520,-9*A2520))+L$129*EXP(IF(A2520&lt;0,(10-10)*A2520,-10*A2520)),0)</x:f>
        <x:v>782470.2154453888</x:v>
      </x:c>
      <x:c r="C2520" s="256" t="n">
        <x:f>IF(B2520=0,IF(B2519=0,0,1),IF(B2519=0,0,IF(SIGN(B2520)&lt;&gt;SIGN(B2519),1,0)))</x:f>
        <x:v>0</x:v>
      </x:c>
      <x:c r="D2520" s="256" t="n">
        <x:f>EXP(A2520-0.005)-1</x:f>
        <x:v>-0.9452512093985097</x:v>
      </x:c>
    </x:row>
    <x:row r="2521" ht="20" customHeight="1">
      <x:c r="A2521" s="256" t="n">
        <x:f>-12+911*0.01</x:f>
        <x:v>-2.8900000000000006</x:v>
      </x:c>
      <x:c r="B2521" s="256" t="n">
        <x:f>IF(COUNT($B$129:$L$129)=11,B$129*EXP(IF(A2521&lt;0,(10-0)*A2521,-0*A2521))+C$129*EXP(IF(A2521&lt;0,(10-1)*A2521,-1*A2521))+D$129*EXP(IF(A2521&lt;0,(10-2)*A2521,-2*A2521))+E$129*EXP(IF(A2521&lt;0,(10-3)*A2521,-3*A2521))+F$129*EXP(IF(A2521&lt;0,(10-4)*A2521,-4*A2521))+G$129*EXP(IF(A2521&lt;0,(10-5)*A2521,-5*A2521))+H$129*EXP(IF(A2521&lt;0,(10-6)*A2521,-6*A2521))+I$129*EXP(IF(A2521&lt;0,(10-7)*A2521,-7*A2521))+J$129*EXP(IF(A2521&lt;0,(10-8)*A2521,-8*A2521))+K$129*EXP(IF(A2521&lt;0,(10-9)*A2521,-9*A2521))+L$129*EXP(IF(A2521&lt;0,(10-10)*A2521,-10*A2521)),0)</x:f>
        <x:v>782477.8009839802</x:v>
      </x:c>
      <x:c r="C2521" s="256" t="n">
        <x:f>IF(B2521=0,IF(B2520=0,0,1),IF(B2520=0,0,IF(SIGN(B2521)&lt;&gt;SIGN(B2520),1,0)))</x:f>
        <x:v>0</x:v>
      </x:c>
      <x:c r="D2521" s="256" t="n">
        <x:f>EXP(A2521-0.005)-1</x:f>
        <x:v>-0.9447009749053087</x:v>
      </x:c>
    </x:row>
    <x:row r="2522" ht="20" customHeight="1">
      <x:c r="A2522" s="256" t="n">
        <x:f>-12+912*0.01</x:f>
        <x:v>-2.879999999999999</x:v>
      </x:c>
      <x:c r="B2522" s="256" t="n">
        <x:f>IF(COUNT($B$129:$L$129)=11,B$129*EXP(IF(A2522&lt;0,(10-0)*A2522,-0*A2522))+C$129*EXP(IF(A2522&lt;0,(10-1)*A2522,-1*A2522))+D$129*EXP(IF(A2522&lt;0,(10-2)*A2522,-2*A2522))+E$129*EXP(IF(A2522&lt;0,(10-3)*A2522,-3*A2522))+F$129*EXP(IF(A2522&lt;0,(10-4)*A2522,-4*A2522))+G$129*EXP(IF(A2522&lt;0,(10-5)*A2522,-5*A2522))+H$129*EXP(IF(A2522&lt;0,(10-6)*A2522,-6*A2522))+I$129*EXP(IF(A2522&lt;0,(10-7)*A2522,-7*A2522))+J$129*EXP(IF(A2522&lt;0,(10-8)*A2522,-8*A2522))+K$129*EXP(IF(A2522&lt;0,(10-9)*A2522,-9*A2522))+L$129*EXP(IF(A2522&lt;0,(10-10)*A2522,-10*A2522)),0)</x:f>
        <x:v>782485.4694569337</x:v>
      </x:c>
      <x:c r="C2522" s="256" t="n">
        <x:f>IF(B2522=0,IF(B2521=0,0,1),IF(B2521=0,0,IF(SIGN(B2522)&lt;&gt;SIGN(B2521),1,0)))</x:f>
        <x:v>0</x:v>
      </x:c>
      <x:c r="D2522" s="256" t="n">
        <x:f>EXP(A2522-0.005)-1</x:f>
        <x:v>-0.9441452104635153</x:v>
      </x:c>
    </x:row>
    <x:row r="2523" ht="20" customHeight="1">
      <x:c r="A2523" s="256" t="n">
        <x:f>-12+913*0.01</x:f>
        <x:v>-2.869999999999999</x:v>
      </x:c>
      <x:c r="B2523" s="256" t="n">
        <x:f>IF(COUNT($B$129:$L$129)=11,B$129*EXP(IF(A2523&lt;0,(10-0)*A2523,-0*A2523))+C$129*EXP(IF(A2523&lt;0,(10-1)*A2523,-1*A2523))+D$129*EXP(IF(A2523&lt;0,(10-2)*A2523,-2*A2523))+E$129*EXP(IF(A2523&lt;0,(10-3)*A2523,-3*A2523))+F$129*EXP(IF(A2523&lt;0,(10-4)*A2523,-4*A2523))+G$129*EXP(IF(A2523&lt;0,(10-5)*A2523,-5*A2523))+H$129*EXP(IF(A2523&lt;0,(10-6)*A2523,-6*A2523))+I$129*EXP(IF(A2523&lt;0,(10-7)*A2523,-7*A2523))+J$129*EXP(IF(A2523&lt;0,(10-8)*A2523,-8*A2523))+K$129*EXP(IF(A2523&lt;0,(10-9)*A2523,-9*A2523))+L$129*EXP(IF(A2523&lt;0,(10-10)*A2523,-10*A2523)),0)</x:f>
        <x:v>782493.2218411819</x:v>
      </x:c>
      <x:c r="C2523" s="256" t="n">
        <x:f>IF(B2523=0,IF(B2522=0,0,1),IF(B2522=0,0,IF(SIGN(B2523)&lt;&gt;SIGN(B2522),1,0)))</x:f>
        <x:v>0</x:v>
      </x:c>
      <x:c r="D2523" s="256" t="n">
        <x:f>EXP(A2523-0.005)-1</x:f>
        <x:v>-0.9435838604962226</x:v>
      </x:c>
    </x:row>
    <x:row r="2524" ht="20" customHeight="1">
      <x:c r="A2524" s="256" t="n">
        <x:f>-12+914*0.01</x:f>
        <x:v>-2.8599999999999994</x:v>
      </x:c>
      <x:c r="B2524" s="256" t="n">
        <x:f>IF(COUNT($B$129:$L$129)=11,B$129*EXP(IF(A2524&lt;0,(10-0)*A2524,-0*A2524))+C$129*EXP(IF(A2524&lt;0,(10-1)*A2524,-1*A2524))+D$129*EXP(IF(A2524&lt;0,(10-2)*A2524,-2*A2524))+E$129*EXP(IF(A2524&lt;0,(10-3)*A2524,-3*A2524))+F$129*EXP(IF(A2524&lt;0,(10-4)*A2524,-4*A2524))+G$129*EXP(IF(A2524&lt;0,(10-5)*A2524,-5*A2524))+H$129*EXP(IF(A2524&lt;0,(10-6)*A2524,-6*A2524))+I$129*EXP(IF(A2524&lt;0,(10-7)*A2524,-7*A2524))+J$129*EXP(IF(A2524&lt;0,(10-8)*A2524,-8*A2524))+K$129*EXP(IF(A2524&lt;0,(10-9)*A2524,-9*A2524))+L$129*EXP(IF(A2524&lt;0,(10-10)*A2524,-10*A2524)),0)</x:f>
        <x:v>782501.059126631</x:v>
      </x:c>
      <x:c r="C2524" s="256" t="n">
        <x:f>IF(B2524=0,IF(B2523=0,0,1),IF(B2523=0,0,IF(SIGN(B2524)&lt;&gt;SIGN(B2523),1,0)))</x:f>
        <x:v>0</x:v>
      </x:c>
      <x:c r="D2524" s="256" t="n">
        <x:f>EXP(A2524-0.005)-1</x:f>
        <x:v>-0.9430168688679659</x:v>
      </x:c>
    </x:row>
    <x:row r="2525" ht="20" customHeight="1">
      <x:c r="A2525" s="256" t="n">
        <x:f>-12+915*0.01</x:f>
        <x:v>-2.8499999999999996</x:v>
      </x:c>
      <x:c r="B2525" s="256" t="n">
        <x:f>IF(COUNT($B$129:$L$129)=11,B$129*EXP(IF(A2525&lt;0,(10-0)*A2525,-0*A2525))+C$129*EXP(IF(A2525&lt;0,(10-1)*A2525,-1*A2525))+D$129*EXP(IF(A2525&lt;0,(10-2)*A2525,-2*A2525))+E$129*EXP(IF(A2525&lt;0,(10-3)*A2525,-3*A2525))+F$129*EXP(IF(A2525&lt;0,(10-4)*A2525,-4*A2525))+G$129*EXP(IF(A2525&lt;0,(10-5)*A2525,-5*A2525))+H$129*EXP(IF(A2525&lt;0,(10-6)*A2525,-6*A2525))+I$129*EXP(IF(A2525&lt;0,(10-7)*A2525,-7*A2525))+J$129*EXP(IF(A2525&lt;0,(10-8)*A2525,-8*A2525))+K$129*EXP(IF(A2525&lt;0,(10-9)*A2525,-9*A2525))+L$129*EXP(IF(A2525&lt;0,(10-10)*A2525,-10*A2525)),0)</x:f>
        <x:v>782508.9823163627</x:v>
      </x:c>
      <x:c r="C2525" s="256" t="n">
        <x:f>IF(B2525=0,IF(B2524=0,0,1),IF(B2524=0,0,IF(SIGN(B2525)&lt;&gt;SIGN(B2524),1,0)))</x:f>
        <x:v>0</x:v>
      </x:c>
      <x:c r="D2525" s="256" t="n">
        <x:f>EXP(A2525-0.005)-1</x:f>
        <x:v>-0.9424441788791099</x:v>
      </x:c>
    </x:row>
    <x:row r="2526" ht="20" customHeight="1">
      <x:c r="A2526" s="256" t="n">
        <x:f>-12+916*0.01</x:f>
        <x:v>-2.84</x:v>
      </x:c>
      <x:c r="B2526" s="256" t="n">
        <x:f>IF(COUNT($B$129:$L$129)=11,B$129*EXP(IF(A2526&lt;0,(10-0)*A2526,-0*A2526))+C$129*EXP(IF(A2526&lt;0,(10-1)*A2526,-1*A2526))+D$129*EXP(IF(A2526&lt;0,(10-2)*A2526,-2*A2526))+E$129*EXP(IF(A2526&lt;0,(10-3)*A2526,-3*A2526))+F$129*EXP(IF(A2526&lt;0,(10-4)*A2526,-4*A2526))+G$129*EXP(IF(A2526&lt;0,(10-5)*A2526,-5*A2526))+H$129*EXP(IF(A2526&lt;0,(10-6)*A2526,-6*A2526))+I$129*EXP(IF(A2526&lt;0,(10-7)*A2526,-7*A2526))+J$129*EXP(IF(A2526&lt;0,(10-8)*A2526,-8*A2526))+K$129*EXP(IF(A2526&lt;0,(10-9)*A2526,-9*A2526))+L$129*EXP(IF(A2526&lt;0,(10-10)*A2526,-10*A2526)),0)</x:f>
        <x:v>782516.9924268405</x:v>
      </x:c>
      <x:c r="C2526" s="256" t="n">
        <x:f>IF(B2526=0,IF(B2525=0,0,1),IF(B2525=0,0,IF(SIGN(B2526)&lt;&gt;SIGN(B2525),1,0)))</x:f>
        <x:v>0</x:v>
      </x:c>
      <x:c r="D2526" s="256" t="n">
        <x:f>EXP(A2526-0.005)-1</x:f>
        <x:v>-0.9418657332601785</x:v>
      </x:c>
    </x:row>
    <x:row r="2527" ht="20" customHeight="1">
      <x:c r="A2527" s="256" t="n">
        <x:f>-12+917*0.01</x:f>
        <x:v>-2.83</x:v>
      </x:c>
      <x:c r="B2527" s="256" t="n">
        <x:f>IF(COUNT($B$129:$L$129)=11,B$129*EXP(IF(A2527&lt;0,(10-0)*A2527,-0*A2527))+C$129*EXP(IF(A2527&lt;0,(10-1)*A2527,-1*A2527))+D$129*EXP(IF(A2527&lt;0,(10-2)*A2527,-2*A2527))+E$129*EXP(IF(A2527&lt;0,(10-3)*A2527,-3*A2527))+F$129*EXP(IF(A2527&lt;0,(10-4)*A2527,-4*A2527))+G$129*EXP(IF(A2527&lt;0,(10-5)*A2527,-5*A2527))+H$129*EXP(IF(A2527&lt;0,(10-6)*A2527,-6*A2527))+I$129*EXP(IF(A2527&lt;0,(10-7)*A2527,-7*A2527))+J$129*EXP(IF(A2527&lt;0,(10-8)*A2527,-8*A2527))+K$129*EXP(IF(A2527&lt;0,(10-9)*A2527,-9*A2527))+L$129*EXP(IF(A2527&lt;0,(10-10)*A2527,-10*A2527)),0)</x:f>
        <x:v>782525.0904881196</x:v>
      </x:c>
      <x:c r="C2527" s="256" t="n">
        <x:f>IF(B2527=0,IF(B2526=0,0,1),IF(B2526=0,0,IF(SIGN(B2527)&lt;&gt;SIGN(B2526),1,0)))</x:f>
        <x:v>0</x:v>
      </x:c>
      <x:c r="D2527" s="256" t="n">
        <x:f>EXP(A2527-0.005)-1</x:f>
        <x:v>-0.9412814741661277</x:v>
      </x:c>
    </x:row>
    <x:row r="2528" ht="20" customHeight="1">
      <x:c r="A2528" s="256" t="n">
        <x:f>-12+918*0.01</x:f>
        <x:v>-2.8200000000000003</x:v>
      </x:c>
      <x:c r="B2528" s="256" t="n">
        <x:f>IF(COUNT($B$129:$L$129)=11,B$129*EXP(IF(A2528&lt;0,(10-0)*A2528,-0*A2528))+C$129*EXP(IF(A2528&lt;0,(10-1)*A2528,-1*A2528))+D$129*EXP(IF(A2528&lt;0,(10-2)*A2528,-2*A2528))+E$129*EXP(IF(A2528&lt;0,(10-3)*A2528,-3*A2528))+F$129*EXP(IF(A2528&lt;0,(10-4)*A2528,-4*A2528))+G$129*EXP(IF(A2528&lt;0,(10-5)*A2528,-5*A2528))+H$129*EXP(IF(A2528&lt;0,(10-6)*A2528,-6*A2528))+I$129*EXP(IF(A2528&lt;0,(10-7)*A2528,-7*A2528))+J$129*EXP(IF(A2528&lt;0,(10-8)*A2528,-8*A2528))+K$129*EXP(IF(A2528&lt;0,(10-9)*A2528,-9*A2528))+L$129*EXP(IF(A2528&lt;0,(10-10)*A2528,-10*A2528)),0)</x:f>
        <x:v>782533.2775440612</x:v>
      </x:c>
      <x:c r="C2528" s="256" t="n">
        <x:f>IF(B2528=0,IF(B2527=0,0,1),IF(B2527=0,0,IF(SIGN(B2528)&lt;&gt;SIGN(B2527),1,0)))</x:f>
        <x:v>0</x:v>
      </x:c>
      <x:c r="D2528" s="256" t="n">
        <x:f>EXP(A2528-0.005)-1</x:f>
        <x:v>-0.9406913431705612</x:v>
      </x:c>
    </x:row>
    <x:row r="2529" ht="20" customHeight="1">
      <x:c r="A2529" s="256" t="n">
        <x:f>-12+919*0.01</x:f>
        <x:v>-2.8100000000000005</x:v>
      </x:c>
      <x:c r="B2529" s="256" t="n">
        <x:f>IF(COUNT($B$129:$L$129)=11,B$129*EXP(IF(A2529&lt;0,(10-0)*A2529,-0*A2529))+C$129*EXP(IF(A2529&lt;0,(10-1)*A2529,-1*A2529))+D$129*EXP(IF(A2529&lt;0,(10-2)*A2529,-2*A2529))+E$129*EXP(IF(A2529&lt;0,(10-3)*A2529,-3*A2529))+F$129*EXP(IF(A2529&lt;0,(10-4)*A2529,-4*A2529))+G$129*EXP(IF(A2529&lt;0,(10-5)*A2529,-5*A2529))+H$129*EXP(IF(A2529&lt;0,(10-6)*A2529,-6*A2529))+I$129*EXP(IF(A2529&lt;0,(10-7)*A2529,-7*A2529))+J$129*EXP(IF(A2529&lt;0,(10-8)*A2529,-8*A2529))+K$129*EXP(IF(A2529&lt;0,(10-9)*A2529,-9*A2529))+L$129*EXP(IF(A2529&lt;0,(10-10)*A2529,-10*A2529)),0)</x:f>
        <x:v>782541.5546525499</x:v>
      </x:c>
      <x:c r="C2529" s="256" t="n">
        <x:f>IF(B2529=0,IF(B2528=0,0,1),IF(B2528=0,0,IF(SIGN(B2529)&lt;&gt;SIGN(B2528),1,0)))</x:f>
        <x:v>0</x:v>
      </x:c>
      <x:c r="D2529" s="256" t="n">
        <x:f>EXP(A2529-0.005)-1</x:f>
        <x:v>-0.9400952812598878</x:v>
      </x:c>
    </x:row>
    <x:row r="2530" ht="20" customHeight="1">
      <x:c r="A2530" s="256" t="n">
        <x:f>-12+920*0.01</x:f>
        <x:v>-2.799999999999999</x:v>
      </x:c>
      <x:c r="B2530" s="256" t="n">
        <x:f>IF(COUNT($B$129:$L$129)=11,B$129*EXP(IF(A2530&lt;0,(10-0)*A2530,-0*A2530))+C$129*EXP(IF(A2530&lt;0,(10-1)*A2530,-1*A2530))+D$129*EXP(IF(A2530&lt;0,(10-2)*A2530,-2*A2530))+E$129*EXP(IF(A2530&lt;0,(10-3)*A2530,-3*A2530))+F$129*EXP(IF(A2530&lt;0,(10-4)*A2530,-4*A2530))+G$129*EXP(IF(A2530&lt;0,(10-5)*A2530,-5*A2530))+H$129*EXP(IF(A2530&lt;0,(10-6)*A2530,-6*A2530))+I$129*EXP(IF(A2530&lt;0,(10-7)*A2530,-7*A2530))+J$129*EXP(IF(A2530&lt;0,(10-8)*A2530,-8*A2530))+K$129*EXP(IF(A2530&lt;0,(10-9)*A2530,-9*A2530))+L$129*EXP(IF(A2530&lt;0,(10-10)*A2530,-10*A2530)),0)</x:f>
        <x:v>782549.9228857158</x:v>
      </x:c>
      <x:c r="C2530" s="256" t="n">
        <x:f>IF(B2530=0,IF(B2529=0,0,1),IF(B2529=0,0,IF(SIGN(B2530)&lt;&gt;SIGN(B2529),1,0)))</x:f>
        <x:v>0</x:v>
      </x:c>
      <x:c r="D2530" s="256" t="n">
        <x:f>EXP(A2530-0.005)-1</x:f>
        <x:v>-0.9394932288274195</x:v>
      </x:c>
    </x:row>
    <x:row r="2531" ht="20" customHeight="1">
      <x:c r="A2531" s="256" t="n">
        <x:f>-12+921*0.01</x:f>
        <x:v>-2.789999999999999</x:v>
      </x:c>
      <x:c r="B2531" s="256" t="n">
        <x:f>IF(COUNT($B$129:$L$129)=11,B$129*EXP(IF(A2531&lt;0,(10-0)*A2531,-0*A2531))+C$129*EXP(IF(A2531&lt;0,(10-1)*A2531,-1*A2531))+D$129*EXP(IF(A2531&lt;0,(10-2)*A2531,-2*A2531))+E$129*EXP(IF(A2531&lt;0,(10-3)*A2531,-3*A2531))+F$129*EXP(IF(A2531&lt;0,(10-4)*A2531,-4*A2531))+G$129*EXP(IF(A2531&lt;0,(10-5)*A2531,-5*A2531))+H$129*EXP(IF(A2531&lt;0,(10-6)*A2531,-6*A2531))+I$129*EXP(IF(A2531&lt;0,(10-7)*A2531,-7*A2531))+J$129*EXP(IF(A2531&lt;0,(10-8)*A2531,-8*A2531))+K$129*EXP(IF(A2531&lt;0,(10-9)*A2531,-9*A2531))+L$129*EXP(IF(A2531&lt;0,(10-10)*A2531,-10*A2531)),0)</x:f>
        <x:v>782558.3833301613</x:v>
      </x:c>
      <x:c r="C2531" s="256" t="n">
        <x:f>IF(B2531=0,IF(B2530=0,0,1),IF(B2530=0,0,IF(SIGN(B2531)&lt;&gt;SIGN(B2530),1,0)))</x:f>
        <x:v>0</x:v>
      </x:c>
      <x:c r="D2531" s="256" t="n">
        <x:f>EXP(A2531-0.005)-1</x:f>
        <x:v>-0.9388851256674116</x:v>
      </x:c>
    </x:row>
    <x:row r="2532" ht="20" customHeight="1">
      <x:c r="A2532" s="256" t="n">
        <x:f>-12+922*0.01</x:f>
        <x:v>-2.7799999999999994</x:v>
      </x:c>
      <x:c r="B2532" s="256" t="n">
        <x:f>IF(COUNT($B$129:$L$129)=11,B$129*EXP(IF(A2532&lt;0,(10-0)*A2532,-0*A2532))+C$129*EXP(IF(A2532&lt;0,(10-1)*A2532,-1*A2532))+D$129*EXP(IF(A2532&lt;0,(10-2)*A2532,-2*A2532))+E$129*EXP(IF(A2532&lt;0,(10-3)*A2532,-3*A2532))+F$129*EXP(IF(A2532&lt;0,(10-4)*A2532,-4*A2532))+G$129*EXP(IF(A2532&lt;0,(10-5)*A2532,-5*A2532))+H$129*EXP(IF(A2532&lt;0,(10-6)*A2532,-6*A2532))+I$129*EXP(IF(A2532&lt;0,(10-7)*A2532,-7*A2532))+J$129*EXP(IF(A2532&lt;0,(10-8)*A2532,-8*A2532))+K$129*EXP(IF(A2532&lt;0,(10-9)*A2532,-9*A2532))+L$129*EXP(IF(A2532&lt;0,(10-10)*A2532,-10*A2532)),0)</x:f>
        <x:v>782566.9370871906</x:v>
      </x:c>
      <x:c r="C2532" s="256" t="n">
        <x:f>IF(B2532=0,IF(B2531=0,0,1),IF(B2531=0,0,IF(SIGN(B2532)&lt;&gt;SIGN(B2531),1,0)))</x:f>
        <x:v>0</x:v>
      </x:c>
      <x:c r="D2532" s="256" t="n">
        <x:f>EXP(A2532-0.005)-1</x:f>
        <x:v>-0.9382709109690411</x:v>
      </x:c>
    </x:row>
    <x:row r="2533" ht="20" customHeight="1">
      <x:c r="A2533" s="256" t="n">
        <x:f>-12+923*0.01</x:f>
        <x:v>-2.7699999999999996</x:v>
      </x:c>
      <x:c r="B2533" s="256" t="n">
        <x:f>IF(COUNT($B$129:$L$129)=11,B$129*EXP(IF(A2533&lt;0,(10-0)*A2533,-0*A2533))+C$129*EXP(IF(A2533&lt;0,(10-1)*A2533,-1*A2533))+D$129*EXP(IF(A2533&lt;0,(10-2)*A2533,-2*A2533))+E$129*EXP(IF(A2533&lt;0,(10-3)*A2533,-3*A2533))+F$129*EXP(IF(A2533&lt;0,(10-4)*A2533,-4*A2533))+G$129*EXP(IF(A2533&lt;0,(10-5)*A2533,-5*A2533))+H$129*EXP(IF(A2533&lt;0,(10-6)*A2533,-6*A2533))+I$129*EXP(IF(A2533&lt;0,(10-7)*A2533,-7*A2533))+J$129*EXP(IF(A2533&lt;0,(10-8)*A2533,-8*A2533))+K$129*EXP(IF(A2533&lt;0,(10-9)*A2533,-9*A2533))+L$129*EXP(IF(A2533&lt;0,(10-10)*A2533,-10*A2533)),0)</x:f>
        <x:v>782575.5852730453</x:v>
      </x:c>
      <x:c r="C2533" s="256" t="n">
        <x:f>IF(B2533=0,IF(B2532=0,0,1),IF(B2532=0,0,IF(SIGN(B2533)&lt;&gt;SIGN(B2532),1,0)))</x:f>
        <x:v>0</x:v>
      </x:c>
      <x:c r="D2533" s="256" t="n">
        <x:f>EXP(A2533-0.005)-1</x:f>
        <x:v>-0.9376505233103265</x:v>
      </x:c>
    </x:row>
    <x:row r="2534" ht="20" customHeight="1">
      <x:c r="A2534" s="256" t="n">
        <x:f>-12+924*0.01</x:f>
        <x:v>-2.76</x:v>
      </x:c>
      <x:c r="B2534" s="256" t="n">
        <x:f>IF(COUNT($B$129:$L$129)=11,B$129*EXP(IF(A2534&lt;0,(10-0)*A2534,-0*A2534))+C$129*EXP(IF(A2534&lt;0,(10-1)*A2534,-1*A2534))+D$129*EXP(IF(A2534&lt;0,(10-2)*A2534,-2*A2534))+E$129*EXP(IF(A2534&lt;0,(10-3)*A2534,-3*A2534))+F$129*EXP(IF(A2534&lt;0,(10-4)*A2534,-4*A2534))+G$129*EXP(IF(A2534&lt;0,(10-5)*A2534,-5*A2534))+H$129*EXP(IF(A2534&lt;0,(10-6)*A2534,-6*A2534))+I$129*EXP(IF(A2534&lt;0,(10-7)*A2534,-7*A2534))+J$129*EXP(IF(A2534&lt;0,(10-8)*A2534,-8*A2534))+K$129*EXP(IF(A2534&lt;0,(10-9)*A2534,-9*A2534))+L$129*EXP(IF(A2534&lt;0,(10-10)*A2534,-10*A2534)),0)</x:f>
        <x:v>782584.3290191437</x:v>
      </x:c>
      <x:c r="C2534" s="256" t="n">
        <x:f>IF(B2534=0,IF(B2533=0,0,1),IF(B2533=0,0,IF(SIGN(B2534)&lt;&gt;SIGN(B2533),1,0)))</x:f>
        <x:v>0</x:v>
      </x:c>
      <x:c r="D2534" s="256" t="n">
        <x:f>EXP(A2534-0.005)-1</x:f>
        <x:v>-0.9370239006519849</x:v>
      </x:c>
    </x:row>
    <x:row r="2535" ht="20" customHeight="1">
      <x:c r="A2535" s="256" t="n">
        <x:f>-12+925*0.01</x:f>
        <x:v>-2.75</x:v>
      </x:c>
      <x:c r="B2535" s="256" t="n">
        <x:f>IF(COUNT($B$129:$L$129)=11,B$129*EXP(IF(A2535&lt;0,(10-0)*A2535,-0*A2535))+C$129*EXP(IF(A2535&lt;0,(10-1)*A2535,-1*A2535))+D$129*EXP(IF(A2535&lt;0,(10-2)*A2535,-2*A2535))+E$129*EXP(IF(A2535&lt;0,(10-3)*A2535,-3*A2535))+F$129*EXP(IF(A2535&lt;0,(10-4)*A2535,-4*A2535))+G$129*EXP(IF(A2535&lt;0,(10-5)*A2535,-5*A2535))+H$129*EXP(IF(A2535&lt;0,(10-6)*A2535,-6*A2535))+I$129*EXP(IF(A2535&lt;0,(10-7)*A2535,-7*A2535))+J$129*EXP(IF(A2535&lt;0,(10-8)*A2535,-8*A2535))+K$129*EXP(IF(A2535&lt;0,(10-9)*A2535,-9*A2535))+L$129*EXP(IF(A2535&lt;0,(10-10)*A2535,-10*A2535)),0)</x:f>
        <x:v>782593.1694723241</x:v>
      </x:c>
      <x:c r="C2535" s="256" t="n">
        <x:f>IF(B2535=0,IF(B2534=0,0,1),IF(B2534=0,0,IF(SIGN(B2535)&lt;&gt;SIGN(B2534),1,0)))</x:f>
        <x:v>0</x:v>
      </x:c>
      <x:c r="D2535" s="256" t="n">
        <x:f>EXP(A2535-0.005)-1</x:f>
        <x:v>-0.9363909803312283</x:v>
      </x:c>
    </x:row>
    <x:row r="2536" ht="20" customHeight="1">
      <x:c r="A2536" s="256" t="n">
        <x:f>-12+926*0.01</x:f>
        <x:v>-2.74</x:v>
      </x:c>
      <x:c r="B2536" s="256" t="n">
        <x:f>IF(COUNT($B$129:$L$129)=11,B$129*EXP(IF(A2536&lt;0,(10-0)*A2536,-0*A2536))+C$129*EXP(IF(A2536&lt;0,(10-1)*A2536,-1*A2536))+D$129*EXP(IF(A2536&lt;0,(10-2)*A2536,-2*A2536))+E$129*EXP(IF(A2536&lt;0,(10-3)*A2536,-3*A2536))+F$129*EXP(IF(A2536&lt;0,(10-4)*A2536,-4*A2536))+G$129*EXP(IF(A2536&lt;0,(10-5)*A2536,-5*A2536))+H$129*EXP(IF(A2536&lt;0,(10-6)*A2536,-6*A2536))+I$129*EXP(IF(A2536&lt;0,(10-7)*A2536,-7*A2536))+J$129*EXP(IF(A2536&lt;0,(10-8)*A2536,-8*A2536))+K$129*EXP(IF(A2536&lt;0,(10-9)*A2536,-9*A2536))+L$129*EXP(IF(A2536&lt;0,(10-10)*A2536,-10*A2536)),0)</x:f>
        <x:v>782602.1077950941</x:v>
      </x:c>
      <x:c r="C2536" s="256" t="n">
        <x:f>IF(B2536=0,IF(B2535=0,0,1),IF(B2535=0,0,IF(SIGN(B2536)&lt;&gt;SIGN(B2535),1,0)))</x:f>
        <x:v>0</x:v>
      </x:c>
      <x:c r="D2536" s="256" t="n">
        <x:f>EXP(A2536-0.005)-1</x:f>
        <x:v>-0.9357516990554969</x:v>
      </x:c>
    </x:row>
    <x:row r="2537" ht="20" customHeight="1">
      <x:c r="A2537" s="256" t="n">
        <x:f>-12+927*0.01</x:f>
        <x:v>-2.7300000000000004</x:v>
      </x:c>
      <x:c r="B2537" s="256" t="n">
        <x:f>IF(COUNT($B$129:$L$129)=11,B$129*EXP(IF(A2537&lt;0,(10-0)*A2537,-0*A2537))+C$129*EXP(IF(A2537&lt;0,(10-1)*A2537,-1*A2537))+D$129*EXP(IF(A2537&lt;0,(10-2)*A2537,-2*A2537))+E$129*EXP(IF(A2537&lt;0,(10-3)*A2537,-3*A2537))+F$129*EXP(IF(A2537&lt;0,(10-4)*A2537,-4*A2537))+G$129*EXP(IF(A2537&lt;0,(10-5)*A2537,-5*A2537))+H$129*EXP(IF(A2537&lt;0,(10-6)*A2537,-6*A2537))+I$129*EXP(IF(A2537&lt;0,(10-7)*A2537,-7*A2537))+J$129*EXP(IF(A2537&lt;0,(10-8)*A2537,-8*A2537))+K$129*EXP(IF(A2537&lt;0,(10-9)*A2537,-9*A2537))+L$129*EXP(IF(A2537&lt;0,(10-10)*A2537,-10*A2537)),0)</x:f>
        <x:v>782611.1451658835</x:v>
      </x:c>
      <x:c r="C2537" s="256" t="n">
        <x:f>IF(B2537=0,IF(B2536=0,0,1),IF(B2536=0,0,IF(SIGN(B2537)&lt;&gt;SIGN(B2536),1,0)))</x:f>
        <x:v>0</x:v>
      </x:c>
      <x:c r="D2537" s="256" t="n">
        <x:f>EXP(A2537-0.005)-1</x:f>
        <x:v>-0.9351059928961307</x:v>
      </x:c>
    </x:row>
    <x:row r="2538" ht="20" customHeight="1">
      <x:c r="A2538" s="256" t="n">
        <x:f>-12+928*0.01</x:f>
        <x:v>-2.7200000000000006</x:v>
      </x:c>
      <x:c r="B2538" s="256" t="n">
        <x:f>IF(COUNT($B$129:$L$129)=11,B$129*EXP(IF(A2538&lt;0,(10-0)*A2538,-0*A2538))+C$129*EXP(IF(A2538&lt;0,(10-1)*A2538,-1*A2538))+D$129*EXP(IF(A2538&lt;0,(10-2)*A2538,-2*A2538))+E$129*EXP(IF(A2538&lt;0,(10-3)*A2538,-3*A2538))+F$129*EXP(IF(A2538&lt;0,(10-4)*A2538,-4*A2538))+G$129*EXP(IF(A2538&lt;0,(10-5)*A2538,-5*A2538))+H$129*EXP(IF(A2538&lt;0,(10-6)*A2538,-6*A2538))+I$129*EXP(IF(A2538&lt;0,(10-7)*A2538,-7*A2538))+J$129*EXP(IF(A2538&lt;0,(10-8)*A2538,-8*A2538))+K$129*EXP(IF(A2538&lt;0,(10-9)*A2538,-9*A2538))+L$129*EXP(IF(A2538&lt;0,(10-10)*A2538,-10*A2538)),0)</x:f>
        <x:v>782620.2827793024</x:v>
      </x:c>
      <x:c r="C2538" s="256" t="n">
        <x:f>IF(B2538=0,IF(B2537=0,0,1),IF(B2537=0,0,IF(SIGN(B2538)&lt;&gt;SIGN(B2537),1,0)))</x:f>
        <x:v>0</x:v>
      </x:c>
      <x:c r="D2538" s="256" t="n">
        <x:f>EXP(A2538-0.005)-1</x:f>
        <x:v>-0.9344537972819758</x:v>
      </x:c>
    </x:row>
    <x:row r="2539" ht="20" customHeight="1">
      <x:c r="A2539" s="256" t="n">
        <x:f>-12+929*0.01</x:f>
        <x:v>-2.709999999999999</x:v>
      </x:c>
      <x:c r="B2539" s="256" t="n">
        <x:f>IF(COUNT($B$129:$L$129)=11,B$129*EXP(IF(A2539&lt;0,(10-0)*A2539,-0*A2539))+C$129*EXP(IF(A2539&lt;0,(10-1)*A2539,-1*A2539))+D$129*EXP(IF(A2539&lt;0,(10-2)*A2539,-2*A2539))+E$129*EXP(IF(A2539&lt;0,(10-3)*A2539,-3*A2539))+F$129*EXP(IF(A2539&lt;0,(10-4)*A2539,-4*A2539))+G$129*EXP(IF(A2539&lt;0,(10-5)*A2539,-5*A2539))+H$129*EXP(IF(A2539&lt;0,(10-6)*A2539,-6*A2539))+I$129*EXP(IF(A2539&lt;0,(10-7)*A2539,-7*A2539))+J$129*EXP(IF(A2539&lt;0,(10-8)*A2539,-8*A2539))+K$129*EXP(IF(A2539&lt;0,(10-9)*A2539,-9*A2539))+L$129*EXP(IF(A2539&lt;0,(10-10)*A2539,-10*A2539)),0)</x:f>
        <x:v>782629.521846405</x:v>
      </x:c>
      <x:c r="C2539" s="256" t="n">
        <x:f>IF(B2539=0,IF(B2538=0,0,1),IF(B2538=0,0,IF(SIGN(B2539)&lt;&gt;SIGN(B2538),1,0)))</x:f>
        <x:v>0</x:v>
      </x:c>
      <x:c r="D2539" s="256" t="n">
        <x:f>EXP(A2539-0.005)-1</x:f>
        <x:v>-0.9337950469929267</x:v>
      </x:c>
    </x:row>
    <x:row r="2540" ht="20" customHeight="1">
      <x:c r="A2540" s="256" t="n">
        <x:f>-12+930*0.01</x:f>
        <x:v>-2.6999999999999993</x:v>
      </x:c>
      <x:c r="B2540" s="256" t="n">
        <x:f>IF(COUNT($B$129:$L$129)=11,B$129*EXP(IF(A2540&lt;0,(10-0)*A2540,-0*A2540))+C$129*EXP(IF(A2540&lt;0,(10-1)*A2540,-1*A2540))+D$129*EXP(IF(A2540&lt;0,(10-2)*A2540,-2*A2540))+E$129*EXP(IF(A2540&lt;0,(10-3)*A2540,-3*A2540))+F$129*EXP(IF(A2540&lt;0,(10-4)*A2540,-4*A2540))+G$129*EXP(IF(A2540&lt;0,(10-5)*A2540,-5*A2540))+H$129*EXP(IF(A2540&lt;0,(10-6)*A2540,-6*A2540))+I$129*EXP(IF(A2540&lt;0,(10-7)*A2540,-7*A2540))+J$129*EXP(IF(A2540&lt;0,(10-8)*A2540,-8*A2540))+K$129*EXP(IF(A2540&lt;0,(10-9)*A2540,-9*A2540))+L$129*EXP(IF(A2540&lt;0,(10-10)*A2540,-10*A2540)),0)</x:f>
        <x:v>782638.8635949574</x:v>
      </x:c>
      <x:c r="C2540" s="256" t="n">
        <x:f>IF(B2540=0,IF(B2539=0,0,1),IF(B2539=0,0,IF(SIGN(B2540)&lt;&gt;SIGN(B2539),1,0)))</x:f>
        <x:v>0</x:v>
      </x:c>
      <x:c r="D2540" s="256" t="n">
        <x:f>EXP(A2540-0.005)-1</x:f>
        <x:v>-0.9331296761534061</x:v>
      </x:c>
    </x:row>
    <x:row r="2541" ht="20" customHeight="1">
      <x:c r="A2541" s="256" t="n">
        <x:f>-12+931*0.01</x:f>
        <x:v>-2.6899999999999995</x:v>
      </x:c>
      <x:c r="B2541" s="256" t="n">
        <x:f>IF(COUNT($B$129:$L$129)=11,B$129*EXP(IF(A2541&lt;0,(10-0)*A2541,-0*A2541))+C$129*EXP(IF(A2541&lt;0,(10-1)*A2541,-1*A2541))+D$129*EXP(IF(A2541&lt;0,(10-2)*A2541,-2*A2541))+E$129*EXP(IF(A2541&lt;0,(10-3)*A2541,-3*A2541))+F$129*EXP(IF(A2541&lt;0,(10-4)*A2541,-4*A2541))+G$129*EXP(IF(A2541&lt;0,(10-5)*A2541,-5*A2541))+H$129*EXP(IF(A2541&lt;0,(10-6)*A2541,-6*A2541))+I$129*EXP(IF(A2541&lt;0,(10-7)*A2541,-7*A2541))+J$129*EXP(IF(A2541&lt;0,(10-8)*A2541,-8*A2541))+K$129*EXP(IF(A2541&lt;0,(10-9)*A2541,-9*A2541))+L$129*EXP(IF(A2541&lt;0,(10-10)*A2541,-10*A2541)),0)</x:f>
        <x:v>782648.3092697111</x:v>
      </x:c>
      <x:c r="C2541" s="256" t="n">
        <x:f>IF(B2541=0,IF(B2540=0,0,1),IF(B2540=0,0,IF(SIGN(B2541)&lt;&gt;SIGN(B2540),1,0)))</x:f>
        <x:v>0</x:v>
      </x:c>
      <x:c r="D2541" s="256" t="n">
        <x:f>EXP(A2541-0.005)-1</x:f>
        <x:v>-0.9324576182257754</x:v>
      </x:c>
    </x:row>
    <x:row r="2542" ht="20" customHeight="1">
      <x:c r="A2542" s="256" t="n">
        <x:f>-12+932*0.01</x:f>
        <x:v>-2.6799999999999997</x:v>
      </x:c>
      <x:c r="B2542" s="256" t="n">
        <x:f>IF(COUNT($B$129:$L$129)=11,B$129*EXP(IF(A2542&lt;0,(10-0)*A2542,-0*A2542))+C$129*EXP(IF(A2542&lt;0,(10-1)*A2542,-1*A2542))+D$129*EXP(IF(A2542&lt;0,(10-2)*A2542,-2*A2542))+E$129*EXP(IF(A2542&lt;0,(10-3)*A2542,-3*A2542))+F$129*EXP(IF(A2542&lt;0,(10-4)*A2542,-4*A2542))+G$129*EXP(IF(A2542&lt;0,(10-5)*A2542,-5*A2542))+H$129*EXP(IF(A2542&lt;0,(10-6)*A2542,-6*A2542))+I$129*EXP(IF(A2542&lt;0,(10-7)*A2542,-7*A2542))+J$129*EXP(IF(A2542&lt;0,(10-8)*A2542,-8*A2542))+K$129*EXP(IF(A2542&lt;0,(10-9)*A2542,-9*A2542))+L$129*EXP(IF(A2542&lt;0,(10-10)*A2542,-10*A2542)),0)</x:f>
        <x:v>782657.8601326824</x:v>
      </x:c>
      <x:c r="C2542" s="256" t="n">
        <x:f>IF(B2542=0,IF(B2541=0,0,1),IF(B2541=0,0,IF(SIGN(B2542)&lt;&gt;SIGN(B2541),1,0)))</x:f>
        <x:v>0</x:v>
      </x:c>
      <x:c r="D2542" s="256" t="n">
        <x:f>EXP(A2542-0.005)-1</x:f>
        <x:v>-0.9317788060036818</x:v>
      </x:c>
    </x:row>
    <x:row r="2543" ht="20" customHeight="1">
      <x:c r="A2543" s="256" t="n">
        <x:f>-12+933*0.01</x:f>
        <x:v>-2.67</x:v>
      </x:c>
      <x:c r="B2543" s="256" t="n">
        <x:f>IF(COUNT($B$129:$L$129)=11,B$129*EXP(IF(A2543&lt;0,(10-0)*A2543,-0*A2543))+C$129*EXP(IF(A2543&lt;0,(10-1)*A2543,-1*A2543))+D$129*EXP(IF(A2543&lt;0,(10-2)*A2543,-2*A2543))+E$129*EXP(IF(A2543&lt;0,(10-3)*A2543,-3*A2543))+F$129*EXP(IF(A2543&lt;0,(10-4)*A2543,-4*A2543))+G$129*EXP(IF(A2543&lt;0,(10-5)*A2543,-5*A2543))+H$129*EXP(IF(A2543&lt;0,(10-6)*A2543,-6*A2543))+I$129*EXP(IF(A2543&lt;0,(10-7)*A2543,-7*A2543))+J$129*EXP(IF(A2543&lt;0,(10-8)*A2543,-8*A2543))+K$129*EXP(IF(A2543&lt;0,(10-9)*A2543,-9*A2543))+L$129*EXP(IF(A2543&lt;0,(10-10)*A2543,-10*A2543)),0)</x:f>
        <x:v>782667.5174634361</x:v>
      </x:c>
      <x:c r="C2543" s="256" t="n">
        <x:f>IF(B2543=0,IF(B2542=0,0,1),IF(B2542=0,0,IF(SIGN(B2543)&lt;&gt;SIGN(B2542),1,0)))</x:f>
        <x:v>0</x:v>
      </x:c>
      <x:c r="D2543" s="256" t="n">
        <x:f>EXP(A2543-0.005)-1</x:f>
        <x:v>-0.9310931716053374</x:v>
      </x:c>
    </x:row>
    <x:row r="2544" ht="20" customHeight="1">
      <x:c r="A2544" s="256" t="n">
        <x:f>-12+934*0.01</x:f>
        <x:v>-2.66</x:v>
      </x:c>
      <x:c r="B2544" s="256" t="n">
        <x:f>IF(COUNT($B$129:$L$129)=11,B$129*EXP(IF(A2544&lt;0,(10-0)*A2544,-0*A2544))+C$129*EXP(IF(A2544&lt;0,(10-1)*A2544,-1*A2544))+D$129*EXP(IF(A2544&lt;0,(10-2)*A2544,-2*A2544))+E$129*EXP(IF(A2544&lt;0,(10-3)*A2544,-3*A2544))+F$129*EXP(IF(A2544&lt;0,(10-4)*A2544,-4*A2544))+G$129*EXP(IF(A2544&lt;0,(10-5)*A2544,-5*A2544))+H$129*EXP(IF(A2544&lt;0,(10-6)*A2544,-6*A2544))+I$129*EXP(IF(A2544&lt;0,(10-7)*A2544,-7*A2544))+J$129*EXP(IF(A2544&lt;0,(10-8)*A2544,-8*A2544))+K$129*EXP(IF(A2544&lt;0,(10-9)*A2544,-9*A2544))+L$129*EXP(IF(A2544&lt;0,(10-10)*A2544,-10*A2544)),0)</x:f>
        <x:v>782677.2825593759</x:v>
      </x:c>
      <x:c r="C2544" s="256" t="n">
        <x:f>IF(B2544=0,IF(B2543=0,0,1),IF(B2543=0,0,IF(SIGN(B2544)&lt;&gt;SIGN(B2543),1,0)))</x:f>
        <x:v>0</x:v>
      </x:c>
      <x:c r="D2544" s="256" t="n">
        <x:f>EXP(A2544-0.005)-1</x:f>
        <x:v>-0.9304006464667309</x:v>
      </x:c>
    </x:row>
    <x:row r="2545" ht="20" customHeight="1">
      <x:c r="A2545" s="256" t="n">
        <x:f>-12+935*0.01</x:f>
        <x:v>-2.6500000000000004</x:v>
      </x:c>
      <x:c r="B2545" s="256" t="n">
        <x:f>IF(COUNT($B$129:$L$129)=11,B$129*EXP(IF(A2545&lt;0,(10-0)*A2545,-0*A2545))+C$129*EXP(IF(A2545&lt;0,(10-1)*A2545,-1*A2545))+D$129*EXP(IF(A2545&lt;0,(10-2)*A2545,-2*A2545))+E$129*EXP(IF(A2545&lt;0,(10-3)*A2545,-3*A2545))+F$129*EXP(IF(A2545&lt;0,(10-4)*A2545,-4*A2545))+G$129*EXP(IF(A2545&lt;0,(10-5)*A2545,-5*A2545))+H$129*EXP(IF(A2545&lt;0,(10-6)*A2545,-6*A2545))+I$129*EXP(IF(A2545&lt;0,(10-7)*A2545,-7*A2545))+J$129*EXP(IF(A2545&lt;0,(10-8)*A2545,-8*A2545))+K$129*EXP(IF(A2545&lt;0,(10-9)*A2545,-9*A2545))+L$129*EXP(IF(A2545&lt;0,(10-10)*A2545,-10*A2545)),0)</x:f>
        <x:v>782687.1567360396</x:v>
      </x:c>
      <x:c r="C2545" s="256" t="n">
        <x:f>IF(B2545=0,IF(B2544=0,0,1),IF(B2544=0,0,IF(SIGN(B2545)&lt;&gt;SIGN(B2544),1,0)))</x:f>
        <x:v>0</x:v>
      </x:c>
      <x:c r="D2545" s="256" t="n">
        <x:f>EXP(A2545-0.005)-1</x:f>
        <x:v>-0.9297011613347715</x:v>
      </x:c>
    </x:row>
    <x:row r="2546" ht="20" customHeight="1">
      <x:c r="A2546" s="256" t="n">
        <x:f>-12+936*0.01</x:f>
        <x:v>-2.6400000000000006</x:v>
      </x:c>
      <x:c r="B2546" s="256" t="n">
        <x:f>IF(COUNT($B$129:$L$129)=11,B$129*EXP(IF(A2546&lt;0,(10-0)*A2546,-0*A2546))+C$129*EXP(IF(A2546&lt;0,(10-1)*A2546,-1*A2546))+D$129*EXP(IF(A2546&lt;0,(10-2)*A2546,-2*A2546))+E$129*EXP(IF(A2546&lt;0,(10-3)*A2546,-3*A2546))+F$129*EXP(IF(A2546&lt;0,(10-4)*A2546,-4*A2546))+G$129*EXP(IF(A2546&lt;0,(10-5)*A2546,-5*A2546))+H$129*EXP(IF(A2546&lt;0,(10-6)*A2546,-6*A2546))+I$129*EXP(IF(A2546&lt;0,(10-7)*A2546,-7*A2546))+J$129*EXP(IF(A2546&lt;0,(10-8)*A2546,-8*A2546))+K$129*EXP(IF(A2546&lt;0,(10-9)*A2546,-9*A2546))+L$129*EXP(IF(A2546&lt;0,(10-10)*A2546,-10*A2546)),0)</x:f>
        <x:v>782697.1413274009</x:v>
      </x:c>
      <x:c r="C2546" s="256" t="n">
        <x:f>IF(B2546=0,IF(B2545=0,0,1),IF(B2545=0,0,IF(SIGN(B2546)&lt;&gt;SIGN(B2545),1,0)))</x:f>
        <x:v>0</x:v>
      </x:c>
      <x:c r="D2546" s="256" t="n">
        <x:f>EXP(A2546-0.005)-1</x:f>
        <x:v>-0.9289946462603631</x:v>
      </x:c>
    </x:row>
    <x:row r="2547" ht="20" customHeight="1">
      <x:c r="A2547" s="256" t="n">
        <x:f>-12+937*0.01</x:f>
        <x:v>-2.629999999999999</x:v>
      </x:c>
      <x:c r="B2547" s="256" t="n">
        <x:f>IF(COUNT($B$129:$L$129)=11,B$129*EXP(IF(A2547&lt;0,(10-0)*A2547,-0*A2547))+C$129*EXP(IF(A2547&lt;0,(10-1)*A2547,-1*A2547))+D$129*EXP(IF(A2547&lt;0,(10-2)*A2547,-2*A2547))+E$129*EXP(IF(A2547&lt;0,(10-3)*A2547,-3*A2547))+F$129*EXP(IF(A2547&lt;0,(10-4)*A2547,-4*A2547))+G$129*EXP(IF(A2547&lt;0,(10-5)*A2547,-5*A2547))+H$129*EXP(IF(A2547&lt;0,(10-6)*A2547,-6*A2547))+I$129*EXP(IF(A2547&lt;0,(10-7)*A2547,-7*A2547))+J$129*EXP(IF(A2547&lt;0,(10-8)*A2547,-8*A2547))+K$129*EXP(IF(A2547&lt;0,(10-9)*A2547,-9*A2547))+L$129*EXP(IF(A2547&lt;0,(10-10)*A2547,-10*A2547)),0)</x:f>
        <x:v>782707.237686177</x:v>
      </x:c>
      <x:c r="C2547" s="256" t="n">
        <x:f>IF(B2547=0,IF(B2546=0,0,1),IF(B2546=0,0,IF(SIGN(B2547)&lt;&gt;SIGN(B2546),1,0)))</x:f>
        <x:v>0</x:v>
      </x:c>
      <x:c r="D2547" s="256" t="n">
        <x:f>EXP(A2547-0.005)-1</x:f>
        <x:v>-0.9282810305914091</x:v>
      </x:c>
    </x:row>
    <x:row r="2548" ht="20" customHeight="1">
      <x:c r="A2548" s="256" t="n">
        <x:f>-12+938*0.01</x:f>
        <x:v>-2.619999999999999</x:v>
      </x:c>
      <x:c r="B2548" s="256" t="n">
        <x:f>IF(COUNT($B$129:$L$129)=11,B$129*EXP(IF(A2548&lt;0,(10-0)*A2548,-0*A2548))+C$129*EXP(IF(A2548&lt;0,(10-1)*A2548,-1*A2548))+D$129*EXP(IF(A2548&lt;0,(10-2)*A2548,-2*A2548))+E$129*EXP(IF(A2548&lt;0,(10-3)*A2548,-3*A2548))+F$129*EXP(IF(A2548&lt;0,(10-4)*A2548,-4*A2548))+G$129*EXP(IF(A2548&lt;0,(10-5)*A2548,-5*A2548))+H$129*EXP(IF(A2548&lt;0,(10-6)*A2548,-6*A2548))+I$129*EXP(IF(A2548&lt;0,(10-7)*A2548,-7*A2548))+J$129*EXP(IF(A2548&lt;0,(10-8)*A2548,-8*A2548))+K$129*EXP(IF(A2548&lt;0,(10-9)*A2548,-9*A2548))+L$129*EXP(IF(A2548&lt;0,(10-10)*A2548,-10*A2548)),0)</x:f>
        <x:v>782717.4471841414</x:v>
      </x:c>
      <x:c r="C2548" s="256" t="n">
        <x:f>IF(B2548=0,IF(B2547=0,0,1),IF(B2547=0,0,IF(SIGN(B2548)&lt;&gt;SIGN(B2547),1,0)))</x:f>
        <x:v>0</x:v>
      </x:c>
      <x:c r="D2548" s="256" t="n">
        <x:f>EXP(A2548-0.005)-1</x:f>
        <x:v>-0.9275602429657485</x:v>
      </x:c>
    </x:row>
    <x:row r="2549" ht="20" customHeight="1">
      <x:c r="A2549" s="256" t="n">
        <x:f>-12+939*0.01</x:f>
        <x:v>-2.6099999999999994</x:v>
      </x:c>
      <x:c r="B2549" s="256" t="n">
        <x:f>IF(COUNT($B$129:$L$129)=11,B$129*EXP(IF(A2549&lt;0,(10-0)*A2549,-0*A2549))+C$129*EXP(IF(A2549&lt;0,(10-1)*A2549,-1*A2549))+D$129*EXP(IF(A2549&lt;0,(10-2)*A2549,-2*A2549))+E$129*EXP(IF(A2549&lt;0,(10-3)*A2549,-3*A2549))+F$129*EXP(IF(A2549&lt;0,(10-4)*A2549,-4*A2549))+G$129*EXP(IF(A2549&lt;0,(10-5)*A2549,-5*A2549))+H$129*EXP(IF(A2549&lt;0,(10-6)*A2549,-6*A2549))+I$129*EXP(IF(A2549&lt;0,(10-7)*A2549,-7*A2549))+J$129*EXP(IF(A2549&lt;0,(10-8)*A2549,-8*A2549))+K$129*EXP(IF(A2549&lt;0,(10-9)*A2549,-9*A2549))+L$129*EXP(IF(A2549&lt;0,(10-10)*A2549,-10*A2549)),0)</x:f>
        <x:v>782727.7712124444</x:v>
      </x:c>
      <x:c r="C2549" s="256" t="n">
        <x:f>IF(B2549=0,IF(B2548=0,0,1),IF(B2548=0,0,IF(SIGN(B2549)&lt;&gt;SIGN(B2548),1,0)))</x:f>
        <x:v>0</x:v>
      </x:c>
      <x:c r="D2549" s="256" t="n">
        <x:f>EXP(A2549-0.005)-1</x:f>
        <x:v>-0.9268322113040177</x:v>
      </x:c>
    </x:row>
    <x:row r="2550" ht="20" customHeight="1">
      <x:c r="A2550" s="256" t="n">
        <x:f>-12+940*0.01</x:f>
        <x:v>-2.5999999999999996</x:v>
      </x:c>
      <x:c r="B2550" s="256" t="n">
        <x:f>IF(COUNT($B$129:$L$129)=11,B$129*EXP(IF(A2550&lt;0,(10-0)*A2550,-0*A2550))+C$129*EXP(IF(A2550&lt;0,(10-1)*A2550,-1*A2550))+D$129*EXP(IF(A2550&lt;0,(10-2)*A2550,-2*A2550))+E$129*EXP(IF(A2550&lt;0,(10-3)*A2550,-3*A2550))+F$129*EXP(IF(A2550&lt;0,(10-4)*A2550,-4*A2550))+G$129*EXP(IF(A2550&lt;0,(10-5)*A2550,-5*A2550))+H$129*EXP(IF(A2550&lt;0,(10-6)*A2550,-6*A2550))+I$129*EXP(IF(A2550&lt;0,(10-7)*A2550,-7*A2550))+J$129*EXP(IF(A2550&lt;0,(10-8)*A2550,-8*A2550))+K$129*EXP(IF(A2550&lt;0,(10-9)*A2550,-9*A2550))+L$129*EXP(IF(A2550&lt;0,(10-10)*A2550,-10*A2550)),0)</x:f>
        <x:v>782738.211181939</x:v>
      </x:c>
      <x:c r="C2550" s="256" t="n">
        <x:f>IF(B2550=0,IF(B2549=0,0,1),IF(B2549=0,0,IF(SIGN(B2550)&lt;&gt;SIGN(B2549),1,0)))</x:f>
        <x:v>0</x:v>
      </x:c>
      <x:c r="D2550" s="256" t="n">
        <x:f>EXP(A2550-0.005)-1</x:f>
        <x:v>-0.926096862802444</x:v>
      </x:c>
    </x:row>
    <x:row r="2551" ht="20" customHeight="1">
      <x:c r="A2551" s="256" t="n">
        <x:f>-12+941*0.01</x:f>
        <x:v>-2.59</x:v>
      </x:c>
      <x:c r="B2551" s="256" t="n">
        <x:f>IF(COUNT($B$129:$L$129)=11,B$129*EXP(IF(A2551&lt;0,(10-0)*A2551,-0*A2551))+C$129*EXP(IF(A2551&lt;0,(10-1)*A2551,-1*A2551))+D$129*EXP(IF(A2551&lt;0,(10-2)*A2551,-2*A2551))+E$129*EXP(IF(A2551&lt;0,(10-3)*A2551,-3*A2551))+F$129*EXP(IF(A2551&lt;0,(10-4)*A2551,-4*A2551))+G$129*EXP(IF(A2551&lt;0,(10-5)*A2551,-5*A2551))+H$129*EXP(IF(A2551&lt;0,(10-6)*A2551,-6*A2551))+I$129*EXP(IF(A2551&lt;0,(10-7)*A2551,-7*A2551))+J$129*EXP(IF(A2551&lt;0,(10-8)*A2551,-8*A2551))+K$129*EXP(IF(A2551&lt;0,(10-9)*A2551,-9*A2551))+L$129*EXP(IF(A2551&lt;0,(10-10)*A2551,-10*A2551)),0)</x:f>
        <x:v>782748.7685235139</x:v>
      </x:c>
      <x:c r="C2551" s="256" t="n">
        <x:f>IF(B2551=0,IF(B2550=0,0,1),IF(B2550=0,0,IF(SIGN(B2551)&lt;&gt;SIGN(B2550),1,0)))</x:f>
        <x:v>0</x:v>
      </x:c>
      <x:c r="D2551" s="256" t="n">
        <x:f>EXP(A2551-0.005)-1</x:f>
        <x:v>-0.9253541239255644</x:v>
      </x:c>
    </x:row>
    <x:row r="2552" ht="20" customHeight="1">
      <x:c r="A2552" s="256" t="n">
        <x:f>-12+942*0.01</x:f>
        <x:v>-2.58</x:v>
      </x:c>
      <x:c r="B2552" s="256" t="n">
        <x:f>IF(COUNT($B$129:$L$129)=11,B$129*EXP(IF(A2552&lt;0,(10-0)*A2552,-0*A2552))+C$129*EXP(IF(A2552&lt;0,(10-1)*A2552,-1*A2552))+D$129*EXP(IF(A2552&lt;0,(10-2)*A2552,-2*A2552))+E$129*EXP(IF(A2552&lt;0,(10-3)*A2552,-3*A2552))+F$129*EXP(IF(A2552&lt;0,(10-4)*A2552,-4*A2552))+G$129*EXP(IF(A2552&lt;0,(10-5)*A2552,-5*A2552))+H$129*EXP(IF(A2552&lt;0,(10-6)*A2552,-6*A2552))+I$129*EXP(IF(A2552&lt;0,(10-7)*A2552,-7*A2552))+J$129*EXP(IF(A2552&lt;0,(10-8)*A2552,-8*A2552))+K$129*EXP(IF(A2552&lt;0,(10-9)*A2552,-9*A2552))+L$129*EXP(IF(A2552&lt;0,(10-10)*A2552,-10*A2552)),0)</x:f>
        <x:v>782759.4446884326</x:v>
      </x:c>
      <x:c r="C2552" s="256" t="n">
        <x:f>IF(B2552=0,IF(B2551=0,0,1),IF(B2551=0,0,IF(SIGN(B2552)&lt;&gt;SIGN(B2551),1,0)))</x:f>
        <x:v>0</x:v>
      </x:c>
      <x:c r="D2552" s="256" t="n">
        <x:f>EXP(A2552-0.005)-1</x:f>
        <x:v>-0.9246039203988723</x:v>
      </x:c>
    </x:row>
    <x:row r="2553" ht="20" customHeight="1">
      <x:c r="A2553" s="256" t="n">
        <x:f>-12+943*0.01</x:f>
        <x:v>-2.5700000000000003</x:v>
      </x:c>
      <x:c r="B2553" s="256" t="n">
        <x:f>IF(COUNT($B$129:$L$129)=11,B$129*EXP(IF(A2553&lt;0,(10-0)*A2553,-0*A2553))+C$129*EXP(IF(A2553&lt;0,(10-1)*A2553,-1*A2553))+D$129*EXP(IF(A2553&lt;0,(10-2)*A2553,-2*A2553))+E$129*EXP(IF(A2553&lt;0,(10-3)*A2553,-3*A2553))+F$129*EXP(IF(A2553&lt;0,(10-4)*A2553,-4*A2553))+G$129*EXP(IF(A2553&lt;0,(10-5)*A2553,-5*A2553))+H$129*EXP(IF(A2553&lt;0,(10-6)*A2553,-6*A2553))+I$129*EXP(IF(A2553&lt;0,(10-7)*A2553,-7*A2553))+J$129*EXP(IF(A2553&lt;0,(10-8)*A2553,-8*A2553))+K$129*EXP(IF(A2553&lt;0,(10-9)*A2553,-9*A2553))+L$129*EXP(IF(A2553&lt;0,(10-10)*A2553,-10*A2553)),0)</x:f>
        <x:v>782770.2411486799</x:v>
      </x:c>
      <x:c r="C2553" s="256" t="n">
        <x:f>IF(B2553=0,IF(B2552=0,0,1),IF(B2552=0,0,IF(SIGN(B2553)&lt;&gt;SIGN(B2552),1,0)))</x:f>
        <x:v>0</x:v>
      </x:c>
      <x:c r="D2553" s="256" t="n">
        <x:f>EXP(A2553-0.005)-1</x:f>
        <x:v>-0.9238461772013897</x:v>
      </x:c>
    </x:row>
    <x:row r="2554" ht="20" customHeight="1">
      <x:c r="A2554" s="256" t="n">
        <x:f>-12+944*0.01</x:f>
        <x:v>-2.5600000000000005</x:v>
      </x:c>
      <x:c r="B2554" s="256" t="n">
        <x:f>IF(COUNT($B$129:$L$129)=11,B$129*EXP(IF(A2554&lt;0,(10-0)*A2554,-0*A2554))+C$129*EXP(IF(A2554&lt;0,(10-1)*A2554,-1*A2554))+D$129*EXP(IF(A2554&lt;0,(10-2)*A2554,-2*A2554))+E$129*EXP(IF(A2554&lt;0,(10-3)*A2554,-3*A2554))+F$129*EXP(IF(A2554&lt;0,(10-4)*A2554,-4*A2554))+G$129*EXP(IF(A2554&lt;0,(10-5)*A2554,-5*A2554))+H$129*EXP(IF(A2554&lt;0,(10-6)*A2554,-6*A2554))+I$129*EXP(IF(A2554&lt;0,(10-7)*A2554,-7*A2554))+J$129*EXP(IF(A2554&lt;0,(10-8)*A2554,-8*A2554))+K$129*EXP(IF(A2554&lt;0,(10-9)*A2554,-9*A2554))+L$129*EXP(IF(A2554&lt;0,(10-10)*A2554,-10*A2554)),0)</x:f>
        <x:v>782781.159397315</x:v>
      </x:c>
      <x:c r="C2554" s="256" t="n">
        <x:f>IF(B2554=0,IF(B2553=0,0,1),IF(B2553=0,0,IF(SIGN(B2554)&lt;&gt;SIGN(B2553),1,0)))</x:f>
        <x:v>0</x:v>
      </x:c>
      <x:c r="D2554" s="256" t="n">
        <x:f>EXP(A2554-0.005)-1</x:f>
        <x:v>-0.9230808185581656</x:v>
      </x:c>
    </x:row>
    <x:row r="2555" ht="20" customHeight="1">
      <x:c r="A2555" s="256" t="n">
        <x:f>-12+945*0.01</x:f>
        <x:v>-2.549999999999999</x:v>
      </x:c>
      <x:c r="B2555" s="256" t="n">
        <x:f>IF(COUNT($B$129:$L$129)=11,B$129*EXP(IF(A2555&lt;0,(10-0)*A2555,-0*A2555))+C$129*EXP(IF(A2555&lt;0,(10-1)*A2555,-1*A2555))+D$129*EXP(IF(A2555&lt;0,(10-2)*A2555,-2*A2555))+E$129*EXP(IF(A2555&lt;0,(10-3)*A2555,-3*A2555))+F$129*EXP(IF(A2555&lt;0,(10-4)*A2555,-4*A2555))+G$129*EXP(IF(A2555&lt;0,(10-5)*A2555,-5*A2555))+H$129*EXP(IF(A2555&lt;0,(10-6)*A2555,-6*A2555))+I$129*EXP(IF(A2555&lt;0,(10-7)*A2555,-7*A2555))+J$129*EXP(IF(A2555&lt;0,(10-8)*A2555,-8*A2555))+K$129*EXP(IF(A2555&lt;0,(10-9)*A2555,-9*A2555))+L$129*EXP(IF(A2555&lt;0,(10-10)*A2555,-10*A2555)),0)</x:f>
        <x:v>782792.2009488324</x:v>
      </x:c>
      <x:c r="C2555" s="256" t="n">
        <x:f>IF(B2555=0,IF(B2554=0,0,1),IF(B2554=0,0,IF(SIGN(B2555)&lt;&gt;SIGN(B2554),1,0)))</x:f>
        <x:v>0</x:v>
      </x:c>
      <x:c r="D2555" s="256" t="n">
        <x:f>EXP(A2555-0.005)-1</x:f>
        <x:v>-0.9223077679326975</x:v>
      </x:c>
    </x:row>
    <x:row r="2556" ht="20" customHeight="1">
      <x:c r="A2556" s="256" t="n">
        <x:f>-12+946*0.01</x:f>
        <x:v>-2.539999999999999</x:v>
      </x:c>
      <x:c r="B2556" s="256" t="n">
        <x:f>IF(COUNT($B$129:$L$129)=11,B$129*EXP(IF(A2556&lt;0,(10-0)*A2556,-0*A2556))+C$129*EXP(IF(A2556&lt;0,(10-1)*A2556,-1*A2556))+D$129*EXP(IF(A2556&lt;0,(10-2)*A2556,-2*A2556))+E$129*EXP(IF(A2556&lt;0,(10-3)*A2556,-3*A2556))+F$129*EXP(IF(A2556&lt;0,(10-4)*A2556,-4*A2556))+G$129*EXP(IF(A2556&lt;0,(10-5)*A2556,-5*A2556))+H$129*EXP(IF(A2556&lt;0,(10-6)*A2556,-6*A2556))+I$129*EXP(IF(A2556&lt;0,(10-7)*A2556,-7*A2556))+J$129*EXP(IF(A2556&lt;0,(10-8)*A2556,-8*A2556))+K$129*EXP(IF(A2556&lt;0,(10-9)*A2556,-9*A2556))+L$129*EXP(IF(A2556&lt;0,(10-10)*A2556,-10*A2556)),0)</x:f>
        <x:v>782803.3673395296</x:v>
      </x:c>
      <x:c r="C2556" s="256" t="n">
        <x:f>IF(B2556=0,IF(B2555=0,0,1),IF(B2555=0,0,IF(SIGN(B2556)&lt;&gt;SIGN(B2555),1,0)))</x:f>
        <x:v>0</x:v>
      </x:c>
      <x:c r="D2556" s="256" t="n">
        <x:f>EXP(A2556-0.005)-1</x:f>
        <x:v>-0.9215269480192791</x:v>
      </x:c>
    </x:row>
    <x:row r="2557" ht="20" customHeight="1">
      <x:c r="A2557" s="256" t="n">
        <x:f>-12+947*0.01</x:f>
        <x:v>-2.5299999999999994</x:v>
      </x:c>
      <x:c r="B2557" s="256" t="n">
        <x:f>IF(COUNT($B$129:$L$129)=11,B$129*EXP(IF(A2557&lt;0,(10-0)*A2557,-0*A2557))+C$129*EXP(IF(A2557&lt;0,(10-1)*A2557,-1*A2557))+D$129*EXP(IF(A2557&lt;0,(10-2)*A2557,-2*A2557))+E$129*EXP(IF(A2557&lt;0,(10-3)*A2557,-3*A2557))+F$129*EXP(IF(A2557&lt;0,(10-4)*A2557,-4*A2557))+G$129*EXP(IF(A2557&lt;0,(10-5)*A2557,-5*A2557))+H$129*EXP(IF(A2557&lt;0,(10-6)*A2557,-6*A2557))+I$129*EXP(IF(A2557&lt;0,(10-7)*A2557,-7*A2557))+J$129*EXP(IF(A2557&lt;0,(10-8)*A2557,-8*A2557))+K$129*EXP(IF(A2557&lt;0,(10-9)*A2557,-9*A2557))+L$129*EXP(IF(A2557&lt;0,(10-10)*A2557,-10*A2557)),0)</x:f>
        <x:v>782814.660127882</x:v>
      </x:c>
      <x:c r="C2557" s="256" t="n">
        <x:f>IF(B2557=0,IF(B2556=0,0,1),IF(B2556=0,0,IF(SIGN(B2557)&lt;&gt;SIGN(B2556),1,0)))</x:f>
        <x:v>0</x:v>
      </x:c>
      <x:c r="D2557" s="256" t="n">
        <x:f>EXP(A2557-0.005)-1</x:f>
        <x:v>-0.9207382807352684</x:v>
      </x:c>
    </x:row>
    <x:row r="2558" ht="20" customHeight="1">
      <x:c r="A2558" s="256" t="n">
        <x:f>-12+948*0.01</x:f>
        <x:v>-2.5199999999999996</x:v>
      </x:c>
      <x:c r="B2558" s="256" t="n">
        <x:f>IF(COUNT($B$129:$L$129)=11,B$129*EXP(IF(A2558&lt;0,(10-0)*A2558,-0*A2558))+C$129*EXP(IF(A2558&lt;0,(10-1)*A2558,-1*A2558))+D$129*EXP(IF(A2558&lt;0,(10-2)*A2558,-2*A2558))+E$129*EXP(IF(A2558&lt;0,(10-3)*A2558,-3*A2558))+F$129*EXP(IF(A2558&lt;0,(10-4)*A2558,-4*A2558))+G$129*EXP(IF(A2558&lt;0,(10-5)*A2558,-5*A2558))+H$129*EXP(IF(A2558&lt;0,(10-6)*A2558,-6*A2558))+I$129*EXP(IF(A2558&lt;0,(10-7)*A2558,-7*A2558))+J$129*EXP(IF(A2558&lt;0,(10-8)*A2558,-8*A2558))+K$129*EXP(IF(A2558&lt;0,(10-9)*A2558,-9*A2558))+L$129*EXP(IF(A2558&lt;0,(10-10)*A2558,-10*A2558)),0)</x:f>
        <x:v>782826.0808949264</x:v>
      </x:c>
      <x:c r="C2558" s="256" t="n">
        <x:f>IF(B2558=0,IF(B2557=0,0,1),IF(B2557=0,0,IF(SIGN(B2558)&lt;&gt;SIGN(B2557),1,0)))</x:f>
        <x:v>0</x:v>
      </x:c>
      <x:c r="D2558" s="256" t="n">
        <x:f>EXP(A2558-0.005)-1</x:f>
        <x:v>-0.9199416872132794</x:v>
      </x:c>
    </x:row>
    <x:row r="2559" ht="20" customHeight="1">
      <x:c r="A2559" s="256" t="n">
        <x:f>-12+949*0.01</x:f>
        <x:v>-2.51</x:v>
      </x:c>
      <x:c r="B2559" s="256" t="n">
        <x:f>IF(COUNT($B$129:$L$129)=11,B$129*EXP(IF(A2559&lt;0,(10-0)*A2559,-0*A2559))+C$129*EXP(IF(A2559&lt;0,(10-1)*A2559,-1*A2559))+D$129*EXP(IF(A2559&lt;0,(10-2)*A2559,-2*A2559))+E$129*EXP(IF(A2559&lt;0,(10-3)*A2559,-3*A2559))+F$129*EXP(IF(A2559&lt;0,(10-4)*A2559,-4*A2559))+G$129*EXP(IF(A2559&lt;0,(10-5)*A2559,-5*A2559))+H$129*EXP(IF(A2559&lt;0,(10-6)*A2559,-6*A2559))+I$129*EXP(IF(A2559&lt;0,(10-7)*A2559,-7*A2559))+J$129*EXP(IF(A2559&lt;0,(10-8)*A2559,-8*A2559))+K$129*EXP(IF(A2559&lt;0,(10-9)*A2559,-9*A2559))+L$129*EXP(IF(A2559&lt;0,(10-10)*A2559,-10*A2559)),0)</x:f>
        <x:v>782837.6312446523</x:v>
      </x:c>
      <x:c r="C2559" s="256" t="n">
        <x:f>IF(B2559=0,IF(B2558=0,0,1),IF(B2558=0,0,IF(SIGN(B2559)&lt;&gt;SIGN(B2558),1,0)))</x:f>
        <x:v>0</x:v>
      </x:c>
      <x:c r="D2559" s="256" t="n">
        <x:f>EXP(A2559-0.005)-1</x:f>
        <x:v>-0.9191370877932963</x:v>
      </x:c>
    </x:row>
    <x:row r="2560" ht="20" customHeight="1">
      <x:c r="A2560" s="256" t="n">
        <x:f>-12+950*0.01</x:f>
        <x:v>-2.5</x:v>
      </x:c>
      <x:c r="B2560" s="256" t="n">
        <x:f>IF(COUNT($B$129:$L$129)=11,B$129*EXP(IF(A2560&lt;0,(10-0)*A2560,-0*A2560))+C$129*EXP(IF(A2560&lt;0,(10-1)*A2560,-1*A2560))+D$129*EXP(IF(A2560&lt;0,(10-2)*A2560,-2*A2560))+E$129*EXP(IF(A2560&lt;0,(10-3)*A2560,-3*A2560))+F$129*EXP(IF(A2560&lt;0,(10-4)*A2560,-4*A2560))+G$129*EXP(IF(A2560&lt;0,(10-5)*A2560,-5*A2560))+H$129*EXP(IF(A2560&lt;0,(10-6)*A2560,-6*A2560))+I$129*EXP(IF(A2560&lt;0,(10-7)*A2560,-7*A2560))+J$129*EXP(IF(A2560&lt;0,(10-8)*A2560,-8*A2560))+K$129*EXP(IF(A2560&lt;0,(10-9)*A2560,-9*A2560))+L$129*EXP(IF(A2560&lt;0,(10-10)*A2560,-10*A2560)),0)</x:f>
        <x:v>782849.3128044</x:v>
      </x:c>
      <x:c r="C2560" s="256" t="n">
        <x:f>IF(B2560=0,IF(B2559=0,0,1),IF(B2559=0,0,IF(SIGN(B2560)&lt;&gt;SIGN(B2559),1,0)))</x:f>
        <x:v>0</x:v>
      </x:c>
      <x:c r="D2560" s="256" t="n">
        <x:f>EXP(A2560-0.005)-1</x:f>
        <x:v>-0.9183244020147066</x:v>
      </x:c>
    </x:row>
    <x:row r="2561" ht="20" customHeight="1">
      <x:c r="A2561" s="256" t="n">
        <x:f>-12+951*0.01</x:f>
        <x:v>-2.49</x:v>
      </x:c>
      <x:c r="B2561" s="256" t="n">
        <x:f>IF(COUNT($B$129:$L$129)=11,B$129*EXP(IF(A2561&lt;0,(10-0)*A2561,-0*A2561))+C$129*EXP(IF(A2561&lt;0,(10-1)*A2561,-1*A2561))+D$129*EXP(IF(A2561&lt;0,(10-2)*A2561,-2*A2561))+E$129*EXP(IF(A2561&lt;0,(10-3)*A2561,-3*A2561))+F$129*EXP(IF(A2561&lt;0,(10-4)*A2561,-4*A2561))+G$129*EXP(IF(A2561&lt;0,(10-5)*A2561,-5*A2561))+H$129*EXP(IF(A2561&lt;0,(10-6)*A2561,-6*A2561))+I$129*EXP(IF(A2561&lt;0,(10-7)*A2561,-7*A2561))+J$129*EXP(IF(A2561&lt;0,(10-8)*A2561,-8*A2561))+K$129*EXP(IF(A2561&lt;0,(10-9)*A2561,-9*A2561))+L$129*EXP(IF(A2561&lt;0,(10-10)*A2561,-10*A2561)),0)</x:f>
        <x:v>782861.1272252684</x:v>
      </x:c>
      <x:c r="C2561" s="256" t="n">
        <x:f>IF(B2561=0,IF(B2560=0,0,1),IF(B2560=0,0,IF(SIGN(B2561)&lt;&gt;SIGN(B2560),1,0)))</x:f>
        <x:v>0</x:v>
      </x:c>
      <x:c r="D2561" s="256" t="n">
        <x:f>EXP(A2561-0.005)-1</x:f>
        <x:v>-0.917503548608255</x:v>
      </x:c>
    </x:row>
    <x:row r="2562" ht="20" customHeight="1">
      <x:c r="A2562" s="256" t="n">
        <x:f>-12+952*0.01</x:f>
        <x:v>-2.4800000000000004</x:v>
      </x:c>
      <x:c r="B2562" s="256" t="n">
        <x:f>IF(COUNT($B$129:$L$129)=11,B$129*EXP(IF(A2562&lt;0,(10-0)*A2562,-0*A2562))+C$129*EXP(IF(A2562&lt;0,(10-1)*A2562,-1*A2562))+D$129*EXP(IF(A2562&lt;0,(10-2)*A2562,-2*A2562))+E$129*EXP(IF(A2562&lt;0,(10-3)*A2562,-3*A2562))+F$129*EXP(IF(A2562&lt;0,(10-4)*A2562,-4*A2562))+G$129*EXP(IF(A2562&lt;0,(10-5)*A2562,-5*A2562))+H$129*EXP(IF(A2562&lt;0,(10-6)*A2562,-6*A2562))+I$129*EXP(IF(A2562&lt;0,(10-7)*A2562,-7*A2562))+J$129*EXP(IF(A2562&lt;0,(10-8)*A2562,-8*A2562))+K$129*EXP(IF(A2562&lt;0,(10-9)*A2562,-9*A2562))+L$129*EXP(IF(A2562&lt;0,(10-10)*A2562,-10*A2562)),0)</x:f>
        <x:v>782873.076182531</x:v>
      </x:c>
      <x:c r="C2562" s="256" t="n">
        <x:f>IF(B2562=0,IF(B2561=0,0,1),IF(B2561=0,0,IF(SIGN(B2562)&lt;&gt;SIGN(B2561),1,0)))</x:f>
        <x:v>0</x:v>
      </x:c>
      <x:c r="D2562" s="256" t="n">
        <x:f>EXP(A2562-0.005)-1</x:f>
        <x:v>-0.916674445487917</x:v>
      </x:c>
    </x:row>
    <x:row r="2563" ht="20" customHeight="1">
      <x:c r="A2563" s="256" t="n">
        <x:f>-12+953*0.01</x:f>
        <x:v>-2.4700000000000006</x:v>
      </x:c>
      <x:c r="B2563" s="256" t="n">
        <x:f>IF(COUNT($B$129:$L$129)=11,B$129*EXP(IF(A2563&lt;0,(10-0)*A2563,-0*A2563))+C$129*EXP(IF(A2563&lt;0,(10-1)*A2563,-1*A2563))+D$129*EXP(IF(A2563&lt;0,(10-2)*A2563,-2*A2563))+E$129*EXP(IF(A2563&lt;0,(10-3)*A2563,-3*A2563))+F$129*EXP(IF(A2563&lt;0,(10-4)*A2563,-4*A2563))+G$129*EXP(IF(A2563&lt;0,(10-5)*A2563,-5*A2563))+H$129*EXP(IF(A2563&lt;0,(10-6)*A2563,-6*A2563))+I$129*EXP(IF(A2563&lt;0,(10-7)*A2563,-7*A2563))+J$129*EXP(IF(A2563&lt;0,(10-8)*A2563,-8*A2563))+K$129*EXP(IF(A2563&lt;0,(10-9)*A2563,-9*A2563))+L$129*EXP(IF(A2563&lt;0,(10-10)*A2563,-10*A2563)),0)</x:f>
        <x:v>782885.1613760596</x:v>
      </x:c>
      <x:c r="C2563" s="256" t="n">
        <x:f>IF(B2563=0,IF(B2562=0,0,1),IF(B2562=0,0,IF(SIGN(B2563)&lt;&gt;SIGN(B2562),1,0)))</x:f>
        <x:v>0</x:v>
      </x:c>
      <x:c r="D2563" s="256" t="n">
        <x:f>EXP(A2563-0.005)-1</x:f>
        <x:v>-0.9158370097426897</x:v>
      </x:c>
    </x:row>
    <x:row r="2564" ht="20" customHeight="1">
      <x:c r="A2564" s="256" t="n">
        <x:f>-12+954*0.01</x:f>
        <x:v>-2.459999999999999</x:v>
      </x:c>
      <x:c r="B2564" s="256" t="n">
        <x:f>IF(COUNT($B$129:$L$129)=11,B$129*EXP(IF(A2564&lt;0,(10-0)*A2564,-0*A2564))+C$129*EXP(IF(A2564&lt;0,(10-1)*A2564,-1*A2564))+D$129*EXP(IF(A2564&lt;0,(10-2)*A2564,-2*A2564))+E$129*EXP(IF(A2564&lt;0,(10-3)*A2564,-3*A2564))+F$129*EXP(IF(A2564&lt;0,(10-4)*A2564,-4*A2564))+G$129*EXP(IF(A2564&lt;0,(10-5)*A2564,-5*A2564))+H$129*EXP(IF(A2564&lt;0,(10-6)*A2564,-6*A2564))+I$129*EXP(IF(A2564&lt;0,(10-7)*A2564,-7*A2564))+J$129*EXP(IF(A2564&lt;0,(10-8)*A2564,-8*A2564))+K$129*EXP(IF(A2564&lt;0,(10-9)*A2564,-9*A2564))+L$129*EXP(IF(A2564&lt;0,(10-10)*A2564,-10*A2564)),0)</x:f>
        <x:v>782897.3845307584</x:v>
      </x:c>
      <x:c r="C2564" s="256" t="n">
        <x:f>IF(B2564=0,IF(B2563=0,0,1),IF(B2563=0,0,IF(SIGN(B2564)&lt;&gt;SIGN(B2563),1,0)))</x:f>
        <x:v>0</x:v>
      </x:c>
      <x:c r="D2564" s="256" t="n">
        <x:f>EXP(A2564-0.005)-1</x:f>
        <x:v>-0.9149911576283004</x:v>
      </x:c>
    </x:row>
    <x:row r="2565" ht="20" customHeight="1">
      <x:c r="A2565" s="256" t="n">
        <x:f>-12+955*0.01</x:f>
        <x:v>-2.4499999999999993</x:v>
      </x:c>
      <x:c r="B2565" s="256" t="n">
        <x:f>IF(COUNT($B$129:$L$129)=11,B$129*EXP(IF(A2565&lt;0,(10-0)*A2565,-0*A2565))+C$129*EXP(IF(A2565&lt;0,(10-1)*A2565,-1*A2565))+D$129*EXP(IF(A2565&lt;0,(10-2)*A2565,-2*A2565))+E$129*EXP(IF(A2565&lt;0,(10-3)*A2565,-3*A2565))+F$129*EXP(IF(A2565&lt;0,(10-4)*A2565,-4*A2565))+G$129*EXP(IF(A2565&lt;0,(10-5)*A2565,-5*A2565))+H$129*EXP(IF(A2565&lt;0,(10-6)*A2565,-6*A2565))+I$129*EXP(IF(A2565&lt;0,(10-7)*A2565,-7*A2565))+J$129*EXP(IF(A2565&lt;0,(10-8)*A2565,-8*A2565))+K$129*EXP(IF(A2565&lt;0,(10-9)*A2565,-9*A2565))+L$129*EXP(IF(A2565&lt;0,(10-10)*A2565,-10*A2565)),0)</x:f>
        <x:v>782909.7473970054</x:v>
      </x:c>
      <x:c r="C2565" s="256" t="n">
        <x:f>IF(B2565=0,IF(B2564=0,0,1),IF(B2564=0,0,IF(SIGN(B2565)&lt;&gt;SIGN(B2564),1,0)))</x:f>
        <x:v>0</x:v>
      </x:c>
      <x:c r="D2565" s="256" t="n">
        <x:f>EXP(A2565-0.005)-1</x:f>
        <x:v>-0.9141368045588331</x:v>
      </x:c>
    </x:row>
    <x:row r="2566" ht="20" customHeight="1">
      <x:c r="A2566" s="256" t="n">
        <x:f>-12+956*0.01</x:f>
        <x:v>-2.4399999999999995</x:v>
      </x:c>
      <x:c r="B2566" s="256" t="n">
        <x:f>IF(COUNT($B$129:$L$129)=11,B$129*EXP(IF(A2566&lt;0,(10-0)*A2566,-0*A2566))+C$129*EXP(IF(A2566&lt;0,(10-1)*A2566,-1*A2566))+D$129*EXP(IF(A2566&lt;0,(10-2)*A2566,-2*A2566))+E$129*EXP(IF(A2566&lt;0,(10-3)*A2566,-3*A2566))+F$129*EXP(IF(A2566&lt;0,(10-4)*A2566,-4*A2566))+G$129*EXP(IF(A2566&lt;0,(10-5)*A2566,-5*A2566))+H$129*EXP(IF(A2566&lt;0,(10-6)*A2566,-6*A2566))+I$129*EXP(IF(A2566&lt;0,(10-7)*A2566,-7*A2566))+J$129*EXP(IF(A2566&lt;0,(10-8)*A2566,-8*A2566))+K$129*EXP(IF(A2566&lt;0,(10-9)*A2566,-9*A2566))+L$129*EXP(IF(A2566&lt;0,(10-10)*A2566,-10*A2566)),0)</x:f>
        <x:v>782922.2517511051</x:v>
      </x:c>
      <x:c r="C2566" s="256" t="n">
        <x:f>IF(B2566=0,IF(B2565=0,0,1),IF(B2565=0,0,IF(SIGN(B2566)&lt;&gt;SIGN(B2565),1,0)))</x:f>
        <x:v>0</x:v>
      </x:c>
      <x:c r="D2566" s="256" t="n">
        <x:f>EXP(A2566-0.005)-1</x:f>
        <x:v>-0.9132738650982688</x:v>
      </x:c>
    </x:row>
    <x:row r="2567" ht="20" customHeight="1">
      <x:c r="A2567" s="256" t="n">
        <x:f>-12+957*0.01</x:f>
        <x:v>-2.4299999999999997</x:v>
      </x:c>
      <x:c r="B2567" s="256" t="n">
        <x:f>IF(COUNT($B$129:$L$129)=11,B$129*EXP(IF(A2567&lt;0,(10-0)*A2567,-0*A2567))+C$129*EXP(IF(A2567&lt;0,(10-1)*A2567,-1*A2567))+D$129*EXP(IF(A2567&lt;0,(10-2)*A2567,-2*A2567))+E$129*EXP(IF(A2567&lt;0,(10-3)*A2567,-3*A2567))+F$129*EXP(IF(A2567&lt;0,(10-4)*A2567,-4*A2567))+G$129*EXP(IF(A2567&lt;0,(10-5)*A2567,-5*A2567))+H$129*EXP(IF(A2567&lt;0,(10-6)*A2567,-6*A2567))+I$129*EXP(IF(A2567&lt;0,(10-7)*A2567,-7*A2567))+J$129*EXP(IF(A2567&lt;0,(10-8)*A2567,-8*A2567))+K$129*EXP(IF(A2567&lt;0,(10-9)*A2567,-9*A2567))+L$129*EXP(IF(A2567&lt;0,(10-10)*A2567,-10*A2567)),0)</x:f>
        <x:v>782934.8993957486</x:v>
      </x:c>
      <x:c r="C2567" s="256" t="n">
        <x:f>IF(B2567=0,IF(B2566=0,0,1),IF(B2566=0,0,IF(SIGN(B2567)&lt;&gt;SIGN(B2566),1,0)))</x:f>
        <x:v>0</x:v>
      </x:c>
      <x:c r="D2567" s="256" t="n">
        <x:f>EXP(A2567-0.005)-1</x:f>
        <x:v>-0.9124022529519423</x:v>
      </x:c>
    </x:row>
    <x:row r="2568" ht="20" customHeight="1">
      <x:c r="A2568" s="256" t="n">
        <x:f>-12+958*0.01</x:f>
        <x:v>-2.42</x:v>
      </x:c>
      <x:c r="B2568" s="256" t="n">
        <x:f>IF(COUNT($B$129:$L$129)=11,B$129*EXP(IF(A2568&lt;0,(10-0)*A2568,-0*A2568))+C$129*EXP(IF(A2568&lt;0,(10-1)*A2568,-1*A2568))+D$129*EXP(IF(A2568&lt;0,(10-2)*A2568,-2*A2568))+E$129*EXP(IF(A2568&lt;0,(10-3)*A2568,-3*A2568))+F$129*EXP(IF(A2568&lt;0,(10-4)*A2568,-4*A2568))+G$129*EXP(IF(A2568&lt;0,(10-5)*A2568,-5*A2568))+H$129*EXP(IF(A2568&lt;0,(10-6)*A2568,-6*A2568))+I$129*EXP(IF(A2568&lt;0,(10-7)*A2568,-7*A2568))+J$129*EXP(IF(A2568&lt;0,(10-8)*A2568,-8*A2568))+K$129*EXP(IF(A2568&lt;0,(10-9)*A2568,-9*A2568))+L$129*EXP(IF(A2568&lt;0,(10-10)*A2568,-10*A2568)),0)</x:f>
        <x:v>782947.6921604855</x:v>
      </x:c>
      <x:c r="C2568" s="256" t="n">
        <x:f>IF(B2568=0,IF(B2567=0,0,1),IF(B2567=0,0,IF(SIGN(B2568)&lt;&gt;SIGN(B2567),1,0)))</x:f>
        <x:v>0</x:v>
      </x:c>
      <x:c r="D2568" s="256" t="n">
        <x:f>EXP(A2568-0.005)-1</x:f>
        <x:v>-0.9115218809579126</x:v>
      </x:c>
    </x:row>
    <x:row r="2569" ht="20" customHeight="1">
      <x:c r="A2569" s="256" t="n">
        <x:f>-12+959*0.01</x:f>
        <x:v>-2.41</x:v>
      </x:c>
      <x:c r="B2569" s="256" t="n">
        <x:f>IF(COUNT($B$129:$L$129)=11,B$129*EXP(IF(A2569&lt;0,(10-0)*A2569,-0*A2569))+C$129*EXP(IF(A2569&lt;0,(10-1)*A2569,-1*A2569))+D$129*EXP(IF(A2569&lt;0,(10-2)*A2569,-2*A2569))+E$129*EXP(IF(A2569&lt;0,(10-3)*A2569,-3*A2569))+F$129*EXP(IF(A2569&lt;0,(10-4)*A2569,-4*A2569))+G$129*EXP(IF(A2569&lt;0,(10-5)*A2569,-5*A2569))+H$129*EXP(IF(A2569&lt;0,(10-6)*A2569,-6*A2569))+I$129*EXP(IF(A2569&lt;0,(10-7)*A2569,-7*A2569))+J$129*EXP(IF(A2569&lt;0,(10-8)*A2569,-8*A2569))+K$129*EXP(IF(A2569&lt;0,(10-9)*A2569,-9*A2569))+L$129*EXP(IF(A2569&lt;0,(10-10)*A2569,-10*A2569)),0)</x:f>
        <x:v>782960.6319022042</x:v>
      </x:c>
      <x:c r="C2569" s="256" t="n">
        <x:f>IF(B2569=0,IF(B2568=0,0,1),IF(B2568=0,0,IF(SIGN(B2569)&lt;&gt;SIGN(B2568),1,0)))</x:f>
        <x:v>0</x:v>
      </x:c>
      <x:c r="D2569" s="256" t="n">
        <x:f>EXP(A2569-0.005)-1</x:f>
        <x:v>-0.9106326610782468</x:v>
      </x:c>
    </x:row>
    <x:row r="2570" ht="20" customHeight="1">
      <x:c r="A2570" s="256" t="n">
        <x:f>-12+960*0.01</x:f>
        <x:v>-2.4000000000000004</x:v>
      </x:c>
      <x:c r="B2570" s="256" t="n">
        <x:f>IF(COUNT($B$129:$L$129)=11,B$129*EXP(IF(A2570&lt;0,(10-0)*A2570,-0*A2570))+C$129*EXP(IF(A2570&lt;0,(10-1)*A2570,-1*A2570))+D$129*EXP(IF(A2570&lt;0,(10-2)*A2570,-2*A2570))+E$129*EXP(IF(A2570&lt;0,(10-3)*A2570,-3*A2570))+F$129*EXP(IF(A2570&lt;0,(10-4)*A2570,-4*A2570))+G$129*EXP(IF(A2570&lt;0,(10-5)*A2570,-5*A2570))+H$129*EXP(IF(A2570&lt;0,(10-6)*A2570,-6*A2570))+I$129*EXP(IF(A2570&lt;0,(10-7)*A2570,-7*A2570))+J$129*EXP(IF(A2570&lt;0,(10-8)*A2570,-8*A2570))+K$129*EXP(IF(A2570&lt;0,(10-9)*A2570,-9*A2570))+L$129*EXP(IF(A2570&lt;0,(10-10)*A2570,-10*A2570)),0)</x:f>
        <x:v>782973.7205056235</x:v>
      </x:c>
      <x:c r="C2570" s="256" t="n">
        <x:f>IF(B2570=0,IF(B2569=0,0,1),IF(B2569=0,0,IF(SIGN(B2570)&lt;&gt;SIGN(B2569),1,0)))</x:f>
        <x:v>0</x:v>
      </x:c>
      <x:c r="D2570" s="256" t="n">
        <x:f>EXP(A2570-0.005)-1</x:f>
        <x:v>-0.9097345043902157</x:v>
      </x:c>
    </x:row>
    <x:row r="2571" ht="20" customHeight="1">
      <x:c r="A2571" s="256" t="n">
        <x:f>-12+961*0.01</x:f>
        <x:v>-2.3900000000000006</x:v>
      </x:c>
      <x:c r="B2571" s="256" t="n">
        <x:f>IF(COUNT($B$129:$L$129)=11,B$129*EXP(IF(A2571&lt;0,(10-0)*A2571,-0*A2571))+C$129*EXP(IF(A2571&lt;0,(10-1)*A2571,-1*A2571))+D$129*EXP(IF(A2571&lt;0,(10-2)*A2571,-2*A2571))+E$129*EXP(IF(A2571&lt;0,(10-3)*A2571,-3*A2571))+F$129*EXP(IF(A2571&lt;0,(10-4)*A2571,-4*A2571))+G$129*EXP(IF(A2571&lt;0,(10-5)*A2571,-5*A2571))+H$129*EXP(IF(A2571&lt;0,(10-6)*A2571,-6*A2571))+I$129*EXP(IF(A2571&lt;0,(10-7)*A2571,-7*A2571))+J$129*EXP(IF(A2571&lt;0,(10-8)*A2571,-8*A2571))+K$129*EXP(IF(A2571&lt;0,(10-9)*A2571,-9*A2571))+L$129*EXP(IF(A2571&lt;0,(10-10)*A2571,-10*A2571)),0)</x:f>
        <x:v>782986.9598837938</x:v>
      </x:c>
      <x:c r="C2571" s="256" t="n">
        <x:f>IF(B2571=0,IF(B2570=0,0,1),IF(B2570=0,0,IF(SIGN(B2571)&lt;&gt;SIGN(B2570),1,0)))</x:f>
        <x:v>0</x:v>
      </x:c>
      <x:c r="D2571" s="256" t="n">
        <x:f>EXP(A2571-0.005)-1</x:f>
        <x:v>-0.9088273210774022</x:v>
      </x:c>
    </x:row>
    <x:row r="2572" ht="20" customHeight="1">
      <x:c r="A2572" s="256" t="n">
        <x:f>-12+962*0.01</x:f>
        <x:v>-2.379999999999999</x:v>
      </x:c>
      <x:c r="B2572" s="256" t="n">
        <x:f>IF(COUNT($B$129:$L$129)=11,B$129*EXP(IF(A2572&lt;0,(10-0)*A2572,-0*A2572))+C$129*EXP(IF(A2572&lt;0,(10-1)*A2572,-1*A2572))+D$129*EXP(IF(A2572&lt;0,(10-2)*A2572,-2*A2572))+E$129*EXP(IF(A2572&lt;0,(10-3)*A2572,-3*A2572))+F$129*EXP(IF(A2572&lt;0,(10-4)*A2572,-4*A2572))+G$129*EXP(IF(A2572&lt;0,(10-5)*A2572,-5*A2572))+H$129*EXP(IF(A2572&lt;0,(10-6)*A2572,-6*A2572))+I$129*EXP(IF(A2572&lt;0,(10-7)*A2572,-7*A2572))+J$129*EXP(IF(A2572&lt;0,(10-8)*A2572,-8*A2572))+K$129*EXP(IF(A2572&lt;0,(10-9)*A2572,-9*A2572))+L$129*EXP(IF(A2572&lt;0,(10-10)*A2572,-10*A2572)),0)</x:f>
        <x:v>783000.35197861</x:v>
      </x:c>
      <x:c r="C2572" s="256" t="n">
        <x:f>IF(B2572=0,IF(B2571=0,0,1),IF(B2571=0,0,IF(SIGN(B2572)&lt;&gt;SIGN(B2571),1,0)))</x:f>
        <x:v>0</x:v>
      </x:c>
      <x:c r="D2572" s="256" t="n">
        <x:f>EXP(A2572-0.005)-1</x:f>
        <x:v>-0.9079110204207187</x:v>
      </x:c>
    </x:row>
    <x:row r="2573" ht="20" customHeight="1">
      <x:c r="A2573" s="256" t="n">
        <x:f>-12+963*0.01</x:f>
        <x:v>-2.369999999999999</x:v>
      </x:c>
      <x:c r="B2573" s="256" t="n">
        <x:f>IF(COUNT($B$129:$L$129)=11,B$129*EXP(IF(A2573&lt;0,(10-0)*A2573,-0*A2573))+C$129*EXP(IF(A2573&lt;0,(10-1)*A2573,-1*A2573))+D$129*EXP(IF(A2573&lt;0,(10-2)*A2573,-2*A2573))+E$129*EXP(IF(A2573&lt;0,(10-3)*A2573,-3*A2573))+F$129*EXP(IF(A2573&lt;0,(10-4)*A2573,-4*A2573))+G$129*EXP(IF(A2573&lt;0,(10-5)*A2573,-5*A2573))+H$129*EXP(IF(A2573&lt;0,(10-6)*A2573,-6*A2573))+I$129*EXP(IF(A2573&lt;0,(10-7)*A2573,-7*A2573))+J$129*EXP(IF(A2573&lt;0,(10-8)*A2573,-8*A2573))+K$129*EXP(IF(A2573&lt;0,(10-9)*A2573,-9*A2573))+L$129*EXP(IF(A2573&lt;0,(10-10)*A2573,-10*A2573)),0)</x:f>
        <x:v>783013.8987613348</x:v>
      </x:c>
      <x:c r="C2573" s="256" t="n">
        <x:f>IF(B2573=0,IF(B2572=0,0,1),IF(B2572=0,0,IF(SIGN(B2573)&lt;&gt;SIGN(B2572),1,0)))</x:f>
        <x:v>0</x:v>
      </x:c>
      <x:c r="D2573" s="256" t="n">
        <x:f>EXP(A2573-0.005)-1</x:f>
        <x:v>-0.9069855107893364</x:v>
      </x:c>
    </x:row>
    <x:row r="2574" ht="20" customHeight="1">
      <x:c r="A2574" s="256" t="n">
        <x:f>-12+964*0.01</x:f>
        <x:v>-2.3599999999999994</x:v>
      </x:c>
      <x:c r="B2574" s="256" t="n">
        <x:f>IF(COUNT($B$129:$L$129)=11,B$129*EXP(IF(A2574&lt;0,(10-0)*A2574,-0*A2574))+C$129*EXP(IF(A2574&lt;0,(10-1)*A2574,-1*A2574))+D$129*EXP(IF(A2574&lt;0,(10-2)*A2574,-2*A2574))+E$129*EXP(IF(A2574&lt;0,(10-3)*A2574,-3*A2574))+F$129*EXP(IF(A2574&lt;0,(10-4)*A2574,-4*A2574))+G$129*EXP(IF(A2574&lt;0,(10-5)*A2574,-5*A2574))+H$129*EXP(IF(A2574&lt;0,(10-6)*A2574,-6*A2574))+I$129*EXP(IF(A2574&lt;0,(10-7)*A2574,-7*A2574))+J$129*EXP(IF(A2574&lt;0,(10-8)*A2574,-8*A2574))+K$129*EXP(IF(A2574&lt;0,(10-9)*A2574,-9*A2574))+L$129*EXP(IF(A2574&lt;0,(10-10)*A2574,-10*A2574)),0)</x:f>
        <x:v>783027.6022331333</x:v>
      </x:c>
      <x:c r="C2574" s="256" t="n">
        <x:f>IF(B2574=0,IF(B2573=0,0,1),IF(B2573=0,0,IF(SIGN(B2574)&lt;&gt;SIGN(B2573),1,0)))</x:f>
        <x:v>0</x:v>
      </x:c>
      <x:c r="D2574" s="256" t="n">
        <x:f>EXP(A2574-0.005)-1</x:f>
        <x:v>-0.9060506996315207</x:v>
      </x:c>
    </x:row>
    <x:row r="2575" ht="20" customHeight="1">
      <x:c r="A2575" s="256" t="n">
        <x:f>-12+965*0.01</x:f>
        <x:v>-2.3499999999999996</x:v>
      </x:c>
      <x:c r="B2575" s="256" t="n">
        <x:f>IF(COUNT($B$129:$L$129)=11,B$129*EXP(IF(A2575&lt;0,(10-0)*A2575,-0*A2575))+C$129*EXP(IF(A2575&lt;0,(10-1)*A2575,-1*A2575))+D$129*EXP(IF(A2575&lt;0,(10-2)*A2575,-2*A2575))+E$129*EXP(IF(A2575&lt;0,(10-3)*A2575,-3*A2575))+F$129*EXP(IF(A2575&lt;0,(10-4)*A2575,-4*A2575))+G$129*EXP(IF(A2575&lt;0,(10-5)*A2575,-5*A2575))+H$129*EXP(IF(A2575&lt;0,(10-6)*A2575,-6*A2575))+I$129*EXP(IF(A2575&lt;0,(10-7)*A2575,-7*A2575))+J$129*EXP(IF(A2575&lt;0,(10-8)*A2575,-8*A2575))+K$129*EXP(IF(A2575&lt;0,(10-9)*A2575,-9*A2575))+L$129*EXP(IF(A2575&lt;0,(10-10)*A2575,-10*A2575)),0)</x:f>
        <x:v>783041.4644256191</x:v>
      </x:c>
      <x:c r="C2575" s="256" t="n">
        <x:f>IF(B2575=0,IF(B2574=0,0,1),IF(B2574=0,0,IF(SIGN(B2575)&lt;&gt;SIGN(B2574),1,0)))</x:f>
        <x:v>0</x:v>
      </x:c>
      <x:c r="D2575" s="256" t="n">
        <x:f>EXP(A2575-0.005)-1</x:f>
        <x:v>-0.9051064934653769</x:v>
      </x:c>
    </x:row>
    <x:row r="2576" ht="20" customHeight="1">
      <x:c r="A2576" s="256" t="n">
        <x:f>-12+966*0.01</x:f>
        <x:v>-2.34</x:v>
      </x:c>
      <x:c r="B2576" s="256" t="n">
        <x:f>IF(COUNT($B$129:$L$129)=11,B$129*EXP(IF(A2576&lt;0,(10-0)*A2576,-0*A2576))+C$129*EXP(IF(A2576&lt;0,(10-1)*A2576,-1*A2576))+D$129*EXP(IF(A2576&lt;0,(10-2)*A2576,-2*A2576))+E$129*EXP(IF(A2576&lt;0,(10-3)*A2576,-3*A2576))+F$129*EXP(IF(A2576&lt;0,(10-4)*A2576,-4*A2576))+G$129*EXP(IF(A2576&lt;0,(10-5)*A2576,-5*A2576))+H$129*EXP(IF(A2576&lt;0,(10-6)*A2576,-6*A2576))+I$129*EXP(IF(A2576&lt;0,(10-7)*A2576,-7*A2576))+J$129*EXP(IF(A2576&lt;0,(10-8)*A2576,-8*A2576))+K$129*EXP(IF(A2576&lt;0,(10-9)*A2576,-9*A2576))+L$129*EXP(IF(A2576&lt;0,(10-10)*A2576,-10*A2576)),0)</x:f>
        <x:v>783055.4874014131</x:v>
      </x:c>
      <x:c r="C2576" s="256" t="n">
        <x:f>IF(B2576=0,IF(B2575=0,0,1),IF(B2575=0,0,IF(SIGN(B2576)&lt;&gt;SIGN(B2575),1,0)))</x:f>
        <x:v>0</x:v>
      </x:c>
      <x:c r="D2576" s="256" t="n">
        <x:f>EXP(A2576-0.005)-1</x:f>
        <x:v>-0.9041527978695013</x:v>
      </x:c>
    </x:row>
    <x:row r="2577" ht="20" customHeight="1">
      <x:c r="A2577" s="256" t="n">
        <x:f>-12+967*0.01</x:f>
        <x:v>-2.33</x:v>
      </x:c>
      <x:c r="B2577" s="256" t="n">
        <x:f>IF(COUNT($B$129:$L$129)=11,B$129*EXP(IF(A2577&lt;0,(10-0)*A2577,-0*A2577))+C$129*EXP(IF(A2577&lt;0,(10-1)*A2577,-1*A2577))+D$129*EXP(IF(A2577&lt;0,(10-2)*A2577,-2*A2577))+E$129*EXP(IF(A2577&lt;0,(10-3)*A2577,-3*A2577))+F$129*EXP(IF(A2577&lt;0,(10-4)*A2577,-4*A2577))+G$129*EXP(IF(A2577&lt;0,(10-5)*A2577,-5*A2577))+H$129*EXP(IF(A2577&lt;0,(10-6)*A2577,-6*A2577))+I$129*EXP(IF(A2577&lt;0,(10-7)*A2577,-7*A2577))+J$129*EXP(IF(A2577&lt;0,(10-8)*A2577,-8*A2577))+K$129*EXP(IF(A2577&lt;0,(10-9)*A2577,-9*A2577))+L$129*EXP(IF(A2577&lt;0,(10-10)*A2577,-10*A2577)),0)</x:f>
        <x:v>783069.6732547133</x:v>
      </x:c>
      <x:c r="C2577" s="256" t="n">
        <x:f>IF(B2577=0,IF(B2576=0,0,1),IF(B2576=0,0,IF(SIGN(B2577)&lt;&gt;SIGN(B2576),1,0)))</x:f>
        <x:v>0</x:v>
      </x:c>
      <x:c r="D2577" s="256" t="n">
        <x:f>EXP(A2577-0.005)-1</x:f>
        <x:v>-0.9031895174735398</x:v>
      </x:c>
    </x:row>
    <x:row r="2578" ht="20" customHeight="1">
      <x:c r="A2578" s="256" t="n">
        <x:f>-12+968*0.01</x:f>
        <x:v>-2.3200000000000003</x:v>
      </x:c>
      <x:c r="B2578" s="256" t="n">
        <x:f>IF(COUNT($B$129:$L$129)=11,B$129*EXP(IF(A2578&lt;0,(10-0)*A2578,-0*A2578))+C$129*EXP(IF(A2578&lt;0,(10-1)*A2578,-1*A2578))+D$129*EXP(IF(A2578&lt;0,(10-2)*A2578,-2*A2578))+E$129*EXP(IF(A2578&lt;0,(10-3)*A2578,-3*A2578))+F$129*EXP(IF(A2578&lt;0,(10-4)*A2578,-4*A2578))+G$129*EXP(IF(A2578&lt;0,(10-5)*A2578,-5*A2578))+H$129*EXP(IF(A2578&lt;0,(10-6)*A2578,-6*A2578))+I$129*EXP(IF(A2578&lt;0,(10-7)*A2578,-7*A2578))+J$129*EXP(IF(A2578&lt;0,(10-8)*A2578,-8*A2578))+K$129*EXP(IF(A2578&lt;0,(10-9)*A2578,-9*A2578))+L$129*EXP(IF(A2578&lt;0,(10-10)*A2578,-10*A2578)),0)</x:f>
        <x:v>783084.0241118772</x:v>
      </x:c>
      <x:c r="C2578" s="256" t="n">
        <x:f>IF(B2578=0,IF(B2577=0,0,1),IF(B2577=0,0,IF(SIGN(B2578)&lt;&gt;SIGN(B2577),1,0)))</x:f>
        <x:v>0</x:v>
      </x:c>
      <x:c r="D2578" s="256" t="n">
        <x:f>EXP(A2578-0.005)-1</x:f>
        <x:v>-0.9022165559486499</x:v>
      </x:c>
    </x:row>
    <x:row r="2579" ht="20" customHeight="1">
      <x:c r="A2579" s="256" t="n">
        <x:f>-12+969*0.01</x:f>
        <x:v>-2.3100000000000005</x:v>
      </x:c>
      <x:c r="B2579" s="256" t="n">
        <x:f>IF(COUNT($B$129:$L$129)=11,B$129*EXP(IF(A2579&lt;0,(10-0)*A2579,-0*A2579))+C$129*EXP(IF(A2579&lt;0,(10-1)*A2579,-1*A2579))+D$129*EXP(IF(A2579&lt;0,(10-2)*A2579,-2*A2579))+E$129*EXP(IF(A2579&lt;0,(10-3)*A2579,-3*A2579))+F$129*EXP(IF(A2579&lt;0,(10-4)*A2579,-4*A2579))+G$129*EXP(IF(A2579&lt;0,(10-5)*A2579,-5*A2579))+H$129*EXP(IF(A2579&lt;0,(10-6)*A2579,-6*A2579))+I$129*EXP(IF(A2579&lt;0,(10-7)*A2579,-7*A2579))+J$129*EXP(IF(A2579&lt;0,(10-8)*A2579,-8*A2579))+K$129*EXP(IF(A2579&lt;0,(10-9)*A2579,-9*A2579))+L$129*EXP(IF(A2579&lt;0,(10-10)*A2579,-10*A2579)),0)</x:f>
        <x:v>783098.542132018</x:v>
      </x:c>
      <x:c r="C2579" s="256" t="n">
        <x:f>IF(B2579=0,IF(B2578=0,0,1),IF(B2578=0,0,IF(SIGN(B2579)&lt;&gt;SIGN(B2578),1,0)))</x:f>
        <x:v>0</x:v>
      </x:c>
      <x:c r="D2579" s="256" t="n">
        <x:f>EXP(A2579-0.005)-1</x:f>
        <x:v>-0.9012338159978686</x:v>
      </x:c>
    </x:row>
    <x:row r="2580" ht="20" customHeight="1">
      <x:c r="A2580" s="256" t="n">
        <x:f>-12+970*0.01</x:f>
        <x:v>-2.299999999999999</x:v>
      </x:c>
      <x:c r="B2580" s="256" t="n">
        <x:f>IF(COUNT($B$129:$L$129)=11,B$129*EXP(IF(A2580&lt;0,(10-0)*A2580,-0*A2580))+C$129*EXP(IF(A2580&lt;0,(10-1)*A2580,-1*A2580))+D$129*EXP(IF(A2580&lt;0,(10-2)*A2580,-2*A2580))+E$129*EXP(IF(A2580&lt;0,(10-3)*A2580,-3*A2580))+F$129*EXP(IF(A2580&lt;0,(10-4)*A2580,-4*A2580))+G$129*EXP(IF(A2580&lt;0,(10-5)*A2580,-5*A2580))+H$129*EXP(IF(A2580&lt;0,(10-6)*A2580,-6*A2580))+I$129*EXP(IF(A2580&lt;0,(10-7)*A2580,-7*A2580))+J$129*EXP(IF(A2580&lt;0,(10-8)*A2580,-8*A2580))+K$129*EXP(IF(A2580&lt;0,(10-9)*A2580,-9*A2580))+L$129*EXP(IF(A2580&lt;0,(10-10)*A2580,-10*A2580)),0)</x:f>
        <x:v>783113.229507613</x:v>
      </x:c>
      <x:c r="C2580" s="256" t="n">
        <x:f>IF(B2580=0,IF(B2579=0,0,1),IF(B2579=0,0,IF(SIGN(B2580)&lt;&gt;SIGN(B2579),1,0)))</x:f>
        <x:v>0</x:v>
      </x:c>
      <x:c r="D2580" s="256" t="n">
        <x:f>EXP(A2580-0.005)-1</x:f>
        <x:v>-0.9002411993463812</x:v>
      </x:c>
    </x:row>
    <x:row r="2581" ht="20" customHeight="1">
      <x:c r="A2581" s="256" t="n">
        <x:f>-12+971*0.01</x:f>
        <x:v>-2.289999999999999</x:v>
      </x:c>
      <x:c r="B2581" s="256" t="n">
        <x:f>IF(COUNT($B$129:$L$129)=11,B$129*EXP(IF(A2581&lt;0,(10-0)*A2581,-0*A2581))+C$129*EXP(IF(A2581&lt;0,(10-1)*A2581,-1*A2581))+D$129*EXP(IF(A2581&lt;0,(10-2)*A2581,-2*A2581))+E$129*EXP(IF(A2581&lt;0,(10-3)*A2581,-3*A2581))+F$129*EXP(IF(A2581&lt;0,(10-4)*A2581,-4*A2581))+G$129*EXP(IF(A2581&lt;0,(10-5)*A2581,-5*A2581))+H$129*EXP(IF(A2581&lt;0,(10-6)*A2581,-6*A2581))+I$129*EXP(IF(A2581&lt;0,(10-7)*A2581,-7*A2581))+J$129*EXP(IF(A2581&lt;0,(10-8)*A2581,-8*A2581))+K$129*EXP(IF(A2581&lt;0,(10-9)*A2581,-9*A2581))+L$129*EXP(IF(A2581&lt;0,(10-10)*A2581,-10*A2581)),0)</x:f>
        <x:v>783128.0884651252</x:v>
      </x:c>
      <x:c r="C2581" s="256" t="n">
        <x:f>IF(B2581=0,IF(B2580=0,0,1),IF(B2580=0,0,IF(SIGN(B2581)&lt;&gt;SIGN(B2580),1,0)))</x:f>
        <x:v>0</x:v>
      </x:c>
      <x:c r="D2581" s="256" t="n">
        <x:f>EXP(A2581-0.005)-1</x:f>
        <x:v>-0.8992386067316962</x:v>
      </x:c>
    </x:row>
    <x:row r="2582" ht="20" customHeight="1">
      <x:c r="A2582" s="256" t="n">
        <x:f>-12+972*0.01</x:f>
        <x:v>-2.2799999999999994</x:v>
      </x:c>
      <x:c r="B2582" s="256" t="n">
        <x:f>IF(COUNT($B$129:$L$129)=11,B$129*EXP(IF(A2582&lt;0,(10-0)*A2582,-0*A2582))+C$129*EXP(IF(A2582&lt;0,(10-1)*A2582,-1*A2582))+D$129*EXP(IF(A2582&lt;0,(10-2)*A2582,-2*A2582))+E$129*EXP(IF(A2582&lt;0,(10-3)*A2582,-3*A2582))+F$129*EXP(IF(A2582&lt;0,(10-4)*A2582,-4*A2582))+G$129*EXP(IF(A2582&lt;0,(10-5)*A2582,-5*A2582))+H$129*EXP(IF(A2582&lt;0,(10-6)*A2582,-6*A2582))+I$129*EXP(IF(A2582&lt;0,(10-7)*A2582,-7*A2582))+J$129*EXP(IF(A2582&lt;0,(10-8)*A2582,-8*A2582))+K$129*EXP(IF(A2582&lt;0,(10-9)*A2582,-9*A2582))+L$129*EXP(IF(A2582&lt;0,(10-10)*A2582,-10*A2582)),0)</x:f>
        <x:v>783143.1212656391</x:v>
      </x:c>
      <x:c r="C2582" s="256" t="n">
        <x:f>IF(B2582=0,IF(B2581=0,0,1),IF(B2581=0,0,IF(SIGN(B2582)&lt;&gt;SIGN(B2581),1,0)))</x:f>
        <x:v>0</x:v>
      </x:c>
      <x:c r="D2582" s="256" t="n">
        <x:f>EXP(A2582-0.005)-1</x:f>
        <x:v>-0.8982259378937162</x:v>
      </x:c>
    </x:row>
    <x:row r="2583" ht="20" customHeight="1">
      <x:c r="A2583" s="256" t="n">
        <x:f>-12+973*0.01</x:f>
        <x:v>-2.2699999999999996</x:v>
      </x:c>
      <x:c r="B2583" s="256" t="n">
        <x:f>IF(COUNT($B$129:$L$129)=11,B$129*EXP(IF(A2583&lt;0,(10-0)*A2583,-0*A2583))+C$129*EXP(IF(A2583&lt;0,(10-1)*A2583,-1*A2583))+D$129*EXP(IF(A2583&lt;0,(10-2)*A2583,-2*A2583))+E$129*EXP(IF(A2583&lt;0,(10-3)*A2583,-3*A2583))+F$129*EXP(IF(A2583&lt;0,(10-4)*A2583,-4*A2583))+G$129*EXP(IF(A2583&lt;0,(10-5)*A2583,-5*A2583))+H$129*EXP(IF(A2583&lt;0,(10-6)*A2583,-6*A2583))+I$129*EXP(IF(A2583&lt;0,(10-7)*A2583,-7*A2583))+J$129*EXP(IF(A2583&lt;0,(10-8)*A2583,-8*A2583))+K$129*EXP(IF(A2583&lt;0,(10-9)*A2583,-9*A2583))+L$129*EXP(IF(A2583&lt;0,(10-10)*A2583,-10*A2583)),0)</x:f>
        <x:v>783158.3302055107</x:v>
      </x:c>
      <x:c r="C2583" s="256" t="n">
        <x:f>IF(B2583=0,IF(B2582=0,0,1),IF(B2582=0,0,IF(SIGN(B2583)&lt;&gt;SIGN(B2582),1,0)))</x:f>
        <x:v>0</x:v>
      </x:c>
      <x:c r="D2583" s="256" t="n">
        <x:f>EXP(A2583-0.005)-1</x:f>
        <x:v>-0.8972030915647136</x:v>
      </x:c>
    </x:row>
    <x:row r="2584" ht="20" customHeight="1">
      <x:c r="A2584" s="256" t="n">
        <x:f>-12+974*0.01</x:f>
        <x:v>-2.26</x:v>
      </x:c>
      <x:c r="B2584" s="256" t="n">
        <x:f>IF(COUNT($B$129:$L$129)=11,B$129*EXP(IF(A2584&lt;0,(10-0)*A2584,-0*A2584))+C$129*EXP(IF(A2584&lt;0,(10-1)*A2584,-1*A2584))+D$129*EXP(IF(A2584&lt;0,(10-2)*A2584,-2*A2584))+E$129*EXP(IF(A2584&lt;0,(10-3)*A2584,-3*A2584))+F$129*EXP(IF(A2584&lt;0,(10-4)*A2584,-4*A2584))+G$129*EXP(IF(A2584&lt;0,(10-5)*A2584,-5*A2584))+H$129*EXP(IF(A2584&lt;0,(10-6)*A2584,-6*A2584))+I$129*EXP(IF(A2584&lt;0,(10-7)*A2584,-7*A2584))+J$129*EXP(IF(A2584&lt;0,(10-8)*A2584,-8*A2584))+K$129*EXP(IF(A2584&lt;0,(10-9)*A2584,-9*A2584))+L$129*EXP(IF(A2584&lt;0,(10-10)*A2584,-10*A2584)),0)</x:f>
        <x:v>783173.717617032</x:v>
      </x:c>
      <x:c r="C2584" s="256" t="n">
        <x:f>IF(B2584=0,IF(B2583=0,0,1),IF(B2583=0,0,IF(SIGN(B2584)&lt;&gt;SIGN(B2583),1,0)))</x:f>
        <x:v>0</x:v>
      </x:c>
      <x:c r="D2584" s="256" t="n">
        <x:f>EXP(A2584-0.005)-1</x:f>
        <x:v>-0.896169965459203</x:v>
      </x:c>
    </x:row>
    <x:row r="2585" ht="20" customHeight="1">
      <x:c r="A2585" s="256" t="n">
        <x:f>-12+975*0.01</x:f>
        <x:v>-2.25</x:v>
      </x:c>
      <x:c r="B2585" s="256" t="n">
        <x:f>IF(COUNT($B$129:$L$129)=11,B$129*EXP(IF(A2585&lt;0,(10-0)*A2585,-0*A2585))+C$129*EXP(IF(A2585&lt;0,(10-1)*A2585,-1*A2585))+D$129*EXP(IF(A2585&lt;0,(10-2)*A2585,-2*A2585))+E$129*EXP(IF(A2585&lt;0,(10-3)*A2585,-3*A2585))+F$129*EXP(IF(A2585&lt;0,(10-4)*A2585,-4*A2585))+G$129*EXP(IF(A2585&lt;0,(10-5)*A2585,-5*A2585))+H$129*EXP(IF(A2585&lt;0,(10-6)*A2585,-6*A2585))+I$129*EXP(IF(A2585&lt;0,(10-7)*A2585,-7*A2585))+J$129*EXP(IF(A2585&lt;0,(10-8)*A2585,-8*A2585))+K$129*EXP(IF(A2585&lt;0,(10-9)*A2585,-9*A2585))+L$129*EXP(IF(A2585&lt;0,(10-10)*A2585,-10*A2585)),0)</x:f>
        <x:v>783189.285869109</x:v>
      </x:c>
      <x:c r="C2585" s="256" t="n">
        <x:f>IF(B2585=0,IF(B2584=0,0,1),IF(B2584=0,0,IF(SIGN(B2585)&lt;&gt;SIGN(B2584),1,0)))</x:f>
        <x:v>0</x:v>
      </x:c>
      <x:c r="D2585" s="256" t="n">
        <x:f>EXP(A2585-0.005)-1</x:f>
        <x:v>-0.8951264562637131</x:v>
      </x:c>
    </x:row>
    <x:row r="2586" ht="20" customHeight="1">
      <x:c r="A2586" s="256" t="n">
        <x:f>-12+976*0.01</x:f>
        <x:v>-2.24</x:v>
      </x:c>
      <x:c r="B2586" s="256" t="n">
        <x:f>IF(COUNT($B$129:$L$129)=11,B$129*EXP(IF(A2586&lt;0,(10-0)*A2586,-0*A2586))+C$129*EXP(IF(A2586&lt;0,(10-1)*A2586,-1*A2586))+D$129*EXP(IF(A2586&lt;0,(10-2)*A2586,-2*A2586))+E$129*EXP(IF(A2586&lt;0,(10-3)*A2586,-3*A2586))+F$129*EXP(IF(A2586&lt;0,(10-4)*A2586,-4*A2586))+G$129*EXP(IF(A2586&lt;0,(10-5)*A2586,-5*A2586))+H$129*EXP(IF(A2586&lt;0,(10-6)*A2586,-6*A2586))+I$129*EXP(IF(A2586&lt;0,(10-7)*A2586,-7*A2586))+J$129*EXP(IF(A2586&lt;0,(10-8)*A2586,-8*A2586))+K$129*EXP(IF(A2586&lt;0,(10-9)*A2586,-9*A2586))+L$129*EXP(IF(A2586&lt;0,(10-10)*A2586,-10*A2586)),0)</x:f>
        <x:v>783205.0373679572</x:v>
      </x:c>
      <x:c r="C2586" s="256" t="n">
        <x:f>IF(B2586=0,IF(B2585=0,0,1),IF(B2585=0,0,IF(SIGN(B2586)&lt;&gt;SIGN(B2585),1,0)))</x:f>
        <x:v>0</x:v>
      </x:c>
      <x:c r="D2586" s="256" t="n">
        <x:f>EXP(A2586-0.005)-1</x:f>
        <x:v>-0.8940724596264547</x:v>
      </x:c>
    </x:row>
    <x:row r="2587" ht="20" customHeight="1">
      <x:c r="A2587" s="256" t="n">
        <x:f>-12+977*0.01</x:f>
        <x:v>-2.2300000000000004</x:v>
      </x:c>
      <x:c r="B2587" s="256" t="n">
        <x:f>IF(COUNT($B$129:$L$129)=11,B$129*EXP(IF(A2587&lt;0,(10-0)*A2587,-0*A2587))+C$129*EXP(IF(A2587&lt;0,(10-1)*A2587,-1*A2587))+D$129*EXP(IF(A2587&lt;0,(10-2)*A2587,-2*A2587))+E$129*EXP(IF(A2587&lt;0,(10-3)*A2587,-3*A2587))+F$129*EXP(IF(A2587&lt;0,(10-4)*A2587,-4*A2587))+G$129*EXP(IF(A2587&lt;0,(10-5)*A2587,-5*A2587))+H$129*EXP(IF(A2587&lt;0,(10-6)*A2587,-6*A2587))+I$129*EXP(IF(A2587&lt;0,(10-7)*A2587,-7*A2587))+J$129*EXP(IF(A2587&lt;0,(10-8)*A2587,-8*A2587))+K$129*EXP(IF(A2587&lt;0,(10-9)*A2587,-9*A2587))+L$129*EXP(IF(A2587&lt;0,(10-10)*A2587,-10*A2587)),0)</x:f>
        <x:v>783220.9745578103</x:v>
      </x:c>
      <x:c r="C2587" s="256" t="n">
        <x:f>IF(B2587=0,IF(B2586=0,0,1),IF(B2586=0,0,IF(SIGN(B2587)&lt;&gt;SIGN(B2586),1,0)))</x:f>
        <x:v>0</x:v>
      </x:c>
      <x:c r="D2587" s="256" t="n">
        <x:f>EXP(A2587-0.005)-1</x:f>
        <x:v>-0.8930078701468855</x:v>
      </x:c>
    </x:row>
    <x:row r="2588" ht="20" customHeight="1">
      <x:c r="A2588" s="256" t="n">
        <x:f>-12+978*0.01</x:f>
        <x:v>-2.2200000000000006</x:v>
      </x:c>
      <x:c r="B2588" s="256" t="n">
        <x:f>IF(COUNT($B$129:$L$129)=11,B$129*EXP(IF(A2588&lt;0,(10-0)*A2588,-0*A2588))+C$129*EXP(IF(A2588&lt;0,(10-1)*A2588,-1*A2588))+D$129*EXP(IF(A2588&lt;0,(10-2)*A2588,-2*A2588))+E$129*EXP(IF(A2588&lt;0,(10-3)*A2588,-3*A2588))+F$129*EXP(IF(A2588&lt;0,(10-4)*A2588,-4*A2588))+G$129*EXP(IF(A2588&lt;0,(10-5)*A2588,-5*A2588))+H$129*EXP(IF(A2588&lt;0,(10-6)*A2588,-6*A2588))+I$129*EXP(IF(A2588&lt;0,(10-7)*A2588,-7*A2588))+J$129*EXP(IF(A2588&lt;0,(10-8)*A2588,-8*A2588))+K$129*EXP(IF(A2588&lt;0,(10-9)*A2588,-9*A2588))+L$129*EXP(IF(A2588&lt;0,(10-10)*A2588,-10*A2588)),0)</x:f>
        <x:v>783237.099921647</x:v>
      </x:c>
      <x:c r="C2588" s="256" t="n">
        <x:f>IF(B2588=0,IF(B2587=0,0,1),IF(B2587=0,0,IF(SIGN(B2588)&lt;&gt;SIGN(B2587),1,0)))</x:f>
        <x:v>0</x:v>
      </x:c>
      <x:c r="D2588" s="256" t="n">
        <x:f>EXP(A2588-0.005)-1</x:f>
        <x:v>-0.8919325813651708</x:v>
      </x:c>
    </x:row>
    <x:row r="2589" ht="20" customHeight="1">
      <x:c r="A2589" s="256" t="n">
        <x:f>-12+979*0.01</x:f>
        <x:v>-2.209999999999999</x:v>
      </x:c>
      <x:c r="B2589" s="256" t="n">
        <x:f>IF(COUNT($B$129:$L$129)=11,B$129*EXP(IF(A2589&lt;0,(10-0)*A2589,-0*A2589))+C$129*EXP(IF(A2589&lt;0,(10-1)*A2589,-1*A2589))+D$129*EXP(IF(A2589&lt;0,(10-2)*A2589,-2*A2589))+E$129*EXP(IF(A2589&lt;0,(10-3)*A2589,-3*A2589))+F$129*EXP(IF(A2589&lt;0,(10-4)*A2589,-4*A2589))+G$129*EXP(IF(A2589&lt;0,(10-5)*A2589,-5*A2589))+H$129*EXP(IF(A2589&lt;0,(10-6)*A2589,-6*A2589))+I$129*EXP(IF(A2589&lt;0,(10-7)*A2589,-7*A2589))+J$129*EXP(IF(A2589&lt;0,(10-8)*A2589,-8*A2589))+K$129*EXP(IF(A2589&lt;0,(10-9)*A2589,-9*A2589))+L$129*EXP(IF(A2589&lt;0,(10-10)*A2589,-10*A2589)),0)</x:f>
        <x:v>783253.415981932</x:v>
      </x:c>
      <x:c r="C2589" s="256" t="n">
        <x:f>IF(B2589=0,IF(B2588=0,0,1),IF(B2588=0,0,IF(SIGN(B2589)&lt;&gt;SIGN(B2588),1,0)))</x:f>
        <x:v>0</x:v>
      </x:c>
      <x:c r="D2589" s="256" t="n">
        <x:f>EXP(A2589-0.005)-1</x:f>
        <x:v>-0.8908464857515358</x:v>
      </x:c>
    </x:row>
    <x:row r="2590" ht="20" customHeight="1">
      <x:c r="A2590" s="256" t="n">
        <x:f>-12+980*0.01</x:f>
        <x:v>-2.1999999999999993</x:v>
      </x:c>
      <x:c r="B2590" s="256" t="n">
        <x:f>IF(COUNT($B$129:$L$129)=11,B$129*EXP(IF(A2590&lt;0,(10-0)*A2590,-0*A2590))+C$129*EXP(IF(A2590&lt;0,(10-1)*A2590,-1*A2590))+D$129*EXP(IF(A2590&lt;0,(10-2)*A2590,-2*A2590))+E$129*EXP(IF(A2590&lt;0,(10-3)*A2590,-3*A2590))+F$129*EXP(IF(A2590&lt;0,(10-4)*A2590,-4*A2590))+G$129*EXP(IF(A2590&lt;0,(10-5)*A2590,-5*A2590))+H$129*EXP(IF(A2590&lt;0,(10-6)*A2590,-6*A2590))+I$129*EXP(IF(A2590&lt;0,(10-7)*A2590,-7*A2590))+J$129*EXP(IF(A2590&lt;0,(10-8)*A2590,-8*A2590))+K$129*EXP(IF(A2590&lt;0,(10-9)*A2590,-9*A2590))+L$129*EXP(IF(A2590&lt;0,(10-10)*A2590,-10*A2590)),0)</x:f>
        <x:v>783269.9253013756</x:v>
      </x:c>
      <x:c r="C2590" s="256" t="n">
        <x:f>IF(B2590=0,IF(B2589=0,0,1),IF(B2589=0,0,IF(SIGN(B2590)&lt;&gt;SIGN(B2589),1,0)))</x:f>
        <x:v>0</x:v>
      </x:c>
      <x:c r="D2590" s="256" t="n">
        <x:f>EXP(A2590-0.005)-1</x:f>
        <x:v>-0.8897494746955147</x:v>
      </x:c>
    </x:row>
    <x:row r="2591" ht="20" customHeight="1">
      <x:c r="A2591" s="256" t="n">
        <x:f>-12+981*0.01</x:f>
        <x:v>-2.1899999999999995</x:v>
      </x:c>
      <x:c r="B2591" s="256" t="n">
        <x:f>IF(COUNT($B$129:$L$129)=11,B$129*EXP(IF(A2591&lt;0,(10-0)*A2591,-0*A2591))+C$129*EXP(IF(A2591&lt;0,(10-1)*A2591,-1*A2591))+D$129*EXP(IF(A2591&lt;0,(10-2)*A2591,-2*A2591))+E$129*EXP(IF(A2591&lt;0,(10-3)*A2591,-3*A2591))+F$129*EXP(IF(A2591&lt;0,(10-4)*A2591,-4*A2591))+G$129*EXP(IF(A2591&lt;0,(10-5)*A2591,-5*A2591))+H$129*EXP(IF(A2591&lt;0,(10-6)*A2591,-6*A2591))+I$129*EXP(IF(A2591&lt;0,(10-7)*A2591,-7*A2591))+J$129*EXP(IF(A2591&lt;0,(10-8)*A2591,-8*A2591))+K$129*EXP(IF(A2591&lt;0,(10-9)*A2591,-9*A2591))+L$129*EXP(IF(A2591&lt;0,(10-10)*A2591,-10*A2591)),0)</x:f>
        <x:v>783286.6304837096</x:v>
      </x:c>
      <x:c r="C2591" s="256" t="n">
        <x:f>IF(B2591=0,IF(B2590=0,0,1),IF(B2590=0,0,IF(SIGN(B2591)&lt;&gt;SIGN(B2590),1,0)))</x:f>
        <x:v>0</x:v>
      </x:c>
      <x:c r="D2591" s="256" t="n">
        <x:f>EXP(A2591-0.005)-1</x:f>
        <x:v>-0.8886414384950874</x:v>
      </x:c>
    </x:row>
    <x:row r="2592" ht="20" customHeight="1">
      <x:c r="A2592" s="256" t="n">
        <x:f>-12+982*0.01</x:f>
        <x:v>-2.1799999999999997</x:v>
      </x:c>
      <x:c r="B2592" s="256" t="n">
        <x:f>IF(COUNT($B$129:$L$129)=11,B$129*EXP(IF(A2592&lt;0,(10-0)*A2592,-0*A2592))+C$129*EXP(IF(A2592&lt;0,(10-1)*A2592,-1*A2592))+D$129*EXP(IF(A2592&lt;0,(10-2)*A2592,-2*A2592))+E$129*EXP(IF(A2592&lt;0,(10-3)*A2592,-3*A2592))+F$129*EXP(IF(A2592&lt;0,(10-4)*A2592,-4*A2592))+G$129*EXP(IF(A2592&lt;0,(10-5)*A2592,-5*A2592))+H$129*EXP(IF(A2592&lt;0,(10-6)*A2592,-6*A2592))+I$129*EXP(IF(A2592&lt;0,(10-7)*A2592,-7*A2592))+J$129*EXP(IF(A2592&lt;0,(10-8)*A2592,-8*A2592))+K$129*EXP(IF(A2592&lt;0,(10-9)*A2592,-9*A2592))+L$129*EXP(IF(A2592&lt;0,(10-10)*A2592,-10*A2592)),0)</x:f>
        <x:v>783303.5341744815</x:v>
      </x:c>
      <x:c r="C2592" s="256" t="n">
        <x:f>IF(B2592=0,IF(B2591=0,0,1),IF(B2591=0,0,IF(SIGN(B2592)&lt;&gt;SIGN(B2591),1,0)))</x:f>
        <x:v>0</x:v>
      </x:c>
      <x:c r="D2592" s="256" t="n">
        <x:f>EXP(A2592-0.005)-1</x:f>
        <x:v>-0.8875222663457104</x:v>
      </x:c>
    </x:row>
    <x:row r="2593" ht="20" customHeight="1">
      <x:c r="A2593" s="256" t="n">
        <x:f>-12+983*0.01</x:f>
        <x:v>-2.17</x:v>
      </x:c>
      <x:c r="B2593" s="256" t="n">
        <x:f>IF(COUNT($B$129:$L$129)=11,B$129*EXP(IF(A2593&lt;0,(10-0)*A2593,-0*A2593))+C$129*EXP(IF(A2593&lt;0,(10-1)*A2593,-1*A2593))+D$129*EXP(IF(A2593&lt;0,(10-2)*A2593,-2*A2593))+E$129*EXP(IF(A2593&lt;0,(10-3)*A2593,-3*A2593))+F$129*EXP(IF(A2593&lt;0,(10-4)*A2593,-4*A2593))+G$129*EXP(IF(A2593&lt;0,(10-5)*A2593,-5*A2593))+H$129*EXP(IF(A2593&lt;0,(10-6)*A2593,-6*A2593))+I$129*EXP(IF(A2593&lt;0,(10-7)*A2593,-7*A2593))+J$129*EXP(IF(A2593&lt;0,(10-8)*A2593,-8*A2593))+K$129*EXP(IF(A2593&lt;0,(10-9)*A2593,-9*A2593))+L$129*EXP(IF(A2593&lt;0,(10-10)*A2593,-10*A2593)),0)</x:f>
        <x:v>783320.6390618654</x:v>
      </x:c>
      <x:c r="C2593" s="256" t="n">
        <x:f>IF(B2593=0,IF(B2592=0,0,1),IF(B2592=0,0,IF(SIGN(B2593)&lt;&gt;SIGN(B2592),1,0)))</x:f>
        <x:v>0</x:v>
      </x:c>
      <x:c r="D2593" s="256" t="n">
        <x:f>EXP(A2593-0.005)-1</x:f>
        <x:v>-0.8863918463292362</x:v>
      </x:c>
    </x:row>
    <x:row r="2594" ht="20" customHeight="1">
      <x:c r="A2594" s="256" t="n">
        <x:f>-12+984*0.01</x:f>
        <x:v>-2.16</x:v>
      </x:c>
      <x:c r="B2594" s="256" t="n">
        <x:f>IF(COUNT($B$129:$L$129)=11,B$129*EXP(IF(A2594&lt;0,(10-0)*A2594,-0*A2594))+C$129*EXP(IF(A2594&lt;0,(10-1)*A2594,-1*A2594))+D$129*EXP(IF(A2594&lt;0,(10-2)*A2594,-2*A2594))+E$129*EXP(IF(A2594&lt;0,(10-3)*A2594,-3*A2594))+F$129*EXP(IF(A2594&lt;0,(10-4)*A2594,-4*A2594))+G$129*EXP(IF(A2594&lt;0,(10-5)*A2594,-5*A2594))+H$129*EXP(IF(A2594&lt;0,(10-6)*A2594,-6*A2594))+I$129*EXP(IF(A2594&lt;0,(10-7)*A2594,-7*A2594))+J$129*EXP(IF(A2594&lt;0,(10-8)*A2594,-8*A2594))+K$129*EXP(IF(A2594&lt;0,(10-9)*A2594,-9*A2594))+L$129*EXP(IF(A2594&lt;0,(10-10)*A2594,-10*A2594)),0)</x:f>
        <x:v>783337.9478774935</x:v>
      </x:c>
      <x:c r="C2594" s="256" t="n">
        <x:f>IF(B2594=0,IF(B2593=0,0,1),IF(B2593=0,0,IF(SIGN(B2594)&lt;&gt;SIGN(B2593),1,0)))</x:f>
        <x:v>0</x:v>
      </x:c>
      <x:c r="D2594" s="256" t="n">
        <x:f>EXP(A2594-0.005)-1</x:f>
        <x:v>-0.8852500654027212</x:v>
      </x:c>
    </x:row>
    <x:row r="2595" ht="20" customHeight="1">
      <x:c r="A2595" s="256" t="n">
        <x:f>-12+985*0.01</x:f>
        <x:v>-2.1500000000000004</x:v>
      </x:c>
      <x:c r="B2595" s="256" t="n">
        <x:f>IF(COUNT($B$129:$L$129)=11,B$129*EXP(IF(A2595&lt;0,(10-0)*A2595,-0*A2595))+C$129*EXP(IF(A2595&lt;0,(10-1)*A2595,-1*A2595))+D$129*EXP(IF(A2595&lt;0,(10-2)*A2595,-2*A2595))+E$129*EXP(IF(A2595&lt;0,(10-3)*A2595,-3*A2595))+F$129*EXP(IF(A2595&lt;0,(10-4)*A2595,-4*A2595))+G$129*EXP(IF(A2595&lt;0,(10-5)*A2595,-5*A2595))+H$129*EXP(IF(A2595&lt;0,(10-6)*A2595,-6*A2595))+I$129*EXP(IF(A2595&lt;0,(10-7)*A2595,-7*A2595))+J$129*EXP(IF(A2595&lt;0,(10-8)*A2595,-8*A2595))+K$129*EXP(IF(A2595&lt;0,(10-9)*A2595,-9*A2595))+L$129*EXP(IF(A2595&lt;0,(10-10)*A2595,-10*A2595)),0)</x:f>
        <x:v>783355.4633973049</x:v>
      </x:c>
      <x:c r="C2595" s="256" t="n">
        <x:f>IF(B2595=0,IF(B2594=0,0,1),IF(B2594=0,0,IF(SIGN(B2595)&lt;&gt;SIGN(B2594),1,0)))</x:f>
        <x:v>0</x:v>
      </x:c>
      <x:c r="D2595" s="256" t="n">
        <x:f>EXP(A2595-0.005)-1</x:f>
        <x:v>-0.8840968093871213</x:v>
      </x:c>
    </x:row>
    <x:row r="2596" ht="20" customHeight="1">
      <x:c r="A2596" s="256" t="n">
        <x:f>-12+986*0.01</x:f>
        <x:v>-2.1400000000000006</x:v>
      </x:c>
      <x:c r="B2596" s="256" t="n">
        <x:f>IF(COUNT($B$129:$L$129)=11,B$129*EXP(IF(A2596&lt;0,(10-0)*A2596,-0*A2596))+C$129*EXP(IF(A2596&lt;0,(10-1)*A2596,-1*A2596))+D$129*EXP(IF(A2596&lt;0,(10-2)*A2596,-2*A2596))+E$129*EXP(IF(A2596&lt;0,(10-3)*A2596,-3*A2596))+F$129*EXP(IF(A2596&lt;0,(10-4)*A2596,-4*A2596))+G$129*EXP(IF(A2596&lt;0,(10-5)*A2596,-5*A2596))+H$129*EXP(IF(A2596&lt;0,(10-6)*A2596,-6*A2596))+I$129*EXP(IF(A2596&lt;0,(10-7)*A2596,-7*A2596))+J$129*EXP(IF(A2596&lt;0,(10-8)*A2596,-8*A2596))+K$129*EXP(IF(A2596&lt;0,(10-9)*A2596,-9*A2596))+L$129*EXP(IF(A2596&lt;0,(10-10)*A2596,-10*A2596)),0)</x:f>
        <x:v>783373.1884424147</x:v>
      </x:c>
      <x:c r="C2596" s="256" t="n">
        <x:f>IF(B2596=0,IF(B2595=0,0,1),IF(B2595=0,0,IF(SIGN(B2596)&lt;&gt;SIGN(B2595),1,0)))</x:f>
        <x:v>0</x:v>
      </x:c>
      <x:c r="D2596" s="256" t="n">
        <x:f>EXP(A2596-0.005)-1</x:f>
        <x:v>-0.8829319629558736</x:v>
      </x:c>
    </x:row>
    <x:row r="2597" ht="20" customHeight="1">
      <x:c r="A2597" s="256" t="n">
        <x:f>-12+987*0.01</x:f>
        <x:v>-2.129999999999999</x:v>
      </x:c>
      <x:c r="B2597" s="256" t="n">
        <x:f>IF(COUNT($B$129:$L$129)=11,B$129*EXP(IF(A2597&lt;0,(10-0)*A2597,-0*A2597))+C$129*EXP(IF(A2597&lt;0,(10-1)*A2597,-1*A2597))+D$129*EXP(IF(A2597&lt;0,(10-2)*A2597,-2*A2597))+E$129*EXP(IF(A2597&lt;0,(10-3)*A2597,-3*A2597))+F$129*EXP(IF(A2597&lt;0,(10-4)*A2597,-4*A2597))+G$129*EXP(IF(A2597&lt;0,(10-5)*A2597,-5*A2597))+H$129*EXP(IF(A2597&lt;0,(10-6)*A2597,-6*A2597))+I$129*EXP(IF(A2597&lt;0,(10-7)*A2597,-7*A2597))+J$129*EXP(IF(A2597&lt;0,(10-8)*A2597,-8*A2597))+K$129*EXP(IF(A2597&lt;0,(10-9)*A2597,-9*A2597))+L$129*EXP(IF(A2597&lt;0,(10-10)*A2597,-10*A2597)),0)</x:f>
        <x:v>783391.1258800038</x:v>
      </x:c>
      <x:c r="C2597" s="256" t="n">
        <x:f>IF(B2597=0,IF(B2596=0,0,1),IF(B2596=0,0,IF(SIGN(B2597)&lt;&gt;SIGN(B2596),1,0)))</x:f>
        <x:v>0</x:v>
      </x:c>
      <x:c r="D2597" s="256" t="n">
        <x:f>EXP(A2597-0.005)-1</x:f>
        <x:v>-0.8817554096233644</x:v>
      </x:c>
    </x:row>
    <x:row r="2598" ht="20" customHeight="1">
      <x:c r="A2598" s="256" t="n">
        <x:f>-12+988*0.01</x:f>
        <x:v>-2.119999999999999</x:v>
      </x:c>
      <x:c r="B2598" s="256" t="n">
        <x:f>IF(COUNT($B$129:$L$129)=11,B$129*EXP(IF(A2598&lt;0,(10-0)*A2598,-0*A2598))+C$129*EXP(IF(A2598&lt;0,(10-1)*A2598,-1*A2598))+D$129*EXP(IF(A2598&lt;0,(10-2)*A2598,-2*A2598))+E$129*EXP(IF(A2598&lt;0,(10-3)*A2598,-3*A2598))+F$129*EXP(IF(A2598&lt;0,(10-4)*A2598,-4*A2598))+G$129*EXP(IF(A2598&lt;0,(10-5)*A2598,-5*A2598))+H$129*EXP(IF(A2598&lt;0,(10-6)*A2598,-6*A2598))+I$129*EXP(IF(A2598&lt;0,(10-7)*A2598,-7*A2598))+J$129*EXP(IF(A2598&lt;0,(10-8)*A2598,-8*A2598))+K$129*EXP(IF(A2598&lt;0,(10-9)*A2598,-9*A2598))+L$129*EXP(IF(A2598&lt;0,(10-10)*A2598,-10*A2598)),0)</x:f>
        <x:v>783409.2786242275</x:v>
      </x:c>
      <x:c r="C2598" s="256" t="n">
        <x:f>IF(B2598=0,IF(B2597=0,0,1),IF(B2597=0,0,IF(SIGN(B2598)&lt;&gt;SIGN(B2597),1,0)))</x:f>
        <x:v>0</x:v>
      </x:c>
      <x:c r="D2598" s="256" t="n">
        <x:f>EXP(A2598-0.005)-1</x:f>
        <x:v>-0.8805670317332803</x:v>
      </x:c>
    </x:row>
    <x:row r="2599" ht="20" customHeight="1">
      <x:c r="A2599" s="256" t="n">
        <x:f>-12+989*0.01</x:f>
        <x:v>-2.1099999999999994</x:v>
      </x:c>
      <x:c r="B2599" s="256" t="n">
        <x:f>IF(COUNT($B$129:$L$129)=11,B$129*EXP(IF(A2599&lt;0,(10-0)*A2599,-0*A2599))+C$129*EXP(IF(A2599&lt;0,(10-1)*A2599,-1*A2599))+D$129*EXP(IF(A2599&lt;0,(10-2)*A2599,-2*A2599))+E$129*EXP(IF(A2599&lt;0,(10-3)*A2599,-3*A2599))+F$129*EXP(IF(A2599&lt;0,(10-4)*A2599,-4*A2599))+G$129*EXP(IF(A2599&lt;0,(10-5)*A2599,-5*A2599))+H$129*EXP(IF(A2599&lt;0,(10-6)*A2599,-6*A2599))+I$129*EXP(IF(A2599&lt;0,(10-7)*A2599,-7*A2599))+J$129*EXP(IF(A2599&lt;0,(10-8)*A2599,-8*A2599))+K$129*EXP(IF(A2599&lt;0,(10-9)*A2599,-9*A2599))+L$129*EXP(IF(A2599&lt;0,(10-10)*A2599,-10*A2599)),0)</x:f>
        <x:v>783427.6496371467</x:v>
      </x:c>
      <x:c r="C2599" s="256" t="n">
        <x:f>IF(B2599=0,IF(B2598=0,0,1),IF(B2598=0,0,IF(SIGN(B2599)&lt;&gt;SIGN(B2598),1,0)))</x:f>
        <x:v>0</x:v>
      </x:c>
      <x:c r="D2599" s="256" t="n">
        <x:f>EXP(A2599-0.005)-1</x:f>
        <x:v>-0.8793667104468417</x:v>
      </x:c>
    </x:row>
    <x:row r="2600" ht="20" customHeight="1">
      <x:c r="A2600" s="256" t="n">
        <x:f>-12+990*0.01</x:f>
        <x:v>-2.0999999999999996</x:v>
      </x:c>
      <x:c r="B2600" s="256" t="n">
        <x:f>IF(COUNT($B$129:$L$129)=11,B$129*EXP(IF(A2600&lt;0,(10-0)*A2600,-0*A2600))+C$129*EXP(IF(A2600&lt;0,(10-1)*A2600,-1*A2600))+D$129*EXP(IF(A2600&lt;0,(10-2)*A2600,-2*A2600))+E$129*EXP(IF(A2600&lt;0,(10-3)*A2600,-3*A2600))+F$129*EXP(IF(A2600&lt;0,(10-4)*A2600,-4*A2600))+G$129*EXP(IF(A2600&lt;0,(10-5)*A2600,-5*A2600))+H$129*EXP(IF(A2600&lt;0,(10-6)*A2600,-6*A2600))+I$129*EXP(IF(A2600&lt;0,(10-7)*A2600,-7*A2600))+J$129*EXP(IF(A2600&lt;0,(10-8)*A2600,-8*A2600))+K$129*EXP(IF(A2600&lt;0,(10-9)*A2600,-9*A2600))+L$129*EXP(IF(A2600&lt;0,(10-10)*A2600,-10*A2600)),0)</x:f>
        <x:v>783446.2419296807</x:v>
      </x:c>
      <x:c r="C2600" s="256" t="n">
        <x:f>IF(B2600=0,IF(B2599=0,0,1),IF(B2599=0,0,IF(SIGN(B2600)&lt;&gt;SIGN(B2599),1,0)))</x:f>
        <x:v>0</x:v>
      </x:c>
      <x:c r="D2600" s="256" t="n">
        <x:f>EXP(A2600-0.005)-1</x:f>
        <x:v>-0.8781543257309196</x:v>
      </x:c>
    </x:row>
    <x:row r="2601" ht="20" customHeight="1">
      <x:c r="A2601" s="256" t="n">
        <x:f>-12+991*0.01</x:f>
        <x:v>-2.09</x:v>
      </x:c>
      <x:c r="B2601" s="256" t="n">
        <x:f>IF(COUNT($B$129:$L$129)=11,B$129*EXP(IF(A2601&lt;0,(10-0)*A2601,-0*A2601))+C$129*EXP(IF(A2601&lt;0,(10-1)*A2601,-1*A2601))+D$129*EXP(IF(A2601&lt;0,(10-2)*A2601,-2*A2601))+E$129*EXP(IF(A2601&lt;0,(10-3)*A2601,-3*A2601))+F$129*EXP(IF(A2601&lt;0,(10-4)*A2601,-4*A2601))+G$129*EXP(IF(A2601&lt;0,(10-5)*A2601,-5*A2601))+H$129*EXP(IF(A2601&lt;0,(10-6)*A2601,-6*A2601))+I$129*EXP(IF(A2601&lt;0,(10-7)*A2601,-7*A2601))+J$129*EXP(IF(A2601&lt;0,(10-8)*A2601,-8*A2601))+K$129*EXP(IF(A2601&lt;0,(10-9)*A2601,-9*A2601))+L$129*EXP(IF(A2601&lt;0,(10-10)*A2601,-10*A2601)),0)</x:f>
        <x:v>783465.0585625807</x:v>
      </x:c>
      <x:c r="C2601" s="256" t="n">
        <x:f>IF(B2601=0,IF(B2600=0,0,1),IF(B2600=0,0,IF(SIGN(B2601)&lt;&gt;SIGN(B2600),1,0)))</x:f>
        <x:v>0</x:v>
      </x:c>
      <x:c r="D2601" s="256" t="n">
        <x:f>EXP(A2601-0.005)-1</x:f>
        <x:v>-0.8769297563460322</x:v>
      </x:c>
    </x:row>
    <x:row r="2602" ht="20" customHeight="1">
      <x:c r="A2602" s="256" t="n">
        <x:f>-12+992*0.01</x:f>
        <x:v>-2.08</x:v>
      </x:c>
      <x:c r="B2602" s="256" t="n">
        <x:f>IF(COUNT($B$129:$L$129)=11,B$129*EXP(IF(A2602&lt;0,(10-0)*A2602,-0*A2602))+C$129*EXP(IF(A2602&lt;0,(10-1)*A2602,-1*A2602))+D$129*EXP(IF(A2602&lt;0,(10-2)*A2602,-2*A2602))+E$129*EXP(IF(A2602&lt;0,(10-3)*A2602,-3*A2602))+F$129*EXP(IF(A2602&lt;0,(10-4)*A2602,-4*A2602))+G$129*EXP(IF(A2602&lt;0,(10-5)*A2602,-5*A2602))+H$129*EXP(IF(A2602&lt;0,(10-6)*A2602,-6*A2602))+I$129*EXP(IF(A2602&lt;0,(10-7)*A2602,-7*A2602))+J$129*EXP(IF(A2602&lt;0,(10-8)*A2602,-8*A2602))+K$129*EXP(IF(A2602&lt;0,(10-9)*A2602,-9*A2602))+L$129*EXP(IF(A2602&lt;0,(10-10)*A2602,-10*A2602)),0)</x:f>
        <x:v>783484.1026474285</x:v>
      </x:c>
      <x:c r="C2602" s="256" t="n">
        <x:f>IF(B2602=0,IF(B2601=0,0,1),IF(B2601=0,0,IF(SIGN(B2602)&lt;&gt;SIGN(B2601),1,0)))</x:f>
        <x:v>0</x:v>
      </x:c>
      <x:c r="D2602" s="256" t="n">
        <x:f>EXP(A2602-0.005)-1</x:f>
        <x:v>-0.8756928798342206</x:v>
      </x:c>
    </x:row>
    <x:row r="2603" ht="20" customHeight="1">
      <x:c r="A2603" s="256" t="n">
        <x:f>-12+993*0.01</x:f>
        <x:v>-2.0700000000000003</x:v>
      </x:c>
      <x:c r="B2603" s="256" t="n">
        <x:f>IF(COUNT($B$129:$L$129)=11,B$129*EXP(IF(A2603&lt;0,(10-0)*A2603,-0*A2603))+C$129*EXP(IF(A2603&lt;0,(10-1)*A2603,-1*A2603))+D$129*EXP(IF(A2603&lt;0,(10-2)*A2603,-2*A2603))+E$129*EXP(IF(A2603&lt;0,(10-3)*A2603,-3*A2603))+F$129*EXP(IF(A2603&lt;0,(10-4)*A2603,-4*A2603))+G$129*EXP(IF(A2603&lt;0,(10-5)*A2603,-5*A2603))+H$129*EXP(IF(A2603&lt;0,(10-6)*A2603,-6*A2603))+I$129*EXP(IF(A2603&lt;0,(10-7)*A2603,-7*A2603))+J$129*EXP(IF(A2603&lt;0,(10-8)*A2603,-8*A2603))+K$129*EXP(IF(A2603&lt;0,(10-9)*A2603,-9*A2603))+L$129*EXP(IF(A2603&lt;0,(10-10)*A2603,-10*A2603)),0)</x:f>
        <x:v>783503.3773476558</x:v>
      </x:c>
      <x:c r="C2603" s="256" t="n">
        <x:f>IF(B2603=0,IF(B2602=0,0,1),IF(B2602=0,0,IF(SIGN(B2603)&lt;&gt;SIGN(B2602),1,0)))</x:f>
        <x:v>0</x:v>
      </x:c>
      <x:c r="D2603" s="256" t="n">
        <x:f>EXP(A2603-0.005)-1</x:f>
        <x:v>-0.8744435725068028</x:v>
      </x:c>
    </x:row>
    <x:row r="2604" ht="20" customHeight="1">
      <x:c r="A2604" s="256" t="n">
        <x:f>-12+994*0.01</x:f>
        <x:v>-2.0600000000000005</x:v>
      </x:c>
      <x:c r="B2604" s="256" t="n">
        <x:f>IF(COUNT($B$129:$L$129)=11,B$129*EXP(IF(A2604&lt;0,(10-0)*A2604,-0*A2604))+C$129*EXP(IF(A2604&lt;0,(10-1)*A2604,-1*A2604))+D$129*EXP(IF(A2604&lt;0,(10-2)*A2604,-2*A2604))+E$129*EXP(IF(A2604&lt;0,(10-3)*A2604,-3*A2604))+F$129*EXP(IF(A2604&lt;0,(10-4)*A2604,-4*A2604))+G$129*EXP(IF(A2604&lt;0,(10-5)*A2604,-5*A2604))+H$129*EXP(IF(A2604&lt;0,(10-6)*A2604,-6*A2604))+I$129*EXP(IF(A2604&lt;0,(10-7)*A2604,-7*A2604))+J$129*EXP(IF(A2604&lt;0,(10-8)*A2604,-8*A2604))+K$129*EXP(IF(A2604&lt;0,(10-9)*A2604,-9*A2604))+L$129*EXP(IF(A2604&lt;0,(10-10)*A2604,-10*A2604)),0)</x:f>
        <x:v>783522.8858795902</x:v>
      </x:c>
      <x:c r="C2604" s="256" t="n">
        <x:f>IF(B2604=0,IF(B2603=0,0,1),IF(B2603=0,0,IF(SIGN(B2604)&lt;&gt;SIGN(B2603),1,0)))</x:f>
        <x:v>0</x:v>
      </x:c>
      <x:c r="D2604" s="256" t="n">
        <x:f>EXP(A2604-0.005)-1</x:f>
        <x:v>-0.8731817094320049</x:v>
      </x:c>
    </x:row>
    <x:row r="2605" ht="20" customHeight="1">
      <x:c r="A2605" s="256" t="n">
        <x:f>-12+995*0.01</x:f>
        <x:v>-2.049999999999999</x:v>
      </x:c>
      <x:c r="B2605" s="256" t="n">
        <x:f>IF(COUNT($B$129:$L$129)=11,B$129*EXP(IF(A2605&lt;0,(10-0)*A2605,-0*A2605))+C$129*EXP(IF(A2605&lt;0,(10-1)*A2605,-1*A2605))+D$129*EXP(IF(A2605&lt;0,(10-2)*A2605,-2*A2605))+E$129*EXP(IF(A2605&lt;0,(10-3)*A2605,-3*A2605))+F$129*EXP(IF(A2605&lt;0,(10-4)*A2605,-4*A2605))+G$129*EXP(IF(A2605&lt;0,(10-5)*A2605,-5*A2605))+H$129*EXP(IF(A2605&lt;0,(10-6)*A2605,-6*A2605))+I$129*EXP(IF(A2605&lt;0,(10-7)*A2605,-7*A2605))+J$129*EXP(IF(A2605&lt;0,(10-8)*A2605,-8*A2605))+K$129*EXP(IF(A2605&lt;0,(10-9)*A2605,-9*A2605))+L$129*EXP(IF(A2605&lt;0,(10-10)*A2605,-10*A2605)),0)</x:f>
        <x:v>783542.631513523</x:v>
      </x:c>
      <x:c r="C2605" s="256" t="n">
        <x:f>IF(B2605=0,IF(B2604=0,0,1),IF(B2604=0,0,IF(SIGN(B2605)&lt;&gt;SIGN(B2604),1,0)))</x:f>
        <x:v>0</x:v>
      </x:c>
      <x:c r="D2605" s="256" t="n">
        <x:f>EXP(A2605-0.005)-1</x:f>
        <x:v>-0.8719071644224679</x:v>
      </x:c>
    </x:row>
    <x:row r="2606" ht="20" customHeight="1">
      <x:c r="A2606" s="256" t="n">
        <x:f>-12+996*0.01</x:f>
        <x:v>-2.039999999999999</x:v>
      </x:c>
      <x:c r="B2606" s="256" t="n">
        <x:f>IF(COUNT($B$129:$L$129)=11,B$129*EXP(IF(A2606&lt;0,(10-0)*A2606,-0*A2606))+C$129*EXP(IF(A2606&lt;0,(10-1)*A2606,-1*A2606))+D$129*EXP(IF(A2606&lt;0,(10-2)*A2606,-2*A2606))+E$129*EXP(IF(A2606&lt;0,(10-3)*A2606,-3*A2606))+F$129*EXP(IF(A2606&lt;0,(10-4)*A2606,-4*A2606))+G$129*EXP(IF(A2606&lt;0,(10-5)*A2606,-5*A2606))+H$129*EXP(IF(A2606&lt;0,(10-6)*A2606,-6*A2606))+I$129*EXP(IF(A2606&lt;0,(10-7)*A2606,-7*A2606))+J$129*EXP(IF(A2606&lt;0,(10-8)*A2606,-8*A2606))+K$129*EXP(IF(A2606&lt;0,(10-9)*A2606,-9*A2606))+L$129*EXP(IF(A2606&lt;0,(10-10)*A2606,-10*A2606)),0)</x:f>
        <x:v>783562.6175748054</x:v>
      </x:c>
      <x:c r="C2606" s="256" t="n">
        <x:f>IF(B2606=0,IF(B2605=0,0,1),IF(B2605=0,0,IF(SIGN(B2606)&lt;&gt;SIGN(B2605),1,0)))</x:f>
        <x:v>0</x:v>
      </x:c>
      <x:c r="D2606" s="256" t="n">
        <x:f>EXP(A2606-0.005)-1</x:f>
        <x:v>-0.8706198100226288</x:v>
      </x:c>
    </x:row>
    <x:row r="2607" ht="20" customHeight="1">
      <x:c r="A2607" s="256" t="n">
        <x:f>-12+997*0.01</x:f>
        <x:v>-2.0299999999999994</x:v>
      </x:c>
      <x:c r="B2607" s="256" t="n">
        <x:f>IF(COUNT($B$129:$L$129)=11,B$129*EXP(IF(A2607&lt;0,(10-0)*A2607,-0*A2607))+C$129*EXP(IF(A2607&lt;0,(10-1)*A2607,-1*A2607))+D$129*EXP(IF(A2607&lt;0,(10-2)*A2607,-2*A2607))+E$129*EXP(IF(A2607&lt;0,(10-3)*A2607,-3*A2607))+F$129*EXP(IF(A2607&lt;0,(10-4)*A2607,-4*A2607))+G$129*EXP(IF(A2607&lt;0,(10-5)*A2607,-5*A2607))+H$129*EXP(IF(A2607&lt;0,(10-6)*A2607,-6*A2607))+I$129*EXP(IF(A2607&lt;0,(10-7)*A2607,-7*A2607))+J$129*EXP(IF(A2607&lt;0,(10-8)*A2607,-8*A2607))+K$129*EXP(IF(A2607&lt;0,(10-9)*A2607,-9*A2607))+L$129*EXP(IF(A2607&lt;0,(10-10)*A2607,-10*A2607)),0)</x:f>
        <x:v>783582.847444967</x:v>
      </x:c>
      <x:c r="C2607" s="256" t="n">
        <x:f>IF(B2607=0,IF(B2606=0,0,1),IF(B2606=0,0,IF(SIGN(B2607)&lt;&gt;SIGN(B2606),1,0)))</x:f>
        <x:v>0</x:v>
      </x:c>
      <x:c r="D2607" s="256" t="n">
        <x:f>EXP(A2607-0.005)-1</x:f>
        <x:v>-0.8693195174959749</x:v>
      </x:c>
    </x:row>
    <x:row r="2608" ht="20" customHeight="1">
      <x:c r="A2608" s="256" t="n">
        <x:f>-12+998*0.01</x:f>
        <x:v>-2.0199999999999996</x:v>
      </x:c>
      <x:c r="B2608" s="256" t="n">
        <x:f>IF(COUNT($B$129:$L$129)=11,B$129*EXP(IF(A2608&lt;0,(10-0)*A2608,-0*A2608))+C$129*EXP(IF(A2608&lt;0,(10-1)*A2608,-1*A2608))+D$129*EXP(IF(A2608&lt;0,(10-2)*A2608,-2*A2608))+E$129*EXP(IF(A2608&lt;0,(10-3)*A2608,-3*A2608))+F$129*EXP(IF(A2608&lt;0,(10-4)*A2608,-4*A2608))+G$129*EXP(IF(A2608&lt;0,(10-5)*A2608,-5*A2608))+H$129*EXP(IF(A2608&lt;0,(10-6)*A2608,-6*A2608))+I$129*EXP(IF(A2608&lt;0,(10-7)*A2608,-7*A2608))+J$129*EXP(IF(A2608&lt;0,(10-8)*A2608,-8*A2608))+K$129*EXP(IF(A2608&lt;0,(10-9)*A2608,-9*A2608))+L$129*EXP(IF(A2608&lt;0,(10-10)*A2608,-10*A2608)),0)</x:f>
        <x:v>783603.3245628643</x:v>
      </x:c>
      <x:c r="C2608" s="256" t="n">
        <x:f>IF(B2608=0,IF(B2607=0,0,1),IF(B2607=0,0,IF(SIGN(B2608)&lt;&gt;SIGN(B2607),1,0)))</x:f>
        <x:v>0</x:v>
      </x:c>
      <x:c r="D2608" s="256" t="n">
        <x:f>EXP(A2608-0.005)-1</x:f>
        <x:v>-0.8680061568121697</x:v>
      </x:c>
    </x:row>
    <x:row r="2609" ht="20" customHeight="1">
      <x:c r="A2609" s="256" t="n">
        <x:f>-12+999*0.01</x:f>
        <x:v>-2.01</x:v>
      </x:c>
      <x:c r="B2609" s="256" t="n">
        <x:f>IF(COUNT($B$129:$L$129)=11,B$129*EXP(IF(A2609&lt;0,(10-0)*A2609,-0*A2609))+C$129*EXP(IF(A2609&lt;0,(10-1)*A2609,-1*A2609))+D$129*EXP(IF(A2609&lt;0,(10-2)*A2609,-2*A2609))+E$129*EXP(IF(A2609&lt;0,(10-3)*A2609,-3*A2609))+F$129*EXP(IF(A2609&lt;0,(10-4)*A2609,-4*A2609))+G$129*EXP(IF(A2609&lt;0,(10-5)*A2609,-5*A2609))+H$129*EXP(IF(A2609&lt;0,(10-6)*A2609,-6*A2609))+I$129*EXP(IF(A2609&lt;0,(10-7)*A2609,-7*A2609))+J$129*EXP(IF(A2609&lt;0,(10-8)*A2609,-8*A2609))+K$129*EXP(IF(A2609&lt;0,(10-9)*A2609,-9*A2609))+L$129*EXP(IF(A2609&lt;0,(10-10)*A2609,-10*A2609)),0)</x:f>
        <x:v>783624.0524258537</x:v>
      </x:c>
      <x:c r="C2609" s="256" t="n">
        <x:f>IF(B2609=0,IF(B2608=0,0,1),IF(B2608=0,0,IF(SIGN(B2609)&lt;&gt;SIGN(B2608),1,0)))</x:f>
        <x:v>0</x:v>
      </x:c>
      <x:c r="D2609" s="256" t="n">
        <x:f>EXP(A2609-0.005)-1</x:f>
        <x:v>-0.8666795966340506</x:v>
      </x:c>
    </x:row>
    <x:row r="2610" ht="20" customHeight="1">
      <x:c r="A2610" s="256" t="n">
        <x:f>-12+1000*0.01</x:f>
        <x:v>-2</x:v>
      </x:c>
      <x:c r="B2610" s="256" t="n">
        <x:f>IF(COUNT($B$129:$L$129)=11,B$129*EXP(IF(A2610&lt;0,(10-0)*A2610,-0*A2610))+C$129*EXP(IF(A2610&lt;0,(10-1)*A2610,-1*A2610))+D$129*EXP(IF(A2610&lt;0,(10-2)*A2610,-2*A2610))+E$129*EXP(IF(A2610&lt;0,(10-3)*A2610,-3*A2610))+F$129*EXP(IF(A2610&lt;0,(10-4)*A2610,-4*A2610))+G$129*EXP(IF(A2610&lt;0,(10-5)*A2610,-5*A2610))+H$129*EXP(IF(A2610&lt;0,(10-6)*A2610,-6*A2610))+I$129*EXP(IF(A2610&lt;0,(10-7)*A2610,-7*A2610))+J$129*EXP(IF(A2610&lt;0,(10-8)*A2610,-8*A2610))+K$129*EXP(IF(A2610&lt;0,(10-9)*A2610,-9*A2610))+L$129*EXP(IF(A2610&lt;0,(10-10)*A2610,-10*A2610)),0)</x:f>
        <x:v>783645.0345909944</x:v>
      </x:c>
      <x:c r="C2610" s="256" t="n">
        <x:f>IF(B2610=0,IF(B2609=0,0,1),IF(B2609=0,0,IF(SIGN(B2610)&lt;&gt;SIGN(B2609),1,0)))</x:f>
        <x:v>0</x:v>
      </x:c>
      <x:c r="D2610" s="256" t="n">
        <x:f>EXP(A2610-0.005)-1</x:f>
        <x:v>-0.8653397043044941</x:v>
      </x:c>
    </x:row>
    <x:row r="2611" ht="20" customHeight="1">
      <x:c r="A2611" s="256" t="n">
        <x:f>-12+1001*0.01</x:f>
        <x:v>-1.9900000000000002</x:v>
      </x:c>
      <x:c r="B2611" s="256" t="n">
        <x:f>IF(COUNT($B$129:$L$129)=11,B$129*EXP(IF(A2611&lt;0,(10-0)*A2611,-0*A2611))+C$129*EXP(IF(A2611&lt;0,(10-1)*A2611,-1*A2611))+D$129*EXP(IF(A2611&lt;0,(10-2)*A2611,-2*A2611))+E$129*EXP(IF(A2611&lt;0,(10-3)*A2611,-3*A2611))+F$129*EXP(IF(A2611&lt;0,(10-4)*A2611,-4*A2611))+G$129*EXP(IF(A2611&lt;0,(10-5)*A2611,-5*A2611))+H$129*EXP(IF(A2611&lt;0,(10-6)*A2611,-6*A2611))+I$129*EXP(IF(A2611&lt;0,(10-7)*A2611,-7*A2611))+J$129*EXP(IF(A2611&lt;0,(10-8)*A2611,-8*A2611))+K$129*EXP(IF(A2611&lt;0,(10-9)*A2611,-9*A2611))+L$129*EXP(IF(A2611&lt;0,(10-10)*A2611,-10*A2611)),0)</x:f>
        <x:v>783666.2746762786</x:v>
      </x:c>
      <x:c r="C2611" s="256" t="n">
        <x:f>IF(B2611=0,IF(B2610=0,0,1),IF(B2610=0,0,IF(SIGN(B2611)&lt;&gt;SIGN(B2610),1,0)))</x:f>
        <x:v>0</x:v>
      </x:c>
      <x:c r="D2611" s="256" t="n">
        <x:f>EXP(A2611-0.005)-1</x:f>
        <x:v>-0.8639863458331508</x:v>
      </x:c>
    </x:row>
    <x:row r="2612" ht="20" customHeight="1">
      <x:c r="A2612" s="256" t="n">
        <x:f>-12+1002*0.01</x:f>
        <x:v>-1.9800000000000004</x:v>
      </x:c>
      <x:c r="B2612" s="256" t="n">
        <x:f>IF(COUNT($B$129:$L$129)=11,B$129*EXP(IF(A2612&lt;0,(10-0)*A2612,-0*A2612))+C$129*EXP(IF(A2612&lt;0,(10-1)*A2612,-1*A2612))+D$129*EXP(IF(A2612&lt;0,(10-2)*A2612,-2*A2612))+E$129*EXP(IF(A2612&lt;0,(10-3)*A2612,-3*A2612))+F$129*EXP(IF(A2612&lt;0,(10-4)*A2612,-4*A2612))+G$129*EXP(IF(A2612&lt;0,(10-5)*A2612,-5*A2612))+H$129*EXP(IF(A2612&lt;0,(10-6)*A2612,-6*A2612))+I$129*EXP(IF(A2612&lt;0,(10-7)*A2612,-7*A2612))+J$129*EXP(IF(A2612&lt;0,(10-8)*A2612,-8*A2612))+K$129*EXP(IF(A2612&lt;0,(10-9)*A2612,-9*A2612))+L$129*EXP(IF(A2612&lt;0,(10-10)*A2612,-10*A2612)),0)</x:f>
        <x:v>783687.776361892</x:v>
      </x:c>
      <x:c r="C2612" s="256" t="n">
        <x:f>IF(B2612=0,IF(B2611=0,0,1),IF(B2611=0,0,IF(SIGN(B2612)&lt;&gt;SIGN(B2611),1,0)))</x:f>
        <x:v>0</x:v>
      </x:c>
      <x:c r="D2612" s="256" t="n">
        <x:f>EXP(A2612-0.005)-1</x:f>
        <x:v>-0.8626193858830458</x:v>
      </x:c>
    </x:row>
    <x:row r="2613" ht="20" customHeight="1">
      <x:c r="A2613" s="256" t="n">
        <x:f>-12+1003*0.01</x:f>
        <x:v>-1.9700000000000006</x:v>
      </x:c>
      <x:c r="B2613" s="256" t="n">
        <x:f>IF(COUNT($B$129:$L$129)=11,B$129*EXP(IF(A2613&lt;0,(10-0)*A2613,-0*A2613))+C$129*EXP(IF(A2613&lt;0,(10-1)*A2613,-1*A2613))+D$129*EXP(IF(A2613&lt;0,(10-2)*A2613,-2*A2613))+E$129*EXP(IF(A2613&lt;0,(10-3)*A2613,-3*A2613))+F$129*EXP(IF(A2613&lt;0,(10-4)*A2613,-4*A2613))+G$129*EXP(IF(A2613&lt;0,(10-5)*A2613,-5*A2613))+H$129*EXP(IF(A2613&lt;0,(10-6)*A2613,-6*A2613))+I$129*EXP(IF(A2613&lt;0,(10-7)*A2613,-7*A2613))+J$129*EXP(IF(A2613&lt;0,(10-8)*A2613,-8*A2613))+K$129*EXP(IF(A2613&lt;0,(10-9)*A2613,-9*A2613))+L$129*EXP(IF(A2613&lt;0,(10-10)*A2613,-10*A2613)),0)</x:f>
        <x:v>783709.5433915039</x:v>
      </x:c>
      <x:c r="C2613" s="256" t="n">
        <x:f>IF(B2613=0,IF(B2612=0,0,1),IF(B2612=0,0,IF(SIGN(B2613)&lt;&gt;SIGN(B2612),1,0)))</x:f>
        <x:v>0</x:v>
      </x:c>
      <x:c r="D2613" s="256" t="n">
        <x:f>EXP(A2613-0.005)-1</x:f>
        <x:v>-0.8612386877570448</x:v>
      </x:c>
    </x:row>
    <x:row r="2614" ht="20" customHeight="1">
      <x:c r="A2614" s="256" t="n">
        <x:f>-12+1004*0.01</x:f>
        <x:v>-1.959999999999999</x:v>
      </x:c>
      <x:c r="B2614" s="256" t="n">
        <x:f>IF(COUNT($B$129:$L$129)=11,B$129*EXP(IF(A2614&lt;0,(10-0)*A2614,-0*A2614))+C$129*EXP(IF(A2614&lt;0,(10-1)*A2614,-1*A2614))+D$129*EXP(IF(A2614&lt;0,(10-2)*A2614,-2*A2614))+E$129*EXP(IF(A2614&lt;0,(10-3)*A2614,-3*A2614))+F$129*EXP(IF(A2614&lt;0,(10-4)*A2614,-4*A2614))+G$129*EXP(IF(A2614&lt;0,(10-5)*A2614,-5*A2614))+H$129*EXP(IF(A2614&lt;0,(10-6)*A2614,-6*A2614))+I$129*EXP(IF(A2614&lt;0,(10-7)*A2614,-7*A2614))+J$129*EXP(IF(A2614&lt;0,(10-8)*A2614,-8*A2614))+K$129*EXP(IF(A2614&lt;0,(10-9)*A2614,-9*A2614))+L$129*EXP(IF(A2614&lt;0,(10-10)*A2614,-10*A2614)),0)</x:f>
        <x:v>783731.5795735883</x:v>
      </x:c>
      <x:c r="C2614" s="256" t="n">
        <x:f>IF(B2614=0,IF(B2613=0,0,1),IF(B2613=0,0,IF(SIGN(B2614)&lt;&gt;SIGN(B2613),1,0)))</x:f>
        <x:v>0</x:v>
      </x:c>
      <x:c r="D2614" s="256" t="n">
        <x:f>EXP(A2614-0.005)-1</x:f>
        <x:v>-0.8598441133841845</x:v>
      </x:c>
    </x:row>
    <x:row r="2615" ht="20" customHeight="1">
      <x:c r="A2615" s="256" t="n">
        <x:f>-12+1005*0.01</x:f>
        <x:v>-1.9499999999999993</x:v>
      </x:c>
      <x:c r="B2615" s="256" t="n">
        <x:f>IF(COUNT($B$129:$L$129)=11,B$129*EXP(IF(A2615&lt;0,(10-0)*A2615,-0*A2615))+C$129*EXP(IF(A2615&lt;0,(10-1)*A2615,-1*A2615))+D$129*EXP(IF(A2615&lt;0,(10-2)*A2615,-2*A2615))+E$129*EXP(IF(A2615&lt;0,(10-3)*A2615,-3*A2615))+F$129*EXP(IF(A2615&lt;0,(10-4)*A2615,-4*A2615))+G$129*EXP(IF(A2615&lt;0,(10-5)*A2615,-5*A2615))+H$129*EXP(IF(A2615&lt;0,(10-6)*A2615,-6*A2615))+I$129*EXP(IF(A2615&lt;0,(10-7)*A2615,-7*A2615))+J$129*EXP(IF(A2615&lt;0,(10-8)*A2615,-8*A2615))+K$129*EXP(IF(A2615&lt;0,(10-9)*A2615,-9*A2615))+L$129*EXP(IF(A2615&lt;0,(10-10)*A2615,-10*A2615)),0)</x:f>
        <x:v>783753.8887827775</x:v>
      </x:c>
      <x:c r="C2615" s="256" t="n">
        <x:f>IF(B2615=0,IF(B2614=0,0,1),IF(B2614=0,0,IF(SIGN(B2615)&lt;&gt;SIGN(B2614),1,0)))</x:f>
        <x:v>0</x:v>
      </x:c>
      <x:c r="D2615" s="256" t="n">
        <x:f>EXP(A2615-0.005)-1</x:f>
        <x:v>-0.8584355233058658</x:v>
      </x:c>
    </x:row>
    <x:row r="2616" ht="20" customHeight="1">
      <x:c r="A2616" s="256" t="n">
        <x:f>-12+1006*0.01</x:f>
        <x:v>-1.9399999999999995</x:v>
      </x:c>
      <x:c r="B2616" s="256" t="n">
        <x:f>IF(COUNT($B$129:$L$129)=11,B$129*EXP(IF(A2616&lt;0,(10-0)*A2616,-0*A2616))+C$129*EXP(IF(A2616&lt;0,(10-1)*A2616,-1*A2616))+D$129*EXP(IF(A2616&lt;0,(10-2)*A2616,-2*A2616))+E$129*EXP(IF(A2616&lt;0,(10-3)*A2616,-3*A2616))+F$129*EXP(IF(A2616&lt;0,(10-4)*A2616,-4*A2616))+G$129*EXP(IF(A2616&lt;0,(10-5)*A2616,-5*A2616))+H$129*EXP(IF(A2616&lt;0,(10-6)*A2616,-6*A2616))+I$129*EXP(IF(A2616&lt;0,(10-7)*A2616,-7*A2616))+J$129*EXP(IF(A2616&lt;0,(10-8)*A2616,-8*A2616))+K$129*EXP(IF(A2616&lt;0,(10-9)*A2616,-9*A2616))+L$129*EXP(IF(A2616&lt;0,(10-10)*A2616,-10*A2616)),0)</x:f>
        <x:v>783776.4749612471</x:v>
      </x:c>
      <x:c r="C2616" s="256" t="n">
        <x:f>IF(B2616=0,IF(B2615=0,0,1),IF(B2615=0,0,IF(SIGN(B2616)&lt;&gt;SIGN(B2615),1,0)))</x:f>
        <x:v>0</x:v>
      </x:c>
      <x:c r="D2616" s="256" t="n">
        <x:f>EXP(A2616-0.005)-1</x:f>
        <x:v>-0.857012776661907</x:v>
      </x:c>
    </x:row>
    <x:row r="2617" ht="20" customHeight="1">
      <x:c r="A2617" s="256" t="n">
        <x:f>-12+1007*0.01</x:f>
        <x:v>-1.9299999999999997</x:v>
      </x:c>
      <x:c r="B2617" s="256" t="n">
        <x:f>IF(COUNT($B$129:$L$129)=11,B$129*EXP(IF(A2617&lt;0,(10-0)*A2617,-0*A2617))+C$129*EXP(IF(A2617&lt;0,(10-1)*A2617,-1*A2617))+D$129*EXP(IF(A2617&lt;0,(10-2)*A2617,-2*A2617))+E$129*EXP(IF(A2617&lt;0,(10-3)*A2617,-3*A2617))+F$129*EXP(IF(A2617&lt;0,(10-4)*A2617,-4*A2617))+G$129*EXP(IF(A2617&lt;0,(10-5)*A2617,-5*A2617))+H$129*EXP(IF(A2617&lt;0,(10-6)*A2617,-6*A2617))+I$129*EXP(IF(A2617&lt;0,(10-7)*A2617,-7*A2617))+J$129*EXP(IF(A2617&lt;0,(10-8)*A2617,-8*A2617))+K$129*EXP(IF(A2617&lt;0,(10-9)*A2617,-9*A2617))+L$129*EXP(IF(A2617&lt;0,(10-10)*A2617,-10*A2617)),0)</x:f>
        <x:v>783799.3421201347</x:v>
      </x:c>
      <x:c r="C2617" s="256" t="n">
        <x:f>IF(B2617=0,IF(B2616=0,0,1),IF(B2616=0,0,IF(SIGN(B2617)&lt;&gt;SIGN(B2616),1,0)))</x:f>
        <x:v>0</x:v>
      </x:c>
      <x:c r="D2617" s="256" t="n">
        <x:f>EXP(A2617-0.005)-1</x:f>
        <x:v>-0.855575731176458</x:v>
      </x:c>
    </x:row>
    <x:row r="2618" ht="20" customHeight="1">
      <x:c r="A2618" s="256" t="n">
        <x:f>-12+1008*0.01</x:f>
        <x:v>-1.92</x:v>
      </x:c>
      <x:c r="B2618" s="256" t="n">
        <x:f>IF(COUNT($B$129:$L$129)=11,B$129*EXP(IF(A2618&lt;0,(10-0)*A2618,-0*A2618))+C$129*EXP(IF(A2618&lt;0,(10-1)*A2618,-1*A2618))+D$129*EXP(IF(A2618&lt;0,(10-2)*A2618,-2*A2618))+E$129*EXP(IF(A2618&lt;0,(10-3)*A2618,-3*A2618))+F$129*EXP(IF(A2618&lt;0,(10-4)*A2618,-4*A2618))+G$129*EXP(IF(A2618&lt;0,(10-5)*A2618,-5*A2618))+H$129*EXP(IF(A2618&lt;0,(10-6)*A2618,-6*A2618))+I$129*EXP(IF(A2618&lt;0,(10-7)*A2618,-7*A2618))+J$129*EXP(IF(A2618&lt;0,(10-8)*A2618,-8*A2618))+K$129*EXP(IF(A2618&lt;0,(10-9)*A2618,-9*A2618))+L$129*EXP(IF(A2618&lt;0,(10-10)*A2618,-10*A2618)),0)</x:f>
        <x:v>783822.4943409939</x:v>
      </x:c>
      <x:c r="C2618" s="256" t="n">
        <x:f>IF(B2618=0,IF(B2617=0,0,1),IF(B2617=0,0,IF(SIGN(B2618)&lt;&gt;SIGN(B2617),1,0)))</x:f>
        <x:v>0</x:v>
      </x:c>
      <x:c r="D2618" s="256" t="n">
        <x:f>EXP(A2618-0.005)-1</x:f>
        <x:v>-0.8541242431437726</x:v>
      </x:c>
    </x:row>
    <x:row r="2619" ht="20" customHeight="1">
      <x:c r="A2619" s="256" t="n">
        <x:f>-12+1009*0.01</x:f>
        <x:v>-1.9100000000000001</x:v>
      </x:c>
      <x:c r="B2619" s="256" t="n">
        <x:f>IF(COUNT($B$129:$L$129)=11,B$129*EXP(IF(A2619&lt;0,(10-0)*A2619,-0*A2619))+C$129*EXP(IF(A2619&lt;0,(10-1)*A2619,-1*A2619))+D$129*EXP(IF(A2619&lt;0,(10-2)*A2619,-2*A2619))+E$129*EXP(IF(A2619&lt;0,(10-3)*A2619,-3*A2619))+F$129*EXP(IF(A2619&lt;0,(10-4)*A2619,-4*A2619))+G$129*EXP(IF(A2619&lt;0,(10-5)*A2619,-5*A2619))+H$129*EXP(IF(A2619&lt;0,(10-6)*A2619,-6*A2619))+I$129*EXP(IF(A2619&lt;0,(10-7)*A2619,-7*A2619))+J$129*EXP(IF(A2619&lt;0,(10-8)*A2619,-8*A2619))+K$129*EXP(IF(A2619&lt;0,(10-9)*A2619,-9*A2619))+L$129*EXP(IF(A2619&lt;0,(10-10)*A2619,-10*A2619)),0)</x:f>
        <x:v>783845.9357772819</x:v>
      </x:c>
      <x:c r="C2619" s="256" t="n">
        <x:f>IF(B2619=0,IF(B2618=0,0,1),IF(B2618=0,0,IF(SIGN(B2619)&lt;&gt;SIGN(B2618),1,0)))</x:f>
        <x:v>0</x:v>
      </x:c>
      <x:c r="D2619" s="256" t="n">
        <x:f>EXP(A2619-0.005)-1</x:f>
        <x:v>-0.852658167413838</x:v>
      </x:c>
    </x:row>
    <x:row r="2620" ht="20" customHeight="1">
      <x:c r="A2620" s="256" t="n">
        <x:f>-12+1010*0.01</x:f>
        <x:v>-1.9000000000000004</x:v>
      </x:c>
      <x:c r="B2620" s="256" t="n">
        <x:f>IF(COUNT($B$129:$L$129)=11,B$129*EXP(IF(A2620&lt;0,(10-0)*A2620,-0*A2620))+C$129*EXP(IF(A2620&lt;0,(10-1)*A2620,-1*A2620))+D$129*EXP(IF(A2620&lt;0,(10-2)*A2620,-2*A2620))+E$129*EXP(IF(A2620&lt;0,(10-3)*A2620,-3*A2620))+F$129*EXP(IF(A2620&lt;0,(10-4)*A2620,-4*A2620))+G$129*EXP(IF(A2620&lt;0,(10-5)*A2620,-5*A2620))+H$129*EXP(IF(A2620&lt;0,(10-6)*A2620,-6*A2620))+I$129*EXP(IF(A2620&lt;0,(10-7)*A2620,-7*A2620))+J$129*EXP(IF(A2620&lt;0,(10-8)*A2620,-8*A2620))+K$129*EXP(IF(A2620&lt;0,(10-9)*A2620,-9*A2620))+L$129*EXP(IF(A2620&lt;0,(10-10)*A2620,-10*A2620)),0)</x:f>
        <x:v>783869.6706558835</x:v>
      </x:c>
      <x:c r="C2620" s="256" t="n">
        <x:f>IF(B2620=0,IF(B2619=0,0,1),IF(B2619=0,0,IF(SIGN(B2620)&lt;&gt;SIGN(B2619),1,0)))</x:f>
        <x:v>0</x:v>
      </x:c>
      <x:c r="D2620" s="256" t="n">
        <x:f>EXP(A2620-0.005)-1</x:f>
        <x:v>-0.8511773573778596</x:v>
      </x:c>
    </x:row>
    <x:row r="2621" ht="20" customHeight="1">
      <x:c r="A2621" s="256" t="n">
        <x:f>-12+1011*0.01</x:f>
        <x:v>-1.8900000000000006</x:v>
      </x:c>
      <x:c r="B2621" s="256" t="n">
        <x:f>IF(COUNT($B$129:$L$129)=11,B$129*EXP(IF(A2621&lt;0,(10-0)*A2621,-0*A2621))+C$129*EXP(IF(A2621&lt;0,(10-1)*A2621,-1*A2621))+D$129*EXP(IF(A2621&lt;0,(10-2)*A2621,-2*A2621))+E$129*EXP(IF(A2621&lt;0,(10-3)*A2621,-3*A2621))+F$129*EXP(IF(A2621&lt;0,(10-4)*A2621,-4*A2621))+G$129*EXP(IF(A2621&lt;0,(10-5)*A2621,-5*A2621))+H$129*EXP(IF(A2621&lt;0,(10-6)*A2621,-6*A2621))+I$129*EXP(IF(A2621&lt;0,(10-7)*A2621,-7*A2621))+J$129*EXP(IF(A2621&lt;0,(10-8)*A2621,-8*A2621))+K$129*EXP(IF(A2621&lt;0,(10-9)*A2621,-9*A2621))+L$129*EXP(IF(A2621&lt;0,(10-10)*A2621,-10*A2621)),0)</x:f>
        <x:v>783893.7032786729</x:v>
      </x:c>
      <x:c r="C2621" s="256" t="n">
        <x:f>IF(B2621=0,IF(B2620=0,0,1),IF(B2620=0,0,IF(SIGN(B2621)&lt;&gt;SIGN(B2620),1,0)))</x:f>
        <x:v>0</x:v>
      </x:c>
      <x:c r="D2621" s="256" t="n">
        <x:f>EXP(A2621-0.005)-1</x:f>
        <x:v>-0.8496816649535998</x:v>
      </x:c>
    </x:row>
    <x:row r="2622" ht="20" customHeight="1">
      <x:c r="A2622" s="256" t="n">
        <x:f>-12+1012*0.01</x:f>
        <x:v>-1.879999999999999</x:v>
      </x:c>
      <x:c r="B2622" s="256" t="n">
        <x:f>IF(COUNT($B$129:$L$129)=11,B$129*EXP(IF(A2622&lt;0,(10-0)*A2622,-0*A2622))+C$129*EXP(IF(A2622&lt;0,(10-1)*A2622,-1*A2622))+D$129*EXP(IF(A2622&lt;0,(10-2)*A2622,-2*A2622))+E$129*EXP(IF(A2622&lt;0,(10-3)*A2622,-3*A2622))+F$129*EXP(IF(A2622&lt;0,(10-4)*A2622,-4*A2622))+G$129*EXP(IF(A2622&lt;0,(10-5)*A2622,-5*A2622))+H$129*EXP(IF(A2622&lt;0,(10-6)*A2622,-6*A2622))+I$129*EXP(IF(A2622&lt;0,(10-7)*A2622,-7*A2622))+J$129*EXP(IF(A2622&lt;0,(10-8)*A2622,-8*A2622))+K$129*EXP(IF(A2622&lt;0,(10-9)*A2622,-9*A2622))+L$129*EXP(IF(A2622&lt;0,(10-10)*A2622,-10*A2622)),0)</x:f>
        <x:v>783918.038024112</x:v>
      </x:c>
      <x:c r="C2622" s="256" t="n">
        <x:f>IF(B2622=0,IF(B2621=0,0,1),IF(B2621=0,0,IF(SIGN(B2622)&lt;&gt;SIGN(B2621),1,0)))</x:f>
        <x:v>0</x:v>
      </x:c>
      <x:c r="D2622" s="256" t="n">
        <x:f>EXP(A2622-0.005)-1</x:f>
        <x:v>-0.8481709405705693</x:v>
      </x:c>
    </x:row>
    <x:row r="2623" ht="20" customHeight="1">
      <x:c r="A2623" s="256" t="n">
        <x:f>-12+1013*0.01</x:f>
        <x:v>-1.8699999999999992</x:v>
      </x:c>
      <x:c r="B2623" s="256" t="n">
        <x:f>IF(COUNT($B$129:$L$129)=11,B$129*EXP(IF(A2623&lt;0,(10-0)*A2623,-0*A2623))+C$129*EXP(IF(A2623&lt;0,(10-1)*A2623,-1*A2623))+D$129*EXP(IF(A2623&lt;0,(10-2)*A2623,-2*A2623))+E$129*EXP(IF(A2623&lt;0,(10-3)*A2623,-3*A2623))+F$129*EXP(IF(A2623&lt;0,(10-4)*A2623,-4*A2623))+G$129*EXP(IF(A2623&lt;0,(10-5)*A2623,-5*A2623))+H$129*EXP(IF(A2623&lt;0,(10-6)*A2623,-6*A2623))+I$129*EXP(IF(A2623&lt;0,(10-7)*A2623,-7*A2623))+J$129*EXP(IF(A2623&lt;0,(10-8)*A2623,-8*A2623))+K$129*EXP(IF(A2623&lt;0,(10-9)*A2623,-9*A2623))+L$129*EXP(IF(A2623&lt;0,(10-10)*A2623,-10*A2623)),0)</x:f>
        <x:v>783942.6793488886</x:v>
      </x:c>
      <x:c r="C2623" s="256" t="n">
        <x:f>IF(B2623=0,IF(B2622=0,0,1),IF(B2622=0,0,IF(SIGN(B2623)&lt;&gt;SIGN(B2622),1,0)))</x:f>
        <x:v>0</x:v>
      </x:c>
      <x:c r="D2623" s="256" t="n">
        <x:f>EXP(A2623-0.005)-1</x:f>
        <x:v>-0.8466450331550714</x:v>
      </x:c>
    </x:row>
    <x:row r="2624" ht="20" customHeight="1">
      <x:c r="A2624" s="256" t="n">
        <x:f>-12+1014*0.01</x:f>
        <x:v>-1.8599999999999994</x:v>
      </x:c>
      <x:c r="B2624" s="256" t="n">
        <x:f>IF(COUNT($B$129:$L$129)=11,B$129*EXP(IF(A2624&lt;0,(10-0)*A2624,-0*A2624))+C$129*EXP(IF(A2624&lt;0,(10-1)*A2624,-1*A2624))+D$129*EXP(IF(A2624&lt;0,(10-2)*A2624,-2*A2624))+E$129*EXP(IF(A2624&lt;0,(10-3)*A2624,-3*A2624))+F$129*EXP(IF(A2624&lt;0,(10-4)*A2624,-4*A2624))+G$129*EXP(IF(A2624&lt;0,(10-5)*A2624,-5*A2624))+H$129*EXP(IF(A2624&lt;0,(10-6)*A2624,-6*A2624))+I$129*EXP(IF(A2624&lt;0,(10-7)*A2624,-7*A2624))+J$129*EXP(IF(A2624&lt;0,(10-8)*A2624,-8*A2624))+K$129*EXP(IF(A2624&lt;0,(10-9)*A2624,-9*A2624))+L$129*EXP(IF(A2624&lt;0,(10-10)*A2624,-10*A2624)),0)</x:f>
        <x:v>783967.6317895929</x:v>
      </x:c>
      <x:c r="C2624" s="256" t="n">
        <x:f>IF(B2624=0,IF(B2623=0,0,1),IF(B2623=0,0,IF(SIGN(B2624)&lt;&gt;SIGN(B2623),1,0)))</x:f>
        <x:v>0</x:v>
      </x:c>
      <x:c r="D2624" s="256" t="n">
        <x:f>EXP(A2624-0.005)-1</x:f>
        <x:v>-0.8451037901150928</x:v>
      </x:c>
    </x:row>
    <x:row r="2625" ht="20" customHeight="1">
      <x:c r="A2625" s="256" t="n">
        <x:f>-12+1015*0.01</x:f>
        <x:v>-1.8499999999999996</x:v>
      </x:c>
      <x:c r="B2625" s="256" t="n">
        <x:f>IF(COUNT($B$129:$L$129)=11,B$129*EXP(IF(A2625&lt;0,(10-0)*A2625,-0*A2625))+C$129*EXP(IF(A2625&lt;0,(10-1)*A2625,-1*A2625))+D$129*EXP(IF(A2625&lt;0,(10-2)*A2625,-2*A2625))+E$129*EXP(IF(A2625&lt;0,(10-3)*A2625,-3*A2625))+F$129*EXP(IF(A2625&lt;0,(10-4)*A2625,-4*A2625))+G$129*EXP(IF(A2625&lt;0,(10-5)*A2625,-5*A2625))+H$129*EXP(IF(A2625&lt;0,(10-6)*A2625,-6*A2625))+I$129*EXP(IF(A2625&lt;0,(10-7)*A2625,-7*A2625))+J$129*EXP(IF(A2625&lt;0,(10-8)*A2625,-8*A2625))+K$129*EXP(IF(A2625&lt;0,(10-9)*A2625,-9*A2625))+L$129*EXP(IF(A2625&lt;0,(10-10)*A2625,-10*A2625)),0)</x:f>
        <x:v>783992.8999644368</x:v>
      </x:c>
      <x:c r="C2625" s="256" t="n">
        <x:f>IF(B2625=0,IF(B2624=0,0,1),IF(B2624=0,0,IF(SIGN(B2625)&lt;&gt;SIGN(B2624),1,0)))</x:f>
        <x:v>0</x:v>
      </x:c>
      <x:c r="D2625" s="256" t="n">
        <x:f>EXP(A2625-0.005)-1</x:f>
        <x:v>-0.8435470573250452</x:v>
      </x:c>
    </x:row>
    <x:row r="2626" ht="20" customHeight="1">
      <x:c r="A2626" s="256" t="n">
        <x:f>-12+1016*0.01</x:f>
        <x:v>-1.8399999999999999</x:v>
      </x:c>
      <x:c r="B2626" s="256" t="n">
        <x:f>IF(COUNT($B$129:$L$129)=11,B$129*EXP(IF(A2626&lt;0,(10-0)*A2626,-0*A2626))+C$129*EXP(IF(A2626&lt;0,(10-1)*A2626,-1*A2626))+D$129*EXP(IF(A2626&lt;0,(10-2)*A2626,-2*A2626))+E$129*EXP(IF(A2626&lt;0,(10-3)*A2626,-3*A2626))+F$129*EXP(IF(A2626&lt;0,(10-4)*A2626,-4*A2626))+G$129*EXP(IF(A2626&lt;0,(10-5)*A2626,-5*A2626))+H$129*EXP(IF(A2626&lt;0,(10-6)*A2626,-6*A2626))+I$129*EXP(IF(A2626&lt;0,(10-7)*A2626,-7*A2626))+J$129*EXP(IF(A2626&lt;0,(10-8)*A2626,-8*A2626))+K$129*EXP(IF(A2626&lt;0,(10-9)*A2626,-9*A2626))+L$129*EXP(IF(A2626&lt;0,(10-10)*A2626,-10*A2626)),0)</x:f>
        <x:v>784018.4885750122</x:v>
      </x:c>
      <x:c r="C2626" s="256" t="n">
        <x:f>IF(B2626=0,IF(B2625=0,0,1),IF(B2625=0,0,IF(SIGN(B2626)&lt;&gt;SIGN(B2625),1,0)))</x:f>
        <x:v>0</x:v>
      </x:c>
      <x:c r="D2626" s="256" t="n">
        <x:f>EXP(A2626-0.005)-1</x:f>
        <x:v>-0.8419746791103522</x:v>
      </x:c>
    </x:row>
    <x:row r="2627" ht="20" customHeight="1">
      <x:c r="A2627" s="256" t="n">
        <x:f>-12+1017*0.01</x:f>
        <x:v>-1.83</x:v>
      </x:c>
      <x:c r="B2627" s="256" t="n">
        <x:f>IF(COUNT($B$129:$L$129)=11,B$129*EXP(IF(A2627&lt;0,(10-0)*A2627,-0*A2627))+C$129*EXP(IF(A2627&lt;0,(10-1)*A2627,-1*A2627))+D$129*EXP(IF(A2627&lt;0,(10-2)*A2627,-2*A2627))+E$129*EXP(IF(A2627&lt;0,(10-3)*A2627,-3*A2627))+F$129*EXP(IF(A2627&lt;0,(10-4)*A2627,-4*A2627))+G$129*EXP(IF(A2627&lt;0,(10-5)*A2627,-5*A2627))+H$129*EXP(IF(A2627&lt;0,(10-6)*A2627,-6*A2627))+I$129*EXP(IF(A2627&lt;0,(10-7)*A2627,-7*A2627))+J$129*EXP(IF(A2627&lt;0,(10-8)*A2627,-8*A2627))+K$129*EXP(IF(A2627&lt;0,(10-9)*A2627,-9*A2627))+L$129*EXP(IF(A2627&lt;0,(10-10)*A2627,-10*A2627)),0)</x:f>
        <x:v>784044.4024080946</x:v>
      </x:c>
      <x:c r="C2627" s="256" t="n">
        <x:f>IF(B2627=0,IF(B2626=0,0,1),IF(B2626=0,0,IF(SIGN(B2627)&lt;&gt;SIGN(B2626),1,0)))</x:f>
        <x:v>0</x:v>
      </x:c>
      <x:c r="D2627" s="256" t="n">
        <x:f>EXP(A2627-0.005)-1</x:f>
        <x:v>-0.8403864982318819</x:v>
      </x:c>
    </x:row>
    <x:row r="2628" ht="20" customHeight="1">
      <x:c r="A2628" s="256" t="n">
        <x:f>-12+1018*0.01</x:f>
        <x:v>-1.8200000000000003</x:v>
      </x:c>
      <x:c r="B2628" s="256" t="n">
        <x:f>IF(COUNT($B$129:$L$129)=11,B$129*EXP(IF(A2628&lt;0,(10-0)*A2628,-0*A2628))+C$129*EXP(IF(A2628&lt;0,(10-1)*A2628,-1*A2628))+D$129*EXP(IF(A2628&lt;0,(10-2)*A2628,-2*A2628))+E$129*EXP(IF(A2628&lt;0,(10-3)*A2628,-3*A2628))+F$129*EXP(IF(A2628&lt;0,(10-4)*A2628,-4*A2628))+G$129*EXP(IF(A2628&lt;0,(10-5)*A2628,-5*A2628))+H$129*EXP(IF(A2628&lt;0,(10-6)*A2628,-6*A2628))+I$129*EXP(IF(A2628&lt;0,(10-7)*A2628,-7*A2628))+J$129*EXP(IF(A2628&lt;0,(10-8)*A2628,-8*A2628))+K$129*EXP(IF(A2628&lt;0,(10-9)*A2628,-9*A2628))+L$129*EXP(IF(A2628&lt;0,(10-10)*A2628,-10*A2628)),0)</x:f>
        <x:v>784070.6463374884</x:v>
      </x:c>
      <x:c r="C2628" s="256" t="n">
        <x:f>IF(B2628=0,IF(B2627=0,0,1),IF(B2627=0,0,IF(SIGN(B2628)&lt;&gt;SIGN(B2627),1,0)))</x:f>
        <x:v>0</x:v>
      </x:c>
      <x:c r="D2628" s="256" t="n">
        <x:f>EXP(A2628-0.005)-1</x:f>
        <x:v>-0.8387823558702232</x:v>
      </x:c>
    </x:row>
    <x:row r="2629" ht="20" customHeight="1">
      <x:c r="A2629" s="256" t="n">
        <x:f>-12+1019*0.01</x:f>
        <x:v>-1.8100000000000005</x:v>
      </x:c>
      <x:c r="B2629" s="256" t="n">
        <x:f>IF(COUNT($B$129:$L$129)=11,B$129*EXP(IF(A2629&lt;0,(10-0)*A2629,-0*A2629))+C$129*EXP(IF(A2629&lt;0,(10-1)*A2629,-1*A2629))+D$129*EXP(IF(A2629&lt;0,(10-2)*A2629,-2*A2629))+E$129*EXP(IF(A2629&lt;0,(10-3)*A2629,-3*A2629))+F$129*EXP(IF(A2629&lt;0,(10-4)*A2629,-4*A2629))+G$129*EXP(IF(A2629&lt;0,(10-5)*A2629,-5*A2629))+H$129*EXP(IF(A2629&lt;0,(10-6)*A2629,-6*A2629))+I$129*EXP(IF(A2629&lt;0,(10-7)*A2629,-7*A2629))+J$129*EXP(IF(A2629&lt;0,(10-8)*A2629,-8*A2629))+K$129*EXP(IF(A2629&lt;0,(10-9)*A2629,-9*A2629))+L$129*EXP(IF(A2629&lt;0,(10-10)*A2629,-10*A2629)),0)</x:f>
        <x:v>784097.225325918</x:v>
      </x:c>
      <x:c r="C2629" s="256" t="n">
        <x:f>IF(B2629=0,IF(B2628=0,0,1),IF(B2628=0,0,IF(SIGN(B2629)&lt;&gt;SIGN(B2628),1,0)))</x:f>
        <x:v>0</x:v>
      </x:c>
      <x:c r="D2629" s="256" t="n">
        <x:f>EXP(A2629-0.005)-1</x:f>
        <x:v>-0.837162091609803</x:v>
      </x:c>
    </x:row>
    <x:row r="2630" ht="20" customHeight="1">
      <x:c r="A2630" s="256" t="n">
        <x:f>-12+1020*0.01</x:f>
        <x:v>-1.799999999999999</x:v>
      </x:c>
      <x:c r="B2630" s="256" t="n">
        <x:f>IF(COUNT($B$129:$L$129)=11,B$129*EXP(IF(A2630&lt;0,(10-0)*A2630,-0*A2630))+C$129*EXP(IF(A2630&lt;0,(10-1)*A2630,-1*A2630))+D$129*EXP(IF(A2630&lt;0,(10-2)*A2630,-2*A2630))+E$129*EXP(IF(A2630&lt;0,(10-3)*A2630,-3*A2630))+F$129*EXP(IF(A2630&lt;0,(10-4)*A2630,-4*A2630))+G$129*EXP(IF(A2630&lt;0,(10-5)*A2630,-5*A2630))+H$129*EXP(IF(A2630&lt;0,(10-6)*A2630,-6*A2630))+I$129*EXP(IF(A2630&lt;0,(10-7)*A2630,-7*A2630))+J$129*EXP(IF(A2630&lt;0,(10-8)*A2630,-8*A2630))+K$129*EXP(IF(A2630&lt;0,(10-9)*A2630,-9*A2630))+L$129*EXP(IF(A2630&lt;0,(10-10)*A2630,-10*A2630)),0)</x:f>
        <x:v>784124.1444269646</x:v>
      </x:c>
      <x:c r="C2630" s="256" t="n">
        <x:f>IF(B2630=0,IF(B2629=0,0,1),IF(B2629=0,0,IF(SIGN(B2630)&lt;&gt;SIGN(B2629),1,0)))</x:f>
        <x:v>0</x:v>
      </x:c>
      <x:c r="D2630" s="256" t="n">
        <x:f>EXP(A2630-0.005)-1</x:f>
        <x:v>-0.8355255434228449</x:v>
      </x:c>
    </x:row>
    <x:row r="2631" ht="20" customHeight="1">
      <x:c r="A2631" s="256" t="n">
        <x:f>-12+1021*0.01</x:f>
        <x:v>-1.7899999999999991</x:v>
      </x:c>
      <x:c r="B2631" s="256" t="n">
        <x:f>IF(COUNT($B$129:$L$129)=11,B$129*EXP(IF(A2631&lt;0,(10-0)*A2631,-0*A2631))+C$129*EXP(IF(A2631&lt;0,(10-1)*A2631,-1*A2631))+D$129*EXP(IF(A2631&lt;0,(10-2)*A2631,-2*A2631))+E$129*EXP(IF(A2631&lt;0,(10-3)*A2631,-3*A2631))+F$129*EXP(IF(A2631&lt;0,(10-4)*A2631,-4*A2631))+G$129*EXP(IF(A2631&lt;0,(10-5)*A2631,-5*A2631))+H$129*EXP(IF(A2631&lt;0,(10-6)*A2631,-6*A2631))+I$129*EXP(IF(A2631&lt;0,(10-7)*A2631,-7*A2631))+J$129*EXP(IF(A2631&lt;0,(10-8)*A2631,-8*A2631))+K$129*EXP(IF(A2631&lt;0,(10-9)*A2631,-9*A2631))+L$129*EXP(IF(A2631&lt;0,(10-10)*A2631,-10*A2631)),0)</x:f>
        <x:v>784151.4087870488</x:v>
      </x:c>
      <x:c r="C2631" s="256" t="n">
        <x:f>IF(B2631=0,IF(B2630=0,0,1),IF(B2630=0,0,IF(SIGN(B2631)&lt;&gt;SIGN(B2630),1,0)))</x:f>
        <x:v>0</x:v>
      </x:c>
      <x:c r="D2631" s="256" t="n">
        <x:f>EXP(A2631-0.005)-1</x:f>
        <x:v>-0.8338725476531668</x:v>
      </x:c>
    </x:row>
    <x:row r="2632" ht="20" customHeight="1">
      <x:c r="A2632" s="256" t="n">
        <x:f>-12+1022*0.01</x:f>
        <x:v>-1.7799999999999994</x:v>
      </x:c>
      <x:c r="B2632" s="256" t="n">
        <x:f>IF(COUNT($B$129:$L$129)=11,B$129*EXP(IF(A2632&lt;0,(10-0)*A2632,-0*A2632))+C$129*EXP(IF(A2632&lt;0,(10-1)*A2632,-1*A2632))+D$129*EXP(IF(A2632&lt;0,(10-2)*A2632,-2*A2632))+E$129*EXP(IF(A2632&lt;0,(10-3)*A2632,-3*A2632))+F$129*EXP(IF(A2632&lt;0,(10-4)*A2632,-4*A2632))+G$129*EXP(IF(A2632&lt;0,(10-5)*A2632,-5*A2632))+H$129*EXP(IF(A2632&lt;0,(10-6)*A2632,-6*A2632))+I$129*EXP(IF(A2632&lt;0,(10-7)*A2632,-7*A2632))+J$129*EXP(IF(A2632&lt;0,(10-8)*A2632,-8*A2632))+K$129*EXP(IF(A2632&lt;0,(10-9)*A2632,-9*A2632))+L$129*EXP(IF(A2632&lt;0,(10-10)*A2632,-10*A2632)),0)</x:f>
        <x:v>784179.0236474626</x:v>
      </x:c>
      <x:c r="C2632" s="256" t="n">
        <x:f>IF(B2632=0,IF(B2631=0,0,1),IF(B2631=0,0,IF(SIGN(B2632)&lt;&gt;SIGN(B2631),1,0)))</x:f>
        <x:v>0</x:v>
      </x:c>
      <x:c r="D2632" s="256" t="n">
        <x:f>EXP(A2632-0.005)-1</x:f>
        <x:v>-0.832202938999814</x:v>
      </x:c>
    </x:row>
    <x:row r="2633" ht="20" customHeight="1">
      <x:c r="A2633" s="256" t="n">
        <x:f>-12+1023*0.01</x:f>
        <x:v>-1.7699999999999996</x:v>
      </x:c>
      <x:c r="B2633" s="256" t="n">
        <x:f>IF(COUNT($B$129:$L$129)=11,B$129*EXP(IF(A2633&lt;0,(10-0)*A2633,-0*A2633))+C$129*EXP(IF(A2633&lt;0,(10-1)*A2633,-1*A2633))+D$129*EXP(IF(A2633&lt;0,(10-2)*A2633,-2*A2633))+E$129*EXP(IF(A2633&lt;0,(10-3)*A2633,-3*A2633))+F$129*EXP(IF(A2633&lt;0,(10-4)*A2633,-4*A2633))+G$129*EXP(IF(A2633&lt;0,(10-5)*A2633,-5*A2633))+H$129*EXP(IF(A2633&lt;0,(10-6)*A2633,-6*A2633))+I$129*EXP(IF(A2633&lt;0,(10-7)*A2633,-7*A2633))+J$129*EXP(IF(A2633&lt;0,(10-8)*A2633,-8*A2633))+K$129*EXP(IF(A2633&lt;0,(10-9)*A2633,-9*A2633))+L$129*EXP(IF(A2633&lt;0,(10-10)*A2633,-10*A2633)),0)</x:f>
        <x:v>784206.9943464495</x:v>
      </x:c>
      <x:c r="C2633" s="256" t="n">
        <x:f>IF(B2633=0,IF(B2632=0,0,1),IF(B2632=0,0,IF(SIGN(B2633)&lt;&gt;SIGN(B2632),1,0)))</x:f>
        <x:v>0</x:v>
      </x:c>
      <x:c r="D2633" s="256" t="n">
        <x:f>EXP(A2633-0.005)-1</x:f>
        <x:v>-0.8305165505005299</x:v>
      </x:c>
    </x:row>
    <x:row r="2634" ht="20" customHeight="1">
      <x:c r="A2634" s="256" t="n">
        <x:f>-12+1024*0.01</x:f>
        <x:v>-1.7599999999999998</x:v>
      </x:c>
      <x:c r="B2634" s="256" t="n">
        <x:f>IF(COUNT($B$129:$L$129)=11,B$129*EXP(IF(A2634&lt;0,(10-0)*A2634,-0*A2634))+C$129*EXP(IF(A2634&lt;0,(10-1)*A2634,-1*A2634))+D$129*EXP(IF(A2634&lt;0,(10-2)*A2634,-2*A2634))+E$129*EXP(IF(A2634&lt;0,(10-3)*A2634,-3*A2634))+F$129*EXP(IF(A2634&lt;0,(10-4)*A2634,-4*A2634))+G$129*EXP(IF(A2634&lt;0,(10-5)*A2634,-5*A2634))+H$129*EXP(IF(A2634&lt;0,(10-6)*A2634,-6*A2634))+I$129*EXP(IF(A2634&lt;0,(10-7)*A2634,-7*A2634))+J$129*EXP(IF(A2634&lt;0,(10-8)*A2634,-8*A2634))+K$129*EXP(IF(A2634&lt;0,(10-9)*A2634,-9*A2634))+L$129*EXP(IF(A2634&lt;0,(10-10)*A2634,-10*A2634)),0)</x:f>
        <x:v>784235.3263213346</x:v>
      </x:c>
      <x:c r="C2634" s="256" t="n">
        <x:f>IF(B2634=0,IF(B2633=0,0,1),IF(B2633=0,0,IF(SIGN(B2634)&lt;&gt;SIGN(B2633),1,0)))</x:f>
        <x:v>0</x:v>
      </x:c>
      <x:c r="D2634" s="256" t="n">
        <x:f>EXP(A2634-0.005)-1</x:f>
        <x:v>-0.828813213515059</x:v>
      </x:c>
    </x:row>
    <x:row r="2635" ht="20" customHeight="1">
      <x:c r="A2635" s="256" t="n">
        <x:f>-12+1025*0.01</x:f>
        <x:v>-1.75</x:v>
      </x:c>
      <x:c r="B2635" s="256" t="n">
        <x:f>IF(COUNT($B$129:$L$129)=11,B$129*EXP(IF(A2635&lt;0,(10-0)*A2635,-0*A2635))+C$129*EXP(IF(A2635&lt;0,(10-1)*A2635,-1*A2635))+D$129*EXP(IF(A2635&lt;0,(10-2)*A2635,-2*A2635))+E$129*EXP(IF(A2635&lt;0,(10-3)*A2635,-3*A2635))+F$129*EXP(IF(A2635&lt;0,(10-4)*A2635,-4*A2635))+G$129*EXP(IF(A2635&lt;0,(10-5)*A2635,-5*A2635))+H$129*EXP(IF(A2635&lt;0,(10-6)*A2635,-6*A2635))+I$129*EXP(IF(A2635&lt;0,(10-7)*A2635,-7*A2635))+J$129*EXP(IF(A2635&lt;0,(10-8)*A2635,-8*A2635))+K$129*EXP(IF(A2635&lt;0,(10-9)*A2635,-9*A2635))+L$129*EXP(IF(A2635&lt;0,(10-10)*A2635,-10*A2635)),0)</x:f>
        <x:v>784264.0251107059</x:v>
      </x:c>
      <x:c r="C2635" s="256" t="n">
        <x:f>IF(B2635=0,IF(B2634=0,0,1),IF(B2634=0,0,IF(SIGN(B2635)&lt;&gt;SIGN(B2634),1,0)))</x:f>
        <x:v>0</x:v>
      </x:c>
      <x:c r="D2635" s="256" t="n">
        <x:f>EXP(A2635-0.005)-1</x:f>
        <x:v>-0.8270927577082836</x:v>
      </x:c>
    </x:row>
    <x:row r="2636" ht="20" customHeight="1">
      <x:c r="A2636" s="256" t="n">
        <x:f>-12+1026*0.01</x:f>
        <x:v>-1.7400000000000002</x:v>
      </x:c>
      <x:c r="B2636" s="256" t="n">
        <x:f>IF(COUNT($B$129:$L$129)=11,B$129*EXP(IF(A2636&lt;0,(10-0)*A2636,-0*A2636))+C$129*EXP(IF(A2636&lt;0,(10-1)*A2636,-1*A2636))+D$129*EXP(IF(A2636&lt;0,(10-2)*A2636,-2*A2636))+E$129*EXP(IF(A2636&lt;0,(10-3)*A2636,-3*A2636))+F$129*EXP(IF(A2636&lt;0,(10-4)*A2636,-4*A2636))+G$129*EXP(IF(A2636&lt;0,(10-5)*A2636,-5*A2636))+H$129*EXP(IF(A2636&lt;0,(10-6)*A2636,-6*A2636))+I$129*EXP(IF(A2636&lt;0,(10-7)*A2636,-7*A2636))+J$129*EXP(IF(A2636&lt;0,(10-8)*A2636,-8*A2636))+K$129*EXP(IF(A2636&lt;0,(10-9)*A2636,-9*A2636))+L$129*EXP(IF(A2636&lt;0,(10-10)*A2636,-10*A2636)),0)</x:f>
        <x:v>784293.0963566476</x:v>
      </x:c>
      <x:c r="C2636" s="256" t="n">
        <x:f>IF(B2636=0,IF(B2635=0,0,1),IF(B2635=0,0,IF(SIGN(B2636)&lt;&gt;SIGN(B2635),1,0)))</x:f>
        <x:v>0</x:v>
      </x:c>
      <x:c r="D2636" s="256" t="n">
        <x:f>EXP(A2636-0.005)-1</x:f>
        <x:v>-0.8253550110331891</x:v>
      </x:c>
    </x:row>
    <x:row r="2637" ht="20" customHeight="1">
      <x:c r="A2637" s="256" t="n">
        <x:f>-12+1027*0.01</x:f>
        <x:v>-1.7300000000000004</x:v>
      </x:c>
      <x:c r="B2637" s="256" t="n">
        <x:f>IF(COUNT($B$129:$L$129)=11,B$129*EXP(IF(A2637&lt;0,(10-0)*A2637,-0*A2637))+C$129*EXP(IF(A2637&lt;0,(10-1)*A2637,-1*A2637))+D$129*EXP(IF(A2637&lt;0,(10-2)*A2637,-2*A2637))+E$129*EXP(IF(A2637&lt;0,(10-3)*A2637,-3*A2637))+F$129*EXP(IF(A2637&lt;0,(10-4)*A2637,-4*A2637))+G$129*EXP(IF(A2637&lt;0,(10-5)*A2637,-5*A2637))+H$129*EXP(IF(A2637&lt;0,(10-6)*A2637,-6*A2637))+I$129*EXP(IF(A2637&lt;0,(10-7)*A2637,-7*A2637))+J$129*EXP(IF(A2637&lt;0,(10-8)*A2637,-8*A2637))+K$129*EXP(IF(A2637&lt;0,(10-9)*A2637,-9*A2637))+L$129*EXP(IF(A2637&lt;0,(10-10)*A2637,-10*A2637)),0)</x:f>
        <x:v>784322.5458070275</x:v>
      </x:c>
      <x:c r="C2637" s="256" t="n">
        <x:f>IF(B2637=0,IF(B2636=0,0,1),IF(B2636=0,0,IF(SIGN(B2637)&lt;&gt;SIGN(B2636),1,0)))</x:f>
        <x:v>0</x:v>
      </x:c>
      <x:c r="D2637" s="256" t="n">
        <x:f>EXP(A2637-0.005)-1</x:f>
        <x:v>-0.82359979971366</x:v>
      </x:c>
    </x:row>
    <x:row r="2638" ht="20" customHeight="1">
      <x:c r="A2638" s="256" t="n">
        <x:f>-12+1028*0.01</x:f>
        <x:v>-1.7200000000000006</x:v>
      </x:c>
      <x:c r="B2638" s="256" t="n">
        <x:f>IF(COUNT($B$129:$L$129)=11,B$129*EXP(IF(A2638&lt;0,(10-0)*A2638,-0*A2638))+C$129*EXP(IF(A2638&lt;0,(10-1)*A2638,-1*A2638))+D$129*EXP(IF(A2638&lt;0,(10-2)*A2638,-2*A2638))+E$129*EXP(IF(A2638&lt;0,(10-3)*A2638,-3*A2638))+F$129*EXP(IF(A2638&lt;0,(10-4)*A2638,-4*A2638))+G$129*EXP(IF(A2638&lt;0,(10-5)*A2638,-5*A2638))+H$129*EXP(IF(A2638&lt;0,(10-6)*A2638,-6*A2638))+I$129*EXP(IF(A2638&lt;0,(10-7)*A2638,-7*A2638))+J$129*EXP(IF(A2638&lt;0,(10-8)*A2638,-8*A2638))+K$129*EXP(IF(A2638&lt;0,(10-9)*A2638,-9*A2638))+L$129*EXP(IF(A2638&lt;0,(10-10)*A2638,-10*A2638)),0)</x:f>
        <x:v>784352.3793178373</x:v>
      </x:c>
      <x:c r="C2638" s="256" t="n">
        <x:f>IF(B2638=0,IF(B2637=0,0,1),IF(B2637=0,0,IF(SIGN(B2638)&lt;&gt;SIGN(B2637),1,0)))</x:f>
        <x:v>0</x:v>
      </x:c>
      <x:c r="D2638" s="256" t="n">
        <x:f>EXP(A2638-0.005)-1</x:f>
        <x:v>-0.8218269482271017</x:v>
      </x:c>
    </x:row>
    <x:row r="2639" ht="20" customHeight="1">
      <x:c r="A2639" s="256" t="n">
        <x:f>-12+1029*0.01</x:f>
        <x:v>-1.709999999999999</x:v>
      </x:c>
      <x:c r="B2639" s="256" t="n">
        <x:f>IF(COUNT($B$129:$L$129)=11,B$129*EXP(IF(A2639&lt;0,(10-0)*A2639,-0*A2639))+C$129*EXP(IF(A2639&lt;0,(10-1)*A2639,-1*A2639))+D$129*EXP(IF(A2639&lt;0,(10-2)*A2639,-2*A2639))+E$129*EXP(IF(A2639&lt;0,(10-3)*A2639,-3*A2639))+F$129*EXP(IF(A2639&lt;0,(10-4)*A2639,-4*A2639))+G$129*EXP(IF(A2639&lt;0,(10-5)*A2639,-5*A2639))+H$129*EXP(IF(A2639&lt;0,(10-6)*A2639,-6*A2639))+I$129*EXP(IF(A2639&lt;0,(10-7)*A2639,-7*A2639))+J$129*EXP(IF(A2639&lt;0,(10-8)*A2639,-8*A2639))+K$129*EXP(IF(A2639&lt;0,(10-9)*A2639,-9*A2639))+L$129*EXP(IF(A2639&lt;0,(10-10)*A2639,-10*A2639)),0)</x:f>
        <x:v>784382.6028555891</x:v>
      </x:c>
      <x:c r="C2639" s="256" t="n">
        <x:f>IF(B2639=0,IF(B2638=0,0,1),IF(B2638=0,0,IF(SIGN(B2639)&lt;&gt;SIGN(B2638),1,0)))</x:f>
        <x:v>0</x:v>
      </x:c>
      <x:c r="D2639" s="256" t="n">
        <x:f>EXP(A2639-0.005)-1</x:f>
        <x:v>-0.8200362792868876</x:v>
      </x:c>
    </x:row>
    <x:row r="2640" ht="20" customHeight="1">
      <x:c r="A2640" s="256" t="n">
        <x:f>-12+1030*0.01</x:f>
        <x:v>-1.6999999999999993</x:v>
      </x:c>
      <x:c r="B2640" s="256" t="n">
        <x:f>IF(COUNT($B$129:$L$129)=11,B$129*EXP(IF(A2640&lt;0,(10-0)*A2640,-0*A2640))+C$129*EXP(IF(A2640&lt;0,(10-1)*A2640,-1*A2640))+D$129*EXP(IF(A2640&lt;0,(10-2)*A2640,-2*A2640))+E$129*EXP(IF(A2640&lt;0,(10-3)*A2640,-3*A2640))+F$129*EXP(IF(A2640&lt;0,(10-4)*A2640,-4*A2640))+G$129*EXP(IF(A2640&lt;0,(10-5)*A2640,-5*A2640))+H$129*EXP(IF(A2640&lt;0,(10-6)*A2640,-6*A2640))+I$129*EXP(IF(A2640&lt;0,(10-7)*A2640,-7*A2640))+J$129*EXP(IF(A2640&lt;0,(10-8)*A2640,-8*A2640))+K$129*EXP(IF(A2640&lt;0,(10-9)*A2640,-9*A2640))+L$129*EXP(IF(A2640&lt;0,(10-10)*A2640,-10*A2640)),0)</x:f>
        <x:v>784413.2224997682</x:v>
      </x:c>
      <x:c r="C2640" s="256" t="n">
        <x:f>IF(B2640=0,IF(B2639=0,0,1),IF(B2639=0,0,IF(SIGN(B2640)&lt;&gt;SIGN(B2639),1,0)))</x:f>
        <x:v>0</x:v>
      </x:c>
      <x:c r="D2640" s="256" t="n">
        <x:f>EXP(A2640-0.005)-1</x:f>
        <x:v>-0.8182276138246323</x:v>
      </x:c>
    </x:row>
    <x:row r="2641" ht="20" customHeight="1">
      <x:c r="A2641" s="256" t="n">
        <x:f>-12+1031*0.01</x:f>
        <x:v>-1.6899999999999995</x:v>
      </x:c>
      <x:c r="B2641" s="256" t="n">
        <x:f>IF(COUNT($B$129:$L$129)=11,B$129*EXP(IF(A2641&lt;0,(10-0)*A2641,-0*A2641))+C$129*EXP(IF(A2641&lt;0,(10-1)*A2641,-1*A2641))+D$129*EXP(IF(A2641&lt;0,(10-2)*A2641,-2*A2641))+E$129*EXP(IF(A2641&lt;0,(10-3)*A2641,-3*A2641))+F$129*EXP(IF(A2641&lt;0,(10-4)*A2641,-4*A2641))+G$129*EXP(IF(A2641&lt;0,(10-5)*A2641,-5*A2641))+H$129*EXP(IF(A2641&lt;0,(10-6)*A2641,-6*A2641))+I$129*EXP(IF(A2641&lt;0,(10-7)*A2641,-7*A2641))+J$129*EXP(IF(A2641&lt;0,(10-8)*A2641,-8*A2641))+K$129*EXP(IF(A2641&lt;0,(10-9)*A2641,-9*A2641))+L$129*EXP(IF(A2641&lt;0,(10-10)*A2641,-10*A2641)),0)</x:f>
        <x:v>784444.2444453432</x:v>
      </x:c>
      <x:c r="C2641" s="256" t="n">
        <x:f>IF(B2641=0,IF(B2640=0,0,1),IF(B2640=0,0,IF(SIGN(B2641)&lt;&gt;SIGN(B2640),1,0)))</x:f>
        <x:v>0</x:v>
      </x:c>
      <x:c r="D2641" s="256" t="n">
        <x:f>EXP(A2641-0.005)-1</x:f>
        <x:v>-0.816400770972282</x:v>
      </x:c>
    </x:row>
    <x:row r="2642" ht="20" customHeight="1">
      <x:c r="A2642" s="256" t="n">
        <x:f>-12+1032*0.01</x:f>
        <x:v>-1.6799999999999997</x:v>
      </x:c>
      <x:c r="B2642" s="256" t="n">
        <x:f>IF(COUNT($B$129:$L$129)=11,B$129*EXP(IF(A2642&lt;0,(10-0)*A2642,-0*A2642))+C$129*EXP(IF(A2642&lt;0,(10-1)*A2642,-1*A2642))+D$129*EXP(IF(A2642&lt;0,(10-2)*A2642,-2*A2642))+E$129*EXP(IF(A2642&lt;0,(10-3)*A2642,-3*A2642))+F$129*EXP(IF(A2642&lt;0,(10-4)*A2642,-4*A2642))+G$129*EXP(IF(A2642&lt;0,(10-5)*A2642,-5*A2642))+H$129*EXP(IF(A2642&lt;0,(10-6)*A2642,-6*A2642))+I$129*EXP(IF(A2642&lt;0,(10-7)*A2642,-7*A2642))+J$129*EXP(IF(A2642&lt;0,(10-8)*A2642,-8*A2642))+K$129*EXP(IF(A2642&lt;0,(10-9)*A2642,-9*A2642))+L$129*EXP(IF(A2642&lt;0,(10-10)*A2642,-10*A2642)),0)</x:f>
        <x:v>784475.6750053337</x:v>
      </x:c>
      <x:c r="C2642" s="256" t="n">
        <x:f>IF(B2642=0,IF(B2641=0,0,1),IF(B2641=0,0,IF(SIGN(B2642)&lt;&gt;SIGN(B2641),1,0)))</x:f>
        <x:v>0</x:v>
      </x:c>
      <x:c r="D2642" s="256" t="n">
        <x:f>EXP(A2642-0.005)-1</x:f>
        <x:v>-0.8145555680440291</x:v>
      </x:c>
    </x:row>
    <x:row r="2643" ht="20" customHeight="1">
      <x:c r="A2643" s="256" t="n">
        <x:f>-12+1033*0.01</x:f>
        <x:v>-1.67</x:v>
      </x:c>
      <x:c r="B2643" s="256" t="n">
        <x:f>IF(COUNT($B$129:$L$129)=11,B$129*EXP(IF(A2643&lt;0,(10-0)*A2643,-0*A2643))+C$129*EXP(IF(A2643&lt;0,(10-1)*A2643,-1*A2643))+D$129*EXP(IF(A2643&lt;0,(10-2)*A2643,-2*A2643))+E$129*EXP(IF(A2643&lt;0,(10-3)*A2643,-3*A2643))+F$129*EXP(IF(A2643&lt;0,(10-4)*A2643,-4*A2643))+G$129*EXP(IF(A2643&lt;0,(10-5)*A2643,-5*A2643))+H$129*EXP(IF(A2643&lt;0,(10-6)*A2643,-6*A2643))+I$129*EXP(IF(A2643&lt;0,(10-7)*A2643,-7*A2643))+J$129*EXP(IF(A2643&lt;0,(10-8)*A2643,-8*A2643))+K$129*EXP(IF(A2643&lt;0,(10-9)*A2643,-9*A2643))+L$129*EXP(IF(A2643&lt;0,(10-10)*A2643,-10*A2643)),0)</x:f>
        <x:v>784507.5206134388</x:v>
      </x:c>
      <x:c r="C2643" s="256" t="n">
        <x:f>IF(B2643=0,IF(B2642=0,0,1),IF(B2642=0,0,IF(SIGN(B2643)&lt;&gt;SIGN(B2642),1,0)))</x:f>
        <x:v>0</x:v>
      </x:c>
      <x:c r="D2643" s="256" t="n">
        <x:f>EXP(A2643-0.005)-1</x:f>
        <x:v>-0.8126918205180429</x:v>
      </x:c>
    </x:row>
    <x:row r="2644" ht="20" customHeight="1">
      <x:c r="A2644" s="256" t="n">
        <x:f>-12+1034*0.01</x:f>
        <x:v>-1.6600000000000001</x:v>
      </x:c>
      <x:c r="B2644" s="256" t="n">
        <x:f>IF(COUNT($B$129:$L$129)=11,B$129*EXP(IF(A2644&lt;0,(10-0)*A2644,-0*A2644))+C$129*EXP(IF(A2644&lt;0,(10-1)*A2644,-1*A2644))+D$129*EXP(IF(A2644&lt;0,(10-2)*A2644,-2*A2644))+E$129*EXP(IF(A2644&lt;0,(10-3)*A2644,-3*A2644))+F$129*EXP(IF(A2644&lt;0,(10-4)*A2644,-4*A2644))+G$129*EXP(IF(A2644&lt;0,(10-5)*A2644,-5*A2644))+H$129*EXP(IF(A2644&lt;0,(10-6)*A2644,-6*A2644))+I$129*EXP(IF(A2644&lt;0,(10-7)*A2644,-7*A2644))+J$129*EXP(IF(A2644&lt;0,(10-8)*A2644,-8*A2644))+K$129*EXP(IF(A2644&lt;0,(10-9)*A2644,-9*A2644))+L$129*EXP(IF(A2644&lt;0,(10-10)*A2644,-10*A2644)),0)</x:f>
        <x:v>784539.7878267237</x:v>
      </x:c>
      <x:c r="C2644" s="256" t="n">
        <x:f>IF(B2644=0,IF(B2643=0,0,1),IF(B2643=0,0,IF(SIGN(B2644)&lt;&gt;SIGN(B2643),1,0)))</x:f>
        <x:v>0</x:v>
      </x:c>
      <x:c r="D2644" s="256" t="n">
        <x:f>EXP(A2644-0.005)-1</x:f>
        <x:v>-0.810809342018018</x:v>
      </x:c>
    </x:row>
    <x:row r="2645" ht="20" customHeight="1">
      <x:c r="A2645" s="256" t="n">
        <x:f>-12+1035*0.01</x:f>
        <x:v>-1.6500000000000004</x:v>
      </x:c>
      <x:c r="B2645" s="256" t="n">
        <x:f>IF(COUNT($B$129:$L$129)=11,B$129*EXP(IF(A2645&lt;0,(10-0)*A2645,-0*A2645))+C$129*EXP(IF(A2645&lt;0,(10-1)*A2645,-1*A2645))+D$129*EXP(IF(A2645&lt;0,(10-2)*A2645,-2*A2645))+E$129*EXP(IF(A2645&lt;0,(10-3)*A2645,-3*A2645))+F$129*EXP(IF(A2645&lt;0,(10-4)*A2645,-4*A2645))+G$129*EXP(IF(A2645&lt;0,(10-5)*A2645,-5*A2645))+H$129*EXP(IF(A2645&lt;0,(10-6)*A2645,-6*A2645))+I$129*EXP(IF(A2645&lt;0,(10-7)*A2645,-7*A2645))+J$129*EXP(IF(A2645&lt;0,(10-8)*A2645,-8*A2645))+K$129*EXP(IF(A2645&lt;0,(10-9)*A2645,-9*A2645))+L$129*EXP(IF(A2645&lt;0,(10-10)*A2645,-10*A2645)),0)</x:f>
        <x:v>784572.4833283692</x:v>
      </x:c>
      <x:c r="C2645" s="256" t="n">
        <x:f>IF(B2645=0,IF(B2644=0,0,1),IF(B2644=0,0,IF(SIGN(B2645)&lt;&gt;SIGN(B2644),1,0)))</x:f>
        <x:v>0</x:v>
      </x:c>
      <x:c r="D2645" s="256" t="n">
        <x:f>EXP(A2645-0.005)-1</x:f>
        <x:v>-0.8089079442945354</x:v>
      </x:c>
    </x:row>
    <x:row r="2646" ht="20" customHeight="1">
      <x:c r="A2646" s="256" t="n">
        <x:f>-12+1036*0.01</x:f>
        <x:v>-1.6400000000000006</x:v>
      </x:c>
      <x:c r="B2646" s="256" t="n">
        <x:f>IF(COUNT($B$129:$L$129)=11,B$129*EXP(IF(A2646&lt;0,(10-0)*A2646,-0*A2646))+C$129*EXP(IF(A2646&lt;0,(10-1)*A2646,-1*A2646))+D$129*EXP(IF(A2646&lt;0,(10-2)*A2646,-2*A2646))+E$129*EXP(IF(A2646&lt;0,(10-3)*A2646,-3*A2646))+F$129*EXP(IF(A2646&lt;0,(10-4)*A2646,-4*A2646))+G$129*EXP(IF(A2646&lt;0,(10-5)*A2646,-5*A2646))+H$129*EXP(IF(A2646&lt;0,(10-6)*A2646,-6*A2646))+I$129*EXP(IF(A2646&lt;0,(10-7)*A2646,-7*A2646))+J$129*EXP(IF(A2646&lt;0,(10-8)*A2646,-8*A2646))+K$129*EXP(IF(A2646&lt;0,(10-9)*A2646,-9*A2646))+L$129*EXP(IF(A2646&lt;0,(10-10)*A2646,-10*A2646)),0)</x:f>
        <x:v>784605.6139304815</x:v>
      </x:c>
      <x:c r="C2646" s="256" t="n">
        <x:f>IF(B2646=0,IF(B2645=0,0,1),IF(B2645=0,0,IF(SIGN(B2646)&lt;&gt;SIGN(B2645),1,0)))</x:f>
        <x:v>0</x:v>
      </x:c>
      <x:c r="D2646" s="256" t="n">
        <x:f>EXP(A2646-0.005)-1</x:f>
        <x:v>-0.8069874372062384</x:v>
      </x:c>
    </x:row>
    <x:row r="2647" ht="20" customHeight="1">
      <x:c r="A2647" s="256" t="n">
        <x:f>-12+1037*0.01</x:f>
        <x:v>-1.629999999999999</x:v>
      </x:c>
      <x:c r="B2647" s="256" t="n">
        <x:f>IF(COUNT($B$129:$L$129)=11,B$129*EXP(IF(A2647&lt;0,(10-0)*A2647,-0*A2647))+C$129*EXP(IF(A2647&lt;0,(10-1)*A2647,-1*A2647))+D$129*EXP(IF(A2647&lt;0,(10-2)*A2647,-2*A2647))+E$129*EXP(IF(A2647&lt;0,(10-3)*A2647,-3*A2647))+F$129*EXP(IF(A2647&lt;0,(10-4)*A2647,-4*A2647))+G$129*EXP(IF(A2647&lt;0,(10-5)*A2647,-5*A2647))+H$129*EXP(IF(A2647&lt;0,(10-6)*A2647,-6*A2647))+I$129*EXP(IF(A2647&lt;0,(10-7)*A2647,-7*A2647))+J$129*EXP(IF(A2647&lt;0,(10-8)*A2647,-8*A2647))+K$129*EXP(IF(A2647&lt;0,(10-9)*A2647,-9*A2647))+L$129*EXP(IF(A2647&lt;0,(10-10)*A2647,-10*A2647)),0)</x:f>
        <x:v>784639.1865769649</x:v>
      </x:c>
      <x:c r="C2647" s="256" t="n">
        <x:f>IF(B2647=0,IF(B2646=0,0,1),IF(B2646=0,0,IF(SIGN(B2647)&lt;&gt;SIGN(B2646),1,0)))</x:f>
        <x:v>0</x:v>
      </x:c>
      <x:c r="D2647" s="256" t="n">
        <x:f>EXP(A2647-0.005)-1</x:f>
        <x:v>-0.8050476287008173</x:v>
      </x:c>
    </x:row>
    <x:row r="2648" ht="20" customHeight="1">
      <x:c r="A2648" s="256" t="n">
        <x:f>-12+1038*0.01</x:f>
        <x:v>-1.6199999999999992</x:v>
      </x:c>
      <x:c r="B2648" s="256" t="n">
        <x:f>IF(COUNT($B$129:$L$129)=11,B$129*EXP(IF(A2648&lt;0,(10-0)*A2648,-0*A2648))+C$129*EXP(IF(A2648&lt;0,(10-1)*A2648,-1*A2648))+D$129*EXP(IF(A2648&lt;0,(10-2)*A2648,-2*A2648))+E$129*EXP(IF(A2648&lt;0,(10-3)*A2648,-3*A2648))+F$129*EXP(IF(A2648&lt;0,(10-4)*A2648,-4*A2648))+G$129*EXP(IF(A2648&lt;0,(10-5)*A2648,-5*A2648))+H$129*EXP(IF(A2648&lt;0,(10-6)*A2648,-6*A2648))+I$129*EXP(IF(A2648&lt;0,(10-7)*A2648,-7*A2648))+J$129*EXP(IF(A2648&lt;0,(10-8)*A2648,-8*A2648))+K$129*EXP(IF(A2648&lt;0,(10-9)*A2648,-9*A2648))+L$129*EXP(IF(A2648&lt;0,(10-10)*A2648,-10*A2648)),0)</x:f>
        <x:v>784673.2083464579</x:v>
      </x:c>
      <x:c r="C2648" s="256" t="n">
        <x:f>IF(B2648=0,IF(B2647=0,0,1),IF(B2647=0,0,IF(SIGN(B2648)&lt;&gt;SIGN(B2647),1,0)))</x:f>
        <x:v>0</x:v>
      </x:c>
      <x:c r="D2648" s="256" t="n">
        <x:f>EXP(A2648-0.005)-1</x:f>
        <x:v>-0.8030883247958058</x:v>
      </x:c>
    </x:row>
    <x:row r="2649" ht="20" customHeight="1">
      <x:c r="A2649" s="256" t="n">
        <x:f>-12+1039*0.01</x:f>
        <x:v>-1.6099999999999994</x:v>
      </x:c>
      <x:c r="B2649" s="256" t="n">
        <x:f>IF(COUNT($B$129:$L$129)=11,B$129*EXP(IF(A2649&lt;0,(10-0)*A2649,-0*A2649))+C$129*EXP(IF(A2649&lt;0,(10-1)*A2649,-1*A2649))+D$129*EXP(IF(A2649&lt;0,(10-2)*A2649,-2*A2649))+E$129*EXP(IF(A2649&lt;0,(10-3)*A2649,-3*A2649))+F$129*EXP(IF(A2649&lt;0,(10-4)*A2649,-4*A2649))+G$129*EXP(IF(A2649&lt;0,(10-5)*A2649,-5*A2649))+H$129*EXP(IF(A2649&lt;0,(10-6)*A2649,-6*A2649))+I$129*EXP(IF(A2649&lt;0,(10-7)*A2649,-7*A2649))+J$129*EXP(IF(A2649&lt;0,(10-8)*A2649,-8*A2649))+K$129*EXP(IF(A2649&lt;0,(10-9)*A2649,-9*A2649))+L$129*EXP(IF(A2649&lt;0,(10-10)*A2649,-10*A2649)),0)</x:f>
        <x:v>784707.6864553317</x:v>
      </x:c>
      <x:c r="C2649" s="256" t="n">
        <x:f>IF(B2649=0,IF(B2648=0,0,1),IF(B2648=0,0,IF(SIGN(B2649)&lt;&gt;SIGN(B2648),1,0)))</x:f>
        <x:v>0</x:v>
      </x:c>
      <x:c r="D2649" s="256" t="n">
        <x:f>EXP(A2649-0.005)-1</x:f>
        <x:v>-0.8011093295591802</x:v>
      </x:c>
    </x:row>
    <x:row r="2650" ht="20" customHeight="1">
      <x:c r="A2650" s="256" t="n">
        <x:f>-12+1040*0.01</x:f>
        <x:v>-1.5999999999999996</x:v>
      </x:c>
      <x:c r="B2650" s="256" t="n">
        <x:f>IF(COUNT($B$129:$L$129)=11,B$129*EXP(IF(A2650&lt;0,(10-0)*A2650,-0*A2650))+C$129*EXP(IF(A2650&lt;0,(10-1)*A2650,-1*A2650))+D$129*EXP(IF(A2650&lt;0,(10-2)*A2650,-2*A2650))+E$129*EXP(IF(A2650&lt;0,(10-3)*A2650,-3*A2650))+F$129*EXP(IF(A2650&lt;0,(10-4)*A2650,-4*A2650))+G$129*EXP(IF(A2650&lt;0,(10-5)*A2650,-5*A2650))+H$129*EXP(IF(A2650&lt;0,(10-6)*A2650,-6*A2650))+I$129*EXP(IF(A2650&lt;0,(10-7)*A2650,-7*A2650))+J$129*EXP(IF(A2650&lt;0,(10-8)*A2650,-8*A2650))+K$129*EXP(IF(A2650&lt;0,(10-9)*A2650,-9*A2650))+L$129*EXP(IF(A2650&lt;0,(10-10)*A2650,-10*A2650)),0)</x:f>
        <x:v>784742.628260754</x:v>
      </x:c>
      <x:c r="C2650" s="256" t="n">
        <x:f>IF(B2650=0,IF(B2649=0,0,1),IF(B2649=0,0,IF(SIGN(B2650)&lt;&gt;SIGN(B2649),1,0)))</x:f>
        <x:v>0</x:v>
      </x:c>
      <x:c r="D2650" s="256" t="n">
        <x:f>EXP(A2650-0.005)-1</x:f>
        <x:v>-0.7991104450897678</x:v>
      </x:c>
    </x:row>
    <x:row r="2651" ht="20" customHeight="1">
      <x:c r="A2651" s="256" t="n">
        <x:f>-12+1041*0.01</x:f>
        <x:v>-1.5899999999999999</x:v>
      </x:c>
      <x:c r="B2651" s="256" t="n">
        <x:f>IF(COUNT($B$129:$L$129)=11,B$129*EXP(IF(A2651&lt;0,(10-0)*A2651,-0*A2651))+C$129*EXP(IF(A2651&lt;0,(10-1)*A2651,-1*A2651))+D$129*EXP(IF(A2651&lt;0,(10-2)*A2651,-2*A2651))+E$129*EXP(IF(A2651&lt;0,(10-3)*A2651,-3*A2651))+F$129*EXP(IF(A2651&lt;0,(10-4)*A2651,-4*A2651))+G$129*EXP(IF(A2651&lt;0,(10-5)*A2651,-5*A2651))+H$129*EXP(IF(A2651&lt;0,(10-6)*A2651,-6*A2651))+I$129*EXP(IF(A2651&lt;0,(10-7)*A2651,-7*A2651))+J$129*EXP(IF(A2651&lt;0,(10-8)*A2651,-8*A2651))+K$129*EXP(IF(A2651&lt;0,(10-9)*A2651,-9*A2651))+L$129*EXP(IF(A2651&lt;0,(10-10)*A2651,-10*A2651)),0)</x:f>
        <x:v>784778.0412638155</x:v>
      </x:c>
      <x:c r="C2651" s="256" t="n">
        <x:f>IF(B2651=0,IF(B2650=0,0,1),IF(B2650=0,0,IF(SIGN(B2651)&lt;&gt;SIGN(B2650),1,0)))</x:f>
        <x:v>0</x:v>
      </x:c>
      <x:c r="D2651" s="256" t="n">
        <x:f>EXP(A2651-0.005)-1</x:f>
        <x:v>-0.797091471497456</x:v>
      </x:c>
    </x:row>
    <x:row r="2652" ht="20" customHeight="1">
      <x:c r="A2652" s="256" t="n">
        <x:f>-12+1042*0.01</x:f>
        <x:v>-1.58</x:v>
      </x:c>
      <x:c r="B2652" s="256" t="n">
        <x:f>IF(COUNT($B$129:$L$129)=11,B$129*EXP(IF(A2652&lt;0,(10-0)*A2652,-0*A2652))+C$129*EXP(IF(A2652&lt;0,(10-1)*A2652,-1*A2652))+D$129*EXP(IF(A2652&lt;0,(10-2)*A2652,-2*A2652))+E$129*EXP(IF(A2652&lt;0,(10-3)*A2652,-3*A2652))+F$129*EXP(IF(A2652&lt;0,(10-4)*A2652,-4*A2652))+G$129*EXP(IF(A2652&lt;0,(10-5)*A2652,-5*A2652))+H$129*EXP(IF(A2652&lt;0,(10-6)*A2652,-6*A2652))+I$129*EXP(IF(A2652&lt;0,(10-7)*A2652,-7*A2652))+J$129*EXP(IF(A2652&lt;0,(10-8)*A2652,-8*A2652))+K$129*EXP(IF(A2652&lt;0,(10-9)*A2652,-9*A2652))+L$129*EXP(IF(A2652&lt;0,(10-10)*A2652,-10*A2652)),0)</x:f>
        <x:v>784813.9331127213</x:v>
      </x:c>
      <x:c r="C2652" s="256" t="n">
        <x:f>IF(B2652=0,IF(B2651=0,0,1),IF(B2651=0,0,IF(SIGN(B2652)&lt;&gt;SIGN(B2651),1,0)))</x:f>
        <x:v>0</x:v>
      </x:c>
      <x:c r="D2652" s="256" t="n">
        <x:f>EXP(A2652-0.005)-1</x:f>
        <x:v>-0.7950522068832027</x:v>
      </x:c>
    </x:row>
    <x:row r="2653" ht="20" customHeight="1">
      <x:c r="A2653" s="256" t="n">
        <x:f>-12+1043*0.01</x:f>
        <x:v>-1.5700000000000003</x:v>
      </x:c>
      <x:c r="B2653" s="256" t="n">
        <x:f>IF(COUNT($B$129:$L$129)=11,B$129*EXP(IF(A2653&lt;0,(10-0)*A2653,-0*A2653))+C$129*EXP(IF(A2653&lt;0,(10-1)*A2653,-1*A2653))+D$129*EXP(IF(A2653&lt;0,(10-2)*A2653,-2*A2653))+E$129*EXP(IF(A2653&lt;0,(10-3)*A2653,-3*A2653))+F$129*EXP(IF(A2653&lt;0,(10-4)*A2653,-4*A2653))+G$129*EXP(IF(A2653&lt;0,(10-5)*A2653,-5*A2653))+H$129*EXP(IF(A2653&lt;0,(10-6)*A2653,-6*A2653))+I$129*EXP(IF(A2653&lt;0,(10-7)*A2653,-7*A2653))+J$129*EXP(IF(A2653&lt;0,(10-8)*A2653,-8*A2653))+K$129*EXP(IF(A2653&lt;0,(10-9)*A2653,-9*A2653))+L$129*EXP(IF(A2653&lt;0,(10-10)*A2653,-10*A2653)),0)</x:f>
        <x:v>784850.311606047</x:v>
      </x:c>
      <x:c r="C2653" s="256" t="n">
        <x:f>IF(B2653=0,IF(B2652=0,0,1),IF(B2652=0,0,IF(SIGN(B2653)&lt;&gt;SIGN(B2652),1,0)))</x:f>
        <x:v>0</x:v>
      </x:c>
      <x:c r="D2653" s="256" t="n">
        <x:f>EXP(A2653-0.005)-1</x:f>
        <x:v>-0.7929924473188474</x:v>
      </x:c>
    </x:row>
    <x:row r="2654" ht="20" customHeight="1">
      <x:c r="A2654" s="256" t="n">
        <x:f>-12+1044*0.01</x:f>
        <x:v>-1.5600000000000005</x:v>
      </x:c>
      <x:c r="B2654" s="256" t="n">
        <x:f>IF(COUNT($B$129:$L$129)=11,B$129*EXP(IF(A2654&lt;0,(10-0)*A2654,-0*A2654))+C$129*EXP(IF(A2654&lt;0,(10-1)*A2654,-1*A2654))+D$129*EXP(IF(A2654&lt;0,(10-2)*A2654,-2*A2654))+E$129*EXP(IF(A2654&lt;0,(10-3)*A2654,-3*A2654))+F$129*EXP(IF(A2654&lt;0,(10-4)*A2654,-4*A2654))+G$129*EXP(IF(A2654&lt;0,(10-5)*A2654,-5*A2654))+H$129*EXP(IF(A2654&lt;0,(10-6)*A2654,-6*A2654))+I$129*EXP(IF(A2654&lt;0,(10-7)*A2654,-7*A2654))+J$129*EXP(IF(A2654&lt;0,(10-8)*A2654,-8*A2654))+K$129*EXP(IF(A2654&lt;0,(10-9)*A2654,-9*A2654))+L$129*EXP(IF(A2654&lt;0,(10-10)*A2654,-10*A2654)),0)</x:f>
        <x:v>784887.1846960573</x:v>
      </x:c>
      <x:c r="C2654" s="256" t="n">
        <x:f>IF(B2654=0,IF(B2653=0,0,1),IF(B2653=0,0,IF(SIGN(B2654)&lt;&gt;SIGN(B2653),1,0)))</x:f>
        <x:v>0</x:v>
      </x:c>
      <x:c r="D2654" s="256" t="n">
        <x:f>EXP(A2654-0.005)-1</x:f>
        <x:v>-0.7909119868267172</x:v>
      </x:c>
    </x:row>
    <x:row r="2655" ht="20" customHeight="1">
      <x:c r="A2655" s="256" t="n">
        <x:f>-12+1045*0.01</x:f>
        <x:v>-1.549999999999999</x:v>
      </x:c>
      <x:c r="B2655" s="256" t="n">
        <x:f>IF(COUNT($B$129:$L$129)=11,B$129*EXP(IF(A2655&lt;0,(10-0)*A2655,-0*A2655))+C$129*EXP(IF(A2655&lt;0,(10-1)*A2655,-1*A2655))+D$129*EXP(IF(A2655&lt;0,(10-2)*A2655,-2*A2655))+E$129*EXP(IF(A2655&lt;0,(10-3)*A2655,-3*A2655))+F$129*EXP(IF(A2655&lt;0,(10-4)*A2655,-4*A2655))+G$129*EXP(IF(A2655&lt;0,(10-5)*A2655,-5*A2655))+H$129*EXP(IF(A2655&lt;0,(10-6)*A2655,-6*A2655))+I$129*EXP(IF(A2655&lt;0,(10-7)*A2655,-7*A2655))+J$129*EXP(IF(A2655&lt;0,(10-8)*A2655,-8*A2655))+K$129*EXP(IF(A2655&lt;0,(10-9)*A2655,-9*A2655))+L$129*EXP(IF(A2655&lt;0,(10-10)*A2655,-10*A2655)),0)</x:f>
        <x:v>784924.560492089</x:v>
      </x:c>
      <x:c r="C2655" s="256" t="n">
        <x:f>IF(B2655=0,IF(B2654=0,0,1),IF(B2654=0,0,IF(SIGN(B2655)&lt;&gt;SIGN(B2654),1,0)))</x:f>
        <x:v>0</x:v>
      </x:c>
      <x:c r="D2655" s="256" t="n">
        <x:f>EXP(A2655-0.005)-1</x:f>
        <x:v>-0.7888106173590286</x:v>
      </x:c>
    </x:row>
    <x:row r="2656" ht="20" customHeight="1">
      <x:c r="A2656" s="256" t="n">
        <x:f>-12+1046*0.01</x:f>
        <x:v>-1.5399999999999991</x:v>
      </x:c>
      <x:c r="B2656" s="256" t="n">
        <x:f>IF(COUNT($B$129:$L$129)=11,B$129*EXP(IF(A2656&lt;0,(10-0)*A2656,-0*A2656))+C$129*EXP(IF(A2656&lt;0,(10-1)*A2656,-1*A2656))+D$129*EXP(IF(A2656&lt;0,(10-2)*A2656,-2*A2656))+E$129*EXP(IF(A2656&lt;0,(10-3)*A2656,-3*A2656))+F$129*EXP(IF(A2656&lt;0,(10-4)*A2656,-4*A2656))+G$129*EXP(IF(A2656&lt;0,(10-5)*A2656,-5*A2656))+H$129*EXP(IF(A2656&lt;0,(10-6)*A2656,-6*A2656))+I$129*EXP(IF(A2656&lt;0,(10-7)*A2656,-7*A2656))+J$129*EXP(IF(A2656&lt;0,(10-8)*A2656,-8*A2656))+K$129*EXP(IF(A2656&lt;0,(10-9)*A2656,-9*A2656))+L$129*EXP(IF(A2656&lt;0,(10-10)*A2656,-10*A2656)),0)</x:f>
        <x:v>784962.4472639962</x:v>
      </x:c>
      <x:c r="C2656" s="256" t="n">
        <x:f>IF(B2656=0,IF(B2655=0,0,1),IF(B2655=0,0,IF(SIGN(B2656)&lt;&gt;SIGN(B2655),1,0)))</x:f>
        <x:v>0</x:v>
      </x:c>
      <x:c r="D2656" s="256" t="n">
        <x:f>EXP(A2656-0.005)-1</x:f>
        <x:v>-0.7866881287770846</x:v>
      </x:c>
    </x:row>
    <x:row r="2657" ht="20" customHeight="1">
      <x:c r="A2657" s="256" t="n">
        <x:f>-12+1047*0.01</x:f>
        <x:v>-1.5299999999999994</x:v>
      </x:c>
      <x:c r="B2657" s="256" t="n">
        <x:f>IF(COUNT($B$129:$L$129)=11,B$129*EXP(IF(A2657&lt;0,(10-0)*A2657,-0*A2657))+C$129*EXP(IF(A2657&lt;0,(10-1)*A2657,-1*A2657))+D$129*EXP(IF(A2657&lt;0,(10-2)*A2657,-2*A2657))+E$129*EXP(IF(A2657&lt;0,(10-3)*A2657,-3*A2657))+F$129*EXP(IF(A2657&lt;0,(10-4)*A2657,-4*A2657))+G$129*EXP(IF(A2657&lt;0,(10-5)*A2657,-5*A2657))+H$129*EXP(IF(A2657&lt;0,(10-6)*A2657,-6*A2657))+I$129*EXP(IF(A2657&lt;0,(10-7)*A2657,-7*A2657))+J$129*EXP(IF(A2657&lt;0,(10-8)*A2657,-8*A2657))+K$129*EXP(IF(A2657&lt;0,(10-9)*A2657,-9*A2657))+L$129*EXP(IF(A2657&lt;0,(10-10)*A2657,-10*A2657)),0)</x:f>
        <x:v>785000.8534456571</x:v>
      </x:c>
      <x:c r="C2657" s="256" t="n">
        <x:f>IF(B2657=0,IF(B2656=0,0,1),IF(B2656=0,0,IF(SIGN(B2657)&lt;&gt;SIGN(B2656),1,0)))</x:f>
        <x:v>0</x:v>
      </x:c>
      <x:c r="D2657" s="256" t="n">
        <x:f>EXP(A2657-0.005)-1</x:f>
        <x:v>-0.7845443088302577</x:v>
      </x:c>
    </x:row>
    <x:row r="2658" ht="20" customHeight="1">
      <x:c r="A2658" s="256" t="n">
        <x:f>-12+1048*0.01</x:f>
        <x:v>-1.5199999999999996</x:v>
      </x:c>
      <x:c r="B2658" s="256" t="n">
        <x:f>IF(COUNT($B$129:$L$129)=11,B$129*EXP(IF(A2658&lt;0,(10-0)*A2658,-0*A2658))+C$129*EXP(IF(A2658&lt;0,(10-1)*A2658,-1*A2658))+D$129*EXP(IF(A2658&lt;0,(10-2)*A2658,-2*A2658))+E$129*EXP(IF(A2658&lt;0,(10-3)*A2658,-3*A2658))+F$129*EXP(IF(A2658&lt;0,(10-4)*A2658,-4*A2658))+G$129*EXP(IF(A2658&lt;0,(10-5)*A2658,-5*A2658))+H$129*EXP(IF(A2658&lt;0,(10-6)*A2658,-6*A2658))+I$129*EXP(IF(A2658&lt;0,(10-7)*A2658,-7*A2658))+J$129*EXP(IF(A2658&lt;0,(10-8)*A2658,-8*A2658))+K$129*EXP(IF(A2658&lt;0,(10-9)*A2658,-9*A2658))+L$129*EXP(IF(A2658&lt;0,(10-10)*A2658,-10*A2658)),0)</x:f>
        <x:v>785039.7876385408</x:v>
      </x:c>
      <x:c r="C2658" s="256" t="n">
        <x:f>IF(B2658=0,IF(B2657=0,0,1),IF(B2657=0,0,IF(SIGN(B2658)&lt;&gt;SIGN(B2657),1,0)))</x:f>
        <x:v>0</x:v>
      </x:c>
      <x:c r="D2658" s="256" t="n">
        <x:f>EXP(A2658-0.005)-1</x:f>
        <x:v>-0.782378943134767</x:v>
      </x:c>
    </x:row>
    <x:row r="2659" ht="20" customHeight="1">
      <x:c r="A2659" s="256" t="n">
        <x:f>-12+1049*0.01</x:f>
        <x:v>-1.5099999999999998</x:v>
      </x:c>
      <x:c r="B2659" s="256" t="n">
        <x:f>IF(COUNT($B$129:$L$129)=11,B$129*EXP(IF(A2659&lt;0,(10-0)*A2659,-0*A2659))+C$129*EXP(IF(A2659&lt;0,(10-1)*A2659,-1*A2659))+D$129*EXP(IF(A2659&lt;0,(10-2)*A2659,-2*A2659))+E$129*EXP(IF(A2659&lt;0,(10-3)*A2659,-3*A2659))+F$129*EXP(IF(A2659&lt;0,(10-4)*A2659,-4*A2659))+G$129*EXP(IF(A2659&lt;0,(10-5)*A2659,-5*A2659))+H$129*EXP(IF(A2659&lt;0,(10-6)*A2659,-6*A2659))+I$129*EXP(IF(A2659&lt;0,(10-7)*A2659,-7*A2659))+J$129*EXP(IF(A2659&lt;0,(10-8)*A2659,-8*A2659))+K$129*EXP(IF(A2659&lt;0,(10-9)*A2659,-9*A2659))+L$129*EXP(IF(A2659&lt;0,(10-10)*A2659,-10*A2659)),0)</x:f>
        <x:v>785079.2586153336</x:v>
      </x:c>
      <x:c r="C2659" s="256" t="n">
        <x:f>IF(B2659=0,IF(B2658=0,0,1),IF(B2658=0,0,IF(SIGN(B2659)&lt;&gt;SIGN(B2658),1,0)))</x:f>
        <x:v>0</x:v>
      </x:c>
      <x:c r="D2659" s="256" t="n">
        <x:f>EXP(A2659-0.005)-1</x:f>
        <x:v>-0.7801918151522382</x:v>
      </x:c>
    </x:row>
    <x:row r="2660" ht="20" customHeight="1">
      <x:c r="A2660" s="256" t="n">
        <x:f>-12+1050*0.01</x:f>
        <x:v>-1.5</x:v>
      </x:c>
      <x:c r="B2660" s="256" t="n">
        <x:f>IF(COUNT($B$129:$L$129)=11,B$129*EXP(IF(A2660&lt;0,(10-0)*A2660,-0*A2660))+C$129*EXP(IF(A2660&lt;0,(10-1)*A2660,-1*A2660))+D$129*EXP(IF(A2660&lt;0,(10-2)*A2660,-2*A2660))+E$129*EXP(IF(A2660&lt;0,(10-3)*A2660,-3*A2660))+F$129*EXP(IF(A2660&lt;0,(10-4)*A2660,-4*A2660))+G$129*EXP(IF(A2660&lt;0,(10-5)*A2660,-5*A2660))+H$129*EXP(IF(A2660&lt;0,(10-6)*A2660,-6*A2660))+I$129*EXP(IF(A2660&lt;0,(10-7)*A2660,-7*A2660))+J$129*EXP(IF(A2660&lt;0,(10-8)*A2660,-8*A2660))+K$129*EXP(IF(A2660&lt;0,(10-9)*A2660,-9*A2660))+L$129*EXP(IF(A2660&lt;0,(10-10)*A2660,-10*A2660)),0)</x:f>
        <x:v>785119.2753236198</x:v>
      </x:c>
      <x:c r="C2660" s="256" t="n">
        <x:f>IF(B2660=0,IF(B2659=0,0,1),IF(B2659=0,0,IF(SIGN(B2660)&lt;&gt;SIGN(B2659),1,0)))</x:f>
        <x:v>0</x:v>
      </x:c>
      <x:c r="D2660" s="256" t="n">
        <x:f>EXP(A2660-0.005)-1</x:f>
        <x:v>-0.7779827061680505</x:v>
      </x:c>
    </x:row>
    <x:row r="2661" ht="20" customHeight="1">
      <x:c r="A2661" s="256" t="n">
        <x:f>-12+1051*0.01</x:f>
        <x:v>-1.4900000000000002</x:v>
      </x:c>
      <x:c r="B2661" s="256" t="n">
        <x:f>IF(COUNT($B$129:$L$129)=11,B$129*EXP(IF(A2661&lt;0,(10-0)*A2661,-0*A2661))+C$129*EXP(IF(A2661&lt;0,(10-1)*A2661,-1*A2661))+D$129*EXP(IF(A2661&lt;0,(10-2)*A2661,-2*A2661))+E$129*EXP(IF(A2661&lt;0,(10-3)*A2661,-3*A2661))+F$129*EXP(IF(A2661&lt;0,(10-4)*A2661,-4*A2661))+G$129*EXP(IF(A2661&lt;0,(10-5)*A2661,-5*A2661))+H$129*EXP(IF(A2661&lt;0,(10-6)*A2661,-6*A2661))+I$129*EXP(IF(A2661&lt;0,(10-7)*A2661,-7*A2661))+J$129*EXP(IF(A2661&lt;0,(10-8)*A2661,-8*A2661))+K$129*EXP(IF(A2661&lt;0,(10-9)*A2661,-9*A2661))+L$129*EXP(IF(A2661&lt;0,(10-10)*A2661,-10*A2661)),0)</x:f>
        <x:v>785159.8468896186</x:v>
      </x:c>
      <x:c r="C2661" s="256" t="n">
        <x:f>IF(B2661=0,IF(B2660=0,0,1),IF(B2660=0,0,IF(SIGN(B2661)&lt;&gt;SIGN(B2660),1,0)))</x:f>
        <x:v>0</x:v>
      </x:c>
      <x:c r="D2661" s="256" t="n">
        <x:f>EXP(A2661-0.005)-1</x:f>
        <x:v>-0.7757513952694647</x:v>
      </x:c>
    </x:row>
    <x:row r="2662" ht="20" customHeight="1">
      <x:c r="A2662" s="256" t="n">
        <x:f>-12+1052*0.01</x:f>
        <x:v>-1.4800000000000004</x:v>
      </x:c>
      <x:c r="B2662" s="256" t="n">
        <x:f>IF(COUNT($B$129:$L$129)=11,B$129*EXP(IF(A2662&lt;0,(10-0)*A2662,-0*A2662))+C$129*EXP(IF(A2662&lt;0,(10-1)*A2662,-1*A2662))+D$129*EXP(IF(A2662&lt;0,(10-2)*A2662,-2*A2662))+E$129*EXP(IF(A2662&lt;0,(10-3)*A2662,-3*A2662))+F$129*EXP(IF(A2662&lt;0,(10-4)*A2662,-4*A2662))+G$129*EXP(IF(A2662&lt;0,(10-5)*A2662,-5*A2662))+H$129*EXP(IF(A2662&lt;0,(10-6)*A2662,-6*A2662))+I$129*EXP(IF(A2662&lt;0,(10-7)*A2662,-7*A2662))+J$129*EXP(IF(A2662&lt;0,(10-8)*A2662,-8*A2662))+K$129*EXP(IF(A2662&lt;0,(10-9)*A2662,-9*A2662))+L$129*EXP(IF(A2662&lt;0,(10-10)*A2662,-10*A2662)),0)</x:f>
        <x:v>785200.9826219698</x:v>
      </x:c>
      <x:c r="C2662" s="256" t="n">
        <x:f>IF(B2662=0,IF(B2661=0,0,1),IF(B2661=0,0,IF(SIGN(B2662)&lt;&gt;SIGN(B2661),1,0)))</x:f>
        <x:v>0</x:v>
      </x:c>
      <x:c r="D2662" s="256" t="n">
        <x:f>EXP(A2662-0.005)-1</x:f>
        <x:v>-0.7734976593235313</x:v>
      </x:c>
    </x:row>
    <x:row r="2663" ht="20" customHeight="1">
      <x:c r="A2663" s="256" t="n">
        <x:f>-12+1053*0.01</x:f>
        <x:v>-1.4700000000000006</x:v>
      </x:c>
      <x:c r="B2663" s="256" t="n">
        <x:f>IF(COUNT($B$129:$L$129)=11,B$129*EXP(IF(A2663&lt;0,(10-0)*A2663,-0*A2663))+C$129*EXP(IF(A2663&lt;0,(10-1)*A2663,-1*A2663))+D$129*EXP(IF(A2663&lt;0,(10-2)*A2663,-2*A2663))+E$129*EXP(IF(A2663&lt;0,(10-3)*A2663,-3*A2663))+F$129*EXP(IF(A2663&lt;0,(10-4)*A2663,-4*A2663))+G$129*EXP(IF(A2663&lt;0,(10-5)*A2663,-5*A2663))+H$129*EXP(IF(A2663&lt;0,(10-6)*A2663,-6*A2663))+I$129*EXP(IF(A2663&lt;0,(10-7)*A2663,-7*A2663))+J$129*EXP(IF(A2663&lt;0,(10-8)*A2663,-8*A2663))+K$129*EXP(IF(A2663&lt;0,(10-9)*A2663,-9*A2663))+L$129*EXP(IF(A2663&lt;0,(10-10)*A2663,-10*A2663)),0)</x:f>
        <x:v>785242.6920155683</x:v>
      </x:c>
      <x:c r="C2663" s="256" t="n">
        <x:f>IF(B2663=0,IF(B2662=0,0,1),IF(B2662=0,0,IF(SIGN(B2663)&lt;&gt;SIGN(B2662),1,0)))</x:f>
        <x:v>0</x:v>
      </x:c>
      <x:c r="D2663" s="256" t="n">
        <x:f>EXP(A2663-0.005)-1</x:f>
        <x:v>-0.7712212729547777</x:v>
      </x:c>
    </x:row>
    <x:row r="2664" ht="20" customHeight="1">
      <x:c r="A2664" s="256" t="n">
        <x:f>-12+1054*0.01</x:f>
        <x:v>-1.459999999999999</x:v>
      </x:c>
      <x:c r="B2664" s="256" t="n">
        <x:f>IF(COUNT($B$129:$L$129)=11,B$129*EXP(IF(A2664&lt;0,(10-0)*A2664,-0*A2664))+C$129*EXP(IF(A2664&lt;0,(10-1)*A2664,-1*A2664))+D$129*EXP(IF(A2664&lt;0,(10-2)*A2664,-2*A2664))+E$129*EXP(IF(A2664&lt;0,(10-3)*A2664,-3*A2664))+F$129*EXP(IF(A2664&lt;0,(10-4)*A2664,-4*A2664))+G$129*EXP(IF(A2664&lt;0,(10-5)*A2664,-5*A2664))+H$129*EXP(IF(A2664&lt;0,(10-6)*A2664,-6*A2664))+I$129*EXP(IF(A2664&lt;0,(10-7)*A2664,-7*A2664))+J$129*EXP(IF(A2664&lt;0,(10-8)*A2664,-8*A2664))+K$129*EXP(IF(A2664&lt;0,(10-9)*A2664,-9*A2664))+L$129*EXP(IF(A2664&lt;0,(10-10)*A2664,-10*A2664)),0)</x:f>
        <x:v>785284.9847554403</x:v>
      </x:c>
      <x:c r="C2664" s="256" t="n">
        <x:f>IF(B2664=0,IF(B2663=0,0,1),IF(B2663=0,0,IF(SIGN(B2664)&lt;&gt;SIGN(B2663),1,0)))</x:f>
        <x:v>0</x:v>
      </x:c>
      <x:c r="D2664" s="256" t="n">
        <x:f>EXP(A2664-0.005)-1</x:f>
        <x:v>-0.7689220085226696</x:v>
      </x:c>
    </x:row>
    <x:row r="2665" ht="20" customHeight="1">
      <x:c r="A2665" s="256" t="n">
        <x:f>-12+1055*0.01</x:f>
        <x:v>-1.4499999999999993</x:v>
      </x:c>
      <x:c r="B2665" s="256" t="n">
        <x:f>IF(COUNT($B$129:$L$129)=11,B$129*EXP(IF(A2665&lt;0,(10-0)*A2665,-0*A2665))+C$129*EXP(IF(A2665&lt;0,(10-1)*A2665,-1*A2665))+D$129*EXP(IF(A2665&lt;0,(10-2)*A2665,-2*A2665))+E$129*EXP(IF(A2665&lt;0,(10-3)*A2665,-3*A2665))+F$129*EXP(IF(A2665&lt;0,(10-4)*A2665,-4*A2665))+G$129*EXP(IF(A2665&lt;0,(10-5)*A2665,-5*A2665))+H$129*EXP(IF(A2665&lt;0,(10-6)*A2665,-6*A2665))+I$129*EXP(IF(A2665&lt;0,(10-7)*A2665,-7*A2665))+J$129*EXP(IF(A2665&lt;0,(10-8)*A2665,-8*A2665))+K$129*EXP(IF(A2665&lt;0,(10-9)*A2665,-9*A2665))+L$129*EXP(IF(A2665&lt;0,(10-10)*A2665,-10*A2665)),0)</x:f>
        <x:v>785327.8707206587</x:v>
      </x:c>
      <x:c r="C2665" s="256" t="n">
        <x:f>IF(B2665=0,IF(B2664=0,0,1),IF(B2664=0,0,IF(SIGN(B2665)&lt;&gt;SIGN(B2664),1,0)))</x:f>
        <x:v>0</x:v>
      </x:c>
      <x:c r="D2665" s="256" t="n">
        <x:f>EXP(A2665-0.005)-1</x:f>
        <x:v>-0.7665996360988485</x:v>
      </x:c>
    </x:row>
    <x:row r="2666" ht="20" customHeight="1">
      <x:c r="A2666" s="256" t="n">
        <x:f>-12+1056*0.01</x:f>
        <x:v>-1.4399999999999995</x:v>
      </x:c>
      <x:c r="B2666" s="256" t="n">
        <x:f>IF(COUNT($B$129:$L$129)=11,B$129*EXP(IF(A2666&lt;0,(10-0)*A2666,-0*A2666))+C$129*EXP(IF(A2666&lt;0,(10-1)*A2666,-1*A2666))+D$129*EXP(IF(A2666&lt;0,(10-2)*A2666,-2*A2666))+E$129*EXP(IF(A2666&lt;0,(10-3)*A2666,-3*A2666))+F$129*EXP(IF(A2666&lt;0,(10-4)*A2666,-4*A2666))+G$129*EXP(IF(A2666&lt;0,(10-5)*A2666,-5*A2666))+H$129*EXP(IF(A2666&lt;0,(10-6)*A2666,-6*A2666))+I$129*EXP(IF(A2666&lt;0,(10-7)*A2666,-7*A2666))+J$129*EXP(IF(A2666&lt;0,(10-8)*A2666,-8*A2666))+K$129*EXP(IF(A2666&lt;0,(10-9)*A2666,-9*A2666))+L$129*EXP(IF(A2666&lt;0,(10-10)*A2666,-10*A2666)),0)</x:f>
        <x:v>785371.35998829</x:v>
      </x:c>
      <x:c r="C2666" s="256" t="n">
        <x:f>IF(B2666=0,IF(B2665=0,0,1),IF(B2665=0,0,IF(SIGN(B2666)&lt;&gt;SIGN(B2665),1,0)))</x:f>
        <x:v>0</x:v>
      </x:c>
      <x:c r="D2666" s="256" t="n">
        <x:f>EXP(A2666-0.005)-1</x:f>
        <x:v>-0.7642539234441363</x:v>
      </x:c>
    </x:row>
    <x:row r="2667" ht="20" customHeight="1">
      <x:c r="A2667" s="256" t="n">
        <x:f>-12+1057*0.01</x:f>
        <x:v>-1.4299999999999997</x:v>
      </x:c>
      <x:c r="B2667" s="256" t="n">
        <x:f>IF(COUNT($B$129:$L$129)=11,B$129*EXP(IF(A2667&lt;0,(10-0)*A2667,-0*A2667))+C$129*EXP(IF(A2667&lt;0,(10-1)*A2667,-1*A2667))+D$129*EXP(IF(A2667&lt;0,(10-2)*A2667,-2*A2667))+E$129*EXP(IF(A2667&lt;0,(10-3)*A2667,-3*A2667))+F$129*EXP(IF(A2667&lt;0,(10-4)*A2667,-4*A2667))+G$129*EXP(IF(A2667&lt;0,(10-5)*A2667,-5*A2667))+H$129*EXP(IF(A2667&lt;0,(10-6)*A2667,-6*A2667))+I$129*EXP(IF(A2667&lt;0,(10-7)*A2667,-7*A2667))+J$129*EXP(IF(A2667&lt;0,(10-8)*A2667,-8*A2667))+K$129*EXP(IF(A2667&lt;0,(10-9)*A2667,-9*A2667))+L$129*EXP(IF(A2667&lt;0,(10-10)*A2667,-10*A2667)),0)</x:f>
        <x:v>785415.4628373672</x:v>
      </x:c>
      <x:c r="C2667" s="256" t="n">
        <x:f>IF(B2667=0,IF(B2666=0,0,1),IF(B2666=0,0,IF(SIGN(B2667)&lt;&gt;SIGN(B2666),1,0)))</x:f>
        <x:v>0</x:v>
      </x:c>
      <x:c r="D2667" s="256" t="n">
        <x:f>EXP(A2667-0.005)-1</x:f>
        <x:v>-0.7618846359853129</x:v>
      </x:c>
    </x:row>
    <x:row r="2668" ht="20" customHeight="1">
      <x:c r="A2668" s="256" t="n">
        <x:f>-12+1058*0.01</x:f>
        <x:v>-1.42</x:v>
      </x:c>
      <x:c r="B2668" s="256" t="n">
        <x:f>IF(COUNT($B$129:$L$129)=11,B$129*EXP(IF(A2668&lt;0,(10-0)*A2668,-0*A2668))+C$129*EXP(IF(A2668&lt;0,(10-1)*A2668,-1*A2668))+D$129*EXP(IF(A2668&lt;0,(10-2)*A2668,-2*A2668))+E$129*EXP(IF(A2668&lt;0,(10-3)*A2668,-3*A2668))+F$129*EXP(IF(A2668&lt;0,(10-4)*A2668,-4*A2668))+G$129*EXP(IF(A2668&lt;0,(10-5)*A2668,-5*A2668))+H$129*EXP(IF(A2668&lt;0,(10-6)*A2668,-6*A2668))+I$129*EXP(IF(A2668&lt;0,(10-7)*A2668,-7*A2668))+J$129*EXP(IF(A2668&lt;0,(10-8)*A2668,-8*A2668))+K$129*EXP(IF(A2668&lt;0,(10-9)*A2668,-9*A2668))+L$129*EXP(IF(A2668&lt;0,(10-10)*A2668,-10*A2668)),0)</x:f>
        <x:v>785460.1897528815</x:v>
      </x:c>
      <x:c r="C2668" s="256" t="n">
        <x:f>IF(B2668=0,IF(B2667=0,0,1),IF(B2667=0,0,IF(SIGN(B2668)&lt;&gt;SIGN(B2667),1,0)))</x:f>
        <x:v>0</x:v>
      </x:c>
      <x:c r="D2668" s="256" t="n">
        <x:f>EXP(A2668-0.005)-1</x:f>
        <x:v>-0.7594915367916578</x:v>
      </x:c>
    </x:row>
    <x:row r="2669" ht="20" customHeight="1">
      <x:c r="A2669" s="256" t="n">
        <x:f>-12+1059*0.01</x:f>
        <x:v>-1.4100000000000001</x:v>
      </x:c>
      <x:c r="B2669" s="256" t="n">
        <x:f>IF(COUNT($B$129:$L$129)=11,B$129*EXP(IF(A2669&lt;0,(10-0)*A2669,-0*A2669))+C$129*EXP(IF(A2669&lt;0,(10-1)*A2669,-1*A2669))+D$129*EXP(IF(A2669&lt;0,(10-2)*A2669,-2*A2669))+E$129*EXP(IF(A2669&lt;0,(10-3)*A2669,-3*A2669))+F$129*EXP(IF(A2669&lt;0,(10-4)*A2669,-4*A2669))+G$129*EXP(IF(A2669&lt;0,(10-5)*A2669,-5*A2669))+H$129*EXP(IF(A2669&lt;0,(10-6)*A2669,-6*A2669))+I$129*EXP(IF(A2669&lt;0,(10-7)*A2669,-7*A2669))+J$129*EXP(IF(A2669&lt;0,(10-8)*A2669,-8*A2669))+K$129*EXP(IF(A2669&lt;0,(10-9)*A2669,-9*A2669))+L$129*EXP(IF(A2669&lt;0,(10-10)*A2669,-10*A2669)),0)</x:f>
        <x:v>785505.5514297836</x:v>
      </x:c>
      <x:c r="C2669" s="256" t="n">
        <x:f>IF(B2669=0,IF(B2668=0,0,1),IF(B2668=0,0,IF(SIGN(B2669)&lt;&gt;SIGN(B2668),1,0)))</x:f>
        <x:v>0</x:v>
      </x:c>
      <x:c r="D2669" s="256" t="n">
        <x:f>EXP(A2669-0.005)-1</x:f>
        <x:v>-0.7570743865512576</x:v>
      </x:c>
    </x:row>
    <x:row r="2670" ht="20" customHeight="1">
      <x:c r="A2670" s="256" t="n">
        <x:f>-12+1060*0.01</x:f>
        <x:v>-1.4000000000000004</x:v>
      </x:c>
      <x:c r="B2670" s="256" t="n">
        <x:f>IF(COUNT($B$129:$L$129)=11,B$129*EXP(IF(A2670&lt;0,(10-0)*A2670,-0*A2670))+C$129*EXP(IF(A2670&lt;0,(10-1)*A2670,-1*A2670))+D$129*EXP(IF(A2670&lt;0,(10-2)*A2670,-2*A2670))+E$129*EXP(IF(A2670&lt;0,(10-3)*A2670,-3*A2670))+F$129*EXP(IF(A2670&lt;0,(10-4)*A2670,-4*A2670))+G$129*EXP(IF(A2670&lt;0,(10-5)*A2670,-5*A2670))+H$129*EXP(IF(A2670&lt;0,(10-6)*A2670,-6*A2670))+I$129*EXP(IF(A2670&lt;0,(10-7)*A2670,-7*A2670))+J$129*EXP(IF(A2670&lt;0,(10-8)*A2670,-8*A2670))+K$129*EXP(IF(A2670&lt;0,(10-9)*A2670,-9*A2670))+L$129*EXP(IF(A2670&lt;0,(10-10)*A2670,-10*A2670)),0)</x:f>
        <x:v>785551.5587769843</x:v>
      </x:c>
      <x:c r="C2670" s="256" t="n">
        <x:f>IF(B2670=0,IF(B2669=0,0,1),IF(B2669=0,0,IF(SIGN(B2670)&lt;&gt;SIGN(B2669),1,0)))</x:f>
        <x:v>0</x:v>
      </x:c>
      <x:c r="D2670" s="256" t="n">
        <x:f>EXP(A2670-0.005)-1</x:f>
        <x:v>-0.7546329435470738</x:v>
      </x:c>
    </x:row>
    <x:row r="2671" ht="20" customHeight="1">
      <x:c r="A2671" s="256" t="n">
        <x:f>-12+1061*0.01</x:f>
        <x:v>-1.3900000000000006</x:v>
      </x:c>
      <x:c r="B2671" s="256" t="n">
        <x:f>IF(COUNT($B$129:$L$129)=11,B$129*EXP(IF(A2671&lt;0,(10-0)*A2671,-0*A2671))+C$129*EXP(IF(A2671&lt;0,(10-1)*A2671,-1*A2671))+D$129*EXP(IF(A2671&lt;0,(10-2)*A2671,-2*A2671))+E$129*EXP(IF(A2671&lt;0,(10-3)*A2671,-3*A2671))+F$129*EXP(IF(A2671&lt;0,(10-4)*A2671,-4*A2671))+G$129*EXP(IF(A2671&lt;0,(10-5)*A2671,-5*A2671))+H$129*EXP(IF(A2671&lt;0,(10-6)*A2671,-6*A2671))+I$129*EXP(IF(A2671&lt;0,(10-7)*A2671,-7*A2671))+J$129*EXP(IF(A2671&lt;0,(10-8)*A2671,-8*A2671))+K$129*EXP(IF(A2671&lt;0,(10-9)*A2671,-9*A2671))+L$129*EXP(IF(A2671&lt;0,(10-10)*A2671,-10*A2671)),0)</x:f>
        <x:v>785598.2229213456</x:v>
      </x:c>
      <x:c r="C2671" s="256" t="n">
        <x:f>IF(B2671=0,IF(B2670=0,0,1),IF(B2670=0,0,IF(SIGN(B2671)&lt;&gt;SIGN(B2670),1,0)))</x:f>
        <x:v>0</x:v>
      </x:c>
      <x:c r="D2671" s="256" t="n">
        <x:f>EXP(A2671-0.005)-1</x:f>
        <x:v>-0.7521669636327714</x:v>
      </x:c>
    </x:row>
    <x:row r="2672" ht="20" customHeight="1">
      <x:c r="A2672" s="256" t="n">
        <x:f>-12+1062*0.01</x:f>
        <x:v>-1.379999999999999</x:v>
      </x:c>
      <x:c r="B2672" s="256" t="n">
        <x:f>IF(COUNT($B$129:$L$129)=11,B$129*EXP(IF(A2672&lt;0,(10-0)*A2672,-0*A2672))+C$129*EXP(IF(A2672&lt;0,(10-1)*A2672,-1*A2672))+D$129*EXP(IF(A2672&lt;0,(10-2)*A2672,-2*A2672))+E$129*EXP(IF(A2672&lt;0,(10-3)*A2672,-3*A2672))+F$129*EXP(IF(A2672&lt;0,(10-4)*A2672,-4*A2672))+G$129*EXP(IF(A2672&lt;0,(10-5)*A2672,-5*A2672))+H$129*EXP(IF(A2672&lt;0,(10-6)*A2672,-6*A2672))+I$129*EXP(IF(A2672&lt;0,(10-7)*A2672,-7*A2672))+J$129*EXP(IF(A2672&lt;0,(10-8)*A2672,-8*A2672))+K$129*EXP(IF(A2672&lt;0,(10-9)*A2672,-9*A2672))+L$129*EXP(IF(A2672&lt;0,(10-10)*A2672,-10*A2672)),0)</x:f>
        <x:v>785645.5552116472</x:v>
      </x:c>
      <x:c r="C2672" s="256" t="n">
        <x:f>IF(B2672=0,IF(B2671=0,0,1),IF(B2671=0,0,IF(SIGN(B2672)&lt;&gt;SIGN(B2671),1,0)))</x:f>
        <x:v>0</x:v>
      </x:c>
      <x:c r="D2672" s="256" t="n">
        <x:f>EXP(A2672-0.005)-1</x:f>
        <x:v>-0.7496762002083036</x:v>
      </x:c>
    </x:row>
    <x:row r="2673" ht="20" customHeight="1">
      <x:c r="A2673" s="256" t="n">
        <x:f>-12+1063*0.01</x:f>
        <x:v>-1.3699999999999992</x:v>
      </x:c>
      <x:c r="B2673" s="256" t="n">
        <x:f>IF(COUNT($B$129:$L$129)=11,B$129*EXP(IF(A2673&lt;0,(10-0)*A2673,-0*A2673))+C$129*EXP(IF(A2673&lt;0,(10-1)*A2673,-1*A2673))+D$129*EXP(IF(A2673&lt;0,(10-2)*A2673,-2*A2673))+E$129*EXP(IF(A2673&lt;0,(10-3)*A2673,-3*A2673))+F$129*EXP(IF(A2673&lt;0,(10-4)*A2673,-4*A2673))+G$129*EXP(IF(A2673&lt;0,(10-5)*A2673,-5*A2673))+H$129*EXP(IF(A2673&lt;0,(10-6)*A2673,-6*A2673))+I$129*EXP(IF(A2673&lt;0,(10-7)*A2673,-7*A2673))+J$129*EXP(IF(A2673&lt;0,(10-8)*A2673,-8*A2673))+K$129*EXP(IF(A2673&lt;0,(10-9)*A2673,-9*A2673))+L$129*EXP(IF(A2673&lt;0,(10-10)*A2673,-10*A2673)),0)</x:f>
        <x:v>785693.5672225157</x:v>
      </x:c>
      <x:c r="C2673" s="256" t="n">
        <x:f>IF(B2673=0,IF(B2672=0,0,1),IF(B2672=0,0,IF(SIGN(B2673)&lt;&gt;SIGN(B2672),1,0)))</x:f>
        <x:v>0</x:v>
      </x:c>
      <x:c r="D2673" s="256" t="n">
        <x:f>EXP(A2673-0.005)-1</x:f>
        <x:v>-0.7471604041952533</x:v>
      </x:c>
    </x:row>
    <x:row r="2674" ht="20" customHeight="1">
      <x:c r="A2674" s="256" t="n">
        <x:f>-12+1064*0.01</x:f>
        <x:v>-1.3599999999999994</x:v>
      </x:c>
      <x:c r="B2674" s="256" t="n">
        <x:f>IF(COUNT($B$129:$L$129)=11,B$129*EXP(IF(A2674&lt;0,(10-0)*A2674,-0*A2674))+C$129*EXP(IF(A2674&lt;0,(10-1)*A2674,-1*A2674))+D$129*EXP(IF(A2674&lt;0,(10-2)*A2674,-2*A2674))+E$129*EXP(IF(A2674&lt;0,(10-3)*A2674,-3*A2674))+F$129*EXP(IF(A2674&lt;0,(10-4)*A2674,-4*A2674))+G$129*EXP(IF(A2674&lt;0,(10-5)*A2674,-5*A2674))+H$129*EXP(IF(A2674&lt;0,(10-6)*A2674,-6*A2674))+I$129*EXP(IF(A2674&lt;0,(10-7)*A2674,-7*A2674))+J$129*EXP(IF(A2674&lt;0,(10-8)*A2674,-8*A2674))+K$129*EXP(IF(A2674&lt;0,(10-9)*A2674,-9*A2674))+L$129*EXP(IF(A2674&lt;0,(10-10)*A2674,-10*A2674)),0)</x:f>
        <x:v>785742.270758301</x:v>
      </x:c>
      <x:c r="C2674" s="256" t="n">
        <x:f>IF(B2674=0,IF(B2673=0,0,1),IF(B2673=0,0,IF(SIGN(B2674)&lt;&gt;SIGN(B2673),1,0)))</x:f>
        <x:v>0</x:v>
      </x:c>
      <x:c r="D2674" s="256" t="n">
        <x:f>EXP(A2674-0.005)-1</x:f>
        <x:v>-0.7446193240119221</x:v>
      </x:c>
    </x:row>
    <x:row r="2675" ht="20" customHeight="1">
      <x:c r="A2675" s="256" t="n">
        <x:f>-12+1065*0.01</x:f>
        <x:v>-1.3499999999999996</x:v>
      </x:c>
      <x:c r="B2675" s="256" t="n">
        <x:f>IF(COUNT($B$129:$L$129)=11,B$129*EXP(IF(A2675&lt;0,(10-0)*A2675,-0*A2675))+C$129*EXP(IF(A2675&lt;0,(10-1)*A2675,-1*A2675))+D$129*EXP(IF(A2675&lt;0,(10-2)*A2675,-2*A2675))+E$129*EXP(IF(A2675&lt;0,(10-3)*A2675,-3*A2675))+F$129*EXP(IF(A2675&lt;0,(10-4)*A2675,-4*A2675))+G$129*EXP(IF(A2675&lt;0,(10-5)*A2675,-5*A2675))+H$129*EXP(IF(A2675&lt;0,(10-6)*A2675,-6*A2675))+I$129*EXP(IF(A2675&lt;0,(10-7)*A2675,-7*A2675))+J$129*EXP(IF(A2675&lt;0,(10-8)*A2675,-8*A2675))+K$129*EXP(IF(A2675&lt;0,(10-9)*A2675,-9*A2675))+L$129*EXP(IF(A2675&lt;0,(10-10)*A2675,-10*A2675)),0)</x:f>
        <x:v>785791.677856881</x:v>
      </x:c>
      <x:c r="C2675" s="256" t="n">
        <x:f>IF(B2675=0,IF(B2674=0,0,1),IF(B2674=0,0,IF(SIGN(B2675)&lt;&gt;SIGN(B2674),1,0)))</x:f>
        <x:v>0</x:v>
      </x:c>
      <x:c r="D2675" s="256" t="n">
        <x:f>EXP(A2675-0.005)-1</x:f>
        <x:v>-0.7420527055481743</x:v>
      </x:c>
    </x:row>
    <x:row r="2676" ht="20" customHeight="1">
      <x:c r="A2676" s="256" t="n">
        <x:f>-12+1066*0.01</x:f>
        <x:v>-1.3399999999999999</x:v>
      </x:c>
      <x:c r="B2676" s="256" t="n">
        <x:f>IF(COUNT($B$129:$L$129)=11,B$129*EXP(IF(A2676&lt;0,(10-0)*A2676,-0*A2676))+C$129*EXP(IF(A2676&lt;0,(10-1)*A2676,-1*A2676))+D$129*EXP(IF(A2676&lt;0,(10-2)*A2676,-2*A2676))+E$129*EXP(IF(A2676&lt;0,(10-3)*A2676,-3*A2676))+F$129*EXP(IF(A2676&lt;0,(10-4)*A2676,-4*A2676))+G$129*EXP(IF(A2676&lt;0,(10-5)*A2676,-5*A2676))+H$129*EXP(IF(A2676&lt;0,(10-6)*A2676,-6*A2676))+I$129*EXP(IF(A2676&lt;0,(10-7)*A2676,-7*A2676))+J$129*EXP(IF(A2676&lt;0,(10-8)*A2676,-8*A2676))+K$129*EXP(IF(A2676&lt;0,(10-9)*A2676,-9*A2676))+L$129*EXP(IF(A2676&lt;0,(10-10)*A2676,-10*A2676)),0)</x:f>
        <x:v>785841.8007933754</x:v>
      </x:c>
      <x:c r="C2676" s="256" t="n">
        <x:f>IF(B2676=0,IF(B2675=0,0,1),IF(B2675=0,0,IF(SIGN(B2676)&lt;&gt;SIGN(B2675),1,0)))</x:f>
        <x:v>0</x:v>
      </x:c>
      <x:c r="D2676" s="256" t="n">
        <x:f>EXP(A2676-0.005)-1</x:f>
        <x:v>-0.7394602921400244</x:v>
      </x:c>
    </x:row>
    <x:row r="2677" ht="20" customHeight="1">
      <x:c r="A2677" s="256" t="n">
        <x:f>-12+1067*0.01</x:f>
        <x:v>-1.33</x:v>
      </x:c>
      <x:c r="B2677" s="256" t="n">
        <x:f>IF(COUNT($B$129:$L$129)=11,B$129*EXP(IF(A2677&lt;0,(10-0)*A2677,-0*A2677))+C$129*EXP(IF(A2677&lt;0,(10-1)*A2677,-1*A2677))+D$129*EXP(IF(A2677&lt;0,(10-2)*A2677,-2*A2677))+E$129*EXP(IF(A2677&lt;0,(10-3)*A2677,-3*A2677))+F$129*EXP(IF(A2677&lt;0,(10-4)*A2677,-4*A2677))+G$129*EXP(IF(A2677&lt;0,(10-5)*A2677,-5*A2677))+H$129*EXP(IF(A2677&lt;0,(10-6)*A2677,-6*A2677))+I$129*EXP(IF(A2677&lt;0,(10-7)*A2677,-7*A2677))+J$129*EXP(IF(A2677&lt;0,(10-8)*A2677,-8*A2677))+K$129*EXP(IF(A2677&lt;0,(10-9)*A2677,-9*A2677))+L$129*EXP(IF(A2677&lt;0,(10-10)*A2677,-10*A2677)),0)</x:f>
        <x:v>785892.652083745</x:v>
      </x:c>
      <x:c r="C2677" s="256" t="n">
        <x:f>IF(B2677=0,IF(B2676=0,0,1),IF(B2676=0,0,IF(SIGN(B2677)&lt;&gt;SIGN(B2676),1,0)))</x:f>
        <x:v>0</x:v>
      </x:c>
      <x:c r="D2677" s="256" t="n">
        <x:f>EXP(A2677-0.005)-1</x:f>
        <x:v>-0.7368418245439713</x:v>
      </x:c>
    </x:row>
    <x:row r="2678" ht="20" customHeight="1">
      <x:c r="A2678" s="256" t="n">
        <x:f>-12+1068*0.01</x:f>
        <x:v>-1.3200000000000003</x:v>
      </x:c>
      <x:c r="B2678" s="256" t="n">
        <x:f>IF(COUNT($B$129:$L$129)=11,B$129*EXP(IF(A2678&lt;0,(10-0)*A2678,-0*A2678))+C$129*EXP(IF(A2678&lt;0,(10-1)*A2678,-1*A2678))+D$129*EXP(IF(A2678&lt;0,(10-2)*A2678,-2*A2678))+E$129*EXP(IF(A2678&lt;0,(10-3)*A2678,-3*A2678))+F$129*EXP(IF(A2678&lt;0,(10-4)*A2678,-4*A2678))+G$129*EXP(IF(A2678&lt;0,(10-5)*A2678,-5*A2678))+H$129*EXP(IF(A2678&lt;0,(10-6)*A2678,-6*A2678))+I$129*EXP(IF(A2678&lt;0,(10-7)*A2678,-7*A2678))+J$129*EXP(IF(A2678&lt;0,(10-8)*A2678,-8*A2678))+K$129*EXP(IF(A2678&lt;0,(10-9)*A2678,-9*A2678))+L$129*EXP(IF(A2678&lt;0,(10-10)*A2678,-10*A2678)),0)</x:f>
        <x:v>785944.2444882547</x:v>
      </x:c>
      <x:c r="C2678" s="256" t="n">
        <x:f>IF(B2678=0,IF(B2677=0,0,1),IF(B2677=0,0,IF(SIGN(B2678)&lt;&gt;SIGN(B2677),1,0)))</x:f>
        <x:v>0</x:v>
      </x:c>
      <x:c r="D2678" s="256" t="n">
        <x:f>EXP(A2678-0.005)-1</x:f>
        <x:v>-0.7341970409110734</x:v>
      </x:c>
    </x:row>
    <x:row r="2679" ht="20" customHeight="1">
      <x:c r="A2679" s="256" t="n">
        <x:f>-12+1069*0.01</x:f>
        <x:v>-1.3100000000000005</x:v>
      </x:c>
      <x:c r="B2679" s="256" t="n">
        <x:f>IF(COUNT($B$129:$L$129)=11,B$129*EXP(IF(A2679&lt;0,(10-0)*A2679,-0*A2679))+C$129*EXP(IF(A2679&lt;0,(10-1)*A2679,-1*A2679))+D$129*EXP(IF(A2679&lt;0,(10-2)*A2679,-2*A2679))+E$129*EXP(IF(A2679&lt;0,(10-3)*A2679,-3*A2679))+F$129*EXP(IF(A2679&lt;0,(10-4)*A2679,-4*A2679))+G$129*EXP(IF(A2679&lt;0,(10-5)*A2679,-5*A2679))+H$129*EXP(IF(A2679&lt;0,(10-6)*A2679,-6*A2679))+I$129*EXP(IF(A2679&lt;0,(10-7)*A2679,-7*A2679))+J$129*EXP(IF(A2679&lt;0,(10-8)*A2679,-8*A2679))+K$129*EXP(IF(A2679&lt;0,(10-9)*A2679,-9*A2679))+L$129*EXP(IF(A2679&lt;0,(10-10)*A2679,-10*A2679)),0)</x:f>
        <x:v>785996.5910147667</x:v>
      </x:c>
      <x:c r="C2679" s="256" t="n">
        <x:f>IF(B2679=0,IF(B2678=0,0,1),IF(B2678=0,0,IF(SIGN(B2679)&lt;&gt;SIGN(B2678),1,0)))</x:f>
        <x:v>0</x:v>
      </x:c>
      <x:c r="D2679" s="256" t="n">
        <x:f>EXP(A2679-0.005)-1</x:f>
        <x:v>-0.7315256767607635</x:v>
      </x:c>
    </x:row>
    <x:row r="2680" ht="20" customHeight="1">
      <x:c r="A2680" s="256" t="n">
        <x:f>-12+1070*0.01</x:f>
        <x:v>-1.299999999999999</x:v>
      </x:c>
      <x:c r="B2680" s="256" t="n">
        <x:f>IF(COUNT($B$129:$L$129)=11,B$129*EXP(IF(A2680&lt;0,(10-0)*A2680,-0*A2680))+C$129*EXP(IF(A2680&lt;0,(10-1)*A2680,-1*A2680))+D$129*EXP(IF(A2680&lt;0,(10-2)*A2680,-2*A2680))+E$129*EXP(IF(A2680&lt;0,(10-3)*A2680,-3*A2680))+F$129*EXP(IF(A2680&lt;0,(10-4)*A2680,-4*A2680))+G$129*EXP(IF(A2680&lt;0,(10-5)*A2680,-5*A2680))+H$129*EXP(IF(A2680&lt;0,(10-6)*A2680,-6*A2680))+I$129*EXP(IF(A2680&lt;0,(10-7)*A2680,-7*A2680))+J$129*EXP(IF(A2680&lt;0,(10-8)*A2680,-8*A2680))+K$129*EXP(IF(A2680&lt;0,(10-9)*A2680,-9*A2680))+L$129*EXP(IF(A2680&lt;0,(10-10)*A2680,-10*A2680)),0)</x:f>
        <x:v>786049.7049218381</x:v>
      </x:c>
      <x:c r="C2680" s="256" t="n">
        <x:f>IF(B2680=0,IF(B2679=0,0,1),IF(B2679=0,0,IF(SIGN(B2680)&lt;&gt;SIGN(B2679),1,0)))</x:f>
        <x:v>0</x:v>
      </x:c>
      <x:c r="D2680" s="256" t="n">
        <x:f>EXP(A2680-0.005)-1</x:f>
        <x:v>-0.7288274649543998</x:v>
      </x:c>
    </x:row>
    <x:row r="2681" ht="20" customHeight="1">
      <x:c r="A2681" s="256" t="n">
        <x:f>-12+1071*0.01</x:f>
        <x:v>-1.2899999999999991</x:v>
      </x:c>
      <x:c r="B2681" s="256" t="n">
        <x:f>IF(COUNT($B$129:$L$129)=11,B$129*EXP(IF(A2681&lt;0,(10-0)*A2681,-0*A2681))+C$129*EXP(IF(A2681&lt;0,(10-1)*A2681,-1*A2681))+D$129*EXP(IF(A2681&lt;0,(10-2)*A2681,-2*A2681))+E$129*EXP(IF(A2681&lt;0,(10-3)*A2681,-3*A2681))+F$129*EXP(IF(A2681&lt;0,(10-4)*A2681,-4*A2681))+G$129*EXP(IF(A2681&lt;0,(10-5)*A2681,-5*A2681))+H$129*EXP(IF(A2681&lt;0,(10-6)*A2681,-6*A2681))+I$129*EXP(IF(A2681&lt;0,(10-7)*A2681,-7*A2681))+J$129*EXP(IF(A2681&lt;0,(10-8)*A2681,-8*A2681))+K$129*EXP(IF(A2681&lt;0,(10-9)*A2681,-9*A2681))+L$129*EXP(IF(A2681&lt;0,(10-10)*A2681,-10*A2681)),0)</x:f>
        <x:v>786103.5997215846</x:v>
      </x:c>
      <x:c r="C2681" s="256" t="n">
        <x:f>IF(B2681=0,IF(B2680=0,0,1),IF(B2680=0,0,IF(SIGN(B2681)&lt;&gt;SIGN(B2680),1,0)))</x:f>
        <x:v>0</x:v>
      </x:c>
      <x:c r="D2681" s="256" t="n">
        <x:f>EXP(A2681-0.005)-1</x:f>
        <x:v>-0.7261021356685542</x:v>
      </x:c>
    </x:row>
    <x:row r="2682" ht="20" customHeight="1">
      <x:c r="A2682" s="256" t="n">
        <x:f>-12+1072*0.01</x:f>
        <x:v>-1.2799999999999994</x:v>
      </x:c>
      <x:c r="B2682" s="256" t="n">
        <x:f>IF(COUNT($B$129:$L$129)=11,B$129*EXP(IF(A2682&lt;0,(10-0)*A2682,-0*A2682))+C$129*EXP(IF(A2682&lt;0,(10-1)*A2682,-1*A2682))+D$129*EXP(IF(A2682&lt;0,(10-2)*A2682,-2*A2682))+E$129*EXP(IF(A2682&lt;0,(10-3)*A2682,-3*A2682))+F$129*EXP(IF(A2682&lt;0,(10-4)*A2682,-4*A2682))+G$129*EXP(IF(A2682&lt;0,(10-5)*A2682,-5*A2682))+H$129*EXP(IF(A2682&lt;0,(10-6)*A2682,-6*A2682))+I$129*EXP(IF(A2682&lt;0,(10-7)*A2682,-7*A2682))+J$129*EXP(IF(A2682&lt;0,(10-8)*A2682,-8*A2682))+K$129*EXP(IF(A2682&lt;0,(10-9)*A2682,-9*A2682))+L$129*EXP(IF(A2682&lt;0,(10-10)*A2682,-10*A2682)),0)</x:f>
        <x:v>786158.2891822717</x:v>
      </x:c>
      <x:c r="C2682" s="256" t="n">
        <x:f>IF(B2682=0,IF(B2681=0,0,1),IF(B2681=0,0,IF(SIGN(B2682)&lt;&gt;SIGN(B2681),1,0)))</x:f>
        <x:v>0</x:v>
      </x:c>
      <x:c r="D2682" s="256" t="n">
        <x:f>EXP(A2682-0.005)-1</x:f>
        <x:v>-0.7233494163680264</x:v>
      </x:c>
    </x:row>
    <x:row r="2683" ht="20" customHeight="1">
      <x:c r="A2683" s="256" t="n">
        <x:f>-12+1073*0.01</x:f>
        <x:v>-1.2699999999999996</x:v>
      </x:c>
      <x:c r="B2683" s="256" t="n">
        <x:f>IF(COUNT($B$129:$L$129)=11,B$129*EXP(IF(A2683&lt;0,(10-0)*A2683,-0*A2683))+C$129*EXP(IF(A2683&lt;0,(10-1)*A2683,-1*A2683))+D$129*EXP(IF(A2683&lt;0,(10-2)*A2683,-2*A2683))+E$129*EXP(IF(A2683&lt;0,(10-3)*A2683,-3*A2683))+F$129*EXP(IF(A2683&lt;0,(10-4)*A2683,-4*A2683))+G$129*EXP(IF(A2683&lt;0,(10-5)*A2683,-5*A2683))+H$129*EXP(IF(A2683&lt;0,(10-6)*A2683,-6*A2683))+I$129*EXP(IF(A2683&lt;0,(10-7)*A2683,-7*A2683))+J$129*EXP(IF(A2683&lt;0,(10-8)*A2683,-8*A2683))+K$129*EXP(IF(A2683&lt;0,(10-9)*A2683,-9*A2683))+L$129*EXP(IF(A2683&lt;0,(10-10)*A2683,-10*A2683)),0)</x:f>
        <x:v>786213.7873305924</x:v>
      </x:c>
      <x:c r="C2683" s="256" t="n">
        <x:f>IF(B2683=0,IF(B2682=0,0,1),IF(B2682=0,0,IF(SIGN(B2683)&lt;&gt;SIGN(B2682),1,0)))</x:f>
        <x:v>0</x:v>
      </x:c>
      <x:c r="D2683" s="256" t="n">
        <x:f>EXP(A2683-0.005)-1</x:f>
        <x:v>-0.7205690317785926</x:v>
      </x:c>
    </x:row>
    <x:row r="2684" ht="20" customHeight="1">
      <x:c r="A2684" s="256" t="n">
        <x:f>-12+1074*0.01</x:f>
        <x:v>-1.2599999999999998</x:v>
      </x:c>
      <x:c r="B2684" s="256" t="n">
        <x:f>IF(COUNT($B$129:$L$129)=11,B$129*EXP(IF(A2684&lt;0,(10-0)*A2684,-0*A2684))+C$129*EXP(IF(A2684&lt;0,(10-1)*A2684,-1*A2684))+D$129*EXP(IF(A2684&lt;0,(10-2)*A2684,-2*A2684))+E$129*EXP(IF(A2684&lt;0,(10-3)*A2684,-3*A2684))+F$129*EXP(IF(A2684&lt;0,(10-4)*A2684,-4*A2684))+G$129*EXP(IF(A2684&lt;0,(10-5)*A2684,-5*A2684))+H$129*EXP(IF(A2684&lt;0,(10-6)*A2684,-6*A2684))+I$129*EXP(IF(A2684&lt;0,(10-7)*A2684,-7*A2684))+J$129*EXP(IF(A2684&lt;0,(10-8)*A2684,-8*A2684))+K$129*EXP(IF(A2684&lt;0,(10-9)*A2684,-9*A2684))+L$129*EXP(IF(A2684&lt;0,(10-10)*A2684,-10*A2684)),0)</x:f>
        <x:v>786270.1084535796</x:v>
      </x:c>
      <x:c r="C2684" s="256" t="n">
        <x:f>IF(B2684=0,IF(B2683=0,0,1),IF(B2683=0,0,IF(SIGN(B2684)&lt;&gt;SIGN(B2683),1,0)))</x:f>
        <x:v>0</x:v>
      </x:c>
      <x:c r="D2684" s="256" t="n">
        <x:f>EXP(A2684-0.005)-1</x:f>
        <x:v>-0.7177607038594767</x:v>
      </x:c>
    </x:row>
    <x:row r="2685" ht="20" customHeight="1">
      <x:c r="A2685" s="256" t="n">
        <x:f>-12+1075*0.01</x:f>
        <x:v>-1.25</x:v>
      </x:c>
      <x:c r="B2685" s="256" t="n">
        <x:f>IF(COUNT($B$129:$L$129)=11,B$129*EXP(IF(A2685&lt;0,(10-0)*A2685,-0*A2685))+C$129*EXP(IF(A2685&lt;0,(10-1)*A2685,-1*A2685))+D$129*EXP(IF(A2685&lt;0,(10-2)*A2685,-2*A2685))+E$129*EXP(IF(A2685&lt;0,(10-3)*A2685,-3*A2685))+F$129*EXP(IF(A2685&lt;0,(10-4)*A2685,-4*A2685))+G$129*EXP(IF(A2685&lt;0,(10-5)*A2685,-5*A2685))+H$129*EXP(IF(A2685&lt;0,(10-6)*A2685,-6*A2685))+I$129*EXP(IF(A2685&lt;0,(10-7)*A2685,-7*A2685))+J$129*EXP(IF(A2685&lt;0,(10-8)*A2685,-8*A2685))+K$129*EXP(IF(A2685&lt;0,(10-9)*A2685,-9*A2685))+L$129*EXP(IF(A2685&lt;0,(10-10)*A2685,-10*A2685)),0)</x:f>
        <x:v>786327.2671001025</x:v>
      </x:c>
      <x:c r="C2685" s="256" t="n">
        <x:f>IF(B2685=0,IF(B2684=0,0,1),IF(B2684=0,0,IF(SIGN(B2685)&lt;&gt;SIGN(B2684),1,0)))</x:f>
        <x:v>0</x:v>
      </x:c>
      <x:c r="D2685" s="256" t="n">
        <x:f>EXP(A2685-0.005)-1</x:f>
        <x:v>-0.7149241517755465</x:v>
      </x:c>
    </x:row>
    <x:row r="2686" ht="20" customHeight="1">
      <x:c r="A2686" s="256" t="n">
        <x:f>-12+1076*0.01</x:f>
        <x:v>-1.2400000000000002</x:v>
      </x:c>
      <x:c r="B2686" s="256" t="n">
        <x:f>IF(COUNT($B$129:$L$129)=11,B$129*EXP(IF(A2686&lt;0,(10-0)*A2686,-0*A2686))+C$129*EXP(IF(A2686&lt;0,(10-1)*A2686,-1*A2686))+D$129*EXP(IF(A2686&lt;0,(10-2)*A2686,-2*A2686))+E$129*EXP(IF(A2686&lt;0,(10-3)*A2686,-3*A2686))+F$129*EXP(IF(A2686&lt;0,(10-4)*A2686,-4*A2686))+G$129*EXP(IF(A2686&lt;0,(10-5)*A2686,-5*A2686))+H$129*EXP(IF(A2686&lt;0,(10-6)*A2686,-6*A2686))+I$129*EXP(IF(A2686&lt;0,(10-7)*A2686,-7*A2686))+J$129*EXP(IF(A2686&lt;0,(10-8)*A2686,-8*A2686))+K$129*EXP(IF(A2686&lt;0,(10-9)*A2686,-9*A2686))+L$129*EXP(IF(A2686&lt;0,(10-10)*A2686,-10*A2686)),0)</x:f>
        <x:v>786385.2780818862</x:v>
      </x:c>
      <x:c r="C2686" s="256" t="n">
        <x:f>IF(B2686=0,IF(B2685=0,0,1),IF(B2685=0,0,IF(SIGN(B2686)&lt;&gt;SIGN(B2685),1,0)))</x:f>
        <x:v>0</x:v>
      </x:c>
      <x:c r="D2686" s="256" t="n">
        <x:f>EXP(A2686-0.005)-1</x:f>
        <x:v>-0.7120590918692298</x:v>
      </x:c>
    </x:row>
    <x:row r="2687" ht="20" customHeight="1">
      <x:c r="A2687" s="256" t="n">
        <x:f>-12+1077*0.01</x:f>
        <x:v>-1.2300000000000004</x:v>
      </x:c>
      <x:c r="B2687" s="256" t="n">
        <x:f>IF(COUNT($B$129:$L$129)=11,B$129*EXP(IF(A2687&lt;0,(10-0)*A2687,-0*A2687))+C$129*EXP(IF(A2687&lt;0,(10-1)*A2687,-1*A2687))+D$129*EXP(IF(A2687&lt;0,(10-2)*A2687,-2*A2687))+E$129*EXP(IF(A2687&lt;0,(10-3)*A2687,-3*A2687))+F$129*EXP(IF(A2687&lt;0,(10-4)*A2687,-4*A2687))+G$129*EXP(IF(A2687&lt;0,(10-5)*A2687,-5*A2687))+H$129*EXP(IF(A2687&lt;0,(10-6)*A2687,-6*A2687))+I$129*EXP(IF(A2687&lt;0,(10-7)*A2687,-7*A2687))+J$129*EXP(IF(A2687&lt;0,(10-8)*A2687,-8*A2687))+K$129*EXP(IF(A2687&lt;0,(10-9)*A2687,-9*A2687))+L$129*EXP(IF(A2687&lt;0,(10-10)*A2687,-10*A2687)),0)</x:f>
        <x:v>786444.1564739876</x:v>
      </x:c>
      <x:c r="C2687" s="256" t="n">
        <x:f>IF(B2687=0,IF(B2686=0,0,1),IF(B2686=0,0,IF(SIGN(B2687)&lt;&gt;SIGN(B2686),1,0)))</x:f>
        <x:v>0</x:v>
      </x:c>
      <x:c r="D2687" s="256" t="n">
        <x:f>EXP(A2687-0.005)-1</x:f>
        <x:v>-0.7091652376321484</x:v>
      </x:c>
    </x:row>
    <x:row r="2688" ht="20" customHeight="1">
      <x:c r="A2688" s="256" t="n">
        <x:f>-12+1078*0.01</x:f>
        <x:v>-1.2200000000000006</x:v>
      </x:c>
      <x:c r="B2688" s="256" t="n">
        <x:f>IF(COUNT($B$129:$L$129)=11,B$129*EXP(IF(A2688&lt;0,(10-0)*A2688,-0*A2688))+C$129*EXP(IF(A2688&lt;0,(10-1)*A2688,-1*A2688))+D$129*EXP(IF(A2688&lt;0,(10-2)*A2688,-2*A2688))+E$129*EXP(IF(A2688&lt;0,(10-3)*A2688,-3*A2688))+F$129*EXP(IF(A2688&lt;0,(10-4)*A2688,-4*A2688))+G$129*EXP(IF(A2688&lt;0,(10-5)*A2688,-5*A2688))+H$129*EXP(IF(A2688&lt;0,(10-6)*A2688,-6*A2688))+I$129*EXP(IF(A2688&lt;0,(10-7)*A2688,-7*A2688))+J$129*EXP(IF(A2688&lt;0,(10-8)*A2688,-8*A2688))+K$129*EXP(IF(A2688&lt;0,(10-9)*A2688,-9*A2688))+L$129*EXP(IF(A2688&lt;0,(10-10)*A2688,-10*A2688)),0)</x:f>
        <x:v>786503.9176146553</x:v>
      </x:c>
      <x:c r="C2688" s="256" t="n">
        <x:f>IF(B2688=0,IF(B2687=0,0,1),IF(B2687=0,0,IF(SIGN(B2688)&lt;&gt;SIGN(B2687),1,0)))</x:f>
        <x:v>0</x:v>
      </x:c>
      <x:c r="D2688" s="256" t="n">
        <x:f>EXP(A2688-0.005)-1</x:f>
        <x:v>-0.7062422996764673</x:v>
      </x:c>
    </x:row>
    <x:row r="2689" ht="20" customHeight="1">
      <x:c r="A2689" s="256" t="n">
        <x:f>-12+1079*0.01</x:f>
        <x:v>-1.209999999999999</x:v>
      </x:c>
      <x:c r="B2689" s="256" t="n">
        <x:f>IF(COUNT($B$129:$L$129)=11,B$129*EXP(IF(A2689&lt;0,(10-0)*A2689,-0*A2689))+C$129*EXP(IF(A2689&lt;0,(10-1)*A2689,-1*A2689))+D$129*EXP(IF(A2689&lt;0,(10-2)*A2689,-2*A2689))+E$129*EXP(IF(A2689&lt;0,(10-3)*A2689,-3*A2689))+F$129*EXP(IF(A2689&lt;0,(10-4)*A2689,-4*A2689))+G$129*EXP(IF(A2689&lt;0,(10-5)*A2689,-5*A2689))+H$129*EXP(IF(A2689&lt;0,(10-6)*A2689,-6*A2689))+I$129*EXP(IF(A2689&lt;0,(10-7)*A2689,-7*A2689))+J$129*EXP(IF(A2689&lt;0,(10-8)*A2689,-8*A2689))+K$129*EXP(IF(A2689&lt;0,(10-9)*A2689,-9*A2689))+L$129*EXP(IF(A2689&lt;0,(10-10)*A2689,-10*A2689)),0)</x:f>
        <x:v>786564.5771044919</x:v>
      </x:c>
      <x:c r="C2689" s="256" t="n">
        <x:f>IF(B2689=0,IF(B2688=0,0,1),IF(B2688=0,0,IF(SIGN(B2689)&lt;&gt;SIGN(B2688),1,0)))</x:f>
        <x:v>0</x:v>
      </x:c>
      <x:c r="D2689" s="256" t="n">
        <x:f>EXP(A2689-0.005)-1</x:f>
        <x:v>-0.7032899857059545</x:v>
      </x:c>
    </x:row>
    <x:row r="2690" ht="20" customHeight="1">
      <x:c r="A2690" s="256" t="n">
        <x:f>-12+1080*0.01</x:f>
        <x:v>-1.1999999999999993</x:v>
      </x:c>
      <x:c r="B2690" s="256" t="n">
        <x:f>IF(COUNT($B$129:$L$129)=11,B$129*EXP(IF(A2690&lt;0,(10-0)*A2690,-0*A2690))+C$129*EXP(IF(A2690&lt;0,(10-1)*A2690,-1*A2690))+D$129*EXP(IF(A2690&lt;0,(10-2)*A2690,-2*A2690))+E$129*EXP(IF(A2690&lt;0,(10-3)*A2690,-3*A2690))+F$129*EXP(IF(A2690&lt;0,(10-4)*A2690,-4*A2690))+G$129*EXP(IF(A2690&lt;0,(10-5)*A2690,-5*A2690))+H$129*EXP(IF(A2690&lt;0,(10-6)*A2690,-6*A2690))+I$129*EXP(IF(A2690&lt;0,(10-7)*A2690,-7*A2690))+J$129*EXP(IF(A2690&lt;0,(10-8)*A2690,-8*A2690))+K$129*EXP(IF(A2690&lt;0,(10-9)*A2690,-9*A2690))+L$129*EXP(IF(A2690&lt;0,(10-10)*A2690,-10*A2690)),0)</x:f>
        <x:v>786626.150804827</x:v>
      </x:c>
      <x:c r="C2690" s="256" t="n">
        <x:f>IF(B2690=0,IF(B2689=0,0,1),IF(B2689=0,0,IF(SIGN(B2690)&lt;&gt;SIGN(B2689),1,0)))</x:f>
        <x:v>0</x:v>
      </x:c>
      <x:c r="D2690" s="256" t="n">
        <x:f>EXP(A2690-0.005)-1</x:f>
        <x:v>-0.7003080004867535</x:v>
      </x:c>
    </x:row>
    <x:row r="2691" ht="20" customHeight="1">
      <x:c r="A2691" s="256" t="n">
        <x:f>-12+1081*0.01</x:f>
        <x:v>-1.1899999999999995</x:v>
      </x:c>
      <x:c r="B2691" s="256" t="n">
        <x:f>IF(COUNT($B$129:$L$129)=11,B$129*EXP(IF(A2691&lt;0,(10-0)*A2691,-0*A2691))+C$129*EXP(IF(A2691&lt;0,(10-1)*A2691,-1*A2691))+D$129*EXP(IF(A2691&lt;0,(10-2)*A2691,-2*A2691))+E$129*EXP(IF(A2691&lt;0,(10-3)*A2691,-3*A2691))+F$129*EXP(IF(A2691&lt;0,(10-4)*A2691,-4*A2691))+G$129*EXP(IF(A2691&lt;0,(10-5)*A2691,-5*A2691))+H$129*EXP(IF(A2691&lt;0,(10-6)*A2691,-6*A2691))+I$129*EXP(IF(A2691&lt;0,(10-7)*A2691,-7*A2691))+J$129*EXP(IF(A2691&lt;0,(10-8)*A2691,-8*A2691))+K$129*EXP(IF(A2691&lt;0,(10-9)*A2691,-9*A2691))+L$129*EXP(IF(A2691&lt;0,(10-10)*A2691,-10*A2691)),0)</x:f>
        <x:v>786688.6548352016</x:v>
      </x:c>
      <x:c r="C2691" s="256" t="n">
        <x:f>IF(B2691=0,IF(B2690=0,0,1),IF(B2690=0,0,IF(SIGN(B2691)&lt;&gt;SIGN(B2690),1,0)))</x:f>
        <x:v>0</x:v>
      </x:c>
      <x:c r="D2691" s="256" t="n">
        <x:f>EXP(A2691-0.005)-1</x:f>
        <x:v>-0.697296045817857</x:v>
      </x:c>
    </x:row>
    <x:row r="2692" ht="20" customHeight="1">
      <x:c r="A2692" s="256" t="n">
        <x:f>-12+1082*0.01</x:f>
        <x:v>-1.1799999999999997</x:v>
      </x:c>
      <x:c r="B2692" s="256" t="n">
        <x:f>IF(COUNT($B$129:$L$129)=11,B$129*EXP(IF(A2692&lt;0,(10-0)*A2692,-0*A2692))+C$129*EXP(IF(A2692&lt;0,(10-1)*A2692,-1*A2692))+D$129*EXP(IF(A2692&lt;0,(10-2)*A2692,-2*A2692))+E$129*EXP(IF(A2692&lt;0,(10-3)*A2692,-3*A2692))+F$129*EXP(IF(A2692&lt;0,(10-4)*A2692,-4*A2692))+G$129*EXP(IF(A2692&lt;0,(10-5)*A2692,-5*A2692))+H$129*EXP(IF(A2692&lt;0,(10-6)*A2692,-6*A2692))+I$129*EXP(IF(A2692&lt;0,(10-7)*A2692,-7*A2692))+J$129*EXP(IF(A2692&lt;0,(10-8)*A2692,-8*A2692))+K$129*EXP(IF(A2692&lt;0,(10-9)*A2692,-9*A2692))+L$129*EXP(IF(A2692&lt;0,(10-10)*A2692,-10*A2692)),0)</x:f>
        <x:v>786752.1055698526</x:v>
      </x:c>
      <x:c r="C2692" s="256" t="n">
        <x:f>IF(B2692=0,IF(B2691=0,0,1),IF(B2691=0,0,IF(SIGN(B2692)&lt;&gt;SIGN(B2691),1,0)))</x:f>
        <x:v>0</x:v>
      </x:c>
      <x:c r="D2692" s="256" t="n">
        <x:f>EXP(A2692-0.005)-1</x:f>
        <x:v>-0.6942538205012881</x:v>
      </x:c>
    </x:row>
    <x:row r="2693" ht="20" customHeight="1">
      <x:c r="A2693" s="256" t="n">
        <x:f>-12+1083*0.01</x:f>
        <x:v>-1.17</x:v>
      </x:c>
      <x:c r="B2693" s="256" t="n">
        <x:f>IF(COUNT($B$129:$L$129)=11,B$129*EXP(IF(A2693&lt;0,(10-0)*A2693,-0*A2693))+C$129*EXP(IF(A2693&lt;0,(10-1)*A2693,-1*A2693))+D$129*EXP(IF(A2693&lt;0,(10-2)*A2693,-2*A2693))+E$129*EXP(IF(A2693&lt;0,(10-3)*A2693,-3*A2693))+F$129*EXP(IF(A2693&lt;0,(10-4)*A2693,-4*A2693))+G$129*EXP(IF(A2693&lt;0,(10-5)*A2693,-5*A2693))+H$129*EXP(IF(A2693&lt;0,(10-6)*A2693,-6*A2693))+I$129*EXP(IF(A2693&lt;0,(10-7)*A2693,-7*A2693))+J$129*EXP(IF(A2693&lt;0,(10-8)*A2693,-8*A2693))+K$129*EXP(IF(A2693&lt;0,(10-9)*A2693,-9*A2693))+L$129*EXP(IF(A2693&lt;0,(10-10)*A2693,-10*A2693)),0)</x:f>
        <x:v>786816.5196330746</x:v>
      </x:c>
      <x:c r="C2693" s="256" t="n">
        <x:f>IF(B2693=0,IF(B2692=0,0,1),IF(B2692=0,0,IF(SIGN(B2693)&lt;&gt;SIGN(B2692),1,0)))</x:f>
        <x:v>0</x:v>
      </x:c>
      <x:c r="D2693" s="256" t="n">
        <x:f>EXP(A2693-0.005)-1</x:f>
        <x:v>-0.6911810203119801</x:v>
      </x:c>
    </x:row>
    <x:row r="2694" ht="20" customHeight="1">
      <x:c r="A2694" s="256" t="n">
        <x:f>-12+1084*0.01</x:f>
        <x:v>-1.1600000000000001</x:v>
      </x:c>
      <x:c r="B2694" s="256" t="n">
        <x:f>IF(COUNT($B$129:$L$129)=11,B$129*EXP(IF(A2694&lt;0,(10-0)*A2694,-0*A2694))+C$129*EXP(IF(A2694&lt;0,(10-1)*A2694,-1*A2694))+D$129*EXP(IF(A2694&lt;0,(10-2)*A2694,-2*A2694))+E$129*EXP(IF(A2694&lt;0,(10-3)*A2694,-3*A2694))+F$129*EXP(IF(A2694&lt;0,(10-4)*A2694,-4*A2694))+G$129*EXP(IF(A2694&lt;0,(10-5)*A2694,-5*A2694))+H$129*EXP(IF(A2694&lt;0,(10-6)*A2694,-6*A2694))+I$129*EXP(IF(A2694&lt;0,(10-7)*A2694,-7*A2694))+J$129*EXP(IF(A2694&lt;0,(10-8)*A2694,-8*A2694))+K$129*EXP(IF(A2694&lt;0,(10-9)*A2694,-9*A2694))+L$129*EXP(IF(A2694&lt;0,(10-10)*A2694,-10*A2694)),0)</x:f>
        <x:v>786881.9138933208</x:v>
      </x:c>
      <x:c r="C2694" s="256" t="n">
        <x:f>IF(B2694=0,IF(B2693=0,0,1),IF(B2693=0,0,IF(SIGN(B2694)&lt;&gt;SIGN(B2693),1,0)))</x:f>
        <x:v>0</x:v>
      </x:c>
      <x:c r="D2694" s="256" t="n">
        <x:f>EXP(A2694-0.005)-1</x:f>
        <x:v>-0.6880773379673533</x:v>
      </x:c>
    </x:row>
    <x:row r="2695" ht="20" customHeight="1">
      <x:c r="A2695" s="256" t="n">
        <x:f>-12+1085*0.01</x:f>
        <x:v>-1.1500000000000004</x:v>
      </x:c>
      <x:c r="B2695" s="256" t="n">
        <x:f>IF(COUNT($B$129:$L$129)=11,B$129*EXP(IF(A2695&lt;0,(10-0)*A2695,-0*A2695))+C$129*EXP(IF(A2695&lt;0,(10-1)*A2695,-1*A2695))+D$129*EXP(IF(A2695&lt;0,(10-2)*A2695,-2*A2695))+E$129*EXP(IF(A2695&lt;0,(10-3)*A2695,-3*A2695))+F$129*EXP(IF(A2695&lt;0,(10-4)*A2695,-4*A2695))+G$129*EXP(IF(A2695&lt;0,(10-5)*A2695,-5*A2695))+H$129*EXP(IF(A2695&lt;0,(10-6)*A2695,-6*A2695))+I$129*EXP(IF(A2695&lt;0,(10-7)*A2695,-7*A2695))+J$129*EXP(IF(A2695&lt;0,(10-8)*A2695,-8*A2695))+K$129*EXP(IF(A2695&lt;0,(10-9)*A2695,-9*A2695))+L$129*EXP(IF(A2695&lt;0,(10-10)*A2695,-10*A2695)),0)</x:f>
        <x:v>786948.305455895</x:v>
      </x:c>
      <x:c r="C2695" s="256" t="n">
        <x:f>IF(B2695=0,IF(B2694=0,0,1),IF(B2694=0,0,IF(SIGN(B2695)&lt;&gt;SIGN(B2694),1,0)))</x:f>
        <x:v>0</x:v>
      </x:c>
      <x:c r="D2695" s="256" t="n">
        <x:f>EXP(A2695-0.005)-1</x:f>
        <x:v>-0.6849424630965868</x:v>
      </x:c>
    </x:row>
    <x:row r="2696" ht="20" customHeight="1">
      <x:c r="A2696" s="256" t="n">
        <x:f>-12+1086*0.01</x:f>
        <x:v>-1.1400000000000006</x:v>
      </x:c>
      <x:c r="B2696" s="256" t="n">
        <x:f>IF(COUNT($B$129:$L$129)=11,B$129*EXP(IF(A2696&lt;0,(10-0)*A2696,-0*A2696))+C$129*EXP(IF(A2696&lt;0,(10-1)*A2696,-1*A2696))+D$129*EXP(IF(A2696&lt;0,(10-2)*A2696,-2*A2696))+E$129*EXP(IF(A2696&lt;0,(10-3)*A2696,-3*A2696))+F$129*EXP(IF(A2696&lt;0,(10-4)*A2696,-4*A2696))+G$129*EXP(IF(A2696&lt;0,(10-5)*A2696,-5*A2696))+H$129*EXP(IF(A2696&lt;0,(10-6)*A2696,-6*A2696))+I$129*EXP(IF(A2696&lt;0,(10-7)*A2696,-7*A2696))+J$129*EXP(IF(A2696&lt;0,(10-8)*A2696,-8*A2696))+K$129*EXP(IF(A2696&lt;0,(10-9)*A2696,-9*A2696))+L$129*EXP(IF(A2696&lt;0,(10-10)*A2696,-10*A2696)),0)</x:f>
        <x:v>787015.7116540648</x:v>
      </x:c>
      <x:c r="C2696" s="256" t="n">
        <x:f>IF(B2696=0,IF(B2695=0,0,1),IF(B2695=0,0,IF(SIGN(B2696)&lt;&gt;SIGN(B2695),1,0)))</x:f>
        <x:v>0</x:v>
      </x:c>
      <x:c r="D2696" s="256" t="n">
        <x:f>EXP(A2696-0.005)-1</x:f>
        <x:v>-0.6817760822095811</x:v>
      </x:c>
    </x:row>
    <x:row r="2697" ht="20" customHeight="1">
      <x:c r="A2697" s="256" t="n">
        <x:f>-12+1087*0.01</x:f>
        <x:v>-1.129999999999999</x:v>
      </x:c>
      <x:c r="B2697" s="256" t="n">
        <x:f>IF(COUNT($B$129:$L$129)=11,B$129*EXP(IF(A2697&lt;0,(10-0)*A2697,-0*A2697))+C$129*EXP(IF(A2697&lt;0,(10-1)*A2697,-1*A2697))+D$129*EXP(IF(A2697&lt;0,(10-2)*A2697,-2*A2697))+E$129*EXP(IF(A2697&lt;0,(10-3)*A2697,-3*A2697))+F$129*EXP(IF(A2697&lt;0,(10-4)*A2697,-4*A2697))+G$129*EXP(IF(A2697&lt;0,(10-5)*A2697,-5*A2697))+H$129*EXP(IF(A2697&lt;0,(10-6)*A2697,-6*A2697))+I$129*EXP(IF(A2697&lt;0,(10-7)*A2697,-7*A2697))+J$129*EXP(IF(A2697&lt;0,(10-8)*A2697,-8*A2697))+K$129*EXP(IF(A2697&lt;0,(10-9)*A2697,-9*A2697))+L$129*EXP(IF(A2697&lt;0,(10-10)*A2697,-10*A2697)),0)</x:f>
        <x:v>787084.1500384127</x:v>
      </x:c>
      <x:c r="C2697" s="256" t="n">
        <x:f>IF(B2697=0,IF(B2696=0,0,1),IF(B2696=0,0,IF(SIGN(B2697)&lt;&gt;SIGN(B2696),1,0)))</x:f>
        <x:v>0</x:v>
      </x:c>
      <x:c r="D2697" s="256" t="n">
        <x:f>EXP(A2697-0.005)-1</x:f>
        <x:v>-0.6785778786656083</x:v>
      </x:c>
    </x:row>
    <x:row r="2698" ht="20" customHeight="1">
      <x:c r="A2698" s="256" t="n">
        <x:f>-12+1088*0.01</x:f>
        <x:v>-1.1199999999999992</x:v>
      </x:c>
      <x:c r="B2698" s="256" t="n">
        <x:f>IF(COUNT($B$129:$L$129)=11,B$129*EXP(IF(A2698&lt;0,(10-0)*A2698,-0*A2698))+C$129*EXP(IF(A2698&lt;0,(10-1)*A2698,-1*A2698))+D$129*EXP(IF(A2698&lt;0,(10-2)*A2698,-2*A2698))+E$129*EXP(IF(A2698&lt;0,(10-3)*A2698,-3*A2698))+F$129*EXP(IF(A2698&lt;0,(10-4)*A2698,-4*A2698))+G$129*EXP(IF(A2698&lt;0,(10-5)*A2698,-5*A2698))+H$129*EXP(IF(A2698&lt;0,(10-6)*A2698,-6*A2698))+I$129*EXP(IF(A2698&lt;0,(10-7)*A2698,-7*A2698))+J$129*EXP(IF(A2698&lt;0,(10-8)*A2698,-8*A2698))+K$129*EXP(IF(A2698&lt;0,(10-9)*A2698,-9*A2698))+L$129*EXP(IF(A2698&lt;0,(10-10)*A2698,-10*A2698)),0)</x:f>
        <x:v>787153.638364219</x:v>
      </x:c>
      <x:c r="C2698" s="256" t="n">
        <x:f>IF(B2698=0,IF(B2697=0,0,1),IF(B2697=0,0,IF(SIGN(B2698)&lt;&gt;SIGN(B2697),1,0)))</x:f>
        <x:v>0</x:v>
      </x:c>
      <x:c r="D2698" s="256" t="n">
        <x:f>EXP(A2698-0.005)-1</x:f>
        <x:v>-0.67534753264165</x:v>
      </x:c>
    </x:row>
    <x:row r="2699" ht="20" customHeight="1">
      <x:c r="A2699" s="256" t="n">
        <x:f>-12+1089*0.01</x:f>
        <x:v>-1.1099999999999994</x:v>
      </x:c>
      <x:c r="B2699" s="256" t="n">
        <x:f>IF(COUNT($B$129:$L$129)=11,B$129*EXP(IF(A2699&lt;0,(10-0)*A2699,-0*A2699))+C$129*EXP(IF(A2699&lt;0,(10-1)*A2699,-1*A2699))+D$129*EXP(IF(A2699&lt;0,(10-2)*A2699,-2*A2699))+E$129*EXP(IF(A2699&lt;0,(10-3)*A2699,-3*A2699))+F$129*EXP(IF(A2699&lt;0,(10-4)*A2699,-4*A2699))+G$129*EXP(IF(A2699&lt;0,(10-5)*A2699,-5*A2699))+H$129*EXP(IF(A2699&lt;0,(10-6)*A2699,-6*A2699))+I$129*EXP(IF(A2699&lt;0,(10-7)*A2699,-7*A2699))+J$129*EXP(IF(A2699&lt;0,(10-8)*A2699,-8*A2699))+K$129*EXP(IF(A2699&lt;0,(10-9)*A2699,-9*A2699))+L$129*EXP(IF(A2699&lt;0,(10-10)*A2699,-10*A2699)),0)</x:f>
        <x:v>787224.1945766525</x:v>
      </x:c>
      <x:c r="C2699" s="256" t="n">
        <x:f>IF(B2699=0,IF(B2698=0,0,1),IF(B2698=0,0,IF(SIGN(B2699)&lt;&gt;SIGN(B2698),1,0)))</x:f>
        <x:v>0</x:v>
      </x:c>
      <x:c r="D2699" s="256" t="n">
        <x:f>EXP(A2699-0.005)-1</x:f>
        <x:v>-0.6720847211004113</x:v>
      </x:c>
    </x:row>
    <x:row r="2700" ht="20" customHeight="1">
      <x:c r="A2700" s="256" t="n">
        <x:f>-12+1090*0.01</x:f>
        <x:v>-1.0999999999999996</x:v>
      </x:c>
      <x:c r="B2700" s="256" t="n">
        <x:f>IF(COUNT($B$129:$L$129)=11,B$129*EXP(IF(A2700&lt;0,(10-0)*A2700,-0*A2700))+C$129*EXP(IF(A2700&lt;0,(10-1)*A2700,-1*A2700))+D$129*EXP(IF(A2700&lt;0,(10-2)*A2700,-2*A2700))+E$129*EXP(IF(A2700&lt;0,(10-3)*A2700,-3*A2700))+F$129*EXP(IF(A2700&lt;0,(10-4)*A2700,-4*A2700))+G$129*EXP(IF(A2700&lt;0,(10-5)*A2700,-5*A2700))+H$129*EXP(IF(A2700&lt;0,(10-6)*A2700,-6*A2700))+I$129*EXP(IF(A2700&lt;0,(10-7)*A2700,-7*A2700))+J$129*EXP(IF(A2700&lt;0,(10-8)*A2700,-8*A2700))+K$129*EXP(IF(A2700&lt;0,(10-9)*A2700,-9*A2700))+L$129*EXP(IF(A2700&lt;0,(10-10)*A2700,-10*A2700)),0)</x:f>
        <x:v>787295.8367935157</x:v>
      </x:c>
      <x:c r="C2700" s="256" t="n">
        <x:f>IF(B2700=0,IF(B2699=0,0,1),IF(B2699=0,0,IF(SIGN(B2700)&lt;&gt;SIGN(B2699),1,0)))</x:f>
        <x:v>0</x:v>
      </x:c>
      <x:c r="D2700" s="256" t="n">
        <x:f>EXP(A2700-0.005)-1</x:f>
        <x:v>-0.6687891177580189</x:v>
      </x:c>
    </x:row>
    <x:row r="2701" ht="20" customHeight="1">
      <x:c r="A2701" s="256" t="n">
        <x:f>-12+1091*0.01</x:f>
        <x:v>-1.0899999999999999</x:v>
      </x:c>
      <x:c r="B2701" s="256" t="n">
        <x:f>IF(COUNT($B$129:$L$129)=11,B$129*EXP(IF(A2701&lt;0,(10-0)*A2701,-0*A2701))+C$129*EXP(IF(A2701&lt;0,(10-1)*A2701,-1*A2701))+D$129*EXP(IF(A2701&lt;0,(10-2)*A2701,-2*A2701))+E$129*EXP(IF(A2701&lt;0,(10-3)*A2701,-3*A2701))+F$129*EXP(IF(A2701&lt;0,(10-4)*A2701,-4*A2701))+G$129*EXP(IF(A2701&lt;0,(10-5)*A2701,-5*A2701))+H$129*EXP(IF(A2701&lt;0,(10-6)*A2701,-6*A2701))+I$129*EXP(IF(A2701&lt;0,(10-7)*A2701,-7*A2701))+J$129*EXP(IF(A2701&lt;0,(10-8)*A2701,-8*A2701))+K$129*EXP(IF(A2701&lt;0,(10-9)*A2701,-9*A2701))+L$129*EXP(IF(A2701&lt;0,(10-10)*A2701,-10*A2701)),0)</x:f>
        <x:v>787368.5832852698</x:v>
      </x:c>
      <x:c r="C2701" s="256" t="n">
        <x:f>IF(B2701=0,IF(B2700=0,0,1),IF(B2700=0,0,IF(SIGN(B2701)&lt;&gt;SIGN(B2700),1,0)))</x:f>
        <x:v>0</x:v>
      </x:c>
      <x:c r="D2701" s="256" t="n">
        <x:f>EXP(A2701-0.005)-1</x:f>
        <x:v>-0.6654603930513923</x:v>
      </x:c>
    </x:row>
    <x:row r="2702" ht="20" customHeight="1">
      <x:c r="A2702" s="256" t="n">
        <x:f>-12+1092*0.01</x:f>
        <x:v>-1.08</x:v>
      </x:c>
      <x:c r="B2702" s="256" t="n">
        <x:f>IF(COUNT($B$129:$L$129)=11,B$129*EXP(IF(A2702&lt;0,(10-0)*A2702,-0*A2702))+C$129*EXP(IF(A2702&lt;0,(10-1)*A2702,-1*A2702))+D$129*EXP(IF(A2702&lt;0,(10-2)*A2702,-2*A2702))+E$129*EXP(IF(A2702&lt;0,(10-3)*A2702,-3*A2702))+F$129*EXP(IF(A2702&lt;0,(10-4)*A2702,-4*A2702))+G$129*EXP(IF(A2702&lt;0,(10-5)*A2702,-5*A2702))+H$129*EXP(IF(A2702&lt;0,(10-6)*A2702,-6*A2702))+I$129*EXP(IF(A2702&lt;0,(10-7)*A2702,-7*A2702))+J$129*EXP(IF(A2702&lt;0,(10-8)*A2702,-8*A2702))+K$129*EXP(IF(A2702&lt;0,(10-9)*A2702,-9*A2702))+L$129*EXP(IF(A2702&lt;0,(10-10)*A2702,-10*A2702)),0)</x:f>
        <x:v>787442.452452033</x:v>
      </x:c>
      <x:c r="C2702" s="256" t="n">
        <x:f>IF(B2702=0,IF(B2701=0,0,1),IF(B2701=0,0,IF(SIGN(B2702)&lt;&gt;SIGN(B2701),1,0)))</x:f>
        <x:v>0</x:v>
      </x:c>
      <x:c r="D2702" s="256" t="n">
        <x:f>EXP(A2702-0.005)-1</x:f>
        <x:v>-0.6620982141052869</x:v>
      </x:c>
    </x:row>
    <x:row r="2703" ht="20" customHeight="1">
      <x:c r="A2703" s="256" t="n">
        <x:f>-12+1093*0.01</x:f>
        <x:v>-1.0700000000000003</x:v>
      </x:c>
      <x:c r="B2703" s="256" t="n">
        <x:f>IF(COUNT($B$129:$L$129)=11,B$129*EXP(IF(A2703&lt;0,(10-0)*A2703,-0*A2703))+C$129*EXP(IF(A2703&lt;0,(10-1)*A2703,-1*A2703))+D$129*EXP(IF(A2703&lt;0,(10-2)*A2703,-2*A2703))+E$129*EXP(IF(A2703&lt;0,(10-3)*A2703,-3*A2703))+F$129*EXP(IF(A2703&lt;0,(10-4)*A2703,-4*A2703))+G$129*EXP(IF(A2703&lt;0,(10-5)*A2703,-5*A2703))+H$129*EXP(IF(A2703&lt;0,(10-6)*A2703,-6*A2703))+I$129*EXP(IF(A2703&lt;0,(10-7)*A2703,-7*A2703))+J$129*EXP(IF(A2703&lt;0,(10-8)*A2703,-8*A2703))+K$129*EXP(IF(A2703&lt;0,(10-9)*A2703,-9*A2703))+L$129*EXP(IF(A2703&lt;0,(10-10)*A2703,-10*A2703)),0)</x:f>
        <x:v>787517.4627972124</x:v>
      </x:c>
      <x:c r="C2703" s="256" t="n">
        <x:f>IF(B2703=0,IF(B2702=0,0,1),IF(B2702=0,0,IF(SIGN(B2703)&lt;&gt;SIGN(B2702),1,0)))</x:f>
        <x:v>0</x:v>
      </x:c>
      <x:c r="D2703" s="256" t="n">
        <x:f>EXP(A2703-0.005)-1</x:f>
        <x:v>-0.6587022446990064</x:v>
      </x:c>
    </x:row>
    <x:row r="2704" ht="20" customHeight="1">
      <x:c r="A2704" s="256" t="n">
        <x:f>-12+1094*0.01</x:f>
        <x:v>-1.0600000000000005</x:v>
      </x:c>
      <x:c r="B2704" s="256" t="n">
        <x:f>IF(COUNT($B$129:$L$129)=11,B$129*EXP(IF(A2704&lt;0,(10-0)*A2704,-0*A2704))+C$129*EXP(IF(A2704&lt;0,(10-1)*A2704,-1*A2704))+D$129*EXP(IF(A2704&lt;0,(10-2)*A2704,-2*A2704))+E$129*EXP(IF(A2704&lt;0,(10-3)*A2704,-3*A2704))+F$129*EXP(IF(A2704&lt;0,(10-4)*A2704,-4*A2704))+G$129*EXP(IF(A2704&lt;0,(10-5)*A2704,-5*A2704))+H$129*EXP(IF(A2704&lt;0,(10-6)*A2704,-6*A2704))+I$129*EXP(IF(A2704&lt;0,(10-7)*A2704,-7*A2704))+J$129*EXP(IF(A2704&lt;0,(10-8)*A2704,-8*A2704))+K$129*EXP(IF(A2704&lt;0,(10-9)*A2704,-9*A2704))+L$129*EXP(IF(A2704&lt;0,(10-10)*A2704,-10*A2704)),0)</x:f>
        <x:v>787593.6328973988</x:v>
      </x:c>
      <x:c r="C2704" s="256" t="n">
        <x:f>IF(B2704=0,IF(B2703=0,0,1),IF(B2703=0,0,IF(SIGN(B2704)&lt;&gt;SIGN(B2703),1,0)))</x:f>
        <x:v>0</x:v>
      </x:c>
      <x:c r="D2704" s="256" t="n">
        <x:f>EXP(A2704-0.005)-1</x:f>
        <x:v>-0.65527214523278</x:v>
      </x:c>
    </x:row>
    <x:row r="2705" ht="20" customHeight="1">
      <x:c r="A2705" s="256" t="n">
        <x:f>-12+1095*0.01</x:f>
        <x:v>-1.049999999999999</x:v>
      </x:c>
      <x:c r="B2705" s="256" t="n">
        <x:f>IF(COUNT($B$129:$L$129)=11,B$129*EXP(IF(A2705&lt;0,(10-0)*A2705,-0*A2705))+C$129*EXP(IF(A2705&lt;0,(10-1)*A2705,-1*A2705))+D$129*EXP(IF(A2705&lt;0,(10-2)*A2705,-2*A2705))+E$129*EXP(IF(A2705&lt;0,(10-3)*A2705,-3*A2705))+F$129*EXP(IF(A2705&lt;0,(10-4)*A2705,-4*A2705))+G$129*EXP(IF(A2705&lt;0,(10-5)*A2705,-5*A2705))+H$129*EXP(IF(A2705&lt;0,(10-6)*A2705,-6*A2705))+I$129*EXP(IF(A2705&lt;0,(10-7)*A2705,-7*A2705))+J$129*EXP(IF(A2705&lt;0,(10-8)*A2705,-8*A2705))+K$129*EXP(IF(A2705&lt;0,(10-9)*A2705,-9*A2705))+L$129*EXP(IF(A2705&lt;0,(10-10)*A2705,-10*A2705)),0)</x:f>
        <x:v>787670.9813681069</x:v>
      </x:c>
      <x:c r="C2705" s="256" t="n">
        <x:f>IF(B2705=0,IF(B2704=0,0,1),IF(B2704=0,0,IF(SIGN(B2705)&lt;&gt;SIGN(B2704),1,0)))</x:f>
        <x:v>0</x:v>
      </x:c>
      <x:c r="D2705" s="256" t="n">
        <x:f>EXP(A2705-0.005)-1</x:f>
        <x:v>-0.6518075726938021</x:v>
      </x:c>
    </x:row>
    <x:row r="2706" ht="20" customHeight="1">
      <x:c r="A2706" s="256" t="n">
        <x:f>-12+1096*0.01</x:f>
        <x:v>-1.0399999999999991</x:v>
      </x:c>
      <x:c r="B2706" s="256" t="n">
        <x:f>IF(COUNT($B$129:$L$129)=11,B$129*EXP(IF(A2706&lt;0,(10-0)*A2706,-0*A2706))+C$129*EXP(IF(A2706&lt;0,(10-1)*A2706,-1*A2706))+D$129*EXP(IF(A2706&lt;0,(10-2)*A2706,-2*A2706))+E$129*EXP(IF(A2706&lt;0,(10-3)*A2706,-3*A2706))+F$129*EXP(IF(A2706&lt;0,(10-4)*A2706,-4*A2706))+G$129*EXP(IF(A2706&lt;0,(10-5)*A2706,-5*A2706))+H$129*EXP(IF(A2706&lt;0,(10-6)*A2706,-6*A2706))+I$129*EXP(IF(A2706&lt;0,(10-7)*A2706,-7*A2706))+J$129*EXP(IF(A2706&lt;0,(10-8)*A2706,-8*A2706))+K$129*EXP(IF(A2706&lt;0,(10-9)*A2706,-9*A2706))+L$129*EXP(IF(A2706&lt;0,(10-10)*A2706,-10*A2706)),0)</x:f>
        <x:v>787749.5268249083</x:v>
      </x:c>
      <x:c r="C2706" s="256" t="n">
        <x:f>IF(B2706=0,IF(B2705=0,0,1),IF(B2705=0,0,IF(SIGN(B2706)&lt;&gt;SIGN(B2705),1,0)))</x:f>
        <x:v>0</x:v>
      </x:c>
      <x:c r="D2706" s="256" t="n">
        <x:f>EXP(A2706-0.005)-1</x:f>
        <x:v>-0.6483081806219329</x:v>
      </x:c>
    </x:row>
    <x:row r="2707" ht="20" customHeight="1">
      <x:c r="A2707" s="256" t="n">
        <x:f>-12+1097*0.01</x:f>
        <x:v>-1.0299999999999994</x:v>
      </x:c>
      <x:c r="B2707" s="256" t="n">
        <x:f>IF(COUNT($B$129:$L$129)=11,B$129*EXP(IF(A2707&lt;0,(10-0)*A2707,-0*A2707))+C$129*EXP(IF(A2707&lt;0,(10-1)*A2707,-1*A2707))+D$129*EXP(IF(A2707&lt;0,(10-2)*A2707,-2*A2707))+E$129*EXP(IF(A2707&lt;0,(10-3)*A2707,-3*A2707))+F$129*EXP(IF(A2707&lt;0,(10-4)*A2707,-4*A2707))+G$129*EXP(IF(A2707&lt;0,(10-5)*A2707,-5*A2707))+H$129*EXP(IF(A2707&lt;0,(10-6)*A2707,-6*A2707))+I$129*EXP(IF(A2707&lt;0,(10-7)*A2707,-7*A2707))+J$129*EXP(IF(A2707&lt;0,(10-8)*A2707,-8*A2707))+K$129*EXP(IF(A2707&lt;0,(10-9)*A2707,-9*A2707))+L$129*EXP(IF(A2707&lt;0,(10-10)*A2707,-10*A2707)),0)</x:f>
        <x:v>787829.2878394503</x:v>
      </x:c>
      <x:c r="C2707" s="256" t="n">
        <x:f>IF(B2707=0,IF(B2706=0,0,1),IF(B2706=0,0,IF(SIGN(B2707)&lt;&gt;SIGN(B2706),1,0)))</x:f>
        <x:v>0</x:v>
      </x:c>
      <x:c r="D2707" s="256" t="n">
        <x:f>EXP(A2707-0.005)-1</x:f>
        <x:v>-0.6447736190750483</x:v>
      </x:c>
    </x:row>
    <x:row r="2708" ht="20" customHeight="1">
      <x:c r="A2708" s="256" t="n">
        <x:f>-12+1098*0.01</x:f>
        <x:v>-1.0199999999999996</x:v>
      </x:c>
      <x:c r="B2708" s="256" t="n">
        <x:f>IF(COUNT($B$129:$L$129)=11,B$129*EXP(IF(A2708&lt;0,(10-0)*A2708,-0*A2708))+C$129*EXP(IF(A2708&lt;0,(10-1)*A2708,-1*A2708))+D$129*EXP(IF(A2708&lt;0,(10-2)*A2708,-2*A2708))+E$129*EXP(IF(A2708&lt;0,(10-3)*A2708,-3*A2708))+F$129*EXP(IF(A2708&lt;0,(10-4)*A2708,-4*A2708))+G$129*EXP(IF(A2708&lt;0,(10-5)*A2708,-5*A2708))+H$129*EXP(IF(A2708&lt;0,(10-6)*A2708,-6*A2708))+I$129*EXP(IF(A2708&lt;0,(10-7)*A2708,-7*A2708))+J$129*EXP(IF(A2708&lt;0,(10-8)*A2708,-8*A2708))+K$129*EXP(IF(A2708&lt;0,(10-9)*A2708,-9*A2708))+L$129*EXP(IF(A2708&lt;0,(10-10)*A2708,-10*A2708)),0)</x:f>
        <x:v>787910.2828898034</x:v>
      </x:c>
      <x:c r="C2708" s="256" t="n">
        <x:f>IF(B2708=0,IF(B2707=0,0,1),IF(B2707=0,0,IF(SIGN(B2708)&lt;&gt;SIGN(B2707),1,0)))</x:f>
        <x:v>0</x:v>
      </x:c>
      <x:c r="D2708" s="256" t="n">
        <x:f>EXP(A2708-0.005)-1</x:f>
        <x:v>-0.6412035345940482</x:v>
      </x:c>
    </x:row>
    <x:row r="2709" ht="20" customHeight="1">
      <x:c r="A2709" s="256" t="n">
        <x:f>-12+1099*0.01</x:f>
        <x:v>-1.0099999999999998</x:v>
      </x:c>
      <x:c r="B2709" s="256" t="n">
        <x:f>IF(COUNT($B$129:$L$129)=11,B$129*EXP(IF(A2709&lt;0,(10-0)*A2709,-0*A2709))+C$129*EXP(IF(A2709&lt;0,(10-1)*A2709,-1*A2709))+D$129*EXP(IF(A2709&lt;0,(10-2)*A2709,-2*A2709))+E$129*EXP(IF(A2709&lt;0,(10-3)*A2709,-3*A2709))+F$129*EXP(IF(A2709&lt;0,(10-4)*A2709,-4*A2709))+G$129*EXP(IF(A2709&lt;0,(10-5)*A2709,-5*A2709))+H$129*EXP(IF(A2709&lt;0,(10-6)*A2709,-6*A2709))+I$129*EXP(IF(A2709&lt;0,(10-7)*A2709,-7*A2709))+J$129*EXP(IF(A2709&lt;0,(10-8)*A2709,-8*A2709))+K$129*EXP(IF(A2709&lt;0,(10-9)*A2709,-9*A2709))+L$129*EXP(IF(A2709&lt;0,(10-10)*A2709,-10*A2709)),0)</x:f>
        <x:v>787992.5303045243</x:v>
      </x:c>
      <x:c r="C2709" s="256" t="n">
        <x:f>IF(B2709=0,IF(B2708=0,0,1),IF(B2708=0,0,IF(SIGN(B2709)&lt;&gt;SIGN(B2708),1,0)))</x:f>
        <x:v>0</x:v>
      </x:c>
      <x:c r="D2709" s="256" t="n">
        <x:f>EXP(A2709-0.005)-1</x:f>
        <x:v>-0.6375975701675096</x:v>
      </x:c>
    </x:row>
    <x:row r="2710" ht="20" customHeight="1">
      <x:c r="A2710" s="256" t="n">
        <x:f>-12+1100*0.01</x:f>
        <x:v>-1</x:v>
      </x:c>
      <x:c r="B2710" s="256" t="n">
        <x:f>IF(COUNT($B$129:$L$129)=11,B$129*EXP(IF(A2710&lt;0,(10-0)*A2710,-0*A2710))+C$129*EXP(IF(A2710&lt;0,(10-1)*A2710,-1*A2710))+D$129*EXP(IF(A2710&lt;0,(10-2)*A2710,-2*A2710))+E$129*EXP(IF(A2710&lt;0,(10-3)*A2710,-3*A2710))+F$129*EXP(IF(A2710&lt;0,(10-4)*A2710,-4*A2710))+G$129*EXP(IF(A2710&lt;0,(10-5)*A2710,-5*A2710))+H$129*EXP(IF(A2710&lt;0,(10-6)*A2710,-6*A2710))+I$129*EXP(IF(A2710&lt;0,(10-7)*A2710,-7*A2710))+J$129*EXP(IF(A2710&lt;0,(10-8)*A2710,-8*A2710))+K$129*EXP(IF(A2710&lt;0,(10-9)*A2710,-9*A2710))+L$129*EXP(IF(A2710&lt;0,(10-10)*A2710,-10*A2710)),0)</x:f>
        <x:v>788076.0481997504</x:v>
      </x:c>
      <x:c r="C2710" s="256" t="n">
        <x:f>IF(B2710=0,IF(B2709=0,0,1),IF(B2709=0,0,IF(SIGN(B2710)&lt;&gt;SIGN(B2709),1,0)))</x:f>
        <x:v>0</x:v>
      </x:c>
      <x:c r="D2710" s="256" t="n">
        <x:f>EXP(A2710-0.005)-1</x:f>
        <x:v>-0.6339553651959846</x:v>
      </x:c>
    </x:row>
    <x:row r="2711" ht="20" customHeight="1">
      <x:c r="A2711" s="256" t="n">
        <x:f>-12+1101*0.01</x:f>
        <x:v>-0.9900000000000002</x:v>
      </x:c>
      <x:c r="B2711" s="256" t="n">
        <x:f>IF(COUNT($B$129:$L$129)=11,B$129*EXP(IF(A2711&lt;0,(10-0)*A2711,-0*A2711))+C$129*EXP(IF(A2711&lt;0,(10-1)*A2711,-1*A2711))+D$129*EXP(IF(A2711&lt;0,(10-2)*A2711,-2*A2711))+E$129*EXP(IF(A2711&lt;0,(10-3)*A2711,-3*A2711))+F$129*EXP(IF(A2711&lt;0,(10-4)*A2711,-4*A2711))+G$129*EXP(IF(A2711&lt;0,(10-5)*A2711,-5*A2711))+H$129*EXP(IF(A2711&lt;0,(10-6)*A2711,-6*A2711))+I$129*EXP(IF(A2711&lt;0,(10-7)*A2711,-7*A2711))+J$129*EXP(IF(A2711&lt;0,(10-8)*A2711,-8*A2711))+K$129*EXP(IF(A2711&lt;0,(10-9)*A2711,-9*A2711))+L$129*EXP(IF(A2711&lt;0,(10-10)*A2711,-10*A2711)),0)</x:f>
        <x:v>788160.8544085776</x:v>
      </x:c>
      <x:c r="C2711" s="256" t="n">
        <x:f>IF(B2711=0,IF(B2710=0,0,1),IF(B2710=0,0,IF(SIGN(B2711)&lt;&gt;SIGN(B2710),1,0)))</x:f>
        <x:v>0</x:v>
      </x:c>
      <x:c r="D2711" s="256" t="n">
        <x:f>EXP(A2711-0.005)-1</x:f>
        <x:v>-0.6302765554559411</x:v>
      </x:c>
    </x:row>
    <x:row r="2712" ht="20" customHeight="1">
      <x:c r="A2712" s="256" t="n">
        <x:f>-12+1102*0.01</x:f>
        <x:v>-0.9800000000000004</x:v>
      </x:c>
      <x:c r="B2712" s="256" t="n">
        <x:f>IF(COUNT($B$129:$L$129)=11,B$129*EXP(IF(A2712&lt;0,(10-0)*A2712,-0*A2712))+C$129*EXP(IF(A2712&lt;0,(10-1)*A2712,-1*A2712))+D$129*EXP(IF(A2712&lt;0,(10-2)*A2712,-2*A2712))+E$129*EXP(IF(A2712&lt;0,(10-3)*A2712,-3*A2712))+F$129*EXP(IF(A2712&lt;0,(10-4)*A2712,-4*A2712))+G$129*EXP(IF(A2712&lt;0,(10-5)*A2712,-5*A2712))+H$129*EXP(IF(A2712&lt;0,(10-6)*A2712,-6*A2712))+I$129*EXP(IF(A2712&lt;0,(10-7)*A2712,-7*A2712))+J$129*EXP(IF(A2712&lt;0,(10-8)*A2712,-8*A2712))+K$129*EXP(IF(A2712&lt;0,(10-9)*A2712,-9*A2712))+L$129*EXP(IF(A2712&lt;0,(10-10)*A2712,-10*A2712)),0)</x:f>
        <x:v>788246.9664018916</x:v>
      </x:c>
      <x:c r="C2712" s="256" t="n">
        <x:f>IF(B2712=0,IF(B2711=0,0,1),IF(B2711=0,0,IF(SIGN(B2712)&lt;&gt;SIGN(B2711),1,0)))</x:f>
        <x:v>0</x:v>
      </x:c>
      <x:c r="D2712" s="256" t="n">
        <x:f>EXP(A2712-0.005)-1</x:f>
        <x:v>-0.6265607730633392</x:v>
      </x:c>
    </x:row>
    <x:row r="2713" ht="20" customHeight="1">
      <x:c r="A2713" s="256" t="n">
        <x:f>-12+1103*0.01</x:f>
        <x:v>-0.9700000000000006</x:v>
      </x:c>
      <x:c r="B2713" s="256" t="n">
        <x:f>IF(COUNT($B$129:$L$129)=11,B$129*EXP(IF(A2713&lt;0,(10-0)*A2713,-0*A2713))+C$129*EXP(IF(A2713&lt;0,(10-1)*A2713,-1*A2713))+D$129*EXP(IF(A2713&lt;0,(10-2)*A2713,-2*A2713))+E$129*EXP(IF(A2713&lt;0,(10-3)*A2713,-3*A2713))+F$129*EXP(IF(A2713&lt;0,(10-4)*A2713,-4*A2713))+G$129*EXP(IF(A2713&lt;0,(10-5)*A2713,-5*A2713))+H$129*EXP(IF(A2713&lt;0,(10-6)*A2713,-6*A2713))+I$129*EXP(IF(A2713&lt;0,(10-7)*A2713,-7*A2713))+J$129*EXP(IF(A2713&lt;0,(10-8)*A2713,-8*A2713))+K$129*EXP(IF(A2713&lt;0,(10-9)*A2713,-9*A2713))+L$129*EXP(IF(A2713&lt;0,(10-10)*A2713,-10*A2713)),0)</x:f>
        <x:v>788334.4011997349</x:v>
      </x:c>
      <x:c r="C2713" s="256" t="n">
        <x:f>IF(B2713=0,IF(B2712=0,0,1),IF(B2712=0,0,IF(SIGN(B2713)&lt;&gt;SIGN(B2712),1,0)))</x:f>
        <x:v>0</x:v>
      </x:c>
      <x:c r="D2713" s="256" t="n">
        <x:f>EXP(A2713-0.005)-1</x:f>
        <x:v>-0.6228076464368433</x:v>
      </x:c>
    </x:row>
    <x:row r="2714" ht="20" customHeight="1">
      <x:c r="A2714" s="256" t="n">
        <x:f>-12+1104*0.01</x:f>
        <x:v>-0.9599999999999991</x:v>
      </x:c>
      <x:c r="B2714" s="256" t="n">
        <x:f>IF(COUNT($B$129:$L$129)=11,B$129*EXP(IF(A2714&lt;0,(10-0)*A2714,-0*A2714))+C$129*EXP(IF(A2714&lt;0,(10-1)*A2714,-1*A2714))+D$129*EXP(IF(A2714&lt;0,(10-2)*A2714,-2*A2714))+E$129*EXP(IF(A2714&lt;0,(10-3)*A2714,-3*A2714))+F$129*EXP(IF(A2714&lt;0,(10-4)*A2714,-4*A2714))+G$129*EXP(IF(A2714&lt;0,(10-5)*A2714,-5*A2714))+H$129*EXP(IF(A2714&lt;0,(10-6)*A2714,-6*A2714))+I$129*EXP(IF(A2714&lt;0,(10-7)*A2714,-7*A2714))+J$129*EXP(IF(A2714&lt;0,(10-8)*A2714,-8*A2714))+K$129*EXP(IF(A2714&lt;0,(10-9)*A2714,-9*A2714))+L$129*EXP(IF(A2714&lt;0,(10-10)*A2714,-10*A2714)),0)</x:f>
        <x:v>788423.1752721996</x:v>
      </x:c>
      <x:c r="C2714" s="256" t="n">
        <x:f>IF(B2714=0,IF(B2713=0,0,1),IF(B2713=0,0,IF(SIGN(B2714)&lt;&gt;SIGN(B2713),1,0)))</x:f>
        <x:v>0</x:v>
      </x:c>
      <x:c r="D2714" s="256" t="n">
        <x:f>EXP(A2714-0.005)-1</x:f>
        <x:v>-0.6190168002606624</x:v>
      </x:c>
    </x:row>
    <x:row r="2715" ht="20" customHeight="1">
      <x:c r="A2715" s="256" t="n">
        <x:f>-12+1105*0.01</x:f>
        <x:v>-0.9499999999999993</x:v>
      </x:c>
      <x:c r="B2715" s="256" t="n">
        <x:f>IF(COUNT($B$129:$L$129)=11,B$129*EXP(IF(A2715&lt;0,(10-0)*A2715,-0*A2715))+C$129*EXP(IF(A2715&lt;0,(10-1)*A2715,-1*A2715))+D$129*EXP(IF(A2715&lt;0,(10-2)*A2715,-2*A2715))+E$129*EXP(IF(A2715&lt;0,(10-3)*A2715,-3*A2715))+F$129*EXP(IF(A2715&lt;0,(10-4)*A2715,-4*A2715))+G$129*EXP(IF(A2715&lt;0,(10-5)*A2715,-5*A2715))+H$129*EXP(IF(A2715&lt;0,(10-6)*A2715,-6*A2715))+I$129*EXP(IF(A2715&lt;0,(10-7)*A2715,-7*A2715))+J$129*EXP(IF(A2715&lt;0,(10-8)*A2715,-8*A2715))+K$129*EXP(IF(A2715&lt;0,(10-9)*A2715,-9*A2715))+L$129*EXP(IF(A2715&lt;0,(10-10)*A2715,-10*A2715)),0)</x:f>
        <x:v>788513.3044287275</x:v>
      </x:c>
      <x:c r="C2715" s="256" t="n">
        <x:f>IF(B2715=0,IF(B2714=0,0,1),IF(B2714=0,0,IF(SIGN(B2715)&lt;&gt;SIGN(B2714),1,0)))</x:f>
        <x:v>0</x:v>
      </x:c>
      <x:c r="D2715" s="256" t="n">
        <x:f>EXP(A2715-0.005)-1</x:f>
        <x:v>-0.6151878554470211</x:v>
      </x:c>
    </x:row>
    <x:row r="2716" ht="20" customHeight="1">
      <x:c r="A2716" s="256" t="n">
        <x:f>-12+1106*0.01</x:f>
        <x:v>-0.9399999999999995</x:v>
      </x:c>
      <x:c r="B2716" s="256" t="n">
        <x:f>IF(COUNT($B$129:$L$129)=11,B$129*EXP(IF(A2716&lt;0,(10-0)*A2716,-0*A2716))+C$129*EXP(IF(A2716&lt;0,(10-1)*A2716,-1*A2716))+D$129*EXP(IF(A2716&lt;0,(10-2)*A2716,-2*A2716))+E$129*EXP(IF(A2716&lt;0,(10-3)*A2716,-3*A2716))+F$129*EXP(IF(A2716&lt;0,(10-4)*A2716,-4*A2716))+G$129*EXP(IF(A2716&lt;0,(10-5)*A2716,-5*A2716))+H$129*EXP(IF(A2716&lt;0,(10-6)*A2716,-6*A2716))+I$129*EXP(IF(A2716&lt;0,(10-7)*A2716,-7*A2716))+J$129*EXP(IF(A2716&lt;0,(10-8)*A2716,-8*A2716))+K$129*EXP(IF(A2716&lt;0,(10-9)*A2716,-9*A2716))+L$129*EXP(IF(A2716&lt;0,(10-10)*A2716,-10*A2716)),0)</x:f>
        <x:v>788604.8036945856</x:v>
      </x:c>
      <x:c r="C2716" s="256" t="n">
        <x:f>IF(B2716=0,IF(B2715=0,0,1),IF(B2715=0,0,IF(SIGN(B2716)&lt;&gt;SIGN(B2715),1,0)))</x:f>
        <x:v>0</x:v>
      </x:c>
      <x:c r="D2716" s="256" t="n">
        <x:f>EXP(A2716-0.005)-1</x:f>
        <x:v>-0.6113204290982468</x:v>
      </x:c>
    </x:row>
    <x:row r="2717" ht="20" customHeight="1">
      <x:c r="A2717" s="256" t="n">
        <x:f>-12+1107*0.01</x:f>
        <x:v>-0.9299999999999997</x:v>
      </x:c>
      <x:c r="B2717" s="256" t="n">
        <x:f>IF(COUNT($B$129:$L$129)=11,B$129*EXP(IF(A2717&lt;0,(10-0)*A2717,-0*A2717))+C$129*EXP(IF(A2717&lt;0,(10-1)*A2717,-1*A2717))+D$129*EXP(IF(A2717&lt;0,(10-2)*A2717,-2*A2717))+E$129*EXP(IF(A2717&lt;0,(10-3)*A2717,-3*A2717))+F$129*EXP(IF(A2717&lt;0,(10-4)*A2717,-4*A2717))+G$129*EXP(IF(A2717&lt;0,(10-5)*A2717,-5*A2717))+H$129*EXP(IF(A2717&lt;0,(10-6)*A2717,-6*A2717))+I$129*EXP(IF(A2717&lt;0,(10-7)*A2717,-7*A2717))+J$129*EXP(IF(A2717&lt;0,(10-8)*A2717,-8*A2717))+K$129*EXP(IF(A2717&lt;0,(10-9)*A2717,-9*A2717))+L$129*EXP(IF(A2717&lt;0,(10-10)*A2717,-10*A2717)),0)</x:f>
        <x:v>788697.6871731523</x:v>
      </x:c>
      <x:c r="C2717" s="256" t="n">
        <x:f>IF(B2717=0,IF(B2716=0,0,1),IF(B2716=0,0,IF(SIGN(B2717)&lt;&gt;SIGN(B2716),1,0)))</x:f>
        <x:v>0</x:v>
      </x:c>
      <x:c r="D2717" s="256" t="n">
        <x:f>EXP(A2717-0.005)-1</x:f>
        <x:v>-0.6074141344684816</x:v>
      </x:c>
    </x:row>
    <x:row r="2718" ht="20" customHeight="1">
      <x:c r="A2718" s="256" t="n">
        <x:f>-12+1108*0.01</x:f>
        <x:v>-0.9199999999999999</x:v>
      </x:c>
      <x:c r="B2718" s="256" t="n">
        <x:f>IF(COUNT($B$129:$L$129)=11,B$129*EXP(IF(A2718&lt;0,(10-0)*A2718,-0*A2718))+C$129*EXP(IF(A2718&lt;0,(10-1)*A2718,-1*A2718))+D$129*EXP(IF(A2718&lt;0,(10-2)*A2718,-2*A2718))+E$129*EXP(IF(A2718&lt;0,(10-3)*A2718,-3*A2718))+F$129*EXP(IF(A2718&lt;0,(10-4)*A2718,-4*A2718))+G$129*EXP(IF(A2718&lt;0,(10-5)*A2718,-5*A2718))+H$129*EXP(IF(A2718&lt;0,(10-6)*A2718,-6*A2718))+I$129*EXP(IF(A2718&lt;0,(10-7)*A2718,-7*A2718))+J$129*EXP(IF(A2718&lt;0,(10-8)*A2718,-8*A2718))+K$129*EXP(IF(A2718&lt;0,(10-9)*A2718,-9*A2718))+L$129*EXP(IF(A2718&lt;0,(10-10)*A2718,-10*A2718)),0)</x:f>
        <x:v>788791.9678925137</x:v>
      </x:c>
      <x:c r="C2718" s="256" t="n">
        <x:f>IF(B2718=0,IF(B2717=0,0,1),IF(B2717=0,0,IF(SIGN(B2718)&lt;&gt;SIGN(B2717),1,0)))</x:f>
        <x:v>0</x:v>
      </x:c>
      <x:c r="D2718" s="256" t="n">
        <x:f>EXP(A2718-0.005)-1</x:f>
        <x:v>-0.6034685809250071</x:v>
      </x:c>
    </x:row>
    <x:row r="2719" ht="20" customHeight="1">
      <x:c r="A2719" s="256" t="n">
        <x:f>-12+1109*0.01</x:f>
        <x:v>-0.9100000000000001</x:v>
      </x:c>
      <x:c r="B2719" s="256" t="n">
        <x:f>IF(COUNT($B$129:$L$129)=11,B$129*EXP(IF(A2719&lt;0,(10-0)*A2719,-0*A2719))+C$129*EXP(IF(A2719&lt;0,(10-1)*A2719,-1*A2719))+D$129*EXP(IF(A2719&lt;0,(10-2)*A2719,-2*A2719))+E$129*EXP(IF(A2719&lt;0,(10-3)*A2719,-3*A2719))+F$129*EXP(IF(A2719&lt;0,(10-4)*A2719,-4*A2719))+G$129*EXP(IF(A2719&lt;0,(10-5)*A2719,-5*A2719))+H$129*EXP(IF(A2719&lt;0,(10-6)*A2719,-6*A2719))+I$129*EXP(IF(A2719&lt;0,(10-7)*A2719,-7*A2719))+J$129*EXP(IF(A2719&lt;0,(10-8)*A2719,-8*A2719))+K$129*EXP(IF(A2719&lt;0,(10-9)*A2719,-9*A2719))+L$129*EXP(IF(A2719&lt;0,(10-10)*A2719,-10*A2719)),0)</x:f>
        <x:v>788887.6576347064</x:v>
      </x:c>
      <x:c r="C2719" s="256" t="n">
        <x:f>IF(B2719=0,IF(B2718=0,0,1),IF(B2718=0,0,IF(SIGN(B2719)&lt;&gt;SIGN(B2718),1,0)))</x:f>
        <x:v>0</x:v>
      </x:c>
      <x:c r="D2719" s="256" t="n">
        <x:f>EXP(A2719-0.005)-1</x:f>
        <x:v>-0.5994833739091813</x:v>
      </x:c>
    </x:row>
    <x:row r="2720" ht="20" customHeight="1">
      <x:c r="A2720" s="256" t="n">
        <x:f>-12+1110*0.01</x:f>
        <x:v>-0.9000000000000004</x:v>
      </x:c>
      <x:c r="B2720" s="256" t="n">
        <x:f>IF(COUNT($B$129:$L$129)=11,B$129*EXP(IF(A2720&lt;0,(10-0)*A2720,-0*A2720))+C$129*EXP(IF(A2720&lt;0,(10-1)*A2720,-1*A2720))+D$129*EXP(IF(A2720&lt;0,(10-2)*A2720,-2*A2720))+E$129*EXP(IF(A2720&lt;0,(10-3)*A2720,-3*A2720))+F$129*EXP(IF(A2720&lt;0,(10-4)*A2720,-4*A2720))+G$129*EXP(IF(A2720&lt;0,(10-5)*A2720,-5*A2720))+H$129*EXP(IF(A2720&lt;0,(10-6)*A2720,-6*A2720))+I$129*EXP(IF(A2720&lt;0,(10-7)*A2720,-7*A2720))+J$129*EXP(IF(A2720&lt;0,(10-8)*A2720,-8*A2720))+K$129*EXP(IF(A2720&lt;0,(10-9)*A2720,-9*A2720))+L$129*EXP(IF(A2720&lt;0,(10-10)*A2720,-10*A2720)),0)</x:f>
        <x:v>788984.7667457754</x:v>
      </x:c>
      <x:c r="C2720" s="256" t="n">
        <x:f>IF(B2720=0,IF(B2719=0,0,1),IF(B2719=0,0,IF(SIGN(B2720)&lt;&gt;SIGN(B2719),1,0)))</x:f>
        <x:v>0</x:v>
      </x:c>
      <x:c r="D2720" s="256" t="n">
        <x:f>EXP(A2720-0.005)-1</x:f>
        <x:v>-0.5954581148969813</x:v>
      </x:c>
    </x:row>
    <x:row r="2721" ht="20" customHeight="1">
      <x:c r="A2721" s="256" t="n">
        <x:f>-12+1111*0.01</x:f>
        <x:v>-0.8900000000000006</x:v>
      </x:c>
      <x:c r="B2721" s="256" t="n">
        <x:f>IF(COUNT($B$129:$L$129)=11,B$129*EXP(IF(A2721&lt;0,(10-0)*A2721,-0*A2721))+C$129*EXP(IF(A2721&lt;0,(10-1)*A2721,-1*A2721))+D$129*EXP(IF(A2721&lt;0,(10-2)*A2721,-2*A2721))+E$129*EXP(IF(A2721&lt;0,(10-3)*A2721,-3*A2721))+F$129*EXP(IF(A2721&lt;0,(10-4)*A2721,-4*A2721))+G$129*EXP(IF(A2721&lt;0,(10-5)*A2721,-5*A2721))+H$129*EXP(IF(A2721&lt;0,(10-6)*A2721,-6*A2721))+I$129*EXP(IF(A2721&lt;0,(10-7)*A2721,-7*A2721))+J$129*EXP(IF(A2721&lt;0,(10-8)*A2721,-8*A2721))+K$129*EXP(IF(A2721&lt;0,(10-9)*A2721,-9*A2721))+L$129*EXP(IF(A2721&lt;0,(10-10)*A2721,-10*A2721)),0)</x:f>
        <x:v>789083.3039246232</x:v>
      </x:c>
      <x:c r="C2721" s="256" t="n">
        <x:f>IF(B2721=0,IF(B2720=0,0,1),IF(B2720=0,0,IF(SIGN(B2721)&lt;&gt;SIGN(B2720),1,0)))</x:f>
        <x:v>0</x:v>
      </x:c>
      <x:c r="D2721" s="256" t="n">
        <x:f>EXP(A2721-0.005)-1</x:f>
        <x:v>-0.5913924013591518</x:v>
      </x:c>
    </x:row>
    <x:row r="2722" ht="20" customHeight="1">
      <x:c r="A2722" s="256" t="n">
        <x:f>-12+1112*0.01</x:f>
        <x:v>-0.879999999999999</x:v>
      </x:c>
      <x:c r="B2722" s="256" t="n">
        <x:f>IF(COUNT($B$129:$L$129)=11,B$129*EXP(IF(A2722&lt;0,(10-0)*A2722,-0*A2722))+C$129*EXP(IF(A2722&lt;0,(10-1)*A2722,-1*A2722))+D$129*EXP(IF(A2722&lt;0,(10-2)*A2722,-2*A2722))+E$129*EXP(IF(A2722&lt;0,(10-3)*A2722,-3*A2722))+F$129*EXP(IF(A2722&lt;0,(10-4)*A2722,-4*A2722))+G$129*EXP(IF(A2722&lt;0,(10-5)*A2722,-5*A2722))+H$129*EXP(IF(A2722&lt;0,(10-6)*A2722,-6*A2722))+I$129*EXP(IF(A2722&lt;0,(10-7)*A2722,-7*A2722))+J$129*EXP(IF(A2722&lt;0,(10-8)*A2722,-8*A2722))+K$129*EXP(IF(A2722&lt;0,(10-9)*A2722,-9*A2722))+L$129*EXP(IF(A2722&lt;0,(10-10)*A2722,-10*A2722)),0)</x:f>
        <x:v>789183.2759884145</x:v>
      </x:c>
      <x:c r="C2722" s="256" t="n">
        <x:f>IF(B2722=0,IF(B2721=0,0,1),IF(B2721=0,0,IF(SIGN(B2722)&lt;&gt;SIGN(B2721),1,0)))</x:f>
        <x:v>0</x:v>
      </x:c>
      <x:c r="D2722" s="256" t="n">
        <x:f>EXP(A2722-0.005)-1</x:f>
        <x:v>-0.58728582672095</x:v>
      </x:c>
    </x:row>
    <x:row r="2723" ht="20" customHeight="1">
      <x:c r="A2723" s="256" t="n">
        <x:f>-12+1113*0.01</x:f>
        <x:v>-0.8699999999999992</x:v>
      </x:c>
      <x:c r="B2723" s="256" t="n">
        <x:f>IF(COUNT($B$129:$L$129)=11,B$129*EXP(IF(A2723&lt;0,(10-0)*A2723,-0*A2723))+C$129*EXP(IF(A2723&lt;0,(10-1)*A2723,-1*A2723))+D$129*EXP(IF(A2723&lt;0,(10-2)*A2723,-2*A2723))+E$129*EXP(IF(A2723&lt;0,(10-3)*A2723,-3*A2723))+F$129*EXP(IF(A2723&lt;0,(10-4)*A2723,-4*A2723))+G$129*EXP(IF(A2723&lt;0,(10-5)*A2723,-5*A2723))+H$129*EXP(IF(A2723&lt;0,(10-6)*A2723,-6*A2723))+I$129*EXP(IF(A2723&lt;0,(10-7)*A2723,-7*A2723))+J$129*EXP(IF(A2723&lt;0,(10-8)*A2723,-8*A2723))+K$129*EXP(IF(A2723&lt;0,(10-9)*A2723,-9*A2723))+L$129*EXP(IF(A2723&lt;0,(10-10)*A2723,-10*A2723)),0)</x:f>
        <x:v>789284.6876120699</x:v>
      </x:c>
      <x:c r="C2723" s="256" t="n">
        <x:f>IF(B2723=0,IF(B2722=0,0,1),IF(B2722=0,0,IF(SIGN(B2723)&lt;&gt;SIGN(B2722),1,0)))</x:f>
        <x:v>0</x:v>
      </x:c>
      <x:c r="D2723" s="256" t="n">
        <x:f>EXP(A2723-0.005)-1</x:f>
        <x:v>-0.5831379803214913</x:v>
      </x:c>
    </x:row>
    <x:row r="2724" ht="20" customHeight="1">
      <x:c r="A2724" s="256" t="n">
        <x:f>-12+1114*0.01</x:f>
        <x:v>-0.8599999999999994</x:v>
      </x:c>
      <x:c r="B2724" s="256" t="n">
        <x:f>IF(COUNT($B$129:$L$129)=11,B$129*EXP(IF(A2724&lt;0,(10-0)*A2724,-0*A2724))+C$129*EXP(IF(A2724&lt;0,(10-1)*A2724,-1*A2724))+D$129*EXP(IF(A2724&lt;0,(10-2)*A2724,-2*A2724))+E$129*EXP(IF(A2724&lt;0,(10-3)*A2724,-3*A2724))+F$129*EXP(IF(A2724&lt;0,(10-4)*A2724,-4*A2724))+G$129*EXP(IF(A2724&lt;0,(10-5)*A2724,-5*A2724))+H$129*EXP(IF(A2724&lt;0,(10-6)*A2724,-6*A2724))+I$129*EXP(IF(A2724&lt;0,(10-7)*A2724,-7*A2724))+J$129*EXP(IF(A2724&lt;0,(10-8)*A2724,-8*A2724))+K$129*EXP(IF(A2724&lt;0,(10-9)*A2724,-9*A2724))+L$129*EXP(IF(A2724&lt;0,(10-10)*A2724,-10*A2724)),0)</x:f>
        <x:v>789387.5410391268</x:v>
      </x:c>
      <x:c r="C2724" s="256" t="n">
        <x:f>IF(B2724=0,IF(B2723=0,0,1),IF(B2723=0,0,IF(SIGN(B2724)&lt;&gt;SIGN(B2723),1,0)))</x:f>
        <x:v>0</x:v>
      </x:c>
      <x:c r="D2724" s="256" t="n">
        <x:f>EXP(A2724-0.005)-1</x:f>
        <x:v>-0.5789484473726786</x:v>
      </x:c>
    </x:row>
    <x:row r="2725" ht="20" customHeight="1">
      <x:c r="A2725" s="256" t="n">
        <x:f>-12+1115*0.01</x:f>
        <x:v>-0.8499999999999996</x:v>
      </x:c>
      <x:c r="B2725" s="256" t="n">
        <x:f>IF(COUNT($B$129:$L$129)=11,B$129*EXP(IF(A2725&lt;0,(10-0)*A2725,-0*A2725))+C$129*EXP(IF(A2725&lt;0,(10-1)*A2725,-1*A2725))+D$129*EXP(IF(A2725&lt;0,(10-2)*A2725,-2*A2725))+E$129*EXP(IF(A2725&lt;0,(10-3)*A2725,-3*A2725))+F$129*EXP(IF(A2725&lt;0,(10-4)*A2725,-4*A2725))+G$129*EXP(IF(A2725&lt;0,(10-5)*A2725,-5*A2725))+H$129*EXP(IF(A2725&lt;0,(10-6)*A2725,-6*A2725))+I$129*EXP(IF(A2725&lt;0,(10-7)*A2725,-7*A2725))+J$129*EXP(IF(A2725&lt;0,(10-8)*A2725,-8*A2725))+K$129*EXP(IF(A2725&lt;0,(10-9)*A2725,-9*A2725))+L$129*EXP(IF(A2725&lt;0,(10-10)*A2725,-10*A2725)),0)</x:f>
        <x:v>789491.8357609578</x:v>
      </x:c>
      <x:c r="C2725" s="256" t="n">
        <x:f>IF(B2725=0,IF(B2724=0,0,1),IF(B2724=0,0,IF(SIGN(B2725)&lt;&gt;SIGN(B2724),1,0)))</x:f>
        <x:v>0</x:v>
      </x:c>
      <x:c r="D2725" s="256" t="n">
        <x:f>EXP(A2725-0.005)-1</x:f>
        <x:v>-0.5747168089177257</x:v>
      </x:c>
    </x:row>
    <x:row r="2726" ht="20" customHeight="1">
      <x:c r="A2726" s="256" t="n">
        <x:f>-12+1116*0.01</x:f>
        <x:v>-0.8399999999999999</x:v>
      </x:c>
      <x:c r="B2726" s="256" t="n">
        <x:f>IF(COUNT($B$129:$L$129)=11,B$129*EXP(IF(A2726&lt;0,(10-0)*A2726,-0*A2726))+C$129*EXP(IF(A2726&lt;0,(10-1)*A2726,-1*A2726))+D$129*EXP(IF(A2726&lt;0,(10-2)*A2726,-2*A2726))+E$129*EXP(IF(A2726&lt;0,(10-3)*A2726,-3*A2726))+F$129*EXP(IF(A2726&lt;0,(10-4)*A2726,-4*A2726))+G$129*EXP(IF(A2726&lt;0,(10-5)*A2726,-5*A2726))+H$129*EXP(IF(A2726&lt;0,(10-6)*A2726,-6*A2726))+I$129*EXP(IF(A2726&lt;0,(10-7)*A2726,-7*A2726))+J$129*EXP(IF(A2726&lt;0,(10-8)*A2726,-8*A2726))+K$129*EXP(IF(A2726&lt;0,(10-9)*A2726,-9*A2726))+L$129*EXP(IF(A2726&lt;0,(10-10)*A2726,-10*A2726)),0)</x:f>
        <x:v>789597.5681610316</x:v>
      </x:c>
      <x:c r="C2726" s="256" t="n">
        <x:f>IF(B2726=0,IF(B2725=0,0,1),IF(B2725=0,0,IF(SIGN(B2726)&lt;&gt;SIGN(B2725),1,0)))</x:f>
        <x:v>0</x:v>
      </x:c>
      <x:c r="D2726" s="256" t="n">
        <x:f>EXP(A2726-0.005)-1</x:f>
        <x:v>-0.5704426417892607</x:v>
      </x:c>
    </x:row>
    <x:row r="2727" ht="20" customHeight="1">
      <x:c r="A2727" s="256" t="n">
        <x:f>-12+1117*0.01</x:f>
        <x:v>-0.8300000000000001</x:v>
      </x:c>
      <x:c r="B2727" s="256" t="n">
        <x:f>IF(COUNT($B$129:$L$129)=11,B$129*EXP(IF(A2727&lt;0,(10-0)*A2727,-0*A2727))+C$129*EXP(IF(A2727&lt;0,(10-1)*A2727,-1*A2727))+D$129*EXP(IF(A2727&lt;0,(10-2)*A2727,-2*A2727))+E$129*EXP(IF(A2727&lt;0,(10-3)*A2727,-3*A2727))+F$129*EXP(IF(A2727&lt;0,(10-4)*A2727,-4*A2727))+G$129*EXP(IF(A2727&lt;0,(10-5)*A2727,-5*A2727))+H$129*EXP(IF(A2727&lt;0,(10-6)*A2727,-6*A2727))+I$129*EXP(IF(A2727&lt;0,(10-7)*A2727,-7*A2727))+J$129*EXP(IF(A2727&lt;0,(10-8)*A2727,-8*A2727))+K$129*EXP(IF(A2727&lt;0,(10-9)*A2727,-9*A2727))+L$129*EXP(IF(A2727&lt;0,(10-10)*A2727,-10*A2727)),0)</x:f>
        <x:v>789704.7311205477</x:v>
      </x:c>
      <x:c r="C2727" s="256" t="n">
        <x:f>IF(B2727=0,IF(B2726=0,0,1),IF(B2726=0,0,IF(SIGN(B2727)&lt;&gt;SIGN(B2726),1,0)))</x:f>
        <x:v>0</x:v>
      </x:c>
      <x:c r="D2727" s="256" t="n">
        <x:f>EXP(A2727-0.005)-1</x:f>
        <x:v>-0.5661255185670091</x:v>
      </x:c>
    </x:row>
    <x:row r="2728" ht="20" customHeight="1">
      <x:c r="A2728" s="256" t="n">
        <x:f>-12+1118*0.01</x:f>
        <x:v>-0.8200000000000003</x:v>
      </x:c>
      <x:c r="B2728" s="256" t="n">
        <x:f>IF(COUNT($B$129:$L$129)=11,B$129*EXP(IF(A2728&lt;0,(10-0)*A2728,-0*A2728))+C$129*EXP(IF(A2728&lt;0,(10-1)*A2728,-1*A2728))+D$129*EXP(IF(A2728&lt;0,(10-2)*A2728,-2*A2728))+E$129*EXP(IF(A2728&lt;0,(10-3)*A2728,-3*A2728))+F$129*EXP(IF(A2728&lt;0,(10-4)*A2728,-4*A2728))+G$129*EXP(IF(A2728&lt;0,(10-5)*A2728,-5*A2728))+H$129*EXP(IF(A2728&lt;0,(10-6)*A2728,-6*A2728))+I$129*EXP(IF(A2728&lt;0,(10-7)*A2728,-7*A2728))+J$129*EXP(IF(A2728&lt;0,(10-8)*A2728,-8*A2728))+K$129*EXP(IF(A2728&lt;0,(10-9)*A2728,-9*A2728))+L$129*EXP(IF(A2728&lt;0,(10-10)*A2728,-10*A2728)),0)</x:f>
        <x:v>789813.3135814046</x:v>
      </x:c>
      <x:c r="C2728" s="256" t="n">
        <x:f>IF(B2728=0,IF(B2727=0,0,1),IF(B2727=0,0,IF(SIGN(B2728)&lt;&gt;SIGN(B2727),1,0)))</x:f>
        <x:v>0</x:v>
      </x:c>
      <x:c r="D2728" s="256" t="n">
        <x:f>EXP(A2728-0.005)-1</x:f>
        <x:v>-0.5617650075350509</x:v>
      </x:c>
    </x:row>
    <x:row r="2729" ht="20" customHeight="1">
      <x:c r="A2729" s="256" t="n">
        <x:f>-12+1119*0.01</x:f>
        <x:v>-0.8100000000000005</x:v>
      </x:c>
      <x:c r="B2729" s="256" t="n">
        <x:f>IF(COUNT($B$129:$L$129)=11,B$129*EXP(IF(A2729&lt;0,(10-0)*A2729,-0*A2729))+C$129*EXP(IF(A2729&lt;0,(10-1)*A2729,-1*A2729))+D$129*EXP(IF(A2729&lt;0,(10-2)*A2729,-2*A2729))+E$129*EXP(IF(A2729&lt;0,(10-3)*A2729,-3*A2729))+F$129*EXP(IF(A2729&lt;0,(10-4)*A2729,-4*A2729))+G$129*EXP(IF(A2729&lt;0,(10-5)*A2729,-5*A2729))+H$129*EXP(IF(A2729&lt;0,(10-6)*A2729,-6*A2729))+I$129*EXP(IF(A2729&lt;0,(10-7)*A2729,-7*A2729))+J$129*EXP(IF(A2729&lt;0,(10-8)*A2729,-8*A2729))+K$129*EXP(IF(A2729&lt;0,(10-9)*A2729,-9*A2729))+L$129*EXP(IF(A2729&lt;0,(10-10)*A2729,-10*A2729)),0)</x:f>
        <x:v>789923.3000620328</x:v>
      </x:c>
      <x:c r="C2729" s="256" t="n">
        <x:f>IF(B2729=0,IF(B2728=0,0,1),IF(B2728=0,0,IF(SIGN(B2729)&lt;&gt;SIGN(B2728),1,0)))</x:f>
        <x:v>0</x:v>
      </x:c>
      <x:c r="D2729" s="256" t="n">
        <x:f>EXP(A2729-0.005)-1</x:f>
        <x:v>-0.5573606726386491</x:v>
      </x:c>
    </x:row>
    <x:row r="2730" ht="20" customHeight="1">
      <x:c r="A2730" s="256" t="n">
        <x:f>-12+1120*0.01</x:f>
        <x:v>-0.7999999999999989</x:v>
      </x:c>
      <x:c r="B2730" s="256" t="n">
        <x:f>IF(COUNT($B$129:$L$129)=11,B$129*EXP(IF(A2730&lt;0,(10-0)*A2730,-0*A2730))+C$129*EXP(IF(A2730&lt;0,(10-1)*A2730,-1*A2730))+D$129*EXP(IF(A2730&lt;0,(10-2)*A2730,-2*A2730))+E$129*EXP(IF(A2730&lt;0,(10-3)*A2730,-3*A2730))+F$129*EXP(IF(A2730&lt;0,(10-4)*A2730,-4*A2730))+G$129*EXP(IF(A2730&lt;0,(10-5)*A2730,-5*A2730))+H$129*EXP(IF(A2730&lt;0,(10-6)*A2730,-6*A2730))+I$129*EXP(IF(A2730&lt;0,(10-7)*A2730,-7*A2730))+J$129*EXP(IF(A2730&lt;0,(10-8)*A2730,-8*A2730))+K$129*EXP(IF(A2730&lt;0,(10-9)*A2730,-9*A2730))+L$129*EXP(IF(A2730&lt;0,(10-10)*A2730,-10*A2730)),0)</x:f>
        <x:v>790034.6701211637</x:v>
      </x:c>
      <x:c r="C2730" s="256" t="n">
        <x:f>IF(B2730=0,IF(B2729=0,0,1),IF(B2729=0,0,IF(SIGN(B2730)&lt;&gt;SIGN(B2729),1,0)))</x:f>
        <x:v>0</x:v>
      </x:c>
      <x:c r="D2730" s="256" t="n">
        <x:f>EXP(A2730-0.005)-1</x:f>
        <x:v>-0.5529120734406431</x:v>
      </x:c>
    </x:row>
    <x:row r="2731" ht="20" customHeight="1">
      <x:c r="A2731" s="256" t="n">
        <x:f>-12+1121*0.01</x:f>
        <x:v>-0.7899999999999991</x:v>
      </x:c>
      <x:c r="B2731" s="256" t="n">
        <x:f>IF(COUNT($B$129:$L$129)=11,B$129*EXP(IF(A2731&lt;0,(10-0)*A2731,-0*A2731))+C$129*EXP(IF(A2731&lt;0,(10-1)*A2731,-1*A2731))+D$129*EXP(IF(A2731&lt;0,(10-2)*A2731,-2*A2731))+E$129*EXP(IF(A2731&lt;0,(10-3)*A2731,-3*A2731))+F$129*EXP(IF(A2731&lt;0,(10-4)*A2731,-4*A2731))+G$129*EXP(IF(A2731&lt;0,(10-5)*A2731,-5*A2731))+H$129*EXP(IF(A2731&lt;0,(10-6)*A2731,-6*A2731))+I$129*EXP(IF(A2731&lt;0,(10-7)*A2731,-7*A2731))+J$129*EXP(IF(A2731&lt;0,(10-8)*A2731,-8*A2731))+K$129*EXP(IF(A2731&lt;0,(10-9)*A2731,-9*A2731))+L$129*EXP(IF(A2731&lt;0,(10-10)*A2731,-10*A2731)),0)</x:f>
        <x:v>790147.3977640951</x:v>
      </x:c>
      <x:c r="C2731" s="256" t="n">
        <x:f>IF(B2731=0,IF(B2730=0,0,1),IF(B2730=0,0,IF(SIGN(B2731)&lt;&gt;SIGN(B2730),1,0)))</x:f>
        <x:v>0</x:v>
      </x:c>
      <x:c r="D2731" s="256" t="n">
        <x:f>EXP(A2731-0.005)-1</x:f>
        <x:v>-0.5484187650774074</x:v>
      </x:c>
    </x:row>
    <x:row r="2732" ht="20" customHeight="1">
      <x:c r="A2732" s="256" t="n">
        <x:f>-12+1122*0.01</x:f>
        <x:v>-0.7799999999999994</x:v>
      </x:c>
      <x:c r="B2732" s="256" t="n">
        <x:f>IF(COUNT($B$129:$L$129)=11,B$129*EXP(IF(A2732&lt;0,(10-0)*A2732,-0*A2732))+C$129*EXP(IF(A2732&lt;0,(10-1)*A2732,-1*A2732))+D$129*EXP(IF(A2732&lt;0,(10-2)*A2732,-2*A2732))+E$129*EXP(IF(A2732&lt;0,(10-3)*A2732,-3*A2732))+F$129*EXP(IF(A2732&lt;0,(10-4)*A2732,-4*A2732))+G$129*EXP(IF(A2732&lt;0,(10-5)*A2732,-5*A2732))+H$129*EXP(IF(A2732&lt;0,(10-6)*A2732,-6*A2732))+I$129*EXP(IF(A2732&lt;0,(10-7)*A2732,-7*A2732))+J$129*EXP(IF(A2732&lt;0,(10-8)*A2732,-8*A2732))+K$129*EXP(IF(A2732&lt;0,(10-9)*A2732,-9*A2732))+L$129*EXP(IF(A2732&lt;0,(10-10)*A2732,-10*A2732)),0)</x:f>
        <x:v>790261.4507854425</x:v>
      </x:c>
      <x:c r="C2732" s="256" t="n">
        <x:f>IF(B2732=0,IF(B2731=0,0,1),IF(B2731=0,0,IF(SIGN(B2732)&lt;&gt;SIGN(B2731),1,0)))</x:f>
        <x:v>0</x:v>
      </x:c>
      <x:c r="D2732" s="256" t="n">
        <x:f>EXP(A2732-0.005)-1</x:f>
        <x:v>-0.5438802982143605</x:v>
      </x:c>
    </x:row>
    <x:row r="2733" ht="20" customHeight="1">
      <x:c r="A2733" s="256" t="n">
        <x:f>-12+1123*0.01</x:f>
        <x:v>-0.7699999999999996</x:v>
      </x:c>
      <x:c r="B2733" s="256" t="n">
        <x:f>IF(COUNT($B$129:$L$129)=11,B$129*EXP(IF(A2733&lt;0,(10-0)*A2733,-0*A2733))+C$129*EXP(IF(A2733&lt;0,(10-1)*A2733,-1*A2733))+D$129*EXP(IF(A2733&lt;0,(10-2)*A2733,-2*A2733))+E$129*EXP(IF(A2733&lt;0,(10-3)*A2733,-3*A2733))+F$129*EXP(IF(A2733&lt;0,(10-4)*A2733,-4*A2733))+G$129*EXP(IF(A2733&lt;0,(10-5)*A2733,-5*A2733))+H$129*EXP(IF(A2733&lt;0,(10-6)*A2733,-6*A2733))+I$129*EXP(IF(A2733&lt;0,(10-7)*A2733,-7*A2733))+J$129*EXP(IF(A2733&lt;0,(10-8)*A2733,-8*A2733))+K$129*EXP(IF(A2733&lt;0,(10-9)*A2733,-9*A2733))+L$129*EXP(IF(A2733&lt;0,(10-10)*A2733,-10*A2733)),0)</x:f>
        <x:v>790376.7900417465</x:v>
      </x:c>
      <x:c r="C2733" s="256" t="n">
        <x:f>IF(B2733=0,IF(B2732=0,0,1),IF(B2732=0,0,IF(SIGN(B2733)&lt;&gt;SIGN(B2732),1,0)))</x:f>
        <x:v>0</x:v>
      </x:c>
      <x:c r="D2733" s="256" t="n">
        <x:f>EXP(A2733-0.005)-1</x:f>
        <x:v>-0.539296219001034</x:v>
      </x:c>
    </x:row>
    <x:row r="2734" ht="20" customHeight="1">
      <x:c r="A2734" s="256" t="n">
        <x:f>-12+1124*0.01</x:f>
        <x:v>-0.7599999999999998</x:v>
      </x:c>
      <x:c r="B2734" s="256" t="n">
        <x:f>IF(COUNT($B$129:$L$129)=11,B$129*EXP(IF(A2734&lt;0,(10-0)*A2734,-0*A2734))+C$129*EXP(IF(A2734&lt;0,(10-1)*A2734,-1*A2734))+D$129*EXP(IF(A2734&lt;0,(10-2)*A2734,-2*A2734))+E$129*EXP(IF(A2734&lt;0,(10-3)*A2734,-3*A2734))+F$129*EXP(IF(A2734&lt;0,(10-4)*A2734,-4*A2734))+G$129*EXP(IF(A2734&lt;0,(10-5)*A2734,-5*A2734))+H$129*EXP(IF(A2734&lt;0,(10-6)*A2734,-6*A2734))+I$129*EXP(IF(A2734&lt;0,(10-7)*A2734,-7*A2734))+J$129*EXP(IF(A2734&lt;0,(10-8)*A2734,-8*A2734))+K$129*EXP(IF(A2734&lt;0,(10-9)*A2734,-9*A2734))+L$129*EXP(IF(A2734&lt;0,(10-10)*A2734,-10*A2734)),0)</x:f>
        <x:v>790493.3686466157</x:v>
      </x:c>
      <x:c r="C2734" s="256" t="n">
        <x:f>IF(B2734=0,IF(B2733=0,0,1),IF(B2733=0,0,IF(SIGN(B2734)&lt;&gt;SIGN(B2733),1,0)))</x:f>
        <x:v>0</x:v>
      </x:c>
      <x:c r="D2734" s="256" t="n">
        <x:f>EXP(A2734-0.005)-1</x:f>
        <x:v>-0.5346660690256866</x:v>
      </x:c>
    </x:row>
    <x:row r="2735" ht="20" customHeight="1">
      <x:c r="A2735" s="256" t="n">
        <x:f>-12+1125*0.01</x:f>
        <x:v>-0.75</x:v>
      </x:c>
      <x:c r="B2735" s="256" t="n">
        <x:f>IF(COUNT($B$129:$L$129)=11,B$129*EXP(IF(A2735&lt;0,(10-0)*A2735,-0*A2735))+C$129*EXP(IF(A2735&lt;0,(10-1)*A2735,-1*A2735))+D$129*EXP(IF(A2735&lt;0,(10-2)*A2735,-2*A2735))+E$129*EXP(IF(A2735&lt;0,(10-3)*A2735,-3*A2735))+F$129*EXP(IF(A2735&lt;0,(10-4)*A2735,-4*A2735))+G$129*EXP(IF(A2735&lt;0,(10-5)*A2735,-5*A2735))+H$129*EXP(IF(A2735&lt;0,(10-6)*A2735,-6*A2735))+I$129*EXP(IF(A2735&lt;0,(10-7)*A2735,-7*A2735))+J$129*EXP(IF(A2735&lt;0,(10-8)*A2735,-8*A2735))+K$129*EXP(IF(A2735&lt;0,(10-9)*A2735,-9*A2735))+L$129*EXP(IF(A2735&lt;0,(10-10)*A2735,-10*A2735)),0)</x:f>
        <x:v>790611.1310803215</x:v>
      </x:c>
      <x:c r="C2735" s="256" t="n">
        <x:f>IF(B2735=0,IF(B2734=0,0,1),IF(B2734=0,0,IF(SIGN(B2735)&lt;&gt;SIGN(B2734),1,0)))</x:f>
        <x:v>0</x:v>
      </x:c>
      <x:c r="D2735" s="256" t="n">
        <x:f>EXP(A2735-0.005)-1</x:f>
        <x:v>-0.529989385269462</x:v>
      </x:c>
    </x:row>
    <x:row r="2736" ht="20" customHeight="1">
      <x:c r="A2736" s="256" t="n">
        <x:f>-12+1126*0.01</x:f>
        <x:v>-0.7400000000000002</x:v>
      </x:c>
      <x:c r="B2736" s="256" t="n">
        <x:f>IF(COUNT($B$129:$L$129)=11,B$129*EXP(IF(A2736&lt;0,(10-0)*A2736,-0*A2736))+C$129*EXP(IF(A2736&lt;0,(10-1)*A2736,-1*A2736))+D$129*EXP(IF(A2736&lt;0,(10-2)*A2736,-2*A2736))+E$129*EXP(IF(A2736&lt;0,(10-3)*A2736,-3*A2736))+F$129*EXP(IF(A2736&lt;0,(10-4)*A2736,-4*A2736))+G$129*EXP(IF(A2736&lt;0,(10-5)*A2736,-5*A2736))+H$129*EXP(IF(A2736&lt;0,(10-6)*A2736,-6*A2736))+I$129*EXP(IF(A2736&lt;0,(10-7)*A2736,-7*A2736))+J$129*EXP(IF(A2736&lt;0,(10-8)*A2736,-8*A2736))+K$129*EXP(IF(A2736&lt;0,(10-9)*A2736,-9*A2736))+L$129*EXP(IF(A2736&lt;0,(10-10)*A2736,-10*A2736)),0)</x:f>
        <x:v>790730.0122049247</x:v>
      </x:c>
      <x:c r="C2736" s="256" t="n">
        <x:f>IF(B2736=0,IF(B2735=0,0,1),IF(B2735=0,0,IF(SIGN(B2736)&lt;&gt;SIGN(B2735),1,0)))</x:f>
        <x:v>0</x:v>
      </x:c>
      <x:c r="D2736" s="256" t="n">
        <x:f>EXP(A2736-0.005)-1</x:f>
        <x:v>-0.5252657000600877</x:v>
      </x:c>
    </x:row>
    <x:row r="2737" ht="20" customHeight="1">
      <x:c r="A2737" s="256" t="n">
        <x:f>-12+1127*0.01</x:f>
        <x:v>-0.7300000000000004</x:v>
      </x:c>
      <x:c r="B2737" s="256" t="n">
        <x:f>IF(COUNT($B$129:$L$129)=11,B$129*EXP(IF(A2737&lt;0,(10-0)*A2737,-0*A2737))+C$129*EXP(IF(A2737&lt;0,(10-1)*A2737,-1*A2737))+D$129*EXP(IF(A2737&lt;0,(10-2)*A2737,-2*A2737))+E$129*EXP(IF(A2737&lt;0,(10-3)*A2737,-3*A2737))+F$129*EXP(IF(A2737&lt;0,(10-4)*A2737,-4*A2737))+G$129*EXP(IF(A2737&lt;0,(10-5)*A2737,-5*A2737))+H$129*EXP(IF(A2737&lt;0,(10-6)*A2737,-6*A2737))+I$129*EXP(IF(A2737&lt;0,(10-7)*A2737,-7*A2737))+J$129*EXP(IF(A2737&lt;0,(10-8)*A2737,-8*A2737))+K$129*EXP(IF(A2737&lt;0,(10-9)*A2737,-9*A2737))+L$129*EXP(IF(A2737&lt;0,(10-10)*A2737,-10*A2737)),0)</x:f>
        <x:v>790849.9361750832</x:v>
      </x:c>
      <x:c r="C2737" s="256" t="n">
        <x:f>IF(B2737=0,IF(B2736=0,0,1),IF(B2736=0,0,IF(SIGN(B2737)&lt;&gt;SIGN(B2736),1,0)))</x:f>
        <x:v>0</x:v>
      </x:c>
      <x:c r="D2737" s="256" t="n">
        <x:f>EXP(A2737-0.005)-1</x:f>
        <x:v>-0.5204945410251061</x:v>
      </x:c>
    </x:row>
    <x:row r="2738" ht="20" customHeight="1">
      <x:c r="A2738" s="256" t="n">
        <x:f>-12+1128*0.01</x:f>
        <x:v>-0.7200000000000006</x:v>
      </x:c>
      <x:c r="B2738" s="256" t="n">
        <x:f>IF(COUNT($B$129:$L$129)=11,B$129*EXP(IF(A2738&lt;0,(10-0)*A2738,-0*A2738))+C$129*EXP(IF(A2738&lt;0,(10-1)*A2738,-1*A2738))+D$129*EXP(IF(A2738&lt;0,(10-2)*A2738,-2*A2738))+E$129*EXP(IF(A2738&lt;0,(10-3)*A2738,-3*A2738))+F$129*EXP(IF(A2738&lt;0,(10-4)*A2738,-4*A2738))+G$129*EXP(IF(A2738&lt;0,(10-5)*A2738,-5*A2738))+H$129*EXP(IF(A2738&lt;0,(10-6)*A2738,-6*A2738))+I$129*EXP(IF(A2738&lt;0,(10-7)*A2738,-7*A2738))+J$129*EXP(IF(A2738&lt;0,(10-8)*A2738,-8*A2738))+K$129*EXP(IF(A2738&lt;0,(10-9)*A2738,-9*A2738))+L$129*EXP(IF(A2738&lt;0,(10-10)*A2738,-10*A2738)),0)</x:f>
        <x:v>790970.8152336674</x:v>
      </x:c>
      <x:c r="C2738" s="256" t="n">
        <x:f>IF(B2738=0,IF(B2737=0,0,1),IF(B2737=0,0,IF(SIGN(B2738)&lt;&gt;SIGN(B2737),1,0)))</x:f>
        <x:v>0</x:v>
      </x:c>
      <x:c r="D2738" s="256" t="n">
        <x:f>EXP(A2738-0.005)-1</x:f>
        <x:v>-0.5156754310446379</x:v>
      </x:c>
    </x:row>
    <x:row r="2739" ht="20" customHeight="1">
      <x:c r="A2739" s="256" t="n">
        <x:f>-12+1129*0.01</x:f>
        <x:v>-0.7099999999999991</x:v>
      </x:c>
      <x:c r="B2739" s="256" t="n">
        <x:f>IF(COUNT($B$129:$L$129)=11,B$129*EXP(IF(A2739&lt;0,(10-0)*A2739,-0*A2739))+C$129*EXP(IF(A2739&lt;0,(10-1)*A2739,-1*A2739))+D$129*EXP(IF(A2739&lt;0,(10-2)*A2739,-2*A2739))+E$129*EXP(IF(A2739&lt;0,(10-3)*A2739,-3*A2739))+F$129*EXP(IF(A2739&lt;0,(10-4)*A2739,-4*A2739))+G$129*EXP(IF(A2739&lt;0,(10-5)*A2739,-5*A2739))+H$129*EXP(IF(A2739&lt;0,(10-6)*A2739,-6*A2739))+I$129*EXP(IF(A2739&lt;0,(10-7)*A2739,-7*A2739))+J$129*EXP(IF(A2739&lt;0,(10-8)*A2739,-8*A2739))+K$129*EXP(IF(A2739&lt;0,(10-9)*A2739,-9*A2739))+L$129*EXP(IF(A2739&lt;0,(10-10)*A2739,-10*A2739)),0)</x:f>
        <x:v>791092.5483801812</x:v>
      </x:c>
      <x:c r="C2739" s="256" t="n">
        <x:f>IF(B2739=0,IF(B2738=0,0,1),IF(B2738=0,0,IF(SIGN(B2739)&lt;&gt;SIGN(B2738),1,0)))</x:f>
        <x:v>0</x:v>
      </x:c>
      <x:c r="D2739" s="256" t="n">
        <x:f>EXP(A2739-0.005)-1</x:f>
        <x:v>-0.510807888203668</x:v>
      </x:c>
    </x:row>
    <x:row r="2740" ht="20" customHeight="1">
      <x:c r="A2740" s="256" t="n">
        <x:f>-12+1130*0.01</x:f>
        <x:v>-0.6999999999999993</x:v>
      </x:c>
      <x:c r="B2740" s="256" t="n">
        <x:f>IF(COUNT($B$129:$L$129)=11,B$129*EXP(IF(A2740&lt;0,(10-0)*A2740,-0*A2740))+C$129*EXP(IF(A2740&lt;0,(10-1)*A2740,-1*A2740))+D$129*EXP(IF(A2740&lt;0,(10-2)*A2740,-2*A2740))+E$129*EXP(IF(A2740&lt;0,(10-3)*A2740,-3*A2740))+F$129*EXP(IF(A2740&lt;0,(10-4)*A2740,-4*A2740))+G$129*EXP(IF(A2740&lt;0,(10-5)*A2740,-5*A2740))+H$129*EXP(IF(A2740&lt;0,(10-6)*A2740,-6*A2740))+I$129*EXP(IF(A2740&lt;0,(10-7)*A2740,-7*A2740))+J$129*EXP(IF(A2740&lt;0,(10-8)*A2740,-8*A2740))+K$129*EXP(IF(A2740&lt;0,(10-9)*A2740,-9*A2740))+L$129*EXP(IF(A2740&lt;0,(10-10)*A2740,-10*A2740)),0)</x:f>
        <x:v>791215.0198987349</x:v>
      </x:c>
      <x:c r="C2740" s="256" t="n">
        <x:f>IF(B2740=0,IF(B2739=0,0,1),IF(B2739=0,0,IF(SIGN(B2740)&lt;&gt;SIGN(B2739),1,0)))</x:f>
        <x:v>0</x:v>
      </x:c>
      <x:c r="D2740" s="256" t="n">
        <x:f>EXP(A2740-0.005)-1</x:f>
        <x:v>-0.505891425743858</x:v>
      </x:c>
    </x:row>
    <x:row r="2741" ht="20" customHeight="1">
      <x:c r="A2741" s="256" t="n">
        <x:f>-12+1131*0.01</x:f>
        <x:v>-0.6899999999999995</x:v>
      </x:c>
      <x:c r="B2741" s="256" t="n">
        <x:f>IF(COUNT($B$129:$L$129)=11,B$129*EXP(IF(A2741&lt;0,(10-0)*A2741,-0*A2741))+C$129*EXP(IF(A2741&lt;0,(10-1)*A2741,-1*A2741))+D$129*EXP(IF(A2741&lt;0,(10-2)*A2741,-2*A2741))+E$129*EXP(IF(A2741&lt;0,(10-3)*A2741,-3*A2741))+F$129*EXP(IF(A2741&lt;0,(10-4)*A2741,-4*A2741))+G$129*EXP(IF(A2741&lt;0,(10-5)*A2741,-5*A2741))+H$129*EXP(IF(A2741&lt;0,(10-6)*A2741,-6*A2741))+I$129*EXP(IF(A2741&lt;0,(10-7)*A2741,-7*A2741))+J$129*EXP(IF(A2741&lt;0,(10-8)*A2741,-8*A2741))+K$129*EXP(IF(A2741&lt;0,(10-9)*A2741,-9*A2741))+L$129*EXP(IF(A2741&lt;0,(10-10)*A2741,-10*A2741)),0)</x:f>
        <x:v>791338.0977309402</x:v>
      </x:c>
      <x:c r="C2741" s="256" t="n">
        <x:f>IF(B2741=0,IF(B2740=0,0,1),IF(B2740=0,0,IF(SIGN(B2741)&lt;&gt;SIGN(B2740),1,0)))</x:f>
        <x:v>0</x:v>
      </x:c>
      <x:c r="D2741" s="256" t="n">
        <x:f>EXP(A2741-0.005)-1</x:f>
        <x:v>-0.5009255520148638</x:v>
      </x:c>
    </x:row>
    <x:row r="2742" ht="20" customHeight="1">
      <x:c r="A2742" s="256" t="n">
        <x:f>-12+1132*0.01</x:f>
        <x:v>-0.6799999999999997</x:v>
      </x:c>
      <x:c r="B2742" s="256" t="n">
        <x:f>IF(COUNT($B$129:$L$129)=11,B$129*EXP(IF(A2742&lt;0,(10-0)*A2742,-0*A2742))+C$129*EXP(IF(A2742&lt;0,(10-1)*A2742,-1*A2742))+D$129*EXP(IF(A2742&lt;0,(10-2)*A2742,-2*A2742))+E$129*EXP(IF(A2742&lt;0,(10-3)*A2742,-3*A2742))+F$129*EXP(IF(A2742&lt;0,(10-4)*A2742,-4*A2742))+G$129*EXP(IF(A2742&lt;0,(10-5)*A2742,-5*A2742))+H$129*EXP(IF(A2742&lt;0,(10-6)*A2742,-6*A2742))+I$129*EXP(IF(A2742&lt;0,(10-7)*A2742,-7*A2742))+J$129*EXP(IF(A2742&lt;0,(10-8)*A2742,-8*A2742))+K$129*EXP(IF(A2742&lt;0,(10-9)*A2742,-9*A2742))+L$129*EXP(IF(A2742&lt;0,(10-10)*A2742,-10*A2742)),0)</x:f>
        <x:v>791461.6316775781</x:v>
      </x:c>
      <x:c r="C2742" s="256" t="n">
        <x:f>IF(B2742=0,IF(B2741=0,0,1),IF(B2741=0,0,IF(SIGN(B2742)&lt;&gt;SIGN(B2741),1,0)))</x:f>
        <x:v>0</x:v>
      </x:c>
      <x:c r="D2742" s="256" t="n">
        <x:f>EXP(A2742-0.005)-1</x:f>
        <x:v>-0.49590977042517437</x:v>
      </x:c>
    </x:row>
    <x:row r="2743" ht="20" customHeight="1">
      <x:c r="A2743" s="256" t="n">
        <x:f>-12+1133*0.01</x:f>
        <x:v>-0.6699999999999999</x:v>
      </x:c>
      <x:c r="B2743" s="256" t="n">
        <x:f>IF(COUNT($B$129:$L$129)=11,B$129*EXP(IF(A2743&lt;0,(10-0)*A2743,-0*A2743))+C$129*EXP(IF(A2743&lt;0,(10-1)*A2743,-1*A2743))+D$129*EXP(IF(A2743&lt;0,(10-2)*A2743,-2*A2743))+E$129*EXP(IF(A2743&lt;0,(10-3)*A2743,-3*A2743))+F$129*EXP(IF(A2743&lt;0,(10-4)*A2743,-4*A2743))+G$129*EXP(IF(A2743&lt;0,(10-5)*A2743,-5*A2743))+H$129*EXP(IF(A2743&lt;0,(10-6)*A2743,-6*A2743))+I$129*EXP(IF(A2743&lt;0,(10-7)*A2743,-7*A2743))+J$129*EXP(IF(A2743&lt;0,(10-8)*A2743,-8*A2743))+K$129*EXP(IF(A2743&lt;0,(10-9)*A2743,-9*A2743))+L$129*EXP(IF(A2743&lt;0,(10-10)*A2743,-10*A2743)),0)</x:f>
        <x:v>791585.4514112055</x:v>
      </x:c>
      <x:c r="C2743" s="256" t="n">
        <x:f>IF(B2743=0,IF(B2742=0,0,1),IF(B2742=0,0,IF(SIGN(B2743)&lt;&gt;SIGN(B2742),1,0)))</x:f>
        <x:v>0</x:v>
      </x:c>
      <x:c r="D2743" s="256" t="n">
        <x:f>EXP(A2743-0.005)-1</x:f>
        <x:v>-0.4908435793924508</x:v>
      </x:c>
    </x:row>
    <x:row r="2744" ht="20" customHeight="1">
      <x:c r="A2744" s="256" t="n">
        <x:f>-12+1134*0.01</x:f>
        <x:v>-0.6600000000000001</x:v>
      </x:c>
      <x:c r="B2744" s="256" t="n">
        <x:f>IF(COUNT($B$129:$L$129)=11,B$129*EXP(IF(A2744&lt;0,(10-0)*A2744,-0*A2744))+C$129*EXP(IF(A2744&lt;0,(10-1)*A2744,-1*A2744))+D$129*EXP(IF(A2744&lt;0,(10-2)*A2744,-2*A2744))+E$129*EXP(IF(A2744&lt;0,(10-3)*A2744,-3*A2744))+F$129*EXP(IF(A2744&lt;0,(10-4)*A2744,-4*A2744))+G$129*EXP(IF(A2744&lt;0,(10-5)*A2744,-5*A2744))+H$129*EXP(IF(A2744&lt;0,(10-6)*A2744,-6*A2744))+I$129*EXP(IF(A2744&lt;0,(10-7)*A2744,-7*A2744))+J$129*EXP(IF(A2744&lt;0,(10-8)*A2744,-8*A2744))+K$129*EXP(IF(A2744&lt;0,(10-9)*A2744,-9*A2744))+L$129*EXP(IF(A2744&lt;0,(10-10)*A2744,-10*A2744)),0)</x:f>
        <x:v>791709.3642800181</x:v>
      </x:c>
      <x:c r="C2744" s="256" t="n">
        <x:f>IF(B2744=0,IF(B2743=0,0,1),IF(B2743=0,0,IF(SIGN(B2744)&lt;&gt;SIGN(B2743),1,0)))</x:f>
        <x:v>0</x:v>
      </x:c>
      <x:c r="D2744" s="256" t="n">
        <x:f>EXP(A2744-0.005)-1</x:f>
        <x:v>-0.4857264722933681</x:v>
      </x:c>
    </x:row>
    <x:row r="2745" ht="20" customHeight="1">
      <x:c r="A2745" s="256" t="n">
        <x:f>-12+1135*0.01</x:f>
        <x:v>-0.6500000000000004</x:v>
      </x:c>
      <x:c r="B2745" s="256" t="n">
        <x:f>IF(COUNT($B$129:$L$129)=11,B$129*EXP(IF(A2745&lt;0,(10-0)*A2745,-0*A2745))+C$129*EXP(IF(A2745&lt;0,(10-1)*A2745,-1*A2745))+D$129*EXP(IF(A2745&lt;0,(10-2)*A2745,-2*A2745))+E$129*EXP(IF(A2745&lt;0,(10-3)*A2745,-3*A2745))+F$129*EXP(IF(A2745&lt;0,(10-4)*A2745,-4*A2745))+G$129*EXP(IF(A2745&lt;0,(10-5)*A2745,-5*A2745))+H$129*EXP(IF(A2745&lt;0,(10-6)*A2745,-6*A2745))+I$129*EXP(IF(A2745&lt;0,(10-7)*A2745,-7*A2745))+J$129*EXP(IF(A2745&lt;0,(10-8)*A2745,-8*A2745))+K$129*EXP(IF(A2745&lt;0,(10-9)*A2745,-9*A2745))+L$129*EXP(IF(A2745&lt;0,(10-10)*A2745,-10*A2745)),0)</x:f>
        <x:v>791833.1528812335</x:v>
      </x:c>
      <x:c r="C2745" s="256" t="n">
        <x:f>IF(B2745=0,IF(B2744=0,0,1),IF(B2744=0,0,IF(SIGN(B2745)&lt;&gt;SIGN(B2744),1,0)))</x:f>
        <x:v>0</x:v>
      </x:c>
      <x:c r="D2745" s="256" t="n">
        <x:f>EXP(A2745-0.005)-1</x:f>
        <x:v>-0.48055793741295205</x:v>
      </x:c>
    </x:row>
    <x:row r="2746" ht="20" customHeight="1">
      <x:c r="A2746" s="256" t="n">
        <x:f>-12+1136*0.01</x:f>
        <x:v>-0.6400000000000006</x:v>
      </x:c>
      <x:c r="B2746" s="256" t="n">
        <x:f>IF(COUNT($B$129:$L$129)=11,B$129*EXP(IF(A2746&lt;0,(10-0)*A2746,-0*A2746))+C$129*EXP(IF(A2746&lt;0,(10-1)*A2746,-1*A2746))+D$129*EXP(IF(A2746&lt;0,(10-2)*A2746,-2*A2746))+E$129*EXP(IF(A2746&lt;0,(10-3)*A2746,-3*A2746))+F$129*EXP(IF(A2746&lt;0,(10-4)*A2746,-4*A2746))+G$129*EXP(IF(A2746&lt;0,(10-5)*A2746,-5*A2746))+H$129*EXP(IF(A2746&lt;0,(10-6)*A2746,-6*A2746))+I$129*EXP(IF(A2746&lt;0,(10-7)*A2746,-7*A2746))+J$129*EXP(IF(A2746&lt;0,(10-8)*A2746,-8*A2746))+K$129*EXP(IF(A2746&lt;0,(10-9)*A2746,-9*A2746))+L$129*EXP(IF(A2746&lt;0,(10-10)*A2746,-10*A2746)),0)</x:f>
        <x:v>791956.5723800008</x:v>
      </x:c>
      <x:c r="C2746" s="256" t="n">
        <x:f>IF(B2746=0,IF(B2745=0,0,1),IF(B2745=0,0,IF(SIGN(B2746)&lt;&gt;SIGN(B2745),1,0)))</x:f>
        <x:v>0</x:v>
      </x:c>
      <x:c r="D2746" s="256" t="n">
        <x:f>EXP(A2746-0.005)-1</x:f>
        <x:v>-0.4753374578934074</x:v>
      </x:c>
    </x:row>
    <x:row r="2747" ht="20" customHeight="1">
      <x:c r="A2747" s="256" t="n">
        <x:f>-12+1137*0.01</x:f>
        <x:v>-0.629999999999999</x:v>
      </x:c>
      <x:c r="B2747" s="256" t="n">
        <x:f>IF(COUNT($B$129:$L$129)=11,B$129*EXP(IF(A2747&lt;0,(10-0)*A2747,-0*A2747))+C$129*EXP(IF(A2747&lt;0,(10-1)*A2747,-1*A2747))+D$129*EXP(IF(A2747&lt;0,(10-2)*A2747,-2*A2747))+E$129*EXP(IF(A2747&lt;0,(10-3)*A2747,-3*A2747))+F$129*EXP(IF(A2747&lt;0,(10-4)*A2747,-4*A2747))+G$129*EXP(IF(A2747&lt;0,(10-5)*A2747,-5*A2747))+H$129*EXP(IF(A2747&lt;0,(10-6)*A2747,-6*A2747))+I$129*EXP(IF(A2747&lt;0,(10-7)*A2747,-7*A2747))+J$129*EXP(IF(A2747&lt;0,(10-8)*A2747,-8*A2747))+K$129*EXP(IF(A2747&lt;0,(10-9)*A2747,-9*A2747))+L$129*EXP(IF(A2747&lt;0,(10-10)*A2747,-10*A2747)),0)</x:f>
        <x:v>792079.3475473467</x:v>
      </x:c>
      <x:c r="C2747" s="256" t="n">
        <x:f>IF(B2747=0,IF(B2746=0,0,1),IF(B2746=0,0,IF(SIGN(B2747)&lt;&gt;SIGN(B2746),1,0)))</x:f>
        <x:v>0</x:v>
      </x:c>
      <x:c r="D2747" s="256" t="n">
        <x:f>EXP(A2747-0.005)-1</x:f>
        <x:v>-0.470064511682431</x:v>
      </x:c>
    </x:row>
    <x:row r="2748" ht="20" customHeight="1">
      <x:c r="A2748" s="256" t="n">
        <x:f>-12+1138*0.01</x:f>
        <x:v>-0.6199999999999992</x:v>
      </x:c>
      <x:c r="B2748" s="256" t="n">
        <x:f>IF(COUNT($B$129:$L$129)=11,B$129*EXP(IF(A2748&lt;0,(10-0)*A2748,-0*A2748))+C$129*EXP(IF(A2748&lt;0,(10-1)*A2748,-1*A2748))+D$129*EXP(IF(A2748&lt;0,(10-2)*A2748,-2*A2748))+E$129*EXP(IF(A2748&lt;0,(10-3)*A2748,-3*A2748))+F$129*EXP(IF(A2748&lt;0,(10-4)*A2748,-4*A2748))+G$129*EXP(IF(A2748&lt;0,(10-5)*A2748,-5*A2748))+H$129*EXP(IF(A2748&lt;0,(10-6)*A2748,-6*A2748))+I$129*EXP(IF(A2748&lt;0,(10-7)*A2748,-7*A2748))+J$129*EXP(IF(A2748&lt;0,(10-8)*A2748,-8*A2748))+K$129*EXP(IF(A2748&lt;0,(10-9)*A2748,-9*A2748))+L$129*EXP(IF(A2748&lt;0,(10-10)*A2748,-10*A2748)),0)</x:f>
        <x:v>792201.1694879066</x:v>
      </x:c>
      <x:c r="C2748" s="256" t="n">
        <x:f>IF(B2748=0,IF(B2747=0,0,1),IF(B2747=0,0,IF(SIGN(B2748)&lt;&gt;SIGN(B2747),1,0)))</x:f>
        <x:v>0</x:v>
      </x:c>
      <x:c r="D2748" s="256" t="n">
        <x:f>EXP(A2748-0.005)-1</x:f>
        <x:v>-0.4647385714810094</x:v>
      </x:c>
    </x:row>
    <x:row r="2749" ht="20" customHeight="1">
      <x:c r="A2749" s="256" t="n">
        <x:f>-12+1139*0.01</x:f>
        <x:v>-0.6099999999999994</x:v>
      </x:c>
      <x:c r="B2749" s="256" t="n">
        <x:f>IF(COUNT($B$129:$L$129)=11,B$129*EXP(IF(A2749&lt;0,(10-0)*A2749,-0*A2749))+C$129*EXP(IF(A2749&lt;0,(10-1)*A2749,-1*A2749))+D$129*EXP(IF(A2749&lt;0,(10-2)*A2749,-2*A2749))+E$129*EXP(IF(A2749&lt;0,(10-3)*A2749,-3*A2749))+F$129*EXP(IF(A2749&lt;0,(10-4)*A2749,-4*A2749))+G$129*EXP(IF(A2749&lt;0,(10-5)*A2749,-5*A2749))+H$129*EXP(IF(A2749&lt;0,(10-6)*A2749,-6*A2749))+I$129*EXP(IF(A2749&lt;0,(10-7)*A2749,-7*A2749))+J$129*EXP(IF(A2749&lt;0,(10-8)*A2749,-8*A2749))+K$129*EXP(IF(A2749&lt;0,(10-9)*A2749,-9*A2749))+L$129*EXP(IF(A2749&lt;0,(10-10)*A2749,-10*A2749)),0)</x:f>
        <x:v>792321.6920251541</x:v>
      </x:c>
      <x:c r="C2749" s="256" t="n">
        <x:f>IF(B2749=0,IF(B2748=0,0,1),IF(B2748=0,0,IF(SIGN(B2749)&lt;&gt;SIGN(B2748),1,0)))</x:f>
        <x:v>0</x:v>
      </x:c>
      <x:c r="D2749" s="256" t="n">
        <x:f>EXP(A2749-0.005)-1</x:f>
        <x:v>-0.4593591046906831</x:v>
      </x:c>
    </x:row>
    <x:row r="2750" ht="20" customHeight="1">
      <x:c r="A2750" s="256" t="n">
        <x:f>-12+1140*0.01</x:f>
        <x:v>-0.5999999999999996</x:v>
      </x:c>
      <x:c r="B2750" s="256" t="n">
        <x:f>IF(COUNT($B$129:$L$129)=11,B$129*EXP(IF(A2750&lt;0,(10-0)*A2750,-0*A2750))+C$129*EXP(IF(A2750&lt;0,(10-1)*A2750,-1*A2750))+D$129*EXP(IF(A2750&lt;0,(10-2)*A2750,-2*A2750))+E$129*EXP(IF(A2750&lt;0,(10-3)*A2750,-3*A2750))+F$129*EXP(IF(A2750&lt;0,(10-4)*A2750,-4*A2750))+G$129*EXP(IF(A2750&lt;0,(10-5)*A2750,-5*A2750))+H$129*EXP(IF(A2750&lt;0,(10-6)*A2750,-6*A2750))+I$129*EXP(IF(A2750&lt;0,(10-7)*A2750,-7*A2750))+J$129*EXP(IF(A2750&lt;0,(10-8)*A2750,-8*A2750))+K$129*EXP(IF(A2750&lt;0,(10-9)*A2750,-9*A2750))+L$129*EXP(IF(A2750&lt;0,(10-10)*A2750,-10*A2750)),0)</x:f>
        <x:v>792440.5277084705</x:v>
      </x:c>
      <x:c r="C2750" s="256" t="n">
        <x:f>IF(B2750=0,IF(B2749=0,0,1),IF(B2749=0,0,IF(SIGN(B2750)&lt;&gt;SIGN(B2749),1,0)))</x:f>
        <x:v>0</x:v>
      </x:c>
      <x:c r="D2750" s="256" t="n">
        <x:f>EXP(A2750-0.005)-1</x:f>
        <x:v>-0.4539255733602904</x:v>
      </x:c>
    </x:row>
    <x:row r="2751" ht="20" customHeight="1">
      <x:c r="A2751" s="256" t="n">
        <x:f>-12+1141*0.01</x:f>
        <x:v>-0.5899999999999999</x:v>
      </x:c>
      <x:c r="B2751" s="256" t="n">
        <x:f>IF(COUNT($B$129:$L$129)=11,B$129*EXP(IF(A2751&lt;0,(10-0)*A2751,-0*A2751))+C$129*EXP(IF(A2751&lt;0,(10-1)*A2751,-1*A2751))+D$129*EXP(IF(A2751&lt;0,(10-2)*A2751,-2*A2751))+E$129*EXP(IF(A2751&lt;0,(10-3)*A2751,-3*A2751))+F$129*EXP(IF(A2751&lt;0,(10-4)*A2751,-4*A2751))+G$129*EXP(IF(A2751&lt;0,(10-5)*A2751,-5*A2751))+H$129*EXP(IF(A2751&lt;0,(10-6)*A2751,-6*A2751))+I$129*EXP(IF(A2751&lt;0,(10-7)*A2751,-7*A2751))+J$129*EXP(IF(A2751&lt;0,(10-8)*A2751,-8*A2751))+K$129*EXP(IF(A2751&lt;0,(10-9)*A2751,-9*A2751))+L$129*EXP(IF(A2751&lt;0,(10-10)*A2751,-10*A2751)),0)</x:f>
        <x:v>792557.2434026931</x:v>
      </x:c>
      <x:c r="C2751" s="256" t="n">
        <x:f>IF(B2751=0,IF(B2750=0,0,1),IF(B2750=0,0,IF(SIGN(B2751)&lt;&gt;SIGN(B2750),1,0)))</x:f>
        <x:v>0</x:v>
      </x:c>
      <x:c r="D2751" s="256" t="n">
        <x:f>EXP(A2751-0.005)-1</x:f>
        <x:v>-0.4484374341321702</x:v>
      </x:c>
    </x:row>
    <x:row r="2752" ht="20" customHeight="1">
      <x:c r="A2752" s="256" t="n">
        <x:f>-12+1142*0.01</x:f>
        <x:v>-0.5800000000000001</x:v>
      </x:c>
      <x:c r="B2752" s="256" t="n">
        <x:f>IF(COUNT($B$129:$L$129)=11,B$129*EXP(IF(A2752&lt;0,(10-0)*A2752,-0*A2752))+C$129*EXP(IF(A2752&lt;0,(10-1)*A2752,-1*A2752))+D$129*EXP(IF(A2752&lt;0,(10-2)*A2752,-2*A2752))+E$129*EXP(IF(A2752&lt;0,(10-3)*A2752,-3*A2752))+F$129*EXP(IF(A2752&lt;0,(10-4)*A2752,-4*A2752))+G$129*EXP(IF(A2752&lt;0,(10-5)*A2752,-5*A2752))+H$129*EXP(IF(A2752&lt;0,(10-6)*A2752,-6*A2752))+I$129*EXP(IF(A2752&lt;0,(10-7)*A2752,-7*A2752))+J$129*EXP(IF(A2752&lt;0,(10-8)*A2752,-8*A2752))+K$129*EXP(IF(A2752&lt;0,(10-9)*A2752,-9*A2752))+L$129*EXP(IF(A2752&lt;0,(10-10)*A2752,-10*A2752)),0)</x:f>
        <x:v>792671.3554166792</x:v>
      </x:c>
      <x:c r="C2752" s="256" t="n">
        <x:f>IF(B2752=0,IF(B2751=0,0,1),IF(B2751=0,0,IF(SIGN(B2752)&lt;&gt;SIGN(B2751),1,0)))</x:f>
        <x:v>0</x:v>
      </x:c>
      <x:c r="D2752" s="256" t="n">
        <x:f>EXP(A2752-0.005)-1</x:f>
        <x:v>-0.4428941381878262</x:v>
      </x:c>
    </x:row>
    <x:row r="2753" ht="20" customHeight="1">
      <x:c r="A2753" s="256" t="n">
        <x:f>-12+1143*0.01</x:f>
        <x:v>-0.5700000000000003</x:v>
      </x:c>
      <x:c r="B2753" s="256" t="n">
        <x:f>IF(COUNT($B$129:$L$129)=11,B$129*EXP(IF(A2753&lt;0,(10-0)*A2753,-0*A2753))+C$129*EXP(IF(A2753&lt;0,(10-1)*A2753,-1*A2753))+D$129*EXP(IF(A2753&lt;0,(10-2)*A2753,-2*A2753))+E$129*EXP(IF(A2753&lt;0,(10-3)*A2753,-3*A2753))+F$129*EXP(IF(A2753&lt;0,(10-4)*A2753,-4*A2753))+G$129*EXP(IF(A2753&lt;0,(10-5)*A2753,-5*A2753))+H$129*EXP(IF(A2753&lt;0,(10-6)*A2753,-6*A2753))+I$129*EXP(IF(A2753&lt;0,(10-7)*A2753,-7*A2753))+J$129*EXP(IF(A2753&lt;0,(10-8)*A2753,-8*A2753))+K$129*EXP(IF(A2753&lt;0,(10-9)*A2753,-9*A2753))+L$129*EXP(IF(A2753&lt;0,(10-10)*A2753,-10*A2753)),0)</x:f>
        <x:v>792782.3241228953</x:v>
      </x:c>
      <x:c r="C2753" s="256" t="n">
        <x:f>IF(B2753=0,IF(B2752=0,0,1),IF(B2752=0,0,IF(SIGN(B2753)&lt;&gt;SIGN(B2752),1,0)))</x:f>
        <x:v>0</x:v>
      </x:c>
      <x:c r="D2753" s="256" t="n">
        <x:f>EXP(A2753-0.005)-1</x:f>
        <x:v>-0.4372951311930444</x:v>
      </x:c>
    </x:row>
    <x:row r="2754" ht="20" customHeight="1">
      <x:c r="A2754" s="256" t="n">
        <x:f>-12+1144*0.01</x:f>
        <x:v>-0.5600000000000005</x:v>
      </x:c>
      <x:c r="B2754" s="256" t="n">
        <x:f>IF(COUNT($B$129:$L$129)=11,B$129*EXP(IF(A2754&lt;0,(10-0)*A2754,-0*A2754))+C$129*EXP(IF(A2754&lt;0,(10-1)*A2754,-1*A2754))+D$129*EXP(IF(A2754&lt;0,(10-2)*A2754,-2*A2754))+E$129*EXP(IF(A2754&lt;0,(10-3)*A2754,-3*A2754))+F$129*EXP(IF(A2754&lt;0,(10-4)*A2754,-4*A2754))+G$129*EXP(IF(A2754&lt;0,(10-5)*A2754,-5*A2754))+H$129*EXP(IF(A2754&lt;0,(10-6)*A2754,-6*A2754))+I$129*EXP(IF(A2754&lt;0,(10-7)*A2754,-7*A2754))+J$129*EXP(IF(A2754&lt;0,(10-8)*A2754,-8*A2754))+K$129*EXP(IF(A2754&lt;0,(10-9)*A2754,-9*A2754))+L$129*EXP(IF(A2754&lt;0,(10-10)*A2754,-10*A2754)),0)</x:f>
        <x:v>792889.5480150483</x:v>
      </x:c>
      <x:c r="C2754" s="256" t="n">
        <x:f>IF(B2754=0,IF(B2753=0,0,1),IF(B2753=0,0,IF(SIGN(B2754)&lt;&gt;SIGN(B2753),1,0)))</x:f>
        <x:v>0</x:v>
      </x:c>
      <x:c r="D2754" s="256" t="n">
        <x:f>EXP(A2754-0.005)-1</x:f>
        <x:v>-0.4316398532424598</x:v>
      </x:c>
    </x:row>
    <x:row r="2755" ht="20" customHeight="1">
      <x:c r="A2755" s="256" t="n">
        <x:f>-12+1145*0.01</x:f>
        <x:v>-0.5499999999999989</x:v>
      </x:c>
      <x:c r="B2755" s="256" t="n">
        <x:f>IF(COUNT($B$129:$L$129)=11,B$129*EXP(IF(A2755&lt;0,(10-0)*A2755,-0*A2755))+C$129*EXP(IF(A2755&lt;0,(10-1)*A2755,-1*A2755))+D$129*EXP(IF(A2755&lt;0,(10-2)*A2755,-2*A2755))+E$129*EXP(IF(A2755&lt;0,(10-3)*A2755,-3*A2755))+F$129*EXP(IF(A2755&lt;0,(10-4)*A2755,-4*A2755))+G$129*EXP(IF(A2755&lt;0,(10-5)*A2755,-5*A2755))+H$129*EXP(IF(A2755&lt;0,(10-6)*A2755,-6*A2755))+I$129*EXP(IF(A2755&lt;0,(10-7)*A2755,-7*A2755))+J$129*EXP(IF(A2755&lt;0,(10-8)*A2755,-8*A2755))+K$129*EXP(IF(A2755&lt;0,(10-9)*A2755,-9*A2755))+L$129*EXP(IF(A2755&lt;0,(10-10)*A2755,-10*A2755)),0)</x:f>
        <x:v>792992.3571452529</x:v>
      </x:c>
      <x:c r="C2755" s="256" t="n">
        <x:f>IF(B2755=0,IF(B2754=0,0,1),IF(B2754=0,0,IF(SIGN(B2755)&lt;&gt;SIGN(B2754),1,0)))</x:f>
        <x:v>0</x:v>
      </x:c>
      <x:c r="D2755" s="256" t="n">
        <x:f>EXP(A2755-0.005)-1</x:f>
        <x:v>-0.4259277388035634</x:v>
      </x:c>
    </x:row>
    <x:row r="2756" ht="20" customHeight="1">
      <x:c r="A2756" s="256" t="n">
        <x:f>-12+1146*0.01</x:f>
        <x:v>-0.5399999999999991</x:v>
      </x:c>
      <x:c r="B2756" s="256" t="n">
        <x:f>IF(COUNT($B$129:$L$129)=11,B$129*EXP(IF(A2756&lt;0,(10-0)*A2756,-0*A2756))+C$129*EXP(IF(A2756&lt;0,(10-1)*A2756,-1*A2756))+D$129*EXP(IF(A2756&lt;0,(10-2)*A2756,-2*A2756))+E$129*EXP(IF(A2756&lt;0,(10-3)*A2756,-3*A2756))+F$129*EXP(IF(A2756&lt;0,(10-4)*A2756,-4*A2756))+G$129*EXP(IF(A2756&lt;0,(10-5)*A2756,-5*A2756))+H$129*EXP(IF(A2756&lt;0,(10-6)*A2756,-6*A2756))+I$129*EXP(IF(A2756&lt;0,(10-7)*A2756,-7*A2756))+J$129*EXP(IF(A2756&lt;0,(10-8)*A2756,-8*A2756))+K$129*EXP(IF(A2756&lt;0,(10-9)*A2756,-9*A2756))+L$129*EXP(IF(A2756&lt;0,(10-10)*A2756,-10*A2756)),0)</x:f>
        <x:v>793090.0058761355</x:v>
      </x:c>
      <x:c r="C2756" s="256" t="n">
        <x:f>IF(B2756=0,IF(B2755=0,0,1),IF(B2755=0,0,IF(SIGN(B2756)&lt;&gt;SIGN(B2755),1,0)))</x:f>
        <x:v>0</x:v>
      </x:c>
      <x:c r="D2756" s="256" t="n">
        <x:f>EXP(A2756-0.005)-1</x:f>
        <x:v>-0.4201582166601532</x:v>
      </x:c>
    </x:row>
    <x:row r="2757" ht="20" customHeight="1">
      <x:c r="A2757" s="256" t="n">
        <x:f>-12+1147*0.01</x:f>
        <x:v>-0.5299999999999994</x:v>
      </x:c>
      <x:c r="B2757" s="256" t="n">
        <x:f>IF(COUNT($B$129:$L$129)=11,B$129*EXP(IF(A2757&lt;0,(10-0)*A2757,-0*A2757))+C$129*EXP(IF(A2757&lt;0,(10-1)*A2757,-1*A2757))+D$129*EXP(IF(A2757&lt;0,(10-2)*A2757,-2*A2757))+E$129*EXP(IF(A2757&lt;0,(10-3)*A2757,-3*A2757))+F$129*EXP(IF(A2757&lt;0,(10-4)*A2757,-4*A2757))+G$129*EXP(IF(A2757&lt;0,(10-5)*A2757,-5*A2757))+H$129*EXP(IF(A2757&lt;0,(10-6)*A2757,-6*A2757))+I$129*EXP(IF(A2757&lt;0,(10-7)*A2757,-7*A2757))+J$129*EXP(IF(A2757&lt;0,(10-8)*A2757,-8*A2757))+K$129*EXP(IF(A2757&lt;0,(10-9)*A2757,-9*A2757))+L$129*EXP(IF(A2757&lt;0,(10-10)*A2757,-10*A2757)),0)</x:f>
        <x:v>793181.6648765496</x:v>
      </x:c>
      <x:c r="C2757" s="256" t="n">
        <x:f>IF(B2757=0,IF(B2756=0,0,1),IF(B2756=0,0,IF(SIGN(B2757)&lt;&gt;SIGN(B2756),1,0)))</x:f>
        <x:v>0</x:v>
      </x:c>
      <x:c r="D2757" s="256" t="n">
        <x:f>EXP(A2757-0.005)-1</x:f>
        <x:v>-0.4143307098552058</x:v>
      </x:c>
    </x:row>
    <x:row r="2758" ht="20" customHeight="1">
      <x:c r="A2758" s="256" t="n">
        <x:f>-12+1148*0.01</x:f>
        <x:v>-0.5199999999999996</x:v>
      </x:c>
      <x:c r="B2758" s="256" t="n">
        <x:f>IF(COUNT($B$129:$L$129)=11,B$129*EXP(IF(A2758&lt;0,(10-0)*A2758,-0*A2758))+C$129*EXP(IF(A2758&lt;0,(10-1)*A2758,-1*A2758))+D$129*EXP(IF(A2758&lt;0,(10-2)*A2758,-2*A2758))+E$129*EXP(IF(A2758&lt;0,(10-3)*A2758,-3*A2758))+F$129*EXP(IF(A2758&lt;0,(10-4)*A2758,-4*A2758))+G$129*EXP(IF(A2758&lt;0,(10-5)*A2758,-5*A2758))+H$129*EXP(IF(A2758&lt;0,(10-6)*A2758,-6*A2758))+I$129*EXP(IF(A2758&lt;0,(10-7)*A2758,-7*A2758))+J$129*EXP(IF(A2758&lt;0,(10-8)*A2758,-8*A2758))+K$129*EXP(IF(A2758&lt;0,(10-9)*A2758,-9*A2758))+L$129*EXP(IF(A2758&lt;0,(10-10)*A2758,-10*A2758)),0)</x:f>
        <x:v>793266.4122821381</x:v>
      </x:c>
      <x:c r="C2758" s="256" t="n">
        <x:f>IF(B2758=0,IF(B2757=0,0,1),IF(B2757=0,0,IF(SIGN(B2758)&lt;&gt;SIGN(B2757),1,0)))</x:f>
        <x:v>0</x:v>
      </x:c>
      <x:c r="D2758" s="256" t="n">
        <x:f>EXP(A2758-0.005)-1</x:f>
        <x:v>-0.40844463563318467</x:v>
      </x:c>
    </x:row>
    <x:row r="2759" ht="20" customHeight="1">
      <x:c r="A2759" s="256" t="n">
        <x:f>-12+1149*0.01</x:f>
        <x:v>-0.5099999999999998</x:v>
      </x:c>
      <x:c r="B2759" s="256" t="n">
        <x:f>IF(COUNT($B$129:$L$129)=11,B$129*EXP(IF(A2759&lt;0,(10-0)*A2759,-0*A2759))+C$129*EXP(IF(A2759&lt;0,(10-1)*A2759,-1*A2759))+D$129*EXP(IF(A2759&lt;0,(10-2)*A2759,-2*A2759))+E$129*EXP(IF(A2759&lt;0,(10-3)*A2759,-3*A2759))+F$129*EXP(IF(A2759&lt;0,(10-4)*A2759,-4*A2759))+G$129*EXP(IF(A2759&lt;0,(10-5)*A2759,-5*A2759))+H$129*EXP(IF(A2759&lt;0,(10-6)*A2759,-6*A2759))+I$129*EXP(IF(A2759&lt;0,(10-7)*A2759,-7*A2759))+J$129*EXP(IF(A2759&lt;0,(10-8)*A2759,-8*A2759))+K$129*EXP(IF(A2759&lt;0,(10-9)*A2759,-9*A2759))+L$129*EXP(IF(A2759&lt;0,(10-10)*A2759,-10*A2759)),0)</x:f>
        <x:v>793343.2239337787</x:v>
      </x:c>
      <x:c r="C2759" s="256" t="n">
        <x:f>IF(B2759=0,IF(B2758=0,0,1),IF(B2758=0,0,IF(SIGN(B2759)&lt;&gt;SIGN(B2758),1,0)))</x:f>
        <x:v>0</x:v>
      </x:c>
      <x:c r="D2759" s="256" t="n">
        <x:f>EXP(A2759-0.005)-1</x:f>
        <x:v>-0.40249940538176243</x:v>
      </x:c>
    </x:row>
    <x:row r="2760" ht="20" customHeight="1">
      <x:c r="A2760" s="256" t="n">
        <x:f>-12+1150*0.01</x:f>
        <x:v>-0.5</x:v>
      </x:c>
      <x:c r="B2760" s="256" t="n">
        <x:f>IF(COUNT($B$129:$L$129)=11,B$129*EXP(IF(A2760&lt;0,(10-0)*A2760,-0*A2760))+C$129*EXP(IF(A2760&lt;0,(10-1)*A2760,-1*A2760))+D$129*EXP(IF(A2760&lt;0,(10-2)*A2760,-2*A2760))+E$129*EXP(IF(A2760&lt;0,(10-3)*A2760,-3*A2760))+F$129*EXP(IF(A2760&lt;0,(10-4)*A2760,-4*A2760))+G$129*EXP(IF(A2760&lt;0,(10-5)*A2760,-5*A2760))+H$129*EXP(IF(A2760&lt;0,(10-6)*A2760,-6*A2760))+I$129*EXP(IF(A2760&lt;0,(10-7)*A2760,-7*A2760))+J$129*EXP(IF(A2760&lt;0,(10-8)*A2760,-8*A2760))+K$129*EXP(IF(A2760&lt;0,(10-9)*A2760,-9*A2760))+L$129*EXP(IF(A2760&lt;0,(10-10)*A2760,-10*A2760)),0)</x:f>
        <x:v>793410.9625978792</x:v>
      </x:c>
      <x:c r="C2760" s="256" t="n">
        <x:f>IF(B2760=0,IF(B2759=0,0,1),IF(B2759=0,0,IF(SIGN(B2760)&lt;&gt;SIGN(B2759),1,0)))</x:f>
        <x:v>0</x:v>
      </x:c>
      <x:c r="D2760" s="256" t="n">
        <x:f>EXP(A2760-0.005)-1</x:f>
        <x:v>-0.39649442457295947</x:v>
      </x:c>
    </x:row>
    <x:row r="2761" ht="20" customHeight="1">
      <x:c r="A2761" s="256" t="n">
        <x:f>-12+1151*0.01</x:f>
        <x:v>-0.4900000000000002</x:v>
      </x:c>
      <x:c r="B2761" s="256" t="n">
        <x:f>IF(COUNT($B$129:$L$129)=11,B$129*EXP(IF(A2761&lt;0,(10-0)*A2761,-0*A2761))+C$129*EXP(IF(A2761&lt;0,(10-1)*A2761,-1*A2761))+D$129*EXP(IF(A2761&lt;0,(10-2)*A2761,-2*A2761))+E$129*EXP(IF(A2761&lt;0,(10-3)*A2761,-3*A2761))+F$129*EXP(IF(A2761&lt;0,(10-4)*A2761,-4*A2761))+G$129*EXP(IF(A2761&lt;0,(10-5)*A2761,-5*A2761))+H$129*EXP(IF(A2761&lt;0,(10-6)*A2761,-6*A2761))+I$129*EXP(IF(A2761&lt;0,(10-7)*A2761,-7*A2761))+J$129*EXP(IF(A2761&lt;0,(10-8)*A2761,-8*A2761))+K$129*EXP(IF(A2761&lt;0,(10-9)*A2761,-9*A2761))+L$129*EXP(IF(A2761&lt;0,(10-10)*A2761,-10*A2761)),0)</x:f>
        <x:v>793468.3660624821</x:v>
      </x:c>
      <x:c r="C2761" s="256" t="n">
        <x:f>IF(B2761=0,IF(B2760=0,0,1),IF(B2760=0,0,IF(SIGN(B2761)&lt;&gt;SIGN(B2760),1,0)))</x:f>
        <x:v>0</x:v>
      </x:c>
      <x:c r="D2761" s="256" t="n">
        <x:f>EXP(A2761-0.005)-1</x:f>
        <x:v>-0.39042909270369086</x:v>
      </x:c>
    </x:row>
    <x:row r="2762" ht="20" customHeight="1">
      <x:c r="A2762" s="256" t="n">
        <x:f>-12+1152*0.01</x:f>
        <x:v>-0.4800000000000004</x:v>
      </x:c>
      <x:c r="B2762" s="256" t="n">
        <x:f>IF(COUNT($B$129:$L$129)=11,B$129*EXP(IF(A2762&lt;0,(10-0)*A2762,-0*A2762))+C$129*EXP(IF(A2762&lt;0,(10-1)*A2762,-1*A2762))+D$129*EXP(IF(A2762&lt;0,(10-2)*A2762,-2*A2762))+E$129*EXP(IF(A2762&lt;0,(10-3)*A2762,-3*A2762))+F$129*EXP(IF(A2762&lt;0,(10-4)*A2762,-4*A2762))+G$129*EXP(IF(A2762&lt;0,(10-5)*A2762,-5*A2762))+H$129*EXP(IF(A2762&lt;0,(10-6)*A2762,-6*A2762))+I$129*EXP(IF(A2762&lt;0,(10-7)*A2762,-7*A2762))+J$129*EXP(IF(A2762&lt;0,(10-8)*A2762,-8*A2762))+K$129*EXP(IF(A2762&lt;0,(10-9)*A2762,-9*A2762))+L$129*EXP(IF(A2762&lt;0,(10-10)*A2762,-10*A2762)),0)</x:f>
        <x:v>793514.0339920847</x:v>
      </x:c>
      <x:c r="C2762" s="256" t="n">
        <x:f>IF(B2762=0,IF(B2761=0,0,1),IF(B2761=0,0,IF(SIGN(B2762)&lt;&gt;SIGN(B2761),1,0)))</x:f>
        <x:v>0</x:v>
      </x:c>
      <x:c r="D2762" s="256" t="n">
        <x:f>EXP(A2762-0.005)-1</x:f>
        <x:v>-0.3843028032357152</x:v>
      </x:c>
    </x:row>
    <x:row r="2763" ht="20" customHeight="1">
      <x:c r="A2763" s="256" t="n">
        <x:f>-12+1153*0.01</x:f>
        <x:v>-0.47000000000000064</x:v>
      </x:c>
      <x:c r="B2763" s="256" t="n">
        <x:f>IF(COUNT($B$129:$L$129)=11,B$129*EXP(IF(A2763&lt;0,(10-0)*A2763,-0*A2763))+C$129*EXP(IF(A2763&lt;0,(10-1)*A2763,-1*A2763))+D$129*EXP(IF(A2763&lt;0,(10-2)*A2763,-2*A2763))+E$129*EXP(IF(A2763&lt;0,(10-3)*A2763,-3*A2763))+F$129*EXP(IF(A2763&lt;0,(10-4)*A2763,-4*A2763))+G$129*EXP(IF(A2763&lt;0,(10-5)*A2763,-5*A2763))+H$129*EXP(IF(A2763&lt;0,(10-6)*A2763,-6*A2763))+I$129*EXP(IF(A2763&lt;0,(10-7)*A2763,-7*A2763))+J$129*EXP(IF(A2763&lt;0,(10-8)*A2763,-8*A2763))+K$129*EXP(IF(A2763&lt;0,(10-9)*A2763,-9*A2763))+L$129*EXP(IF(A2763&lt;0,(10-10)*A2763,-10*A2763)),0)</x:f>
        <x:v>793546.4134118701</x:v>
      </x:c>
      <x:c r="C2763" s="256" t="n">
        <x:f>IF(B2763=0,IF(B2762=0,0,1),IF(B2762=0,0,IF(SIGN(B2763)&lt;&gt;SIGN(B2762),1,0)))</x:f>
        <x:v>0</x:v>
      </x:c>
      <x:c r="D2763" s="256" t="n">
        <x:f>EXP(A2763-0.005)-1</x:f>
        <x:v>-0.3781149435349803</x:v>
      </x:c>
    </x:row>
    <x:row r="2764" ht="20" customHeight="1">
      <x:c r="A2764" s="256" t="n">
        <x:f>-12+1154*0.01</x:f>
        <x:v>-0.4599999999999991</x:v>
      </x:c>
      <x:c r="B2764" s="256" t="n">
        <x:f>IF(COUNT($B$129:$L$129)=11,B$129*EXP(IF(A2764&lt;0,(10-0)*A2764,-0*A2764))+C$129*EXP(IF(A2764&lt;0,(10-1)*A2764,-1*A2764))+D$129*EXP(IF(A2764&lt;0,(10-2)*A2764,-2*A2764))+E$129*EXP(IF(A2764&lt;0,(10-3)*A2764,-3*A2764))+F$129*EXP(IF(A2764&lt;0,(10-4)*A2764,-4*A2764))+G$129*EXP(IF(A2764&lt;0,(10-5)*A2764,-5*A2764))+H$129*EXP(IF(A2764&lt;0,(10-6)*A2764,-6*A2764))+I$129*EXP(IF(A2764&lt;0,(10-7)*A2764,-7*A2764))+J$129*EXP(IF(A2764&lt;0,(10-8)*A2764,-8*A2764))+K$129*EXP(IF(A2764&lt;0,(10-9)*A2764,-9*A2764))+L$129*EXP(IF(A2764&lt;0,(10-10)*A2764,-10*A2764)),0)</x:f>
        <x:v>793563.7826785641</x:v>
      </x:c>
      <x:c r="C2764" s="256" t="n">
        <x:f>IF(B2764=0,IF(B2763=0,0,1),IF(B2763=0,0,IF(SIGN(B2764)&lt;&gt;SIGN(B2763),1,0)))</x:f>
        <x:v>0</x:v>
      </x:c>
      <x:c r="D2764" s="256" t="n">
        <x:f>EXP(A2764-0.005)-1</x:f>
        <x:v>-0.37186489481035867</x:v>
      </x:c>
    </x:row>
    <x:row r="2765" ht="20" customHeight="1">
      <x:c r="A2765" s="256" t="n">
        <x:f>-12+1155*0.01</x:f>
        <x:v>-0.4499999999999993</x:v>
      </x:c>
      <x:c r="B2765" s="256" t="n">
        <x:f>IF(COUNT($B$129:$L$129)=11,B$129*EXP(IF(A2765&lt;0,(10-0)*A2765,-0*A2765))+C$129*EXP(IF(A2765&lt;0,(10-1)*A2765,-1*A2765))+D$129*EXP(IF(A2765&lt;0,(10-2)*A2765,-2*A2765))+E$129*EXP(IF(A2765&lt;0,(10-3)*A2765,-3*A2765))+F$129*EXP(IF(A2765&lt;0,(10-4)*A2765,-4*A2765))+G$129*EXP(IF(A2765&lt;0,(10-5)*A2765,-5*A2765))+H$129*EXP(IF(A2765&lt;0,(10-6)*A2765,-6*A2765))+I$129*EXP(IF(A2765&lt;0,(10-7)*A2765,-7*A2765))+J$129*EXP(IF(A2765&lt;0,(10-8)*A2765,-8*A2765))+K$129*EXP(IF(A2765&lt;0,(10-9)*A2765,-9*A2765))+L$129*EXP(IF(A2765&lt;0,(10-10)*A2765,-10*A2765)),0)</x:f>
        <x:v>793564.2337802411</x:v>
      </x:c>
      <x:c r="C2765" s="256" t="n">
        <x:f>IF(B2765=0,IF(B2764=0,0,1),IF(B2764=0,0,IF(SIGN(B2765)&lt;&gt;SIGN(B2764),1,0)))</x:f>
        <x:v>0</x:v>
      </x:c>
      <x:c r="D2765" s="256" t="n">
        <x:f>EXP(A2765-0.005)-1</x:f>
        <x:v>-0.36555203205177134</x:v>
      </x:c>
    </x:row>
    <x:row r="2766" ht="20" customHeight="1">
      <x:c r="A2766" s="256" t="n">
        <x:f>-12+1156*0.01</x:f>
        <x:v>-0.4399999999999995</x:v>
      </x:c>
      <x:c r="B2766" s="256" t="n">
        <x:f>IF(COUNT($B$129:$L$129)=11,B$129*EXP(IF(A2766&lt;0,(10-0)*A2766,-0*A2766))+C$129*EXP(IF(A2766&lt;0,(10-1)*A2766,-1*A2766))+D$129*EXP(IF(A2766&lt;0,(10-2)*A2766,-2*A2766))+E$129*EXP(IF(A2766&lt;0,(10-3)*A2766,-3*A2766))+F$129*EXP(IF(A2766&lt;0,(10-4)*A2766,-4*A2766))+G$129*EXP(IF(A2766&lt;0,(10-5)*A2766,-5*A2766))+H$129*EXP(IF(A2766&lt;0,(10-6)*A2766,-6*A2766))+I$129*EXP(IF(A2766&lt;0,(10-7)*A2766,-7*A2766))+J$129*EXP(IF(A2766&lt;0,(10-8)*A2766,-8*A2766))+K$129*EXP(IF(A2766&lt;0,(10-9)*A2766,-9*A2766))+L$129*EXP(IF(A2766&lt;0,(10-10)*A2766,-10*A2766)),0)</x:f>
        <x:v>793545.6527909584</x:v>
      </x:c>
      <x:c r="C2766" s="256" t="n">
        <x:f>IF(B2766=0,IF(B2765=0,0,1),IF(B2765=0,0,IF(SIGN(B2766)&lt;&gt;SIGN(B2765),1,0)))</x:f>
        <x:v>0</x:v>
      </x:c>
      <x:c r="D2766" s="256" t="n">
        <x:f>EXP(A2766-0.005)-1</x:f>
        <x:v>-0.35917572396768094</x:v>
      </x:c>
    </x:row>
    <x:row r="2767" ht="20" customHeight="1">
      <x:c r="A2767" s="256" t="n">
        <x:f>-12+1157*0.01</x:f>
        <x:v>-0.4299999999999997</x:v>
      </x:c>
      <x:c r="B2767" s="256" t="n">
        <x:f>IF(COUNT($B$129:$L$129)=11,B$129*EXP(IF(A2767&lt;0,(10-0)*A2767,-0*A2767))+C$129*EXP(IF(A2767&lt;0,(10-1)*A2767,-1*A2767))+D$129*EXP(IF(A2767&lt;0,(10-2)*A2767,-2*A2767))+E$129*EXP(IF(A2767&lt;0,(10-3)*A2767,-3*A2767))+F$129*EXP(IF(A2767&lt;0,(10-4)*A2767,-4*A2767))+G$129*EXP(IF(A2767&lt;0,(10-5)*A2767,-5*A2767))+H$129*EXP(IF(A2767&lt;0,(10-6)*A2767,-6*A2767))+I$129*EXP(IF(A2767&lt;0,(10-7)*A2767,-7*A2767))+J$129*EXP(IF(A2767&lt;0,(10-8)*A2767,-8*A2767))+K$129*EXP(IF(A2767&lt;0,(10-9)*A2767,-9*A2767))+L$129*EXP(IF(A2767&lt;0,(10-10)*A2767,-10*A2767)),0)</x:f>
        <x:v>793505.6982879322</x:v>
      </x:c>
      <x:c r="C2767" s="256" t="n">
        <x:f>IF(B2767=0,IF(B2766=0,0,1),IF(B2766=0,0,IF(SIGN(B2767)&lt;&gt;SIGN(B2766),1,0)))</x:f>
        <x:v>0</x:v>
      </x:c>
      <x:c r="D2767" s="256" t="n">
        <x:f>EXP(A2767-0.005)-1</x:f>
        <x:v>-0.35273533292196524</x:v>
      </x:c>
    </x:row>
    <x:row r="2768" ht="20" customHeight="1">
      <x:c r="A2768" s="256" t="n">
        <x:f>-12+1158*0.01</x:f>
        <x:v>-0.41999999999999993</x:v>
      </x:c>
      <x:c r="B2768" s="256" t="n">
        <x:f>IF(COUNT($B$129:$L$129)=11,B$129*EXP(IF(A2768&lt;0,(10-0)*A2768,-0*A2768))+C$129*EXP(IF(A2768&lt;0,(10-1)*A2768,-1*A2768))+D$129*EXP(IF(A2768&lt;0,(10-2)*A2768,-2*A2768))+E$129*EXP(IF(A2768&lt;0,(10-3)*A2768,-3*A2768))+F$129*EXP(IF(A2768&lt;0,(10-4)*A2768,-4*A2768))+G$129*EXP(IF(A2768&lt;0,(10-5)*A2768,-5*A2768))+H$129*EXP(IF(A2768&lt;0,(10-6)*A2768,-6*A2768))+I$129*EXP(IF(A2768&lt;0,(10-7)*A2768,-7*A2768))+J$129*EXP(IF(A2768&lt;0,(10-8)*A2768,-8*A2768))+K$129*EXP(IF(A2768&lt;0,(10-9)*A2768,-9*A2768))+L$129*EXP(IF(A2768&lt;0,(10-10)*A2768,-10*A2768)),0)</x:f>
        <x:v>793441.7775189144</x:v>
      </x:c>
      <x:c r="C2768" s="256" t="n">
        <x:f>IF(B2768=0,IF(B2767=0,0,1),IF(B2767=0,0,IF(SIGN(B2768)&lt;&gt;SIGN(B2767),1,0)))</x:f>
        <x:v>0</x:v>
      </x:c>
      <x:c r="D2768" s="256" t="n">
        <x:f>EXP(A2768-0.005)-1</x:f>
        <x:v>-0.3462302148701527</x:v>
      </x:c>
    </x:row>
    <x:row r="2769" ht="20" customHeight="1">
      <x:c r="A2769" s="256" t="n">
        <x:f>-12+1159*0.01</x:f>
        <x:v>-0.41000000000000014</x:v>
      </x:c>
      <x:c r="B2769" s="256" t="n">
        <x:f>IF(COUNT($B$129:$L$129)=11,B$129*EXP(IF(A2769&lt;0,(10-0)*A2769,-0*A2769))+C$129*EXP(IF(A2769&lt;0,(10-1)*A2769,-1*A2769))+D$129*EXP(IF(A2769&lt;0,(10-2)*A2769,-2*A2769))+E$129*EXP(IF(A2769&lt;0,(10-3)*A2769,-3*A2769))+F$129*EXP(IF(A2769&lt;0,(10-4)*A2769,-4*A2769))+G$129*EXP(IF(A2769&lt;0,(10-5)*A2769,-5*A2769))+H$129*EXP(IF(A2769&lt;0,(10-6)*A2769,-6*A2769))+I$129*EXP(IF(A2769&lt;0,(10-7)*A2769,-7*A2769))+J$129*EXP(IF(A2769&lt;0,(10-8)*A2769,-8*A2769))+K$129*EXP(IF(A2769&lt;0,(10-9)*A2769,-9*A2769))+L$129*EXP(IF(A2769&lt;0,(10-10)*A2769,-10*A2769)),0)</x:f>
        <x:v>793351.0200852673</x:v>
      </x:c>
      <x:c r="C2769" s="256" t="n">
        <x:f>IF(B2769=0,IF(B2768=0,0,1),IF(B2768=0,0,IF(SIGN(B2769)&lt;&gt;SIGN(B2768),1,0)))</x:f>
        <x:v>0</x:v>
      </x:c>
      <x:c r="D2769" s="256" t="n">
        <x:f>EXP(A2769-0.005)-1</x:f>
        <x:v>-0.33965971929501726</x:v>
      </x:c>
    </x:row>
    <x:row r="2770" ht="20" customHeight="1">
      <x:c r="A2770" s="256" t="n">
        <x:f>-12+1160*0.01</x:f>
        <x:v>-0.40000000000000036</x:v>
      </x:c>
      <x:c r="B2770" s="256" t="n">
        <x:f>IF(COUNT($B$129:$L$129)=11,B$129*EXP(IF(A2770&lt;0,(10-0)*A2770,-0*A2770))+C$129*EXP(IF(A2770&lt;0,(10-1)*A2770,-1*A2770))+D$129*EXP(IF(A2770&lt;0,(10-2)*A2770,-2*A2770))+E$129*EXP(IF(A2770&lt;0,(10-3)*A2770,-3*A2770))+F$129*EXP(IF(A2770&lt;0,(10-4)*A2770,-4*A2770))+G$129*EXP(IF(A2770&lt;0,(10-5)*A2770,-5*A2770))+H$129*EXP(IF(A2770&lt;0,(10-6)*A2770,-6*A2770))+I$129*EXP(IF(A2770&lt;0,(10-7)*A2770,-7*A2770))+J$129*EXP(IF(A2770&lt;0,(10-8)*A2770,-8*A2770))+K$129*EXP(IF(A2770&lt;0,(10-9)*A2770,-9*A2770))+L$129*EXP(IF(A2770&lt;0,(10-10)*A2770,-10*A2770)),0)</x:f>
        <x:v>793230.2488817688</x:v>
      </x:c>
      <x:c r="C2770" s="256" t="n">
        <x:f>IF(B2770=0,IF(B2769=0,0,1),IF(B2769=0,0,IF(SIGN(B2770)&lt;&gt;SIGN(B2769),1,0)))</x:f>
        <x:v>0</x:v>
      </x:c>
      <x:c r="D2770" s="256" t="n">
        <x:f>EXP(A2770-0.005)-1</x:f>
        <x:v>-0.33302318914152584</x:v>
      </x:c>
    </x:row>
    <x:row r="2771" ht="20" customHeight="1">
      <x:c r="A2771" s="256" t="n">
        <x:f>-12+1161*0.01</x:f>
        <x:v>-0.39000000000000057</x:v>
      </x:c>
      <x:c r="B2771" s="256" t="n">
        <x:f>IF(COUNT($B$129:$L$129)=11,B$129*EXP(IF(A2771&lt;0,(10-0)*A2771,-0*A2771))+C$129*EXP(IF(A2771&lt;0,(10-1)*A2771,-1*A2771))+D$129*EXP(IF(A2771&lt;0,(10-2)*A2771,-2*A2771))+E$129*EXP(IF(A2771&lt;0,(10-3)*A2771,-3*A2771))+F$129*EXP(IF(A2771&lt;0,(10-4)*A2771,-4*A2771))+G$129*EXP(IF(A2771&lt;0,(10-5)*A2771,-5*A2771))+H$129*EXP(IF(A2771&lt;0,(10-6)*A2771,-6*A2771))+I$129*EXP(IF(A2771&lt;0,(10-7)*A2771,-7*A2771))+J$129*EXP(IF(A2771&lt;0,(10-8)*A2771,-8*A2771))+K$129*EXP(IF(A2771&lt;0,(10-9)*A2771,-9*A2771))+L$129*EXP(IF(A2771&lt;0,(10-10)*A2771,-10*A2771)),0)</x:f>
        <x:v>793075.9480071525</x:v>
      </x:c>
      <x:c r="C2771" s="256" t="n">
        <x:f>IF(B2771=0,IF(B2770=0,0,1),IF(B2770=0,0,IF(SIGN(B2771)&lt;&gt;SIGN(B2770),1,0)))</x:f>
        <x:v>0</x:v>
      </x:c>
      <x:c r="D2771" s="256" t="n">
        <x:f>EXP(A2771-0.005)-1</x:f>
        <x:v>-0.3263199607511328</x:v>
      </x:c>
    </x:row>
    <x:row r="2772" ht="20" customHeight="1">
      <x:c r="A2772" s="256" t="n">
        <x:f>-12+1162*0.01</x:f>
        <x:v>-0.379999999999999</x:v>
      </x:c>
      <x:c r="B2772" s="256" t="n">
        <x:f>IF(COUNT($B$129:$L$129)=11,B$129*EXP(IF(A2772&lt;0,(10-0)*A2772,-0*A2772))+C$129*EXP(IF(A2772&lt;0,(10-1)*A2772,-1*A2772))+D$129*EXP(IF(A2772&lt;0,(10-2)*A2772,-2*A2772))+E$129*EXP(IF(A2772&lt;0,(10-3)*A2772,-3*A2772))+F$129*EXP(IF(A2772&lt;0,(10-4)*A2772,-4*A2772))+G$129*EXP(IF(A2772&lt;0,(10-5)*A2772,-5*A2772))+H$129*EXP(IF(A2772&lt;0,(10-6)*A2772,-6*A2772))+I$129*EXP(IF(A2772&lt;0,(10-7)*A2772,-7*A2772))+J$129*EXP(IF(A2772&lt;0,(10-8)*A2772,-8*A2772))+K$129*EXP(IF(A2772&lt;0,(10-9)*A2772,-9*A2772))+L$129*EXP(IF(A2772&lt;0,(10-10)*A2772,-10*A2772)),0)</x:f>
        <x:v>792884.2273295362</x:v>
      </x:c>
      <x:c r="C2772" s="256" t="n">
        <x:f>IF(B2772=0,IF(B2771=0,0,1),IF(B2771=0,0,IF(SIGN(B2772)&lt;&gt;SIGN(B2771),1,0)))</x:f>
        <x:v>0</x:v>
      </x:c>
      <x:c r="D2772" s="256" t="n">
        <x:f>EXP(A2772-0.005)-1</x:f>
        <x:v>-0.31954936379541166</x:v>
      </x:c>
    </x:row>
    <x:row r="2773" ht="20" customHeight="1">
      <x:c r="A2773" s="256" t="n">
        <x:f>-12+1163*0.01</x:f>
        <x:v>-0.3699999999999992</x:v>
      </x:c>
      <x:c r="B2773" s="256" t="n">
        <x:f>IF(COUNT($B$129:$L$129)=11,B$129*EXP(IF(A2773&lt;0,(10-0)*A2773,-0*A2773))+C$129*EXP(IF(A2773&lt;0,(10-1)*A2773,-1*A2773))+D$129*EXP(IF(A2773&lt;0,(10-2)*A2773,-2*A2773))+E$129*EXP(IF(A2773&lt;0,(10-3)*A2773,-3*A2773))+F$129*EXP(IF(A2773&lt;0,(10-4)*A2773,-4*A2773))+G$129*EXP(IF(A2773&lt;0,(10-5)*A2773,-5*A2773))+H$129*EXP(IF(A2773&lt;0,(10-6)*A2773,-6*A2773))+I$129*EXP(IF(A2773&lt;0,(10-7)*A2773,-7*A2773))+J$129*EXP(IF(A2773&lt;0,(10-8)*A2773,-8*A2773))+K$129*EXP(IF(A2773&lt;0,(10-9)*A2773,-9*A2773))+L$129*EXP(IF(A2773&lt;0,(10-10)*A2773,-10*A2773)),0)</x:f>
        <x:v>792650.7833579218</x:v>
      </x:c>
      <x:c r="C2773" s="256" t="n">
        <x:f>IF(B2773=0,IF(B2772=0,0,1),IF(B2772=0,0,IF(SIGN(B2773)&lt;&gt;SIGN(B2772),1,0)))</x:f>
        <x:v>0</x:v>
      </x:c>
      <x:c r="D2773" s="256" t="n">
        <x:f>EXP(A2773-0.005)-1</x:f>
        <x:v>-0.3127107212090272</x:v>
      </x:c>
    </x:row>
    <x:row r="2774" ht="20" customHeight="1">
      <x:c r="A2774" s="256" t="n">
        <x:f>-12+1164*0.01</x:f>
        <x:v>-0.35999999999999943</x:v>
      </x:c>
      <x:c r="B2774" s="256" t="n">
        <x:f>IF(COUNT($B$129:$L$129)=11,B$129*EXP(IF(A2774&lt;0,(10-0)*A2774,-0*A2774))+C$129*EXP(IF(A2774&lt;0,(10-1)*A2774,-1*A2774))+D$129*EXP(IF(A2774&lt;0,(10-2)*A2774,-2*A2774))+E$129*EXP(IF(A2774&lt;0,(10-3)*A2774,-3*A2774))+F$129*EXP(IF(A2774&lt;0,(10-4)*A2774,-4*A2774))+G$129*EXP(IF(A2774&lt;0,(10-5)*A2774,-5*A2774))+H$129*EXP(IF(A2774&lt;0,(10-6)*A2774,-6*A2774))+I$129*EXP(IF(A2774&lt;0,(10-7)*A2774,-7*A2774))+J$129*EXP(IF(A2774&lt;0,(10-8)*A2774,-8*A2774))+K$129*EXP(IF(A2774&lt;0,(10-9)*A2774,-9*A2774))+L$129*EXP(IF(A2774&lt;0,(10-10)*A2774,-10*A2774)),0)</x:f>
        <x:v>792370.8560345374</x:v>
      </x:c>
      <x:c r="C2774" s="256" t="n">
        <x:f>IF(B2774=0,IF(B2773=0,0,1),IF(B2773=0,0,IF(SIGN(B2774)&lt;&gt;SIGN(B2773),1,0)))</x:f>
        <x:v>0</x:v>
      </x:c>
      <x:c r="D2774" s="256" t="n">
        <x:f>EXP(A2774-0.005)-1</x:f>
        <x:v>-0.3058033491220208</x:v>
      </x:c>
    </x:row>
    <x:row r="2775" ht="20" customHeight="1">
      <x:c r="A2775" s="256" t="n">
        <x:f>-12+1165*0.01</x:f>
        <x:v>-0.34999999999999964</x:v>
      </x:c>
      <x:c r="B2775" s="256" t="n">
        <x:f>IF(COUNT($B$129:$L$129)=11,B$129*EXP(IF(A2775&lt;0,(10-0)*A2775,-0*A2775))+C$129*EXP(IF(A2775&lt;0,(10-1)*A2775,-1*A2775))+D$129*EXP(IF(A2775&lt;0,(10-2)*A2775,-2*A2775))+E$129*EXP(IF(A2775&lt;0,(10-3)*A2775,-3*A2775))+F$129*EXP(IF(A2775&lt;0,(10-4)*A2775,-4*A2775))+G$129*EXP(IF(A2775&lt;0,(10-5)*A2775,-5*A2775))+H$129*EXP(IF(A2775&lt;0,(10-6)*A2775,-6*A2775))+I$129*EXP(IF(A2775&lt;0,(10-7)*A2775,-7*A2775))+J$129*EXP(IF(A2775&lt;0,(10-8)*A2775,-8*A2775))+K$129*EXP(IF(A2775&lt;0,(10-9)*A2775,-9*A2775))+L$129*EXP(IF(A2775&lt;0,(10-10)*A2775,-10*A2775)),0)</x:f>
        <x:v>792039.1810225672</x:v>
      </x:c>
      <x:c r="C2775" s="256" t="n">
        <x:f>IF(B2775=0,IF(B2774=0,0,1),IF(B2774=0,0,IF(SIGN(B2775)&lt;&gt;SIGN(B2774),1,0)))</x:f>
        <x:v>0</x:v>
      </x:c>
      <x:c r="D2775" s="256" t="n">
        <x:f>EXP(A2775-0.005)-1</x:f>
        <x:v>-0.29882655679142733</x:v>
      </x:c>
    </x:row>
    <x:row r="2776" ht="20" customHeight="1">
      <x:c r="A2776" s="256" t="n">
        <x:f>-12+1166*0.01</x:f>
        <x:v>-0.33999999999999986</x:v>
      </x:c>
      <x:c r="B2776" s="256" t="n">
        <x:f>IF(COUNT($B$129:$L$129)=11,B$129*EXP(IF(A2776&lt;0,(10-0)*A2776,-0*A2776))+C$129*EXP(IF(A2776&lt;0,(10-1)*A2776,-1*A2776))+D$129*EXP(IF(A2776&lt;0,(10-2)*A2776,-2*A2776))+E$129*EXP(IF(A2776&lt;0,(10-3)*A2776,-3*A2776))+F$129*EXP(IF(A2776&lt;0,(10-4)*A2776,-4*A2776))+G$129*EXP(IF(A2776&lt;0,(10-5)*A2776,-5*A2776))+H$129*EXP(IF(A2776&lt;0,(10-6)*A2776,-6*A2776))+I$129*EXP(IF(A2776&lt;0,(10-7)*A2776,-7*A2776))+J$129*EXP(IF(A2776&lt;0,(10-8)*A2776,-8*A2776))+K$129*EXP(IF(A2776&lt;0,(10-9)*A2776,-9*A2776))+L$129*EXP(IF(A2776&lt;0,(10-10)*A2776,-10*A2776)),0)</x:f>
        <x:v>791649.937019388</x:v>
      </x:c>
      <x:c r="C2776" s="256" t="n">
        <x:f>IF(B2776=0,IF(B2775=0,0,1),IF(B2775=0,0,IF(SIGN(B2776)&lt;&gt;SIGN(B2775),1,0)))</x:f>
        <x:v>0</x:v>
      </x:c>
      <x:c r="D2776" s="256" t="n">
        <x:f>EXP(A2776-0.005)-1</x:f>
        <x:v>-0.2917796465322</x:v>
      </x:c>
    </x:row>
    <x:row r="2777" ht="20" customHeight="1">
      <x:c r="A2777" s="256" t="n">
        <x:f>-12+1167*0.01</x:f>
        <x:v>-0.33000000000000007</x:v>
      </x:c>
      <x:c r="B2777" s="256" t="n">
        <x:f>IF(COUNT($B$129:$L$129)=11,B$129*EXP(IF(A2777&lt;0,(10-0)*A2777,-0*A2777))+C$129*EXP(IF(A2777&lt;0,(10-1)*A2777,-1*A2777))+D$129*EXP(IF(A2777&lt;0,(10-2)*A2777,-2*A2777))+E$129*EXP(IF(A2777&lt;0,(10-3)*A2777,-3*A2777))+F$129*EXP(IF(A2777&lt;0,(10-4)*A2777,-4*A2777))+G$129*EXP(IF(A2777&lt;0,(10-5)*A2777,-5*A2777))+H$129*EXP(IF(A2777&lt;0,(10-6)*A2777,-6*A2777))+I$129*EXP(IF(A2777&lt;0,(10-7)*A2777,-7*A2777))+J$129*EXP(IF(A2777&lt;0,(10-8)*A2777,-8*A2777))+K$129*EXP(IF(A2777&lt;0,(10-9)*A2777,-9*A2777))+L$129*EXP(IF(A2777&lt;0,(10-10)*A2777,-10*A2777)),0)</x:f>
        <x:v>791196.6875763645</x:v>
      </x:c>
      <x:c r="C2777" s="256" t="n">
        <x:f>IF(B2777=0,IF(B2776=0,0,1),IF(B2776=0,0,IF(SIGN(B2777)&lt;&gt;SIGN(B2776),1,0)))</x:f>
        <x:v>0</x:v>
      </x:c>
      <x:c r="D2777" s="256" t="n">
        <x:f>EXP(A2777-0.005)-1</x:f>
        <x:v>-0.2846619136474401</x:v>
      </x:c>
    </x:row>
    <x:row r="2778" ht="20" customHeight="1">
      <x:c r="A2778" s="256" t="n">
        <x:f>-12+1168*0.01</x:f>
        <x:v>-0.3200000000000003</x:v>
      </x:c>
      <x:c r="B2778" s="256" t="n">
        <x:f>IF(COUNT($B$129:$L$129)=11,B$129*EXP(IF(A2778&lt;0,(10-0)*A2778,-0*A2778))+C$129*EXP(IF(A2778&lt;0,(10-1)*A2778,-1*A2778))+D$129*EXP(IF(A2778&lt;0,(10-2)*A2778,-2*A2778))+E$129*EXP(IF(A2778&lt;0,(10-3)*A2778,-3*A2778))+F$129*EXP(IF(A2778&lt;0,(10-4)*A2778,-4*A2778))+G$129*EXP(IF(A2778&lt;0,(10-5)*A2778,-5*A2778))+H$129*EXP(IF(A2778&lt;0,(10-6)*A2778,-6*A2778))+I$129*EXP(IF(A2778&lt;0,(10-7)*A2778,-7*A2778))+J$129*EXP(IF(A2778&lt;0,(10-8)*A2778,-8*A2778))+K$129*EXP(IF(A2778&lt;0,(10-9)*A2778,-9*A2778))+L$129*EXP(IF(A2778&lt;0,(10-10)*A2778,-10*A2778)),0)</x:f>
        <x:v>790672.3168520485</x:v>
      </x:c>
      <x:c r="C2778" s="256" t="n">
        <x:f>IF(B2778=0,IF(B2777=0,0,1),IF(B2777=0,0,IF(SIGN(B2778)&lt;&gt;SIGN(B2777),1,0)))</x:f>
        <x:v>0</x:v>
      </x:c>
      <x:c r="D2778" s="256" t="n">
        <x:f>EXP(A2778-0.005)-1</x:f>
        <x:v>-0.277472646357928</x:v>
      </x:c>
    </x:row>
    <x:row r="2779" ht="20" customHeight="1">
      <x:c r="A2779" s="256" t="n">
        <x:f>-12+1169*0.01</x:f>
        <x:v>-0.3100000000000005</x:v>
      </x:c>
      <x:c r="B2779" s="256" t="n">
        <x:f>IF(COUNT($B$129:$L$129)=11,B$129*EXP(IF(A2779&lt;0,(10-0)*A2779,-0*A2779))+C$129*EXP(IF(A2779&lt;0,(10-1)*A2779,-1*A2779))+D$129*EXP(IF(A2779&lt;0,(10-2)*A2779,-2*A2779))+E$129*EXP(IF(A2779&lt;0,(10-3)*A2779,-3*A2779))+F$129*EXP(IF(A2779&lt;0,(10-4)*A2779,-4*A2779))+G$129*EXP(IF(A2779&lt;0,(10-5)*A2779,-5*A2779))+H$129*EXP(IF(A2779&lt;0,(10-6)*A2779,-6*A2779))+I$129*EXP(IF(A2779&lt;0,(10-7)*A2779,-7*A2779))+J$129*EXP(IF(A2779&lt;0,(10-8)*A2779,-8*A2779))+K$129*EXP(IF(A2779&lt;0,(10-9)*A2779,-9*A2779))+L$129*EXP(IF(A2779&lt;0,(10-10)*A2779,-10*A2779)),0)</x:f>
        <x:v>790068.9586657628</x:v>
      </x:c>
      <x:c r="C2779" s="256" t="n">
        <x:f>IF(B2779=0,IF(B2778=0,0,1),IF(B2778=0,0,IF(SIGN(B2779)&lt;&gt;SIGN(B2778),1,0)))</x:f>
        <x:v>0</x:v>
      </x:c>
      <x:c r="D2779" s="256" t="n">
        <x:f>EXP(A2779-0.005)-1</x:f>
        <x:v>-0.27021112573094364</x:v>
      </x:c>
    </x:row>
    <x:row r="2780" ht="20" customHeight="1">
      <x:c r="A2780" s="256" t="n">
        <x:f>-12+1170*0.01</x:f>
        <x:v>-0.29999999999999893</x:v>
      </x:c>
      <x:c r="B2780" s="256" t="n">
        <x:f>IF(COUNT($B$129:$L$129)=11,B$129*EXP(IF(A2780&lt;0,(10-0)*A2780,-0*A2780))+C$129*EXP(IF(A2780&lt;0,(10-1)*A2780,-1*A2780))+D$129*EXP(IF(A2780&lt;0,(10-2)*A2780,-2*A2780))+E$129*EXP(IF(A2780&lt;0,(10-3)*A2780,-3*A2780))+F$129*EXP(IF(A2780&lt;0,(10-4)*A2780,-4*A2780))+G$129*EXP(IF(A2780&lt;0,(10-5)*A2780,-5*A2780))+H$129*EXP(IF(A2780&lt;0,(10-6)*A2780,-6*A2780))+I$129*EXP(IF(A2780&lt;0,(10-7)*A2780,-7*A2780))+J$129*EXP(IF(A2780&lt;0,(10-8)*A2780,-8*A2780))+K$129*EXP(IF(A2780&lt;0,(10-9)*A2780,-9*A2780))+L$129*EXP(IF(A2780&lt;0,(10-10)*A2780,-10*A2780)),0)</x:f>
        <x:v>789377.9181524179</x:v>
      </x:c>
      <x:c r="C2780" s="256" t="n">
        <x:f>IF(B2780=0,IF(B2779=0,0,1),IF(B2779=0,0,IF(SIGN(B2780)&lt;&gt;SIGN(B2779),1,0)))</x:f>
        <x:v>0</x:v>
      </x:c>
      <x:c r="D2780" s="256" t="n">
        <x:f>EXP(A2780-0.005)-1</x:f>
        <x:v>-0.26287662560837144</x:v>
      </x:c>
    </x:row>
    <x:row r="2781" ht="20" customHeight="1">
      <x:c r="A2781" s="256" t="n">
        <x:f>-12+1171*0.01</x:f>
        <x:v>-0.28999999999999915</x:v>
      </x:c>
      <x:c r="B2781" s="256" t="n">
        <x:f>IF(COUNT($B$129:$L$129)=11,B$129*EXP(IF(A2781&lt;0,(10-0)*A2781,-0*A2781))+C$129*EXP(IF(A2781&lt;0,(10-1)*A2781,-1*A2781))+D$129*EXP(IF(A2781&lt;0,(10-2)*A2781,-2*A2781))+E$129*EXP(IF(A2781&lt;0,(10-3)*A2781,-3*A2781))+F$129*EXP(IF(A2781&lt;0,(10-4)*A2781,-4*A2781))+G$129*EXP(IF(A2781&lt;0,(10-5)*A2781,-5*A2781))+H$129*EXP(IF(A2781&lt;0,(10-6)*A2781,-6*A2781))+I$129*EXP(IF(A2781&lt;0,(10-7)*A2781,-7*A2781))+J$129*EXP(IF(A2781&lt;0,(10-8)*A2781,-8*A2781))+K$129*EXP(IF(A2781&lt;0,(10-9)*A2781,-9*A2781))+L$129*EXP(IF(A2781&lt;0,(10-10)*A2781,-10*A2781)),0)</x:f>
        <x:v>788589.585246366</x:v>
      </x:c>
      <x:c r="C2781" s="256" t="n">
        <x:f>IF(B2781=0,IF(B2780=0,0,1),IF(B2780=0,0,IF(SIGN(B2781)&lt;&gt;SIGN(B2780),1,0)))</x:f>
        <x:v>0</x:v>
      </x:c>
      <x:c r="D2781" s="256" t="n">
        <x:f>EXP(A2781-0.005)-1</x:f>
        <x:v>-0.25546841253409003</x:v>
      </x:c>
    </x:row>
    <x:row r="2782" ht="20" customHeight="1">
      <x:c r="A2782" s="256" t="n">
        <x:f>-12+1172*0.01</x:f>
        <x:v>-0.27999999999999936</x:v>
      </x:c>
      <x:c r="B2782" s="256" t="n">
        <x:f>IF(COUNT($B$129:$L$129)=11,B$129*EXP(IF(A2782&lt;0,(10-0)*A2782,-0*A2782))+C$129*EXP(IF(A2782&lt;0,(10-1)*A2782,-1*A2782))+D$129*EXP(IF(A2782&lt;0,(10-2)*A2782,-2*A2782))+E$129*EXP(IF(A2782&lt;0,(10-3)*A2782,-3*A2782))+F$129*EXP(IF(A2782&lt;0,(10-4)*A2782,-4*A2782))+G$129*EXP(IF(A2782&lt;0,(10-5)*A2782,-5*A2782))+H$129*EXP(IF(A2782&lt;0,(10-6)*A2782,-6*A2782))+I$129*EXP(IF(A2782&lt;0,(10-7)*A2782,-7*A2782))+J$129*EXP(IF(A2782&lt;0,(10-8)*A2782,-8*A2782))+K$129*EXP(IF(A2782&lt;0,(10-9)*A2782,-9*A2782))+L$129*EXP(IF(A2782&lt;0,(10-10)*A2782,-10*A2782)),0)</x:f>
        <x:v>787693.3391414093</x:v>
      </x:c>
      <x:c r="C2782" s="256" t="n">
        <x:f>IF(B2782=0,IF(B2781=0,0,1),IF(B2781=0,0,IF(SIGN(B2782)&lt;&gt;SIGN(B2781),1,0)))</x:f>
        <x:v>0</x:v>
      </x:c>
      <x:c r="D2782" s="256" t="n">
        <x:f>EXP(A2782-0.005)-1</x:f>
        <x:v>-0.24798574568061693</x:v>
      </x:c>
    </x:row>
    <x:row r="2783" ht="20" customHeight="1">
      <x:c r="A2783" s="256" t="n">
        <x:f>-12+1173*0.01</x:f>
        <x:v>-0.2699999999999996</x:v>
      </x:c>
      <x:c r="B2783" s="256" t="n">
        <x:f>IF(COUNT($B$129:$L$129)=11,B$129*EXP(IF(A2783&lt;0,(10-0)*A2783,-0*A2783))+C$129*EXP(IF(A2783&lt;0,(10-1)*A2783,-1*A2783))+D$129*EXP(IF(A2783&lt;0,(10-2)*A2783,-2*A2783))+E$129*EXP(IF(A2783&lt;0,(10-3)*A2783,-3*A2783))+F$129*EXP(IF(A2783&lt;0,(10-4)*A2783,-4*A2783))+G$129*EXP(IF(A2783&lt;0,(10-5)*A2783,-5*A2783))+H$129*EXP(IF(A2783&lt;0,(10-6)*A2783,-6*A2783))+I$129*EXP(IF(A2783&lt;0,(10-7)*A2783,-7*A2783))+J$129*EXP(IF(A2783&lt;0,(10-8)*A2783,-8*A2783))+K$129*EXP(IF(A2783&lt;0,(10-9)*A2783,-9*A2783))+L$129*EXP(IF(A2783&lt;0,(10-10)*A2783,-10*A2783)),0)</x:f>
        <x:v>786677.4427849557</x:v>
      </x:c>
      <x:c r="C2783" s="256" t="n">
        <x:f>IF(B2783=0,IF(B2782=0,0,1),IF(B2782=0,0,IF(SIGN(B2783)&lt;&gt;SIGN(B2782),1,0)))</x:f>
        <x:v>0</x:v>
      </x:c>
      <x:c r="D2783" s="256" t="n">
        <x:f>EXP(A2783-0.005)-1</x:f>
        <x:v>-0.2404278767750312</x:v>
      </x:c>
    </x:row>
    <x:row r="2784" ht="20" customHeight="1">
      <x:c r="A2784" s="256" t="n">
        <x:f>-12+1174*0.01</x:f>
        <x:v>-0.2599999999999998</x:v>
      </x:c>
      <x:c r="B2784" s="256" t="n">
        <x:f>IF(COUNT($B$129:$L$129)=11,B$129*EXP(IF(A2784&lt;0,(10-0)*A2784,-0*A2784))+C$129*EXP(IF(A2784&lt;0,(10-1)*A2784,-1*A2784))+D$129*EXP(IF(A2784&lt;0,(10-2)*A2784,-2*A2784))+E$129*EXP(IF(A2784&lt;0,(10-3)*A2784,-3*A2784))+F$129*EXP(IF(A2784&lt;0,(10-4)*A2784,-4*A2784))+G$129*EXP(IF(A2784&lt;0,(10-5)*A2784,-5*A2784))+H$129*EXP(IF(A2784&lt;0,(10-6)*A2784,-6*A2784))+I$129*EXP(IF(A2784&lt;0,(10-7)*A2784,-7*A2784))+J$129*EXP(IF(A2784&lt;0,(10-8)*A2784,-8*A2784))+K$129*EXP(IF(A2784&lt;0,(10-9)*A2784,-9*A2784))+L$129*EXP(IF(A2784&lt;0,(10-10)*A2784,-10*A2784)),0)</x:f>
        <x:v>785528.9263658656</x:v>
      </x:c>
      <x:c r="C2784" s="256" t="n">
        <x:f>IF(B2784=0,IF(B2783=0,0,1),IF(B2783=0,0,IF(SIGN(B2784)&lt;&gt;SIGN(B2783),1,0)))</x:f>
        <x:v>0</x:v>
      </x:c>
      <x:c r="D2784" s="256" t="n">
        <x:f>EXP(A2784-0.005)-1</x:f>
        <x:v>-0.2327940500241441</x:v>
      </x:c>
    </x:row>
    <x:row r="2785" ht="20" customHeight="1">
      <x:c r="A2785" s="256" t="n">
        <x:f>-12+1175*0.01</x:f>
        <x:v>-0.25</x:v>
      </x:c>
      <x:c r="B2785" s="256" t="n">
        <x:f>IF(COUNT($B$129:$L$129)=11,B$129*EXP(IF(A2785&lt;0,(10-0)*A2785,-0*A2785))+C$129*EXP(IF(A2785&lt;0,(10-1)*A2785,-1*A2785))+D$129*EXP(IF(A2785&lt;0,(10-2)*A2785,-2*A2785))+E$129*EXP(IF(A2785&lt;0,(10-3)*A2785,-3*A2785))+F$129*EXP(IF(A2785&lt;0,(10-4)*A2785,-4*A2785))+G$129*EXP(IF(A2785&lt;0,(10-5)*A2785,-5*A2785))+H$129*EXP(IF(A2785&lt;0,(10-6)*A2785,-6*A2785))+I$129*EXP(IF(A2785&lt;0,(10-7)*A2785,-7*A2785))+J$129*EXP(IF(A2785&lt;0,(10-8)*A2785,-8*A2785))+K$129*EXP(IF(A2785&lt;0,(10-9)*A2785,-9*A2785))+L$129*EXP(IF(A2785&lt;0,(10-10)*A2785,-10*A2785)),0)</x:f>
        <x:v>784233.4586467837</x:v>
      </x:c>
      <x:c r="C2785" s="256" t="n">
        <x:f>IF(B2785=0,IF(B2784=0,0,1),IF(B2784=0,0,IF(SIGN(B2785)&lt;&gt;SIGN(B2784),1,0)))</x:f>
        <x:v>0</x:v>
      </x:c>
      <x:c r="D2785" s="256" t="n">
        <x:f>EXP(A2785-0.005)-1</x:f>
        <x:v>-0.22508350203891903</x:v>
      </x:c>
    </x:row>
    <x:row r="2786" ht="20" customHeight="1">
      <x:c r="A2786" s="256" t="n">
        <x:f>-12+1176*0.01</x:f>
        <x:v>-0.2400000000000002</x:v>
      </x:c>
      <x:c r="B2786" s="256" t="n">
        <x:f>IF(COUNT($B$129:$L$129)=11,B$129*EXP(IF(A2786&lt;0,(10-0)*A2786,-0*A2786))+C$129*EXP(IF(A2786&lt;0,(10-1)*A2786,-1*A2786))+D$129*EXP(IF(A2786&lt;0,(10-2)*A2786,-2*A2786))+E$129*EXP(IF(A2786&lt;0,(10-3)*A2786,-3*A2786))+F$129*EXP(IF(A2786&lt;0,(10-4)*A2786,-4*A2786))+G$129*EXP(IF(A2786&lt;0,(10-5)*A2786,-5*A2786))+H$129*EXP(IF(A2786&lt;0,(10-6)*A2786,-6*A2786))+I$129*EXP(IF(A2786&lt;0,(10-7)*A2786,-7*A2786))+J$129*EXP(IF(A2786&lt;0,(10-8)*A2786,-8*A2786))+K$129*EXP(IF(A2786&lt;0,(10-9)*A2786,-9*A2786))+L$129*EXP(IF(A2786&lt;0,(10-10)*A2786,-10*A2786)),0)</x:f>
        <x:v>782775.204871626</x:v>
      </x:c>
      <x:c r="C2786" s="256" t="n">
        <x:f>IF(B2786=0,IF(B2785=0,0,1),IF(B2785=0,0,IF(SIGN(B2786)&lt;&gt;SIGN(B2785),1,0)))</x:f>
        <x:v>0</x:v>
      </x:c>
      <x:c r="D2786" s="256" t="n">
        <x:f>EXP(A2786-0.005)-1</x:f>
        <x:v>-0.21729546175813197</x:v>
      </x:c>
    </x:row>
    <x:row r="2787" ht="20" customHeight="1">
      <x:c r="A2787" s="256" t="n">
        <x:f>-12+1177*0.01</x:f>
        <x:v>-0.23000000000000043</x:v>
      </x:c>
      <x:c r="B2787" s="256" t="n">
        <x:f>IF(COUNT($B$129:$L$129)=11,B$129*EXP(IF(A2787&lt;0,(10-0)*A2787,-0*A2787))+C$129*EXP(IF(A2787&lt;0,(10-1)*A2787,-1*A2787))+D$129*EXP(IF(A2787&lt;0,(10-2)*A2787,-2*A2787))+E$129*EXP(IF(A2787&lt;0,(10-3)*A2787,-3*A2787))+F$129*EXP(IF(A2787&lt;0,(10-4)*A2787,-4*A2787))+G$129*EXP(IF(A2787&lt;0,(10-5)*A2787,-5*A2787))+H$129*EXP(IF(A2787&lt;0,(10-6)*A2787,-6*A2787))+I$129*EXP(IF(A2787&lt;0,(10-7)*A2787,-7*A2787))+J$129*EXP(IF(A2787&lt;0,(10-8)*A2787,-8*A2787))+K$129*EXP(IF(A2787&lt;0,(10-9)*A2787,-9*A2787))+L$129*EXP(IF(A2787&lt;0,(10-10)*A2787,-10*A2787)),0)</x:f>
        <x:v>781136.669846192</x:v>
      </x:c>
      <x:c r="C2787" s="256" t="n">
        <x:f>IF(B2787=0,IF(B2786=0,0,1),IF(B2786=0,0,IF(SIGN(B2787)&lt;&gt;SIGN(B2786),1,0)))</x:f>
        <x:v>0</x:v>
      </x:c>
      <x:c r="D2787" s="256" t="n">
        <x:f>EXP(A2787-0.005)-1</x:f>
        <x:v>-0.20942915037126486</x:v>
      </x:c>
    </x:row>
    <x:row r="2788" ht="20" customHeight="1">
      <x:c r="A2788" s="256" t="n">
        <x:f>-12+1178*0.01</x:f>
        <x:v>-0.22000000000000064</x:v>
      </x:c>
      <x:c r="B2788" s="256" t="n">
        <x:f>IF(COUNT($B$129:$L$129)=11,B$129*EXP(IF(A2788&lt;0,(10-0)*A2788,-0*A2788))+C$129*EXP(IF(A2788&lt;0,(10-1)*A2788,-1*A2788))+D$129*EXP(IF(A2788&lt;0,(10-2)*A2788,-2*A2788))+E$129*EXP(IF(A2788&lt;0,(10-3)*A2788,-3*A2788))+F$129*EXP(IF(A2788&lt;0,(10-4)*A2788,-4*A2788))+G$129*EXP(IF(A2788&lt;0,(10-5)*A2788,-5*A2788))+H$129*EXP(IF(A2788&lt;0,(10-6)*A2788,-6*A2788))+I$129*EXP(IF(A2788&lt;0,(10-7)*A2788,-7*A2788))+J$129*EXP(IF(A2788&lt;0,(10-8)*A2788,-8*A2788))+K$129*EXP(IF(A2788&lt;0,(10-9)*A2788,-9*A2788))+L$129*EXP(IF(A2788&lt;0,(10-10)*A2788,-10*A2788)),0)</x:f>
        <x:v>779298.5246432943</x:v>
      </x:c>
      <x:c r="C2788" s="256" t="n">
        <x:f>IF(B2788=0,IF(B2787=0,0,1),IF(B2787=0,0,IF(SIGN(B2788)&lt;&gt;SIGN(B2787),1,0)))</x:f>
        <x:v>0</x:v>
      </x:c>
      <x:c r="D2788" s="256" t="n">
        <x:f>EXP(A2788-0.005)-1</x:f>
        <x:v>-0.2014837812406235</x:v>
      </x:c>
    </x:row>
    <x:row r="2789" ht="20" customHeight="1">
      <x:c r="A2789" s="256" t="n">
        <x:f>-12+1179*0.01</x:f>
        <x:v>-0.20999999999999908</x:v>
      </x:c>
      <x:c r="B2789" s="256" t="n">
        <x:f>IF(COUNT($B$129:$L$129)=11,B$129*EXP(IF(A2789&lt;0,(10-0)*A2789,-0*A2789))+C$129*EXP(IF(A2789&lt;0,(10-1)*A2789,-1*A2789))+D$129*EXP(IF(A2789&lt;0,(10-2)*A2789,-2*A2789))+E$129*EXP(IF(A2789&lt;0,(10-3)*A2789,-3*A2789))+F$129*EXP(IF(A2789&lt;0,(10-4)*A2789,-4*A2789))+G$129*EXP(IF(A2789&lt;0,(10-5)*A2789,-5*A2789))+H$129*EXP(IF(A2789&lt;0,(10-6)*A2789,-6*A2789))+I$129*EXP(IF(A2789&lt;0,(10-7)*A2789,-7*A2789))+J$129*EXP(IF(A2789&lt;0,(10-8)*A2789,-8*A2789))+K$129*EXP(IF(A2789&lt;0,(10-9)*A2789,-9*A2789))+L$129*EXP(IF(A2789&lt;0,(10-10)*A2789,-10*A2789)),0)</x:f>
        <x:v>777239.4152218694</x:v>
      </x:c>
      <x:c r="C2789" s="256" t="n">
        <x:f>IF(B2789=0,IF(B2788=0,0,1),IF(B2788=0,0,IF(SIGN(B2789)&lt;&gt;SIGN(B2788),1,0)))</x:f>
        <x:v>0</x:v>
      </x:c>
      <x:c r="D2789" s="256" t="n">
        <x:f>EXP(A2789-0.005)-1</x:f>
        <x:v>-0.19345855982267235</x:v>
      </x:c>
    </x:row>
    <x:row r="2790" ht="20" customHeight="1">
      <x:c r="A2790" s="256" t="n">
        <x:f>-12+1180*0.01</x:f>
        <x:v>-0.1999999999999993</x:v>
      </x:c>
      <x:c r="B2790" s="256" t="n">
        <x:f>IF(COUNT($B$129:$L$129)=11,B$129*EXP(IF(A2790&lt;0,(10-0)*A2790,-0*A2790))+C$129*EXP(IF(A2790&lt;0,(10-1)*A2790,-1*A2790))+D$129*EXP(IF(A2790&lt;0,(10-2)*A2790,-2*A2790))+E$129*EXP(IF(A2790&lt;0,(10-3)*A2790,-3*A2790))+F$129*EXP(IF(A2790&lt;0,(10-4)*A2790,-4*A2790))+G$129*EXP(IF(A2790&lt;0,(10-5)*A2790,-5*A2790))+H$129*EXP(IF(A2790&lt;0,(10-6)*A2790,-6*A2790))+I$129*EXP(IF(A2790&lt;0,(10-7)*A2790,-7*A2790))+J$129*EXP(IF(A2790&lt;0,(10-8)*A2790,-8*A2790))+K$129*EXP(IF(A2790&lt;0,(10-9)*A2790,-9*A2790))+L$129*EXP(IF(A2790&lt;0,(10-10)*A2790,-10*A2790)),0)</x:f>
        <x:v>774935.7510706739</x:v>
      </x:c>
      <x:c r="C2790" s="256" t="n">
        <x:f>IF(B2790=0,IF(B2789=0,0,1),IF(B2789=0,0,IF(SIGN(B2790)&lt;&gt;SIGN(B2789),1,0)))</x:f>
        <x:v>0</x:v>
      </x:c>
      <x:c r="D2790" s="256" t="n">
        <x:f>EXP(A2790-0.005)-1</x:f>
        <x:v>-0.1853526835885848</x:v>
      </x:c>
    </x:row>
    <x:row r="2791" ht="20" customHeight="1">
      <x:c r="A2791" s="256" t="n">
        <x:f>-12+1181*0.01</x:f>
        <x:v>-0.1899999999999995</x:v>
      </x:c>
      <x:c r="B2791" s="256" t="n">
        <x:f>IF(COUNT($B$129:$L$129)=11,B$129*EXP(IF(A2791&lt;0,(10-0)*A2791,-0*A2791))+C$129*EXP(IF(A2791&lt;0,(10-1)*A2791,-1*A2791))+D$129*EXP(IF(A2791&lt;0,(10-2)*A2791,-2*A2791))+E$129*EXP(IF(A2791&lt;0,(10-3)*A2791,-3*A2791))+F$129*EXP(IF(A2791&lt;0,(10-4)*A2791,-4*A2791))+G$129*EXP(IF(A2791&lt;0,(10-5)*A2791,-5*A2791))+H$129*EXP(IF(A2791&lt;0,(10-6)*A2791,-6*A2791))+I$129*EXP(IF(A2791&lt;0,(10-7)*A2791,-7*A2791))+J$129*EXP(IF(A2791&lt;0,(10-8)*A2791,-8*A2791))+K$129*EXP(IF(A2791&lt;0,(10-9)*A2791,-9*A2791))+L$129*EXP(IF(A2791&lt;0,(10-10)*A2791,-10*A2791)),0)</x:f>
        <x:v>772361.4717895623</x:v>
      </x:c>
      <x:c r="C2791" s="256" t="n">
        <x:f>IF(B2791=0,IF(B2790=0,0,1),IF(B2790=0,0,IF(SIGN(B2791)&lt;&gt;SIGN(B2790),1,0)))</x:f>
        <x:v>0</x:v>
      </x:c>
      <x:c r="D2791" s="256" t="n">
        <x:f>EXP(A2791-0.005)-1</x:f>
        <x:v>-0.17716534194398115</x:v>
      </x:c>
    </x:row>
    <x:row r="2792" ht="20" customHeight="1">
      <x:c r="A2792" s="256" t="n">
        <x:f>-12+1182*0.01</x:f>
        <x:v>-0.17999999999999972</x:v>
      </x:c>
      <x:c r="B2792" s="256" t="n">
        <x:f>IF(COUNT($B$129:$L$129)=11,B$129*EXP(IF(A2792&lt;0,(10-0)*A2792,-0*A2792))+C$129*EXP(IF(A2792&lt;0,(10-1)*A2792,-1*A2792))+D$129*EXP(IF(A2792&lt;0,(10-2)*A2792,-2*A2792))+E$129*EXP(IF(A2792&lt;0,(10-3)*A2792,-3*A2792))+F$129*EXP(IF(A2792&lt;0,(10-4)*A2792,-4*A2792))+G$129*EXP(IF(A2792&lt;0,(10-5)*A2792,-5*A2792))+H$129*EXP(IF(A2792&lt;0,(10-6)*A2792,-6*A2792))+I$129*EXP(IF(A2792&lt;0,(10-7)*A2792,-7*A2792))+J$129*EXP(IF(A2792&lt;0,(10-8)*A2792,-8*A2792))+K$129*EXP(IF(A2792&lt;0,(10-9)*A2792,-9*A2792))+L$129*EXP(IF(A2792&lt;0,(10-10)*A2792,-10*A2792)),0)</x:f>
        <x:v>769487.7893030883</x:v>
      </x:c>
      <x:c r="C2792" s="256" t="n">
        <x:f>IF(B2792=0,IF(B2791=0,0,1),IF(B2791=0,0,IF(SIGN(B2792)&lt;&gt;SIGN(B2791),1,0)))</x:f>
        <x:v>0</x:v>
      </x:c>
      <x:c r="D2792" s="256" t="n">
        <x:f>EXP(A2792-0.005)-1</x:f>
        <x:v>-0.16889571614787413</x:v>
      </x:c>
    </x:row>
    <x:row r="2793" ht="20" customHeight="1">
      <x:c r="A2793" s="256" t="n">
        <x:f>-12+1183*0.01</x:f>
        <x:v>-0.16999999999999993</x:v>
      </x:c>
      <x:c r="B2793" s="256" t="n">
        <x:f>IF(COUNT($B$129:$L$129)=11,B$129*EXP(IF(A2793&lt;0,(10-0)*A2793,-0*A2793))+C$129*EXP(IF(A2793&lt;0,(10-1)*A2793,-1*A2793))+D$129*EXP(IF(A2793&lt;0,(10-2)*A2793,-2*A2793))+E$129*EXP(IF(A2793&lt;0,(10-3)*A2793,-3*A2793))+F$129*EXP(IF(A2793&lt;0,(10-4)*A2793,-4*A2793))+G$129*EXP(IF(A2793&lt;0,(10-5)*A2793,-5*A2793))+H$129*EXP(IF(A2793&lt;0,(10-6)*A2793,-6*A2793))+I$129*EXP(IF(A2793&lt;0,(10-7)*A2793,-7*A2793))+J$129*EXP(IF(A2793&lt;0,(10-8)*A2793,-8*A2793))+K$129*EXP(IF(A2793&lt;0,(10-9)*A2793,-9*A2793))+L$129*EXP(IF(A2793&lt;0,(10-10)*A2793,-10*A2793)),0)</x:f>
        <x:v>766282.9031600298</x:v>
      </x:c>
      <x:c r="C2793" s="256" t="n">
        <x:f>IF(B2793=0,IF(B2792=0,0,1),IF(B2792=0,0,IF(SIGN(B2793)&lt;&gt;SIGN(B2792),1,0)))</x:f>
        <x:v>0</x:v>
      </x:c>
      <x:c r="D2793" s="256" t="n">
        <x:f>EXP(A2793-0.005)-1</x:f>
        <x:v>-0.16054297923079264</x:v>
      </x:c>
    </x:row>
    <x:row r="2794" ht="20" customHeight="1">
      <x:c r="A2794" s="256" t="n">
        <x:f>-12+1184*0.01</x:f>
        <x:v>-0.16000000000000014</x:v>
      </x:c>
      <x:c r="B2794" s="256" t="n">
        <x:f>IF(COUNT($B$129:$L$129)=11,B$129*EXP(IF(A2794&lt;0,(10-0)*A2794,-0*A2794))+C$129*EXP(IF(A2794&lt;0,(10-1)*A2794,-1*A2794))+D$129*EXP(IF(A2794&lt;0,(10-2)*A2794,-2*A2794))+E$129*EXP(IF(A2794&lt;0,(10-3)*A2794,-3*A2794))+F$129*EXP(IF(A2794&lt;0,(10-4)*A2794,-4*A2794))+G$129*EXP(IF(A2794&lt;0,(10-5)*A2794,-5*A2794))+H$129*EXP(IF(A2794&lt;0,(10-6)*A2794,-6*A2794))+I$129*EXP(IF(A2794&lt;0,(10-7)*A2794,-7*A2794))+J$129*EXP(IF(A2794&lt;0,(10-8)*A2794,-8*A2794))+K$129*EXP(IF(A2794&lt;0,(10-9)*A2794,-9*A2794))+L$129*EXP(IF(A2794&lt;0,(10-10)*A2794,-10*A2794)),0)</x:f>
        <x:v>762711.6861060745</x:v>
      </x:c>
      <x:c r="C2794" s="256" t="n">
        <x:f>IF(B2794=0,IF(B2793=0,0,1),IF(B2793=0,0,IF(SIGN(B2794)&lt;&gt;SIGN(B2793),1,0)))</x:f>
        <x:v>0</x:v>
      </x:c>
      <x:c r="D2794" s="256" t="n">
        <x:f>EXP(A2794-0.005)-1</x:f>
        <x:v>-0.15210629591208424</x:v>
      </x:c>
    </x:row>
    <x:row r="2795" ht="20" customHeight="1">
      <x:c r="A2795" s="256" t="n">
        <x:f>-12+1185*0.01</x:f>
        <x:v>-0.15000000000000036</x:v>
      </x:c>
      <x:c r="B2795" s="256" t="n">
        <x:f>IF(COUNT($B$129:$L$129)=11,B$129*EXP(IF(A2795&lt;0,(10-0)*A2795,-0*A2795))+C$129*EXP(IF(A2795&lt;0,(10-1)*A2795,-1*A2795))+D$129*EXP(IF(A2795&lt;0,(10-2)*A2795,-2*A2795))+E$129*EXP(IF(A2795&lt;0,(10-3)*A2795,-3*A2795))+F$129*EXP(IF(A2795&lt;0,(10-4)*A2795,-4*A2795))+G$129*EXP(IF(A2795&lt;0,(10-5)*A2795,-5*A2795))+H$129*EXP(IF(A2795&lt;0,(10-6)*A2795,-6*A2795))+I$129*EXP(IF(A2795&lt;0,(10-7)*A2795,-7*A2795))+J$129*EXP(IF(A2795&lt;0,(10-8)*A2795,-8*A2795))+K$129*EXP(IF(A2795&lt;0,(10-9)*A2795,-9*A2795))+L$129*EXP(IF(A2795&lt;0,(10-10)*A2795,-10*A2795)),0)</x:f>
        <x:v>758735.33682265</x:v>
      </x:c>
      <x:c r="C2795" s="256" t="n">
        <x:f>IF(B2795=0,IF(B2794=0,0,1),IF(B2794=0,0,IF(SIGN(B2795)&lt;&gt;SIGN(B2794),1,0)))</x:f>
        <x:v>0</x:v>
      </x:c>
      <x:c r="D2795" s="256" t="n">
        <x:f>EXP(A2795-0.005)-1</x:f>
        <x:v>-0.1435848225163867</x:v>
      </x:c>
    </x:row>
    <x:row r="2796" ht="20" customHeight="1">
      <x:c r="A2796" s="256" t="n">
        <x:f>-12+1186*0.01</x:f>
        <x:v>-0.14000000000000057</x:v>
      </x:c>
      <x:c r="B2796" s="256" t="n">
        <x:f>IF(COUNT($B$129:$L$129)=11,B$129*EXP(IF(A2796&lt;0,(10-0)*A2796,-0*A2796))+C$129*EXP(IF(A2796&lt;0,(10-1)*A2796,-1*A2796))+D$129*EXP(IF(A2796&lt;0,(10-2)*A2796,-2*A2796))+E$129*EXP(IF(A2796&lt;0,(10-3)*A2796,-3*A2796))+F$129*EXP(IF(A2796&lt;0,(10-4)*A2796,-4*A2796))+G$129*EXP(IF(A2796&lt;0,(10-5)*A2796,-5*A2796))+H$129*EXP(IF(A2796&lt;0,(10-6)*A2796,-6*A2796))+I$129*EXP(IF(A2796&lt;0,(10-7)*A2796,-7*A2796))+J$129*EXP(IF(A2796&lt;0,(10-8)*A2796,-8*A2796))+K$129*EXP(IF(A2796&lt;0,(10-9)*A2796,-9*A2796))+L$129*EXP(IF(A2796&lt;0,(10-10)*A2796,-10*A2796)),0)</x:f>
        <x:v>754310.9963998056</x:v>
      </x:c>
      <x:c r="C2796" s="256" t="n">
        <x:f>IF(B2796=0,IF(B2795=0,0,1),IF(B2795=0,0,IF(SIGN(B2796)&lt;&gt;SIGN(B2795),1,0)))</x:f>
        <x:v>0</x:v>
      </x:c>
      <x:c r="D2796" s="256" t="n">
        <x:f>EXP(A2796-0.005)-1</x:f>
        <x:v>-0.13497770688925925</x:v>
      </x:c>
    </x:row>
    <x:row r="2797" ht="20" customHeight="1">
      <x:c r="A2797" s="256" t="n">
        <x:f>-12+1187*0.01</x:f>
        <x:v>-0.129999999999999</x:v>
      </x:c>
      <x:c r="B2797" s="256" t="n">
        <x:f>IF(COUNT($B$129:$L$129)=11,B$129*EXP(IF(A2797&lt;0,(10-0)*A2797,-0*A2797))+C$129*EXP(IF(A2797&lt;0,(10-1)*A2797,-1*A2797))+D$129*EXP(IF(A2797&lt;0,(10-2)*A2797,-2*A2797))+E$129*EXP(IF(A2797&lt;0,(10-3)*A2797,-3*A2797))+F$129*EXP(IF(A2797&lt;0,(10-4)*A2797,-4*A2797))+G$129*EXP(IF(A2797&lt;0,(10-5)*A2797,-5*A2797))+H$129*EXP(IF(A2797&lt;0,(10-6)*A2797,-6*A2797))+I$129*EXP(IF(A2797&lt;0,(10-7)*A2797,-7*A2797))+J$129*EXP(IF(A2797&lt;0,(10-8)*A2797,-8*A2797))+K$129*EXP(IF(A2797&lt;0,(10-9)*A2797,-9*A2797))+L$129*EXP(IF(A2797&lt;0,(10-10)*A2797,-10*A2797)),0)</x:f>
        <x:v>749391.3247519499</x:v>
      </x:c>
      <x:c r="C2797" s="256" t="n">
        <x:f>IF(B2797=0,IF(B2796=0,0,1),IF(B2796=0,0,IF(SIGN(B2797)&lt;&gt;SIGN(B2796),1,0)))</x:f>
        <x:v>0</x:v>
      </x:c>
      <x:c r="D2797" s="256" t="n">
        <x:f>EXP(A2797-0.005)-1</x:f>
        <x:v>-0.1262840883119647</x:v>
      </x:c>
    </x:row>
    <x:row r="2798" ht="20" customHeight="1">
      <x:c r="A2798" s="256" t="n">
        <x:f>-12+1188*0.01</x:f>
        <x:v>-0.11999999999999922</x:v>
      </x:c>
      <x:c r="B2798" s="256" t="n">
        <x:f>IF(COUNT($B$129:$L$129)=11,B$129*EXP(IF(A2798&lt;0,(10-0)*A2798,-0*A2798))+C$129*EXP(IF(A2798&lt;0,(10-1)*A2798,-1*A2798))+D$129*EXP(IF(A2798&lt;0,(10-2)*A2798,-2*A2798))+E$129*EXP(IF(A2798&lt;0,(10-3)*A2798,-3*A2798))+F$129*EXP(IF(A2798&lt;0,(10-4)*A2798,-4*A2798))+G$129*EXP(IF(A2798&lt;0,(10-5)*A2798,-5*A2798))+H$129*EXP(IF(A2798&lt;0,(10-6)*A2798,-6*A2798))+I$129*EXP(IF(A2798&lt;0,(10-7)*A2798,-7*A2798))+J$129*EXP(IF(A2798&lt;0,(10-8)*A2798,-8*A2798))+K$129*EXP(IF(A2798&lt;0,(10-9)*A2798,-9*A2798))+L$129*EXP(IF(A2798&lt;0,(10-10)*A2798,-10*A2798)),0)</x:f>
        <x:v>743924.0327885395</x:v>
      </x:c>
      <x:c r="C2798" s="256" t="n">
        <x:f>IF(B2798=0,IF(B2797=0,0,1),IF(B2797=0,0,IF(SIGN(B2798)&lt;&gt;SIGN(B2797),1,0)))</x:f>
        <x:v>0</x:v>
      </x:c>
      <x:c r="D2798" s="256" t="n">
        <x:f>EXP(A2798-0.005)-1</x:f>
        <x:v>-0.11750309741540388</x:v>
      </x:c>
    </x:row>
    <x:row r="2799" ht="20" customHeight="1">
      <x:c r="A2799" s="256" t="n">
        <x:f>-12+1189*0.01</x:f>
        <x:v>-0.10999999999999943</x:v>
      </x:c>
      <x:c r="B2799" s="256" t="n">
        <x:f>IF(COUNT($B$129:$L$129)=11,B$129*EXP(IF(A2799&lt;0,(10-0)*A2799,-0*A2799))+C$129*EXP(IF(A2799&lt;0,(10-1)*A2799,-1*A2799))+D$129*EXP(IF(A2799&lt;0,(10-2)*A2799,-2*A2799))+E$129*EXP(IF(A2799&lt;0,(10-3)*A2799,-3*A2799))+F$129*EXP(IF(A2799&lt;0,(10-4)*A2799,-4*A2799))+G$129*EXP(IF(A2799&lt;0,(10-5)*A2799,-5*A2799))+H$129*EXP(IF(A2799&lt;0,(10-6)*A2799,-6*A2799))+I$129*EXP(IF(A2799&lt;0,(10-7)*A2799,-7*A2799))+J$129*EXP(IF(A2799&lt;0,(10-8)*A2799,-8*A2799))+K$129*EXP(IF(A2799&lt;0,(10-9)*A2799,-9*A2799))+L$129*EXP(IF(A2799&lt;0,(10-10)*A2799,-10*A2799)),0)</x:f>
        <x:v>737851.3657135324</x:v>
      </x:c>
      <x:c r="C2799" s="256" t="n">
        <x:f>IF(B2799=0,IF(B2798=0,0,1),IF(B2798=0,0,IF(SIGN(B2799)&lt;&gt;SIGN(B2798),1,0)))</x:f>
        <x:v>0</x:v>
      </x:c>
      <x:c r="D2799" s="256" t="n">
        <x:f>EXP(A2799-0.005)-1</x:f>
        <x:v>-0.10863385609316811</x:v>
      </x:c>
    </x:row>
    <x:row r="2800" ht="20" customHeight="1">
      <x:c r="A2800" s="256" t="n">
        <x:f>-12+1190*0.01</x:f>
        <x:v>-0.09999999999999964</x:v>
      </x:c>
      <x:c r="B2800" s="256" t="n">
        <x:f>IF(COUNT($B$129:$L$129)=11,B$129*EXP(IF(A2800&lt;0,(10-0)*A2800,-0*A2800))+C$129*EXP(IF(A2800&lt;0,(10-1)*A2800,-1*A2800))+D$129*EXP(IF(A2800&lt;0,(10-2)*A2800,-2*A2800))+E$129*EXP(IF(A2800&lt;0,(10-3)*A2800,-3*A2800))+F$129*EXP(IF(A2800&lt;0,(10-4)*A2800,-4*A2800))+G$129*EXP(IF(A2800&lt;0,(10-5)*A2800,-5*A2800))+H$129*EXP(IF(A2800&lt;0,(10-6)*A2800,-6*A2800))+I$129*EXP(IF(A2800&lt;0,(10-7)*A2800,-7*A2800))+J$129*EXP(IF(A2800&lt;0,(10-8)*A2800,-8*A2800))+K$129*EXP(IF(A2800&lt;0,(10-9)*A2800,-9*A2800))+L$129*EXP(IF(A2800&lt;0,(10-10)*A2800,-10*A2800)),0)</x:f>
        <x:v>731109.5323432899</x:v>
      </x:c>
      <x:c r="C2800" s="256" t="n">
        <x:f>IF(B2800=0,IF(B2799=0,0,1),IF(B2799=0,0,IF(SIGN(B2800)&lt;&gt;SIGN(B2799),1,0)))</x:f>
        <x:v>0</x:v>
      </x:c>
      <x:c r="D2800" s="256" t="n">
        <x:f>EXP(A2800-0.005)-1</x:f>
        <x:v>-0.09967547741373406</x:v>
      </x:c>
    </x:row>
    <x:row r="2801" ht="20" customHeight="1">
      <x:c r="A2801" s="256" t="n">
        <x:f>-12+1191*0.01</x:f>
        <x:v>-0.08999999999999986</x:v>
      </x:c>
      <x:c r="B2801" s="256" t="n">
        <x:f>IF(COUNT($B$129:$L$129)=11,B$129*EXP(IF(A2801&lt;0,(10-0)*A2801,-0*A2801))+C$129*EXP(IF(A2801&lt;0,(10-1)*A2801,-1*A2801))+D$129*EXP(IF(A2801&lt;0,(10-2)*A2801,-2*A2801))+E$129*EXP(IF(A2801&lt;0,(10-3)*A2801,-3*A2801))+F$129*EXP(IF(A2801&lt;0,(10-4)*A2801,-4*A2801))+G$129*EXP(IF(A2801&lt;0,(10-5)*A2801,-5*A2801))+H$129*EXP(IF(A2801&lt;0,(10-6)*A2801,-6*A2801))+I$129*EXP(IF(A2801&lt;0,(10-7)*A2801,-7*A2801))+J$129*EXP(IF(A2801&lt;0,(10-8)*A2801,-8*A2801))+K$129*EXP(IF(A2801&lt;0,(10-9)*A2801,-9*A2801))+L$129*EXP(IF(A2801&lt;0,(10-10)*A2801,-10*A2801)),0)</x:f>
        <x:v>723628.0747977045</x:v>
      </x:c>
      <x:c r="C2801" s="256" t="n">
        <x:f>IF(B2801=0,IF(B2800=0,0,1),IF(B2800=0,0,IF(SIGN(B2801)&lt;&gt;SIGN(B2800),1,0)))</x:f>
        <x:v>0</x:v>
      </x:c>
      <x:c r="D2801" s="256" t="n">
        <x:f>EXP(A2801-0.005)-1</x:f>
        <x:v>-0.09062706553176847</x:v>
      </x:c>
    </x:row>
    <x:row r="2802" ht="20" customHeight="1">
      <x:c r="A2802" s="256" t="n">
        <x:f>-12+1192*0.01</x:f>
        <x:v>-0.08000000000000007</x:v>
      </x:c>
      <x:c r="B2802" s="256" t="n">
        <x:f>IF(COUNT($B$129:$L$129)=11,B$129*EXP(IF(A2802&lt;0,(10-0)*A2802,-0*A2802))+C$129*EXP(IF(A2802&lt;0,(10-1)*A2802,-1*A2802))+D$129*EXP(IF(A2802&lt;0,(10-2)*A2802,-2*A2802))+E$129*EXP(IF(A2802&lt;0,(10-3)*A2802,-3*A2802))+F$129*EXP(IF(A2802&lt;0,(10-4)*A2802,-4*A2802))+G$129*EXP(IF(A2802&lt;0,(10-5)*A2802,-5*A2802))+H$129*EXP(IF(A2802&lt;0,(10-6)*A2802,-6*A2802))+I$129*EXP(IF(A2802&lt;0,(10-7)*A2802,-7*A2802))+J$129*EXP(IF(A2802&lt;0,(10-8)*A2802,-8*A2802))+K$129*EXP(IF(A2802&lt;0,(10-9)*A2802,-9*A2802))+L$129*EXP(IF(A2802&lt;0,(10-10)*A2802,-10*A2802)),0)</x:f>
        <x:v>715329.172328449</x:v>
      </x:c>
      <x:c r="C2802" s="256" t="n">
        <x:f>IF(B2802=0,IF(B2801=0,0,1),IF(B2801=0,0,IF(SIGN(B2802)&lt;&gt;SIGN(B2801),1,0)))</x:f>
        <x:v>0</x:v>
      </x:c>
      <x:c r="D2802" s="256" t="n">
        <x:f>EXP(A2802-0.005)-1</x:f>
        <x:v>-0.08148771559854273</x:v>
      </x:c>
    </x:row>
    <x:row r="2803" ht="20" customHeight="1">
      <x:c r="A2803" s="256" t="n">
        <x:f>-12+1193*0.01</x:f>
        <x:v>-0.07000000000000028</x:v>
      </x:c>
      <x:c r="B2803" s="256" t="n">
        <x:f>IF(COUNT($B$129:$L$129)=11,B$129*EXP(IF(A2803&lt;0,(10-0)*A2803,-0*A2803))+C$129*EXP(IF(A2803&lt;0,(10-1)*A2803,-1*A2803))+D$129*EXP(IF(A2803&lt;0,(10-2)*A2803,-2*A2803))+E$129*EXP(IF(A2803&lt;0,(10-3)*A2803,-3*A2803))+F$129*EXP(IF(A2803&lt;0,(10-4)*A2803,-4*A2803))+G$129*EXP(IF(A2803&lt;0,(10-5)*A2803,-5*A2803))+H$129*EXP(IF(A2803&lt;0,(10-6)*A2803,-6*A2803))+I$129*EXP(IF(A2803&lt;0,(10-7)*A2803,-7*A2803))+J$129*EXP(IF(A2803&lt;0,(10-8)*A2803,-8*A2803))+K$129*EXP(IF(A2803&lt;0,(10-9)*A2803,-9*A2803))+L$129*EXP(IF(A2803&lt;0,(10-10)*A2803,-10*A2803)),0)</x:f>
        <x:v>706126.8723954323</x:v>
      </x:c>
      <x:c r="C2803" s="256" t="n">
        <x:f>IF(B2803=0,IF(B2802=0,0,1),IF(B2802=0,0,IF(SIGN(B2803)&lt;&gt;SIGN(B2802),1,0)))</x:f>
        <x:v>0</x:v>
      </x:c>
      <x:c r="D2803" s="256" t="n">
        <x:f>EXP(A2803-0.005)-1</x:f>
        <x:v>-0.07225651367144736</x:v>
      </x:c>
    </x:row>
    <x:row r="2804" ht="20" customHeight="1">
      <x:c r="A2804" s="256" t="n">
        <x:f>-12+1194*0.01</x:f>
        <x:v>-0.0600000000000005</x:v>
      </x:c>
      <x:c r="B2804" s="256" t="n">
        <x:f>IF(COUNT($B$129:$L$129)=11,B$129*EXP(IF(A2804&lt;0,(10-0)*A2804,-0*A2804))+C$129*EXP(IF(A2804&lt;0,(10-1)*A2804,-1*A2804))+D$129*EXP(IF(A2804&lt;0,(10-2)*A2804,-2*A2804))+E$129*EXP(IF(A2804&lt;0,(10-3)*A2804,-3*A2804))+F$129*EXP(IF(A2804&lt;0,(10-4)*A2804,-4*A2804))+G$129*EXP(IF(A2804&lt;0,(10-5)*A2804,-5*A2804))+H$129*EXP(IF(A2804&lt;0,(10-6)*A2804,-6*A2804))+I$129*EXP(IF(A2804&lt;0,(10-7)*A2804,-7*A2804))+J$129*EXP(IF(A2804&lt;0,(10-8)*A2804,-8*A2804))+K$129*EXP(IF(A2804&lt;0,(10-9)*A2804,-9*A2804))+L$129*EXP(IF(A2804&lt;0,(10-10)*A2804,-10*A2804)),0)</x:f>
        <x:v>695926.2413813614</x:v>
      </x:c>
      <x:c r="C2804" s="256" t="n">
        <x:f>IF(B2804=0,IF(B2803=0,0,1),IF(B2803=0,0,IF(SIGN(B2804)&lt;&gt;SIGN(B2803),1,0)))</x:f>
        <x:v>0</x:v>
      </x:c>
      <x:c r="D2804" s="256" t="n">
        <x:f>EXP(A2804-0.005)-1</x:f>
        <x:v>-0.06293253662259701</x:v>
      </x:c>
    </x:row>
    <x:row r="2805" ht="20" customHeight="1">
      <x:c r="A2805" s="256" t="n">
        <x:f>-12+1195*0.01</x:f>
        <x:v>-0.049999999999998934</x:v>
      </x:c>
      <x:c r="B2805" s="256" t="n">
        <x:f>IF(COUNT($B$129:$L$129)=11,B$129*EXP(IF(A2805&lt;0,(10-0)*A2805,-0*A2805))+C$129*EXP(IF(A2805&lt;0,(10-1)*A2805,-1*A2805))+D$129*EXP(IF(A2805&lt;0,(10-2)*A2805,-2*A2805))+E$129*EXP(IF(A2805&lt;0,(10-3)*A2805,-3*A2805))+F$129*EXP(IF(A2805&lt;0,(10-4)*A2805,-4*A2805))+G$129*EXP(IF(A2805&lt;0,(10-5)*A2805,-5*A2805))+H$129*EXP(IF(A2805&lt;0,(10-6)*A2805,-6*A2805))+I$129*EXP(IF(A2805&lt;0,(10-7)*A2805,-7*A2805))+J$129*EXP(IF(A2805&lt;0,(10-8)*A2805,-8*A2805))+K$129*EXP(IF(A2805&lt;0,(10-9)*A2805,-9*A2805))+L$129*EXP(IF(A2805&lt;0,(10-10)*A2805,-10*A2805)),0)</x:f>
        <x:v>684622.4265375546</x:v>
      </x:c>
      <x:c r="C2805" s="256" t="n">
        <x:f>IF(B2805=0,IF(B2804=0,0,1),IF(B2804=0,0,IF(SIGN(B2805)&lt;&gt;SIGN(B2804),1,0)))</x:f>
        <x:v>0</x:v>
      </x:c>
      <x:c r="D2805" s="256" t="n">
        <x:f>EXP(A2805-0.005)-1</x:f>
        <x:v>-0.05351485204651507</x:v>
      </x:c>
    </x:row>
    <x:row r="2806" ht="20" customHeight="1">
      <x:c r="A2806" s="256" t="n">
        <x:f>-12+1196*0.01</x:f>
        <x:v>-0.03999999999999915</x:v>
      </x:c>
      <x:c r="B2806" s="256" t="n">
        <x:f>IF(COUNT($B$129:$L$129)=11,B$129*EXP(IF(A2806&lt;0,(10-0)*A2806,-0*A2806))+C$129*EXP(IF(A2806&lt;0,(10-1)*A2806,-1*A2806))+D$129*EXP(IF(A2806&lt;0,(10-2)*A2806,-2*A2806))+E$129*EXP(IF(A2806&lt;0,(10-3)*A2806,-3*A2806))+F$129*EXP(IF(A2806&lt;0,(10-4)*A2806,-4*A2806))+G$129*EXP(IF(A2806&lt;0,(10-5)*A2806,-5*A2806))+H$129*EXP(IF(A2806&lt;0,(10-6)*A2806,-6*A2806))+I$129*EXP(IF(A2806&lt;0,(10-7)*A2806,-7*A2806))+J$129*EXP(IF(A2806&lt;0,(10-8)*A2806,-8*A2806))+K$129*EXP(IF(A2806&lt;0,(10-9)*A2806,-9*A2806))+L$129*EXP(IF(A2806&lt;0,(10-10)*A2806,-10*A2806)),0)</x:f>
        <x:v>672099.6198739494</x:v>
      </x:c>
      <x:c r="C2806" s="256" t="n">
        <x:f>IF(B2806=0,IF(B2805=0,0,1),IF(B2805=0,0,IF(SIGN(B2806)&lt;&gt;SIGN(B2805),1,0)))</x:f>
        <x:v>0</x:v>
      </x:c>
      <x:c r="D2806" s="256" t="n">
        <x:f>EXP(A2806-0.005)-1</x:f>
        <x:v>-0.04400251816689926</x:v>
      </x:c>
    </x:row>
    <x:row r="2807" ht="20" customHeight="1">
      <x:c r="A2807" s="256" t="n">
        <x:f>-12+1197*0.01</x:f>
        <x:v>-0.02999999999999936</x:v>
      </x:c>
      <x:c r="B2807" s="256" t="n">
        <x:f>IF(COUNT($B$129:$L$129)=11,B$129*EXP(IF(A2807&lt;0,(10-0)*A2807,-0*A2807))+C$129*EXP(IF(A2807&lt;0,(10-1)*A2807,-1*A2807))+D$129*EXP(IF(A2807&lt;0,(10-2)*A2807,-2*A2807))+E$129*EXP(IF(A2807&lt;0,(10-3)*A2807,-3*A2807))+F$129*EXP(IF(A2807&lt;0,(10-4)*A2807,-4*A2807))+G$129*EXP(IF(A2807&lt;0,(10-5)*A2807,-5*A2807))+H$129*EXP(IF(A2807&lt;0,(10-6)*A2807,-6*A2807))+I$129*EXP(IF(A2807&lt;0,(10-7)*A2807,-7*A2807))+J$129*EXP(IF(A2807&lt;0,(10-8)*A2807,-8*A2807))+K$129*EXP(IF(A2807&lt;0,(10-9)*A2807,-9*A2807))+L$129*EXP(IF(A2807&lt;0,(10-10)*A2807,-10*A2807)),0)</x:f>
        <x:v>658229.9137337388</x:v>
      </x:c>
      <x:c r="C2807" s="256" t="n">
        <x:f>IF(B2807=0,IF(B2806=0,0,1),IF(B2806=0,0,IF(SIGN(B2807)&lt;&gt;SIGN(B2806),1,0)))</x:f>
        <x:v>0</x:v>
      </x:c>
      <x:c r="D2807" s="256" t="n">
        <x:f>EXP(A2807-0.005)-1</x:f>
        <x:v>-0.03439458374243287</x:v>
      </x:c>
    </x:row>
    <x:row r="2808" ht="20" customHeight="1">
      <x:c r="A2808" s="256" t="n">
        <x:f>-12+1198*0.01</x:f>
        <x:v>-0.019999999999999574</x:v>
      </x:c>
      <x:c r="B2808" s="256" t="n">
        <x:f>IF(COUNT($B$129:$L$129)=11,B$129*EXP(IF(A2808&lt;0,(10-0)*A2808,-0*A2808))+C$129*EXP(IF(A2808&lt;0,(10-1)*A2808,-1*A2808))+D$129*EXP(IF(A2808&lt;0,(10-2)*A2808,-2*A2808))+E$129*EXP(IF(A2808&lt;0,(10-3)*A2808,-3*A2808))+F$129*EXP(IF(A2808&lt;0,(10-4)*A2808,-4*A2808))+G$129*EXP(IF(A2808&lt;0,(10-5)*A2808,-5*A2808))+H$129*EXP(IF(A2808&lt;0,(10-6)*A2808,-6*A2808))+I$129*EXP(IF(A2808&lt;0,(10-7)*A2808,-7*A2808))+J$129*EXP(IF(A2808&lt;0,(10-8)*A2808,-8*A2808))+K$129*EXP(IF(A2808&lt;0,(10-9)*A2808,-9*A2808))+L$129*EXP(IF(A2808&lt;0,(10-10)*A2808,-10*A2808)),0)</x:f>
        <x:v>642872.0367187981</x:v>
      </x:c>
      <x:c r="C2808" s="256" t="n">
        <x:f>IF(B2808=0,IF(B2807=0,0,1),IF(B2807=0,0,IF(SIGN(B2808)&lt;&gt;SIGN(B2807),1,0)))</x:f>
        <x:v>0</x:v>
      </x:c>
      <x:c r="D2808" s="256" t="n">
        <x:f>EXP(A2808-0.005)-1</x:f>
        <x:v>-0.02469008797166694</x:v>
      </x:c>
    </x:row>
    <x:row r="2809" ht="20" customHeight="1">
      <x:c r="A2809" s="256" t="n">
        <x:f>-12+1199*0.01</x:f>
        <x:v>-0.009999999999999787</x:v>
      </x:c>
      <x:c r="B2809" s="256" t="n">
        <x:f>IF(COUNT($B$129:$L$129)=11,B$129*EXP(IF(A2809&lt;0,(10-0)*A2809,-0*A2809))+C$129*EXP(IF(A2809&lt;0,(10-1)*A2809,-1*A2809))+D$129*EXP(IF(A2809&lt;0,(10-2)*A2809,-2*A2809))+E$129*EXP(IF(A2809&lt;0,(10-3)*A2809,-3*A2809))+F$129*EXP(IF(A2809&lt;0,(10-4)*A2809,-4*A2809))+G$129*EXP(IF(A2809&lt;0,(10-5)*A2809,-5*A2809))+H$129*EXP(IF(A2809&lt;0,(10-6)*A2809,-6*A2809))+I$129*EXP(IF(A2809&lt;0,(10-7)*A2809,-7*A2809))+J$129*EXP(IF(A2809&lt;0,(10-8)*A2809,-8*A2809))+K$129*EXP(IF(A2809&lt;0,(10-9)*A2809,-9*A2809))+L$129*EXP(IF(A2809&lt;0,(10-10)*A2809,-10*A2809)),0)</x:f>
        <x:v>625869.9574450494</x:v>
      </x:c>
      <x:c r="C2809" s="256" t="n">
        <x:f>IF(B2809=0,IF(B2808=0,0,1),IF(B2808=0,0,IF(SIGN(B2809)&lt;&gt;SIGN(B2808),1,0)))</x:f>
        <x:v>0</x:v>
      </x:c>
      <x:c r="D2809" s="256" t="n">
        <x:f>EXP(A2809-0.005)-1</x:f>
        <x:v>-0.01488806039693713</x:v>
      </x:c>
    </x:row>
    <x:row r="2810" ht="20" customHeight="1">
      <x:c r="A2810" s="256" t="n">
        <x:f>-12+1200*0.01</x:f>
        <x:v>0</x:v>
      </x:c>
      <x:c r="B2810" s="256" t="n">
        <x:f>IF(COUNT($B$129:$L$129)=11,B$129*EXP(IF(A2810&lt;0,(10-0)*A2810,-0*A2810))+C$129*EXP(IF(A2810&lt;0,(10-1)*A2810,-1*A2810))+D$129*EXP(IF(A2810&lt;0,(10-2)*A2810,-2*A2810))+E$129*EXP(IF(A2810&lt;0,(10-3)*A2810,-3*A2810))+F$129*EXP(IF(A2810&lt;0,(10-4)*A2810,-4*A2810))+G$129*EXP(IF(A2810&lt;0,(10-5)*A2810,-5*A2810))+H$129*EXP(IF(A2810&lt;0,(10-6)*A2810,-6*A2810))+I$129*EXP(IF(A2810&lt;0,(10-7)*A2810,-7*A2810))+J$129*EXP(IF(A2810&lt;0,(10-8)*A2810,-8*A2810))+K$129*EXP(IF(A2810&lt;0,(10-9)*A2810,-9*A2810))+L$129*EXP(IF(A2810&lt;0,(10-10)*A2810,-10*A2810)),0)</x:f>
        <x:v>607051.3422956329</x:v>
      </x:c>
      <x:c r="C2810" s="256" t="n">
        <x:f>IF(B2810=0,IF(B2809=0,0,1),IF(B2809=0,0,IF(SIGN(B2810)&lt;&gt;SIGN(B2809),1,0)))</x:f>
        <x:v>0</x:v>
      </x:c>
      <x:c r="D2810" s="256" t="n">
        <x:f>EXP(A2810-0.005)-1</x:f>
        <x:v>-0.00498752080731768</x:v>
      </x:c>
    </x:row>
    <x:row r="2811" ht="20" customHeight="1">
      <x:c r="A2811" s="256" t="n">
        <x:f>-12+1201*0.01</x:f>
        <x:v>0.009999999999999787</x:v>
      </x:c>
      <x:c r="B2811" s="256" t="n">
        <x:f>IF(COUNT($B$129:$L$129)=11,B$129*EXP(IF(A2811&lt;0,(10-0)*A2811,-0*A2811))+C$129*EXP(IF(A2811&lt;0,(10-1)*A2811,-1*A2811))+D$129*EXP(IF(A2811&lt;0,(10-2)*A2811,-2*A2811))+E$129*EXP(IF(A2811&lt;0,(10-3)*A2811,-3*A2811))+F$129*EXP(IF(A2811&lt;0,(10-4)*A2811,-4*A2811))+G$129*EXP(IF(A2811&lt;0,(10-5)*A2811,-5*A2811))+H$129*EXP(IF(A2811&lt;0,(10-6)*A2811,-6*A2811))+I$129*EXP(IF(A2811&lt;0,(10-7)*A2811,-7*A2811))+J$129*EXP(IF(A2811&lt;0,(10-8)*A2811,-8*A2811))+K$129*EXP(IF(A2811&lt;0,(10-9)*A2811,-9*A2811))+L$129*EXP(IF(A2811&lt;0,(10-10)*A2811,-10*A2811)),0)</x:f>
        <x:v>530439.0862109684</x:v>
      </x:c>
      <x:c r="C2811" s="256" t="n">
        <x:f>IF(B2811=0,IF(B2810=0,0,1),IF(B2810=0,0,IF(SIGN(B2811)&lt;&gt;SIGN(B2810),1,0)))</x:f>
        <x:v>0</x:v>
      </x:c>
      <x:c r="D2811" s="256" t="n">
        <x:f>EXP(A2811-0.005)-1</x:f>
        <x:v>0.00501252085940096</x:v>
      </x:c>
    </x:row>
    <x:row r="2812" ht="20" customHeight="1">
      <x:c r="A2812" s="256" t="n">
        <x:f>-12+1202*0.01</x:f>
        <x:v>0.019999999999999574</x:v>
      </x:c>
      <x:c r="B2812" s="256" t="n">
        <x:f>IF(COUNT($B$129:$L$129)=11,B$129*EXP(IF(A2812&lt;0,(10-0)*A2812,-0*A2812))+C$129*EXP(IF(A2812&lt;0,(10-1)*A2812,-1*A2812))+D$129*EXP(IF(A2812&lt;0,(10-2)*A2812,-2*A2812))+E$129*EXP(IF(A2812&lt;0,(10-3)*A2812,-3*A2812))+F$129*EXP(IF(A2812&lt;0,(10-4)*A2812,-4*A2812))+G$129*EXP(IF(A2812&lt;0,(10-5)*A2812,-5*A2812))+H$129*EXP(IF(A2812&lt;0,(10-6)*A2812,-6*A2812))+I$129*EXP(IF(A2812&lt;0,(10-7)*A2812,-7*A2812))+J$129*EXP(IF(A2812&lt;0,(10-8)*A2812,-8*A2812))+K$129*EXP(IF(A2812&lt;0,(10-9)*A2812,-9*A2812))+L$129*EXP(IF(A2812&lt;0,(10-10)*A2812,-10*A2812)),0)</x:f>
        <x:v>461095.45408481814</x:v>
      </x:c>
      <x:c r="C2812" s="256" t="n">
        <x:f>IF(B2812=0,IF(B2811=0,0,1),IF(B2811=0,0,IF(SIGN(B2812)&lt;&gt;SIGN(B2811),1,0)))</x:f>
        <x:v>0</x:v>
      </x:c>
      <x:c r="D2812" s="256" t="n">
        <x:f>EXP(A2812-0.005)-1</x:f>
        <x:v>0.015113064615718486</x:v>
      </x:c>
    </x:row>
    <x:row r="2813" ht="20" customHeight="1">
      <x:c r="A2813" s="256" t="n">
        <x:f>-12+1203*0.01</x:f>
        <x:v>0.030000000000001137</x:v>
      </x:c>
      <x:c r="B2813" s="256" t="n">
        <x:f>IF(COUNT($B$129:$L$129)=11,B$129*EXP(IF(A2813&lt;0,(10-0)*A2813,-0*A2813))+C$129*EXP(IF(A2813&lt;0,(10-1)*A2813,-1*A2813))+D$129*EXP(IF(A2813&lt;0,(10-2)*A2813,-2*A2813))+E$129*EXP(IF(A2813&lt;0,(10-3)*A2813,-3*A2813))+F$129*EXP(IF(A2813&lt;0,(10-4)*A2813,-4*A2813))+G$129*EXP(IF(A2813&lt;0,(10-5)*A2813,-5*A2813))+H$129*EXP(IF(A2813&lt;0,(10-6)*A2813,-6*A2813))+I$129*EXP(IF(A2813&lt;0,(10-7)*A2813,-7*A2813))+J$129*EXP(IF(A2813&lt;0,(10-8)*A2813,-8*A2813))+K$129*EXP(IF(A2813&lt;0,(10-9)*A2813,-9*A2813))+L$129*EXP(IF(A2813&lt;0,(10-10)*A2813,-10*A2813)),0)</x:f>
        <x:v>398331.56548290554</x:v>
      </x:c>
      <x:c r="C2813" s="256" t="n">
        <x:f>IF(B2813=0,IF(B2812=0,0,1),IF(B2812=0,0,IF(SIGN(B2813)&lt;&gt;SIGN(B2812),1,0)))</x:f>
        <x:v>0</x:v>
      </x:c>
      <x:c r="D2813" s="256" t="n">
        <x:f>EXP(A2813-0.005)-1</x:f>
        <x:v>0.025315120524429968</x:v>
      </x:c>
    </x:row>
    <x:row r="2814" ht="20" customHeight="1">
      <x:c r="A2814" s="256" t="n">
        <x:f>-12+1204*0.01</x:f>
        <x:v>0.040000000000000924</x:v>
      </x:c>
      <x:c r="B2814" s="256" t="n">
        <x:f>IF(COUNT($B$129:$L$129)=11,B$129*EXP(IF(A2814&lt;0,(10-0)*A2814,-0*A2814))+C$129*EXP(IF(A2814&lt;0,(10-1)*A2814,-1*A2814))+D$129*EXP(IF(A2814&lt;0,(10-2)*A2814,-2*A2814))+E$129*EXP(IF(A2814&lt;0,(10-3)*A2814,-3*A2814))+F$129*EXP(IF(A2814&lt;0,(10-4)*A2814,-4*A2814))+G$129*EXP(IF(A2814&lt;0,(10-5)*A2814,-5*A2814))+H$129*EXP(IF(A2814&lt;0,(10-6)*A2814,-6*A2814))+I$129*EXP(IF(A2814&lt;0,(10-7)*A2814,-7*A2814))+J$129*EXP(IF(A2814&lt;0,(10-8)*A2814,-8*A2814))+K$129*EXP(IF(A2814&lt;0,(10-9)*A2814,-9*A2814))+L$129*EXP(IF(A2814&lt;0,(10-10)*A2814,-10*A2814)),0)</x:f>
        <x:v>341523.8639133797</x:v>
      </x:c>
      <x:c r="C2814" s="256" t="n">
        <x:f>IF(B2814=0,IF(B2813=0,0,1),IF(B2813=0,0,IF(SIGN(B2814)&lt;&gt;SIGN(B2813),1,0)))</x:f>
        <x:v>0</x:v>
      </x:c>
      <x:c r="D2814" s="256" t="n">
        <x:f>EXP(A2814-0.005)-1</x:f>
        <x:v>0.03561970879962417</x:v>
      </x:c>
    </x:row>
    <x:row r="2815" ht="20" customHeight="1">
      <x:c r="A2815" s="256" t="n">
        <x:f>-12+1205*0.01</x:f>
        <x:v>0.05000000000000071</x:v>
      </x:c>
      <x:c r="B2815" s="256" t="n">
        <x:f>IF(COUNT($B$129:$L$129)=11,B$129*EXP(IF(A2815&lt;0,(10-0)*A2815,-0*A2815))+C$129*EXP(IF(A2815&lt;0,(10-1)*A2815,-1*A2815))+D$129*EXP(IF(A2815&lt;0,(10-2)*A2815,-2*A2815))+E$129*EXP(IF(A2815&lt;0,(10-3)*A2815,-3*A2815))+F$129*EXP(IF(A2815&lt;0,(10-4)*A2815,-4*A2815))+G$129*EXP(IF(A2815&lt;0,(10-5)*A2815,-5*A2815))+H$129*EXP(IF(A2815&lt;0,(10-6)*A2815,-6*A2815))+I$129*EXP(IF(A2815&lt;0,(10-7)*A2815,-7*A2815))+J$129*EXP(IF(A2815&lt;0,(10-8)*A2815,-8*A2815))+K$129*EXP(IF(A2815&lt;0,(10-9)*A2815,-9*A2815))+L$129*EXP(IF(A2815&lt;0,(10-10)*A2815,-10*A2815)),0)</x:f>
        <x:v>290107.91833022295</x:v>
      </x:c>
      <x:c r="C2815" s="256" t="n">
        <x:f>IF(B2815=0,IF(B2814=0,0,1),IF(B2814=0,0,IF(SIGN(B2815)&lt;&gt;SIGN(B2814),1,0)))</x:f>
        <x:v>0</x:v>
      </x:c>
      <x:c r="D2815" s="256" t="n">
        <x:f>EXP(A2815-0.005)-1</x:f>
        <x:v>0.046027859908717605</x:v>
      </x:c>
    </x:row>
    <x:row r="2816" ht="20" customHeight="1">
      <x:c r="A2816" s="256" t="n">
        <x:f>-12+1206*0.01</x:f>
        <x:v>0.0600000000000005</x:v>
      </x:c>
      <x:c r="B2816" s="256" t="n">
        <x:f>IF(COUNT($B$129:$L$129)=11,B$129*EXP(IF(A2816&lt;0,(10-0)*A2816,-0*A2816))+C$129*EXP(IF(A2816&lt;0,(10-1)*A2816,-1*A2816))+D$129*EXP(IF(A2816&lt;0,(10-2)*A2816,-2*A2816))+E$129*EXP(IF(A2816&lt;0,(10-3)*A2816,-3*A2816))+F$129*EXP(IF(A2816&lt;0,(10-4)*A2816,-4*A2816))+G$129*EXP(IF(A2816&lt;0,(10-5)*A2816,-5*A2816))+H$129*EXP(IF(A2816&lt;0,(10-6)*A2816,-6*A2816))+I$129*EXP(IF(A2816&lt;0,(10-7)*A2816,-7*A2816))+J$129*EXP(IF(A2816&lt;0,(10-8)*A2816,-8*A2816))+K$129*EXP(IF(A2816&lt;0,(10-9)*A2816,-9*A2816))+L$129*EXP(IF(A2816&lt;0,(10-10)*A2816,-10*A2816)),0)</x:f>
        <x:v>243572.8131261093</x:v>
      </x:c>
      <x:c r="C2816" s="256" t="n">
        <x:f>IF(B2816=0,IF(B2815=0,0,1),IF(B2815=0,0,IF(SIGN(B2816)&lt;&gt;SIGN(B2815),1,0)))</x:f>
        <x:v>0</x:v>
      </x:c>
      <x:c r="D2816" s="256" t="n">
        <x:f>EXP(A2816-0.005)-1</x:f>
        <x:v>0.05654061467549476</x:v>
      </x:c>
    </x:row>
    <x:row r="2817" ht="20" customHeight="1">
      <x:c r="A2817" s="256" t="n">
        <x:f>-12+1207*0.01</x:f>
        <x:v>0.07000000000000028</x:v>
      </x:c>
      <x:c r="B2817" s="256" t="n">
        <x:f>IF(COUNT($B$129:$L$129)=11,B$129*EXP(IF(A2817&lt;0,(10-0)*A2817,-0*A2817))+C$129*EXP(IF(A2817&lt;0,(10-1)*A2817,-1*A2817))+D$129*EXP(IF(A2817&lt;0,(10-2)*A2817,-2*A2817))+E$129*EXP(IF(A2817&lt;0,(10-3)*A2817,-3*A2817))+F$129*EXP(IF(A2817&lt;0,(10-4)*A2817,-4*A2817))+G$129*EXP(IF(A2817&lt;0,(10-5)*A2817,-5*A2817))+H$129*EXP(IF(A2817&lt;0,(10-6)*A2817,-6*A2817))+I$129*EXP(IF(A2817&lt;0,(10-7)*A2817,-7*A2817))+J$129*EXP(IF(A2817&lt;0,(10-8)*A2817,-8*A2817))+K$129*EXP(IF(A2817&lt;0,(10-9)*A2817,-9*A2817))+L$129*EXP(IF(A2817&lt;0,(10-10)*A2817,-10*A2817)),0)</x:f>
        <x:v>201456.0707189393</x:v>
      </x:c>
      <x:c r="C2817" s="256" t="n">
        <x:f>IF(B2817=0,IF(B2816=0,0,1),IF(B2816=0,0,IF(SIGN(B2817)&lt;&gt;SIGN(B2816),1,0)))</x:f>
        <x:v>0</x:v>
      </x:c>
      <x:c r="D2817" s="256" t="n">
        <x:f>EXP(A2817-0.005)-1</x:f>
        <x:v>0.06715902438419286</x:v>
      </x:c>
    </x:row>
    <x:row r="2818" ht="20" customHeight="1">
      <x:c r="A2818" s="256" t="n">
        <x:f>-12+1208*0.01</x:f>
        <x:v>0.08000000000000007</x:v>
      </x:c>
      <x:c r="B2818" s="256" t="n">
        <x:f>IF(COUNT($B$129:$L$129)=11,B$129*EXP(IF(A2818&lt;0,(10-0)*A2818,-0*A2818))+C$129*EXP(IF(A2818&lt;0,(10-1)*A2818,-1*A2818))+D$129*EXP(IF(A2818&lt;0,(10-2)*A2818,-2*A2818))+E$129*EXP(IF(A2818&lt;0,(10-3)*A2818,-3*A2818))+F$129*EXP(IF(A2818&lt;0,(10-4)*A2818,-4*A2818))+G$129*EXP(IF(A2818&lt;0,(10-5)*A2818,-5*A2818))+H$129*EXP(IF(A2818&lt;0,(10-6)*A2818,-6*A2818))+I$129*EXP(IF(A2818&lt;0,(10-7)*A2818,-7*A2818))+J$129*EXP(IF(A2818&lt;0,(10-8)*A2818,-8*A2818))+K$129*EXP(IF(A2818&lt;0,(10-9)*A2818,-9*A2818))+L$129*EXP(IF(A2818&lt;0,(10-10)*A2818,-10*A2818)),0)</x:f>
        <x:v>163339.05614734563</x:v>
      </x:c>
      <x:c r="C2818" s="256" t="n">
        <x:f>IF(B2818=0,IF(B2817=0,0,1),IF(B2817=0,0,IF(SIGN(B2818)&lt;&gt;SIGN(B2817),1,0)))</x:f>
        <x:v>0</x:v>
      </x:c>
      <x:c r="D2818" s="256" t="n">
        <x:f>EXP(A2818-0.005)-1</x:f>
        <x:v>0.07788415088463152</x:v>
      </x:c>
    </x:row>
    <x:row r="2819" ht="20" customHeight="1">
      <x:c r="A2819" s="256" t="n">
        <x:f>-12+1209*0.01</x:f>
        <x:v>0.08999999999999986</x:v>
      </x:c>
      <x:c r="B2819" s="256" t="n">
        <x:f>IF(COUNT($B$129:$L$129)=11,B$129*EXP(IF(A2819&lt;0,(10-0)*A2819,-0*A2819))+C$129*EXP(IF(A2819&lt;0,(10-1)*A2819,-1*A2819))+D$129*EXP(IF(A2819&lt;0,(10-2)*A2819,-2*A2819))+E$129*EXP(IF(A2819&lt;0,(10-3)*A2819,-3*A2819))+F$129*EXP(IF(A2819&lt;0,(10-4)*A2819,-4*A2819))+G$129*EXP(IF(A2819&lt;0,(10-5)*A2819,-5*A2819))+H$129*EXP(IF(A2819&lt;0,(10-6)*A2819,-6*A2819))+I$129*EXP(IF(A2819&lt;0,(10-7)*A2819,-7*A2819))+J$129*EXP(IF(A2819&lt;0,(10-8)*A2819,-8*A2819))+K$129*EXP(IF(A2819&lt;0,(10-9)*A2819,-9*A2819))+L$129*EXP(IF(A2819&lt;0,(10-10)*A2819,-10*A2819)),0)</x:f>
        <x:v>128842.81789647246</x:v>
      </x:c>
      <x:c r="C2819" s="256" t="n">
        <x:f>IF(B2819=0,IF(B2818=0,0,1),IF(B2818=0,0,IF(SIGN(B2819)&lt;&gt;SIGN(B2818),1,0)))</x:f>
        <x:v>0</x:v>
      </x:c>
      <x:c r="D2819" s="256" t="n">
        <x:f>EXP(A2819-0.005)-1</x:f>
        <x:v>0.08871706669839852</x:v>
      </x:c>
    </x:row>
    <x:row r="2820" ht="20" customHeight="1">
      <x:c r="A2820" s="256" t="n">
        <x:f>-12+1210*0.01</x:f>
        <x:v>0.09999999999999964</x:v>
      </x:c>
      <x:c r="B2820" s="256" t="n">
        <x:f>IF(COUNT($B$129:$L$129)=11,B$129*EXP(IF(A2820&lt;0,(10-0)*A2820,-0*A2820))+C$129*EXP(IF(A2820&lt;0,(10-1)*A2820,-1*A2820))+D$129*EXP(IF(A2820&lt;0,(10-2)*A2820,-2*A2820))+E$129*EXP(IF(A2820&lt;0,(10-3)*A2820,-3*A2820))+F$129*EXP(IF(A2820&lt;0,(10-4)*A2820,-4*A2820))+G$129*EXP(IF(A2820&lt;0,(10-5)*A2820,-5*A2820))+H$129*EXP(IF(A2820&lt;0,(10-6)*A2820,-6*A2820))+I$129*EXP(IF(A2820&lt;0,(10-7)*A2820,-7*A2820))+J$129*EXP(IF(A2820&lt;0,(10-8)*A2820,-8*A2820))+K$129*EXP(IF(A2820&lt;0,(10-9)*A2820,-9*A2820))+L$129*EXP(IF(A2820&lt;0,(10-10)*A2820,-10*A2820)),0)</x:f>
        <x:v>97624.32352468837</x:v>
      </x:c>
      <x:c r="C2820" s="256" t="n">
        <x:f>IF(B2820=0,IF(B2819=0,0,1),IF(B2819=0,0,IF(SIGN(B2820)&lt;&gt;SIGN(B2819),1,0)))</x:f>
        <x:v>0</x:v>
      </x:c>
      <x:c r="D2820" s="256" t="n">
        <x:f>EXP(A2820-0.005)-1</x:f>
        <x:v>0.09965885512610262</x:v>
      </x:c>
    </x:row>
    <x:row r="2821" ht="20" customHeight="1">
      <x:c r="A2821" s="256" t="n">
        <x:f>-12+1211*0.01</x:f>
        <x:v>0.10999999999999943</x:v>
      </x:c>
      <x:c r="B2821" s="256" t="n">
        <x:f>IF(COUNT($B$129:$L$129)=11,B$129*EXP(IF(A2821&lt;0,(10-0)*A2821,-0*A2821))+C$129*EXP(IF(A2821&lt;0,(10-1)*A2821,-1*A2821))+D$129*EXP(IF(A2821&lt;0,(10-2)*A2821,-2*A2821))+E$129*EXP(IF(A2821&lt;0,(10-3)*A2821,-3*A2821))+F$129*EXP(IF(A2821&lt;0,(10-4)*A2821,-4*A2821))+G$129*EXP(IF(A2821&lt;0,(10-5)*A2821,-5*A2821))+H$129*EXP(IF(A2821&lt;0,(10-6)*A2821,-6*A2821))+I$129*EXP(IF(A2821&lt;0,(10-7)*A2821,-7*A2821))+J$129*EXP(IF(A2821&lt;0,(10-8)*A2821,-8*A2821))+K$129*EXP(IF(A2821&lt;0,(10-9)*A2821,-9*A2821))+L$129*EXP(IF(A2821&lt;0,(10-10)*A2821,-10*A2821)),0)</x:f>
        <x:v>69373.05259789518</x:v>
      </x:c>
      <x:c r="C2821" s="256" t="n">
        <x:f>IF(B2821=0,IF(B2820=0,0,1),IF(B2820=0,0,IF(SIGN(B2821)&lt;&gt;SIGN(B2820),1,0)))</x:f>
        <x:v>0</x:v>
      </x:c>
      <x:c r="D2821" s="256" t="n">
        <x:f>EXP(A2821-0.005)-1</x:f>
        <x:v>0.11071061035570451</x:v>
      </x:c>
    </x:row>
    <x:row r="2822" ht="20" customHeight="1">
      <x:c r="A2822" s="256" t="n">
        <x:f>-12+1212*0.01</x:f>
        <x:v>0.120000000000001</x:v>
      </x:c>
      <x:c r="B2822" s="256" t="n">
        <x:f>IF(COUNT($B$129:$L$129)=11,B$129*EXP(IF(A2822&lt;0,(10-0)*A2822,-0*A2822))+C$129*EXP(IF(A2822&lt;0,(10-1)*A2822,-1*A2822))+D$129*EXP(IF(A2822&lt;0,(10-2)*A2822,-2*A2822))+E$129*EXP(IF(A2822&lt;0,(10-3)*A2822,-3*A2822))+F$129*EXP(IF(A2822&lt;0,(10-4)*A2822,-4*A2822))+G$129*EXP(IF(A2822&lt;0,(10-5)*A2822,-5*A2822))+H$129*EXP(IF(A2822&lt;0,(10-6)*A2822,-6*A2822))+I$129*EXP(IF(A2822&lt;0,(10-7)*A2822,-7*A2822))+J$129*EXP(IF(A2822&lt;0,(10-8)*A2822,-8*A2822))+K$129*EXP(IF(A2822&lt;0,(10-9)*A2822,-9*A2822))+L$129*EXP(IF(A2822&lt;0,(10-10)*A2822,-10*A2822)),0)</x:f>
        <x:v>43807.91300005242</x:v>
      </x:c>
      <x:c r="C2822" s="256" t="n">
        <x:f>IF(B2822=0,IF(B2821=0,0,1),IF(B2821=0,0,IF(SIGN(B2822)&lt;&gt;SIGN(B2821),1,0)))</x:f>
        <x:v>0</x:v>
      </x:c>
      <x:c r="D2822" s="256" t="n">
        <x:f>EXP(A2822-0.005)-1</x:f>
        <x:v>0.12187343757193947</x:v>
      </x:c>
    </x:row>
    <x:row r="2823" ht="20" customHeight="1">
      <x:c r="A2823" s="256" t="n">
        <x:f>-12+1213*0.01</x:f>
        <x:v>0.13000000000000078</x:v>
      </x:c>
      <x:c r="B2823" s="256" t="n">
        <x:f>IF(COUNT($B$129:$L$129)=11,B$129*EXP(IF(A2823&lt;0,(10-0)*A2823,-0*A2823))+C$129*EXP(IF(A2823&lt;0,(10-1)*A2823,-1*A2823))+D$129*EXP(IF(A2823&lt;0,(10-2)*A2823,-2*A2823))+E$129*EXP(IF(A2823&lt;0,(10-3)*A2823,-3*A2823))+F$129*EXP(IF(A2823&lt;0,(10-4)*A2823,-4*A2823))+G$129*EXP(IF(A2823&lt;0,(10-5)*A2823,-5*A2823))+H$129*EXP(IF(A2823&lt;0,(10-6)*A2823,-6*A2823))+I$129*EXP(IF(A2823&lt;0,(10-7)*A2823,-7*A2823))+J$129*EXP(IF(A2823&lt;0,(10-8)*A2823,-8*A2823))+K$129*EXP(IF(A2823&lt;0,(10-9)*A2823,-9*A2823))+L$129*EXP(IF(A2823&lt;0,(10-10)*A2823,-10*A2823)),0)</x:f>
        <x:v>20674.449912036478</x:v>
      </x:c>
      <x:c r="C2823" s="256" t="n">
        <x:f>IF(B2823=0,IF(B2822=0,0,1),IF(B2822=0,0,IF(SIGN(B2823)&lt;&gt;SIGN(B2822),1,0)))</x:f>
        <x:v>0</x:v>
      </x:c>
      <x:c r="D2823" s="256" t="n">
        <x:f>EXP(A2823-0.005)-1</x:f>
        <x:v>0.1331484530668272</x:v>
      </x:c>
    </x:row>
    <x:row r="2824" ht="20" customHeight="1">
      <x:c r="A2824" s="256" t="n">
        <x:f>-12+1214*0.01</x:f>
        <x:v>0.14000000000000057</x:v>
      </x:c>
      <x:c r="B2824" s="256" t="n">
        <x:f>IF(COUNT($B$129:$L$129)=11,B$129*EXP(IF(A2824&lt;0,(10-0)*A2824,-0*A2824))+C$129*EXP(IF(A2824&lt;0,(10-1)*A2824,-1*A2824))+D$129*EXP(IF(A2824&lt;0,(10-2)*A2824,-2*A2824))+E$129*EXP(IF(A2824&lt;0,(10-3)*A2824,-3*A2824))+F$129*EXP(IF(A2824&lt;0,(10-4)*A2824,-4*A2824))+G$129*EXP(IF(A2824&lt;0,(10-5)*A2824,-5*A2824))+H$129*EXP(IF(A2824&lt;0,(10-6)*A2824,-6*A2824))+I$129*EXP(IF(A2824&lt;0,(10-7)*A2824,-7*A2824))+J$129*EXP(IF(A2824&lt;0,(10-8)*A2824,-8*A2824))+K$129*EXP(IF(A2824&lt;0,(10-9)*A2824,-9*A2824))+L$129*EXP(IF(A2824&lt;0,(10-10)*A2824,-10*A2824)),0)</x:f>
        <x:v>-257.6803319908504</x:v>
      </x:c>
      <x:c r="C2824" s="256" t="n">
        <x:f>IF(B2824=0,IF(B2823=0,0,1),IF(B2823=0,0,IF(SIGN(B2824)&lt;&gt;SIGN(B2823),1,0)))</x:f>
        <x:v>1</x:v>
      </x:c>
      <x:c r="D2824" s="256" t="n">
        <x:f>EXP(A2824-0.005)-1</x:f>
        <x:v>0.14453678435131523</x:v>
      </x:c>
    </x:row>
    <x:row r="2825" ht="20" customHeight="1">
      <x:c r="A2825" s="256" t="n">
        <x:f>-12+1215*0.01</x:f>
        <x:v>0.15000000000000036</x:v>
      </x:c>
      <x:c r="B2825" s="256" t="n">
        <x:f>IF(COUNT($B$129:$L$129)=11,B$129*EXP(IF(A2825&lt;0,(10-0)*A2825,-0*A2825))+C$129*EXP(IF(A2825&lt;0,(10-1)*A2825,-1*A2825))+D$129*EXP(IF(A2825&lt;0,(10-2)*A2825,-2*A2825))+E$129*EXP(IF(A2825&lt;0,(10-3)*A2825,-3*A2825))+F$129*EXP(IF(A2825&lt;0,(10-4)*A2825,-4*A2825))+G$129*EXP(IF(A2825&lt;0,(10-5)*A2825,-5*A2825))+H$129*EXP(IF(A2825&lt;0,(10-6)*A2825,-6*A2825))+I$129*EXP(IF(A2825&lt;0,(10-7)*A2825,-7*A2825))+J$129*EXP(IF(A2825&lt;0,(10-8)*A2825,-8*A2825))+K$129*EXP(IF(A2825&lt;0,(10-9)*A2825,-9*A2825))+L$129*EXP(IF(A2825&lt;0,(10-10)*A2825,-10*A2825)),0)</x:f>
        <x:v>-19196.996661422978</x:v>
      </x:c>
      <x:c r="C2825" s="256" t="n">
        <x:f>IF(B2825=0,IF(B2824=0,0,1),IF(B2824=0,0,IF(SIGN(B2825)&lt;&gt;SIGN(B2824),1,0)))</x:f>
        <x:v>0</x:v>
      </x:c>
      <x:c r="D2825" s="256" t="n">
        <x:f>EXP(A2825-0.005)-1</x:f>
        <x:v>0.15603957026802195</x:v>
      </x:c>
    </x:row>
    <x:row r="2826" ht="20" customHeight="1">
      <x:c r="A2826" s="256" t="n">
        <x:f>-12+1216*0.01</x:f>
        <x:v>0.16000000000000014</x:v>
      </x:c>
      <x:c r="B2826" s="256" t="n">
        <x:f>IF(COUNT($B$129:$L$129)=11,B$129*EXP(IF(A2826&lt;0,(10-0)*A2826,-0*A2826))+C$129*EXP(IF(A2826&lt;0,(10-1)*A2826,-1*A2826))+D$129*EXP(IF(A2826&lt;0,(10-2)*A2826,-2*A2826))+E$129*EXP(IF(A2826&lt;0,(10-3)*A2826,-3*A2826))+F$129*EXP(IF(A2826&lt;0,(10-4)*A2826,-4*A2826))+G$129*EXP(IF(A2826&lt;0,(10-5)*A2826,-5*A2826))+H$129*EXP(IF(A2826&lt;0,(10-6)*A2826,-6*A2826))+I$129*EXP(IF(A2826&lt;0,(10-7)*A2826,-7*A2826))+J$129*EXP(IF(A2826&lt;0,(10-8)*A2826,-8*A2826))+K$129*EXP(IF(A2826&lt;0,(10-9)*A2826,-9*A2826))+L$129*EXP(IF(A2826&lt;0,(10-10)*A2826,-10*A2826)),0)</x:f>
        <x:v>-36332.262721045</x:v>
      </x:c>
      <x:c r="C2826" s="256" t="n">
        <x:f>IF(B2826=0,IF(B2825=0,0,1),IF(B2825=0,0,IF(SIGN(B2826)&lt;&gt;SIGN(B2825),1,0)))</x:f>
        <x:v>0</x:v>
      </x:c>
      <x:c r="D2826" s="256" t="n">
        <x:f>EXP(A2826-0.005)-1</x:f>
        <x:v>0.1676579611051252</x:v>
      </x:c>
    </x:row>
    <x:row r="2827" ht="20" customHeight="1">
      <x:c r="A2827" s="256" t="n">
        <x:f>-12+1217*0.01</x:f>
        <x:v>0.16999999999999993</x:v>
      </x:c>
      <x:c r="B2827" s="256" t="n">
        <x:f>IF(COUNT($B$129:$L$129)=11,B$129*EXP(IF(A2827&lt;0,(10-0)*A2827,-0*A2827))+C$129*EXP(IF(A2827&lt;0,(10-1)*A2827,-1*A2827))+D$129*EXP(IF(A2827&lt;0,(10-2)*A2827,-2*A2827))+E$129*EXP(IF(A2827&lt;0,(10-3)*A2827,-3*A2827))+F$129*EXP(IF(A2827&lt;0,(10-4)*A2827,-4*A2827))+G$129*EXP(IF(A2827&lt;0,(10-5)*A2827,-5*A2827))+H$129*EXP(IF(A2827&lt;0,(10-6)*A2827,-6*A2827))+I$129*EXP(IF(A2827&lt;0,(10-7)*A2827,-7*A2827))+J$129*EXP(IF(A2827&lt;0,(10-8)*A2827,-8*A2827))+K$129*EXP(IF(A2827&lt;0,(10-9)*A2827,-9*A2827))+L$129*EXP(IF(A2827&lt;0,(10-10)*A2827,-10*A2827)),0)</x:f>
        <x:v>-51834.3599574735</x:v>
      </x:c>
      <x:c r="C2827" s="256" t="n">
        <x:f>IF(B2827=0,IF(B2826=0,0,1),IF(B2826=0,0,IF(SIGN(B2827)&lt;&gt;SIGN(B2826),1,0)))</x:f>
        <x:v>0</x:v>
      </x:c>
      <x:c r="D2827" s="256" t="n">
        <x:f>EXP(A2827-0.005)-1</x:f>
        <x:v>0.1793931187113904</x:v>
      </x:c>
    </x:row>
    <x:row r="2828" ht="20" customHeight="1">
      <x:c r="A2828" s="256" t="n">
        <x:f>-12+1218*0.01</x:f>
        <x:v>0.17999999999999972</x:v>
      </x:c>
      <x:c r="B2828" s="256" t="n">
        <x:f>IF(COUNT($B$129:$L$129)=11,B$129*EXP(IF(A2828&lt;0,(10-0)*A2828,-0*A2828))+C$129*EXP(IF(A2828&lt;0,(10-1)*A2828,-1*A2828))+D$129*EXP(IF(A2828&lt;0,(10-2)*A2828,-2*A2828))+E$129*EXP(IF(A2828&lt;0,(10-3)*A2828,-3*A2828))+F$129*EXP(IF(A2828&lt;0,(10-4)*A2828,-4*A2828))+G$129*EXP(IF(A2828&lt;0,(10-5)*A2828,-5*A2828))+H$129*EXP(IF(A2828&lt;0,(10-6)*A2828,-6*A2828))+I$129*EXP(IF(A2828&lt;0,(10-7)*A2828,-7*A2828))+J$129*EXP(IF(A2828&lt;0,(10-8)*A2828,-8*A2828))+K$129*EXP(IF(A2828&lt;0,(10-9)*A2828,-9*A2828))+L$129*EXP(IF(A2828&lt;0,(10-10)*A2828,-10*A2828)),0)</x:f>
        <x:v>-65857.98298319732</x:v>
      </x:c>
      <x:c r="C2828" s="256" t="n">
        <x:f>IF(B2828=0,IF(B2827=0,0,1),IF(B2827=0,0,IF(SIGN(B2828)&lt;&gt;SIGN(B2827),1,0)))</x:f>
        <x:v>0</x:v>
      </x:c>
      <x:c r="D2828" s="256" t="n">
        <x:f>EXP(A2828-0.005)-1</x:f>
        <x:v>0.19124621661235786</x:v>
      </x:c>
    </x:row>
    <x:row r="2829" ht="20" customHeight="1">
      <x:c r="A2829" s="256" t="n">
        <x:f>-12+1219*0.01</x:f>
        <x:v>0.1899999999999995</x:v>
      </x:c>
      <x:c r="B2829" s="256" t="n">
        <x:f>IF(COUNT($B$129:$L$129)=11,B$129*EXP(IF(A2829&lt;0,(10-0)*A2829,-0*A2829))+C$129*EXP(IF(A2829&lt;0,(10-1)*A2829,-1*A2829))+D$129*EXP(IF(A2829&lt;0,(10-2)*A2829,-2*A2829))+E$129*EXP(IF(A2829&lt;0,(10-3)*A2829,-3*A2829))+F$129*EXP(IF(A2829&lt;0,(10-4)*A2829,-4*A2829))+G$129*EXP(IF(A2829&lt;0,(10-5)*A2829,-5*A2829))+H$129*EXP(IF(A2829&lt;0,(10-6)*A2829,-6*A2829))+I$129*EXP(IF(A2829&lt;0,(10-7)*A2829,-7*A2829))+J$129*EXP(IF(A2829&lt;0,(10-8)*A2829,-8*A2829))+K$129*EXP(IF(A2829&lt;0,(10-9)*A2829,-9*A2829))+L$129*EXP(IF(A2829&lt;0,(10-10)*A2829,-10*A2829)),0)</x:f>
        <x:v>-78543.17409047915</x:v>
      </x:c>
      <x:c r="C2829" s="256" t="n">
        <x:f>IF(B2829=0,IF(B2828=0,0,1),IF(B2828=0,0,IF(SIGN(B2829)&lt;&gt;SIGN(B2828),1,0)))</x:f>
        <x:v>0</x:v>
      </x:c>
      <x:c r="D2829" s="256" t="n">
        <x:f>EXP(A2829-0.005)-1</x:f>
        <x:v>0.20321844012769485</x:v>
      </x:c>
    </x:row>
    <x:row r="2830" ht="20" customHeight="1">
      <x:c r="A2830" s="256" t="n">
        <x:f>-12+1220*0.01</x:f>
        <x:v>0.20000000000000107</x:v>
      </x:c>
      <x:c r="B2830" s="256" t="n">
        <x:f>IF(COUNT($B$129:$L$129)=11,B$129*EXP(IF(A2830&lt;0,(10-0)*A2830,-0*A2830))+C$129*EXP(IF(A2830&lt;0,(10-1)*A2830,-1*A2830))+D$129*EXP(IF(A2830&lt;0,(10-2)*A2830,-2*A2830))+E$129*EXP(IF(A2830&lt;0,(10-3)*A2830,-3*A2830))+F$129*EXP(IF(A2830&lt;0,(10-4)*A2830,-4*A2830))+G$129*EXP(IF(A2830&lt;0,(10-5)*A2830,-5*A2830))+H$129*EXP(IF(A2830&lt;0,(10-6)*A2830,-6*A2830))+I$129*EXP(IF(A2830&lt;0,(10-7)*A2830,-7*A2830))+J$129*EXP(IF(A2830&lt;0,(10-8)*A2830,-8*A2830))+K$129*EXP(IF(A2830&lt;0,(10-9)*A2830,-9*A2830))+L$129*EXP(IF(A2830&lt;0,(10-10)*A2830,-10*A2830)),0)</x:f>
        <x:v>-90016.71218488933</x:v>
      </x:c>
      <x:c r="C2830" s="256" t="n">
        <x:f>IF(B2830=0,IF(B2829=0,0,1),IF(B2829=0,0,IF(SIGN(B2830)&lt;&gt;SIGN(B2829),1,0)))</x:f>
        <x:v>0</x:v>
      </x:c>
      <x:c r="D2830" s="256" t="n">
        <x:f>EXP(A2830-0.005)-1</x:f>
        <x:v>0.21531098648973201</x:v>
      </x:c>
    </x:row>
    <x:row r="2831" ht="20" customHeight="1">
      <x:c r="A2831" s="256" t="n">
        <x:f>-12+1221*0.01</x:f>
        <x:v>0.21000000000000085</x:v>
      </x:c>
      <x:c r="B2831" s="256" t="n">
        <x:f>IF(COUNT($B$129:$L$129)=11,B$129*EXP(IF(A2831&lt;0,(10-0)*A2831,-0*A2831))+C$129*EXP(IF(A2831&lt;0,(10-1)*A2831,-1*A2831))+D$129*EXP(IF(A2831&lt;0,(10-2)*A2831,-2*A2831))+E$129*EXP(IF(A2831&lt;0,(10-3)*A2831,-3*A2831))+F$129*EXP(IF(A2831&lt;0,(10-4)*A2831,-4*A2831))+G$129*EXP(IF(A2831&lt;0,(10-5)*A2831,-5*A2831))+H$129*EXP(IF(A2831&lt;0,(10-6)*A2831,-6*A2831))+I$129*EXP(IF(A2831&lt;0,(10-7)*A2831,-7*A2831))+J$129*EXP(IF(A2831&lt;0,(10-8)*A2831,-8*A2831))+K$129*EXP(IF(A2831&lt;0,(10-9)*A2831,-9*A2831))+L$129*EXP(IF(A2831&lt;0,(10-10)*A2831,-10*A2831)),0)</x:f>
        <x:v>-100393.36995798993</x:v>
      </x:c>
      <x:c r="C2831" s="256" t="n">
        <x:f>IF(B2831=0,IF(B2830=0,0,1),IF(B2830=0,0,IF(SIGN(B2831)&lt;&gt;SIGN(B2830),1,0)))</x:f>
        <x:v>0</x:v>
      </x:c>
      <x:c r="D2831" s="256" t="n">
        <x:f>EXP(A2831-0.005)-1</x:f>
        <x:v>0.2275250649631788</x:v>
      </x:c>
    </x:row>
    <x:row r="2832" ht="20" customHeight="1">
      <x:c r="A2832" s="256" t="n">
        <x:f>-12+1222*0.01</x:f>
        <x:v>0.22000000000000064</x:v>
      </x:c>
      <x:c r="B2832" s="256" t="n">
        <x:f>IF(COUNT($B$129:$L$129)=11,B$129*EXP(IF(A2832&lt;0,(10-0)*A2832,-0*A2832))+C$129*EXP(IF(A2832&lt;0,(10-1)*A2832,-1*A2832))+D$129*EXP(IF(A2832&lt;0,(10-2)*A2832,-2*A2832))+E$129*EXP(IF(A2832&lt;0,(10-3)*A2832,-3*A2832))+F$129*EXP(IF(A2832&lt;0,(10-4)*A2832,-4*A2832))+G$129*EXP(IF(A2832&lt;0,(10-5)*A2832,-5*A2832))+H$129*EXP(IF(A2832&lt;0,(10-6)*A2832,-6*A2832))+I$129*EXP(IF(A2832&lt;0,(10-7)*A2832,-7*A2832))+J$129*EXP(IF(A2832&lt;0,(10-8)*A2832,-8*A2832))+K$129*EXP(IF(A2832&lt;0,(10-9)*A2832,-9*A2832))+L$129*EXP(IF(A2832&lt;0,(10-10)*A2832,-10*A2832)),0)</x:f>
        <x:v>-109777.05180628026</x:v>
      </x:c>
      <x:c r="C2832" s="256" t="n">
        <x:f>IF(B2832=0,IF(B2831=0,0,1),IF(B2831=0,0,IF(SIGN(B2832)&lt;&gt;SIGN(B2831),1,0)))</x:f>
        <x:v>0</x:v>
      </x:c>
      <x:c r="D2832" s="256" t="n">
        <x:f>EXP(A2832-0.005)-1</x:f>
        <x:v>0.23986189696606264</x:v>
      </x:c>
    </x:row>
    <x:row r="2833" ht="20" customHeight="1">
      <x:c r="A2833" s="256" t="n">
        <x:f>-12+1223*0.01</x:f>
        <x:v>0.23000000000000043</x:v>
      </x:c>
      <x:c r="B2833" s="256" t="n">
        <x:f>IF(COUNT($B$129:$L$129)=11,B$129*EXP(IF(A2833&lt;0,(10-0)*A2833,-0*A2833))+C$129*EXP(IF(A2833&lt;0,(10-1)*A2833,-1*A2833))+D$129*EXP(IF(A2833&lt;0,(10-2)*A2833,-2*A2833))+E$129*EXP(IF(A2833&lt;0,(10-3)*A2833,-3*A2833))+F$129*EXP(IF(A2833&lt;0,(10-4)*A2833,-4*A2833))+G$129*EXP(IF(A2833&lt;0,(10-5)*A2833,-5*A2833))+H$129*EXP(IF(A2833&lt;0,(10-6)*A2833,-6*A2833))+I$129*EXP(IF(A2833&lt;0,(10-7)*A2833,-7*A2833))+J$129*EXP(IF(A2833&lt;0,(10-8)*A2833,-8*A2833))+K$129*EXP(IF(A2833&lt;0,(10-9)*A2833,-9*A2833))+L$129*EXP(IF(A2833&lt;0,(10-10)*A2833,-10*A2833)),0)</x:f>
        <x:v>-118261.823815674</x:v>
      </x:c>
      <x:c r="C2833" s="256" t="n">
        <x:f>IF(B2833=0,IF(B2832=0,0,1),IF(B2832=0,0,IF(SIGN(B2833)&lt;&gt;SIGN(B2832),1,0)))</x:f>
        <x:v>0</x:v>
      </x:c>
      <x:c r="D2833" s="256" t="n">
        <x:f>EXP(A2833-0.005)-1</x:f>
        <x:v>0.25232271619186486</x:v>
      </x:c>
    </x:row>
    <x:row r="2834" ht="20" customHeight="1">
      <x:c r="A2834" s="256" t="n">
        <x:f>-12+1224*0.01</x:f>
        <x:v>0.2400000000000002</x:v>
      </x:c>
      <x:c r="B2834" s="256" t="n">
        <x:f>IF(COUNT($B$129:$L$129)=11,B$129*EXP(IF(A2834&lt;0,(10-0)*A2834,-0*A2834))+C$129*EXP(IF(A2834&lt;0,(10-1)*A2834,-1*A2834))+D$129*EXP(IF(A2834&lt;0,(10-2)*A2834,-2*A2834))+E$129*EXP(IF(A2834&lt;0,(10-3)*A2834,-3*A2834))+F$129*EXP(IF(A2834&lt;0,(10-4)*A2834,-4*A2834))+G$129*EXP(IF(A2834&lt;0,(10-5)*A2834,-5*A2834))+H$129*EXP(IF(A2834&lt;0,(10-6)*A2834,-6*A2834))+I$129*EXP(IF(A2834&lt;0,(10-7)*A2834,-7*A2834))+J$129*EXP(IF(A2834&lt;0,(10-8)*A2834,-8*A2834))+K$129*EXP(IF(A2834&lt;0,(10-9)*A2834,-9*A2834))+L$129*EXP(IF(A2834&lt;0,(10-10)*A2834,-10*A2834)),0)</x:f>
        <x:v>-125932.84605592907</x:v>
      </x:c>
      <x:c r="C2834" s="256" t="n">
        <x:f>IF(B2834=0,IF(B2833=0,0,1),IF(B2833=0,0,IF(SIGN(B2834)&lt;&gt;SIGN(B2833),1,0)))</x:f>
        <x:v>0</x:v>
      </x:c>
      <x:c r="D2834" s="256" t="n">
        <x:f>EXP(A2834-0.005)-1</x:f>
        <x:v>0.26490876873289215</x:v>
      </x:c>
    </x:row>
    <x:row r="2835" ht="20" customHeight="1">
      <x:c r="A2835" s="256" t="n">
        <x:f>-12+1225*0.01</x:f>
        <x:v>0.25</x:v>
      </x:c>
      <x:c r="B2835" s="256" t="n">
        <x:f>IF(COUNT($B$129:$L$129)=11,B$129*EXP(IF(A2835&lt;0,(10-0)*A2835,-0*A2835))+C$129*EXP(IF(A2835&lt;0,(10-1)*A2835,-1*A2835))+D$129*EXP(IF(A2835&lt;0,(10-2)*A2835,-2*A2835))+E$129*EXP(IF(A2835&lt;0,(10-3)*A2835,-3*A2835))+F$129*EXP(IF(A2835&lt;0,(10-4)*A2835,-4*A2835))+G$129*EXP(IF(A2835&lt;0,(10-5)*A2835,-5*A2835))+H$129*EXP(IF(A2835&lt;0,(10-6)*A2835,-6*A2835))+I$129*EXP(IF(A2835&lt;0,(10-7)*A2835,-7*A2835))+J$129*EXP(IF(A2835&lt;0,(10-8)*A2835,-8*A2835))+K$129*EXP(IF(A2835&lt;0,(10-9)*A2835,-9*A2835))+L$129*EXP(IF(A2835&lt;0,(10-10)*A2835,-10*A2835)),0)</x:f>
        <x:v>-132867.21645659977</x:v>
      </x:c>
      <x:c r="C2835" s="256" t="n">
        <x:f>IF(B2835=0,IF(B2834=0,0,1),IF(B2834=0,0,IF(SIGN(B2835)&lt;&gt;SIGN(B2834),1,0)))</x:f>
        <x:v>0</x:v>
      </x:c>
      <x:c r="D2835" s="256" t="n">
        <x:f>EXP(A2835-0.005)-1</x:f>
        <x:v>0.2776213132048866</x:v>
      </x:c>
    </x:row>
    <x:row r="2836" ht="20" customHeight="1">
      <x:c r="A2836" s="256" t="n">
        <x:f>-12+1226*0.01</x:f>
        <x:v>0.2599999999999998</x:v>
      </x:c>
      <x:c r="B2836" s="256" t="n">
        <x:f>IF(COUNT($B$129:$L$129)=11,B$129*EXP(IF(A2836&lt;0,(10-0)*A2836,-0*A2836))+C$129*EXP(IF(A2836&lt;0,(10-1)*A2836,-1*A2836))+D$129*EXP(IF(A2836&lt;0,(10-2)*A2836,-2*A2836))+E$129*EXP(IF(A2836&lt;0,(10-3)*A2836,-3*A2836))+F$129*EXP(IF(A2836&lt;0,(10-4)*A2836,-4*A2836))+G$129*EXP(IF(A2836&lt;0,(10-5)*A2836,-5*A2836))+H$129*EXP(IF(A2836&lt;0,(10-6)*A2836,-6*A2836))+I$129*EXP(IF(A2836&lt;0,(10-7)*A2836,-7*A2836))+J$129*EXP(IF(A2836&lt;0,(10-8)*A2836,-8*A2836))+K$129*EXP(IF(A2836&lt;0,(10-9)*A2836,-9*A2836))+L$129*EXP(IF(A2836&lt;0,(10-10)*A2836,-10*A2836)),0)</x:f>
        <x:v>-139134.73465569958</x:v>
      </x:c>
      <x:c r="C2836" s="256" t="n">
        <x:f>IF(B2836=0,IF(B2835=0,0,1),IF(B2835=0,0,IF(SIGN(B2836)&lt;&gt;SIGN(B2835),1,0)))</x:f>
        <x:v>0</x:v>
      </x:c>
      <x:c r="D2836" s="256" t="n">
        <x:f>EXP(A2836-0.005)-1</x:f>
        <x:v>0.2904616208728896</x:v>
      </x:c>
    </x:row>
    <x:row r="2837" ht="20" customHeight="1">
      <x:c r="A2837" s="256" t="n">
        <x:f>-12+1227*0.01</x:f>
        <x:v>0.2699999999999996</x:v>
      </x:c>
      <x:c r="B2837" s="256" t="n">
        <x:f>IF(COUNT($B$129:$L$129)=11,B$129*EXP(IF(A2837&lt;0,(10-0)*A2837,-0*A2837))+C$129*EXP(IF(A2837&lt;0,(10-1)*A2837,-1*A2837))+D$129*EXP(IF(A2837&lt;0,(10-2)*A2837,-2*A2837))+E$129*EXP(IF(A2837&lt;0,(10-3)*A2837,-3*A2837))+F$129*EXP(IF(A2837&lt;0,(10-4)*A2837,-4*A2837))+G$129*EXP(IF(A2837&lt;0,(10-5)*A2837,-5*A2837))+H$129*EXP(IF(A2837&lt;0,(10-6)*A2837,-6*A2837))+I$129*EXP(IF(A2837&lt;0,(10-7)*A2837,-7*A2837))+J$129*EXP(IF(A2837&lt;0,(10-8)*A2837,-8*A2837))+K$129*EXP(IF(A2837&lt;0,(10-9)*A2837,-9*A2837))+L$129*EXP(IF(A2837&lt;0,(10-10)*A2837,-10*A2837)),0)</x:f>
        <x:v>-144798.59341550106</x:v>
      </x:c>
      <x:c r="C2837" s="256" t="n">
        <x:f>IF(B2837=0,IF(B2836=0,0,1),IF(B2836=0,0,IF(SIGN(B2837)&lt;&gt;SIGN(B2836),1,0)))</x:f>
        <x:v>0</x:v>
      </x:c>
      <x:c r="D2837" s="256" t="n">
        <x:f>EXP(A2837-0.005)-1</x:f>
        <x:v>0.3034309757783682</x:v>
      </x:c>
    </x:row>
    <x:row r="2838" ht="20" customHeight="1">
      <x:c r="A2838" s="256" t="n">
        <x:f>-12+1228*0.01</x:f>
        <x:v>0.28000000000000114</x:v>
      </x:c>
      <x:c r="B2838" s="256" t="n">
        <x:f>IF(COUNT($B$129:$L$129)=11,B$129*EXP(IF(A2838&lt;0,(10-0)*A2838,-0*A2838))+C$129*EXP(IF(A2838&lt;0,(10-1)*A2838,-1*A2838))+D$129*EXP(IF(A2838&lt;0,(10-2)*A2838,-2*A2838))+E$129*EXP(IF(A2838&lt;0,(10-3)*A2838,-3*A2838))+F$129*EXP(IF(A2838&lt;0,(10-4)*A2838,-4*A2838))+G$129*EXP(IF(A2838&lt;0,(10-5)*A2838,-5*A2838))+H$129*EXP(IF(A2838&lt;0,(10-6)*A2838,-6*A2838))+I$129*EXP(IF(A2838&lt;0,(10-7)*A2838,-7*A2838))+J$129*EXP(IF(A2838&lt;0,(10-8)*A2838,-8*A2838))+K$129*EXP(IF(A2838&lt;0,(10-9)*A2838,-9*A2838))+L$129*EXP(IF(A2838&lt;0,(10-10)*A2838,-10*A2838)),0)</x:f>
        <x:v>-149916.0044788193</x:v>
      </x:c>
      <x:c r="C2838" s="256" t="n">
        <x:f>IF(B2838=0,IF(B2837=0,0,1),IF(B2837=0,0,IF(SIGN(B2838)&lt;&gt;SIGN(B2837),1,0)))</x:f>
        <x:v>0</x:v>
      </x:c>
      <x:c r="D2838" s="256" t="n">
        <x:f>EXP(A2838-0.005)-1</x:f>
        <x:v>0.3165306748676231</x:v>
      </x:c>
    </x:row>
    <x:row r="2839" ht="20" customHeight="1">
      <x:c r="A2839" s="256" t="n">
        <x:f>-12+1229*0.01</x:f>
        <x:v>0.2900000000000009</x:v>
      </x:c>
      <x:c r="B2839" s="256" t="n">
        <x:f>IF(COUNT($B$129:$L$129)=11,B$129*EXP(IF(A2839&lt;0,(10-0)*A2839,-0*A2839))+C$129*EXP(IF(A2839&lt;0,(10-1)*A2839,-1*A2839))+D$129*EXP(IF(A2839&lt;0,(10-2)*A2839,-2*A2839))+E$129*EXP(IF(A2839&lt;0,(10-3)*A2839,-3*A2839))+F$129*EXP(IF(A2839&lt;0,(10-4)*A2839,-4*A2839))+G$129*EXP(IF(A2839&lt;0,(10-5)*A2839,-5*A2839))+H$129*EXP(IF(A2839&lt;0,(10-6)*A2839,-6*A2839))+I$129*EXP(IF(A2839&lt;0,(10-7)*A2839,-7*A2839))+J$129*EXP(IF(A2839&lt;0,(10-8)*A2839,-8*A2839))+K$129*EXP(IF(A2839&lt;0,(10-9)*A2839,-9*A2839))+L$129*EXP(IF(A2839&lt;0,(10-10)*A2839,-10*A2839)),0)</x:f>
        <x:v>-154538.7650865356</x:v>
      </x:c>
      <x:c r="C2839" s="256" t="n">
        <x:f>IF(B2839=0,IF(B2838=0,0,1),IF(B2838=0,0,IF(SIGN(B2839)&lt;&gt;SIGN(B2838),1,0)))</x:f>
        <x:v>0</x:v>
      </x:c>
      <x:c r="D2839" s="256" t="n">
        <x:f>EXP(A2839-0.005)-1</x:f>
        <x:v>0.32976202812147504</x:v>
      </x:c>
    </x:row>
    <x:row r="2840" ht="20" customHeight="1">
      <x:c r="A2840" s="256" t="n">
        <x:f>-12+1230*0.01</x:f>
        <x:v>0.3000000000000007</x:v>
      </x:c>
      <x:c r="B2840" s="256" t="n">
        <x:f>IF(COUNT($B$129:$L$129)=11,B$129*EXP(IF(A2840&lt;0,(10-0)*A2840,-0*A2840))+C$129*EXP(IF(A2840&lt;0,(10-1)*A2840,-1*A2840))+D$129*EXP(IF(A2840&lt;0,(10-2)*A2840,-2*A2840))+E$129*EXP(IF(A2840&lt;0,(10-3)*A2840,-3*A2840))+F$129*EXP(IF(A2840&lt;0,(10-4)*A2840,-4*A2840))+G$129*EXP(IF(A2840&lt;0,(10-5)*A2840,-5*A2840))+H$129*EXP(IF(A2840&lt;0,(10-6)*A2840,-6*A2840))+I$129*EXP(IF(A2840&lt;0,(10-7)*A2840,-7*A2840))+J$129*EXP(IF(A2840&lt;0,(10-8)*A2840,-8*A2840))+K$129*EXP(IF(A2840&lt;0,(10-9)*A2840,-9*A2840))+L$129*EXP(IF(A2840&lt;0,(10-10)*A2840,-10*A2840)),0)</x:f>
        <x:v>-158713.77078653907</x:v>
      </x:c>
      <x:c r="C2840" s="256" t="n">
        <x:f>IF(B2840=0,IF(B2839=0,0,1),IF(B2839=0,0,IF(SIGN(B2840)&lt;&gt;SIGN(B2839),1,0)))</x:f>
        <x:v>0</x:v>
      </x:c>
      <x:c r="D2840" s="256" t="n">
        <x:f>EXP(A2840-0.005)-1</x:f>
        <x:v>0.34312635868627783</x:v>
      </x:c>
    </x:row>
    <x:row r="2841" ht="20" customHeight="1">
      <x:c r="A2841" s="256" t="n">
        <x:f>-12+1231*0.01</x:f>
        <x:v>0.3100000000000005</x:v>
      </x:c>
      <x:c r="B2841" s="256" t="n">
        <x:f>IF(COUNT($B$129:$L$129)=11,B$129*EXP(IF(A2841&lt;0,(10-0)*A2841,-0*A2841))+C$129*EXP(IF(A2841&lt;0,(10-1)*A2841,-1*A2841))+D$129*EXP(IF(A2841&lt;0,(10-2)*A2841,-2*A2841))+E$129*EXP(IF(A2841&lt;0,(10-3)*A2841,-3*A2841))+F$129*EXP(IF(A2841&lt;0,(10-4)*A2841,-4*A2841))+G$129*EXP(IF(A2841&lt;0,(10-5)*A2841,-5*A2841))+H$129*EXP(IF(A2841&lt;0,(10-6)*A2841,-6*A2841))+I$129*EXP(IF(A2841&lt;0,(10-7)*A2841,-7*A2841))+J$129*EXP(IF(A2841&lt;0,(10-8)*A2841,-8*A2841))+K$129*EXP(IF(A2841&lt;0,(10-9)*A2841,-9*A2841))+L$129*EXP(IF(A2841&lt;0,(10-10)*A2841,-10*A2841)),0)</x:f>
        <x:v>-162483.4796297233</x:v>
      </x:c>
      <x:c r="C2841" s="256" t="n">
        <x:f>IF(B2841=0,IF(B2840=0,0,1),IF(B2840=0,0,IF(SIGN(B2841)&lt;&gt;SIGN(B2840),1,0)))</x:f>
        <x:v>0</x:v>
      </x:c>
      <x:c r="D2841" s="256" t="n">
        <x:f>EXP(A2841-0.005)-1</x:f>
        <x:v>0.3566250030062248</x:v>
      </x:c>
    </x:row>
    <x:row r="2842" ht="20" customHeight="1">
      <x:c r="A2842" s="256" t="n">
        <x:f>-12+1232*0.01</x:f>
        <x:v>0.3200000000000003</x:v>
      </x:c>
      <x:c r="B2842" s="256" t="n">
        <x:f>IF(COUNT($B$129:$L$129)=11,B$129*EXP(IF(A2842&lt;0,(10-0)*A2842,-0*A2842))+C$129*EXP(IF(A2842&lt;0,(10-1)*A2842,-1*A2842))+D$129*EXP(IF(A2842&lt;0,(10-2)*A2842,-2*A2842))+E$129*EXP(IF(A2842&lt;0,(10-3)*A2842,-3*A2842))+F$129*EXP(IF(A2842&lt;0,(10-4)*A2842,-4*A2842))+G$129*EXP(IF(A2842&lt;0,(10-5)*A2842,-5*A2842))+H$129*EXP(IF(A2842&lt;0,(10-6)*A2842,-6*A2842))+I$129*EXP(IF(A2842&lt;0,(10-7)*A2842,-7*A2842))+J$129*EXP(IF(A2842&lt;0,(10-8)*A2842,-8*A2842))+K$129*EXP(IF(A2842&lt;0,(10-9)*A2842,-9*A2842))+L$129*EXP(IF(A2842&lt;0,(10-10)*A2842,-10*A2842)),0)</x:f>
        <x:v>-165886.3323649754</x:v>
      </x:c>
      <x:c r="C2842" s="256" t="n">
        <x:f>IF(B2842=0,IF(B2841=0,0,1),IF(B2841=0,0,IF(SIGN(B2842)&lt;&gt;SIGN(B2841),1,0)))</x:f>
        <x:v>0</x:v>
      </x:c>
      <x:c r="D2842" s="256" t="n">
        <x:f>EXP(A2842-0.005)-1</x:f>
        <x:v>0.37025931095699693</x:v>
      </x:c>
    </x:row>
    <x:row r="2843" ht="20" customHeight="1">
      <x:c r="A2843" s="256" t="n">
        <x:f>-12+1233*0.01</x:f>
        <x:v>0.33000000000000007</x:v>
      </x:c>
      <x:c r="B2843" s="256" t="n">
        <x:f>IF(COUNT($B$129:$L$129)=11,B$129*EXP(IF(A2843&lt;0,(10-0)*A2843,-0*A2843))+C$129*EXP(IF(A2843&lt;0,(10-1)*A2843,-1*A2843))+D$129*EXP(IF(A2843&lt;0,(10-2)*A2843,-2*A2843))+E$129*EXP(IF(A2843&lt;0,(10-3)*A2843,-3*A2843))+F$129*EXP(IF(A2843&lt;0,(10-4)*A2843,-4*A2843))+G$129*EXP(IF(A2843&lt;0,(10-5)*A2843,-5*A2843))+H$129*EXP(IF(A2843&lt;0,(10-6)*A2843,-6*A2843))+I$129*EXP(IF(A2843&lt;0,(10-7)*A2843,-7*A2843))+J$129*EXP(IF(A2843&lt;0,(10-8)*A2843,-8*A2843))+K$129*EXP(IF(A2843&lt;0,(10-9)*A2843,-9*A2843))+L$129*EXP(IF(A2843&lt;0,(10-10)*A2843,-10*A2843)),0)</x:f>
        <x:v>-168957.13280727377</x:v>
      </x:c>
      <x:c r="C2843" s="256" t="n">
        <x:f>IF(B2843=0,IF(B2842=0,0,1),IF(B2842=0,0,IF(SIGN(B2843)&lt;&gt;SIGN(B2842),1,0)))</x:f>
        <x:v>0</x:v>
      </x:c>
      <x:c r="D2843" s="256" t="n">
        <x:f>EXP(A2843-0.005)-1</x:f>
        <x:v>0.38403064598075165</x:v>
      </x:c>
    </x:row>
    <x:row r="2844" ht="20" customHeight="1">
      <x:c r="A2844" s="256" t="n">
        <x:f>-12+1234*0.01</x:f>
        <x:v>0.33999999999999986</x:v>
      </x:c>
      <x:c r="B2844" s="256" t="n">
        <x:f>IF(COUNT($B$129:$L$129)=11,B$129*EXP(IF(A2844&lt;0,(10-0)*A2844,-0*A2844))+C$129*EXP(IF(A2844&lt;0,(10-1)*A2844,-1*A2844))+D$129*EXP(IF(A2844&lt;0,(10-2)*A2844,-2*A2844))+E$129*EXP(IF(A2844&lt;0,(10-3)*A2844,-3*A2844))+F$129*EXP(IF(A2844&lt;0,(10-4)*A2844,-4*A2844))+G$129*EXP(IF(A2844&lt;0,(10-5)*A2844,-5*A2844))+H$129*EXP(IF(A2844&lt;0,(10-6)*A2844,-6*A2844))+I$129*EXP(IF(A2844&lt;0,(10-7)*A2844,-7*A2844))+J$129*EXP(IF(A2844&lt;0,(10-8)*A2844,-8*A2844))+K$129*EXP(IF(A2844&lt;0,(10-9)*A2844,-9*A2844))+L$129*EXP(IF(A2844&lt;0,(10-10)*A2844,-10*A2844)),0)</x:f>
        <x:v>-171727.39215680445</x:v>
      </x:c>
      <x:c r="C2844" s="256" t="n">
        <x:f>IF(B2844=0,IF(B2843=0,0,1),IF(B2843=0,0,IF(SIGN(B2844)&lt;&gt;SIGN(B2843),1,0)))</x:f>
        <x:v>0</x:v>
      </x:c>
      <x:c r="D2844" s="256" t="n">
        <x:f>EXP(A2844-0.005)-1</x:f>
        <x:v>0.3979403852224668</x:v>
      </x:c>
    </x:row>
    <x:row r="2845" ht="20" customHeight="1">
      <x:c r="A2845" s="256" t="n">
        <x:f>-12+1235*0.01</x:f>
        <x:v>0.34999999999999964</x:v>
      </x:c>
      <x:c r="B2845" s="256" t="n">
        <x:f>IF(COUNT($B$129:$L$129)=11,B$129*EXP(IF(A2845&lt;0,(10-0)*A2845,-0*A2845))+C$129*EXP(IF(A2845&lt;0,(10-1)*A2845,-1*A2845))+D$129*EXP(IF(A2845&lt;0,(10-2)*A2845,-2*A2845))+E$129*EXP(IF(A2845&lt;0,(10-3)*A2845,-3*A2845))+F$129*EXP(IF(A2845&lt;0,(10-4)*A2845,-4*A2845))+G$129*EXP(IF(A2845&lt;0,(10-5)*A2845,-5*A2845))+H$129*EXP(IF(A2845&lt;0,(10-6)*A2845,-6*A2845))+I$129*EXP(IF(A2845&lt;0,(10-7)*A2845,-7*A2845))+J$129*EXP(IF(A2845&lt;0,(10-8)*A2845,-8*A2845))+K$129*EXP(IF(A2845&lt;0,(10-9)*A2845,-9*A2845))+L$129*EXP(IF(A2845&lt;0,(10-10)*A2845,-10*A2845)),0)</x:f>
        <x:v>-174225.64068841058</x:v>
      </x:c>
      <x:c r="C2845" s="256" t="n">
        <x:f>IF(B2845=0,IF(B2844=0,0,1),IF(B2844=0,0,IF(SIGN(B2845)&lt;&gt;SIGN(B2844),1,0)))</x:f>
        <x:v>0</x:v>
      </x:c>
      <x:c r="D2845" s="256" t="n">
        <x:f>EXP(A2845-0.005)-1</x:f>
        <x:v>0.41198991966765863</x:v>
      </x:c>
    </x:row>
    <x:row r="2846" ht="20" customHeight="1">
      <x:c r="A2846" s="256" t="n">
        <x:f>-12+1236*0.01</x:f>
        <x:v>0.35999999999999943</x:v>
      </x:c>
      <x:c r="B2846" s="256" t="n">
        <x:f>IF(COUNT($B$129:$L$129)=11,B$129*EXP(IF(A2846&lt;0,(10-0)*A2846,-0*A2846))+C$129*EXP(IF(A2846&lt;0,(10-1)*A2846,-1*A2846))+D$129*EXP(IF(A2846&lt;0,(10-2)*A2846,-2*A2846))+E$129*EXP(IF(A2846&lt;0,(10-3)*A2846,-3*A2846))+F$129*EXP(IF(A2846&lt;0,(10-4)*A2846,-4*A2846))+G$129*EXP(IF(A2846&lt;0,(10-5)*A2846,-5*A2846))+H$129*EXP(IF(A2846&lt;0,(10-6)*A2846,-6*A2846))+I$129*EXP(IF(A2846&lt;0,(10-7)*A2846,-7*A2846))+J$129*EXP(IF(A2846&lt;0,(10-8)*A2846,-8*A2846))+K$129*EXP(IF(A2846&lt;0,(10-9)*A2846,-9*A2846))+L$129*EXP(IF(A2846&lt;0,(10-10)*A2846,-10*A2846)),0)</x:f>
        <x:v>-176477.70990615583</x:v>
      </x:c>
      <x:c r="C2846" s="256" t="n">
        <x:f>IF(B2846=0,IF(B2845=0,0,1),IF(B2845=0,0,IF(SIGN(B2846)&lt;&gt;SIGN(B2845),1,0)))</x:f>
        <x:v>0</x:v>
      </x:c>
      <x:c r="D2846" s="256" t="n">
        <x:f>EXP(A2846-0.005)-1</x:f>
        <x:v>0.4261806542814792</x:v>
      </x:c>
    </x:row>
    <x:row r="2847" ht="20" customHeight="1">
      <x:c r="A2847" s="256" t="n">
        <x:f>-12+1237*0.01</x:f>
        <x:v>0.370000000000001</x:v>
      </x:c>
      <x:c r="B2847" s="256" t="n">
        <x:f>IF(COUNT($B$129:$L$129)=11,B$129*EXP(IF(A2847&lt;0,(10-0)*A2847,-0*A2847))+C$129*EXP(IF(A2847&lt;0,(10-1)*A2847,-1*A2847))+D$129*EXP(IF(A2847&lt;0,(10-2)*A2847,-2*A2847))+E$129*EXP(IF(A2847&lt;0,(10-3)*A2847,-3*A2847))+F$129*EXP(IF(A2847&lt;0,(10-4)*A2847,-4*A2847))+G$129*EXP(IF(A2847&lt;0,(10-5)*A2847,-5*A2847))+H$129*EXP(IF(A2847&lt;0,(10-6)*A2847,-6*A2847))+I$129*EXP(IF(A2847&lt;0,(10-7)*A2847,-7*A2847))+J$129*EXP(IF(A2847&lt;0,(10-8)*A2847,-8*A2847))+K$129*EXP(IF(A2847&lt;0,(10-9)*A2847,-9*A2847))+L$129*EXP(IF(A2847&lt;0,(10-10)*A2847,-10*A2847)),0)</x:f>
        <x:v>-178506.98796406144</x:v>
      </x:c>
      <x:c r="C2847" s="256" t="n">
        <x:f>IF(B2847=0,IF(B2846=0,0,1),IF(B2846=0,0,IF(SIGN(B2847)&lt;&gt;SIGN(B2846),1,0)))</x:f>
        <x:v>0</x:v>
      </x:c>
      <x:c r="D2847" s="256" t="n">
        <x:f>EXP(A2847-0.005)-1</x:f>
        <x:v>0.4405140081492185</x:v>
      </x:c>
    </x:row>
    <x:row r="2848" ht="20" customHeight="1">
      <x:c r="A2848" s="256" t="n">
        <x:f>-12+1238*0.01</x:f>
        <x:v>0.3800000000000008</x:v>
      </x:c>
      <x:c r="B2848" s="256" t="n">
        <x:f>IF(COUNT($B$129:$L$129)=11,B$129*EXP(IF(A2848&lt;0,(10-0)*A2848,-0*A2848))+C$129*EXP(IF(A2848&lt;0,(10-1)*A2848,-1*A2848))+D$129*EXP(IF(A2848&lt;0,(10-2)*A2848,-2*A2848))+E$129*EXP(IF(A2848&lt;0,(10-3)*A2848,-3*A2848))+F$129*EXP(IF(A2848&lt;0,(10-4)*A2848,-4*A2848))+G$129*EXP(IF(A2848&lt;0,(10-5)*A2848,-5*A2848))+H$129*EXP(IF(A2848&lt;0,(10-6)*A2848,-6*A2848))+I$129*EXP(IF(A2848&lt;0,(10-7)*A2848,-7*A2848))+J$129*EXP(IF(A2848&lt;0,(10-8)*A2848,-8*A2848))+K$129*EXP(IF(A2848&lt;0,(10-9)*A2848,-9*A2848))+L$129*EXP(IF(A2848&lt;0,(10-10)*A2848,-10*A2848)),0)</x:f>
        <x:v>-180334.65088824584</x:v>
      </x:c>
      <x:c r="C2848" s="256" t="n">
        <x:f>IF(B2848=0,IF(B2847=0,0,1),IF(B2847=0,0,IF(SIGN(B2848)&lt;&gt;SIGN(B2847),1,0)))</x:f>
        <x:v>0</x:v>
      </x:c>
      <x:c r="D2848" s="256" t="n">
        <x:f>EXP(A2848-0.005)-1</x:f>
        <x:v>0.4549914146182026</x:v>
      </x:c>
    </x:row>
    <x:row r="2849" ht="20" customHeight="1">
      <x:c r="A2849" s="256" t="n">
        <x:f>-12+1239*0.01</x:f>
        <x:v>0.39000000000000057</x:v>
      </x:c>
      <x:c r="B2849" s="256" t="n">
        <x:f>IF(COUNT($B$129:$L$129)=11,B$129*EXP(IF(A2849&lt;0,(10-0)*A2849,-0*A2849))+C$129*EXP(IF(A2849&lt;0,(10-1)*A2849,-1*A2849))+D$129*EXP(IF(A2849&lt;0,(10-2)*A2849,-2*A2849))+E$129*EXP(IF(A2849&lt;0,(10-3)*A2849,-3*A2849))+F$129*EXP(IF(A2849&lt;0,(10-4)*A2849,-4*A2849))+G$129*EXP(IF(A2849&lt;0,(10-5)*A2849,-5*A2849))+H$129*EXP(IF(A2849&lt;0,(10-6)*A2849,-6*A2849))+I$129*EXP(IF(A2849&lt;0,(10-7)*A2849,-7*A2849))+J$129*EXP(IF(A2849&lt;0,(10-8)*A2849,-8*A2849))+K$129*EXP(IF(A2849&lt;0,(10-9)*A2849,-9*A2849))+L$129*EXP(IF(A2849&lt;0,(10-10)*A2849,-10*A2849)),0)</x:f>
        <x:v>-181979.87189511544</x:v>
      </x:c>
      <x:c r="C2849" s="256" t="n">
        <x:f>IF(B2849=0,IF(B2848=0,0,1),IF(B2848=0,0,IF(SIGN(B2849)&lt;&gt;SIGN(B2848),1,0)))</x:f>
        <x:v>0</x:v>
      </x:c>
      <x:c r="D2849" s="256" t="n">
        <x:f>EXP(A2849-0.005)-1</x:f>
        <x:v>0.46961432144114523</x:v>
      </x:c>
    </x:row>
    <x:row r="2850" ht="20" customHeight="1">
      <x:c r="A2850" s="256" t="n">
        <x:f>-12+1240*0.01</x:f>
        <x:v>0.40000000000000036</x:v>
      </x:c>
      <x:c r="B2850" s="256" t="n">
        <x:f>IF(COUNT($B$129:$L$129)=11,B$129*EXP(IF(A2850&lt;0,(10-0)*A2850,-0*A2850))+C$129*EXP(IF(A2850&lt;0,(10-1)*A2850,-1*A2850))+D$129*EXP(IF(A2850&lt;0,(10-2)*A2850,-2*A2850))+E$129*EXP(IF(A2850&lt;0,(10-3)*A2850,-3*A2850))+F$129*EXP(IF(A2850&lt;0,(10-4)*A2850,-4*A2850))+G$129*EXP(IF(A2850&lt;0,(10-5)*A2850,-5*A2850))+H$129*EXP(IF(A2850&lt;0,(10-6)*A2850,-6*A2850))+I$129*EXP(IF(A2850&lt;0,(10-7)*A2850,-7*A2850))+J$129*EXP(IF(A2850&lt;0,(10-8)*A2850,-8*A2850))+K$129*EXP(IF(A2850&lt;0,(10-9)*A2850,-9*A2850))+L$129*EXP(IF(A2850&lt;0,(10-10)*A2850,-10*A2850)),0)</x:f>
        <x:v>-183460.01088249843</x:v>
      </x:c>
      <x:c r="C2850" s="256" t="n">
        <x:f>IF(B2850=0,IF(B2849=0,0,1),IF(B2849=0,0,IF(SIGN(B2850)&lt;&gt;SIGN(B2849),1,0)))</x:f>
        <x:v>0</x:v>
      </x:c>
      <x:c r="D2850" s="256" t="n">
        <x:f>EXP(A2850-0.005)-1</x:f>
        <x:v>0.48438419092091456</x:v>
      </x:c>
    </x:row>
    <x:row r="2851" ht="20" customHeight="1">
      <x:c r="A2851" s="256" t="n">
        <x:f>-12+1241*0.01</x:f>
        <x:v>0.41000000000000014</x:v>
      </x:c>
      <x:c r="B2851" s="256" t="n">
        <x:f>IF(COUNT($B$129:$L$129)=11,B$129*EXP(IF(A2851&lt;0,(10-0)*A2851,-0*A2851))+C$129*EXP(IF(A2851&lt;0,(10-1)*A2851,-1*A2851))+D$129*EXP(IF(A2851&lt;0,(10-2)*A2851,-2*A2851))+E$129*EXP(IF(A2851&lt;0,(10-3)*A2851,-3*A2851))+F$129*EXP(IF(A2851&lt;0,(10-4)*A2851,-4*A2851))+G$129*EXP(IF(A2851&lt;0,(10-5)*A2851,-5*A2851))+H$129*EXP(IF(A2851&lt;0,(10-6)*A2851,-6*A2851))+I$129*EXP(IF(A2851&lt;0,(10-7)*A2851,-7*A2851))+J$129*EXP(IF(A2851&lt;0,(10-8)*A2851,-8*A2851))+K$129*EXP(IF(A2851&lt;0,(10-9)*A2851,-9*A2851))+L$129*EXP(IF(A2851&lt;0,(10-10)*A2851,-10*A2851)),0)</x:f>
        <x:v>-184790.78597355392</x:v>
      </x:c>
      <x:c r="C2851" s="256" t="n">
        <x:f>IF(B2851=0,IF(B2850=0,0,1),IF(B2850=0,0,IF(SIGN(B2851)&lt;&gt;SIGN(B2850),1,0)))</x:f>
        <x:v>0</x:v>
      </x:c>
      <x:c r="D2851" s="256" t="n">
        <x:f>EXP(A2851-0.005)-1</x:f>
        <x:v>0.499302500056767</x:v>
      </x:c>
    </x:row>
    <x:row r="2852" ht="20" customHeight="1">
      <x:c r="A2852" s="256" t="n">
        <x:f>-12+1242*0.01</x:f>
        <x:v>0.41999999999999993</x:v>
      </x:c>
      <x:c r="B2852" s="256" t="n">
        <x:f>IF(COUNT($B$129:$L$129)=11,B$129*EXP(IF(A2852&lt;0,(10-0)*A2852,-0*A2852))+C$129*EXP(IF(A2852&lt;0,(10-1)*A2852,-1*A2852))+D$129*EXP(IF(A2852&lt;0,(10-2)*A2852,-2*A2852))+E$129*EXP(IF(A2852&lt;0,(10-3)*A2852,-3*A2852))+F$129*EXP(IF(A2852&lt;0,(10-4)*A2852,-4*A2852))+G$129*EXP(IF(A2852&lt;0,(10-5)*A2852,-5*A2852))+H$129*EXP(IF(A2852&lt;0,(10-6)*A2852,-6*A2852))+I$129*EXP(IF(A2852&lt;0,(10-7)*A2852,-7*A2852))+J$129*EXP(IF(A2852&lt;0,(10-8)*A2852,-8*A2852))+K$129*EXP(IF(A2852&lt;0,(10-9)*A2852,-9*A2852))+L$129*EXP(IF(A2852&lt;0,(10-10)*A2852,-10*A2852)),0)</x:f>
        <x:v>-185986.4288149219</x:v>
      </x:c>
      <x:c r="C2852" s="256" t="n">
        <x:f>IF(B2852=0,IF(B2851=0,0,1),IF(B2851=0,0,IF(SIGN(B2852)&lt;&gt;SIGN(B2851),1,0)))</x:f>
        <x:v>0</x:v>
      </x:c>
      <x:c r="D2852" s="256" t="n">
        <x:f>EXP(A2852-0.005)-1</x:f>
        <x:v>0.5143707406920481</x:v>
      </x:c>
    </x:row>
    <x:row r="2853" ht="20" customHeight="1">
      <x:c r="A2853" s="256" t="n">
        <x:f>-12+1243*0.01</x:f>
        <x:v>0.4299999999999997</x:v>
      </x:c>
      <x:c r="B2853" s="256" t="n">
        <x:f>IF(COUNT($B$129:$L$129)=11,B$129*EXP(IF(A2853&lt;0,(10-0)*A2853,-0*A2853))+C$129*EXP(IF(A2853&lt;0,(10-1)*A2853,-1*A2853))+D$129*EXP(IF(A2853&lt;0,(10-2)*A2853,-2*A2853))+E$129*EXP(IF(A2853&lt;0,(10-3)*A2853,-3*A2853))+F$129*EXP(IF(A2853&lt;0,(10-4)*A2853,-4*A2853))+G$129*EXP(IF(A2853&lt;0,(10-5)*A2853,-5*A2853))+H$129*EXP(IF(A2853&lt;0,(10-6)*A2853,-6*A2853))+I$129*EXP(IF(A2853&lt;0,(10-7)*A2853,-7*A2853))+J$129*EXP(IF(A2853&lt;0,(10-8)*A2853,-8*A2853))+K$129*EXP(IF(A2853&lt;0,(10-9)*A2853,-9*A2853))+L$129*EXP(IF(A2853&lt;0,(10-10)*A2853,-10*A2853)),0)</x:f>
        <x:v>-187059.82516915165</x:v>
      </x:c>
      <x:c r="C2853" s="256" t="n">
        <x:f>IF(B2853=0,IF(B2852=0,0,1),IF(B2852=0,0,IF(SIGN(B2853)&lt;&gt;SIGN(B2852),1,0)))</x:f>
        <x:v>0</x:v>
      </x:c>
      <x:c r="D2853" s="256" t="n">
        <x:f>EXP(A2853-0.005)-1</x:f>
        <x:v>0.5295904196633783</x:v>
      </x:c>
    </x:row>
    <x:row r="2854" ht="20" customHeight="1">
      <x:c r="A2854" s="256" t="n">
        <x:f>-12+1244*0.01</x:f>
        <x:v>0.4399999999999995</x:v>
      </x:c>
      <x:c r="B2854" s="256" t="n">
        <x:f>IF(COUNT($B$129:$L$129)=11,B$129*EXP(IF(A2854&lt;0,(10-0)*A2854,-0*A2854))+C$129*EXP(IF(A2854&lt;0,(10-1)*A2854,-1*A2854))+D$129*EXP(IF(A2854&lt;0,(10-2)*A2854,-2*A2854))+E$129*EXP(IF(A2854&lt;0,(10-3)*A2854,-3*A2854))+F$129*EXP(IF(A2854&lt;0,(10-4)*A2854,-4*A2854))+G$129*EXP(IF(A2854&lt;0,(10-5)*A2854,-5*A2854))+H$129*EXP(IF(A2854&lt;0,(10-6)*A2854,-6*A2854))+I$129*EXP(IF(A2854&lt;0,(10-7)*A2854,-7*A2854))+J$129*EXP(IF(A2854&lt;0,(10-8)*A2854,-8*A2854))+K$129*EXP(IF(A2854&lt;0,(10-9)*A2854,-9*A2854))+L$129*EXP(IF(A2854&lt;0,(10-10)*A2854,-10*A2854)),0)</x:f>
        <x:v>-188022.64219534455</x:v>
      </x:c>
      <x:c r="C2854" s="256" t="n">
        <x:f>IF(B2854=0,IF(B2853=0,0,1),IF(B2853=0,0,IF(SIGN(B2854)&lt;&gt;SIGN(B2853),1,0)))</x:f>
        <x:v>0</x:v>
      </x:c>
      <x:c r="D2854" s="256" t="n">
        <x:f>EXP(A2854-0.005)-1</x:f>
        <x:v>0.5449630589513377</x:v>
      </x:c>
    </x:row>
    <x:row r="2855" ht="20" customHeight="1">
      <x:c r="A2855" s="256" t="n">
        <x:f>-12+1245*0.01</x:f>
        <x:v>0.45000000000000107</x:v>
      </x:c>
      <x:c r="B2855" s="256" t="n">
        <x:f>IF(COUNT($B$129:$L$129)=11,B$129*EXP(IF(A2855&lt;0,(10-0)*A2855,-0*A2855))+C$129*EXP(IF(A2855&lt;0,(10-1)*A2855,-1*A2855))+D$129*EXP(IF(A2855&lt;0,(10-2)*A2855,-2*A2855))+E$129*EXP(IF(A2855&lt;0,(10-3)*A2855,-3*A2855))+F$129*EXP(IF(A2855&lt;0,(10-4)*A2855,-4*A2855))+G$129*EXP(IF(A2855&lt;0,(10-5)*A2855,-5*A2855))+H$129*EXP(IF(A2855&lt;0,(10-6)*A2855,-6*A2855))+I$129*EXP(IF(A2855&lt;0,(10-7)*A2855,-7*A2855))+J$129*EXP(IF(A2855&lt;0,(10-8)*A2855,-8*A2855))+K$129*EXP(IF(A2855&lt;0,(10-9)*A2855,-9*A2855))+L$129*EXP(IF(A2855&lt;0,(10-10)*A2855,-10*A2855)),0)</x:f>
        <x:v>-188885.44367970974</x:v>
      </x:c>
      <x:c r="C2855" s="256" t="n">
        <x:f>IF(B2855=0,IF(B2854=0,0,1),IF(B2854=0,0,IF(SIGN(B2855)&lt;&gt;SIGN(B2854),1,0)))</x:f>
        <x:v>0</x:v>
      </x:c>
      <x:c r="D2855" s="256" t="n">
        <x:f>EXP(A2855-0.005)-1</x:f>
        <x:v>0.5604901958326685</x:v>
      </x:c>
    </x:row>
    <x:row r="2856" ht="20" customHeight="1">
      <x:c r="A2856" s="256" t="n">
        <x:f>-12+1246*0.01</x:f>
        <x:v>0.46000000000000085</x:v>
      </x:c>
      <x:c r="B2856" s="256" t="n">
        <x:f>IF(COUNT($B$129:$L$129)=11,B$129*EXP(IF(A2856&lt;0,(10-0)*A2856,-0*A2856))+C$129*EXP(IF(A2856&lt;0,(10-1)*A2856,-1*A2856))+D$129*EXP(IF(A2856&lt;0,(10-2)*A2856,-2*A2856))+E$129*EXP(IF(A2856&lt;0,(10-3)*A2856,-3*A2856))+F$129*EXP(IF(A2856&lt;0,(10-4)*A2856,-4*A2856))+G$129*EXP(IF(A2856&lt;0,(10-5)*A2856,-5*A2856))+H$129*EXP(IF(A2856&lt;0,(10-6)*A2856,-6*A2856))+I$129*EXP(IF(A2856&lt;0,(10-7)*A2856,-7*A2856))+J$129*EXP(IF(A2856&lt;0,(10-8)*A2856,-8*A2856))+K$129*EXP(IF(A2856&lt;0,(10-9)*A2856,-9*A2856))+L$129*EXP(IF(A2856&lt;0,(10-10)*A2856,-10*A2856)),0)</x:f>
        <x:v>-189657.79435805164</x:v>
      </x:c>
      <x:c r="C2856" s="256" t="n">
        <x:f>IF(B2856=0,IF(B2855=0,0,1),IF(B2855=0,0,IF(SIGN(B2856)&lt;&gt;SIGN(B2855),1,0)))</x:f>
        <x:v>0</x:v>
      </x:c>
      <x:c r="D2856" s="256" t="n">
        <x:f>EXP(A2856-0.005)-1</x:f>
        <x:v>0.5761733830339923</x:v>
      </x:c>
    </x:row>
    <x:row r="2857" ht="20" customHeight="1">
      <x:c r="A2857" s="256" t="n">
        <x:f>-12+1247*0.01</x:f>
        <x:v>0.47000000000000064</x:v>
      </x:c>
      <x:c r="B2857" s="256" t="n">
        <x:f>IF(COUNT($B$129:$L$129)=11,B$129*EXP(IF(A2857&lt;0,(10-0)*A2857,-0*A2857))+C$129*EXP(IF(A2857&lt;0,(10-1)*A2857,-1*A2857))+D$129*EXP(IF(A2857&lt;0,(10-2)*A2857,-2*A2857))+E$129*EXP(IF(A2857&lt;0,(10-3)*A2857,-3*A2857))+F$129*EXP(IF(A2857&lt;0,(10-4)*A2857,-4*A2857))+G$129*EXP(IF(A2857&lt;0,(10-5)*A2857,-5*A2857))+H$129*EXP(IF(A2857&lt;0,(10-6)*A2857,-6*A2857))+I$129*EXP(IF(A2857&lt;0,(10-7)*A2857,-7*A2857))+J$129*EXP(IF(A2857&lt;0,(10-8)*A2857,-8*A2857))+K$129*EXP(IF(A2857&lt;0,(10-9)*A2857,-9*A2857))+L$129*EXP(IF(A2857&lt;0,(10-10)*A2857,-10*A2857)),0)</x:f>
        <x:v>-190348.35436388495</x:v>
      </x:c>
      <x:c r="C2857" s="256" t="n">
        <x:f>IF(B2857=0,IF(B2856=0,0,1),IF(B2856=0,0,IF(SIGN(B2857)&lt;&gt;SIGN(B2856),1,0)))</x:f>
        <x:v>0</x:v>
      </x:c>
      <x:c r="D2857" s="256" t="n">
        <x:f>EXP(A2857-0.005)-1</x:f>
        <x:v>0.5920141888871022</x:v>
      </x:c>
    </x:row>
    <x:row r="2858" ht="20" customHeight="1">
      <x:c r="A2858" s="256" t="n">
        <x:f>-12+1248*0.01</x:f>
        <x:v>0.4800000000000004</x:v>
      </x:c>
      <x:c r="B2858" s="256" t="n">
        <x:f>IF(COUNT($B$129:$L$129)=11,B$129*EXP(IF(A2858&lt;0,(10-0)*A2858,-0*A2858))+C$129*EXP(IF(A2858&lt;0,(10-1)*A2858,-1*A2858))+D$129*EXP(IF(A2858&lt;0,(10-2)*A2858,-2*A2858))+E$129*EXP(IF(A2858&lt;0,(10-3)*A2858,-3*A2858))+F$129*EXP(IF(A2858&lt;0,(10-4)*A2858,-4*A2858))+G$129*EXP(IF(A2858&lt;0,(10-5)*A2858,-5*A2858))+H$129*EXP(IF(A2858&lt;0,(10-6)*A2858,-6*A2858))+I$129*EXP(IF(A2858&lt;0,(10-7)*A2858,-7*A2858))+J$129*EXP(IF(A2858&lt;0,(10-8)*A2858,-8*A2858))+K$129*EXP(IF(A2858&lt;0,(10-9)*A2858,-9*A2858))+L$129*EXP(IF(A2858&lt;0,(10-10)*A2858,-10*A2858)),0)</x:f>
        <x:v>-190964.96473782804</x:v>
      </x:c>
      <x:c r="C2858" s="256" t="n">
        <x:f>IF(B2858=0,IF(B2857=0,0,1),IF(B2857=0,0,IF(SIGN(B2858)&lt;&gt;SIGN(B2857),1,0)))</x:f>
        <x:v>0</x:v>
      </x:c>
      <x:c r="D2858" s="256" t="n">
        <x:f>EXP(A2858-0.005)-1</x:f>
        <x:v>0.6080141974857836</x:v>
      </x:c>
    </x:row>
    <x:row r="2859" ht="20" customHeight="1">
      <x:c r="A2859" s="256" t="n">
        <x:f>-12+1249*0.01</x:f>
        <x:v>0.4900000000000002</x:v>
      </x:c>
      <x:c r="B2859" s="256" t="n">
        <x:f>IF(COUNT($B$129:$L$129)=11,B$129*EXP(IF(A2859&lt;0,(10-0)*A2859,-0*A2859))+C$129*EXP(IF(A2859&lt;0,(10-1)*A2859,-1*A2859))+D$129*EXP(IF(A2859&lt;0,(10-2)*A2859,-2*A2859))+E$129*EXP(IF(A2859&lt;0,(10-3)*A2859,-3*A2859))+F$129*EXP(IF(A2859&lt;0,(10-4)*A2859,-4*A2859))+G$129*EXP(IF(A2859&lt;0,(10-5)*A2859,-5*A2859))+H$129*EXP(IF(A2859&lt;0,(10-6)*A2859,-6*A2859))+I$129*EXP(IF(A2859&lt;0,(10-7)*A2859,-7*A2859))+J$129*EXP(IF(A2859&lt;0,(10-8)*A2859,-8*A2859))+K$129*EXP(IF(A2859&lt;0,(10-9)*A2859,-9*A2859))+L$129*EXP(IF(A2859&lt;0,(10-10)*A2859,-10*A2859)),0)</x:f>
        <x:v>-191514.72484519586</x:v>
      </x:c>
      <x:c r="C2859" s="256" t="n">
        <x:f>IF(B2859=0,IF(B2858=0,0,1),IF(B2858=0,0,IF(SIGN(B2859)&lt;&gt;SIGN(B2858),1,0)))</x:f>
        <x:v>0</x:v>
      </x:c>
      <x:c r="D2859" s="256" t="n">
        <x:f>EXP(A2859-0.005)-1</x:f>
        <x:v>0.6241750088442297</x:v>
      </x:c>
    </x:row>
    <x:row r="2860" ht="20" customHeight="1">
      <x:c r="A2860" s="256" t="n">
        <x:f>-12+1250*0.01</x:f>
        <x:v>0.5</x:v>
      </x:c>
      <x:c r="B2860" s="256" t="n">
        <x:f>IF(COUNT($B$129:$L$129)=11,B$129*EXP(IF(A2860&lt;0,(10-0)*A2860,-0*A2860))+C$129*EXP(IF(A2860&lt;0,(10-1)*A2860,-1*A2860))+D$129*EXP(IF(A2860&lt;0,(10-2)*A2860,-2*A2860))+E$129*EXP(IF(A2860&lt;0,(10-3)*A2860,-3*A2860))+F$129*EXP(IF(A2860&lt;0,(10-4)*A2860,-4*A2860))+G$129*EXP(IF(A2860&lt;0,(10-5)*A2860,-5*A2860))+H$129*EXP(IF(A2860&lt;0,(10-6)*A2860,-6*A2860))+I$129*EXP(IF(A2860&lt;0,(10-7)*A2860,-7*A2860))+J$129*EXP(IF(A2860&lt;0,(10-8)*A2860,-8*A2860))+K$129*EXP(IF(A2860&lt;0,(10-9)*A2860,-9*A2860))+L$129*EXP(IF(A2860&lt;0,(10-10)*A2860,-10*A2860)),0)</x:f>
        <x:v>-192004.06246839155</x:v>
      </x:c>
      <x:c r="C2860" s="256" t="n">
        <x:f>IF(B2860=0,IF(B2859=0,0,1),IF(B2859=0,0,IF(SIGN(B2860)&lt;&gt;SIGN(B2859),1,0)))</x:f>
        <x:v>0</x:v>
      </x:c>
      <x:c r="D2860" s="256" t="n">
        <x:f>EXP(A2860-0.005)-1</x:f>
        <x:v>0.640498239057044</x:v>
      </x:c>
    </x:row>
    <x:row r="2861" ht="20" customHeight="1">
      <x:c r="A2861" s="256" t="n">
        <x:f>-12+1251*0.01</x:f>
        <x:v>0.5099999999999998</x:v>
      </x:c>
      <x:c r="B2861" s="256" t="n">
        <x:f>IF(COUNT($B$129:$L$129)=11,B$129*EXP(IF(A2861&lt;0,(10-0)*A2861,-0*A2861))+C$129*EXP(IF(A2861&lt;0,(10-1)*A2861,-1*A2861))+D$129*EXP(IF(A2861&lt;0,(10-2)*A2861,-2*A2861))+E$129*EXP(IF(A2861&lt;0,(10-3)*A2861,-3*A2861))+F$129*EXP(IF(A2861&lt;0,(10-4)*A2861,-4*A2861))+G$129*EXP(IF(A2861&lt;0,(10-5)*A2861,-5*A2861))+H$129*EXP(IF(A2861&lt;0,(10-6)*A2861,-6*A2861))+I$129*EXP(IF(A2861&lt;0,(10-7)*A2861,-7*A2861))+J$129*EXP(IF(A2861&lt;0,(10-8)*A2861,-8*A2861))+K$129*EXP(IF(A2861&lt;0,(10-9)*A2861,-9*A2861))+L$129*EXP(IF(A2861&lt;0,(10-10)*A2861,-10*A2861)),0)</x:f>
        <x:v>-192438.79726800715</x:v>
      </x:c>
      <x:c r="C2861" s="256" t="n">
        <x:f>IF(B2861=0,IF(B2860=0,0,1),IF(B2860=0,0,IF(SIGN(B2861)&lt;&gt;SIGN(B2860),1,0)))</x:f>
        <x:v>0</x:v>
      </x:c>
      <x:c r="D2861" s="256" t="n">
        <x:f>EXP(A2861-0.005)-1</x:f>
        <x:v>0.6569855204608503</x:v>
      </x:c>
    </x:row>
    <x:row r="2862" ht="20" customHeight="1">
      <x:c r="A2862" s="256" t="n">
        <x:f>-12+1252*0.01</x:f>
        <x:v>0.5199999999999996</x:v>
      </x:c>
      <x:c r="B2862" s="256" t="n">
        <x:f>IF(COUNT($B$129:$L$129)=11,B$129*EXP(IF(A2862&lt;0,(10-0)*A2862,-0*A2862))+C$129*EXP(IF(A2862&lt;0,(10-1)*A2862,-1*A2862))+D$129*EXP(IF(A2862&lt;0,(10-2)*A2862,-2*A2862))+E$129*EXP(IF(A2862&lt;0,(10-3)*A2862,-3*A2862))+F$129*EXP(IF(A2862&lt;0,(10-4)*A2862,-4*A2862))+G$129*EXP(IF(A2862&lt;0,(10-5)*A2862,-5*A2862))+H$129*EXP(IF(A2862&lt;0,(10-6)*A2862,-6*A2862))+I$129*EXP(IF(A2862&lt;0,(10-7)*A2862,-7*A2862))+J$129*EXP(IF(A2862&lt;0,(10-8)*A2862,-8*A2862))+K$129*EXP(IF(A2862&lt;0,(10-9)*A2862,-9*A2862))+L$129*EXP(IF(A2862&lt;0,(10-10)*A2862,-10*A2862)),0)</x:f>
        <x:v>-192824.19824074683</x:v>
      </x:c>
      <x:c r="C2862" s="256" t="n">
        <x:f>IF(B2862=0,IF(B2861=0,0,1),IF(B2861=0,0,IF(SIGN(B2862)&lt;&gt;SIGN(B2861),1,0)))</x:f>
        <x:v>0</x:v>
      </x:c>
      <x:c r="D2862" s="256" t="n">
        <x:f>EXP(A2862-0.005)-1</x:f>
        <x:v>0.6736385017975288</x:v>
      </x:c>
    </x:row>
    <x:row r="2863" ht="20" customHeight="1">
      <x:c r="A2863" s="256" t="n">
        <x:f>-12+1253*0.01</x:f>
        <x:v>0.5300000000000011</x:v>
      </x:c>
      <x:c r="B2863" s="256" t="n">
        <x:f>IF(COUNT($B$129:$L$129)=11,B$129*EXP(IF(A2863&lt;0,(10-0)*A2863,-0*A2863))+C$129*EXP(IF(A2863&lt;0,(10-1)*A2863,-1*A2863))+D$129*EXP(IF(A2863&lt;0,(10-2)*A2863,-2*A2863))+E$129*EXP(IF(A2863&lt;0,(10-3)*A2863,-3*A2863))+F$129*EXP(IF(A2863&lt;0,(10-4)*A2863,-4*A2863))+G$129*EXP(IF(A2863&lt;0,(10-5)*A2863,-5*A2863))+H$129*EXP(IF(A2863&lt;0,(10-6)*A2863,-6*A2863))+I$129*EXP(IF(A2863&lt;0,(10-7)*A2863,-7*A2863))+J$129*EXP(IF(A2863&lt;0,(10-8)*A2863,-8*A2863))+K$129*EXP(IF(A2863&lt;0,(10-9)*A2863,-9*A2863))+L$129*EXP(IF(A2863&lt;0,(10-10)*A2863,-10*A2863)),0)</x:f>
        <x:v>-193165.03574273334</x:v>
      </x:c>
      <x:c r="C2863" s="256" t="n">
        <x:f>IF(B2863=0,IF(B2862=0,0,1),IF(B2862=0,0,IF(SIGN(B2863)&lt;&gt;SIGN(B2862),1,0)))</x:f>
        <x:v>0</x:v>
      </x:c>
      <x:c r="D2863" s="256" t="n">
        <x:f>EXP(A2863-0.005)-1</x:f>
        <x:v>0.6904588483790932</x:v>
      </x:c>
    </x:row>
    <x:row r="2864" ht="20" customHeight="1">
      <x:c r="A2864" s="256" t="n">
        <x:f>-12+1254*0.01</x:f>
        <x:v>0.5400000000000009</x:v>
      </x:c>
      <x:c r="B2864" s="256" t="n">
        <x:f>IF(COUNT($B$129:$L$129)=11,B$129*EXP(IF(A2864&lt;0,(10-0)*A2864,-0*A2864))+C$129*EXP(IF(A2864&lt;0,(10-1)*A2864,-1*A2864))+D$129*EXP(IF(A2864&lt;0,(10-2)*A2864,-2*A2864))+E$129*EXP(IF(A2864&lt;0,(10-3)*A2864,-3*A2864))+F$129*EXP(IF(A2864&lt;0,(10-4)*A2864,-4*A2864))+G$129*EXP(IF(A2864&lt;0,(10-5)*A2864,-5*A2864))+H$129*EXP(IF(A2864&lt;0,(10-6)*A2864,-6*A2864))+I$129*EXP(IF(A2864&lt;0,(10-7)*A2864,-7*A2864))+J$129*EXP(IF(A2864&lt;0,(10-8)*A2864,-8*A2864))+K$129*EXP(IF(A2864&lt;0,(10-9)*A2864,-9*A2864))+L$129*EXP(IF(A2864&lt;0,(10-10)*A2864,-10*A2864)),0)</x:f>
        <x:v>-193465.6285928581</x:v>
      </x:c>
      <x:c r="C2864" s="256" t="n">
        <x:f>IF(B2864=0,IF(B2863=0,0,1),IF(B2863=0,0,IF(SIGN(B2864)&lt;&gt;SIGN(B2863),1,0)))</x:f>
        <x:v>0</x:v>
      </x:c>
      <x:c r="D2864" s="256" t="n">
        <x:f>EXP(A2864-0.005)-1</x:f>
        <x:v>0.707448242254213</x:v>
      </x:c>
    </x:row>
    <x:row r="2865" ht="20" customHeight="1">
      <x:c r="A2865" s="256" t="n">
        <x:f>-12+1255*0.01</x:f>
        <x:v>0.5500000000000007</x:v>
      </x:c>
      <x:c r="B2865" s="256" t="n">
        <x:f>IF(COUNT($B$129:$L$129)=11,B$129*EXP(IF(A2865&lt;0,(10-0)*A2865,-0*A2865))+C$129*EXP(IF(A2865&lt;0,(10-1)*A2865,-1*A2865))+D$129*EXP(IF(A2865&lt;0,(10-2)*A2865,-2*A2865))+E$129*EXP(IF(A2865&lt;0,(10-3)*A2865,-3*A2865))+F$129*EXP(IF(A2865&lt;0,(10-4)*A2865,-4*A2865))+G$129*EXP(IF(A2865&lt;0,(10-5)*A2865,-5*A2865))+H$129*EXP(IF(A2865&lt;0,(10-6)*A2865,-6*A2865))+I$129*EXP(IF(A2865&lt;0,(10-7)*A2865,-7*A2865))+J$129*EXP(IF(A2865&lt;0,(10-8)*A2865,-8*A2865))+K$129*EXP(IF(A2865&lt;0,(10-9)*A2865,-9*A2865))+L$129*EXP(IF(A2865&lt;0,(10-10)*A2865,-10*A2865)),0)</x:f>
        <x:v>-193729.8867220463</x:v>
      </x:c>
      <x:c r="C2865" s="256" t="n">
        <x:f>IF(B2865=0,IF(B2864=0,0,1),IF(B2864=0,0,IF(SIGN(B2865)&lt;&gt;SIGN(B2864),1,0)))</x:f>
        <x:v>0</x:v>
      </x:c>
      <x:c r="D2865" s="256" t="n">
        <x:f>EXP(A2865-0.005)-1</x:f>
        <x:v>0.7246083823764367</x:v>
      </x:c>
    </x:row>
    <x:row r="2866" ht="20" customHeight="1">
      <x:c r="A2866" s="256" t="n">
        <x:f>-12+1256*0.01</x:f>
        <x:v>0.5600000000000005</x:v>
      </x:c>
      <x:c r="B2866" s="256" t="n">
        <x:f>IF(COUNT($B$129:$L$129)=11,B$129*EXP(IF(A2866&lt;0,(10-0)*A2866,-0*A2866))+C$129*EXP(IF(A2866&lt;0,(10-1)*A2866,-1*A2866))+D$129*EXP(IF(A2866&lt;0,(10-2)*A2866,-2*A2866))+E$129*EXP(IF(A2866&lt;0,(10-3)*A2866,-3*A2866))+F$129*EXP(IF(A2866&lt;0,(10-4)*A2866,-4*A2866))+G$129*EXP(IF(A2866&lt;0,(10-5)*A2866,-5*A2866))+H$129*EXP(IF(A2866&lt;0,(10-6)*A2866,-6*A2866))+I$129*EXP(IF(A2866&lt;0,(10-7)*A2866,-7*A2866))+J$129*EXP(IF(A2866&lt;0,(10-8)*A2866,-8*A2866))+K$129*EXP(IF(A2866&lt;0,(10-9)*A2866,-9*A2866))+L$129*EXP(IF(A2866&lt;0,(10-10)*A2866,-10*A2866)),0)</x:f>
        <x:v>-193961.34979014966</x:v>
      </x:c>
      <x:c r="C2866" s="256" t="n">
        <x:f>IF(B2866=0,IF(B2865=0,0,1),IF(B2865=0,0,IF(SIGN(B2866)&lt;&gt;SIGN(B2865),1,0)))</x:f>
        <x:v>0</x:v>
      </x:c>
      <x:c r="D2866" s="256" t="n">
        <x:f>EXP(A2866-0.005)-1</x:f>
        <x:v>0.7419409847740763</x:v>
      </x:c>
    </x:row>
    <x:row r="2867" ht="20" customHeight="1">
      <x:c r="A2867" s="256" t="n">
        <x:f>-12+1257*0.01</x:f>
        <x:v>0.5700000000000003</x:v>
      </x:c>
      <x:c r="B2867" s="256" t="n">
        <x:f>IF(COUNT($B$129:$L$129)=11,B$129*EXP(IF(A2867&lt;0,(10-0)*A2867,-0*A2867))+C$129*EXP(IF(A2867&lt;0,(10-1)*A2867,-1*A2867))+D$129*EXP(IF(A2867&lt;0,(10-2)*A2867,-2*A2867))+E$129*EXP(IF(A2867&lt;0,(10-3)*A2867,-3*A2867))+F$129*EXP(IF(A2867&lt;0,(10-4)*A2867,-4*A2867))+G$129*EXP(IF(A2867&lt;0,(10-5)*A2867,-5*A2867))+H$129*EXP(IF(A2867&lt;0,(10-6)*A2867,-6*A2867))+I$129*EXP(IF(A2867&lt;0,(10-7)*A2867,-7*A2867))+J$129*EXP(IF(A2867&lt;0,(10-8)*A2867,-8*A2867))+K$129*EXP(IF(A2867&lt;0,(10-9)*A2867,-9*A2867))+L$129*EXP(IF(A2867&lt;0,(10-10)*A2867,-10*A2867)),0)</x:f>
        <x:v>-194163.22215220946</x:v>
      </x:c>
      <x:c r="C2867" s="256" t="n">
        <x:f>IF(B2867=0,IF(B2866=0,0,1),IF(B2866=0,0,IF(SIGN(B2867)&lt;&gt;SIGN(B2866),1,0)))</x:f>
        <x:v>0</x:v>
      </x:c>
      <x:c r="D2867" s="256" t="n">
        <x:f>EXP(A2867-0.005)-1</x:f>
        <x:v>0.7594477827218156</x:v>
      </x:c>
    </x:row>
    <x:row r="2868" ht="20" customHeight="1">
      <x:c r="A2868" s="256" t="n">
        <x:f>-12+1258*0.01</x:f>
        <x:v>0.5800000000000001</x:v>
      </x:c>
      <x:c r="B2868" s="256" t="n">
        <x:f>IF(COUNT($B$129:$L$129)=11,B$129*EXP(IF(A2868&lt;0,(10-0)*A2868,-0*A2868))+C$129*EXP(IF(A2868&lt;0,(10-1)*A2868,-1*A2868))+D$129*EXP(IF(A2868&lt;0,(10-2)*A2868,-2*A2868))+E$129*EXP(IF(A2868&lt;0,(10-3)*A2868,-3*A2868))+F$129*EXP(IF(A2868&lt;0,(10-4)*A2868,-4*A2868))+G$129*EXP(IF(A2868&lt;0,(10-5)*A2868,-5*A2868))+H$129*EXP(IF(A2868&lt;0,(10-6)*A2868,-6*A2868))+I$129*EXP(IF(A2868&lt;0,(10-7)*A2868,-7*A2868))+J$129*EXP(IF(A2868&lt;0,(10-8)*A2868,-8*A2868))+K$129*EXP(IF(A2868&lt;0,(10-9)*A2868,-9*A2868))+L$129*EXP(IF(A2868&lt;0,(10-10)*A2868,-10*A2868)),0)</x:f>
        <x:v>-194338.4045196531</x:v>
      </x:c>
      <x:c r="C2868" s="256" t="n">
        <x:f>IF(B2868=0,IF(B2867=0,0,1),IF(B2867=0,0,IF(SIGN(B2868)&lt;&gt;SIGN(B2867),1,0)))</x:f>
        <x:v>0</x:v>
      </x:c>
      <x:c r="D2868" s="256" t="n">
        <x:f>EXP(A2868-0.005)-1</x:f>
        <x:v>0.7771305269140385</x:v>
      </x:c>
    </x:row>
    <x:row r="2869" ht="20" customHeight="1">
      <x:c r="A2869" s="256" t="n">
        <x:f>-12+1259*0.01</x:f>
        <x:v>0.5899999999999999</x:v>
      </x:c>
      <x:c r="B2869" s="256" t="n">
        <x:f>IF(COUNT($B$129:$L$129)=11,B$129*EXP(IF(A2869&lt;0,(10-0)*A2869,-0*A2869))+C$129*EXP(IF(A2869&lt;0,(10-1)*A2869,-1*A2869))+D$129*EXP(IF(A2869&lt;0,(10-2)*A2869,-2*A2869))+E$129*EXP(IF(A2869&lt;0,(10-3)*A2869,-3*A2869))+F$129*EXP(IF(A2869&lt;0,(10-4)*A2869,-4*A2869))+G$129*EXP(IF(A2869&lt;0,(10-5)*A2869,-5*A2869))+H$129*EXP(IF(A2869&lt;0,(10-6)*A2869,-6*A2869))+I$129*EXP(IF(A2869&lt;0,(10-7)*A2869,-7*A2869))+J$129*EXP(IF(A2869&lt;0,(10-8)*A2869,-8*A2869))+K$129*EXP(IF(A2869&lt;0,(10-9)*A2869,-9*A2869))+L$129*EXP(IF(A2869&lt;0,(10-10)*A2869,-10*A2869)),0)</x:f>
        <x:v>-194489.5226292417</x:v>
      </x:c>
      <x:c r="C2869" s="256" t="n">
        <x:f>IF(B2869=0,IF(B2868=0,0,1),IF(B2868=0,0,IF(SIGN(B2869)&lt;&gt;SIGN(B2868),1,0)))</x:f>
        <x:v>0</x:v>
      </x:c>
      <x:c r="D2869" s="256" t="n">
        <x:f>EXP(A2869-0.005)-1</x:f>
        <x:v>0.7949909856398998</x:v>
      </x:c>
    </x:row>
    <x:row r="2870" ht="20" customHeight="1">
      <x:c r="A2870" s="256" t="n">
        <x:f>-12+1260*0.01</x:f>
        <x:v>0.5999999999999996</x:v>
      </x:c>
      <x:c r="B2870" s="256" t="n">
        <x:f>IF(COUNT($B$129:$L$129)=11,B$129*EXP(IF(A2870&lt;0,(10-0)*A2870,-0*A2870))+C$129*EXP(IF(A2870&lt;0,(10-1)*A2870,-1*A2870))+D$129*EXP(IF(A2870&lt;0,(10-2)*A2870,-2*A2870))+E$129*EXP(IF(A2870&lt;0,(10-3)*A2870,-3*A2870))+F$129*EXP(IF(A2870&lt;0,(10-4)*A2870,-4*A2870))+G$129*EXP(IF(A2870&lt;0,(10-5)*A2870,-5*A2870))+H$129*EXP(IF(A2870&lt;0,(10-6)*A2870,-6*A2870))+I$129*EXP(IF(A2870&lt;0,(10-7)*A2870,-7*A2870))+J$129*EXP(IF(A2870&lt;0,(10-8)*A2870,-8*A2870))+K$129*EXP(IF(A2870&lt;0,(10-9)*A2870,-9*A2870))+L$129*EXP(IF(A2870&lt;0,(10-10)*A2870,-10*A2870)),0)</x:f>
        <x:v>-194618.95320294428</x:v>
      </x:c>
      <x:c r="C2870" s="256" t="n">
        <x:f>IF(B2870=0,IF(B2869=0,0,1),IF(B2869=0,0,IF(SIGN(B2870)&lt;&gt;SIGN(B2869),1,0)))</x:f>
        <x:v>0</x:v>
      </x:c>
      <x:c r="D2870" s="256" t="n">
        <x:f>EXP(A2870-0.005)-1</x:f>
        <x:v>0.8130309449601558</x:v>
      </x:c>
    </x:row>
    <x:row r="2871" ht="20" customHeight="1">
      <x:c r="A2871" s="256" t="n">
        <x:f>-12+1261*0.01</x:f>
        <x:v>0.6099999999999994</x:v>
      </x:c>
      <x:c r="B2871" s="256" t="n">
        <x:f>IF(COUNT($B$129:$L$129)=11,B$129*EXP(IF(A2871&lt;0,(10-0)*A2871,-0*A2871))+C$129*EXP(IF(A2871&lt;0,(10-1)*A2871,-1*A2871))+D$129*EXP(IF(A2871&lt;0,(10-2)*A2871,-2*A2871))+E$129*EXP(IF(A2871&lt;0,(10-3)*A2871,-3*A2871))+F$129*EXP(IF(A2871&lt;0,(10-4)*A2871,-4*A2871))+G$129*EXP(IF(A2871&lt;0,(10-5)*A2871,-5*A2871))+H$129*EXP(IF(A2871&lt;0,(10-6)*A2871,-6*A2871))+I$129*EXP(IF(A2871&lt;0,(10-7)*A2871,-7*A2871))+J$129*EXP(IF(A2871&lt;0,(10-8)*A2871,-8*A2871))+K$129*EXP(IF(A2871&lt;0,(10-9)*A2871,-9*A2871))+L$129*EXP(IF(A2871&lt;0,(10-10)*A2871,-10*A2871)),0)</x:f>
        <x:v>-194728.84745508336</x:v>
      </x:c>
      <x:c r="C2871" s="256" t="n">
        <x:f>IF(B2871=0,IF(B2870=0,0,1),IF(B2870=0,0,IF(SIGN(B2871)&lt;&gt;SIGN(B2870),1,0)))</x:f>
        <x:v>0</x:v>
      </x:c>
      <x:c r="D2871" s="256" t="n">
        <x:f>EXP(A2871-0.005)-1</x:f>
        <x:v>0.8312522088857721</x:v>
      </x:c>
    </x:row>
    <x:row r="2872" ht="20" customHeight="1">
      <x:c r="A2872" s="256" t="n">
        <x:f>-12+1262*0.01</x:f>
        <x:v>0.620000000000001</x:v>
      </x:c>
      <x:c r="B2872" s="256" t="n">
        <x:f>IF(COUNT($B$129:$L$129)=11,B$129*EXP(IF(A2872&lt;0,(10-0)*A2872,-0*A2872))+C$129*EXP(IF(A2872&lt;0,(10-1)*A2872,-1*A2872))+D$129*EXP(IF(A2872&lt;0,(10-2)*A2872,-2*A2872))+E$129*EXP(IF(A2872&lt;0,(10-3)*A2872,-3*A2872))+F$129*EXP(IF(A2872&lt;0,(10-4)*A2872,-4*A2872))+G$129*EXP(IF(A2872&lt;0,(10-5)*A2872,-5*A2872))+H$129*EXP(IF(A2872&lt;0,(10-6)*A2872,-6*A2872))+I$129*EXP(IF(A2872&lt;0,(10-7)*A2872,-7*A2872))+J$129*EXP(IF(A2872&lt;0,(10-8)*A2872,-8*A2872))+K$129*EXP(IF(A2872&lt;0,(10-9)*A2872,-9*A2872))+L$129*EXP(IF(A2872&lt;0,(10-10)*A2872,-10*A2872)),0)</x:f>
        <x:v>-194821.15237881336</x:v>
      </x:c>
      <x:c r="C2872" s="256" t="n">
        <x:f>IF(B2872=0,IF(B2871=0,0,1),IF(B2871=0,0,IF(SIGN(B2872)&lt;&gt;SIGN(B2871),1,0)))</x:f>
        <x:v>0</x:v>
      </x:c>
      <x:c r="D2872" s="256" t="n">
        <x:f>EXP(A2872-0.005)-1</x:f>
        <x:v>0.849656599558329</x:v>
      </x:c>
    </x:row>
    <x:row r="2873" ht="20" customHeight="1">
      <x:c r="A2873" s="256" t="n">
        <x:f>-12+1263*0.01</x:f>
        <x:v>0.6300000000000008</x:v>
      </x:c>
      <x:c r="B2873" s="256" t="n">
        <x:f>IF(COUNT($B$129:$L$129)=11,B$129*EXP(IF(A2873&lt;0,(10-0)*A2873,-0*A2873))+C$129*EXP(IF(A2873&lt;0,(10-1)*A2873,-1*A2873))+D$129*EXP(IF(A2873&lt;0,(10-2)*A2873,-2*A2873))+E$129*EXP(IF(A2873&lt;0,(10-3)*A2873,-3*A2873))+F$129*EXP(IF(A2873&lt;0,(10-4)*A2873,-4*A2873))+G$129*EXP(IF(A2873&lt;0,(10-5)*A2873,-5*A2873))+H$129*EXP(IF(A2873&lt;0,(10-6)*A2873,-6*A2873))+I$129*EXP(IF(A2873&lt;0,(10-7)*A2873,-7*A2873))+J$129*EXP(IF(A2873&lt;0,(10-8)*A2873,-8*A2873))+K$129*EXP(IF(A2873&lt;0,(10-9)*A2873,-9*A2873))+L$129*EXP(IF(A2873&lt;0,(10-10)*A2873,-10*A2873)),0)</x:f>
        <x:v>-194897.63002200858</x:v>
      </x:c>
      <x:c r="C2873" s="256" t="n">
        <x:f>IF(B2873=0,IF(B2872=0,0,1),IF(B2872=0,0,IF(SIGN(B2873)&lt;&gt;SIGN(B2872),1,0)))</x:f>
        <x:v>0</x:v>
      </x:c>
      <x:c r="D2873" s="256" t="n">
        <x:f>EXP(A2873-0.005)-1</x:f>
        <x:v>0.8682459574322239</x:v>
      </x:c>
    </x:row>
    <x:row r="2874" ht="20" customHeight="1">
      <x:c r="A2874" s="256" t="n">
        <x:f>-12+1264*0.01</x:f>
        <x:v>0.6400000000000006</x:v>
      </x:c>
      <x:c r="B2874" s="256" t="n">
        <x:f>IF(COUNT($B$129:$L$129)=11,B$129*EXP(IF(A2874&lt;0,(10-0)*A2874,-0*A2874))+C$129*EXP(IF(A2874&lt;0,(10-1)*A2874,-1*A2874))+D$129*EXP(IF(A2874&lt;0,(10-2)*A2874,-2*A2874))+E$129*EXP(IF(A2874&lt;0,(10-3)*A2874,-3*A2874))+F$129*EXP(IF(A2874&lt;0,(10-4)*A2874,-4*A2874))+G$129*EXP(IF(A2874&lt;0,(10-5)*A2874,-5*A2874))+H$129*EXP(IF(A2874&lt;0,(10-6)*A2874,-6*A2874))+I$129*EXP(IF(A2874&lt;0,(10-7)*A2874,-7*A2874))+J$129*EXP(IF(A2874&lt;0,(10-8)*A2874,-8*A2874))+K$129*EXP(IF(A2874&lt;0,(10-9)*A2874,-9*A2874))+L$129*EXP(IF(A2874&lt;0,(10-10)*A2874,-10*A2874)),0)</x:f>
        <x:v>-194959.8749427394</x:v>
      </x:c>
      <x:c r="C2874" s="256" t="n">
        <x:f>IF(B2874=0,IF(B2873=0,0,1),IF(B2873=0,0,IF(SIGN(B2874)&lt;&gt;SIGN(B2873),1,0)))</x:f>
        <x:v>0</x:v>
      </x:c>
      <x:c r="D2874" s="256" t="n">
        <x:f>EXP(A2874-0.005)-1</x:f>
        <x:v>0.8870221414587389</x:v>
      </x:c>
    </x:row>
    <x:row r="2875" ht="20" customHeight="1">
      <x:c r="A2875" s="256" t="n">
        <x:f>-12+1265*0.01</x:f>
        <x:v>0.6500000000000004</x:v>
      </x:c>
      <x:c r="B2875" s="256" t="n">
        <x:f>IF(COUNT($B$129:$L$129)=11,B$129*EXP(IF(A2875&lt;0,(10-0)*A2875,-0*A2875))+C$129*EXP(IF(A2875&lt;0,(10-1)*A2875,-1*A2875))+D$129*EXP(IF(A2875&lt;0,(10-2)*A2875,-2*A2875))+E$129*EXP(IF(A2875&lt;0,(10-3)*A2875,-3*A2875))+F$129*EXP(IF(A2875&lt;0,(10-4)*A2875,-4*A2875))+G$129*EXP(IF(A2875&lt;0,(10-5)*A2875,-5*A2875))+H$129*EXP(IF(A2875&lt;0,(10-6)*A2875,-6*A2875))+I$129*EXP(IF(A2875&lt;0,(10-7)*A2875,-7*A2875))+J$129*EXP(IF(A2875&lt;0,(10-8)*A2875,-8*A2875))+K$129*EXP(IF(A2875&lt;0,(10-9)*A2875,-9*A2875))+L$129*EXP(IF(A2875&lt;0,(10-10)*A2875,-10*A2875)),0)</x:f>
        <x:v>-195009.33001650524</x:v>
      </x:c>
      <x:c r="C2875" s="256" t="n">
        <x:f>IF(B2875=0,IF(B2874=0,0,1),IF(B2874=0,0,IF(SIGN(B2875)&lt;&gt;SIGN(B2874),1,0)))</x:f>
        <x:v>0</x:v>
      </x:c>
      <x:c r="D2875" s="256" t="n">
        <x:f>EXP(A2875-0.005)-1</x:f>
        <x:v>0.9059870292719234</x:v>
      </x:c>
    </x:row>
    <x:row r="2876" ht="20" customHeight="1">
      <x:c r="A2876" s="256" t="n">
        <x:f>-12+1266*0.01</x:f>
        <x:v>0.6600000000000001</x:v>
      </x:c>
      <x:c r="B2876" s="256" t="n">
        <x:f>IF(COUNT($B$129:$L$129)=11,B$129*EXP(IF(A2876&lt;0,(10-0)*A2876,-0*A2876))+C$129*EXP(IF(A2876&lt;0,(10-1)*A2876,-1*A2876))+D$129*EXP(IF(A2876&lt;0,(10-2)*A2876,-2*A2876))+E$129*EXP(IF(A2876&lt;0,(10-3)*A2876,-3*A2876))+F$129*EXP(IF(A2876&lt;0,(10-4)*A2876,-4*A2876))+G$129*EXP(IF(A2876&lt;0,(10-5)*A2876,-5*A2876))+H$129*EXP(IF(A2876&lt;0,(10-6)*A2876,-6*A2876))+I$129*EXP(IF(A2876&lt;0,(10-7)*A2876,-7*A2876))+J$129*EXP(IF(A2876&lt;0,(10-8)*A2876,-8*A2876))+K$129*EXP(IF(A2876&lt;0,(10-9)*A2876,-9*A2876))+L$129*EXP(IF(A2876&lt;0,(10-10)*A2876,-10*A2876)),0)</x:f>
        <x:v>-195047.30075108568</x:v>
      </x:c>
      <x:c r="C2876" s="256" t="n">
        <x:f>IF(B2876=0,IF(B2875=0,0,1),IF(B2875=0,0,IF(SIGN(B2876)&lt;&gt;SIGN(B2875),1,0)))</x:f>
        <x:v>0</x:v>
      </x:c>
      <x:c r="D2876" s="256" t="n">
        <x:f>EXP(A2876-0.005)-1</x:f>
        <x:v>0.925142517376363</x:v>
      </x:c>
    </x:row>
    <x:row r="2877" ht="20" customHeight="1">
      <x:c r="A2877" s="256" t="n">
        <x:f>-12+1267*0.01</x:f>
        <x:v>0.6699999999999999</x:v>
      </x:c>
      <x:c r="B2877" s="256" t="n">
        <x:f>IF(COUNT($B$129:$L$129)=11,B$129*EXP(IF(A2877&lt;0,(10-0)*A2877,-0*A2877))+C$129*EXP(IF(A2877&lt;0,(10-1)*A2877,-1*A2877))+D$129*EXP(IF(A2877&lt;0,(10-2)*A2877,-2*A2877))+E$129*EXP(IF(A2877&lt;0,(10-3)*A2877,-3*A2877))+F$129*EXP(IF(A2877&lt;0,(10-4)*A2877,-4*A2877))+G$129*EXP(IF(A2877&lt;0,(10-5)*A2877,-5*A2877))+H$129*EXP(IF(A2877&lt;0,(10-6)*A2877,-6*A2877))+I$129*EXP(IF(A2877&lt;0,(10-7)*A2877,-7*A2877))+J$129*EXP(IF(A2877&lt;0,(10-8)*A2877,-8*A2877))+K$129*EXP(IF(A2877&lt;0,(10-9)*A2877,-9*A2877))+L$129*EXP(IF(A2877&lt;0,(10-10)*A2877,-10*A2877)),0)</x:f>
        <x:v>-195074.96825011633</x:v>
      </x:c>
      <x:c r="C2877" s="256" t="n">
        <x:f>IF(B2877=0,IF(B2876=0,0,1),IF(B2876=0,0,IF(SIGN(B2877)&lt;&gt;SIGN(B2876),1,0)))</x:f>
        <x:v>0</x:v>
      </x:c>
      <x:c r="D2877" s="256" t="n">
        <x:f>EXP(A2877-0.005)-1</x:f>
        <x:v>0.9444905213368309</x:v>
      </x:c>
    </x:row>
    <x:row r="2878" ht="20" customHeight="1">
      <x:c r="A2878" s="256" t="n">
        <x:f>-12+1268*0.01</x:f>
        <x:v>0.6799999999999997</x:v>
      </x:c>
      <x:c r="B2878" s="256" t="n">
        <x:f>IF(COUNT($B$129:$L$129)=11,B$129*EXP(IF(A2878&lt;0,(10-0)*A2878,-0*A2878))+C$129*EXP(IF(A2878&lt;0,(10-1)*A2878,-1*A2878))+D$129*EXP(IF(A2878&lt;0,(10-2)*A2878,-2*A2878))+E$129*EXP(IF(A2878&lt;0,(10-3)*A2878,-3*A2878))+F$129*EXP(IF(A2878&lt;0,(10-4)*A2878,-4*A2878))+G$129*EXP(IF(A2878&lt;0,(10-5)*A2878,-5*A2878))+H$129*EXP(IF(A2878&lt;0,(10-6)*A2878,-6*A2878))+I$129*EXP(IF(A2878&lt;0,(10-7)*A2878,-7*A2878))+J$129*EXP(IF(A2878&lt;0,(10-8)*A2878,-8*A2878))+K$129*EXP(IF(A2878&lt;0,(10-9)*A2878,-9*A2878))+L$129*EXP(IF(A2878&lt;0,(10-10)*A2878,-10*A2878)),0)</x:f>
        <x:v>-195093.40095313272</x:v>
      </x:c>
      <x:c r="C2878" s="256" t="n">
        <x:f>IF(B2878=0,IF(B2877=0,0,1),IF(B2877=0,0,IF(SIGN(B2878)&lt;&gt;SIGN(B2877),1,0)))</x:f>
        <x:v>0</x:v>
      </x:c>
      <x:c r="D2878" s="256" t="n">
        <x:f>EXP(A2878-0.005)-1</x:f>
        <x:v>0.9640329759698467</x:v>
      </x:c>
    </x:row>
    <x:row r="2879" ht="20" customHeight="1">
      <x:c r="A2879" s="256" t="n">
        <x:f>-12+1269*0.01</x:f>
        <x:v>0.6899999999999995</x:v>
      </x:c>
      <x:c r="B2879" s="256" t="n">
        <x:f>IF(COUNT($B$129:$L$129)=11,B$129*EXP(IF(A2879&lt;0,(10-0)*A2879,-0*A2879))+C$129*EXP(IF(A2879&lt;0,(10-1)*A2879,-1*A2879))+D$129*EXP(IF(A2879&lt;0,(10-2)*A2879,-2*A2879))+E$129*EXP(IF(A2879&lt;0,(10-3)*A2879,-3*A2879))+F$129*EXP(IF(A2879&lt;0,(10-4)*A2879,-4*A2879))+G$129*EXP(IF(A2879&lt;0,(10-5)*A2879,-5*A2879))+H$129*EXP(IF(A2879&lt;0,(10-6)*A2879,-6*A2879))+I$129*EXP(IF(A2879&lt;0,(10-7)*A2879,-7*A2879))+J$129*EXP(IF(A2879&lt;0,(10-8)*A2879,-8*A2879))+K$129*EXP(IF(A2879&lt;0,(10-9)*A2879,-9*A2879))+L$129*EXP(IF(A2879&lt;0,(10-10)*A2879,-10*A2879)),0)</x:f>
        <x:v>-195103.5652677345</x:v>
      </x:c>
      <x:c r="C2879" s="256" t="n">
        <x:f>IF(B2879=0,IF(B2878=0,0,1),IF(B2878=0,0,IF(SIGN(B2879)&lt;&gt;SIGN(B2878),1,0)))</x:f>
        <x:v>0</x:v>
      </x:c>
      <x:c r="D2879" s="256" t="n">
        <x:f>EXP(A2879-0.005)-1</x:f>
        <x:v>0.983771835537159</x:v>
      </x:c>
    </x:row>
    <x:row r="2880" ht="20" customHeight="1">
      <x:c r="A2880" s="256" t="n">
        <x:f>-12+1270*0.01</x:f>
        <x:v>0.7000000000000011</x:v>
      </x:c>
      <x:c r="B2880" s="256" t="n">
        <x:f>IF(COUNT($B$129:$L$129)=11,B$129*EXP(IF(A2880&lt;0,(10-0)*A2880,-0*A2880))+C$129*EXP(IF(A2880&lt;0,(10-1)*A2880,-1*A2880))+D$129*EXP(IF(A2880&lt;0,(10-2)*A2880,-2*A2880))+E$129*EXP(IF(A2880&lt;0,(10-3)*A2880,-3*A2880))+F$129*EXP(IF(A2880&lt;0,(10-4)*A2880,-4*A2880))+G$129*EXP(IF(A2880&lt;0,(10-5)*A2880,-5*A2880))+H$129*EXP(IF(A2880&lt;0,(10-6)*A2880,-6*A2880))+I$129*EXP(IF(A2880&lt;0,(10-7)*A2880,-7*A2880))+J$129*EXP(IF(A2880&lt;0,(10-8)*A2880,-8*A2880))+K$129*EXP(IF(A2880&lt;0,(10-9)*A2880,-9*A2880))+L$129*EXP(IF(A2880&lt;0,(10-10)*A2880,-10*A2880)),0)</x:f>
        <x:v>-195106.33519857452</x:v>
      </x:c>
      <x:c r="C2880" s="256" t="n">
        <x:f>IF(B2880=0,IF(B2879=0,0,1),IF(B2879=0,0,IF(SIGN(B2880)&lt;&gt;SIGN(B2879),1,0)))</x:f>
        <x:v>0</x:v>
      </x:c>
      <x:c r="D2880" s="256" t="n">
        <x:f>EXP(A2880-0.005)-1</x:f>
        <x:v>1.0037090739411774</x:v>
      </x:c>
    </x:row>
    <x:row r="2881" ht="20" customHeight="1">
      <x:c r="A2881" s="256" t="n">
        <x:f>-12+1271*0.01</x:f>
        <x:v>0.7100000000000009</x:v>
      </x:c>
      <x:c r="B2881" s="256" t="n">
        <x:f>IF(COUNT($B$129:$L$129)=11,B$129*EXP(IF(A2881&lt;0,(10-0)*A2881,-0*A2881))+C$129*EXP(IF(A2881&lt;0,(10-1)*A2881,-1*A2881))+D$129*EXP(IF(A2881&lt;0,(10-2)*A2881,-2*A2881))+E$129*EXP(IF(A2881&lt;0,(10-3)*A2881,-3*A2881))+F$129*EXP(IF(A2881&lt;0,(10-4)*A2881,-4*A2881))+G$129*EXP(IF(A2881&lt;0,(10-5)*A2881,-5*A2881))+H$129*EXP(IF(A2881&lt;0,(10-6)*A2881,-6*A2881))+I$129*EXP(IF(A2881&lt;0,(10-7)*A2881,-7*A2881))+J$129*EXP(IF(A2881&lt;0,(10-8)*A2881,-8*A2881))+K$129*EXP(IF(A2881&lt;0,(10-9)*A2881,-9*A2881))+L$129*EXP(IF(A2881&lt;0,(10-10)*A2881,-10*A2881)),0)</x:f>
        <x:v>-195102.50106796622</x:v>
      </x:c>
      <x:c r="C2881" s="256" t="n">
        <x:f>IF(B2881=0,IF(B2880=0,0,1),IF(B2880=0,0,IF(SIGN(B2881)&lt;&gt;SIGN(B2880),1,0)))</x:f>
        <x:v>0</x:v>
      </x:c>
      <x:c r="D2881" s="256" t="n">
        <x:f>EXP(A2881-0.005)-1</x:f>
        <x:v>1.0238466849223493</x:v>
      </x:c>
    </x:row>
    <x:row r="2882" ht="20" customHeight="1">
      <x:c r="A2882" s="256" t="n">
        <x:f>-12+1272*0.01</x:f>
        <x:v>0.7200000000000006</x:v>
      </x:c>
      <x:c r="B2882" s="256" t="n">
        <x:f>IF(COUNT($B$129:$L$129)=11,B$129*EXP(IF(A2882&lt;0,(10-0)*A2882,-0*A2882))+C$129*EXP(IF(A2882&lt;0,(10-1)*A2882,-1*A2882))+D$129*EXP(IF(A2882&lt;0,(10-2)*A2882,-2*A2882))+E$129*EXP(IF(A2882&lt;0,(10-3)*A2882,-3*A2882))+F$129*EXP(IF(A2882&lt;0,(10-4)*A2882,-4*A2882))+G$129*EXP(IF(A2882&lt;0,(10-5)*A2882,-5*A2882))+H$129*EXP(IF(A2882&lt;0,(10-6)*A2882,-6*A2882))+I$129*EXP(IF(A2882&lt;0,(10-7)*A2882,-7*A2882))+J$129*EXP(IF(A2882&lt;0,(10-8)*A2882,-8*A2882))+K$129*EXP(IF(A2882&lt;0,(10-9)*A2882,-9*A2882))+L$129*EXP(IF(A2882&lt;0,(10-10)*A2882,-10*A2882)),0)</x:f>
        <x:v>-195092.77741393403</x:v>
      </x:c>
      <x:c r="C2882" s="256" t="n">
        <x:f>IF(B2882=0,IF(B2881=0,0,1),IF(B2881=0,0,IF(SIGN(B2882)&lt;&gt;SIGN(B2881),1,0)))</x:f>
        <x:v>0</x:v>
      </x:c>
      <x:c r="D2882" s="256" t="n">
        <x:f>EXP(A2882-0.005)-1</x:f>
        <x:v>1.0441866822585584</x:v>
      </x:c>
    </x:row>
    <x:row r="2883" ht="20" customHeight="1">
      <x:c r="A2883" s="256" t="n">
        <x:f>-12+1273*0.01</x:f>
        <x:v>0.7300000000000004</x:v>
      </x:c>
      <x:c r="B2883" s="256" t="n">
        <x:f>IF(COUNT($B$129:$L$129)=11,B$129*EXP(IF(A2883&lt;0,(10-0)*A2883,-0*A2883))+C$129*EXP(IF(A2883&lt;0,(10-1)*A2883,-1*A2883))+D$129*EXP(IF(A2883&lt;0,(10-2)*A2883,-2*A2883))+E$129*EXP(IF(A2883&lt;0,(10-3)*A2883,-3*A2883))+F$129*EXP(IF(A2883&lt;0,(10-4)*A2883,-4*A2883))+G$129*EXP(IF(A2883&lt;0,(10-5)*A2883,-5*A2883))+H$129*EXP(IF(A2883&lt;0,(10-6)*A2883,-6*A2883))+I$129*EXP(IF(A2883&lt;0,(10-7)*A2883,-7*A2883))+J$129*EXP(IF(A2883&lt;0,(10-8)*A2883,-8*A2883))+K$129*EXP(IF(A2883&lt;0,(10-9)*A2883,-9*A2883))+L$129*EXP(IF(A2883&lt;0,(10-10)*A2883,-10*A2883)),0)</x:f>
        <x:v>-195077.81014340874</x:v>
      </x:c>
      <x:c r="C2883" s="256" t="n">
        <x:f>IF(B2883=0,IF(B2882=0,0,1),IF(B2882=0,0,IF(SIGN(B2883)&lt;&gt;SIGN(B2882),1,0)))</x:f>
        <x:v>0</x:v>
      </x:c>
      <x:c r="D2883" s="256" t="n">
        <x:f>EXP(A2883-0.005)-1</x:f>
        <x:v>1.0647310999664876</x:v>
      </x:c>
    </x:row>
    <x:row r="2884" ht="20" customHeight="1">
      <x:c r="A2884" s="256" t="n">
        <x:f>-12+1274*0.01</x:f>
        <x:v>0.7400000000000002</x:v>
      </x:c>
      <x:c r="B2884" s="256" t="n">
        <x:f>IF(COUNT($B$129:$L$129)=11,B$129*EXP(IF(A2884&lt;0,(10-0)*A2884,-0*A2884))+C$129*EXP(IF(A2884&lt;0,(10-1)*A2884,-1*A2884))+D$129*EXP(IF(A2884&lt;0,(10-2)*A2884,-2*A2884))+E$129*EXP(IF(A2884&lt;0,(10-3)*A2884,-3*A2884))+F$129*EXP(IF(A2884&lt;0,(10-4)*A2884,-4*A2884))+G$129*EXP(IF(A2884&lt;0,(10-5)*A2884,-5*A2884))+H$129*EXP(IF(A2884&lt;0,(10-6)*A2884,-6*A2884))+I$129*EXP(IF(A2884&lt;0,(10-7)*A2884,-7*A2884))+J$129*EXP(IF(A2884&lt;0,(10-8)*A2884,-8*A2884))+K$129*EXP(IF(A2884&lt;0,(10-9)*A2884,-9*A2884))+L$129*EXP(IF(A2884&lt;0,(10-10)*A2884,-10*A2884)),0)</x:f>
        <x:v>-195058.18301091925</x:v>
      </x:c>
      <x:c r="C2884" s="256" t="n">
        <x:f>IF(B2884=0,IF(B2883=0,0,1),IF(B2883=0,0,IF(SIGN(B2884)&lt;&gt;SIGN(B2883),1,0)))</x:f>
        <x:v>0</x:v>
      </x:c>
      <x:c r="D2884" s="256" t="n">
        <x:f>EXP(A2884-0.005)-1</x:f>
        <x:v>1.085481992505028</x:v>
      </x:c>
    </x:row>
    <x:row r="2885" ht="20" customHeight="1">
      <x:c r="A2885" s="256" t="n">
        <x:f>-12+1275*0.01</x:f>
        <x:v>0.75</x:v>
      </x:c>
      <x:c r="B2885" s="256" t="n">
        <x:f>IF(COUNT($B$129:$L$129)=11,B$129*EXP(IF(A2885&lt;0,(10-0)*A2885,-0*A2885))+C$129*EXP(IF(A2885&lt;0,(10-1)*A2885,-1*A2885))+D$129*EXP(IF(A2885&lt;0,(10-2)*A2885,-2*A2885))+E$129*EXP(IF(A2885&lt;0,(10-3)*A2885,-3*A2885))+F$129*EXP(IF(A2885&lt;0,(10-4)*A2885,-4*A2885))+G$129*EXP(IF(A2885&lt;0,(10-5)*A2885,-5*A2885))+H$129*EXP(IF(A2885&lt;0,(10-6)*A2885,-6*A2885))+I$129*EXP(IF(A2885&lt;0,(10-7)*A2885,-7*A2885))+J$129*EXP(IF(A2885&lt;0,(10-8)*A2885,-8*A2885))+K$129*EXP(IF(A2885&lt;0,(10-9)*A2885,-9*A2885))+L$129*EXP(IF(A2885&lt;0,(10-10)*A2885,-10*A2885)),0)</x:f>
        <x:v>-195034.42348647688</x:v>
      </x:c>
      <x:c r="C2885" s="256" t="n">
        <x:f>IF(B2885=0,IF(B2884=0,0,1),IF(B2884=0,0,IF(SIGN(B2885)&lt;&gt;SIGN(B2884),1,0)))</x:f>
        <x:v>0</x:v>
      </x:c>
      <x:c r="D2885" s="256" t="n">
        <x:f>EXP(A2885-0.005)-1</x:f>
        <x:v>1.1064414349807272</x:v>
      </x:c>
    </x:row>
    <x:row r="2886" ht="20" customHeight="1">
      <x:c r="A2886" s="256" t="n">
        <x:f>-12+1276*0.01</x:f>
        <x:v>0.7599999999999998</x:v>
      </x:c>
      <x:c r="B2886" s="256" t="n">
        <x:f>IF(COUNT($B$129:$L$129)=11,B$129*EXP(IF(A2886&lt;0,(10-0)*A2886,-0*A2886))+C$129*EXP(IF(A2886&lt;0,(10-1)*A2886,-1*A2886))+D$129*EXP(IF(A2886&lt;0,(10-2)*A2886,-2*A2886))+E$129*EXP(IF(A2886&lt;0,(10-3)*A2886,-3*A2886))+F$129*EXP(IF(A2886&lt;0,(10-4)*A2886,-4*A2886))+G$129*EXP(IF(A2886&lt;0,(10-5)*A2886,-5*A2886))+H$129*EXP(IF(A2886&lt;0,(10-6)*A2886,-6*A2886))+I$129*EXP(IF(A2886&lt;0,(10-7)*A2886,-7*A2886))+J$129*EXP(IF(A2886&lt;0,(10-8)*A2886,-8*A2886))+K$129*EXP(IF(A2886&lt;0,(10-9)*A2886,-9*A2886))+L$129*EXP(IF(A2886&lt;0,(10-10)*A2886,-10*A2886)),0)</x:f>
        <x:v>-195007.00807032333</x:v>
      </x:c>
      <x:c r="C2886" s="256" t="n">
        <x:f>IF(B2886=0,IF(B2885=0,0,1),IF(B2885=0,0,IF(SIGN(B2886)&lt;&gt;SIGN(B2885),1,0)))</x:f>
        <x:v>0</x:v>
      </x:c>
      <x:c r="D2886" s="256" t="n">
        <x:f>EXP(A2886-0.005)-1</x:f>
        <x:v>1.1276115233552977</x:v>
      </x:c>
    </x:row>
    <x:row r="2887" ht="20" customHeight="1">
      <x:c r="A2887" s="256" t="n">
        <x:f>-12+1277*0.01</x:f>
        <x:v>0.7699999999999996</x:v>
      </x:c>
      <x:c r="B2887" s="256" t="n">
        <x:f>IF(COUNT($B$129:$L$129)=11,B$129*EXP(IF(A2887&lt;0,(10-0)*A2887,-0*A2887))+C$129*EXP(IF(A2887&lt;0,(10-1)*A2887,-1*A2887))+D$129*EXP(IF(A2887&lt;0,(10-2)*A2887,-2*A2887))+E$129*EXP(IF(A2887&lt;0,(10-3)*A2887,-3*A2887))+F$129*EXP(IF(A2887&lt;0,(10-4)*A2887,-4*A2887))+G$129*EXP(IF(A2887&lt;0,(10-5)*A2887,-5*A2887))+H$129*EXP(IF(A2887&lt;0,(10-6)*A2887,-6*A2887))+I$129*EXP(IF(A2887&lt;0,(10-7)*A2887,-7*A2887))+J$129*EXP(IF(A2887&lt;0,(10-8)*A2887,-8*A2887))+K$129*EXP(IF(A2887&lt;0,(10-9)*A2887,-9*A2887))+L$129*EXP(IF(A2887&lt;0,(10-10)*A2887,-10*A2887)),0)</x:f>
        <x:v>-194976.36710675963</x:v>
      </x:c>
      <x:c r="C2887" s="256" t="n">
        <x:f>IF(B2887=0,IF(B2886=0,0,1),IF(B2886=0,0,IF(SIGN(B2887)&lt;&gt;SIGN(B2886),1,0)))</x:f>
        <x:v>0</x:v>
      </x:c>
      <x:c r="D2887" s="256" t="n">
        <x:f>EXP(A2887-0.005)-1</x:f>
        <x:v>1.1489943746552194</x:v>
      </x:c>
    </x:row>
    <x:row r="2888" ht="20" customHeight="1">
      <x:c r="A2888" s="256" t="n">
        <x:f>-12+1278*0.01</x:f>
        <x:v>0.7800000000000011</x:v>
      </x:c>
      <x:c r="B2888" s="256" t="n">
        <x:f>IF(COUNT($B$129:$L$129)=11,B$129*EXP(IF(A2888&lt;0,(10-0)*A2888,-0*A2888))+C$129*EXP(IF(A2888&lt;0,(10-1)*A2888,-1*A2888))+D$129*EXP(IF(A2888&lt;0,(10-2)*A2888,-2*A2888))+E$129*EXP(IF(A2888&lt;0,(10-3)*A2888,-3*A2888))+F$129*EXP(IF(A2888&lt;0,(10-4)*A2888,-4*A2888))+G$129*EXP(IF(A2888&lt;0,(10-5)*A2888,-5*A2888))+H$129*EXP(IF(A2888&lt;0,(10-6)*A2888,-6*A2888))+I$129*EXP(IF(A2888&lt;0,(10-7)*A2888,-7*A2888))+J$129*EXP(IF(A2888&lt;0,(10-8)*A2888,-8*A2888))+K$129*EXP(IF(A2888&lt;0,(10-9)*A2888,-9*A2888))+L$129*EXP(IF(A2888&lt;0,(10-10)*A2888,-10*A2888)),0)</x:f>
        <x:v>-194942.8891443355</x:v>
      </x:c>
      <x:c r="C2888" s="256" t="n">
        <x:f>IF(B2888=0,IF(B2887=0,0,1),IF(B2887=0,0,IF(SIGN(B2888)&lt;&gt;SIGN(B2887),1,0)))</x:f>
        <x:v>0</x:v>
      </x:c>
      <x:c r="D2888" s="256" t="n">
        <x:f>EXP(A2888-0.005)-1</x:f>
        <x:v>1.1705921271834447</x:v>
      </x:c>
    </x:row>
    <x:row r="2889" ht="20" customHeight="1">
      <x:c r="A2889" s="256" t="n">
        <x:f>-12+1279*0.01</x:f>
        <x:v>0.7900000000000009</x:v>
      </x:c>
      <x:c r="B2889" s="256" t="n">
        <x:f>IF(COUNT($B$129:$L$129)=11,B$129*EXP(IF(A2889&lt;0,(10-0)*A2889,-0*A2889))+C$129*EXP(IF(A2889&lt;0,(10-1)*A2889,-1*A2889))+D$129*EXP(IF(A2889&lt;0,(10-2)*A2889,-2*A2889))+E$129*EXP(IF(A2889&lt;0,(10-3)*A2889,-3*A2889))+F$129*EXP(IF(A2889&lt;0,(10-4)*A2889,-4*A2889))+G$129*EXP(IF(A2889&lt;0,(10-5)*A2889,-5*A2889))+H$129*EXP(IF(A2889&lt;0,(10-6)*A2889,-6*A2889))+I$129*EXP(IF(A2889&lt;0,(10-7)*A2889,-7*A2889))+J$129*EXP(IF(A2889&lt;0,(10-8)*A2889,-8*A2889))+K$129*EXP(IF(A2889&lt;0,(10-9)*A2889,-9*A2889))+L$129*EXP(IF(A2889&lt;0,(10-10)*A2889,-10*A2889)),0)</x:f>
        <x:v>-194906.92488520863</x:v>
      </x:c>
      <x:c r="C2889" s="256" t="n">
        <x:f>IF(B2889=0,IF(B2888=0,0,1),IF(B2888=0,0,IF(SIGN(B2889)&lt;&gt;SIGN(B2888),1,0)))</x:f>
        <x:v>0</x:v>
      </x:c>
      <x:c r="D2889" s="256" t="n">
        <x:f>EXP(A2889-0.005)-1</x:f>
        <x:v>1.1924069407332176</x:v>
      </x:c>
    </x:row>
    <x:row r="2890" ht="20" customHeight="1">
      <x:c r="A2890" s="256" t="n">
        <x:f>-12+1280*0.01</x:f>
        <x:v>0.8000000000000007</x:v>
      </x:c>
      <x:c r="B2890" s="256" t="n">
        <x:f>IF(COUNT($B$129:$L$129)=11,B$129*EXP(IF(A2890&lt;0,(10-0)*A2890,-0*A2890))+C$129*EXP(IF(A2890&lt;0,(10-1)*A2890,-1*A2890))+D$129*EXP(IF(A2890&lt;0,(10-2)*A2890,-2*A2890))+E$129*EXP(IF(A2890&lt;0,(10-3)*A2890,-3*A2890))+F$129*EXP(IF(A2890&lt;0,(10-4)*A2890,-4*A2890))+G$129*EXP(IF(A2890&lt;0,(10-5)*A2890,-5*A2890))+H$129*EXP(IF(A2890&lt;0,(10-6)*A2890,-6*A2890))+I$129*EXP(IF(A2890&lt;0,(10-7)*A2890,-7*A2890))+J$129*EXP(IF(A2890&lt;0,(10-8)*A2890,-8*A2890))+K$129*EXP(IF(A2890&lt;0,(10-9)*A2890,-9*A2890))+L$129*EXP(IF(A2890&lt;0,(10-10)*A2890,-10*A2890)),0)</x:f>
        <x:v>-194868.7907624362</x:v>
      </x:c>
      <x:c r="C2890" s="256" t="n">
        <x:f>IF(B2890=0,IF(B2889=0,0,1),IF(B2889=0,0,IF(SIGN(B2890)&lt;&gt;SIGN(B2889),1,0)))</x:f>
        <x:v>0</x:v>
      </x:c>
      <x:c r="D2890" s="256" t="n">
        <x:f>EXP(A2890-0.005)-1</x:f>
        <x:v>1.214440996804076</x:v>
      </x:c>
    </x:row>
    <x:row r="2891" ht="20" customHeight="1">
      <x:c r="A2891" s="256" t="n">
        <x:f>-12+1281*0.01</x:f>
        <x:v>0.8100000000000005</x:v>
      </x:c>
      <x:c r="B2891" s="256" t="n">
        <x:f>IF(COUNT($B$129:$L$129)=11,B$129*EXP(IF(A2891&lt;0,(10-0)*A2891,-0*A2891))+C$129*EXP(IF(A2891&lt;0,(10-1)*A2891,-1*A2891))+D$129*EXP(IF(A2891&lt;0,(10-2)*A2891,-2*A2891))+E$129*EXP(IF(A2891&lt;0,(10-3)*A2891,-3*A2891))+F$129*EXP(IF(A2891&lt;0,(10-4)*A2891,-4*A2891))+G$129*EXP(IF(A2891&lt;0,(10-5)*A2891,-5*A2891))+H$129*EXP(IF(A2891&lt;0,(10-6)*A2891,-6*A2891))+I$129*EXP(IF(A2891&lt;0,(10-7)*A2891,-7*A2891))+J$129*EXP(IF(A2891&lt;0,(10-8)*A2891,-8*A2891))+K$129*EXP(IF(A2891&lt;0,(10-9)*A2891,-9*A2891))+L$129*EXP(IF(A2891&lt;0,(10-10)*A2891,-10*A2891)),0)</x:f>
        <x:v>-194828.77218029796</x:v>
      </x:c>
      <x:c r="C2891" s="256" t="n">
        <x:f>IF(B2891=0,IF(B2890=0,0,1),IF(B2890=0,0,IF(SIGN(B2891)&lt;&gt;SIGN(B2890),1,0)))</x:f>
        <x:v>0</x:v>
      </x:c>
      <x:c r="D2891" s="256" t="n">
        <x:f>EXP(A2891-0.005)-1</x:f>
        <x:v>1.2366964988199882</x:v>
      </x:c>
    </x:row>
    <x:row r="2892" ht="20" customHeight="1">
      <x:c r="A2892" s="256" t="n">
        <x:f>-12+1282*0.01</x:f>
        <x:v>0.8200000000000003</x:v>
      </x:c>
      <x:c r="B2892" s="256" t="n">
        <x:f>IF(COUNT($B$129:$L$129)=11,B$129*EXP(IF(A2892&lt;0,(10-0)*A2892,-0*A2892))+C$129*EXP(IF(A2892&lt;0,(10-1)*A2892,-1*A2892))+D$129*EXP(IF(A2892&lt;0,(10-2)*A2892,-2*A2892))+E$129*EXP(IF(A2892&lt;0,(10-3)*A2892,-3*A2892))+F$129*EXP(IF(A2892&lt;0,(10-4)*A2892,-4*A2892))+G$129*EXP(IF(A2892&lt;0,(10-5)*A2892,-5*A2892))+H$129*EXP(IF(A2892&lt;0,(10-6)*A2892,-6*A2892))+I$129*EXP(IF(A2892&lt;0,(10-7)*A2892,-7*A2892))+J$129*EXP(IF(A2892&lt;0,(10-8)*A2892,-8*A2892))+K$129*EXP(IF(A2892&lt;0,(10-9)*A2892,-9*A2892))+L$129*EXP(IF(A2892&lt;0,(10-10)*A2892,-10*A2892)),0)</x:f>
        <x:v>-194787.12644943254</x:v>
      </x:c>
      <x:c r="C2892" s="256" t="n">
        <x:f>IF(B2892=0,IF(B2891=0,0,1),IF(B2891=0,0,IF(SIGN(B2892)&lt;&gt;SIGN(B2891),1,0)))</x:f>
        <x:v>0</x:v>
      </x:c>
      <x:c r="D2892" s="256" t="n">
        <x:f>EXP(A2892-0.005)-1</x:f>
        <x:v>1.259175672349702</x:v>
      </x:c>
    </x:row>
    <x:row r="2893" ht="20" customHeight="1">
      <x:c r="A2893" s="256" t="n">
        <x:f>-12+1283*0.01</x:f>
        <x:v>0.8300000000000001</x:v>
      </x:c>
      <x:c r="B2893" s="256" t="n">
        <x:f>IF(COUNT($B$129:$L$129)=11,B$129*EXP(IF(A2893&lt;0,(10-0)*A2893,-0*A2893))+C$129*EXP(IF(A2893&lt;0,(10-1)*A2893,-1*A2893))+D$129*EXP(IF(A2893&lt;0,(10-2)*A2893,-2*A2893))+E$129*EXP(IF(A2893&lt;0,(10-3)*A2893,-3*A2893))+F$129*EXP(IF(A2893&lt;0,(10-4)*A2893,-4*A2893))+G$129*EXP(IF(A2893&lt;0,(10-5)*A2893,-5*A2893))+H$129*EXP(IF(A2893&lt;0,(10-6)*A2893,-6*A2893))+I$129*EXP(IF(A2893&lt;0,(10-7)*A2893,-7*A2893))+J$129*EXP(IF(A2893&lt;0,(10-8)*A2893,-8*A2893))+K$129*EXP(IF(A2893&lt;0,(10-9)*A2893,-9*A2893))+L$129*EXP(IF(A2893&lt;0,(10-10)*A2893,-10*A2893)),0)</x:f>
        <x:v>-194744.08544556465</x:v>
      </x:c>
      <x:c r="C2893" s="256" t="n">
        <x:f>IF(B2893=0,IF(B2892=0,0,1),IF(B2892=0,0,IF(SIGN(B2893)&lt;&gt;SIGN(B2892),1,0)))</x:f>
        <x:v>0</x:v>
      </x:c>
      <x:c r="D2893" s="256" t="n">
        <x:f>EXP(A2893-0.005)-1</x:f>
        <x:v>1.281880765329304</x:v>
      </x:c>
    </x:row>
    <x:row r="2894" ht="20" customHeight="1">
      <x:c r="A2894" s="256" t="n">
        <x:f>-12+1284*0.01</x:f>
        <x:v>0.8399999999999999</x:v>
      </x:c>
      <x:c r="B2894" s="256" t="n">
        <x:f>IF(COUNT($B$129:$L$129)=11,B$129*EXP(IF(A2894&lt;0,(10-0)*A2894,-0*A2894))+C$129*EXP(IF(A2894&lt;0,(10-1)*A2894,-1*A2894))+D$129*EXP(IF(A2894&lt;0,(10-2)*A2894,-2*A2894))+E$129*EXP(IF(A2894&lt;0,(10-3)*A2894,-3*A2894))+F$129*EXP(IF(A2894&lt;0,(10-4)*A2894,-4*A2894))+G$129*EXP(IF(A2894&lt;0,(10-5)*A2894,-5*A2894))+H$129*EXP(IF(A2894&lt;0,(10-6)*A2894,-6*A2894))+I$129*EXP(IF(A2894&lt;0,(10-7)*A2894,-7*A2894))+J$129*EXP(IF(A2894&lt;0,(10-8)*A2894,-8*A2894))+K$129*EXP(IF(A2894&lt;0,(10-9)*A2894,-9*A2894))+L$129*EXP(IF(A2894&lt;0,(10-10)*A2894,-10*A2894)),0)</x:f>
        <x:v>-194699.85801788565</x:v>
      </x:c>
      <x:c r="C2894" s="256" t="n">
        <x:f>IF(B2894=0,IF(B2893=0,0,1),IF(B2893=0,0,IF(SIGN(B2894)&lt;&gt;SIGN(B2893),1,0)))</x:f>
        <x:v>0</x:v>
      </x:c>
      <x:c r="D2894" s="256" t="n">
        <x:f>EXP(A2894-0.005)-1</x:f>
        <x:v>1.304814048287012</x:v>
      </x:c>
    </x:row>
    <x:row r="2895" ht="20" customHeight="1">
      <x:c r="A2895" s="256" t="n">
        <x:f>-12+1285*0.01</x:f>
        <x:v>0.8499999999999996</x:v>
      </x:c>
      <x:c r="B2895" s="256" t="n">
        <x:f>IF(COUNT($B$129:$L$129)=11,B$129*EXP(IF(A2895&lt;0,(10-0)*A2895,-0*A2895))+C$129*EXP(IF(A2895&lt;0,(10-1)*A2895,-1*A2895))+D$129*EXP(IF(A2895&lt;0,(10-2)*A2895,-2*A2895))+E$129*EXP(IF(A2895&lt;0,(10-3)*A2895,-3*A2895))+F$129*EXP(IF(A2895&lt;0,(10-4)*A2895,-4*A2895))+G$129*EXP(IF(A2895&lt;0,(10-5)*A2895,-5*A2895))+H$129*EXP(IF(A2895&lt;0,(10-6)*A2895,-6*A2895))+I$129*EXP(IF(A2895&lt;0,(10-7)*A2895,-7*A2895))+J$129*EXP(IF(A2895&lt;0,(10-8)*A2895,-8*A2895))+K$129*EXP(IF(A2895&lt;0,(10-9)*A2895,-9*A2895))+L$129*EXP(IF(A2895&lt;0,(10-10)*A2895,-10*A2895)),0)</x:f>
        <x:v>-194654.63217068376</x:v>
      </x:c>
      <x:c r="C2895" s="256" t="n">
        <x:f>IF(B2895=0,IF(B2894=0,0,1),IF(B2894=0,0,IF(SIGN(B2895)&lt;&gt;SIGN(B2894),1,0)))</x:f>
        <x:v>0</x:v>
      </x:c>
      <x:c r="D2895" s="256" t="n">
        <x:f>EXP(A2895-0.005)-1</x:f>
        <x:v>1.3279778145702341</x:v>
      </x:c>
    </x:row>
    <x:row r="2896" ht="20" customHeight="1">
      <x:c r="A2896" s="256" t="n">
        <x:f>-12+1286*0.01</x:f>
        <x:v>0.8599999999999994</x:v>
      </x:c>
      <x:c r="B2896" s="256" t="n">
        <x:f>IF(COUNT($B$129:$L$129)=11,B$129*EXP(IF(A2896&lt;0,(10-0)*A2896,-0*A2896))+C$129*EXP(IF(A2896&lt;0,(10-1)*A2896,-1*A2896))+D$129*EXP(IF(A2896&lt;0,(10-2)*A2896,-2*A2896))+E$129*EXP(IF(A2896&lt;0,(10-3)*A2896,-3*A2896))+F$129*EXP(IF(A2896&lt;0,(10-4)*A2896,-4*A2896))+G$129*EXP(IF(A2896&lt;0,(10-5)*A2896,-5*A2896))+H$129*EXP(IF(A2896&lt;0,(10-6)*A2896,-6*A2896))+I$129*EXP(IF(A2896&lt;0,(10-7)*A2896,-7*A2896))+J$129*EXP(IF(A2896&lt;0,(10-8)*A2896,-8*A2896))+K$129*EXP(IF(A2896&lt;0,(10-9)*A2896,-9*A2896))+L$129*EXP(IF(A2896&lt;0,(10-10)*A2896,-10*A2896)),0)</x:f>
        <x:v>-194608.5770395941</x:v>
      </x:c>
      <x:c r="C2896" s="256" t="n">
        <x:f>IF(B2896=0,IF(B2895=0,0,1),IF(B2895=0,0,IF(SIGN(B2896)&lt;&gt;SIGN(B2895),1,0)))</x:f>
        <x:v>0</x:v>
      </x:c>
      <x:c r="D2896" s="256" t="n">
        <x:f>EXP(A2896-0.005)-1</x:f>
        <x:v>1.3513743805749008</x:v>
      </x:c>
    </x:row>
    <x:row r="2897" ht="20" customHeight="1">
      <x:c r="A2897" s="256" t="n">
        <x:f>-12+1287*0.01</x:f>
        <x:v>0.870000000000001</x:v>
      </x:c>
      <x:c r="B2897" s="256" t="n">
        <x:f>IF(COUNT($B$129:$L$129)=11,B$129*EXP(IF(A2897&lt;0,(10-0)*A2897,-0*A2897))+C$129*EXP(IF(A2897&lt;0,(10-1)*A2897,-1*A2897))+D$129*EXP(IF(A2897&lt;0,(10-2)*A2897,-2*A2897))+E$129*EXP(IF(A2897&lt;0,(10-3)*A2897,-3*A2897))+F$129*EXP(IF(A2897&lt;0,(10-4)*A2897,-4*A2897))+G$129*EXP(IF(A2897&lt;0,(10-5)*A2897,-5*A2897))+H$129*EXP(IF(A2897&lt;0,(10-6)*A2897,-6*A2897))+I$129*EXP(IF(A2897&lt;0,(10-7)*A2897,-7*A2897))+J$129*EXP(IF(A2897&lt;0,(10-8)*A2897,-8*A2897))+K$129*EXP(IF(A2897&lt;0,(10-9)*A2897,-9*A2897))+L$129*EXP(IF(A2897&lt;0,(10-10)*A2897,-10*A2897)),0)</x:f>
        <x:v>-194561.8446818213</x:v>
      </x:c>
      <x:c r="C2897" s="256" t="n">
        <x:f>IF(B2897=0,IF(B2896=0,0,1),IF(B2896=0,0,IF(SIGN(B2897)&lt;&gt;SIGN(B2896),1,0)))</x:f>
        <x:v>0</x:v>
      </x:c>
      <x:c r="D2897" s="256" t="n">
        <x:f>EXP(A2897-0.005)-1</x:f>
        <x:v>1.3750060859771143</x:v>
      </x:c>
    </x:row>
    <x:row r="2898" ht="20" customHeight="1">
      <x:c r="A2898" s="256" t="n">
        <x:f>-12+1288*0.01</x:f>
        <x:v>0.8800000000000008</x:v>
      </x:c>
      <x:c r="B2898" s="256" t="n">
        <x:f>IF(COUNT($B$129:$L$129)=11,B$129*EXP(IF(A2898&lt;0,(10-0)*A2898,-0*A2898))+C$129*EXP(IF(A2898&lt;0,(10-1)*A2898,-1*A2898))+D$129*EXP(IF(A2898&lt;0,(10-2)*A2898,-2*A2898))+E$129*EXP(IF(A2898&lt;0,(10-3)*A2898,-3*A2898))+F$129*EXP(IF(A2898&lt;0,(10-4)*A2898,-4*A2898))+G$129*EXP(IF(A2898&lt;0,(10-5)*A2898,-5*A2898))+H$129*EXP(IF(A2898&lt;0,(10-6)*A2898,-6*A2898))+I$129*EXP(IF(A2898&lt;0,(10-7)*A2898,-7*A2898))+J$129*EXP(IF(A2898&lt;0,(10-8)*A2898,-8*A2898))+K$129*EXP(IF(A2898&lt;0,(10-9)*A2898,-9*A2898))+L$129*EXP(IF(A2898&lt;0,(10-10)*A2898,-10*A2898)),0)</x:f>
        <x:v>-194514.57169785924</x:v>
      </x:c>
      <x:c r="C2898" s="256" t="n">
        <x:f>IF(B2898=0,IF(B2897=0,0,1),IF(B2897=0,0,IF(SIGN(B2898)&lt;&gt;SIGN(B2897),1,0)))</x:f>
        <x:v>0</x:v>
      </x:c>
      <x:c r="D2898" s="256" t="n">
        <x:f>EXP(A2898-0.005)-1</x:f>
        <x:v>1.3988752939670999</x:v>
      </x:c>
    </x:row>
    <x:row r="2899" ht="20" customHeight="1">
      <x:c r="A2899" s="256" t="n">
        <x:f>-12+1289*0.01</x:f>
        <x:v>0.8900000000000006</x:v>
      </x:c>
      <x:c r="B2899" s="256" t="n">
        <x:f>IF(COUNT($B$129:$L$129)=11,B$129*EXP(IF(A2899&lt;0,(10-0)*A2899,-0*A2899))+C$129*EXP(IF(A2899&lt;0,(10-1)*A2899,-1*A2899))+D$129*EXP(IF(A2899&lt;0,(10-2)*A2899,-2*A2899))+E$129*EXP(IF(A2899&lt;0,(10-3)*A2899,-3*A2899))+F$129*EXP(IF(A2899&lt;0,(10-4)*A2899,-4*A2899))+G$129*EXP(IF(A2899&lt;0,(10-5)*A2899,-5*A2899))+H$129*EXP(IF(A2899&lt;0,(10-6)*A2899,-6*A2899))+I$129*EXP(IF(A2899&lt;0,(10-7)*A2899,-7*A2899))+J$129*EXP(IF(A2899&lt;0,(10-8)*A2899,-8*A2899))+K$129*EXP(IF(A2899&lt;0,(10-9)*A2899,-9*A2899))+L$129*EXP(IF(A2899&lt;0,(10-10)*A2899,-10*A2899)),0)</x:f>
        <x:v>-194466.88070057778</x:v>
      </x:c>
      <x:c r="C2899" s="256" t="n">
        <x:f>IF(B2899=0,IF(B2898=0,0,1),IF(B2898=0,0,IF(SIGN(B2899)&lt;&gt;SIGN(B2898),1,0)))</x:f>
        <x:v>0</x:v>
      </x:c>
      <x:c r="D2899" s="256" t="n">
        <x:f>EXP(A2899-0.005)-1</x:f>
        <x:v>1.4229843914855516</x:v>
      </x:c>
    </x:row>
    <x:row r="2900" ht="20" customHeight="1">
      <x:c r="A2900" s="256" t="n">
        <x:f>-12+1290*0.01</x:f>
        <x:v>0.9000000000000004</x:v>
      </x:c>
      <x:c r="B2900" s="256" t="n">
        <x:f>IF(COUNT($B$129:$L$129)=11,B$129*EXP(IF(A2900&lt;0,(10-0)*A2900,-0*A2900))+C$129*EXP(IF(A2900&lt;0,(10-1)*A2900,-1*A2900))+D$129*EXP(IF(A2900&lt;0,(10-2)*A2900,-2*A2900))+E$129*EXP(IF(A2900&lt;0,(10-3)*A2900,-3*A2900))+F$129*EXP(IF(A2900&lt;0,(10-4)*A2900,-4*A2900))+G$129*EXP(IF(A2900&lt;0,(10-5)*A2900,-5*A2900))+H$129*EXP(IF(A2900&lt;0,(10-6)*A2900,-6*A2900))+I$129*EXP(IF(A2900&lt;0,(10-7)*A2900,-7*A2900))+J$129*EXP(IF(A2900&lt;0,(10-8)*A2900,-8*A2900))+K$129*EXP(IF(A2900&lt;0,(10-9)*A2900,-9*A2900))+L$129*EXP(IF(A2900&lt;0,(10-10)*A2900,-10*A2900)),0)</x:f>
        <x:v>-194418.88164605133</x:v>
      </x:c>
      <x:c r="C2900" s="256" t="n">
        <x:f>IF(B2900=0,IF(B2899=0,0,1),IF(B2899=0,0,IF(SIGN(B2900)&lt;&gt;SIGN(B2899),1,0)))</x:f>
        <x:v>0</x:v>
      </x:c>
      <x:c r="D2900" s="256" t="n">
        <x:f>EXP(A2900-0.005)-1</x:f>
        <x:v>1.4473357894623118</x:v>
      </x:c>
    </x:row>
    <x:row r="2901" ht="20" customHeight="1">
      <x:c r="A2901" s="256" t="n">
        <x:f>-12+1291*0.01</x:f>
        <x:v>0.9100000000000001</x:v>
      </x:c>
      <x:c r="B2901" s="256" t="n">
        <x:f>IF(COUNT($B$129:$L$129)=11,B$129*EXP(IF(A2901&lt;0,(10-0)*A2901,-0*A2901))+C$129*EXP(IF(A2901&lt;0,(10-1)*A2901,-1*A2901))+D$129*EXP(IF(A2901&lt;0,(10-2)*A2901,-2*A2901))+E$129*EXP(IF(A2901&lt;0,(10-3)*A2901,-3*A2901))+F$129*EXP(IF(A2901&lt;0,(10-4)*A2901,-4*A2901))+G$129*EXP(IF(A2901&lt;0,(10-5)*A2901,-5*A2901))+H$129*EXP(IF(A2901&lt;0,(10-6)*A2901,-6*A2901))+I$129*EXP(IF(A2901&lt;0,(10-7)*A2901,-7*A2901))+J$129*EXP(IF(A2901&lt;0,(10-8)*A2901,-8*A2901))+K$129*EXP(IF(A2901&lt;0,(10-9)*A2901,-9*A2901))+L$129*EXP(IF(A2901&lt;0,(10-10)*A2901,-10*A2901)),0)</x:f>
        <x:v>-194370.6730391436</x:v>
      </x:c>
      <x:c r="C2901" s="256" t="n">
        <x:f>IF(B2901=0,IF(B2900=0,0,1),IF(B2900=0,0,IF(SIGN(B2901)&lt;&gt;SIGN(B2900),1,0)))</x:f>
        <x:v>0</x:v>
      </x:c>
      <x:c r="D2901" s="256" t="n">
        <x:f>EXP(A2901-0.005)-1</x:f>
        <x:v>1.471931923057472</x:v>
      </x:c>
    </x:row>
    <x:row r="2902" ht="20" customHeight="1">
      <x:c r="A2902" s="256" t="n">
        <x:f>-12+1292*0.01</x:f>
        <x:v>0.9199999999999999</x:v>
      </x:c>
      <x:c r="B2902" s="256" t="n">
        <x:f>IF(COUNT($B$129:$L$129)=11,B$129*EXP(IF(A2902&lt;0,(10-0)*A2902,-0*A2902))+C$129*EXP(IF(A2902&lt;0,(10-1)*A2902,-1*A2902))+D$129*EXP(IF(A2902&lt;0,(10-2)*A2902,-2*A2902))+E$129*EXP(IF(A2902&lt;0,(10-3)*A2902,-3*A2902))+F$129*EXP(IF(A2902&lt;0,(10-4)*A2902,-4*A2902))+G$129*EXP(IF(A2902&lt;0,(10-5)*A2902,-5*A2902))+H$129*EXP(IF(A2902&lt;0,(10-6)*A2902,-6*A2902))+I$129*EXP(IF(A2902&lt;0,(10-7)*A2902,-7*A2902))+J$129*EXP(IF(A2902&lt;0,(10-8)*A2902,-8*A2902))+K$129*EXP(IF(A2902&lt;0,(10-9)*A2902,-9*A2902))+L$129*EXP(IF(A2902&lt;0,(10-10)*A2902,-10*A2902)),0)</x:f>
        <x:v>-194322.34302563994</x:v>
      </x:c>
      <x:c r="C2902" s="256" t="n">
        <x:f>IF(B2902=0,IF(B2901=0,0,1),IF(B2901=0,0,IF(SIGN(B2902)&lt;&gt;SIGN(B2901),1,0)))</x:f>
        <x:v>0</x:v>
      </x:c>
      <x:c r="D2902" s="256" t="n">
        <x:f>EXP(A2902-0.005)-1</x:f>
        <x:v>1.496775251904888</x:v>
      </x:c>
    </x:row>
    <x:row r="2903" ht="20" customHeight="1">
      <x:c r="A2903" s="256" t="n">
        <x:f>-12+1293*0.01</x:f>
        <x:v>0.9299999999999997</x:v>
      </x:c>
      <x:c r="B2903" s="256" t="n">
        <x:f>IF(COUNT($B$129:$L$129)=11,B$129*EXP(IF(A2903&lt;0,(10-0)*A2903,-0*A2903))+C$129*EXP(IF(A2903&lt;0,(10-1)*A2903,-1*A2903))+D$129*EXP(IF(A2903&lt;0,(10-2)*A2903,-2*A2903))+E$129*EXP(IF(A2903&lt;0,(10-3)*A2903,-3*A2903))+F$129*EXP(IF(A2903&lt;0,(10-4)*A2903,-4*A2903))+G$129*EXP(IF(A2903&lt;0,(10-5)*A2903,-5*A2903))+H$129*EXP(IF(A2903&lt;0,(10-6)*A2903,-6*A2903))+I$129*EXP(IF(A2903&lt;0,(10-7)*A2903,-7*A2903))+J$129*EXP(IF(A2903&lt;0,(10-8)*A2903,-8*A2903))+K$129*EXP(IF(A2903&lt;0,(10-9)*A2903,-9*A2903))+L$129*EXP(IF(A2903&lt;0,(10-10)*A2903,-10*A2903)),0)</x:f>
        <x:v>-194273.97038160183</x:v>
      </x:c>
      <x:c r="C2903" s="256" t="n">
        <x:f>IF(B2903=0,IF(B2902=0,0,1),IF(B2902=0,0,IF(SIGN(B2903)&lt;&gt;SIGN(B2902),1,0)))</x:f>
        <x:v>0</x:v>
      </x:c>
      <x:c r="D2903" s="256" t="n">
        <x:f>EXP(A2903-0.005)-1</x:f>
        <x:v>1.521868260358147</x:v>
      </x:c>
    </x:row>
    <x:row r="2904" ht="20" customHeight="1">
      <x:c r="A2904" s="256" t="n">
        <x:f>-12+1294*0.01</x:f>
        <x:v>0.9399999999999995</x:v>
      </x:c>
      <x:c r="B2904" s="256" t="n">
        <x:f>IF(COUNT($B$129:$L$129)=11,B$129*EXP(IF(A2904&lt;0,(10-0)*A2904,-0*A2904))+C$129*EXP(IF(A2904&lt;0,(10-1)*A2904,-1*A2904))+D$129*EXP(IF(A2904&lt;0,(10-2)*A2904,-2*A2904))+E$129*EXP(IF(A2904&lt;0,(10-3)*A2904,-3*A2904))+F$129*EXP(IF(A2904&lt;0,(10-4)*A2904,-4*A2904))+G$129*EXP(IF(A2904&lt;0,(10-5)*A2904,-5*A2904))+H$129*EXP(IF(A2904&lt;0,(10-6)*A2904,-6*A2904))+I$129*EXP(IF(A2904&lt;0,(10-7)*A2904,-7*A2904))+J$129*EXP(IF(A2904&lt;0,(10-8)*A2904,-8*A2904))+K$129*EXP(IF(A2904&lt;0,(10-9)*A2904,-9*A2904))+L$129*EXP(IF(A2904&lt;0,(10-10)*A2904,-10*A2904)),0)</x:f>
        <x:v>-194225.62540961546</x:v>
      </x:c>
      <x:c r="C2904" s="256" t="n">
        <x:f>IF(B2904=0,IF(B2903=0,0,1),IF(B2903=0,0,IF(SIGN(B2904)&lt;&gt;SIGN(B2903),1,0)))</x:f>
        <x:v>0</x:v>
      </x:c>
      <x:c r="D2904" s="256" t="n">
        <x:f>EXP(A2904-0.005)-1</x:f>
        <x:v>1.5472134577390064</x:v>
      </x:c>
    </x:row>
    <x:row r="2905" ht="20" customHeight="1">
      <x:c r="A2905" s="256" t="n">
        <x:f>-12+1295*0.01</x:f>
        <x:v>0.9500000000000011</x:v>
      </x:c>
      <x:c r="B2905" s="256" t="n">
        <x:f>IF(COUNT($B$129:$L$129)=11,B$129*EXP(IF(A2905&lt;0,(10-0)*A2905,-0*A2905))+C$129*EXP(IF(A2905&lt;0,(10-1)*A2905,-1*A2905))+D$129*EXP(IF(A2905&lt;0,(10-2)*A2905,-2*A2905))+E$129*EXP(IF(A2905&lt;0,(10-3)*A2905,-3*A2905))+F$129*EXP(IF(A2905&lt;0,(10-4)*A2905,-4*A2905))+G$129*EXP(IF(A2905&lt;0,(10-5)*A2905,-5*A2905))+H$129*EXP(IF(A2905&lt;0,(10-6)*A2905,-6*A2905))+I$129*EXP(IF(A2905&lt;0,(10-7)*A2905,-7*A2905))+J$129*EXP(IF(A2905&lt;0,(10-8)*A2905,-8*A2905))+K$129*EXP(IF(A2905&lt;0,(10-9)*A2905,-9*A2905))+L$129*EXP(IF(A2905&lt;0,(10-10)*A2905,-10*A2905)),0)</x:f>
        <x:v>-194177.37075069142</x:v>
      </x:c>
      <x:c r="C2905" s="256" t="n">
        <x:f>IF(B2905=0,IF(B2904=0,0,1),IF(B2904=0,0,IF(SIGN(B2905)&lt;&gt;SIGN(B2904),1,0)))</x:f>
        <x:v>0</x:v>
      </x:c>
      <x:c r="D2905" s="256" t="n">
        <x:f>EXP(A2905-0.005)-1</x:f>
        <x:v>1.5728133785883287</x:v>
      </x:c>
    </x:row>
    <x:row r="2906" ht="20" customHeight="1">
      <x:c r="A2906" s="256" t="n">
        <x:f>-12+1296*0.01</x:f>
        <x:v>0.9600000000000009</x:v>
      </x:c>
      <x:c r="B2906" s="256" t="n">
        <x:f>IF(COUNT($B$129:$L$129)=11,B$129*EXP(IF(A2906&lt;0,(10-0)*A2906,-0*A2906))+C$129*EXP(IF(A2906&lt;0,(10-1)*A2906,-1*A2906))+D$129*EXP(IF(A2906&lt;0,(10-2)*A2906,-2*A2906))+E$129*EXP(IF(A2906&lt;0,(10-3)*A2906,-3*A2906))+F$129*EXP(IF(A2906&lt;0,(10-4)*A2906,-4*A2906))+G$129*EXP(IF(A2906&lt;0,(10-5)*A2906,-5*A2906))+H$129*EXP(IF(A2906&lt;0,(10-6)*A2906,-6*A2906))+I$129*EXP(IF(A2906&lt;0,(10-7)*A2906,-7*A2906))+J$129*EXP(IF(A2906&lt;0,(10-8)*A2906,-8*A2906))+K$129*EXP(IF(A2906&lt;0,(10-9)*A2906,-9*A2906))+L$129*EXP(IF(A2906&lt;0,(10-10)*A2906,-10*A2906)),0)</x:f>
        <x:v>-194129.26211974953</x:v>
      </x:c>
      <x:c r="C2906" s="256" t="n">
        <x:f>IF(B2906=0,IF(B2905=0,0,1),IF(B2905=0,0,IF(SIGN(B2906)&lt;&gt;SIGN(B2905),1,0)))</x:f>
        <x:v>0</x:v>
      </x:c>
      <x:c r="D2906" s="256" t="n">
        <x:f>EXP(A2906-0.005)-1</x:f>
        <x:v>1.598670582919524</x:v>
      </x:c>
    </x:row>
    <x:row r="2907" ht="20" customHeight="1">
      <x:c r="A2907" s="256" t="n">
        <x:f>-12+1297*0.01</x:f>
        <x:v>0.9700000000000006</x:v>
      </x:c>
      <x:c r="B2907" s="256" t="n">
        <x:f>IF(COUNT($B$129:$L$129)=11,B$129*EXP(IF(A2907&lt;0,(10-0)*A2907,-0*A2907))+C$129*EXP(IF(A2907&lt;0,(10-1)*A2907,-1*A2907))+D$129*EXP(IF(A2907&lt;0,(10-2)*A2907,-2*A2907))+E$129*EXP(IF(A2907&lt;0,(10-3)*A2907,-3*A2907))+F$129*EXP(IF(A2907&lt;0,(10-4)*A2907,-4*A2907))+G$129*EXP(IF(A2907&lt;0,(10-5)*A2907,-5*A2907))+H$129*EXP(IF(A2907&lt;0,(10-6)*A2907,-6*A2907))+I$129*EXP(IF(A2907&lt;0,(10-7)*A2907,-7*A2907))+J$129*EXP(IF(A2907&lt;0,(10-8)*A2907,-8*A2907))+K$129*EXP(IF(A2907&lt;0,(10-9)*A2907,-9*A2907))+L$129*EXP(IF(A2907&lt;0,(10-10)*A2907,-10*A2907)),0)</x:f>
        <x:v>-194081.34897187236</x:v>
      </x:c>
      <x:c r="C2907" s="256" t="n">
        <x:f>IF(B2907=0,IF(B2906=0,0,1),IF(B2906=0,0,IF(SIGN(B2907)&lt;&gt;SIGN(B2906),1,0)))</x:f>
        <x:v>0</x:v>
      </x:c>
      <x:c r="D2907" s="256" t="n">
        <x:f>EXP(A2907-0.005)-1</x:f>
        <x:v>1.624787656474577</x:v>
      </x:c>
    </x:row>
    <x:row r="2908" ht="20" customHeight="1">
      <x:c r="A2908" s="256" t="n">
        <x:f>-12+1298*0.01</x:f>
        <x:v>0.9800000000000004</x:v>
      </x:c>
      <x:c r="B2908" s="256" t="n">
        <x:f>IF(COUNT($B$129:$L$129)=11,B$129*EXP(IF(A2908&lt;0,(10-0)*A2908,-0*A2908))+C$129*EXP(IF(A2908&lt;0,(10-1)*A2908,-1*A2908))+D$129*EXP(IF(A2908&lt;0,(10-2)*A2908,-2*A2908))+E$129*EXP(IF(A2908&lt;0,(10-3)*A2908,-3*A2908))+F$129*EXP(IF(A2908&lt;0,(10-4)*A2908,-4*A2908))+G$129*EXP(IF(A2908&lt;0,(10-5)*A2908,-5*A2908))+H$129*EXP(IF(A2908&lt;0,(10-6)*A2908,-6*A2908))+I$129*EXP(IF(A2908&lt;0,(10-7)*A2908,-7*A2908))+J$129*EXP(IF(A2908&lt;0,(10-8)*A2908,-8*A2908))+K$129*EXP(IF(A2908&lt;0,(10-9)*A2908,-9*A2908))+L$129*EXP(IF(A2908&lt;0,(10-10)*A2908,-10*A2908)),0)</x:f>
        <x:v>-194033.67510583776</x:v>
      </x:c>
      <x:c r="C2908" s="256" t="n">
        <x:f>IF(B2908=0,IF(B2907=0,0,1),IF(B2907=0,0,IF(SIGN(B2908)&lt;&gt;SIGN(B2907),1,0)))</x:f>
        <x:v>0</x:v>
      </x:c>
      <x:c r="D2908" s="256" t="n">
        <x:f>EXP(A2908-0.005)-1</x:f>
        <x:v>1.6511672109826079</x:v>
      </x:c>
    </x:row>
    <x:row r="2909" ht="20" customHeight="1">
      <x:c r="A2909" s="256" t="n">
        <x:f>-12+1299*0.01</x:f>
        <x:v>0.9900000000000002</x:v>
      </x:c>
      <x:c r="B2909" s="256" t="n">
        <x:f>IF(COUNT($B$129:$L$129)=11,B$129*EXP(IF(A2909&lt;0,(10-0)*A2909,-0*A2909))+C$129*EXP(IF(A2909&lt;0,(10-1)*A2909,-1*A2909))+D$129*EXP(IF(A2909&lt;0,(10-2)*A2909,-2*A2909))+E$129*EXP(IF(A2909&lt;0,(10-3)*A2909,-3*A2909))+F$129*EXP(IF(A2909&lt;0,(10-4)*A2909,-4*A2909))+G$129*EXP(IF(A2909&lt;0,(10-5)*A2909,-5*A2909))+H$129*EXP(IF(A2909&lt;0,(10-6)*A2909,-6*A2909))+I$129*EXP(IF(A2909&lt;0,(10-7)*A2909,-7*A2909))+J$129*EXP(IF(A2909&lt;0,(10-8)*A2909,-8*A2909))+K$129*EXP(IF(A2909&lt;0,(10-9)*A2909,-9*A2909))+L$129*EXP(IF(A2909&lt;0,(10-10)*A2909,-10*A2909)),0)</x:f>
        <x:v>-193986.27921082397</x:v>
      </x:c>
      <x:c r="C2909" s="256" t="n">
        <x:f>IF(B2909=0,IF(B2908=0,0,1),IF(B2908=0,0,IF(SIGN(B2909)&lt;&gt;SIGN(B2908),1,0)))</x:f>
        <x:v>0</x:v>
      </x:c>
      <x:c r="D2909" s="256" t="n">
        <x:f>EXP(A2909-0.005)-1</x:f>
        <x:v>1.6778118844210503</x:v>
      </x:c>
    </x:row>
    <x:row r="2910" ht="20" customHeight="1">
      <x:c r="A2910" s="256" t="n">
        <x:f>-12+1300*0.01</x:f>
        <x:v>1</x:v>
      </x:c>
      <x:c r="B2910" s="256" t="n">
        <x:f>IF(COUNT($B$129:$L$129)=11,B$129*EXP(IF(A2910&lt;0,(10-0)*A2910,-0*A2910))+C$129*EXP(IF(A2910&lt;0,(10-1)*A2910,-1*A2910))+D$129*EXP(IF(A2910&lt;0,(10-2)*A2910,-2*A2910))+E$129*EXP(IF(A2910&lt;0,(10-3)*A2910,-3*A2910))+F$129*EXP(IF(A2910&lt;0,(10-4)*A2910,-4*A2910))+G$129*EXP(IF(A2910&lt;0,(10-5)*A2910,-5*A2910))+H$129*EXP(IF(A2910&lt;0,(10-6)*A2910,-6*A2910))+I$129*EXP(IF(A2910&lt;0,(10-7)*A2910,-7*A2910))+J$129*EXP(IF(A2910&lt;0,(10-8)*A2910,-8*A2910))+K$129*EXP(IF(A2910&lt;0,(10-9)*A2910,-9*A2910))+L$129*EXP(IF(A2910&lt;0,(10-10)*A2910,-10*A2910)),0)</x:f>
        <x:v>-193939.19536162796</x:v>
      </x:c>
      <x:c r="C2910" s="256" t="n">
        <x:f>IF(B2910=0,IF(B2909=0,0,1),IF(B2909=0,0,IF(SIGN(B2910)&lt;&gt;SIGN(B2909),1,0)))</x:f>
        <x:v>0</x:v>
      </x:c>
      <x:c r="D2910" s="256" t="n">
        <x:f>EXP(A2910-0.005)-1</x:f>
        <x:v>1.7047243412794524</x:v>
      </x:c>
    </x:row>
    <x:row r="2911" ht="20" customHeight="1">
      <x:c r="A2911" s="256" t="n">
        <x:f>-12+1301*0.01</x:f>
        <x:v>1.0099999999999998</x:v>
      </x:c>
      <x:c r="B2911" s="256" t="n">
        <x:f>IF(COUNT($B$129:$L$129)=11,B$129*EXP(IF(A2911&lt;0,(10-0)*A2911,-0*A2911))+C$129*EXP(IF(A2911&lt;0,(10-1)*A2911,-1*A2911))+D$129*EXP(IF(A2911&lt;0,(10-2)*A2911,-2*A2911))+E$129*EXP(IF(A2911&lt;0,(10-3)*A2911,-3*A2911))+F$129*EXP(IF(A2911&lt;0,(10-4)*A2911,-4*A2911))+G$129*EXP(IF(A2911&lt;0,(10-5)*A2911,-5*A2911))+H$129*EXP(IF(A2911&lt;0,(10-6)*A2911,-6*A2911))+I$129*EXP(IF(A2911&lt;0,(10-7)*A2911,-7*A2911))+J$129*EXP(IF(A2911&lt;0,(10-8)*A2911,-8*A2911))+K$129*EXP(IF(A2911&lt;0,(10-9)*A2911,-9*A2911))+L$129*EXP(IF(A2911&lt;0,(10-10)*A2911,-10*A2911)),0)</x:f>
        <x:v>-193892.45346723383</x:v>
      </x:c>
      <x:c r="C2911" s="256" t="n">
        <x:f>IF(B2911=0,IF(B2910=0,0,1),IF(B2910=0,0,IF(SIGN(B2911)&lt;&gt;SIGN(B2910),1,0)))</x:f>
        <x:v>0</x:v>
      </x:c>
      <x:c r="D2911" s="256" t="n">
        <x:f>EXP(A2911-0.005)-1</x:f>
        <x:v>1.7319072728259268</x:v>
      </x:c>
    </x:row>
    <x:row r="2912" ht="20" customHeight="1">
      <x:c r="A2912" s="256" t="n">
        <x:f>-12+1302*0.01</x:f>
        <x:v>1.0199999999999996</x:v>
      </x:c>
      <x:c r="B2912" s="256" t="n">
        <x:f>IF(COUNT($B$129:$L$129)=11,B$129*EXP(IF(A2912&lt;0,(10-0)*A2912,-0*A2912))+C$129*EXP(IF(A2912&lt;0,(10-1)*A2912,-1*A2912))+D$129*EXP(IF(A2912&lt;0,(10-2)*A2912,-2*A2912))+E$129*EXP(IF(A2912&lt;0,(10-3)*A2912,-3*A2912))+F$129*EXP(IF(A2912&lt;0,(10-4)*A2912,-4*A2912))+G$129*EXP(IF(A2912&lt;0,(10-5)*A2912,-5*A2912))+H$129*EXP(IF(A2912&lt;0,(10-6)*A2912,-6*A2912))+I$129*EXP(IF(A2912&lt;0,(10-7)*A2912,-7*A2912))+J$129*EXP(IF(A2912&lt;0,(10-8)*A2912,-8*A2912))+K$129*EXP(IF(A2912&lt;0,(10-9)*A2912,-9*A2912))+L$129*EXP(IF(A2912&lt;0,(10-10)*A2912,-10*A2912)),0)</x:f>
        <x:v>-193846.079677114</x:v>
      </x:c>
      <x:c r="C2912" s="256" t="n">
        <x:f>IF(B2912=0,IF(B2911=0,0,1),IF(B2911=0,0,IF(SIGN(B2912)&lt;&gt;SIGN(B2911),1,0)))</x:f>
        <x:v>0</x:v>
      </x:c>
      <x:c r="D2912" s="256" t="n">
        <x:f>EXP(A2912-0.005)-1</x:f>
        <x:v>1.7593633973762808</x:v>
      </x:c>
    </x:row>
    <x:row r="2913" ht="20" customHeight="1">
      <x:c r="A2913" s="256" t="n">
        <x:f>-12+1303*0.01</x:f>
        <x:v>1.0300000000000011</x:v>
      </x:c>
      <x:c r="B2913" s="256" t="n">
        <x:f>IF(COUNT($B$129:$L$129)=11,B$129*EXP(IF(A2913&lt;0,(10-0)*A2913,-0*A2913))+C$129*EXP(IF(A2913&lt;0,(10-1)*A2913,-1*A2913))+D$129*EXP(IF(A2913&lt;0,(10-2)*A2913,-2*A2913))+E$129*EXP(IF(A2913&lt;0,(10-3)*A2913,-3*A2913))+F$129*EXP(IF(A2913&lt;0,(10-4)*A2913,-4*A2913))+G$129*EXP(IF(A2913&lt;0,(10-5)*A2913,-5*A2913))+H$129*EXP(IF(A2913&lt;0,(10-6)*A2913,-6*A2913))+I$129*EXP(IF(A2913&lt;0,(10-7)*A2913,-7*A2913))+J$129*EXP(IF(A2913&lt;0,(10-8)*A2913,-8*A2913))+K$129*EXP(IF(A2913&lt;0,(10-9)*A2913,-9*A2913))+L$129*EXP(IF(A2913&lt;0,(10-10)*A2913,-10*A2913)),0)</x:f>
        <x:v>-193800.0967492311</x:v>
      </x:c>
      <x:c r="C2913" s="256" t="n">
        <x:f>IF(B2913=0,IF(B2912=0,0,1),IF(B2912=0,0,IF(SIGN(B2913)&lt;&gt;SIGN(B2912),1,0)))</x:f>
        <x:v>0</x:v>
      </x:c>
      <x:c r="D2913" s="256" t="n">
        <x:f>EXP(A2913-0.005)-1</x:f>
        <x:v>1.7870954605658542</x:v>
      </x:c>
    </x:row>
    <x:row r="2914" ht="20" customHeight="1">
      <x:c r="A2914" s="256" t="n">
        <x:f>-12+1304*0.01</x:f>
        <x:v>1.040000000000001</x:v>
      </x:c>
      <x:c r="B2914" s="256" t="n">
        <x:f>IF(COUNT($B$129:$L$129)=11,B$129*EXP(IF(A2914&lt;0,(10-0)*A2914,-0*A2914))+C$129*EXP(IF(A2914&lt;0,(10-1)*A2914,-1*A2914))+D$129*EXP(IF(A2914&lt;0,(10-2)*A2914,-2*A2914))+E$129*EXP(IF(A2914&lt;0,(10-3)*A2914,-3*A2914))+F$129*EXP(IF(A2914&lt;0,(10-4)*A2914,-4*A2914))+G$129*EXP(IF(A2914&lt;0,(10-5)*A2914,-5*A2914))+H$129*EXP(IF(A2914&lt;0,(10-6)*A2914,-6*A2914))+I$129*EXP(IF(A2914&lt;0,(10-7)*A2914,-7*A2914))+J$129*EXP(IF(A2914&lt;0,(10-8)*A2914,-8*A2914))+K$129*EXP(IF(A2914&lt;0,(10-9)*A2914,-9*A2914))+L$129*EXP(IF(A2914&lt;0,(10-10)*A2914,-10*A2914)),0)</x:f>
        <x:v>-193754.52438333863</x:v>
      </x:c>
      <x:c r="C2914" s="256" t="n">
        <x:f>IF(B2914=0,IF(B2913=0,0,1),IF(B2913=0,0,IF(SIGN(B2914)&lt;&gt;SIGN(B2913),1,0)))</x:f>
        <x:v>0</x:v>
      </x:c>
      <x:c r="D2914" s="256" t="n">
        <x:f>EXP(A2914-0.005)-1</x:f>
        <x:v>1.815106235624067</x:v>
      </x:c>
    </x:row>
    <x:row r="2915" ht="20" customHeight="1">
      <x:c r="A2915" s="256" t="n">
        <x:f>-12+1305*0.01</x:f>
        <x:v>1.0500000000000007</x:v>
      </x:c>
      <x:c r="B2915" s="256" t="n">
        <x:f>IF(COUNT($B$129:$L$129)=11,B$129*EXP(IF(A2915&lt;0,(10-0)*A2915,-0*A2915))+C$129*EXP(IF(A2915&lt;0,(10-1)*A2915,-1*A2915))+D$129*EXP(IF(A2915&lt;0,(10-2)*A2915,-2*A2915))+E$129*EXP(IF(A2915&lt;0,(10-3)*A2915,-3*A2915))+F$129*EXP(IF(A2915&lt;0,(10-4)*A2915,-4*A2915))+G$129*EXP(IF(A2915&lt;0,(10-5)*A2915,-5*A2915))+H$129*EXP(IF(A2915&lt;0,(10-6)*A2915,-6*A2915))+I$129*EXP(IF(A2915&lt;0,(10-7)*A2915,-7*A2915))+J$129*EXP(IF(A2915&lt;0,(10-8)*A2915,-8*A2915))+K$129*EXP(IF(A2915&lt;0,(10-9)*A2915,-9*A2915))+L$129*EXP(IF(A2915&lt;0,(10-10)*A2915,-10*A2915)),0)</x:f>
        <x:v>-193709.37952283627</x:v>
      </x:c>
      <x:c r="C2915" s="256" t="n">
        <x:f>IF(B2915=0,IF(B2914=0,0,1),IF(B2914=0,0,IF(SIGN(B2915)&lt;&gt;SIGN(B2914),1,0)))</x:f>
        <x:v>0</x:v>
      </x:c>
      <x:c r="D2915" s="256" t="n">
        <x:f>EXP(A2915-0.005)-1</x:f>
        <x:v>1.8433985236517714</x:v>
      </x:c>
    </x:row>
    <x:row r="2916" ht="20" customHeight="1">
      <x:c r="A2916" s="256" t="n">
        <x:f>-12+1306*0.01</x:f>
        <x:v>1.0600000000000005</x:v>
      </x:c>
      <x:c r="B2916" s="256" t="n">
        <x:f>IF(COUNT($B$129:$L$129)=11,B$129*EXP(IF(A2916&lt;0,(10-0)*A2916,-0*A2916))+C$129*EXP(IF(A2916&lt;0,(10-1)*A2916,-1*A2916))+D$129*EXP(IF(A2916&lt;0,(10-2)*A2916,-2*A2916))+E$129*EXP(IF(A2916&lt;0,(10-3)*A2916,-3*A2916))+F$129*EXP(IF(A2916&lt;0,(10-4)*A2916,-4*A2916))+G$129*EXP(IF(A2916&lt;0,(10-5)*A2916,-5*A2916))+H$129*EXP(IF(A2916&lt;0,(10-6)*A2916,-6*A2916))+I$129*EXP(IF(A2916&lt;0,(10-7)*A2916,-7*A2916))+J$129*EXP(IF(A2916&lt;0,(10-8)*A2916,-8*A2916))+K$129*EXP(IF(A2916&lt;0,(10-9)*A2916,-9*A2916))+L$129*EXP(IF(A2916&lt;0,(10-10)*A2916,-10*A2916)),0)</x:f>
        <x:v>-193664.67662813212</x:v>
      </x:c>
      <x:c r="C2916" s="256" t="n">
        <x:f>IF(B2916=0,IF(B2915=0,0,1),IF(B2915=0,0,IF(SIGN(B2916)&lt;&gt;SIGN(B2915),1,0)))</x:f>
        <x:v>0</x:v>
      </x:c>
      <x:c r="D2916" s="256" t="n">
        <x:f>EXP(A2916-0.005)-1</x:f>
        <x:v>1.8719751539013476</x:v>
      </x:c>
    </x:row>
    <x:row r="2917" ht="20" customHeight="1">
      <x:c r="A2917" s="256" t="n">
        <x:f>-12+1307*0.01</x:f>
        <x:v>1.0700000000000003</x:v>
      </x:c>
      <x:c r="B2917" s="256" t="n">
        <x:f>IF(COUNT($B$129:$L$129)=11,B$129*EXP(IF(A2917&lt;0,(10-0)*A2917,-0*A2917))+C$129*EXP(IF(A2917&lt;0,(10-1)*A2917,-1*A2917))+D$129*EXP(IF(A2917&lt;0,(10-2)*A2917,-2*A2917))+E$129*EXP(IF(A2917&lt;0,(10-3)*A2917,-3*A2917))+F$129*EXP(IF(A2917&lt;0,(10-4)*A2917,-4*A2917))+G$129*EXP(IF(A2917&lt;0,(10-5)*A2917,-5*A2917))+H$129*EXP(IF(A2917&lt;0,(10-6)*A2917,-6*A2917))+I$129*EXP(IF(A2917&lt;0,(10-7)*A2917,-7*A2917))+J$129*EXP(IF(A2917&lt;0,(10-8)*A2917,-8*A2917))+K$129*EXP(IF(A2917&lt;0,(10-9)*A2917,-9*A2917))+L$129*EXP(IF(A2917&lt;0,(10-10)*A2917,-10*A2917)),0)</x:f>
        <x:v>-193620.42792418587</x:v>
      </x:c>
      <x:c r="C2917" s="256" t="n">
        <x:f>IF(B2917=0,IF(B2916=0,0,1),IF(B2916=0,0,IF(SIGN(B2917)&lt;&gt;SIGN(B2916),1,0)))</x:f>
        <x:v>0</x:v>
      </x:c>
      <x:c r="D2917" s="256" t="n">
        <x:f>EXP(A2917-0.005)-1</x:f>
        <x:v>1.900838984059635</x:v>
      </x:c>
    </x:row>
    <x:row r="2918" ht="20" customHeight="1">
      <x:c r="A2918" s="256" t="n">
        <x:f>-12+1308*0.01</x:f>
        <x:v>1.08</x:v>
      </x:c>
      <x:c r="B2918" s="256" t="n">
        <x:f>IF(COUNT($B$129:$L$129)=11,B$129*EXP(IF(A2918&lt;0,(10-0)*A2918,-0*A2918))+C$129*EXP(IF(A2918&lt;0,(10-1)*A2918,-1*A2918))+D$129*EXP(IF(A2918&lt;0,(10-2)*A2918,-2*A2918))+E$129*EXP(IF(A2918&lt;0,(10-3)*A2918,-3*A2918))+F$129*EXP(IF(A2918&lt;0,(10-4)*A2918,-4*A2918))+G$129*EXP(IF(A2918&lt;0,(10-5)*A2918,-5*A2918))+H$129*EXP(IF(A2918&lt;0,(10-6)*A2918,-6*A2918))+I$129*EXP(IF(A2918&lt;0,(10-7)*A2918,-7*A2918))+J$129*EXP(IF(A2918&lt;0,(10-8)*A2918,-8*A2918))+K$129*EXP(IF(A2918&lt;0,(10-9)*A2918,-9*A2918))+L$129*EXP(IF(A2918&lt;0,(10-10)*A2918,-10*A2918)),0)</x:f>
        <x:v>-193576.64362465576</x:v>
      </x:c>
      <x:c r="C2918" s="256" t="n">
        <x:f>IF(B2918=0,IF(B2917=0,0,1),IF(B2917=0,0,IF(SIGN(B2918)&lt;&gt;SIGN(B2917),1,0)))</x:f>
        <x:v>0</x:v>
      </x:c>
      <x:c r="D2918" s="256" t="n">
        <x:f>EXP(A2918-0.005)-1</x:f>
        <x:v>1.9299929005337022</x:v>
      </x:c>
    </x:row>
    <x:row r="2919" ht="20" customHeight="1">
      <x:c r="A2919" s="256" t="n">
        <x:f>-12+1309*0.01</x:f>
        <x:v>1.0899999999999999</x:v>
      </x:c>
      <x:c r="B2919" s="256" t="n">
        <x:f>IF(COUNT($B$129:$L$129)=11,B$129*EXP(IF(A2919&lt;0,(10-0)*A2919,-0*A2919))+C$129*EXP(IF(A2919&lt;0,(10-1)*A2919,-1*A2919))+D$129*EXP(IF(A2919&lt;0,(10-2)*A2919,-2*A2919))+E$129*EXP(IF(A2919&lt;0,(10-3)*A2919,-3*A2919))+F$129*EXP(IF(A2919&lt;0,(10-4)*A2919,-4*A2919))+G$129*EXP(IF(A2919&lt;0,(10-5)*A2919,-5*A2919))+H$129*EXP(IF(A2919&lt;0,(10-6)*A2919,-6*A2919))+I$129*EXP(IF(A2919&lt;0,(10-7)*A2919,-7*A2919))+J$129*EXP(IF(A2919&lt;0,(10-8)*A2919,-8*A2919))+K$129*EXP(IF(A2919&lt;0,(10-9)*A2919,-9*A2919))+L$129*EXP(IF(A2919&lt;0,(10-10)*A2919,-10*A2919)),0)</x:f>
        <x:v>-193533.3321348425</x:v>
      </x:c>
      <x:c r="C2919" s="256" t="n">
        <x:f>IF(B2919=0,IF(B2918=0,0,1),IF(B2918=0,0,IF(SIGN(B2919)&lt;&gt;SIGN(B2918),1,0)))</x:f>
        <x:v>0</x:v>
      </x:c>
      <x:c r="D2919" s="256" t="n">
        <x:f>EXP(A2919-0.005)-1</x:f>
        <x:v>1.9594398187394915</x:v>
      </x:c>
    </x:row>
    <x:row r="2920" ht="20" customHeight="1">
      <x:c r="A2920" s="256" t="n">
        <x:f>-12+1310*0.01</x:f>
        <x:v>1.0999999999999996</x:v>
      </x:c>
      <x:c r="B2920" s="256" t="n">
        <x:f>IF(COUNT($B$129:$L$129)=11,B$129*EXP(IF(A2920&lt;0,(10-0)*A2920,-0*A2920))+C$129*EXP(IF(A2920&lt;0,(10-1)*A2920,-1*A2920))+D$129*EXP(IF(A2920&lt;0,(10-2)*A2920,-2*A2920))+E$129*EXP(IF(A2920&lt;0,(10-3)*A2920,-3*A2920))+F$129*EXP(IF(A2920&lt;0,(10-4)*A2920,-4*A2920))+G$129*EXP(IF(A2920&lt;0,(10-5)*A2920,-5*A2920))+H$129*EXP(IF(A2920&lt;0,(10-6)*A2920,-6*A2920))+I$129*EXP(IF(A2920&lt;0,(10-7)*A2920,-7*A2920))+J$129*EXP(IF(A2920&lt;0,(10-8)*A2920,-8*A2920))+K$129*EXP(IF(A2920&lt;0,(10-9)*A2920,-9*A2920))+L$129*EXP(IF(A2920&lt;0,(10-10)*A2920,-10*A2920)),0)</x:f>
        <x:v>-193490.50023542184</x:v>
      </x:c>
      <x:c r="C2920" s="256" t="n">
        <x:f>IF(B2920=0,IF(B2919=0,0,1),IF(B2919=0,0,IF(SIGN(B2920)&lt;&gt;SIGN(B2919),1,0)))</x:f>
        <x:v>0</x:v>
      </x:c>
      <x:c r="D2920" s="256" t="n">
        <x:f>EXP(A2920-0.005)-1</x:f>
        <x:v>1.9891826833933628</x:v>
      </x:c>
    </x:row>
    <x:row r="2921" ht="20" customHeight="1">
      <x:c r="A2921" s="256" t="n">
        <x:f>-12+1311*0.01</x:f>
        <x:v>1.1099999999999994</x:v>
      </x:c>
      <x:c r="B2921" s="256" t="n">
        <x:f>IF(COUNT($B$129:$L$129)=11,B$129*EXP(IF(A2921&lt;0,(10-0)*A2921,-0*A2921))+C$129*EXP(IF(A2921&lt;0,(10-1)*A2921,-1*A2921))+D$129*EXP(IF(A2921&lt;0,(10-2)*A2921,-2*A2921))+E$129*EXP(IF(A2921&lt;0,(10-3)*A2921,-3*A2921))+F$129*EXP(IF(A2921&lt;0,(10-4)*A2921,-4*A2921))+G$129*EXP(IF(A2921&lt;0,(10-5)*A2921,-5*A2921))+H$129*EXP(IF(A2921&lt;0,(10-6)*A2921,-6*A2921))+I$129*EXP(IF(A2921&lt;0,(10-7)*A2921,-7*A2921))+J$129*EXP(IF(A2921&lt;0,(10-8)*A2921,-8*A2921))+K$129*EXP(IF(A2921&lt;0,(10-9)*A2921,-9*A2921))+L$129*EXP(IF(A2921&lt;0,(10-10)*A2921,-10*A2921)),0)</x:f>
        <x:v>-193448.1532487654</x:v>
      </x:c>
      <x:c r="C2921" s="256" t="n">
        <x:f>IF(B2921=0,IF(B2920=0,0,1),IF(B2920=0,0,IF(SIGN(B2921)&lt;&gt;SIGN(B2920),1,0)))</x:f>
        <x:v>0</x:v>
      </x:c>
      <x:c r="D2921" s="256" t="n">
        <x:f>EXP(A2921-0.005)-1</x:f>
        <x:v>2.0192244688065673</x:v>
      </x:c>
    </x:row>
    <x:row r="2922" ht="20" customHeight="1">
      <x:c r="A2922" s="256" t="n">
        <x:f>-12+1312*0.01</x:f>
        <x:v>1.120000000000001</x:v>
      </x:c>
      <x:c r="B2922" s="256" t="n">
        <x:f>IF(COUNT($B$129:$L$129)=11,B$129*EXP(IF(A2922&lt;0,(10-0)*A2922,-0*A2922))+C$129*EXP(IF(A2922&lt;0,(10-1)*A2922,-1*A2922))+D$129*EXP(IF(A2922&lt;0,(10-2)*A2922,-2*A2922))+E$129*EXP(IF(A2922&lt;0,(10-3)*A2922,-3*A2922))+F$129*EXP(IF(A2922&lt;0,(10-4)*A2922,-4*A2922))+G$129*EXP(IF(A2922&lt;0,(10-5)*A2922,-5*A2922))+H$129*EXP(IF(A2922&lt;0,(10-6)*A2922,-6*A2922))+I$129*EXP(IF(A2922&lt;0,(10-7)*A2922,-7*A2922))+J$129*EXP(IF(A2922&lt;0,(10-8)*A2922,-8*A2922))+K$129*EXP(IF(A2922&lt;0,(10-9)*A2922,-9*A2922))+L$129*EXP(IF(A2922&lt;0,(10-10)*A2922,-10*A2922)),0)</x:f>
        <x:v>-193406.2951894833</x:v>
      </x:c>
      <x:c r="C2922" s="256" t="n">
        <x:f>IF(B2922=0,IF(B2921=0,0,1),IF(B2921=0,0,IF(SIGN(B2922)&lt;&gt;SIGN(B2921),1,0)))</x:f>
        <x:v>0</x:v>
      </x:c>
      <x:c r="D2922" s="256" t="n">
        <x:f>EXP(A2922-0.005)-1</x:f>
        <x:v>2.0495681791826863</x:v>
      </x:c>
    </x:row>
    <x:row r="2923" ht="20" customHeight="1">
      <x:c r="A2923" s="256" t="n">
        <x:f>-12+1313*0.01</x:f>
        <x:v>1.1300000000000008</x:v>
      </x:c>
      <x:c r="B2923" s="256" t="n">
        <x:f>IF(COUNT($B$129:$L$129)=11,B$129*EXP(IF(A2923&lt;0,(10-0)*A2923,-0*A2923))+C$129*EXP(IF(A2923&lt;0,(10-1)*A2923,-1*A2923))+D$129*EXP(IF(A2923&lt;0,(10-2)*A2923,-2*A2923))+E$129*EXP(IF(A2923&lt;0,(10-3)*A2923,-3*A2923))+F$129*EXP(IF(A2923&lt;0,(10-4)*A2923,-4*A2923))+G$129*EXP(IF(A2923&lt;0,(10-5)*A2923,-5*A2923))+H$129*EXP(IF(A2923&lt;0,(10-6)*A2923,-6*A2923))+I$129*EXP(IF(A2923&lt;0,(10-7)*A2923,-7*A2923))+J$129*EXP(IF(A2923&lt;0,(10-8)*A2923,-8*A2923))+K$129*EXP(IF(A2923&lt;0,(10-9)*A2923,-9*A2923))+L$129*EXP(IF(A2923&lt;0,(10-10)*A2923,-10*A2923)),0)</x:f>
        <x:v>-193364.92890066883</x:v>
      </x:c>
      <x:c r="C2923" s="256" t="n">
        <x:f>IF(B2923=0,IF(B2922=0,0,1),IF(B2922=0,0,IF(SIGN(B2923)&lt;&gt;SIGN(B2922),1,0)))</x:f>
        <x:v>0</x:v>
      </x:c>
      <x:c r="D2923" s="256" t="n">
        <x:f>EXP(A2923-0.005)-1</x:f>
        <x:v>2.0802168489180337</x:v>
      </x:c>
    </x:row>
    <x:row r="2924" ht="20" customHeight="1">
      <x:c r="A2924" s="256" t="n">
        <x:f>-12+1314*0.01</x:f>
        <x:v>1.1400000000000006</x:v>
      </x:c>
      <x:c r="B2924" s="256" t="n">
        <x:f>IF(COUNT($B$129:$L$129)=11,B$129*EXP(IF(A2924&lt;0,(10-0)*A2924,-0*A2924))+C$129*EXP(IF(A2924&lt;0,(10-1)*A2924,-1*A2924))+D$129*EXP(IF(A2924&lt;0,(10-2)*A2924,-2*A2924))+E$129*EXP(IF(A2924&lt;0,(10-3)*A2924,-3*A2924))+F$129*EXP(IF(A2924&lt;0,(10-4)*A2924,-4*A2924))+G$129*EXP(IF(A2924&lt;0,(10-5)*A2924,-5*A2924))+H$129*EXP(IF(A2924&lt;0,(10-6)*A2924,-6*A2924))+I$129*EXP(IF(A2924&lt;0,(10-7)*A2924,-7*A2924))+J$129*EXP(IF(A2924&lt;0,(10-8)*A2924,-8*A2924))+K$129*EXP(IF(A2924&lt;0,(10-9)*A2924,-9*A2924))+L$129*EXP(IF(A2924&lt;0,(10-10)*A2924,-10*A2924)),0)</x:f>
        <x:v>-193324.05617718445</x:v>
      </x:c>
      <x:c r="C2924" s="256" t="n">
        <x:f>IF(B2924=0,IF(B2923=0,0,1),IF(B2923=0,0,IF(SIGN(B2924)&lt;&gt;SIGN(B2923),1,0)))</x:f>
        <x:v>0</x:v>
      </x:c>
      <x:c r="D2924" s="256" t="n">
        <x:f>EXP(A2924-0.005)-1</x:f>
        <x:v>2.1111735429051293</x:v>
      </x:c>
    </x:row>
    <x:row r="2925" ht="20" customHeight="1">
      <x:c r="A2925" s="256" t="n">
        <x:f>-12+1315*0.01</x:f>
        <x:v>1.1500000000000004</x:v>
      </x:c>
      <x:c r="B2925" s="256" t="n">
        <x:f>IF(COUNT($B$129:$L$129)=11,B$129*EXP(IF(A2925&lt;0,(10-0)*A2925,-0*A2925))+C$129*EXP(IF(A2925&lt;0,(10-1)*A2925,-1*A2925))+D$129*EXP(IF(A2925&lt;0,(10-2)*A2925,-2*A2925))+E$129*EXP(IF(A2925&lt;0,(10-3)*A2925,-3*A2925))+F$129*EXP(IF(A2925&lt;0,(10-4)*A2925,-4*A2925))+G$129*EXP(IF(A2925&lt;0,(10-5)*A2925,-5*A2925))+H$129*EXP(IF(A2925&lt;0,(10-6)*A2925,-6*A2925))+I$129*EXP(IF(A2925&lt;0,(10-7)*A2925,-7*A2925))+J$129*EXP(IF(A2925&lt;0,(10-8)*A2925,-8*A2925))+K$129*EXP(IF(A2925&lt;0,(10-9)*A2925,-9*A2925))+L$129*EXP(IF(A2925&lt;0,(10-10)*A2925,-10*A2925)),0)</x:f>
        <x:v>-193283.67787720566</x:v>
      </x:c>
      <x:c r="C2925" s="256" t="n">
        <x:f>IF(B2925=0,IF(B2924=0,0,1),IF(B2924=0,0,IF(SIGN(B2925)&lt;&gt;SIGN(B2924),1,0)))</x:f>
        <x:v>0</x:v>
      </x:c>
      <x:c r="D2925" s="256" t="n">
        <x:f>EXP(A2925-0.005)-1</x:f>
        <x:v>2.1424413568391683</x:v>
      </x:c>
    </x:row>
    <x:row r="2926" ht="20" customHeight="1">
      <x:c r="A2926" s="256" t="n">
        <x:f>-12+1316*0.01</x:f>
        <x:v>1.1600000000000001</x:v>
      </x:c>
      <x:c r="B2926" s="256" t="n">
        <x:f>IF(COUNT($B$129:$L$129)=11,B$129*EXP(IF(A2926&lt;0,(10-0)*A2926,-0*A2926))+C$129*EXP(IF(A2926&lt;0,(10-1)*A2926,-1*A2926))+D$129*EXP(IF(A2926&lt;0,(10-2)*A2926,-2*A2926))+E$129*EXP(IF(A2926&lt;0,(10-3)*A2926,-3*A2926))+F$129*EXP(IF(A2926&lt;0,(10-4)*A2926,-4*A2926))+G$129*EXP(IF(A2926&lt;0,(10-5)*A2926,-5*A2926))+H$129*EXP(IF(A2926&lt;0,(10-6)*A2926,-6*A2926))+I$129*EXP(IF(A2926&lt;0,(10-7)*A2926,-7*A2926))+J$129*EXP(IF(A2926&lt;0,(10-8)*A2926,-8*A2926))+K$129*EXP(IF(A2926&lt;0,(10-9)*A2926,-9*A2926))+L$129*EXP(IF(A2926&lt;0,(10-10)*A2926,-10*A2926)),0)</x:f>
        <x:v>-193243.7940231224</x:v>
      </x:c>
      <x:c r="C2926" s="256" t="n">
        <x:f>IF(B2926=0,IF(B2925=0,0,1),IF(B2925=0,0,IF(SIGN(B2926)&lt;&gt;SIGN(B2925),1,0)))</x:f>
        <x:v>0</x:v>
      </x:c>
      <x:c r="D2926" s="256" t="n">
        <x:f>EXP(A2926-0.005)-1</x:f>
        <x:v>2.174023417527601</x:v>
      </x:c>
    </x:row>
    <x:row r="2927" ht="20" customHeight="1">
      <x:c r="A2927" s="256" t="n">
        <x:f>-12+1317*0.01</x:f>
        <x:v>1.17</x:v>
      </x:c>
      <x:c r="B2927" s="256" t="n">
        <x:f>IF(COUNT($B$129:$L$129)=11,B$129*EXP(IF(A2927&lt;0,(10-0)*A2927,-0*A2927))+C$129*EXP(IF(A2927&lt;0,(10-1)*A2927,-1*A2927))+D$129*EXP(IF(A2927&lt;0,(10-2)*A2927,-2*A2927))+E$129*EXP(IF(A2927&lt;0,(10-3)*A2927,-3*A2927))+F$129*EXP(IF(A2927&lt;0,(10-4)*A2927,-4*A2927))+G$129*EXP(IF(A2927&lt;0,(10-5)*A2927,-5*A2927))+H$129*EXP(IF(A2927&lt;0,(10-6)*A2927,-6*A2927))+I$129*EXP(IF(A2927&lt;0,(10-7)*A2927,-7*A2927))+J$129*EXP(IF(A2927&lt;0,(10-8)*A2927,-8*A2927))+K$129*EXP(IF(A2927&lt;0,(10-9)*A2927,-9*A2927))+L$129*EXP(IF(A2927&lt;0,(10-10)*A2927,-10*A2927)),0)</x:f>
        <x:v>-193204.4038927964</x:v>
      </x:c>
      <x:c r="C2927" s="256" t="n">
        <x:f>IF(B2927=0,IF(B2926=0,0,1),IF(B2926=0,0,IF(SIGN(B2927)&lt;&gt;SIGN(B2926),1,0)))</x:f>
        <x:v>0</x:v>
      </x:c>
      <x:c r="D2927" s="256" t="n">
        <x:f>EXP(A2927-0.005)-1</x:f>
        <x:v>2.2059228832028146</x:v>
      </x:c>
    </x:row>
    <x:row r="2928" ht="20" customHeight="1">
      <x:c r="A2928" s="256" t="n">
        <x:f>-12+1318*0.01</x:f>
        <x:v>1.1799999999999997</x:v>
      </x:c>
      <x:c r="B2928" s="256" t="n">
        <x:f>IF(COUNT($B$129:$L$129)=11,B$129*EXP(IF(A2928&lt;0,(10-0)*A2928,-0*A2928))+C$129*EXP(IF(A2928&lt;0,(10-1)*A2928,-1*A2928))+D$129*EXP(IF(A2928&lt;0,(10-2)*A2928,-2*A2928))+E$129*EXP(IF(A2928&lt;0,(10-3)*A2928,-3*A2928))+F$129*EXP(IF(A2928&lt;0,(10-4)*A2928,-4*A2928))+G$129*EXP(IF(A2928&lt;0,(10-5)*A2928,-5*A2928))+H$129*EXP(IF(A2928&lt;0,(10-6)*A2928,-6*A2928))+I$129*EXP(IF(A2928&lt;0,(10-7)*A2928,-7*A2928))+J$129*EXP(IF(A2928&lt;0,(10-8)*A2928,-8*A2928))+K$129*EXP(IF(A2928&lt;0,(10-9)*A2928,-9*A2928))+L$129*EXP(IF(A2928&lt;0,(10-10)*A2928,-10*A2928)),0)</x:f>
        <x:v>-193165.506102079</x:v>
      </x:c>
      <x:c r="C2928" s="256" t="n">
        <x:f>IF(B2928=0,IF(B2927=0,0,1),IF(B2927=0,0,IF(SIGN(B2928)&lt;&gt;SIGN(B2927),1,0)))</x:f>
        <x:v>0</x:v>
      </x:c>
      <x:c r="D2928" s="256" t="n">
        <x:f>EXP(A2928-0.005)-1</x:f>
        <x:v>2.23814294383796</x:v>
      </x:c>
    </x:row>
    <x:row r="2929" ht="20" customHeight="1">
      <x:c r="A2929" s="256" t="n">
        <x:f>-12+1319*0.01</x:f>
        <x:v>1.1899999999999995</x:v>
      </x:c>
      <x:c r="B2929" s="256" t="n">
        <x:f>IF(COUNT($B$129:$L$129)=11,B$129*EXP(IF(A2929&lt;0,(10-0)*A2929,-0*A2929))+C$129*EXP(IF(A2929&lt;0,(10-1)*A2929,-1*A2929))+D$129*EXP(IF(A2929&lt;0,(10-2)*A2929,-2*A2929))+E$129*EXP(IF(A2929&lt;0,(10-3)*A2929,-3*A2929))+F$129*EXP(IF(A2929&lt;0,(10-4)*A2929,-4*A2929))+G$129*EXP(IF(A2929&lt;0,(10-5)*A2929,-5*A2929))+H$129*EXP(IF(A2929&lt;0,(10-6)*A2929,-6*A2929))+I$129*EXP(IF(A2929&lt;0,(10-7)*A2929,-7*A2929))+J$129*EXP(IF(A2929&lt;0,(10-8)*A2929,-8*A2929))+K$129*EXP(IF(A2929&lt;0,(10-9)*A2929,-9*A2929))+L$129*EXP(IF(A2929&lt;0,(10-10)*A2929,-10*A2929)),0)</x:f>
        <x:v>-193127.09867940808</x:v>
      </x:c>
      <x:c r="C2929" s="256" t="n">
        <x:f>IF(B2929=0,IF(B2928=0,0,1),IF(B2928=0,0,IF(SIGN(B2929)&lt;&gt;SIGN(B2928),1,0)))</x:f>
        <x:v>0</x:v>
      </x:c>
      <x:c r="D2929" s="256" t="n">
        <x:f>EXP(A2929-0.005)-1</x:f>
        <x:v>2.270686821465951</x:v>
      </x:c>
    </x:row>
    <x:row r="2930" ht="20" customHeight="1">
      <x:c r="A2930" s="256" t="n">
        <x:f>-12+1320*0.01</x:f>
        <x:v>1.200000000000001</x:v>
      </x:c>
      <x:c r="B2930" s="256" t="n">
        <x:f>IF(COUNT($B$129:$L$129)=11,B$129*EXP(IF(A2930&lt;0,(10-0)*A2930,-0*A2930))+C$129*EXP(IF(A2930&lt;0,(10-1)*A2930,-1*A2930))+D$129*EXP(IF(A2930&lt;0,(10-2)*A2930,-2*A2930))+E$129*EXP(IF(A2930&lt;0,(10-3)*A2930,-3*A2930))+F$129*EXP(IF(A2930&lt;0,(10-4)*A2930,-4*A2930))+G$129*EXP(IF(A2930&lt;0,(10-5)*A2930,-5*A2930))+H$129*EXP(IF(A2930&lt;0,(10-6)*A2930,-6*A2930))+I$129*EXP(IF(A2930&lt;0,(10-7)*A2930,-7*A2930))+J$129*EXP(IF(A2930&lt;0,(10-8)*A2930,-8*A2930))+K$129*EXP(IF(A2930&lt;0,(10-9)*A2930,-9*A2930))+L$129*EXP(IF(A2930&lt;0,(10-10)*A2930,-10*A2930)),0)</x:f>
        <x:v>-193089.17913322747</x:v>
      </x:c>
      <x:c r="C2930" s="256" t="n">
        <x:f>IF(B2930=0,IF(B2929=0,0,1),IF(B2929=0,0,IF(SIGN(B2930)&lt;&gt;SIGN(B2929),1,0)))</x:f>
        <x:v>0</x:v>
      </x:c>
      <x:c r="D2930" s="256" t="n">
        <x:f>EXP(A2930-0.005)-1</x:f>
        <x:v>2.3035577705016754</x:v>
      </x:c>
    </x:row>
    <x:row r="2931" ht="20" customHeight="1">
      <x:c r="A2931" s="256" t="n">
        <x:f>-12+1321*0.01</x:f>
        <x:v>1.2100000000000009</x:v>
      </x:c>
      <x:c r="B2931" s="256" t="n">
        <x:f>IF(COUNT($B$129:$L$129)=11,B$129*EXP(IF(A2931&lt;0,(10-0)*A2931,-0*A2931))+C$129*EXP(IF(A2931&lt;0,(10-1)*A2931,-1*A2931))+D$129*EXP(IF(A2931&lt;0,(10-2)*A2931,-2*A2931))+E$129*EXP(IF(A2931&lt;0,(10-3)*A2931,-3*A2931))+F$129*EXP(IF(A2931&lt;0,(10-4)*A2931,-4*A2931))+G$129*EXP(IF(A2931&lt;0,(10-5)*A2931,-5*A2931))+H$129*EXP(IF(A2931&lt;0,(10-6)*A2931,-6*A2931))+I$129*EXP(IF(A2931&lt;0,(10-7)*A2931,-7*A2931))+J$129*EXP(IF(A2931&lt;0,(10-8)*A2931,-8*A2931))+K$129*EXP(IF(A2931&lt;0,(10-9)*A2931,-9*A2931))+L$129*EXP(IF(A2931&lt;0,(10-10)*A2931,-10*A2931)),0)</x:f>
        <x:v>-193051.74451290243</x:v>
      </x:c>
      <x:c r="C2931" s="256" t="n">
        <x:f>IF(B2931=0,IF(B2930=0,0,1),IF(B2930=0,0,IF(SIGN(B2931)&lt;&gt;SIGN(B2930),1,0)))</x:f>
        <x:v>0</x:v>
      </x:c>
      <x:c r="D2931" s="256" t="n">
        <x:f>EXP(A2931-0.005)-1</x:f>
        <x:v>2.336759078067418</x:v>
      </x:c>
    </x:row>
    <x:row r="2932" ht="20" customHeight="1">
      <x:c r="A2932" s="256" t="n">
        <x:f>-12+1322*0.01</x:f>
        <x:v>1.2200000000000006</x:v>
      </x:c>
      <x:c r="B2932" s="256" t="n">
        <x:f>IF(COUNT($B$129:$L$129)=11,B$129*EXP(IF(A2932&lt;0,(10-0)*A2932,-0*A2932))+C$129*EXP(IF(A2932&lt;0,(10-1)*A2932,-1*A2932))+D$129*EXP(IF(A2932&lt;0,(10-2)*A2932,-2*A2932))+E$129*EXP(IF(A2932&lt;0,(10-3)*A2932,-3*A2932))+F$129*EXP(IF(A2932&lt;0,(10-4)*A2932,-4*A2932))+G$129*EXP(IF(A2932&lt;0,(10-5)*A2932,-5*A2932))+H$129*EXP(IF(A2932&lt;0,(10-6)*A2932,-6*A2932))+I$129*EXP(IF(A2932&lt;0,(10-7)*A2932,-7*A2932))+J$129*EXP(IF(A2932&lt;0,(10-8)*A2932,-8*A2932))+K$129*EXP(IF(A2932&lt;0,(10-9)*A2932,-9*A2932))+L$129*EXP(IF(A2932&lt;0,(10-10)*A2932,-10*A2932)),0)</x:f>
        <x:v>-193014.79146373997</x:v>
      </x:c>
      <x:c r="C2932" s="256" t="n">
        <x:f>IF(B2932=0,IF(B2931=0,0,1),IF(B2931=0,0,IF(SIGN(B2932)&lt;&gt;SIGN(B2931),1,0)))</x:f>
        <x:v>0</x:v>
      </x:c>
      <x:c r="D2932" s="256" t="n">
        <x:f>EXP(A2932-0.005)-1</x:f>
        <x:v>2.3702940643216097</x:v>
      </x:c>
    </x:row>
    <x:row r="2933" ht="20" customHeight="1">
      <x:c r="A2933" s="256" t="n">
        <x:f>-12+1323*0.01</x:f>
        <x:v>1.2300000000000004</x:v>
      </x:c>
      <x:c r="B2933" s="256" t="n">
        <x:f>IF(COUNT($B$129:$L$129)=11,B$129*EXP(IF(A2933&lt;0,(10-0)*A2933,-0*A2933))+C$129*EXP(IF(A2933&lt;0,(10-1)*A2933,-1*A2933))+D$129*EXP(IF(A2933&lt;0,(10-2)*A2933,-2*A2933))+E$129*EXP(IF(A2933&lt;0,(10-3)*A2933,-3*A2933))+F$129*EXP(IF(A2933&lt;0,(10-4)*A2933,-4*A2933))+G$129*EXP(IF(A2933&lt;0,(10-5)*A2933,-5*A2933))+H$129*EXP(IF(A2933&lt;0,(10-6)*A2933,-6*A2933))+I$129*EXP(IF(A2933&lt;0,(10-7)*A2933,-7*A2933))+J$129*EXP(IF(A2933&lt;0,(10-8)*A2933,-8*A2933))+K$129*EXP(IF(A2933&lt;0,(10-9)*A2933,-9*A2933))+L$129*EXP(IF(A2933&lt;0,(10-10)*A2933,-10*A2933)),0)</x:f>
        <x:v>-192978.31627666875</x:v>
      </x:c>
      <x:c r="C2933" s="256" t="n">
        <x:f>IF(B2933=0,IF(B2932=0,0,1),IF(B2932=0,0,IF(SIGN(B2933)&lt;&gt;SIGN(B2932),1,0)))</x:f>
        <x:v>0</x:v>
      </x:c>
      <x:c r="D2933" s="256" t="n">
        <x:f>EXP(A2933-0.005)-1</x:f>
        <x:v>2.404166082790821</x:v>
      </x:c>
    </x:row>
    <x:row r="2934" ht="20" customHeight="1">
      <x:c r="A2934" s="256" t="n">
        <x:f>-12+1324*0.01</x:f>
        <x:v>1.2400000000000002</x:v>
      </x:c>
      <x:c r="B2934" s="256" t="n">
        <x:f>IF(COUNT($B$129:$L$129)=11,B$129*EXP(IF(A2934&lt;0,(10-0)*A2934,-0*A2934))+C$129*EXP(IF(A2934&lt;0,(10-1)*A2934,-1*A2934))+D$129*EXP(IF(A2934&lt;0,(10-2)*A2934,-2*A2934))+E$129*EXP(IF(A2934&lt;0,(10-3)*A2934,-3*A2934))+F$129*EXP(IF(A2934&lt;0,(10-4)*A2934,-4*A2934))+G$129*EXP(IF(A2934&lt;0,(10-5)*A2934,-5*A2934))+H$129*EXP(IF(A2934&lt;0,(10-6)*A2934,-6*A2934))+I$129*EXP(IF(A2934&lt;0,(10-7)*A2934,-7*A2934))+J$129*EXP(IF(A2934&lt;0,(10-8)*A2934,-8*A2934))+K$129*EXP(IF(A2934&lt;0,(10-9)*A2934,-9*A2934))+L$129*EXP(IF(A2934&lt;0,(10-10)*A2934,-10*A2934)),0)</x:f>
        <x:v>-192942.3149330786</x:v>
      </x:c>
      <x:c r="C2934" s="256" t="n">
        <x:f>IF(B2934=0,IF(B2933=0,0,1),IF(B2933=0,0,IF(SIGN(B2934)&lt;&gt;SIGN(B2933),1,0)))</x:f>
        <x:v>0</x:v>
      </x:c>
      <x:c r="D2934" s="256" t="n">
        <x:f>EXP(A2934-0.005)-1</x:f>
        <x:v>2.438378520705126</x:v>
      </x:c>
    </x:row>
    <x:row r="2935" ht="20" customHeight="1">
      <x:c r="A2935" s="256" t="n">
        <x:f>-12+1325*0.01</x:f>
        <x:v>1.25</x:v>
      </x:c>
      <x:c r="B2935" s="256" t="n">
        <x:f>IF(COUNT($B$129:$L$129)=11,B$129*EXP(IF(A2935&lt;0,(10-0)*A2935,-0*A2935))+C$129*EXP(IF(A2935&lt;0,(10-1)*A2935,-1*A2935))+D$129*EXP(IF(A2935&lt;0,(10-2)*A2935,-2*A2935))+E$129*EXP(IF(A2935&lt;0,(10-3)*A2935,-3*A2935))+F$129*EXP(IF(A2935&lt;0,(10-4)*A2935,-4*A2935))+G$129*EXP(IF(A2935&lt;0,(10-5)*A2935,-5*A2935))+H$129*EXP(IF(A2935&lt;0,(10-6)*A2935,-6*A2935))+I$129*EXP(IF(A2935&lt;0,(10-7)*A2935,-7*A2935))+J$129*EXP(IF(A2935&lt;0,(10-8)*A2935,-8*A2935))+K$129*EXP(IF(A2935&lt;0,(10-9)*A2935,-9*A2935))+L$129*EXP(IF(A2935&lt;0,(10-10)*A2935,-10*A2935)),0)</x:f>
        <x:v>-192906.7831452747</x:v>
      </x:c>
      <x:c r="C2935" s="256" t="n">
        <x:f>IF(B2935=0,IF(B2934=0,0,1),IF(B2934=0,0,IF(SIGN(B2935)&lt;&gt;SIGN(B2934),1,0)))</x:f>
        <x:v>0</x:v>
      </x:c>
      <x:c r="D2935" s="256" t="n">
        <x:f>EXP(A2935-0.005)-1</x:f>
        <x:v>2.472934799336826</x:v>
      </x:c>
    </x:row>
    <x:row r="2936" ht="20" customHeight="1">
      <x:c r="A2936" s="256" t="n">
        <x:f>-12+1326*0.01</x:f>
        <x:v>1.2599999999999998</x:v>
      </x:c>
      <x:c r="B2936" s="256" t="n">
        <x:f>IF(COUNT($B$129:$L$129)=11,B$129*EXP(IF(A2936&lt;0,(10-0)*A2936,-0*A2936))+C$129*EXP(IF(A2936&lt;0,(10-1)*A2936,-1*A2936))+D$129*EXP(IF(A2936&lt;0,(10-2)*A2936,-2*A2936))+E$129*EXP(IF(A2936&lt;0,(10-3)*A2936,-3*A2936))+F$129*EXP(IF(A2936&lt;0,(10-4)*A2936,-4*A2936))+G$129*EXP(IF(A2936&lt;0,(10-5)*A2936,-5*A2936))+H$129*EXP(IF(A2936&lt;0,(10-6)*A2936,-6*A2936))+I$129*EXP(IF(A2936&lt;0,(10-7)*A2936,-7*A2936))+J$129*EXP(IF(A2936&lt;0,(10-8)*A2936,-8*A2936))+K$129*EXP(IF(A2936&lt;0,(10-9)*A2936,-9*A2936))+L$129*EXP(IF(A2936&lt;0,(10-10)*A2936,-10*A2936)),0)</x:f>
        <x:v>-192871.71639295822</x:v>
      </x:c>
      <x:c r="C2936" s="256" t="n">
        <x:f>IF(B2936=0,IF(B2935=0,0,1),IF(B2935=0,0,IF(SIGN(B2936)&lt;&gt;SIGN(B2935),1,0)))</x:f>
        <x:v>0</x:v>
      </x:c>
      <x:c r="D2936" s="256" t="n">
        <x:f>EXP(A2936-0.005)-1</x:f>
        <x:v>2.5078383743425823</x:v>
      </x:c>
    </x:row>
    <x:row r="2937" ht="20" customHeight="1">
      <x:c r="A2937" s="256" t="n">
        <x:f>-12+1327*0.01</x:f>
        <x:v>1.2699999999999996</x:v>
      </x:c>
      <x:c r="B2937" s="256" t="n">
        <x:f>IF(COUNT($B$129:$L$129)=11,B$129*EXP(IF(A2937&lt;0,(10-0)*A2937,-0*A2937))+C$129*EXP(IF(A2937&lt;0,(10-1)*A2937,-1*A2937))+D$129*EXP(IF(A2937&lt;0,(10-2)*A2937,-2*A2937))+E$129*EXP(IF(A2937&lt;0,(10-3)*A2937,-3*A2937))+F$129*EXP(IF(A2937&lt;0,(10-4)*A2937,-4*A2937))+G$129*EXP(IF(A2937&lt;0,(10-5)*A2937,-5*A2937))+H$129*EXP(IF(A2937&lt;0,(10-6)*A2937,-6*A2937))+I$129*EXP(IF(A2937&lt;0,(10-7)*A2937,-7*A2937))+J$129*EXP(IF(A2937&lt;0,(10-8)*A2937,-8*A2937))+K$129*EXP(IF(A2937&lt;0,(10-9)*A2937,-9*A2937))+L$129*EXP(IF(A2937&lt;0,(10-10)*A2937,-10*A2937)),0)</x:f>
        <x:v>-192837.10995610646</x:v>
      </x:c>
      <x:c r="C2937" s="256" t="n">
        <x:f>IF(B2937=0,IF(B2936=0,0,1),IF(B2936=0,0,IF(SIGN(B2937)&lt;&gt;SIGN(B2936),1,0)))</x:f>
        <x:v>0</x:v>
      </x:c>
      <x:c r="D2937" s="256" t="n">
        <x:f>EXP(A2937-0.005)-1</x:f>
        <x:v>2.5430927361089806</x:v>
      </x:c>
    </x:row>
    <x:row r="2938" ht="20" customHeight="1">
      <x:c r="A2938" s="256" t="n">
        <x:f>-12+1328*0.01</x:f>
        <x:v>1.2800000000000011</x:v>
      </x:c>
      <x:c r="B2938" s="256" t="n">
        <x:f>IF(COUNT($B$129:$L$129)=11,B$129*EXP(IF(A2938&lt;0,(10-0)*A2938,-0*A2938))+C$129*EXP(IF(A2938&lt;0,(10-1)*A2938,-1*A2938))+D$129*EXP(IF(A2938&lt;0,(10-2)*A2938,-2*A2938))+E$129*EXP(IF(A2938&lt;0,(10-3)*A2938,-3*A2938))+F$129*EXP(IF(A2938&lt;0,(10-4)*A2938,-4*A2938))+G$129*EXP(IF(A2938&lt;0,(10-5)*A2938,-5*A2938))+H$129*EXP(IF(A2938&lt;0,(10-6)*A2938,-6*A2938))+I$129*EXP(IF(A2938&lt;0,(10-7)*A2938,-7*A2938))+J$129*EXP(IF(A2938&lt;0,(10-8)*A2938,-8*A2938))+K$129*EXP(IF(A2938&lt;0,(10-9)*A2938,-9*A2938))+L$129*EXP(IF(A2938&lt;0,(10-10)*A2938,-10*A2938)),0)</x:f>
        <x:v>-192802.95894459193</x:v>
      </x:c>
      <x:c r="C2938" s="256" t="n">
        <x:f>IF(B2938=0,IF(B2937=0,0,1),IF(B2937=0,0,IF(SIGN(B2938)&lt;&gt;SIGN(B2937),1,0)))</x:f>
        <x:v>0</x:v>
      </x:c>
      <x:c r="D2938" s="256" t="n">
        <x:f>EXP(A2938-0.005)-1</x:f>
        <x:v>2.578701410101584</x:v>
      </x:c>
    </x:row>
    <x:row r="2939" ht="20" customHeight="1">
      <x:c r="A2939" s="256" t="n">
        <x:f>-12+1329*0.01</x:f>
        <x:v>1.290000000000001</x:v>
      </x:c>
      <x:c r="B2939" s="256" t="n">
        <x:f>IF(COUNT($B$129:$L$129)=11,B$129*EXP(IF(A2939&lt;0,(10-0)*A2939,-0*A2939))+C$129*EXP(IF(A2939&lt;0,(10-1)*A2939,-1*A2939))+D$129*EXP(IF(A2939&lt;0,(10-2)*A2939,-2*A2939))+E$129*EXP(IF(A2939&lt;0,(10-3)*A2939,-3*A2939))+F$129*EXP(IF(A2939&lt;0,(10-4)*A2939,-4*A2939))+G$129*EXP(IF(A2939&lt;0,(10-5)*A2939,-5*A2939))+H$129*EXP(IF(A2939&lt;0,(10-6)*A2939,-6*A2939))+I$129*EXP(IF(A2939&lt;0,(10-7)*A2939,-7*A2939))+J$129*EXP(IF(A2939&lt;0,(10-8)*A2939,-8*A2939))+K$129*EXP(IF(A2939&lt;0,(10-9)*A2939,-9*A2939))+L$129*EXP(IF(A2939&lt;0,(10-10)*A2939,-10*A2939)),0)</x:f>
        <x:v>-192769.25832484587</x:v>
      </x:c>
      <x:c r="C2939" s="256" t="n">
        <x:f>IF(B2939=0,IF(B2938=0,0,1),IF(B2938=0,0,IF(SIGN(B2939)&lt;&gt;SIGN(B2938),1,0)))</x:f>
        <x:v>0</x:v>
      </x:c>
      <x:c r="D2939" s="256" t="n">
        <x:f>EXP(A2939-0.005)-1</x:f>
        <x:v>2.614667957217452</x:v>
      </x:c>
    </x:row>
    <x:row r="2940" ht="20" customHeight="1">
      <x:c r="A2940" s="256" t="n">
        <x:f>-12+1330*0.01</x:f>
        <x:v>1.3000000000000007</x:v>
      </x:c>
      <x:c r="B2940" s="256" t="n">
        <x:f>IF(COUNT($B$129:$L$129)=11,B$129*EXP(IF(A2940&lt;0,(10-0)*A2940,-0*A2940))+C$129*EXP(IF(A2940&lt;0,(10-1)*A2940,-1*A2940))+D$129*EXP(IF(A2940&lt;0,(10-2)*A2940,-2*A2940))+E$129*EXP(IF(A2940&lt;0,(10-3)*A2940,-3*A2940))+F$129*EXP(IF(A2940&lt;0,(10-4)*A2940,-4*A2940))+G$129*EXP(IF(A2940&lt;0,(10-5)*A2940,-5*A2940))+H$129*EXP(IF(A2940&lt;0,(10-6)*A2940,-6*A2940))+I$129*EXP(IF(A2940&lt;0,(10-7)*A2940,-7*A2940))+J$129*EXP(IF(A2940&lt;0,(10-8)*A2940,-8*A2940))+K$129*EXP(IF(A2940&lt;0,(10-9)*A2940,-9*A2940))+L$129*EXP(IF(A2940&lt;0,(10-10)*A2940,-10*A2940)),0)</x:f>
        <x:v>-192736.0029438457</x:v>
      </x:c>
      <x:c r="C2940" s="256" t="n">
        <x:f>IF(B2940=0,IF(B2939=0,0,1),IF(B2939=0,0,IF(SIGN(B2940)&lt;&gt;SIGN(B2939),1,0)))</x:f>
        <x:v>0</x:v>
      </x:c>
      <x:c r="D2940" s="256" t="n">
        <x:f>EXP(A2940-0.005)-1</x:f>
        <x:v>2.6509959741412747</x:v>
      </x:c>
    </x:row>
    <x:row r="2941" ht="20" customHeight="1">
      <x:c r="A2941" s="256" t="n">
        <x:f>-12+1331*0.01</x:f>
        <x:v>1.3100000000000005</x:v>
      </x:c>
      <x:c r="B2941" s="256" t="n">
        <x:f>IF(COUNT($B$129:$L$129)=11,B$129*EXP(IF(A2941&lt;0,(10-0)*A2941,-0*A2941))+C$129*EXP(IF(A2941&lt;0,(10-1)*A2941,-1*A2941))+D$129*EXP(IF(A2941&lt;0,(10-2)*A2941,-2*A2941))+E$129*EXP(IF(A2941&lt;0,(10-3)*A2941,-3*A2941))+F$129*EXP(IF(A2941&lt;0,(10-4)*A2941,-4*A2941))+G$129*EXP(IF(A2941&lt;0,(10-5)*A2941,-5*A2941))+H$129*EXP(IF(A2941&lt;0,(10-6)*A2941,-6*A2941))+I$129*EXP(IF(A2941&lt;0,(10-7)*A2941,-7*A2941))+J$129*EXP(IF(A2941&lt;0,(10-8)*A2941,-8*A2941))+K$129*EXP(IF(A2941&lt;0,(10-9)*A2941,-9*A2941))+L$129*EXP(IF(A2941&lt;0,(10-10)*A2941,-10*A2941)),0)</x:f>
        <x:v>-192703.18755067786</x:v>
      </x:c>
      <x:c r="C2941" s="256" t="n">
        <x:f>IF(B2941=0,IF(B2940=0,0,1),IF(B2940=0,0,IF(SIGN(B2941)&lt;&gt;SIGN(B2940),1,0)))</x:f>
        <x:v>0</x:v>
      </x:c>
      <x:c r="D2941" s="256" t="n">
        <x:f>EXP(A2941-0.005)-1</x:f>
        <x:v>2.6876890937050186</x:v>
      </x:c>
    </x:row>
    <x:row r="2942" ht="20" customHeight="1">
      <x:c r="A2942" s="256" t="n">
        <x:f>-12+1332*0.01</x:f>
        <x:v>1.3200000000000003</x:v>
      </x:c>
      <x:c r="B2942" s="256" t="n">
        <x:f>IF(COUNT($B$129:$L$129)=11,B$129*EXP(IF(A2942&lt;0,(10-0)*A2942,-0*A2942))+C$129*EXP(IF(A2942&lt;0,(10-1)*A2942,-1*A2942))+D$129*EXP(IF(A2942&lt;0,(10-2)*A2942,-2*A2942))+E$129*EXP(IF(A2942&lt;0,(10-3)*A2942,-3*A2942))+F$129*EXP(IF(A2942&lt;0,(10-4)*A2942,-4*A2942))+G$129*EXP(IF(A2942&lt;0,(10-5)*A2942,-5*A2942))+H$129*EXP(IF(A2942&lt;0,(10-6)*A2942,-6*A2942))+I$129*EXP(IF(A2942&lt;0,(10-7)*A2942,-7*A2942))+J$129*EXP(IF(A2942&lt;0,(10-8)*A2942,-8*A2942))+K$129*EXP(IF(A2942&lt;0,(10-9)*A2942,-9*A2942))+L$129*EXP(IF(A2942&lt;0,(10-10)*A2942,-10*A2942)),0)</x:f>
        <x:v>-192670.8068159048</x:v>
      </x:c>
      <x:c r="C2942" s="256" t="n">
        <x:f>IF(B2942=0,IF(B2941=0,0,1),IF(B2941=0,0,IF(SIGN(B2942)&lt;&gt;SIGN(B2941),1,0)))</x:f>
        <x:v>0</x:v>
      </x:c>
      <x:c r="D2942" s="256" t="n">
        <x:f>EXP(A2942-0.005)-1</x:f>
        <x:v>2.7247509852512177</x:v>
      </x:c>
    </x:row>
    <x:row r="2943" ht="20" customHeight="1">
      <x:c r="A2943" s="256" t="n">
        <x:f>-12+1333*0.01</x:f>
        <x:v>1.33</x:v>
      </x:c>
      <x:c r="B2943" s="256" t="n">
        <x:f>IF(COUNT($B$129:$L$129)=11,B$129*EXP(IF(A2943&lt;0,(10-0)*A2943,-0*A2943))+C$129*EXP(IF(A2943&lt;0,(10-1)*A2943,-1*A2943))+D$129*EXP(IF(A2943&lt;0,(10-2)*A2943,-2*A2943))+E$129*EXP(IF(A2943&lt;0,(10-3)*A2943,-3*A2943))+F$129*EXP(IF(A2943&lt;0,(10-4)*A2943,-4*A2943))+G$129*EXP(IF(A2943&lt;0,(10-5)*A2943,-5*A2943))+H$129*EXP(IF(A2943&lt;0,(10-6)*A2943,-6*A2943))+I$129*EXP(IF(A2943&lt;0,(10-7)*A2943,-7*A2943))+J$129*EXP(IF(A2943&lt;0,(10-8)*A2943,-8*A2943))+K$129*EXP(IF(A2943&lt;0,(10-9)*A2943,-9*A2943))+L$129*EXP(IF(A2943&lt;0,(10-10)*A2943,-10*A2943)),0)</x:f>
        <x:v>-192638.85534894373</x:v>
      </x:c>
      <x:c r="C2943" s="256" t="n">
        <x:f>IF(B2943=0,IF(B2942=0,0,1),IF(B2942=0,0,IF(SIGN(B2943)&lt;&gt;SIGN(B2942),1,0)))</x:f>
        <x:v>0</x:v>
      </x:c>
      <x:c r="D2943" s="256" t="n">
        <x:f>EXP(A2943-0.005)-1</x:f>
        <x:v>2.7621853549999114</x:v>
      </x:c>
    </x:row>
    <x:row r="2944" ht="20" customHeight="1">
      <x:c r="A2944" s="256" t="n">
        <x:f>-12+1334*0.01</x:f>
        <x:v>1.3399999999999999</x:v>
      </x:c>
      <x:c r="B2944" s="256" t="n">
        <x:f>IF(COUNT($B$129:$L$129)=11,B$129*EXP(IF(A2944&lt;0,(10-0)*A2944,-0*A2944))+C$129*EXP(IF(A2944&lt;0,(10-1)*A2944,-1*A2944))+D$129*EXP(IF(A2944&lt;0,(10-2)*A2944,-2*A2944))+E$129*EXP(IF(A2944&lt;0,(10-3)*A2944,-3*A2944))+F$129*EXP(IF(A2944&lt;0,(10-4)*A2944,-4*A2944))+G$129*EXP(IF(A2944&lt;0,(10-5)*A2944,-5*A2944))+H$129*EXP(IF(A2944&lt;0,(10-6)*A2944,-6*A2944))+I$129*EXP(IF(A2944&lt;0,(10-7)*A2944,-7*A2944))+J$129*EXP(IF(A2944&lt;0,(10-8)*A2944,-8*A2944))+K$129*EXP(IF(A2944&lt;0,(10-9)*A2944,-9*A2944))+L$129*EXP(IF(A2944&lt;0,(10-10)*A2944,-10*A2944)),0)</x:f>
        <x:v>-192607.3277136448</x:v>
      </x:c>
      <x:c r="C2944" s="256" t="n">
        <x:f>IF(B2944=0,IF(B2943=0,0,1),IF(B2943=0,0,IF(SIGN(B2944)&lt;&gt;SIGN(B2943),1,0)))</x:f>
        <x:v>0</x:v>
      </x:c>
      <x:c r="D2944" s="256" t="n">
        <x:f>EXP(A2944-0.005)-1</x:f>
        <x:v>2.7999959464192696</x:v>
      </x:c>
    </x:row>
    <x:row r="2945" ht="20" customHeight="1">
      <x:c r="A2945" s="256" t="n">
        <x:f>-12+1335*0.01</x:f>
        <x:v>1.3499999999999996</x:v>
      </x:c>
      <x:c r="B2945" s="256" t="n">
        <x:f>IF(COUNT($B$129:$L$129)=11,B$129*EXP(IF(A2945&lt;0,(10-0)*A2945,-0*A2945))+C$129*EXP(IF(A2945&lt;0,(10-1)*A2945,-1*A2945))+D$129*EXP(IF(A2945&lt;0,(10-2)*A2945,-2*A2945))+E$129*EXP(IF(A2945&lt;0,(10-3)*A2945,-3*A2945))+F$129*EXP(IF(A2945&lt;0,(10-4)*A2945,-4*A2945))+G$129*EXP(IF(A2945&lt;0,(10-5)*A2945,-5*A2945))+H$129*EXP(IF(A2945&lt;0,(10-6)*A2945,-6*A2945))+I$129*EXP(IF(A2945&lt;0,(10-7)*A2945,-7*A2945))+J$129*EXP(IF(A2945&lt;0,(10-8)*A2945,-8*A2945))+K$129*EXP(IF(A2945&lt;0,(10-9)*A2945,-9*A2945))+L$129*EXP(IF(A2945&lt;0,(10-10)*A2945,-10*A2945)),0)</x:f>
        <x:v>-192576.21844223922</x:v>
      </x:c>
      <x:c r="C2945" s="256" t="n">
        <x:f>IF(B2945=0,IF(B2944=0,0,1),IF(B2944=0,0,IF(SIGN(B2945)&lt;&gt;SIGN(B2944),1,0)))</x:f>
        <x:v>0</x:v>
      </x:c>
      <x:c r="D2945" s="256" t="n">
        <x:f>EXP(A2945-0.005)-1</x:f>
        <x:v>2.838186540599944</x:v>
      </x:c>
    </x:row>
    <x:row r="2946" ht="20" customHeight="1">
      <x:c r="A2946" s="256" t="n">
        <x:f>-12+1336*0.01</x:f>
        <x:v>1.3599999999999994</x:v>
      </x:c>
      <x:c r="B2946" s="256" t="n">
        <x:f>IF(COUNT($B$129:$L$129)=11,B$129*EXP(IF(A2946&lt;0,(10-0)*A2946,-0*A2946))+C$129*EXP(IF(A2946&lt;0,(10-1)*A2946,-1*A2946))+D$129*EXP(IF(A2946&lt;0,(10-2)*A2946,-2*A2946))+E$129*EXP(IF(A2946&lt;0,(10-3)*A2946,-3*A2946))+F$129*EXP(IF(A2946&lt;0,(10-4)*A2946,-4*A2946))+G$129*EXP(IF(A2946&lt;0,(10-5)*A2946,-5*A2946))+H$129*EXP(IF(A2946&lt;0,(10-6)*A2946,-6*A2946))+I$129*EXP(IF(A2946&lt;0,(10-7)*A2946,-7*A2946))+J$129*EXP(IF(A2946&lt;0,(10-8)*A2946,-8*A2946))+K$129*EXP(IF(A2946&lt;0,(10-9)*A2946,-9*A2946))+L$129*EXP(IF(A2946&lt;0,(10-10)*A2946,-10*A2946)),0)</x:f>
        <x:v>-192545.52204781154</x:v>
      </x:c>
      <x:c r="C2946" s="256" t="n">
        <x:f>IF(B2946=0,IF(B2945=0,0,1),IF(B2945=0,0,IF(SIGN(B2946)&lt;&gt;SIGN(B2945),1,0)))</x:f>
        <x:v>0</x:v>
      </x:c>
      <x:c r="D2946" s="256" t="n">
        <x:f>EXP(A2946-0.005)-1</x:f>
        <x:v>2.8767609566331775</x:v>
      </x:c>
    </x:row>
    <x:row r="2947" ht="20" customHeight="1">
      <x:c r="A2947" s="256" t="n">
        <x:f>-12+1337*0.01</x:f>
        <x:v>1.370000000000001</x:v>
      </x:c>
      <x:c r="B2947" s="256" t="n">
        <x:f>IF(COUNT($B$129:$L$129)=11,B$129*EXP(IF(A2947&lt;0,(10-0)*A2947,-0*A2947))+C$129*EXP(IF(A2947&lt;0,(10-1)*A2947,-1*A2947))+D$129*EXP(IF(A2947&lt;0,(10-2)*A2947,-2*A2947))+E$129*EXP(IF(A2947&lt;0,(10-3)*A2947,-3*A2947))+F$129*EXP(IF(A2947&lt;0,(10-4)*A2947,-4*A2947))+G$129*EXP(IF(A2947&lt;0,(10-5)*A2947,-5*A2947))+H$129*EXP(IF(A2947&lt;0,(10-6)*A2947,-6*A2947))+I$129*EXP(IF(A2947&lt;0,(10-7)*A2947,-7*A2947))+J$129*EXP(IF(A2947&lt;0,(10-8)*A2947,-8*A2947))+K$129*EXP(IF(A2947&lt;0,(10-9)*A2947,-9*A2947))+L$129*EXP(IF(A2947&lt;0,(10-10)*A2947,-10*A2947)),0)</x:f>
        <x:v>-192515.2330354374</x:v>
      </x:c>
      <x:c r="C2947" s="256" t="n">
        <x:f>IF(B2947=0,IF(B2946=0,0,1),IF(B2946=0,0,IF(SIGN(B2947)&lt;&gt;SIGN(B2946),1,0)))</x:f>
        <x:v>0</x:v>
      </x:c>
      <x:c r="D2947" s="256" t="n">
        <x:f>EXP(A2947-0.005)-1</x:f>
        <x:v>2.915723051992726</x:v>
      </x:c>
    </x:row>
    <x:row r="2948" ht="20" customHeight="1">
      <x:c r="A2948" s="256" t="n">
        <x:f>-12+1338*0.01</x:f>
        <x:v>1.3800000000000008</x:v>
      </x:c>
      <x:c r="B2948" s="256" t="n">
        <x:f>IF(COUNT($B$129:$L$129)=11,B$129*EXP(IF(A2948&lt;0,(10-0)*A2948,-0*A2948))+C$129*EXP(IF(A2948&lt;0,(10-1)*A2948,-1*A2948))+D$129*EXP(IF(A2948&lt;0,(10-2)*A2948,-2*A2948))+E$129*EXP(IF(A2948&lt;0,(10-3)*A2948,-3*A2948))+F$129*EXP(IF(A2948&lt;0,(10-4)*A2948,-4*A2948))+G$129*EXP(IF(A2948&lt;0,(10-5)*A2948,-5*A2948))+H$129*EXP(IF(A2948&lt;0,(10-6)*A2948,-6*A2948))+I$129*EXP(IF(A2948&lt;0,(10-7)*A2948,-7*A2948))+J$129*EXP(IF(A2948&lt;0,(10-8)*A2948,-8*A2948))+K$129*EXP(IF(A2948&lt;0,(10-9)*A2948,-9*A2948))+L$129*EXP(IF(A2948&lt;0,(10-10)*A2948,-10*A2948)),0)</x:f>
        <x:v>-192485.34591211146</x:v>
      </x:c>
      <x:c r="C2948" s="256" t="n">
        <x:f>IF(B2948=0,IF(B2947=0,0,1),IF(B2947=0,0,IF(SIGN(B2948)&lt;&gt;SIGN(B2947),1,0)))</x:f>
        <x:v>0</x:v>
      </x:c>
      <x:c r="D2948" s="256" t="n">
        <x:f>EXP(A2948-0.005)-1</x:f>
        <x:v>2.9550767229205808</x:v>
      </x:c>
    </x:row>
    <x:row r="2949" ht="20" customHeight="1">
      <x:c r="A2949" s="256" t="n">
        <x:f>-12+1339*0.01</x:f>
        <x:v>1.3900000000000006</x:v>
      </x:c>
      <x:c r="B2949" s="256" t="n">
        <x:f>IF(COUNT($B$129:$L$129)=11,B$129*EXP(IF(A2949&lt;0,(10-0)*A2949,-0*A2949))+C$129*EXP(IF(A2949&lt;0,(10-1)*A2949,-1*A2949))+D$129*EXP(IF(A2949&lt;0,(10-2)*A2949,-2*A2949))+E$129*EXP(IF(A2949&lt;0,(10-3)*A2949,-3*A2949))+F$129*EXP(IF(A2949&lt;0,(10-4)*A2949,-4*A2949))+G$129*EXP(IF(A2949&lt;0,(10-5)*A2949,-5*A2949))+H$129*EXP(IF(A2949&lt;0,(10-6)*A2949,-6*A2949))+I$129*EXP(IF(A2949&lt;0,(10-7)*A2949,-7*A2949))+J$129*EXP(IF(A2949&lt;0,(10-8)*A2949,-8*A2949))+K$129*EXP(IF(A2949&lt;0,(10-9)*A2949,-9*A2949))+L$129*EXP(IF(A2949&lt;0,(10-10)*A2949,-10*A2949)),0)</x:f>
        <x:v>-192455.8551955832</x:v>
      </x:c>
      <x:c r="C2949" s="256" t="n">
        <x:f>IF(B2949=0,IF(B2948=0,0,1),IF(B2948=0,0,IF(SIGN(B2949)&lt;&gt;SIGN(B2948),1,0)))</x:f>
        <x:v>0</x:v>
      </x:c>
      <x:c r="D2949" s="256" t="n">
        <x:f>EXP(A2949-0.005)-1</x:f>
        <x:v>2.9948259048166355</x:v>
      </x:c>
    </x:row>
    <x:row r="2950" ht="20" customHeight="1">
      <x:c r="A2950" s="256" t="n">
        <x:f>-12+1340*0.01</x:f>
        <x:v>1.4000000000000004</x:v>
      </x:c>
      <x:c r="B2950" s="256" t="n">
        <x:f>IF(COUNT($B$129:$L$129)=11,B$129*EXP(IF(A2950&lt;0,(10-0)*A2950,-0*A2950))+C$129*EXP(IF(A2950&lt;0,(10-1)*A2950,-1*A2950))+D$129*EXP(IF(A2950&lt;0,(10-2)*A2950,-2*A2950))+E$129*EXP(IF(A2950&lt;0,(10-3)*A2950,-3*A2950))+F$129*EXP(IF(A2950&lt;0,(10-4)*A2950,-4*A2950))+G$129*EXP(IF(A2950&lt;0,(10-5)*A2950,-5*A2950))+H$129*EXP(IF(A2950&lt;0,(10-6)*A2950,-6*A2950))+I$129*EXP(IF(A2950&lt;0,(10-7)*A2950,-7*A2950))+J$129*EXP(IF(A2950&lt;0,(10-8)*A2950,-8*A2950))+K$129*EXP(IF(A2950&lt;0,(10-9)*A2950,-9*A2950))+L$129*EXP(IF(A2950&lt;0,(10-10)*A2950,-10*A2950)),0)</x:f>
        <x:v>-192426.7554222033</x:v>
      </x:c>
      <x:c r="C2950" s="256" t="n">
        <x:f>IF(B2950=0,IF(B2949=0,0,1),IF(B2949=0,0,IF(SIGN(B2950)&lt;&gt;SIGN(B2949),1,0)))</x:f>
        <x:v>0</x:v>
      </x:c>
      <x:c r="D2950" s="256" t="n">
        <x:f>EXP(A2950-0.005)-1</x:f>
        <x:v>3.034974572632205</x:v>
      </x:c>
    </x:row>
    <x:row r="2951" ht="20" customHeight="1">
      <x:c r="A2951" s="256" t="n">
        <x:f>-12+1341*0.01</x:f>
        <x:v>1.4100000000000001</x:v>
      </x:c>
      <x:c r="B2951" s="256" t="n">
        <x:f>IF(COUNT($B$129:$L$129)=11,B$129*EXP(IF(A2951&lt;0,(10-0)*A2951,-0*A2951))+C$129*EXP(IF(A2951&lt;0,(10-1)*A2951,-1*A2951))+D$129*EXP(IF(A2951&lt;0,(10-2)*A2951,-2*A2951))+E$129*EXP(IF(A2951&lt;0,(10-3)*A2951,-3*A2951))+F$129*EXP(IF(A2951&lt;0,(10-4)*A2951,-4*A2951))+G$129*EXP(IF(A2951&lt;0,(10-5)*A2951,-5*A2951))+H$129*EXP(IF(A2951&lt;0,(10-6)*A2951,-6*A2951))+I$129*EXP(IF(A2951&lt;0,(10-7)*A2951,-7*A2951))+J$129*EXP(IF(A2951&lt;0,(10-8)*A2951,-8*A2951))+K$129*EXP(IF(A2951&lt;0,(10-9)*A2951,-9*A2951))+L$129*EXP(IF(A2951&lt;0,(10-10)*A2951,-10*A2951)),0)</x:f>
        <x:v>-192398.0411538759</x:v>
      </x:c>
      <x:c r="C2951" s="256" t="n">
        <x:f>IF(B2951=0,IF(B2950=0,0,1),IF(B2950=0,0,IF(SIGN(B2951)&lt;&gt;SIGN(B2950),1,0)))</x:f>
        <x:v>0</x:v>
      </x:c>
      <x:c r="D2951" s="256" t="n">
        <x:f>EXP(A2951-0.005)-1</x:f>
        <x:v>3.0755267412675273</x:v>
      </x:c>
    </x:row>
    <x:row r="2952" ht="20" customHeight="1">
      <x:c r="A2952" s="256" t="n">
        <x:f>-12+1342*0.01</x:f>
        <x:v>1.42</x:v>
      </x:c>
      <x:c r="B2952" s="256" t="n">
        <x:f>IF(COUNT($B$129:$L$129)=11,B$129*EXP(IF(A2952&lt;0,(10-0)*A2952,-0*A2952))+C$129*EXP(IF(A2952&lt;0,(10-1)*A2952,-1*A2952))+D$129*EXP(IF(A2952&lt;0,(10-2)*A2952,-2*A2952))+E$129*EXP(IF(A2952&lt;0,(10-3)*A2952,-3*A2952))+F$129*EXP(IF(A2952&lt;0,(10-4)*A2952,-4*A2952))+G$129*EXP(IF(A2952&lt;0,(10-5)*A2952,-5*A2952))+H$129*EXP(IF(A2952&lt;0,(10-6)*A2952,-6*A2952))+I$129*EXP(IF(A2952&lt;0,(10-7)*A2952,-7*A2952))+J$129*EXP(IF(A2952&lt;0,(10-8)*A2952,-8*A2952))+K$129*EXP(IF(A2952&lt;0,(10-9)*A2952,-9*A2952))+L$129*EXP(IF(A2952&lt;0,(10-10)*A2952,-10*A2952)),0)</x:f>
        <x:v>-192369.706984203</x:v>
      </x:c>
      <x:c r="C2952" s="256" t="n">
        <x:f>IF(B2952=0,IF(B2951=0,0,1),IF(B2951=0,0,IF(SIGN(B2952)&lt;&gt;SIGN(B2951),1,0)))</x:f>
        <x:v>0</x:v>
      </x:c>
      <x:c r="D2952" s="256" t="n">
        <x:f>EXP(A2952-0.005)-1</x:f>
        <x:v>3.11648646597326</x:v>
      </x:c>
    </x:row>
    <x:row r="2953" ht="20" customHeight="1">
      <x:c r="A2953" s="256" t="n">
        <x:f>-12+1343*0.01</x:f>
        <x:v>1.4299999999999997</x:v>
      </x:c>
      <x:c r="B2953" s="256" t="n">
        <x:f>IF(COUNT($B$129:$L$129)=11,B$129*EXP(IF(A2953&lt;0,(10-0)*A2953,-0*A2953))+C$129*EXP(IF(A2953&lt;0,(10-1)*A2953,-1*A2953))+D$129*EXP(IF(A2953&lt;0,(10-2)*A2953,-2*A2953))+E$129*EXP(IF(A2953&lt;0,(10-3)*A2953,-3*A2953))+F$129*EXP(IF(A2953&lt;0,(10-4)*A2953,-4*A2953))+G$129*EXP(IF(A2953&lt;0,(10-5)*A2953,-5*A2953))+H$129*EXP(IF(A2953&lt;0,(10-6)*A2953,-6*A2953))+I$129*EXP(IF(A2953&lt;0,(10-7)*A2953,-7*A2953))+J$129*EXP(IF(A2953&lt;0,(10-8)*A2953,-8*A2953))+K$129*EXP(IF(A2953&lt;0,(10-9)*A2953,-9*A2953))+L$129*EXP(IF(A2953&lt;0,(10-10)*A2953,-10*A2953)),0)</x:f>
        <x:v>-192341.74754389742</x:v>
      </x:c>
      <x:c r="C2953" s="256" t="n">
        <x:f>IF(B2953=0,IF(B2952=0,0,1),IF(B2952=0,0,IF(SIGN(B2953)&lt;&gt;SIGN(B2952),1,0)))</x:f>
        <x:v>0</x:v>
      </x:c>
      <x:c r="D2953" s="256" t="n">
        <x:f>EXP(A2953-0.005)-1</x:f>
        <x:v>3.1578578427560062</x:v>
      </x:c>
    </x:row>
    <x:row r="2954" ht="20" customHeight="1">
      <x:c r="A2954" s="256" t="n">
        <x:f>-12+1344*0.01</x:f>
        <x:v>1.4399999999999995</x:v>
      </x:c>
      <x:c r="B2954" s="256" t="n">
        <x:f>IF(COUNT($B$129:$L$129)=11,B$129*EXP(IF(A2954&lt;0,(10-0)*A2954,-0*A2954))+C$129*EXP(IF(A2954&lt;0,(10-1)*A2954,-1*A2954))+D$129*EXP(IF(A2954&lt;0,(10-2)*A2954,-2*A2954))+E$129*EXP(IF(A2954&lt;0,(10-3)*A2954,-3*A2954))+F$129*EXP(IF(A2954&lt;0,(10-4)*A2954,-4*A2954))+G$129*EXP(IF(A2954&lt;0,(10-5)*A2954,-5*A2954))+H$129*EXP(IF(A2954&lt;0,(10-6)*A2954,-6*A2954))+I$129*EXP(IF(A2954&lt;0,(10-7)*A2954,-7*A2954))+J$129*EXP(IF(A2954&lt;0,(10-8)*A2954,-8*A2954))+K$129*EXP(IF(A2954&lt;0,(10-9)*A2954,-9*A2954))+L$129*EXP(IF(A2954&lt;0,(10-10)*A2954,-10*A2954)),0)</x:f>
        <x:v>-192314.1575055371</x:v>
      </x:c>
      <x:c r="C2954" s="256" t="n">
        <x:f>IF(B2954=0,IF(B2953=0,0,1),IF(B2953=0,0,IF(SIGN(B2954)&lt;&gt;SIGN(B2953),1,0)))</x:f>
        <x:v>0</x:v>
      </x:c>
      <x:c r="D2954" s="256" t="n">
        <x:f>EXP(A2954-0.005)-1</x:f>
        <x:v>3.199645008787922</x:v>
      </x:c>
    </x:row>
    <x:row r="2955" ht="20" customHeight="1">
      <x:c r="A2955" s="256" t="n">
        <x:f>-12+1345*0.01</x:f>
        <x:v>1.450000000000001</x:v>
      </x:c>
      <x:c r="B2955" s="256" t="n">
        <x:f>IF(COUNT($B$129:$L$129)=11,B$129*EXP(IF(A2955&lt;0,(10-0)*A2955,-0*A2955))+C$129*EXP(IF(A2955&lt;0,(10-1)*A2955,-1*A2955))+D$129*EXP(IF(A2955&lt;0,(10-2)*A2955,-2*A2955))+E$129*EXP(IF(A2955&lt;0,(10-3)*A2955,-3*A2955))+F$129*EXP(IF(A2955&lt;0,(10-4)*A2955,-4*A2955))+G$129*EXP(IF(A2955&lt;0,(10-5)*A2955,-5*A2955))+H$129*EXP(IF(A2955&lt;0,(10-6)*A2955,-6*A2955))+I$129*EXP(IF(A2955&lt;0,(10-7)*A2955,-7*A2955))+J$129*EXP(IF(A2955&lt;0,(10-8)*A2955,-8*A2955))+K$129*EXP(IF(A2955&lt;0,(10-9)*A2955,-9*A2955))+L$129*EXP(IF(A2955&lt;0,(10-10)*A2955,-10*A2955)),0)</x:f>
        <x:v>-192286.93158772224</x:v>
      </x:c>
      <x:c r="C2955" s="256" t="n">
        <x:f>IF(B2955=0,IF(B2954=0,0,1),IF(B2954=0,0,IF(SIGN(B2955)&lt;&gt;SIGN(B2954),1,0)))</x:f>
        <x:v>0</x:v>
      </x:c>
      <x:c r="D2955" s="256" t="n">
        <x:f>EXP(A2955-0.005)-1</x:f>
        <x:v>3.2418521428204397</x:v>
      </x:c>
    </x:row>
    <x:row r="2956" ht="20" customHeight="1">
      <x:c r="A2956" s="256" t="n">
        <x:f>-12+1346*0.01</x:f>
        <x:v>1.4600000000000009</x:v>
      </x:c>
      <x:c r="B2956" s="256" t="n">
        <x:f>IF(COUNT($B$129:$L$129)=11,B$129*EXP(IF(A2956&lt;0,(10-0)*A2956,-0*A2956))+C$129*EXP(IF(A2956&lt;0,(10-1)*A2956,-1*A2956))+D$129*EXP(IF(A2956&lt;0,(10-2)*A2956,-2*A2956))+E$129*EXP(IF(A2956&lt;0,(10-3)*A2956,-3*A2956))+F$129*EXP(IF(A2956&lt;0,(10-4)*A2956,-4*A2956))+G$129*EXP(IF(A2956&lt;0,(10-5)*A2956,-5*A2956))+H$129*EXP(IF(A2956&lt;0,(10-6)*A2956,-6*A2956))+I$129*EXP(IF(A2956&lt;0,(10-7)*A2956,-7*A2956))+J$129*EXP(IF(A2956&lt;0,(10-8)*A2956,-8*A2956))+K$129*EXP(IF(A2956&lt;0,(10-9)*A2956,-9*A2956))+L$129*EXP(IF(A2956&lt;0,(10-10)*A2956,-10*A2956)),0)</x:f>
        <x:v>-192260.0645586954</x:v>
      </x:c>
      <x:c r="C2956" s="256" t="n">
        <x:f>IF(B2956=0,IF(B2955=0,0,1),IF(B2955=0,0,IF(SIGN(B2956)&lt;&gt;SIGN(B2955),1,0)))</x:f>
        <x:v>0</x:v>
      </x:c>
      <x:c r="D2956" s="256" t="n">
        <x:f>EXP(A2956-0.005)-1</x:f>
        <x:v>3.2844834656021202</x:v>
      </x:c>
    </x:row>
    <x:row r="2957" ht="20" customHeight="1">
      <x:c r="A2957" s="256" t="n">
        <x:f>-12+1347*0.01</x:f>
        <x:v>1.4700000000000006</x:v>
      </x:c>
      <x:c r="B2957" s="256" t="n">
        <x:f>IF(COUNT($B$129:$L$129)=11,B$129*EXP(IF(A2957&lt;0,(10-0)*A2957,-0*A2957))+C$129*EXP(IF(A2957&lt;0,(10-1)*A2957,-1*A2957))+D$129*EXP(IF(A2957&lt;0,(10-2)*A2957,-2*A2957))+E$129*EXP(IF(A2957&lt;0,(10-3)*A2957,-3*A2957))+F$129*EXP(IF(A2957&lt;0,(10-4)*A2957,-4*A2957))+G$129*EXP(IF(A2957&lt;0,(10-5)*A2957,-5*A2957))+H$129*EXP(IF(A2957&lt;0,(10-6)*A2957,-6*A2957))+I$129*EXP(IF(A2957&lt;0,(10-7)*A2957,-7*A2957))+J$129*EXP(IF(A2957&lt;0,(10-8)*A2957,-8*A2957))+K$129*EXP(IF(A2957&lt;0,(10-9)*A2957,-9*A2957))+L$129*EXP(IF(A2957&lt;0,(10-10)*A2957,-10*A2957)),0)</x:f>
        <x:v>-192233.55123947578</x:v>
      </x:c>
      <x:c r="C2957" s="256" t="n">
        <x:f>IF(B2957=0,IF(B2956=0,0,1),IF(B2956=0,0,IF(SIGN(B2957)&lt;&gt;SIGN(B2956),1,0)))</x:f>
        <x:v>0</x:v>
      </x:c>
      <x:c r="D2957" s="256" t="n">
        <x:f>EXP(A2957-0.005)-1</x:f>
        <x:v>3.327543240300776</x:v>
      </x:c>
    </x:row>
    <x:row r="2958" ht="20" customHeight="1">
      <x:c r="A2958" s="256" t="n">
        <x:f>-12+1348*0.01</x:f>
        <x:v>1.4800000000000004</x:v>
      </x:c>
      <x:c r="B2958" s="256" t="n">
        <x:f>IF(COUNT($B$129:$L$129)=11,B$129*EXP(IF(A2958&lt;0,(10-0)*A2958,-0*A2958))+C$129*EXP(IF(A2958&lt;0,(10-1)*A2958,-1*A2958))+D$129*EXP(IF(A2958&lt;0,(10-2)*A2958,-2*A2958))+E$129*EXP(IF(A2958&lt;0,(10-3)*A2958,-3*A2958))+F$129*EXP(IF(A2958&lt;0,(10-4)*A2958,-4*A2958))+G$129*EXP(IF(A2958&lt;0,(10-5)*A2958,-5*A2958))+H$129*EXP(IF(A2958&lt;0,(10-6)*A2958,-6*A2958))+I$129*EXP(IF(A2958&lt;0,(10-7)*A2958,-7*A2958))+J$129*EXP(IF(A2958&lt;0,(10-8)*A2958,-8*A2958))+K$129*EXP(IF(A2958&lt;0,(10-9)*A2958,-9*A2958))+L$129*EXP(IF(A2958&lt;0,(10-10)*A2958,-10*A2958)),0)</x:f>
        <x:v>-192207.3865065562</x:v>
      </x:c>
      <x:c r="C2958" s="256" t="n">
        <x:f>IF(B2958=0,IF(B2957=0,0,1),IF(B2957=0,0,IF(SIGN(B2958)&lt;&gt;SIGN(B2957),1,0)))</x:f>
        <x:v>0</x:v>
      </x:c>
      <x:c r="D2958" s="256" t="n">
        <x:f>EXP(A2958-0.005)-1</x:f>
        <x:v>3.37103577292976</x:v>
      </x:c>
    </x:row>
    <x:row r="2959" ht="20" customHeight="1">
      <x:c r="A2959" s="256" t="n">
        <x:f>-12+1349*0.01</x:f>
        <x:v>1.4900000000000002</x:v>
      </x:c>
      <x:c r="B2959" s="256" t="n">
        <x:f>IF(COUNT($B$129:$L$129)=11,B$129*EXP(IF(A2959&lt;0,(10-0)*A2959,-0*A2959))+C$129*EXP(IF(A2959&lt;0,(10-1)*A2959,-1*A2959))+D$129*EXP(IF(A2959&lt;0,(10-2)*A2959,-2*A2959))+E$129*EXP(IF(A2959&lt;0,(10-3)*A2959,-3*A2959))+F$129*EXP(IF(A2959&lt;0,(10-4)*A2959,-4*A2959))+G$129*EXP(IF(A2959&lt;0,(10-5)*A2959,-5*A2959))+H$129*EXP(IF(A2959&lt;0,(10-6)*A2959,-6*A2959))+I$129*EXP(IF(A2959&lt;0,(10-7)*A2959,-7*A2959))+J$129*EXP(IF(A2959&lt;0,(10-8)*A2959,-8*A2959))+K$129*EXP(IF(A2959&lt;0,(10-9)*A2959,-9*A2959))+L$129*EXP(IF(A2959&lt;0,(10-10)*A2959,-10*A2959)),0)</x:f>
        <x:v>-192181.56529420504</x:v>
      </x:c>
      <x:c r="C2959" s="256" t="n">
        <x:f>IF(B2959=0,IF(B2958=0,0,1),IF(B2958=0,0,IF(SIGN(B2959)&lt;&gt;SIGN(B2958),1,0)))</x:f>
        <x:v>0</x:v>
      </x:c>
      <x:c r="D2959" s="256" t="n">
        <x:f>EXP(A2959-0.005)-1</x:f>
        <x:v>3.414965412778579</x:v>
      </x:c>
    </x:row>
    <x:row r="2960" ht="20" customHeight="1">
      <x:c r="A2960" s="256" t="n">
        <x:f>-12+1350*0.01</x:f>
        <x:v>1.5</x:v>
      </x:c>
      <x:c r="B2960" s="256" t="n">
        <x:f>IF(COUNT($B$129:$L$129)=11,B$129*EXP(IF(A2960&lt;0,(10-0)*A2960,-0*A2960))+C$129*EXP(IF(A2960&lt;0,(10-1)*A2960,-1*A2960))+D$129*EXP(IF(A2960&lt;0,(10-2)*A2960,-2*A2960))+E$129*EXP(IF(A2960&lt;0,(10-3)*A2960,-3*A2960))+F$129*EXP(IF(A2960&lt;0,(10-4)*A2960,-4*A2960))+G$129*EXP(IF(A2960&lt;0,(10-5)*A2960,-5*A2960))+H$129*EXP(IF(A2960&lt;0,(10-6)*A2960,-6*A2960))+I$129*EXP(IF(A2960&lt;0,(10-7)*A2960,-7*A2960))+J$129*EXP(IF(A2960&lt;0,(10-8)*A2960,-8*A2960))+K$129*EXP(IF(A2960&lt;0,(10-9)*A2960,-9*A2960))+L$129*EXP(IF(A2960&lt;0,(10-10)*A2960,-10*A2960)),0)</x:f>
        <x:v>-192156.08259641394</x:v>
      </x:c>
      <x:c r="C2960" s="256" t="n">
        <x:f>IF(B2960=0,IF(B2959=0,0,1),IF(B2959=0,0,IF(SIGN(B2960)&lt;&gt;SIGN(B2959),1,0)))</x:f>
        <x:v>0</x:v>
      </x:c>
      <x:c r="D2960" s="256" t="n">
        <x:f>EXP(A2960-0.005)-1</x:f>
        <x:v>3.4593365528478257</x:v>
      </x:c>
    </x:row>
    <x:row r="2961" ht="20" customHeight="1">
      <x:c r="A2961" s="256" t="n">
        <x:f>-12+1351*0.01</x:f>
        <x:v>1.5099999999999998</x:v>
      </x:c>
      <x:c r="B2961" s="256" t="n">
        <x:f>IF(COUNT($B$129:$L$129)=11,B$129*EXP(IF(A2961&lt;0,(10-0)*A2961,-0*A2961))+C$129*EXP(IF(A2961&lt;0,(10-1)*A2961,-1*A2961))+D$129*EXP(IF(A2961&lt;0,(10-2)*A2961,-2*A2961))+E$129*EXP(IF(A2961&lt;0,(10-3)*A2961,-3*A2961))+F$129*EXP(IF(A2961&lt;0,(10-4)*A2961,-4*A2961))+G$129*EXP(IF(A2961&lt;0,(10-5)*A2961,-5*A2961))+H$129*EXP(IF(A2961&lt;0,(10-6)*A2961,-6*A2961))+I$129*EXP(IF(A2961&lt;0,(10-7)*A2961,-7*A2961))+J$129*EXP(IF(A2961&lt;0,(10-8)*A2961,-8*A2961))+K$129*EXP(IF(A2961&lt;0,(10-9)*A2961,-9*A2961))+L$129*EXP(IF(A2961&lt;0,(10-10)*A2961,-10*A2961)),0)</x:f>
        <x:v>-192130.93346852457</x:v>
      </x:c>
      <x:c r="C2961" s="256" t="n">
        <x:f>IF(B2961=0,IF(B2960=0,0,1),IF(B2960=0,0,IF(SIGN(B2961)&lt;&gt;SIGN(B2960),1,0)))</x:f>
        <x:v>0</x:v>
      </x:c>
      <x:c r="D2961" s="256" t="n">
        <x:f>EXP(A2961-0.005)-1</x:f>
        <x:v>3.5041536302884833</x:v>
      </x:c>
    </x:row>
    <x:row r="2962" ht="20" customHeight="1">
      <x:c r="A2962" s="256" t="n">
        <x:f>-12+1352*0.01</x:f>
        <x:v>1.5199999999999996</x:v>
      </x:c>
      <x:c r="B2962" s="256" t="n">
        <x:f>IF(COUNT($B$129:$L$129)=11,B$129*EXP(IF(A2962&lt;0,(10-0)*A2962,-0*A2962))+C$129*EXP(IF(A2962&lt;0,(10-1)*A2962,-1*A2962))+D$129*EXP(IF(A2962&lt;0,(10-2)*A2962,-2*A2962))+E$129*EXP(IF(A2962&lt;0,(10-3)*A2962,-3*A2962))+F$129*EXP(IF(A2962&lt;0,(10-4)*A2962,-4*A2962))+G$129*EXP(IF(A2962&lt;0,(10-5)*A2962,-5*A2962))+H$129*EXP(IF(A2962&lt;0,(10-6)*A2962,-6*A2962))+I$129*EXP(IF(A2962&lt;0,(10-7)*A2962,-7*A2962))+J$129*EXP(IF(A2962&lt;0,(10-8)*A2962,-8*A2962))+K$129*EXP(IF(A2962&lt;0,(10-9)*A2962,-9*A2962))+L$129*EXP(IF(A2962&lt;0,(10-10)*A2962,-10*A2962)),0)</x:f>
        <x:v>-192106.1130285688</x:v>
      </x:c>
      <x:c r="C2962" s="256" t="n">
        <x:f>IF(B2962=0,IF(B2961=0,0,1),IF(B2961=0,0,IF(SIGN(B2962)&lt;&gt;SIGN(B2961),1,0)))</x:f>
        <x:v>0</x:v>
      </x:c>
      <x:c r="D2962" s="256" t="n">
        <x:f>EXP(A2962-0.005)-1</x:f>
        <x:v>3.549421126845644</x:v>
      </x:c>
    </x:row>
    <x:row r="2963" ht="20" customHeight="1">
      <x:c r="A2963" s="256" t="n">
        <x:f>-12+1353*0.01</x:f>
        <x:v>1.5300000000000011</x:v>
      </x:c>
      <x:c r="B2963" s="256" t="n">
        <x:f>IF(COUNT($B$129:$L$129)=11,B$129*EXP(IF(A2963&lt;0,(10-0)*A2963,-0*A2963))+C$129*EXP(IF(A2963&lt;0,(10-1)*A2963,-1*A2963))+D$129*EXP(IF(A2963&lt;0,(10-2)*A2963,-2*A2963))+E$129*EXP(IF(A2963&lt;0,(10-3)*A2963,-3*A2963))+F$129*EXP(IF(A2963&lt;0,(10-4)*A2963,-4*A2963))+G$129*EXP(IF(A2963&lt;0,(10-5)*A2963,-5*A2963))+H$129*EXP(IF(A2963&lt;0,(10-6)*A2963,-6*A2963))+I$129*EXP(IF(A2963&lt;0,(10-7)*A2963,-7*A2963))+J$129*EXP(IF(A2963&lt;0,(10-8)*A2963,-8*A2963))+K$129*EXP(IF(A2963&lt;0,(10-9)*A2963,-9*A2963))+L$129*EXP(IF(A2963&lt;0,(10-10)*A2963,-10*A2963)),0)</x:f>
        <x:v>-192081.6164583497</x:v>
      </x:c>
      <x:c r="C2963" s="256" t="n">
        <x:f>IF(B2963=0,IF(B2962=0,0,1),IF(B2962=0,0,IF(SIGN(B2963)&lt;&gt;SIGN(B2962),1,0)))</x:f>
        <x:v>0</x:v>
      </x:c>
      <x:c r="D2963" s="256" t="n">
        <x:f>EXP(A2963-0.005)-1</x:f>
        <x:v>3.5951435693066944</x:v>
      </x:c>
    </x:row>
    <x:row r="2964" ht="20" customHeight="1">
      <x:c r="A2964" s="256" t="n">
        <x:f>-12+1354*0.01</x:f>
        <x:v>1.540000000000001</x:v>
      </x:c>
      <x:c r="B2964" s="256" t="n">
        <x:f>IF(COUNT($B$129:$L$129)=11,B$129*EXP(IF(A2964&lt;0,(10-0)*A2964,-0*A2964))+C$129*EXP(IF(A2964&lt;0,(10-1)*A2964,-1*A2964))+D$129*EXP(IF(A2964&lt;0,(10-2)*A2964,-2*A2964))+E$129*EXP(IF(A2964&lt;0,(10-3)*A2964,-3*A2964))+F$129*EXP(IF(A2964&lt;0,(10-4)*A2964,-4*A2964))+G$129*EXP(IF(A2964&lt;0,(10-5)*A2964,-5*A2964))+H$129*EXP(IF(A2964&lt;0,(10-6)*A2964,-6*A2964))+I$129*EXP(IF(A2964&lt;0,(10-7)*A2964,-7*A2964))+J$129*EXP(IF(A2964&lt;0,(10-8)*A2964,-8*A2964))+K$129*EXP(IF(A2964&lt;0,(10-9)*A2964,-9*A2964))+L$129*EXP(IF(A2964&lt;0,(10-10)*A2964,-10*A2964)),0)</x:f>
        <x:v>-192057.43900429114</x:v>
      </x:c>
      <x:c r="C2964" s="256" t="n">
        <x:f>IF(B2964=0,IF(B2963=0,0,1),IF(B2963=0,0,IF(SIGN(B2964)&lt;&gt;SIGN(B2963),1,0)))</x:f>
        <x:v>0</x:v>
      </x:c>
      <x:c r="D2964" s="256" t="n">
        <x:f>EXP(A2964-0.005)-1</x:f>
        <x:v>3.6413255299539653</x:v>
      </x:c>
    </x:row>
    <x:row r="2965" ht="20" customHeight="1">
      <x:c r="A2965" s="256" t="n">
        <x:f>-12+1355*0.01</x:f>
        <x:v>1.5500000000000007</x:v>
      </x:c>
      <x:c r="B2965" s="256" t="n">
        <x:f>IF(COUNT($B$129:$L$129)=11,B$129*EXP(IF(A2965&lt;0,(10-0)*A2965,-0*A2965))+C$129*EXP(IF(A2965&lt;0,(10-1)*A2965,-1*A2965))+D$129*EXP(IF(A2965&lt;0,(10-2)*A2965,-2*A2965))+E$129*EXP(IF(A2965&lt;0,(10-3)*A2965,-3*A2965))+F$129*EXP(IF(A2965&lt;0,(10-4)*A2965,-4*A2965))+G$129*EXP(IF(A2965&lt;0,(10-5)*A2965,-5*A2965))+H$129*EXP(IF(A2965&lt;0,(10-6)*A2965,-6*A2965))+I$129*EXP(IF(A2965&lt;0,(10-7)*A2965,-7*A2965))+J$129*EXP(IF(A2965&lt;0,(10-8)*A2965,-8*A2965))+K$129*EXP(IF(A2965&lt;0,(10-9)*A2965,-9*A2965))+L$129*EXP(IF(A2965&lt;0,(10-10)*A2965,-10*A2965)),0)</x:f>
        <x:v>-192033.57597807914</x:v>
      </x:c>
      <x:c r="C2965" s="256" t="n">
        <x:f>IF(B2965=0,IF(B2964=0,0,1),IF(B2964=0,0,IF(SIGN(B2965)&lt;&gt;SIGN(B2964),1,0)))</x:f>
        <x:v>0</x:v>
      </x:c>
      <x:c r="D2965" s="256" t="n">
        <x:f>EXP(A2965-0.005)-1</x:f>
        <x:v>3.6879716270220166</x:v>
      </x:c>
    </x:row>
    <x:row r="2966" ht="20" customHeight="1">
      <x:c r="A2966" s="256" t="n">
        <x:f>-12+1356*0.01</x:f>
        <x:v>1.5600000000000005</x:v>
      </x:c>
      <x:c r="B2966" s="256" t="n">
        <x:f>IF(COUNT($B$129:$L$129)=11,B$129*EXP(IF(A2966&lt;0,(10-0)*A2966,-0*A2966))+C$129*EXP(IF(A2966&lt;0,(10-1)*A2966,-1*A2966))+D$129*EXP(IF(A2966&lt;0,(10-2)*A2966,-2*A2966))+E$129*EXP(IF(A2966&lt;0,(10-3)*A2966,-3*A2966))+F$129*EXP(IF(A2966&lt;0,(10-4)*A2966,-4*A2966))+G$129*EXP(IF(A2966&lt;0,(10-5)*A2966,-5*A2966))+H$129*EXP(IF(A2966&lt;0,(10-6)*A2966,-6*A2966))+I$129*EXP(IF(A2966&lt;0,(10-7)*A2966,-7*A2966))+J$129*EXP(IF(A2966&lt;0,(10-8)*A2966,-8*A2966))+K$129*EXP(IF(A2966&lt;0,(10-9)*A2966,-9*A2966))+L$129*EXP(IF(A2966&lt;0,(10-10)*A2966,-10*A2966)),0)</x:f>
        <x:v>-192010.02275711662</x:v>
      </x:c>
      <x:c r="C2966" s="256" t="n">
        <x:f>IF(B2966=0,IF(B2965=0,0,1),IF(B2965=0,0,IF(SIGN(B2966)&lt;&gt;SIGN(B2965),1,0)))</x:f>
        <x:v>0</x:v>
      </x:c>
      <x:c r="D2966" s="256" t="n">
        <x:f>EXP(A2966-0.005)-1</x:f>
        <x:v>3.735086525159426</x:v>
      </x:c>
    </x:row>
    <x:row r="2967" ht="20" customHeight="1">
      <x:c r="A2967" s="256" t="n">
        <x:f>-12+1357*0.01</x:f>
        <x:v>1.5700000000000003</x:v>
      </x:c>
      <x:c r="B2967" s="256" t="n">
        <x:f>IF(COUNT($B$129:$L$129)=11,B$129*EXP(IF(A2967&lt;0,(10-0)*A2967,-0*A2967))+C$129*EXP(IF(A2967&lt;0,(10-1)*A2967,-1*A2967))+D$129*EXP(IF(A2967&lt;0,(10-2)*A2967,-2*A2967))+E$129*EXP(IF(A2967&lt;0,(10-3)*A2967,-3*A2967))+F$129*EXP(IF(A2967&lt;0,(10-4)*A2967,-4*A2967))+G$129*EXP(IF(A2967&lt;0,(10-5)*A2967,-5*A2967))+H$129*EXP(IF(A2967&lt;0,(10-6)*A2967,-6*A2967))+I$129*EXP(IF(A2967&lt;0,(10-7)*A2967,-7*A2967))+J$129*EXP(IF(A2967&lt;0,(10-8)*A2967,-8*A2967))+K$129*EXP(IF(A2967&lt;0,(10-9)*A2967,-9*A2967))+L$129*EXP(IF(A2967&lt;0,(10-10)*A2967,-10*A2967)),0)</x:f>
        <x:v>-191986.7747848119</x:v>
      </x:c>
      <x:c r="C2967" s="256" t="n">
        <x:f>IF(B2967=0,IF(B2966=0,0,1),IF(B2966=0,0,IF(SIGN(B2967)&lt;&gt;SIGN(B2966),1,0)))</x:f>
        <x:v>0</x:v>
      </x:c>
      <x:c r="D2967" s="256" t="n">
        <x:f>EXP(A2967-0.005)-1</x:f>
        <x:v>3.7826749358952707</x:v>
      </x:c>
    </x:row>
    <x:row r="2968" ht="20" customHeight="1">
      <x:c r="A2968" s="256" t="n">
        <x:f>-12+1358*0.01</x:f>
        <x:v>1.58</x:v>
      </x:c>
      <x:c r="B2968" s="256" t="n">
        <x:f>IF(COUNT($B$129:$L$129)=11,B$129*EXP(IF(A2968&lt;0,(10-0)*A2968,-0*A2968))+C$129*EXP(IF(A2968&lt;0,(10-1)*A2968,-1*A2968))+D$129*EXP(IF(A2968&lt;0,(10-2)*A2968,-2*A2968))+E$129*EXP(IF(A2968&lt;0,(10-3)*A2968,-3*A2968))+F$129*EXP(IF(A2968&lt;0,(10-4)*A2968,-4*A2968))+G$129*EXP(IF(A2968&lt;0,(10-5)*A2968,-5*A2968))+H$129*EXP(IF(A2968&lt;0,(10-6)*A2968,-6*A2968))+I$129*EXP(IF(A2968&lt;0,(10-7)*A2968,-7*A2968))+J$129*EXP(IF(A2968&lt;0,(10-8)*A2968,-8*A2968))+K$129*EXP(IF(A2968&lt;0,(10-9)*A2968,-9*A2968))+L$129*EXP(IF(A2968&lt;0,(10-10)*A2968,-10*A2968)),0)</x:f>
        <x:v>-191963.8275707181</x:v>
      </x:c>
      <x:c r="C2968" s="256" t="n">
        <x:f>IF(B2968=0,IF(B2967=0,0,1),IF(B2967=0,0,IF(SIGN(B2968)&lt;&gt;SIGN(B2967),1,0)))</x:f>
        <x:v>0</x:v>
      </x:c>
      <x:c r="D2968" s="256" t="n">
        <x:f>EXP(A2968-0.005)-1</x:f>
        <x:v>3.830741618110279</x:v>
      </x:c>
    </x:row>
    <x:row r="2969" ht="20" customHeight="1">
      <x:c r="A2969" s="256" t="n">
        <x:f>-12+1359*0.01</x:f>
        <x:v>1.5899999999999999</x:v>
      </x:c>
      <x:c r="B2969" s="256" t="n">
        <x:f>IF(COUNT($B$129:$L$129)=11,B$129*EXP(IF(A2969&lt;0,(10-0)*A2969,-0*A2969))+C$129*EXP(IF(A2969&lt;0,(10-1)*A2969,-1*A2969))+D$129*EXP(IF(A2969&lt;0,(10-2)*A2969,-2*A2969))+E$129*EXP(IF(A2969&lt;0,(10-3)*A2969,-3*A2969))+F$129*EXP(IF(A2969&lt;0,(10-4)*A2969,-4*A2969))+G$129*EXP(IF(A2969&lt;0,(10-5)*A2969,-5*A2969))+H$129*EXP(IF(A2969&lt;0,(10-6)*A2969,-6*A2969))+I$129*EXP(IF(A2969&lt;0,(10-7)*A2969,-7*A2969))+J$129*EXP(IF(A2969&lt;0,(10-8)*A2969,-8*A2969))+K$129*EXP(IF(A2969&lt;0,(10-9)*A2969,-9*A2969))+L$129*EXP(IF(A2969&lt;0,(10-10)*A2969,-10*A2969)),0)</x:f>
        <x:v>-191941.17669053952</x:v>
      </x:c>
      <x:c r="C2969" s="256" t="n">
        <x:f>IF(B2969=0,IF(B2968=0,0,1),IF(B2968=0,0,IF(SIGN(B2969)&lt;&gt;SIGN(B2968),1,0)))</x:f>
        <x:v>0</x:v>
      </x:c>
      <x:c r="D2969" s="256" t="n">
        <x:f>EXP(A2969-0.005)-1</x:f>
        <x:v>3.8792913785127308</x:v>
      </x:c>
    </x:row>
    <x:row r="2970" ht="20" customHeight="1">
      <x:c r="A2970" s="256" t="n">
        <x:f>-12+1360*0.01</x:f>
        <x:v>1.5999999999999996</x:v>
      </x:c>
      <x:c r="B2970" s="256" t="n">
        <x:f>IF(COUNT($B$129:$L$129)=11,B$129*EXP(IF(A2970&lt;0,(10-0)*A2970,-0*A2970))+C$129*EXP(IF(A2970&lt;0,(10-1)*A2970,-1*A2970))+D$129*EXP(IF(A2970&lt;0,(10-2)*A2970,-2*A2970))+E$129*EXP(IF(A2970&lt;0,(10-3)*A2970,-3*A2970))+F$129*EXP(IF(A2970&lt;0,(10-4)*A2970,-4*A2970))+G$129*EXP(IF(A2970&lt;0,(10-5)*A2970,-5*A2970))+H$129*EXP(IF(A2970&lt;0,(10-6)*A2970,-6*A2970))+I$129*EXP(IF(A2970&lt;0,(10-7)*A2970,-7*A2970))+J$129*EXP(IF(A2970&lt;0,(10-8)*A2970,-8*A2970))+K$129*EXP(IF(A2970&lt;0,(10-9)*A2970,-9*A2970))+L$129*EXP(IF(A2970&lt;0,(10-10)*A2970,-10*A2970)),0)</x:f>
        <x:v>-191918.81778602008</x:v>
      </x:c>
      <x:c r="C2970" s="256" t="n">
        <x:f>IF(B2970=0,IF(B2969=0,0,1),IF(B2969=0,0,IF(SIGN(B2970)&lt;&gt;SIGN(B2969),1,0)))</x:f>
        <x:v>0</x:v>
      </x:c>
      <x:c r="D2970" s="256" t="n">
        <x:f>EXP(A2970-0.005)-1</x:f>
        <x:v>3.9283290721191237</x:v>
      </x:c>
    </x:row>
    <x:row r="2971" ht="20" customHeight="1">
      <x:c r="A2971" s="256" t="n">
        <x:f>-12+1361*0.01</x:f>
        <x:v>1.6099999999999994</x:v>
      </x:c>
      <x:c r="B2971" s="256" t="n">
        <x:f>IF(COUNT($B$129:$L$129)=11,B$129*EXP(IF(A2971&lt;0,(10-0)*A2971,-0*A2971))+C$129*EXP(IF(A2971&lt;0,(10-1)*A2971,-1*A2971))+D$129*EXP(IF(A2971&lt;0,(10-2)*A2971,-2*A2971))+E$129*EXP(IF(A2971&lt;0,(10-3)*A2971,-3*A2971))+F$129*EXP(IF(A2971&lt;0,(10-4)*A2971,-4*A2971))+G$129*EXP(IF(A2971&lt;0,(10-5)*A2971,-5*A2971))+H$129*EXP(IF(A2971&lt;0,(10-6)*A2971,-6*A2971))+I$129*EXP(IF(A2971&lt;0,(10-7)*A2971,-7*A2971))+J$129*EXP(IF(A2971&lt;0,(10-8)*A2971,-8*A2971))+K$129*EXP(IF(A2971&lt;0,(10-9)*A2971,-9*A2971))+L$129*EXP(IF(A2971&lt;0,(10-10)*A2971,-10*A2971)),0)</x:f>
        <x:v>-191896.74656472687</x:v>
      </x:c>
      <x:c r="C2971" s="256" t="n">
        <x:f>IF(B2971=0,IF(B2970=0,0,1),IF(B2970=0,0,IF(SIGN(B2971)&lt;&gt;SIGN(B2970),1,0)))</x:f>
        <x:v>0</x:v>
      </x:c>
      <x:c r="D2971" s="256" t="n">
        <x:f>EXP(A2971-0.005)-1</x:f>
        <x:v>3.9778596027396826</x:v>
      </x:c>
    </x:row>
    <x:row r="2972" ht="20" customHeight="1">
      <x:c r="A2972" s="256" t="n">
        <x:f>-12+1362*0.01</x:f>
        <x:v>1.620000000000001</x:v>
      </x:c>
      <x:c r="B2972" s="256" t="n">
        <x:f>IF(COUNT($B$129:$L$129)=11,B$129*EXP(IF(A2972&lt;0,(10-0)*A2972,-0*A2972))+C$129*EXP(IF(A2972&lt;0,(10-1)*A2972,-1*A2972))+D$129*EXP(IF(A2972&lt;0,(10-2)*A2972,-2*A2972))+E$129*EXP(IF(A2972&lt;0,(10-3)*A2972,-3*A2972))+F$129*EXP(IF(A2972&lt;0,(10-4)*A2972,-4*A2972))+G$129*EXP(IF(A2972&lt;0,(10-5)*A2972,-5*A2972))+H$129*EXP(IF(A2972&lt;0,(10-6)*A2972,-6*A2972))+I$129*EXP(IF(A2972&lt;0,(10-7)*A2972,-7*A2972))+J$129*EXP(IF(A2972&lt;0,(10-8)*A2972,-8*A2972))+K$129*EXP(IF(A2972&lt;0,(10-9)*A2972,-9*A2972))+L$129*EXP(IF(A2972&lt;0,(10-10)*A2972,-10*A2972)),0)</x:f>
        <x:v>-191874.95879973995</x:v>
      </x:c>
      <x:c r="C2972" s="256" t="n">
        <x:f>IF(B2972=0,IF(B2971=0,0,1),IF(B2971=0,0,IF(SIGN(B2972)&lt;&gt;SIGN(B2971),1,0)))</x:f>
        <x:v>0</x:v>
      </x:c>
      <x:c r="D2972" s="256" t="n">
        <x:f>EXP(A2972-0.005)-1</x:f>
        <x:v>4.0278879234687555</x:v>
      </x:c>
    </x:row>
    <x:row r="2973" ht="20" customHeight="1">
      <x:c r="A2973" s="256" t="n">
        <x:f>-12+1363*0.01</x:f>
        <x:v>1.6300000000000008</x:v>
      </x:c>
      <x:c r="B2973" s="256" t="n">
        <x:f>IF(COUNT($B$129:$L$129)=11,B$129*EXP(IF(A2973&lt;0,(10-0)*A2973,-0*A2973))+C$129*EXP(IF(A2973&lt;0,(10-1)*A2973,-1*A2973))+D$129*EXP(IF(A2973&lt;0,(10-2)*A2973,-2*A2973))+E$129*EXP(IF(A2973&lt;0,(10-3)*A2973,-3*A2973))+F$129*EXP(IF(A2973&lt;0,(10-4)*A2973,-4*A2973))+G$129*EXP(IF(A2973&lt;0,(10-5)*A2973,-5*A2973))+H$129*EXP(IF(A2973&lt;0,(10-6)*A2973,-6*A2973))+I$129*EXP(IF(A2973&lt;0,(10-7)*A2973,-7*A2973))+J$129*EXP(IF(A2973&lt;0,(10-8)*A2973,-8*A2973))+K$129*EXP(IF(A2973&lt;0,(10-9)*A2973,-9*A2973))+L$129*EXP(IF(A2973&lt;0,(10-10)*A2973,-10*A2973)),0)</x:f>
        <x:v>-191853.45032926096</x:v>
      </x:c>
      <x:c r="C2973" s="256" t="n">
        <x:f>IF(B2973=0,IF(B2972=0,0,1),IF(B2972=0,0,IF(SIGN(B2973)&lt;&gt;SIGN(B2972),1,0)))</x:f>
        <x:v>0</x:v>
      </x:c>
      <x:c r="D2973" s="256" t="n">
        <x:f>EXP(A2973-0.005)-1</x:f>
        <x:v>4.078419037180086</x:v>
      </x:c>
    </x:row>
    <x:row r="2974" ht="20" customHeight="1">
      <x:c r="A2974" s="256" t="n">
        <x:f>-12+1364*0.01</x:f>
        <x:v>1.6400000000000006</x:v>
      </x:c>
      <x:c r="B2974" s="256" t="n">
        <x:f>IF(COUNT($B$129:$L$129)=11,B$129*EXP(IF(A2974&lt;0,(10-0)*A2974,-0*A2974))+C$129*EXP(IF(A2974&lt;0,(10-1)*A2974,-1*A2974))+D$129*EXP(IF(A2974&lt;0,(10-2)*A2974,-2*A2974))+E$129*EXP(IF(A2974&lt;0,(10-3)*A2974,-3*A2974))+F$129*EXP(IF(A2974&lt;0,(10-4)*A2974,-4*A2974))+G$129*EXP(IF(A2974&lt;0,(10-5)*A2974,-5*A2974))+H$129*EXP(IF(A2974&lt;0,(10-6)*A2974,-6*A2974))+I$129*EXP(IF(A2974&lt;0,(10-7)*A2974,-7*A2974))+J$129*EXP(IF(A2974&lt;0,(10-8)*A2974,-8*A2974))+K$129*EXP(IF(A2974&lt;0,(10-9)*A2974,-9*A2974))+L$129*EXP(IF(A2974&lt;0,(10-10)*A2974,-10*A2974)),0)</x:f>
        <x:v>-191832.2170561481</x:v>
      </x:c>
      <x:c r="C2974" s="256" t="n">
        <x:f>IF(B2974=0,IF(B2973=0,0,1),IF(B2973=0,0,IF(SIGN(B2974)&lt;&gt;SIGN(B2973),1,0)))</x:f>
        <x:v>0</x:v>
      </x:c>
      <x:c r="D2974" s="256" t="n">
        <x:f>EXP(A2974-0.005)-1</x:f>
        <x:v>4.129457997027164</x:v>
      </x:c>
    </x:row>
    <x:row r="2975" ht="20" customHeight="1">
      <x:c r="A2975" s="256" t="n">
        <x:f>-12+1365*0.01</x:f>
        <x:v>1.6500000000000004</x:v>
      </x:c>
      <x:c r="B2975" s="256" t="n">
        <x:f>IF(COUNT($B$129:$L$129)=11,B$129*EXP(IF(A2975&lt;0,(10-0)*A2975,-0*A2975))+C$129*EXP(IF(A2975&lt;0,(10-1)*A2975,-1*A2975))+D$129*EXP(IF(A2975&lt;0,(10-2)*A2975,-2*A2975))+E$129*EXP(IF(A2975&lt;0,(10-3)*A2975,-3*A2975))+F$129*EXP(IF(A2975&lt;0,(10-4)*A2975,-4*A2975))+G$129*EXP(IF(A2975&lt;0,(10-5)*A2975,-5*A2975))+H$129*EXP(IF(A2975&lt;0,(10-6)*A2975,-6*A2975))+I$129*EXP(IF(A2975&lt;0,(10-7)*A2975,-7*A2975))+J$129*EXP(IF(A2975&lt;0,(10-8)*A2975,-8*A2975))+K$129*EXP(IF(A2975&lt;0,(10-9)*A2975,-9*A2975))+L$129*EXP(IF(A2975&lt;0,(10-10)*A2975,-10*A2975)),0)</x:f>
        <x:v>-191811.25494738828</x:v>
      </x:c>
      <x:c r="C2975" s="256" t="n">
        <x:f>IF(B2975=0,IF(B2974=0,0,1),IF(B2974=0,0,IF(SIGN(B2975)&lt;&gt;SIGN(B2974),1,0)))</x:f>
        <x:v>0</x:v>
      </x:c>
      <x:c r="D2975" s="256" t="n">
        <x:f>EXP(A2975-0.005)-1</x:f>
        <x:v>4.181009906948509</x:v>
      </x:c>
    </x:row>
    <x:row r="2976" ht="20" customHeight="1">
      <x:c r="A2976" s="256" t="n">
        <x:f>-12+1366*0.01</x:f>
        <x:v>1.6600000000000001</x:v>
      </x:c>
      <x:c r="B2976" s="256" t="n">
        <x:f>IF(COUNT($B$129:$L$129)=11,B$129*EXP(IF(A2976&lt;0,(10-0)*A2976,-0*A2976))+C$129*EXP(IF(A2976&lt;0,(10-1)*A2976,-1*A2976))+D$129*EXP(IF(A2976&lt;0,(10-2)*A2976,-2*A2976))+E$129*EXP(IF(A2976&lt;0,(10-3)*A2976,-3*A2976))+F$129*EXP(IF(A2976&lt;0,(10-4)*A2976,-4*A2976))+G$129*EXP(IF(A2976&lt;0,(10-5)*A2976,-5*A2976))+H$129*EXP(IF(A2976&lt;0,(10-6)*A2976,-6*A2976))+I$129*EXP(IF(A2976&lt;0,(10-7)*A2976,-7*A2976))+J$129*EXP(IF(A2976&lt;0,(10-8)*A2976,-8*A2976))+K$129*EXP(IF(A2976&lt;0,(10-9)*A2976,-9*A2976))+L$129*EXP(IF(A2976&lt;0,(10-10)*A2976,-10*A2976)),0)</x:f>
        <x:v>-191790.56003351317</x:v>
      </x:c>
      <x:c r="C2976" s="256" t="n">
        <x:f>IF(B2976=0,IF(B2975=0,0,1),IF(B2975=0,0,IF(SIGN(B2976)&lt;&gt;SIGN(B2975),1,0)))</x:f>
        <x:v>0</x:v>
      </x:c>
      <x:c r="D2976" s="256" t="n">
        <x:f>EXP(A2976-0.005)-1</x:f>
        <x:v>4.233079922178069</x:v>
      </x:c>
    </x:row>
    <x:row r="2977" ht="20" customHeight="1">
      <x:c r="A2977" s="256" t="n">
        <x:f>-12+1367*0.01</x:f>
        <x:v>1.67</x:v>
      </x:c>
      <x:c r="B2977" s="256" t="n">
        <x:f>IF(COUNT($B$129:$L$129)=11,B$129*EXP(IF(A2977&lt;0,(10-0)*A2977,-0*A2977))+C$129*EXP(IF(A2977&lt;0,(10-1)*A2977,-1*A2977))+D$129*EXP(IF(A2977&lt;0,(10-2)*A2977,-2*A2977))+E$129*EXP(IF(A2977&lt;0,(10-3)*A2977,-3*A2977))+F$129*EXP(IF(A2977&lt;0,(10-4)*A2977,-4*A2977))+G$129*EXP(IF(A2977&lt;0,(10-5)*A2977,-5*A2977))+H$129*EXP(IF(A2977&lt;0,(10-6)*A2977,-6*A2977))+I$129*EXP(IF(A2977&lt;0,(10-7)*A2977,-7*A2977))+J$129*EXP(IF(A2977&lt;0,(10-8)*A2977,-8*A2977))+K$129*EXP(IF(A2977&lt;0,(10-9)*A2977,-9*A2977))+L$129*EXP(IF(A2977&lt;0,(10-10)*A2977,-10*A2977)),0)</x:f>
        <x:v>-191770.12840796678</x:v>
      </x:c>
      <x:c r="C2977" s="256" t="n">
        <x:f>IF(B2977=0,IF(B2976=0,0,1),IF(B2976=0,0,IF(SIGN(B2977)&lt;&gt;SIGN(B2976),1,0)))</x:f>
        <x:v>0</x:v>
      </x:c>
      <x:c r="D2977" s="256" t="n">
        <x:f>EXP(A2977-0.005)-1</x:f>
        <x:v>4.285673249760763</x:v>
      </x:c>
    </x:row>
    <x:row r="2978" ht="20" customHeight="1">
      <x:c r="A2978" s="256" t="n">
        <x:f>-12+1368*0.01</x:f>
        <x:v>1.6799999999999997</x:v>
      </x:c>
      <x:c r="B2978" s="256" t="n">
        <x:f>IF(COUNT($B$129:$L$129)=11,B$129*EXP(IF(A2978&lt;0,(10-0)*A2978,-0*A2978))+C$129*EXP(IF(A2978&lt;0,(10-1)*A2978,-1*A2978))+D$129*EXP(IF(A2978&lt;0,(10-2)*A2978,-2*A2978))+E$129*EXP(IF(A2978&lt;0,(10-3)*A2978,-3*A2978))+F$129*EXP(IF(A2978&lt;0,(10-4)*A2978,-4*A2978))+G$129*EXP(IF(A2978&lt;0,(10-5)*A2978,-5*A2978))+H$129*EXP(IF(A2978&lt;0,(10-6)*A2978,-6*A2978))+I$129*EXP(IF(A2978&lt;0,(10-7)*A2978,-7*A2978))+J$129*EXP(IF(A2978&lt;0,(10-8)*A2978,-8*A2978))+K$129*EXP(IF(A2978&lt;0,(10-9)*A2978,-9*A2978))+L$129*EXP(IF(A2978&lt;0,(10-10)*A2978,-10*A2978)),0)</x:f>
        <x:v>-191749.95622643127</x:v>
      </x:c>
      <x:c r="C2978" s="256" t="n">
        <x:f>IF(B2978=0,IF(B2977=0,0,1),IF(B2977=0,0,IF(SIGN(B2978)&lt;&gt;SIGN(B2977),1,0)))</x:f>
        <x:v>0</x:v>
      </x:c>
      <x:c r="D2978" s="256" t="n">
        <x:f>EXP(A2978-0.005)-1</x:f>
        <x:v>4.338795149073175</x:v>
      </x:c>
    </x:row>
    <x:row r="2979" ht="20" customHeight="1">
      <x:c r="A2979" s="256" t="n">
        <x:f>-12+1369*0.01</x:f>
        <x:v>1.6899999999999995</x:v>
      </x:c>
      <x:c r="B2979" s="256" t="n">
        <x:f>IF(COUNT($B$129:$L$129)=11,B$129*EXP(IF(A2979&lt;0,(10-0)*A2979,-0*A2979))+C$129*EXP(IF(A2979&lt;0,(10-1)*A2979,-1*A2979))+D$129*EXP(IF(A2979&lt;0,(10-2)*A2979,-2*A2979))+E$129*EXP(IF(A2979&lt;0,(10-3)*A2979,-3*A2979))+F$129*EXP(IF(A2979&lt;0,(10-4)*A2979,-4*A2979))+G$129*EXP(IF(A2979&lt;0,(10-5)*A2979,-5*A2979))+H$129*EXP(IF(A2979&lt;0,(10-6)*A2979,-6*A2979))+I$129*EXP(IF(A2979&lt;0,(10-7)*A2979,-7*A2979))+J$129*EXP(IF(A2979&lt;0,(10-8)*A2979,-8*A2979))+K$129*EXP(IF(A2979&lt;0,(10-9)*A2979,-9*A2979))+L$129*EXP(IF(A2979&lt;0,(10-10)*A2979,-10*A2979)),0)</x:f>
        <x:v>-191730.03970611645</x:v>
      </x:c>
      <x:c r="C2979" s="256" t="n">
        <x:f>IF(B2979=0,IF(B2978=0,0,1),IF(B2978=0,0,IF(SIGN(B2979)&lt;&gt;SIGN(B2978),1,0)))</x:f>
        <x:v>0</x:v>
      </x:c>
      <x:c r="D2979" s="256" t="n">
        <x:f>EXP(A2979-0.005)-1</x:f>
        <x:v>4.392450932349505</x:v>
      </x:c>
    </x:row>
    <x:row r="2980" ht="20" customHeight="1">
      <x:c r="A2980" s="256" t="n">
        <x:f>-12+1370*0.01</x:f>
        <x:v>1.700000000000001</x:v>
      </x:c>
      <x:c r="B2980" s="256" t="n">
        <x:f>IF(COUNT($B$129:$L$129)=11,B$129*EXP(IF(A2980&lt;0,(10-0)*A2980,-0*A2980))+C$129*EXP(IF(A2980&lt;0,(10-1)*A2980,-1*A2980))+D$129*EXP(IF(A2980&lt;0,(10-2)*A2980,-2*A2980))+E$129*EXP(IF(A2980&lt;0,(10-3)*A2980,-3*A2980))+F$129*EXP(IF(A2980&lt;0,(10-4)*A2980,-4*A2980))+G$129*EXP(IF(A2980&lt;0,(10-5)*A2980,-5*A2980))+H$129*EXP(IF(A2980&lt;0,(10-6)*A2980,-6*A2980))+I$129*EXP(IF(A2980&lt;0,(10-7)*A2980,-7*A2980))+J$129*EXP(IF(A2980&lt;0,(10-8)*A2980,-8*A2980))+K$129*EXP(IF(A2980&lt;0,(10-9)*A2980,-9*A2980))+L$129*EXP(IF(A2980&lt;0,(10-10)*A2980,-10*A2980)),0)</x:f>
        <x:v>-191710.37512501844</x:v>
      </x:c>
      <x:c r="C2980" s="256" t="n">
        <x:f>IF(B2980=0,IF(B2979=0,0,1),IF(B2979=0,0,IF(SIGN(B2980)&lt;&gt;SIGN(B2979),1,0)))</x:f>
        <x:v>0</x:v>
      </x:c>
      <x:c r="D2980" s="256" t="n">
        <x:f>EXP(A2980-0.005)-1</x:f>
        <x:v>4.446645965212804</x:v>
      </x:c>
    </x:row>
    <x:row r="2981" ht="20" customHeight="1">
      <x:c r="A2981" s="256" t="n">
        <x:f>-12+1371*0.01</x:f>
        <x:v>1.7100000000000009</x:v>
      </x:c>
      <x:c r="B2981" s="256" t="n">
        <x:f>IF(COUNT($B$129:$L$129)=11,B$129*EXP(IF(A2981&lt;0,(10-0)*A2981,-0*A2981))+C$129*EXP(IF(A2981&lt;0,(10-1)*A2981,-1*A2981))+D$129*EXP(IF(A2981&lt;0,(10-2)*A2981,-2*A2981))+E$129*EXP(IF(A2981&lt;0,(10-3)*A2981,-3*A2981))+F$129*EXP(IF(A2981&lt;0,(10-4)*A2981,-4*A2981))+G$129*EXP(IF(A2981&lt;0,(10-5)*A2981,-5*A2981))+H$129*EXP(IF(A2981&lt;0,(10-6)*A2981,-6*A2981))+I$129*EXP(IF(A2981&lt;0,(10-7)*A2981,-7*A2981))+J$129*EXP(IF(A2981&lt;0,(10-8)*A2981,-8*A2981))+K$129*EXP(IF(A2981&lt;0,(10-9)*A2981,-9*A2981))+L$129*EXP(IF(A2981&lt;0,(10-10)*A2981,-10*A2981)),0)</x:f>
        <x:v>-191690.9588211525</x:v>
      </x:c>
      <x:c r="C2981" s="256" t="n">
        <x:f>IF(B2981=0,IF(B2980=0,0,1),IF(B2980=0,0,IF(SIGN(B2981)&lt;&gt;SIGN(B2980),1,0)))</x:f>
        <x:v>0</x:v>
      </x:c>
      <x:c r="D2981" s="256" t="n">
        <x:f>EXP(A2981-0.005)-1</x:f>
        <x:v>4.501385667211501</x:v>
      </x:c>
    </x:row>
    <x:row r="2982" ht="20" customHeight="1">
      <x:c r="A2982" s="256" t="n">
        <x:f>-12+1372*0.01</x:f>
        <x:v>1.7200000000000006</x:v>
      </x:c>
      <x:c r="B2982" s="256" t="n">
        <x:f>IF(COUNT($B$129:$L$129)=11,B$129*EXP(IF(A2982&lt;0,(10-0)*A2982,-0*A2982))+C$129*EXP(IF(A2982&lt;0,(10-1)*A2982,-1*A2982))+D$129*EXP(IF(A2982&lt;0,(10-2)*A2982,-2*A2982))+E$129*EXP(IF(A2982&lt;0,(10-3)*A2982,-3*A2982))+F$129*EXP(IF(A2982&lt;0,(10-4)*A2982,-4*A2982))+G$129*EXP(IF(A2982&lt;0,(10-5)*A2982,-5*A2982))+H$129*EXP(IF(A2982&lt;0,(10-6)*A2982,-6*A2982))+I$129*EXP(IF(A2982&lt;0,(10-7)*A2982,-7*A2982))+J$129*EXP(IF(A2982&lt;0,(10-8)*A2982,-8*A2982))+K$129*EXP(IF(A2982&lt;0,(10-9)*A2982,-9*A2982))+L$129*EXP(IF(A2982&lt;0,(10-10)*A2982,-10*A2982)),0)</x:f>
        <x:v>-191671.78719176407</x:v>
      </x:c>
      <x:c r="C2982" s="256" t="n">
        <x:f>IF(B2982=0,IF(B2981=0,0,1),IF(B2981=0,0,IF(SIGN(B2982)&lt;&gt;SIGN(B2981),1,0)))</x:f>
        <x:v>0</x:v>
      </x:c>
      <x:c r="D2982" s="256" t="n">
        <x:f>EXP(A2982-0.005)-1</x:f>
        <x:v>4.556675512361423</x:v>
      </x:c>
    </x:row>
    <x:row r="2983" ht="20" customHeight="1">
      <x:c r="A2983" s="256" t="n">
        <x:f>-12+1373*0.01</x:f>
        <x:v>1.7300000000000004</x:v>
      </x:c>
      <x:c r="B2983" s="256" t="n">
        <x:f>IF(COUNT($B$129:$L$129)=11,B$129*EXP(IF(A2983&lt;0,(10-0)*A2983,-0*A2983))+C$129*EXP(IF(A2983&lt;0,(10-1)*A2983,-1*A2983))+D$129*EXP(IF(A2983&lt;0,(10-2)*A2983,-2*A2983))+E$129*EXP(IF(A2983&lt;0,(10-3)*A2983,-3*A2983))+F$129*EXP(IF(A2983&lt;0,(10-4)*A2983,-4*A2983))+G$129*EXP(IF(A2983&lt;0,(10-5)*A2983,-5*A2983))+H$129*EXP(IF(A2983&lt;0,(10-6)*A2983,-6*A2983))+I$129*EXP(IF(A2983&lt;0,(10-7)*A2983,-7*A2983))+J$129*EXP(IF(A2983&lt;0,(10-8)*A2983,-8*A2983))+K$129*EXP(IF(A2983&lt;0,(10-9)*A2983,-9*A2983))+L$129*EXP(IF(A2983&lt;0,(10-10)*A2983,-10*A2983)),0)</x:f>
        <x:v>-191652.85669252148</x:v>
      </x:c>
      <x:c r="C2983" s="256" t="n">
        <x:f>IF(B2983=0,IF(B2982=0,0,1),IF(B2982=0,0,IF(SIGN(B2983)&lt;&gt;SIGN(B2982),1,0)))</x:f>
        <x:v>0</x:v>
      </x:c>
      <x:c r="D2983" s="256" t="n">
        <x:f>EXP(A2983-0.005)-1</x:f>
        <x:v>4.612521029693159</x:v>
      </x:c>
    </x:row>
    <x:row r="2984" ht="20" customHeight="1">
      <x:c r="A2984" s="256" t="n">
        <x:f>-12+1374*0.01</x:f>
        <x:v>1.7400000000000002</x:v>
      </x:c>
      <x:c r="B2984" s="256" t="n">
        <x:f>IF(COUNT($B$129:$L$129)=11,B$129*EXP(IF(A2984&lt;0,(10-0)*A2984,-0*A2984))+C$129*EXP(IF(A2984&lt;0,(10-1)*A2984,-1*A2984))+D$129*EXP(IF(A2984&lt;0,(10-2)*A2984,-2*A2984))+E$129*EXP(IF(A2984&lt;0,(10-3)*A2984,-3*A2984))+F$129*EXP(IF(A2984&lt;0,(10-4)*A2984,-4*A2984))+G$129*EXP(IF(A2984&lt;0,(10-5)*A2984,-5*A2984))+H$129*EXP(IF(A2984&lt;0,(10-6)*A2984,-6*A2984))+I$129*EXP(IF(A2984&lt;0,(10-7)*A2984,-7*A2984))+J$129*EXP(IF(A2984&lt;0,(10-8)*A2984,-8*A2984))+K$129*EXP(IF(A2984&lt;0,(10-9)*A2984,-9*A2984))+L$129*EXP(IF(A2984&lt;0,(10-10)*A2984,-10*A2984)),0)</x:f>
        <x:v>-191634.16383669485</x:v>
      </x:c>
      <x:c r="C2984" s="256" t="n">
        <x:f>IF(B2984=0,IF(B2983=0,0,1),IF(B2983=0,0,IF(SIGN(B2984)&lt;&gt;SIGN(B2983),1,0)))</x:f>
        <x:v>0</x:v>
      </x:c>
      <x:c r="D2984" s="256" t="n">
        <x:f>EXP(A2984-0.005)-1</x:f>
        <x:v>4.668927803804982</x:v>
      </x:c>
    </x:row>
    <x:row r="2985" ht="20" customHeight="1">
      <x:c r="A2985" s="256" t="n">
        <x:f>-12+1375*0.01</x:f>
        <x:v>1.75</x:v>
      </x:c>
      <x:c r="B2985" s="256" t="n">
        <x:f>IF(COUNT($B$129:$L$129)=11,B$129*EXP(IF(A2985&lt;0,(10-0)*A2985,-0*A2985))+C$129*EXP(IF(A2985&lt;0,(10-1)*A2985,-1*A2985))+D$129*EXP(IF(A2985&lt;0,(10-2)*A2985,-2*A2985))+E$129*EXP(IF(A2985&lt;0,(10-3)*A2985,-3*A2985))+F$129*EXP(IF(A2985&lt;0,(10-4)*A2985,-4*A2985))+G$129*EXP(IF(A2985&lt;0,(10-5)*A2985,-5*A2985))+H$129*EXP(IF(A2985&lt;0,(10-6)*A2985,-6*A2985))+I$129*EXP(IF(A2985&lt;0,(10-7)*A2985,-7*A2985))+J$129*EXP(IF(A2985&lt;0,(10-8)*A2985,-8*A2985))+K$129*EXP(IF(A2985&lt;0,(10-9)*A2985,-9*A2985))+L$129*EXP(IF(A2985&lt;0,(10-10)*A2985,-10*A2985)),0)</x:f>
        <x:v>-191615.70519432356</x:v>
      </x:c>
      <x:c r="C2985" s="256" t="n">
        <x:f>IF(B2985=0,IF(B2984=0,0,1),IF(B2984=0,0,IF(SIGN(B2985)&lt;&gt;SIGN(B2984),1,0)))</x:f>
        <x:v>0</x:v>
      </x:c>
      <x:c r="D2985" s="256" t="n">
        <x:f>EXP(A2985-0.005)-1</x:f>
        <x:v>4.725901475421306</x:v>
      </x:c>
    </x:row>
    <x:row r="2986" ht="20" customHeight="1">
      <x:c r="A2986" s="256" t="n">
        <x:f>-12+1376*0.01</x:f>
        <x:v>1.7599999999999998</x:v>
      </x:c>
      <x:c r="B2986" s="256" t="n">
        <x:f>IF(COUNT($B$129:$L$129)=11,B$129*EXP(IF(A2986&lt;0,(10-0)*A2986,-0*A2986))+C$129*EXP(IF(A2986&lt;0,(10-1)*A2986,-1*A2986))+D$129*EXP(IF(A2986&lt;0,(10-2)*A2986,-2*A2986))+E$129*EXP(IF(A2986&lt;0,(10-3)*A2986,-3*A2986))+F$129*EXP(IF(A2986&lt;0,(10-4)*A2986,-4*A2986))+G$129*EXP(IF(A2986&lt;0,(10-5)*A2986,-5*A2986))+H$129*EXP(IF(A2986&lt;0,(10-6)*A2986,-6*A2986))+I$129*EXP(IF(A2986&lt;0,(10-7)*A2986,-7*A2986))+J$129*EXP(IF(A2986&lt;0,(10-8)*A2986,-8*A2986))+K$129*EXP(IF(A2986&lt;0,(10-9)*A2986,-9*A2986))+L$129*EXP(IF(A2986&lt;0,(10-10)*A2986,-10*A2986)),0)</x:f>
        <x:v>-191597.47739137485</x:v>
      </x:c>
      <x:c r="C2986" s="256" t="n">
        <x:f>IF(B2986=0,IF(B2985=0,0,1),IF(B2985=0,0,IF(SIGN(B2986)&lt;&gt;SIGN(B2985),1,0)))</x:f>
        <x:v>0</x:v>
      </x:c>
      <x:c r="D2986" s="256" t="n">
        <x:f>EXP(A2986-0.005)-1</x:f>
        <x:v>4.783447741956774</x:v>
      </x:c>
    </x:row>
    <x:row r="2987" ht="20" customHeight="1">
      <x:c r="A2987" s="256" t="n">
        <x:f>-12+1377*0.01</x:f>
        <x:v>1.7699999999999996</x:v>
      </x:c>
      <x:c r="B2987" s="256" t="n">
        <x:f>IF(COUNT($B$129:$L$129)=11,B$129*EXP(IF(A2987&lt;0,(10-0)*A2987,-0*A2987))+C$129*EXP(IF(A2987&lt;0,(10-1)*A2987,-1*A2987))+D$129*EXP(IF(A2987&lt;0,(10-2)*A2987,-2*A2987))+E$129*EXP(IF(A2987&lt;0,(10-3)*A2987,-3*A2987))+F$129*EXP(IF(A2987&lt;0,(10-4)*A2987,-4*A2987))+G$129*EXP(IF(A2987&lt;0,(10-5)*A2987,-5*A2987))+H$129*EXP(IF(A2987&lt;0,(10-6)*A2987,-6*A2987))+I$129*EXP(IF(A2987&lt;0,(10-7)*A2987,-7*A2987))+J$129*EXP(IF(A2987&lt;0,(10-8)*A2987,-8*A2987))+K$129*EXP(IF(A2987&lt;0,(10-9)*A2987,-9*A2987))+L$129*EXP(IF(A2987&lt;0,(10-10)*A2987,-10*A2987)),0)</x:f>
        <x:v>-191579.4771088968</x:v>
      </x:c>
      <x:c r="C2987" s="256" t="n">
        <x:f>IF(B2987=0,IF(B2986=0,0,1),IF(B2986=0,0,IF(SIGN(B2987)&lt;&gt;SIGN(B2986),1,0)))</x:f>
        <x:v>0</x:v>
      </x:c>
      <x:c r="D2987" s="256" t="n">
        <x:f>EXP(A2987-0.005)-1</x:f>
        <x:v>4.841572358085992</x:v>
      </x:c>
    </x:row>
    <x:row r="2988" ht="20" customHeight="1">
      <x:c r="A2988" s="256" t="n">
        <x:f>-12+1378*0.01</x:f>
        <x:v>1.7800000000000011</x:v>
      </x:c>
      <x:c r="B2988" s="256" t="n">
        <x:f>IF(COUNT($B$129:$L$129)=11,B$129*EXP(IF(A2988&lt;0,(10-0)*A2988,-0*A2988))+C$129*EXP(IF(A2988&lt;0,(10-1)*A2988,-1*A2988))+D$129*EXP(IF(A2988&lt;0,(10-2)*A2988,-2*A2988))+E$129*EXP(IF(A2988&lt;0,(10-3)*A2988,-3*A2988))+F$129*EXP(IF(A2988&lt;0,(10-4)*A2988,-4*A2988))+G$129*EXP(IF(A2988&lt;0,(10-5)*A2988,-5*A2988))+H$129*EXP(IF(A2988&lt;0,(10-6)*A2988,-6*A2988))+I$129*EXP(IF(A2988&lt;0,(10-7)*A2988,-7*A2988))+J$129*EXP(IF(A2988&lt;0,(10-8)*A2988,-8*A2988))+K$129*EXP(IF(A2988&lt;0,(10-9)*A2988,-9*A2988))+L$129*EXP(IF(A2988&lt;0,(10-10)*A2988,-10*A2988)),0)</x:f>
        <x:v>-191561.70108216745</x:v>
      </x:c>
      <x:c r="C2988" s="256" t="n">
        <x:f>IF(B2988=0,IF(B2987=0,0,1),IF(B2987=0,0,IF(SIGN(B2988)&lt;&gt;SIGN(B2987),1,0)))</x:f>
        <x:v>0</x:v>
      </x:c>
      <x:c r="D2988" s="256" t="n">
        <x:f>EXP(A2988-0.005)-1</x:f>
        <x:v>4.900281136319023</x:v>
      </x:c>
    </x:row>
    <x:row r="2989" ht="20" customHeight="1">
      <x:c r="A2989" s="256" t="n">
        <x:f>-12+1379*0.01</x:f>
        <x:v>1.790000000000001</x:v>
      </x:c>
      <x:c r="B2989" s="256" t="n">
        <x:f>IF(COUNT($B$129:$L$129)=11,B$129*EXP(IF(A2989&lt;0,(10-0)*A2989,-0*A2989))+C$129*EXP(IF(A2989&lt;0,(10-1)*A2989,-1*A2989))+D$129*EXP(IF(A2989&lt;0,(10-2)*A2989,-2*A2989))+E$129*EXP(IF(A2989&lt;0,(10-3)*A2989,-3*A2989))+F$129*EXP(IF(A2989&lt;0,(10-4)*A2989,-4*A2989))+G$129*EXP(IF(A2989&lt;0,(10-5)*A2989,-5*A2989))+H$129*EXP(IF(A2989&lt;0,(10-6)*A2989,-6*A2989))+I$129*EXP(IF(A2989&lt;0,(10-7)*A2989,-7*A2989))+J$129*EXP(IF(A2989&lt;0,(10-8)*A2989,-8*A2989))+K$129*EXP(IF(A2989&lt;0,(10-9)*A2989,-9*A2989))+L$129*EXP(IF(A2989&lt;0,(10-10)*A2989,-10*A2989)),0)</x:f>
        <x:v>-191544.14609984227</x:v>
      </x:c>
      <x:c r="C2989" s="256" t="n">
        <x:f>IF(B2989=0,IF(B2988=0,0,1),IF(B2988=0,0,IF(SIGN(B2989)&lt;&gt;SIGN(B2988),1,0)))</x:f>
        <x:v>0</x:v>
      </x:c>
      <x:c r="D2989" s="256" t="n">
        <x:f>EXP(A2989-0.005)-1</x:f>
        <x:v>4.9595799475825935</x:v>
      </x:c>
    </x:row>
    <x:row r="2990" ht="20" customHeight="1">
      <x:c r="A2990" s="256" t="n">
        <x:f>-12+1380*0.01</x:f>
        <x:v>1.8000000000000007</x:v>
      </x:c>
      <x:c r="B2990" s="256" t="n">
        <x:f>IF(COUNT($B$129:$L$129)=11,B$129*EXP(IF(A2990&lt;0,(10-0)*A2990,-0*A2990))+C$129*EXP(IF(A2990&lt;0,(10-1)*A2990,-1*A2990))+D$129*EXP(IF(A2990&lt;0,(10-2)*A2990,-2*A2990))+E$129*EXP(IF(A2990&lt;0,(10-3)*A2990,-3*A2990))+F$129*EXP(IF(A2990&lt;0,(10-4)*A2990,-4*A2990))+G$129*EXP(IF(A2990&lt;0,(10-5)*A2990,-5*A2990))+H$129*EXP(IF(A2990&lt;0,(10-6)*A2990,-6*A2990))+I$129*EXP(IF(A2990&lt;0,(10-7)*A2990,-7*A2990))+J$129*EXP(IF(A2990&lt;0,(10-8)*A2990,-8*A2990))+K$129*EXP(IF(A2990&lt;0,(10-9)*A2990,-9*A2990))+L$129*EXP(IF(A2990&lt;0,(10-10)*A2990,-10*A2990)),0)</x:f>
        <x:v>-191526.80900310157</x:v>
      </x:c>
      <x:c r="C2990" s="256" t="n">
        <x:f>IF(B2990=0,IF(B2989=0,0,1),IF(B2989=0,0,IF(SIGN(B2990)&lt;&gt;SIGN(B2989),1,0)))</x:f>
        <x:v>0</x:v>
      </x:c>
      <x:c r="D2990" s="256" t="n">
        <x:f>EXP(A2990-0.005)-1</x:f>
        <x:v>5.019474721807255</x:v>
      </x:c>
    </x:row>
    <x:row r="2991" ht="20" customHeight="1">
      <x:c r="A2991" s="256" t="n">
        <x:f>-12+1381*0.01</x:f>
        <x:v>1.8100000000000005</x:v>
      </x:c>
      <x:c r="B2991" s="256" t="n">
        <x:f>IF(COUNT($B$129:$L$129)=11,B$129*EXP(IF(A2991&lt;0,(10-0)*A2991,-0*A2991))+C$129*EXP(IF(A2991&lt;0,(10-1)*A2991,-1*A2991))+D$129*EXP(IF(A2991&lt;0,(10-2)*A2991,-2*A2991))+E$129*EXP(IF(A2991&lt;0,(10-3)*A2991,-3*A2991))+F$129*EXP(IF(A2991&lt;0,(10-4)*A2991,-4*A2991))+G$129*EXP(IF(A2991&lt;0,(10-5)*A2991,-5*A2991))+H$129*EXP(IF(A2991&lt;0,(10-6)*A2991,-6*A2991))+I$129*EXP(IF(A2991&lt;0,(10-7)*A2991,-7*A2991))+J$129*EXP(IF(A2991&lt;0,(10-8)*A2991,-8*A2991))+K$129*EXP(IF(A2991&lt;0,(10-9)*A2991,-9*A2991))+L$129*EXP(IF(A2991&lt;0,(10-10)*A2991,-10*A2991)),0)</x:f>
        <x:v>-191509.6866847997</x:v>
      </x:c>
      <x:c r="C2991" s="256" t="n">
        <x:f>IF(B2991=0,IF(B2990=0,0,1),IF(B2990=0,0,IF(SIGN(B2991)&lt;&gt;SIGN(B2990),1,0)))</x:f>
        <x:v>0</x:v>
      </x:c>
      <x:c r="D2991" s="256" t="n">
        <x:f>EXP(A2991-0.005)-1</x:f>
        <x:v>5.079971448520342</x:v>
      </x:c>
    </x:row>
    <x:row r="2992" ht="20" customHeight="1">
      <x:c r="A2992" s="256" t="n">
        <x:f>-12+1382*0.01</x:f>
        <x:v>1.8200000000000003</x:v>
      </x:c>
      <x:c r="B2992" s="256" t="n">
        <x:f>IF(COUNT($B$129:$L$129)=11,B$129*EXP(IF(A2992&lt;0,(10-0)*A2992,-0*A2992))+C$129*EXP(IF(A2992&lt;0,(10-1)*A2992,-1*A2992))+D$129*EXP(IF(A2992&lt;0,(10-2)*A2992,-2*A2992))+E$129*EXP(IF(A2992&lt;0,(10-3)*A2992,-3*A2992))+F$129*EXP(IF(A2992&lt;0,(10-4)*A2992,-4*A2992))+G$129*EXP(IF(A2992&lt;0,(10-5)*A2992,-5*A2992))+H$129*EXP(IF(A2992&lt;0,(10-6)*A2992,-6*A2992))+I$129*EXP(IF(A2992&lt;0,(10-7)*A2992,-7*A2992))+J$129*EXP(IF(A2992&lt;0,(10-8)*A2992,-8*A2992))+K$129*EXP(IF(A2992&lt;0,(10-9)*A2992,-9*A2992))+L$129*EXP(IF(A2992&lt;0,(10-10)*A2992,-10*A2992)),0)</x:f>
        <x:v>-191492.77608861699</x:v>
      </x:c>
      <x:c r="C2992" s="256" t="n">
        <x:f>IF(B2992=0,IF(B2991=0,0,1),IF(B2991=0,0,IF(SIGN(B2992)&lt;&gt;SIGN(B2991),1,0)))</x:f>
        <x:v>0</x:v>
      </x:c>
      <x:c r="D2992" s="256" t="n">
        <x:f>EXP(A2992-0.005)-1</x:f>
        <x:v>5.141076177444942</x:v>
      </x:c>
    </x:row>
    <x:row r="2993" ht="20" customHeight="1">
      <x:c r="A2993" s="256" t="n">
        <x:f>-12+1383*0.01</x:f>
        <x:v>1.83</x:v>
      </x:c>
      <x:c r="B2993" s="256" t="n">
        <x:f>IF(COUNT($B$129:$L$129)=11,B$129*EXP(IF(A2993&lt;0,(10-0)*A2993,-0*A2993))+C$129*EXP(IF(A2993&lt;0,(10-1)*A2993,-1*A2993))+D$129*EXP(IF(A2993&lt;0,(10-2)*A2993,-2*A2993))+E$129*EXP(IF(A2993&lt;0,(10-3)*A2993,-3*A2993))+F$129*EXP(IF(A2993&lt;0,(10-4)*A2993,-4*A2993))+G$129*EXP(IF(A2993&lt;0,(10-5)*A2993,-5*A2993))+H$129*EXP(IF(A2993&lt;0,(10-6)*A2993,-6*A2993))+I$129*EXP(IF(A2993&lt;0,(10-7)*A2993,-7*A2993))+J$129*EXP(IF(A2993&lt;0,(10-8)*A2993,-8*A2993))+K$129*EXP(IF(A2993&lt;0,(10-9)*A2993,-9*A2993))+L$129*EXP(IF(A2993&lt;0,(10-10)*A2993,-10*A2993)),0)</x:f>
        <x:v>-191476.07420821645</x:v>
      </x:c>
      <x:c r="C2993" s="256" t="n">
        <x:f>IF(B2993=0,IF(B2992=0,0,1),IF(B2992=0,0,IF(SIGN(B2993)&lt;&gt;SIGN(B2992),1,0)))</x:f>
        <x:v>0</x:v>
      </x:c>
      <x:c r="D2993" s="256" t="n">
        <x:f>EXP(A2993-0.005)-1</x:f>
        <x:v>5.202795019104866</x:v>
      </x:c>
    </x:row>
    <x:row r="2994" ht="20" customHeight="1">
      <x:c r="A2994" s="256" t="n">
        <x:f>-12+1384*0.01</x:f>
        <x:v>1.8399999999999999</x:v>
      </x:c>
      <x:c r="B2994" s="256" t="n">
        <x:f>IF(COUNT($B$129:$L$129)=11,B$129*EXP(IF(A2994&lt;0,(10-0)*A2994,-0*A2994))+C$129*EXP(IF(A2994&lt;0,(10-1)*A2994,-1*A2994))+D$129*EXP(IF(A2994&lt;0,(10-2)*A2994,-2*A2994))+E$129*EXP(IF(A2994&lt;0,(10-3)*A2994,-3*A2994))+F$129*EXP(IF(A2994&lt;0,(10-4)*A2994,-4*A2994))+G$129*EXP(IF(A2994&lt;0,(10-5)*A2994,-5*A2994))+H$129*EXP(IF(A2994&lt;0,(10-6)*A2994,-6*A2994))+I$129*EXP(IF(A2994&lt;0,(10-7)*A2994,-7*A2994))+J$129*EXP(IF(A2994&lt;0,(10-8)*A2994,-8*A2994))+K$129*EXP(IF(A2994&lt;0,(10-9)*A2994,-9*A2994))+L$129*EXP(IF(A2994&lt;0,(10-10)*A2994,-10*A2994)),0)</x:f>
        <x:v>-191459.57808640564</x:v>
      </x:c>
      <x:c r="C2994" s="256" t="n">
        <x:f>IF(B2994=0,IF(B2993=0,0,1),IF(B2993=0,0,IF(SIGN(B2994)&lt;&gt;SIGN(B2993),1,0)))</x:f>
        <x:v>0</x:v>
      </x:c>
      <x:c r="D2994" s="256" t="n">
        <x:f>EXP(A2994-0.005)-1</x:f>
        <x:v>5.265134145435715</x:v>
      </x:c>
    </x:row>
    <x:row r="2995" ht="20" customHeight="1">
      <x:c r="A2995" s="256" t="n">
        <x:f>-12+1385*0.01</x:f>
        <x:v>1.8499999999999996</x:v>
      </x:c>
      <x:c r="B2995" s="256" t="n">
        <x:f>IF(COUNT($B$129:$L$129)=11,B$129*EXP(IF(A2995&lt;0,(10-0)*A2995,-0*A2995))+C$129*EXP(IF(A2995&lt;0,(10-1)*A2995,-1*A2995))+D$129*EXP(IF(A2995&lt;0,(10-2)*A2995,-2*A2995))+E$129*EXP(IF(A2995&lt;0,(10-3)*A2995,-3*A2995))+F$129*EXP(IF(A2995&lt;0,(10-4)*A2995,-4*A2995))+G$129*EXP(IF(A2995&lt;0,(10-5)*A2995,-5*A2995))+H$129*EXP(IF(A2995&lt;0,(10-6)*A2995,-6*A2995))+I$129*EXP(IF(A2995&lt;0,(10-7)*A2995,-7*A2995))+J$129*EXP(IF(A2995&lt;0,(10-8)*A2995,-8*A2995))+K$129*EXP(IF(A2995&lt;0,(10-9)*A2995,-9*A2995))+L$129*EXP(IF(A2995&lt;0,(10-10)*A2995,-10*A2995)),0)</x:f>
        <x:v>-191443.28481430505</x:v>
      </x:c>
      <x:c r="C2995" s="256" t="n">
        <x:f>IF(B2995=0,IF(B2994=0,0,1),IF(B2994=0,0,IF(SIGN(B2995)&lt;&gt;SIGN(B2994),1,0)))</x:f>
        <x:v>0</x:v>
      </x:c>
      <x:c r="D2995" s="256" t="n">
        <x:f>EXP(A2995-0.005)-1</x:f>
        <x:v>5.328099790402068</x:v>
      </x:c>
    </x:row>
    <x:row r="2996" ht="20" customHeight="1">
      <x:c r="A2996" s="256" t="n">
        <x:f>-12+1386*0.01</x:f>
        <x:v>1.8599999999999994</x:v>
      </x:c>
      <x:c r="B2996" s="256" t="n">
        <x:f>IF(COUNT($B$129:$L$129)=11,B$129*EXP(IF(A2996&lt;0,(10-0)*A2996,-0*A2996))+C$129*EXP(IF(A2996&lt;0,(10-1)*A2996,-1*A2996))+D$129*EXP(IF(A2996&lt;0,(10-2)*A2996,-2*A2996))+E$129*EXP(IF(A2996&lt;0,(10-3)*A2996,-3*A2996))+F$129*EXP(IF(A2996&lt;0,(10-4)*A2996,-4*A2996))+G$129*EXP(IF(A2996&lt;0,(10-5)*A2996,-5*A2996))+H$129*EXP(IF(A2996&lt;0,(10-6)*A2996,-6*A2996))+I$129*EXP(IF(A2996&lt;0,(10-7)*A2996,-7*A2996))+J$129*EXP(IF(A2996&lt;0,(10-8)*A2996,-8*A2996))+K$129*EXP(IF(A2996&lt;0,(10-9)*A2996,-9*A2996))+L$129*EXP(IF(A2996&lt;0,(10-10)*A2996,-10*A2996)),0)</x:f>
        <x:v>-191427.1915305234</x:v>
      </x:c>
      <x:c r="C2996" s="256" t="n">
        <x:f>IF(B2996=0,IF(B2995=0,0,1),IF(B2995=0,0,IF(SIGN(B2996)&lt;&gt;SIGN(B2995),1,0)))</x:f>
        <x:v>0</x:v>
      </x:c>
      <x:c r="D2996" s="256" t="n">
        <x:f>EXP(A2996-0.005)-1</x:f>
        <x:v>5.391698250620896</x:v>
      </x:c>
    </x:row>
    <x:row r="2997" ht="20" customHeight="1">
      <x:c r="A2997" s="256" t="n">
        <x:f>-12+1387*0.01</x:f>
        <x:v>1.870000000000001</x:v>
      </x:c>
      <x:c r="B2997" s="256" t="n">
        <x:f>IF(COUNT($B$129:$L$129)=11,B$129*EXP(IF(A2997&lt;0,(10-0)*A2997,-0*A2997))+C$129*EXP(IF(A2997&lt;0,(10-1)*A2997,-1*A2997))+D$129*EXP(IF(A2997&lt;0,(10-2)*A2997,-2*A2997))+E$129*EXP(IF(A2997&lt;0,(10-3)*A2997,-3*A2997))+F$129*EXP(IF(A2997&lt;0,(10-4)*A2997,-4*A2997))+G$129*EXP(IF(A2997&lt;0,(10-5)*A2997,-5*A2997))+H$129*EXP(IF(A2997&lt;0,(10-6)*A2997,-6*A2997))+I$129*EXP(IF(A2997&lt;0,(10-7)*A2997,-7*A2997))+J$129*EXP(IF(A2997&lt;0,(10-8)*A2997,-8*A2997))+K$129*EXP(IF(A2997&lt;0,(10-9)*A2997,-9*A2997))+L$129*EXP(IF(A2997&lt;0,(10-10)*A2997,-10*A2997)),0)</x:f>
        <x:v>-191411.29542034166</x:v>
      </x:c>
      <x:c r="C2997" s="256" t="n">
        <x:f>IF(B2997=0,IF(B2996=0,0,1),IF(B2996=0,0,IF(SIGN(B2997)&lt;&gt;SIGN(B2996),1,0)))</x:f>
        <x:v>0</x:v>
      </x:c>
      <x:c r="D2997" s="256" t="n">
        <x:f>EXP(A2997-0.005)-1</x:f>
        <x:v>5.455935885991231</x:v>
      </x:c>
    </x:row>
    <x:row r="2998" ht="20" customHeight="1">
      <x:c r="A2998" s="256" t="n">
        <x:f>-12+1388*0.01</x:f>
        <x:v>1.8800000000000008</x:v>
      </x:c>
      <x:c r="B2998" s="256" t="n">
        <x:f>IF(COUNT($B$129:$L$129)=11,B$129*EXP(IF(A2998&lt;0,(10-0)*A2998,-0*A2998))+C$129*EXP(IF(A2998&lt;0,(10-1)*A2998,-1*A2998))+D$129*EXP(IF(A2998&lt;0,(10-2)*A2998,-2*A2998))+E$129*EXP(IF(A2998&lt;0,(10-3)*A2998,-3*A2998))+F$129*EXP(IF(A2998&lt;0,(10-4)*A2998,-4*A2998))+G$129*EXP(IF(A2998&lt;0,(10-5)*A2998,-5*A2998))+H$129*EXP(IF(A2998&lt;0,(10-6)*A2998,-6*A2998))+I$129*EXP(IF(A2998&lt;0,(10-7)*A2998,-7*A2998))+J$129*EXP(IF(A2998&lt;0,(10-8)*A2998,-8*A2998))+K$129*EXP(IF(A2998&lt;0,(10-9)*A2998,-9*A2998))+L$129*EXP(IF(A2998&lt;0,(10-10)*A2998,-10*A2998)),0)</x:f>
        <x:v>-191395.59371490488</x:v>
      </x:c>
      <x:c r="C2998" s="256" t="n">
        <x:f>IF(B2998=0,IF(B2997=0,0,1),IF(B2997=0,0,IF(SIGN(B2998)&lt;&gt;SIGN(B2997),1,0)))</x:f>
        <x:v>0</x:v>
      </x:c>
      <x:c r="D2998" s="256" t="n">
        <x:f>EXP(A2998-0.005)-1</x:f>
        <x:v>5.520819120330119</x:v>
      </x:c>
    </x:row>
    <x:row r="2999" ht="20" customHeight="1">
      <x:c r="A2999" s="256" t="n">
        <x:f>-12+1389*0.01</x:f>
        <x:v>1.8900000000000006</x:v>
      </x:c>
      <x:c r="B2999" s="256" t="n">
        <x:f>IF(COUNT($B$129:$L$129)=11,B$129*EXP(IF(A2999&lt;0,(10-0)*A2999,-0*A2999))+C$129*EXP(IF(A2999&lt;0,(10-1)*A2999,-1*A2999))+D$129*EXP(IF(A2999&lt;0,(10-2)*A2999,-2*A2999))+E$129*EXP(IF(A2999&lt;0,(10-3)*A2999,-3*A2999))+F$129*EXP(IF(A2999&lt;0,(10-4)*A2999,-4*A2999))+G$129*EXP(IF(A2999&lt;0,(10-5)*A2999,-5*A2999))+H$129*EXP(IF(A2999&lt;0,(10-6)*A2999,-6*A2999))+I$129*EXP(IF(A2999&lt;0,(10-7)*A2999,-7*A2999))+J$129*EXP(IF(A2999&lt;0,(10-8)*A2999,-8*A2999))+K$129*EXP(IF(A2999&lt;0,(10-9)*A2999,-9*A2999))+L$129*EXP(IF(A2999&lt;0,(10-10)*A2999,-10*A2999)),0)</x:f>
        <x:v>-191380.0836904239</x:v>
      </x:c>
      <x:c r="C2999" s="256" t="n">
        <x:f>IF(B2999=0,IF(B2998=0,0,1),IF(B2998=0,0,IF(SIGN(B2999)&lt;&gt;SIGN(B2998),1,0)))</x:f>
        <x:v>0</x:v>
      </x:c>
      <x:c r="D2999" s="256" t="n">
        <x:f>EXP(A2999-0.005)-1</x:f>
        <x:v>5.586354442015073</x:v>
      </x:c>
    </x:row>
    <x:row r="3000" ht="20" customHeight="1">
      <x:c r="A3000" s="256" t="n">
        <x:f>-12+1390*0.01</x:f>
        <x:v>1.9000000000000004</x:v>
      </x:c>
      <x:c r="B3000" s="256" t="n">
        <x:f>IF(COUNT($B$129:$L$129)=11,B$129*EXP(IF(A3000&lt;0,(10-0)*A3000,-0*A3000))+C$129*EXP(IF(A3000&lt;0,(10-1)*A3000,-1*A3000))+D$129*EXP(IF(A3000&lt;0,(10-2)*A3000,-2*A3000))+E$129*EXP(IF(A3000&lt;0,(10-3)*A3000,-3*A3000))+F$129*EXP(IF(A3000&lt;0,(10-4)*A3000,-4*A3000))+G$129*EXP(IF(A3000&lt;0,(10-5)*A3000,-5*A3000))+H$129*EXP(IF(A3000&lt;0,(10-6)*A3000,-6*A3000))+I$129*EXP(IF(A3000&lt;0,(10-7)*A3000,-7*A3000))+J$129*EXP(IF(A3000&lt;0,(10-8)*A3000,-8*A3000))+K$129*EXP(IF(A3000&lt;0,(10-9)*A3000,-9*A3000))+L$129*EXP(IF(A3000&lt;0,(10-10)*A3000,-10*A3000)),0)</x:f>
        <x:v>-191364.76266738653</x:v>
      </x:c>
      <x:c r="C3000" s="256" t="n">
        <x:f>IF(B3000=0,IF(B2999=0,0,1),IF(B2999=0,0,IF(SIGN(B3000)&lt;&gt;SIGN(B2999),1,0)))</x:f>
        <x:v>0</x:v>
      </x:c>
      <x:c r="D3000" s="256" t="n">
        <x:f>EXP(A3000-0.005)-1</x:f>
        <x:v>5.652548404632875</x:v>
      </x:c>
    </x:row>
    <x:row r="3001" ht="20" customHeight="1">
      <x:c r="A3001" s="256" t="n">
        <x:f>-12+1391*0.01</x:f>
        <x:v>1.9100000000000001</x:v>
      </x:c>
      <x:c r="B3001" s="256" t="n">
        <x:f>IF(COUNT($B$129:$L$129)=11,B$129*EXP(IF(A3001&lt;0,(10-0)*A3001,-0*A3001))+C$129*EXP(IF(A3001&lt;0,(10-1)*A3001,-1*A3001))+D$129*EXP(IF(A3001&lt;0,(10-2)*A3001,-2*A3001))+E$129*EXP(IF(A3001&lt;0,(10-3)*A3001,-3*A3001))+F$129*EXP(IF(A3001&lt;0,(10-4)*A3001,-4*A3001))+G$129*EXP(IF(A3001&lt;0,(10-5)*A3001,-5*A3001))+H$129*EXP(IF(A3001&lt;0,(10-6)*A3001,-6*A3001))+I$129*EXP(IF(A3001&lt;0,(10-7)*A3001,-7*A3001))+J$129*EXP(IF(A3001&lt;0,(10-8)*A3001,-8*A3001))+K$129*EXP(IF(A3001&lt;0,(10-9)*A3001,-9*A3001))+L$129*EXP(IF(A3001&lt;0,(10-10)*A3001,-10*A3001)),0)</x:f>
        <x:v>-191349.6280097789</x:v>
      </x:c>
      <x:c r="C3001" s="256" t="n">
        <x:f>IF(B3001=0,IF(B3000=0,0,1),IF(B3000=0,0,IF(SIGN(B3001)&lt;&gt;SIGN(B3000),1,0)))</x:f>
        <x:v>0</x:v>
      </x:c>
      <x:c r="D3001" s="256" t="n">
        <x:f>EXP(A3001-0.005)-1</x:f>
        <x:v>5.71940762763495</x:v>
      </x:c>
    </x:row>
    <x:row r="3002" ht="20" customHeight="1">
      <x:c r="A3002" s="256" t="n">
        <x:f>-12+1392*0.01</x:f>
        <x:v>1.92</x:v>
      </x:c>
      <x:c r="B3002" s="256" t="n">
        <x:f>IF(COUNT($B$129:$L$129)=11,B$129*EXP(IF(A3002&lt;0,(10-0)*A3002,-0*A3002))+C$129*EXP(IF(A3002&lt;0,(10-1)*A3002,-1*A3002))+D$129*EXP(IF(A3002&lt;0,(10-2)*A3002,-2*A3002))+E$129*EXP(IF(A3002&lt;0,(10-3)*A3002,-3*A3002))+F$129*EXP(IF(A3002&lt;0,(10-4)*A3002,-4*A3002))+G$129*EXP(IF(A3002&lt;0,(10-5)*A3002,-5*A3002))+H$129*EXP(IF(A3002&lt;0,(10-6)*A3002,-6*A3002))+I$129*EXP(IF(A3002&lt;0,(10-7)*A3002,-7*A3002))+J$129*EXP(IF(A3002&lt;0,(10-8)*A3002,-8*A3002))+K$129*EXP(IF(A3002&lt;0,(10-9)*A3002,-9*A3002))+L$129*EXP(IF(A3002&lt;0,(10-10)*A3002,-10*A3002)),0)</x:f>
        <x:v>-191334.67712431683</x:v>
      </x:c>
      <x:c r="C3002" s="256" t="n">
        <x:f>IF(B3002=0,IF(B3001=0,0,1),IF(B3001=0,0,IF(SIGN(B3002)&lt;&gt;SIGN(B3001),1,0)))</x:f>
        <x:v>0</x:v>
      </x:c>
      <x:c r="D3002" s="256" t="n">
        <x:f>EXP(A3002-0.005)-1</x:f>
        <x:v>5.786938796999313</x:v>
      </x:c>
    </x:row>
    <x:row r="3003" ht="20" customHeight="1">
      <x:c r="A3003" s="256" t="n">
        <x:f>-12+1393*0.01</x:f>
        <x:v>1.9299999999999997</x:v>
      </x:c>
      <x:c r="B3003" s="256" t="n">
        <x:f>IF(COUNT($B$129:$L$129)=11,B$129*EXP(IF(A3003&lt;0,(10-0)*A3003,-0*A3003))+C$129*EXP(IF(A3003&lt;0,(10-1)*A3003,-1*A3003))+D$129*EXP(IF(A3003&lt;0,(10-2)*A3003,-2*A3003))+E$129*EXP(IF(A3003&lt;0,(10-3)*A3003,-3*A3003))+F$129*EXP(IF(A3003&lt;0,(10-4)*A3003,-4*A3003))+G$129*EXP(IF(A3003&lt;0,(10-5)*A3003,-5*A3003))+H$129*EXP(IF(A3003&lt;0,(10-6)*A3003,-6*A3003))+I$129*EXP(IF(A3003&lt;0,(10-7)*A3003,-7*A3003))+J$129*EXP(IF(A3003&lt;0,(10-8)*A3003,-8*A3003))+K$129*EXP(IF(A3003&lt;0,(10-9)*A3003,-9*A3003))+L$129*EXP(IF(A3003&lt;0,(10-10)*A3003,-10*A3003)),0)</x:f>
        <x:v>-191319.90745968907</x:v>
      </x:c>
      <x:c r="C3003" s="256" t="n">
        <x:f>IF(B3003=0,IF(B3002=0,0,1),IF(B3002=0,0,IF(SIGN(B3003)&lt;&gt;SIGN(B3002),1,0)))</x:f>
        <x:v>0</x:v>
      </x:c>
      <x:c r="D3003" s="256" t="n">
        <x:f>EXP(A3003-0.005)-1</x:f>
        <x:v>5.855148665899177</x:v>
      </x:c>
    </x:row>
    <x:row r="3004" ht="20" customHeight="1">
      <x:c r="A3004" s="256" t="n">
        <x:f>-12+1394*0.01</x:f>
        <x:v>1.9399999999999995</x:v>
      </x:c>
      <x:c r="B3004" s="256" t="n">
        <x:f>IF(COUNT($B$129:$L$129)=11,B$129*EXP(IF(A3004&lt;0,(10-0)*A3004,-0*A3004))+C$129*EXP(IF(A3004&lt;0,(10-1)*A3004,-1*A3004))+D$129*EXP(IF(A3004&lt;0,(10-2)*A3004,-2*A3004))+E$129*EXP(IF(A3004&lt;0,(10-3)*A3004,-3*A3004))+F$129*EXP(IF(A3004&lt;0,(10-4)*A3004,-4*A3004))+G$129*EXP(IF(A3004&lt;0,(10-5)*A3004,-5*A3004))+H$129*EXP(IF(A3004&lt;0,(10-6)*A3004,-6*A3004))+I$129*EXP(IF(A3004&lt;0,(10-7)*A3004,-7*A3004))+J$129*EXP(IF(A3004&lt;0,(10-8)*A3004,-8*A3004))+K$129*EXP(IF(A3004&lt;0,(10-9)*A3004,-9*A3004))+L$129*EXP(IF(A3004&lt;0,(10-10)*A3004,-10*A3004)),0)</x:f>
        <x:v>-191305.3165058102</x:v>
      </x:c>
      <x:c r="C3004" s="256" t="n">
        <x:f>IF(B3004=0,IF(B3003=0,0,1),IF(B3003=0,0,IF(SIGN(B3004)&lt;&gt;SIGN(B3003),1,0)))</x:f>
        <x:v>0</x:v>
      </x:c>
      <x:c r="D3004" s="256" t="n">
        <x:f>EXP(A3004-0.005)-1</x:f>
        <x:v>5.924044055378274</x:v>
      </x:c>
    </x:row>
    <x:row r="3005" ht="20" customHeight="1">
      <x:c r="A3005" s="256" t="n">
        <x:f>-12+1395*0.01</x:f>
        <x:v>1.950000000000001</x:v>
      </x:c>
      <x:c r="B3005" s="256" t="n">
        <x:f>IF(COUNT($B$129:$L$129)=11,B$129*EXP(IF(A3005&lt;0,(10-0)*A3005,-0*A3005))+C$129*EXP(IF(A3005&lt;0,(10-1)*A3005,-1*A3005))+D$129*EXP(IF(A3005&lt;0,(10-2)*A3005,-2*A3005))+E$129*EXP(IF(A3005&lt;0,(10-3)*A3005,-3*A3005))+F$129*EXP(IF(A3005&lt;0,(10-4)*A3005,-4*A3005))+G$129*EXP(IF(A3005&lt;0,(10-5)*A3005,-5*A3005))+H$129*EXP(IF(A3005&lt;0,(10-6)*A3005,-6*A3005))+I$129*EXP(IF(A3005&lt;0,(10-7)*A3005,-7*A3005))+J$129*EXP(IF(A3005&lt;0,(10-8)*A3005,-8*A3005))+K$129*EXP(IF(A3005&lt;0,(10-9)*A3005,-9*A3005))+L$129*EXP(IF(A3005&lt;0,(10-10)*A3005,-10*A3005)),0)</x:f>
        <x:v>-191290.9017930856</x:v>
      </x:c>
      <x:c r="C3005" s="256" t="n">
        <x:f>IF(B3005=0,IF(B3004=0,0,1),IF(B3004=0,0,IF(SIGN(B3005)&lt;&gt;SIGN(B3004),1,0)))</x:f>
        <x:v>0</x:v>
      </x:c>
      <x:c r="D3005" s="256" t="n">
        <x:f>EXP(A3005-0.005)-1</x:f>
        <x:v>5.993631855032977</x:v>
      </x:c>
    </x:row>
    <x:row r="3006" ht="20" customHeight="1">
      <x:c r="A3006" s="256" t="n">
        <x:f>-12+1396*0.01</x:f>
        <x:v>1.9600000000000009</x:v>
      </x:c>
      <x:c r="B3006" s="256" t="n">
        <x:f>IF(COUNT($B$129:$L$129)=11,B$129*EXP(IF(A3006&lt;0,(10-0)*A3006,-0*A3006))+C$129*EXP(IF(A3006&lt;0,(10-1)*A3006,-1*A3006))+D$129*EXP(IF(A3006&lt;0,(10-2)*A3006,-2*A3006))+E$129*EXP(IF(A3006&lt;0,(10-3)*A3006,-3*A3006))+F$129*EXP(IF(A3006&lt;0,(10-4)*A3006,-4*A3006))+G$129*EXP(IF(A3006&lt;0,(10-5)*A3006,-5*A3006))+H$129*EXP(IF(A3006&lt;0,(10-6)*A3006,-6*A3006))+I$129*EXP(IF(A3006&lt;0,(10-7)*A3006,-7*A3006))+J$129*EXP(IF(A3006&lt;0,(10-8)*A3006,-8*A3006))+K$129*EXP(IF(A3006&lt;0,(10-9)*A3006,-9*A3006))+L$129*EXP(IF(A3006&lt;0,(10-10)*A3006,-10*A3006)),0)</x:f>
        <x:v>-191276.6608916875</x:v>
      </x:c>
      <x:c r="C3006" s="256" t="n">
        <x:f>IF(B3006=0,IF(B3005=0,0,1),IF(B3005=0,0,IF(SIGN(B3006)&lt;&gt;SIGN(B3005),1,0)))</x:f>
        <x:v>0</x:v>
      </x:c>
      <x:c r="D3006" s="256" t="n">
        <x:f>EXP(A3006-0.005)-1</x:f>
        <x:v>6.063919023701217</x:v>
      </x:c>
    </x:row>
    <x:row r="3007" ht="20" customHeight="1">
      <x:c r="A3007" s="256" t="n">
        <x:f>-12+1397*0.01</x:f>
        <x:v>1.9700000000000006</x:v>
      </x:c>
      <x:c r="B3007" s="256" t="n">
        <x:f>IF(COUNT($B$129:$L$129)=11,B$129*EXP(IF(A3007&lt;0,(10-0)*A3007,-0*A3007))+C$129*EXP(IF(A3007&lt;0,(10-1)*A3007,-1*A3007))+D$129*EXP(IF(A3007&lt;0,(10-2)*A3007,-2*A3007))+E$129*EXP(IF(A3007&lt;0,(10-3)*A3007,-3*A3007))+F$129*EXP(IF(A3007&lt;0,(10-4)*A3007,-4*A3007))+G$129*EXP(IF(A3007&lt;0,(10-5)*A3007,-5*A3007))+H$129*EXP(IF(A3007&lt;0,(10-6)*A3007,-6*A3007))+I$129*EXP(IF(A3007&lt;0,(10-7)*A3007,-7*A3007))+J$129*EXP(IF(A3007&lt;0,(10-8)*A3007,-8*A3007))+K$129*EXP(IF(A3007&lt;0,(10-9)*A3007,-9*A3007))+L$129*EXP(IF(A3007&lt;0,(10-10)*A3007,-10*A3007)),0)</x:f>
        <x:v>-191262.5914108426</x:v>
      </x:c>
      <x:c r="C3007" s="256" t="n">
        <x:f>IF(B3007=0,IF(B3006=0,0,1),IF(B3006=0,0,IF(SIGN(B3007)&lt;&gt;SIGN(B3006),1,0)))</x:f>
        <x:v>0</x:v>
      </x:c>
      <x:c r="D3007" s="256" t="n">
        <x:f>EXP(A3007-0.005)-1</x:f>
        <x:v>6.1349125901584465</x:v>
      </x:c>
    </x:row>
    <x:row r="3008" ht="20" customHeight="1">
      <x:c r="A3008" s="256" t="n">
        <x:f>-12+1398*0.01</x:f>
        <x:v>1.9800000000000004</x:v>
      </x:c>
      <x:c r="B3008" s="256" t="n">
        <x:f>IF(COUNT($B$129:$L$129)=11,B$129*EXP(IF(A3008&lt;0,(10-0)*A3008,-0*A3008))+C$129*EXP(IF(A3008&lt;0,(10-1)*A3008,-1*A3008))+D$129*EXP(IF(A3008&lt;0,(10-2)*A3008,-2*A3008))+E$129*EXP(IF(A3008&lt;0,(10-3)*A3008,-3*A3008))+F$129*EXP(IF(A3008&lt;0,(10-4)*A3008,-4*A3008))+G$129*EXP(IF(A3008&lt;0,(10-5)*A3008,-5*A3008))+H$129*EXP(IF(A3008&lt;0,(10-6)*A3008,-6*A3008))+I$129*EXP(IF(A3008&lt;0,(10-7)*A3008,-7*A3008))+J$129*EXP(IF(A3008&lt;0,(10-8)*A3008,-8*A3008))+K$129*EXP(IF(A3008&lt;0,(10-9)*A3008,-9*A3008))+L$129*EXP(IF(A3008&lt;0,(10-10)*A3008,-10*A3008)),0)</x:f>
        <x:v>-191248.69099813089</x:v>
      </x:c>
      <x:c r="C3008" s="256" t="n">
        <x:f>IF(B3008=0,IF(B3007=0,0,1),IF(B3007=0,0,IF(SIGN(B3008)&lt;&gt;SIGN(B3007),1,0)))</x:f>
        <x:v>0</x:v>
      </x:c>
      <x:c r="D3008" s="256" t="n">
        <x:f>EXP(A3008-0.005)-1</x:f>
        <x:v>6.206619653820471</x:v>
      </x:c>
    </x:row>
    <x:row r="3009" ht="20" customHeight="1">
      <x:c r="A3009" s="256" t="n">
        <x:f>-12+1399*0.01</x:f>
        <x:v>1.9900000000000002</x:v>
      </x:c>
      <x:c r="B3009" s="256" t="n">
        <x:f>IF(COUNT($B$129:$L$129)=11,B$129*EXP(IF(A3009&lt;0,(10-0)*A3009,-0*A3009))+C$129*EXP(IF(A3009&lt;0,(10-1)*A3009,-1*A3009))+D$129*EXP(IF(A3009&lt;0,(10-2)*A3009,-2*A3009))+E$129*EXP(IF(A3009&lt;0,(10-3)*A3009,-3*A3009))+F$129*EXP(IF(A3009&lt;0,(10-4)*A3009,-4*A3009))+G$129*EXP(IF(A3009&lt;0,(10-5)*A3009,-5*A3009))+H$129*EXP(IF(A3009&lt;0,(10-6)*A3009,-6*A3009))+I$129*EXP(IF(A3009&lt;0,(10-7)*A3009,-7*A3009))+J$129*EXP(IF(A3009&lt;0,(10-8)*A3009,-8*A3009))+K$129*EXP(IF(A3009&lt;0,(10-9)*A3009,-9*A3009))+L$129*EXP(IF(A3009&lt;0,(10-10)*A3009,-10*A3009)),0)</x:f>
        <x:v>-191234.95733879603</x:v>
      </x:c>
      <x:c r="C3009" s="256" t="n">
        <x:f>IF(B3009=0,IF(B3008=0,0,1),IF(B3008=0,0,IF(SIGN(B3009)&lt;&gt;SIGN(B3008),1,0)))</x:f>
        <x:v>0</x:v>
      </x:c>
      <x:c r="D3009" s="256" t="n">
        <x:f>EXP(A3009-0.005)-1</x:f>
        <x:v>6.279047385453415</x:v>
      </x:c>
    </x:row>
    <x:row r="3010" ht="20" customHeight="1">
      <x:c r="A3010" s="256" t="n">
        <x:f>-12+1400*0.01</x:f>
        <x:v>2</x:v>
      </x:c>
      <x:c r="B3010" s="256" t="n">
        <x:f>IF(COUNT($B$129:$L$129)=11,B$129*EXP(IF(A3010&lt;0,(10-0)*A3010,-0*A3010))+C$129*EXP(IF(A3010&lt;0,(10-1)*A3010,-1*A3010))+D$129*EXP(IF(A3010&lt;0,(10-2)*A3010,-2*A3010))+E$129*EXP(IF(A3010&lt;0,(10-3)*A3010,-3*A3010))+F$129*EXP(IF(A3010&lt;0,(10-4)*A3010,-4*A3010))+G$129*EXP(IF(A3010&lt;0,(10-5)*A3010,-5*A3010))+H$129*EXP(IF(A3010&lt;0,(10-6)*A3010,-6*A3010))+I$129*EXP(IF(A3010&lt;0,(10-7)*A3010,-7*A3010))+J$129*EXP(IF(A3010&lt;0,(10-8)*A3010,-8*A3010))+K$129*EXP(IF(A3010&lt;0,(10-9)*A3010,-9*A3010))+L$129*EXP(IF(A3010&lt;0,(10-10)*A3010,-10*A3010)),0)</x:f>
        <x:v>-191221.38815506818</x:v>
      </x:c>
      <x:c r="C3010" s="256" t="n">
        <x:f>IF(B3010=0,IF(B3009=0,0,1),IF(B3009=0,0,IF(SIGN(B3010)&lt;&gt;SIGN(B3009),1,0)))</x:f>
        <x:v>0</x:v>
      </x:c>
      <x:c r="D3010" s="256" t="n">
        <x:f>EXP(A3010-0.005)-1</x:f>
        <x:v>6.352203027890797</x:v>
      </x:c>
    </x:row>
    <x:row r="3011" ht="20" customHeight="1">
      <x:c r="A3011" s="256" t="n">
        <x:f>-12+1401*0.01</x:f>
        <x:v>2.01</x:v>
      </x:c>
      <x:c r="B3011" s="256" t="n">
        <x:f>IF(COUNT($B$129:$L$129)=11,B$129*EXP(IF(A3011&lt;0,(10-0)*A3011,-0*A3011))+C$129*EXP(IF(A3011&lt;0,(10-1)*A3011,-1*A3011))+D$129*EXP(IF(A3011&lt;0,(10-2)*A3011,-2*A3011))+E$129*EXP(IF(A3011&lt;0,(10-3)*A3011,-3*A3011))+F$129*EXP(IF(A3011&lt;0,(10-4)*A3011,-4*A3011))+G$129*EXP(IF(A3011&lt;0,(10-5)*A3011,-5*A3011))+H$129*EXP(IF(A3011&lt;0,(10-6)*A3011,-6*A3011))+I$129*EXP(IF(A3011&lt;0,(10-7)*A3011,-7*A3011))+J$129*EXP(IF(A3011&lt;0,(10-8)*A3011,-8*A3011))+K$129*EXP(IF(A3011&lt;0,(10-9)*A3011,-9*A3011))+L$129*EXP(IF(A3011&lt;0,(10-10)*A3011,-10*A3011)),0)</x:f>
        <x:v>-191207.981205497</x:v>
      </x:c>
      <x:c r="C3011" s="256" t="n">
        <x:f>IF(B3011=0,IF(B3010=0,0,1),IF(B3010=0,0,IF(SIGN(B3011)&lt;&gt;SIGN(B3010),1,0)))</x:f>
        <x:v>0</x:v>
      </x:c>
      <x:c r="D3011" s="256" t="n">
        <x:f>EXP(A3011-0.005)-1</x:f>
        <x:v>6.426093896757824</x:v>
      </x:c>
    </x:row>
    <x:row r="3012" ht="20" customHeight="1">
      <x:c r="A3012" s="256" t="n">
        <x:f>-12+1402*0.01</x:f>
        <x:v>2.0199999999999996</x:v>
      </x:c>
      <x:c r="B3012" s="256" t="n">
        <x:f>IF(COUNT($B$129:$L$129)=11,B$129*EXP(IF(A3012&lt;0,(10-0)*A3012,-0*A3012))+C$129*EXP(IF(A3012&lt;0,(10-1)*A3012,-1*A3012))+D$129*EXP(IF(A3012&lt;0,(10-2)*A3012,-2*A3012))+E$129*EXP(IF(A3012&lt;0,(10-3)*A3012,-3*A3012))+F$129*EXP(IF(A3012&lt;0,(10-4)*A3012,-4*A3012))+G$129*EXP(IF(A3012&lt;0,(10-5)*A3012,-5*A3012))+H$129*EXP(IF(A3012&lt;0,(10-6)*A3012,-6*A3012))+I$129*EXP(IF(A3012&lt;0,(10-7)*A3012,-7*A3012))+J$129*EXP(IF(A3012&lt;0,(10-8)*A3012,-8*A3012))+K$129*EXP(IF(A3012&lt;0,(10-9)*A3012,-9*A3012))+L$129*EXP(IF(A3012&lt;0,(10-10)*A3012,-10*A3012)),0)</x:f>
        <x:v>-191194.73428429736</x:v>
      </x:c>
      <x:c r="C3012" s="256" t="n">
        <x:f>IF(B3012=0,IF(B3011=0,0,1),IF(B3011=0,0,IF(SIGN(B3012)&lt;&gt;SIGN(B3011),1,0)))</x:f>
        <x:v>0</x:v>
      </x:c>
      <x:c r="D3012" s="256" t="n">
        <x:f>EXP(A3012-0.005)-1</x:f>
        <x:v>6.500727381202959</x:v>
      </x:c>
    </x:row>
    <x:row r="3013" ht="20" customHeight="1">
      <x:c r="A3013" s="256" t="n">
        <x:f>-12+1403*0.01</x:f>
        <x:v>2.030000000000001</x:v>
      </x:c>
      <x:c r="B3013" s="256" t="n">
        <x:f>IF(COUNT($B$129:$L$129)=11,B$129*EXP(IF(A3013&lt;0,(10-0)*A3013,-0*A3013))+C$129*EXP(IF(A3013&lt;0,(10-1)*A3013,-1*A3013))+D$129*EXP(IF(A3013&lt;0,(10-2)*A3013,-2*A3013))+E$129*EXP(IF(A3013&lt;0,(10-3)*A3013,-3*A3013))+F$129*EXP(IF(A3013&lt;0,(10-4)*A3013,-4*A3013))+G$129*EXP(IF(A3013&lt;0,(10-5)*A3013,-5*A3013))+H$129*EXP(IF(A3013&lt;0,(10-6)*A3013,-6*A3013))+I$129*EXP(IF(A3013&lt;0,(10-7)*A3013,-7*A3013))+J$129*EXP(IF(A3013&lt;0,(10-8)*A3013,-8*A3013))+K$129*EXP(IF(A3013&lt;0,(10-9)*A3013,-9*A3013))+L$129*EXP(IF(A3013&lt;0,(10-10)*A3013,-10*A3013)),0)</x:f>
        <x:v>-191181.64522070592</x:v>
      </x:c>
      <x:c r="C3013" s="256" t="n">
        <x:f>IF(B3013=0,IF(B3012=0,0,1),IF(B3012=0,0,IF(SIGN(B3013)&lt;&gt;SIGN(B3012),1,0)))</x:f>
        <x:v>0</x:v>
      </x:c>
      <x:c r="D3013" s="256" t="n">
        <x:f>EXP(A3013-0.005)-1</x:f>
        <x:v>6.576110944636855</x:v>
      </x:c>
    </x:row>
    <x:row r="3014" ht="20" customHeight="1">
      <x:c r="A3014" s="256" t="n">
        <x:f>-12+1404*0.01</x:f>
        <x:v>2.040000000000001</x:v>
      </x:c>
      <x:c r="B3014" s="256" t="n">
        <x:f>IF(COUNT($B$129:$L$129)=11,B$129*EXP(IF(A3014&lt;0,(10-0)*A3014,-0*A3014))+C$129*EXP(IF(A3014&lt;0,(10-1)*A3014,-1*A3014))+D$129*EXP(IF(A3014&lt;0,(10-2)*A3014,-2*A3014))+E$129*EXP(IF(A3014&lt;0,(10-3)*A3014,-3*A3014))+F$129*EXP(IF(A3014&lt;0,(10-4)*A3014,-4*A3014))+G$129*EXP(IF(A3014&lt;0,(10-5)*A3014,-5*A3014))+H$129*EXP(IF(A3014&lt;0,(10-6)*A3014,-6*A3014))+I$129*EXP(IF(A3014&lt;0,(10-7)*A3014,-7*A3014))+J$129*EXP(IF(A3014&lt;0,(10-8)*A3014,-8*A3014))+K$129*EXP(IF(A3014&lt;0,(10-9)*A3014,-9*A3014))+L$129*EXP(IF(A3014&lt;0,(10-10)*A3014,-10*A3014)),0)</x:f>
        <x:v>-191168.7118783495</x:v>
      </x:c>
      <x:c r="C3014" s="256" t="n">
        <x:f>IF(B3014=0,IF(B3013=0,0,1),IF(B3013=0,0,IF(SIGN(B3014)&lt;&gt;SIGN(B3013),1,0)))</x:f>
        <x:v>0</x:v>
      </x:c>
      <x:c r="D3014" s="256" t="n">
        <x:f>EXP(A3014-0.005)-1</x:f>
        <x:v>6.652252125478648</x:v>
      </x:c>
    </x:row>
    <x:row r="3015" ht="20" customHeight="1">
      <x:c r="A3015" s="256" t="n">
        <x:f>-12+1405*0.01</x:f>
        <x:v>2.0500000000000007</x:v>
      </x:c>
      <x:c r="B3015" s="256" t="n">
        <x:f>IF(COUNT($B$129:$L$129)=11,B$129*EXP(IF(A3015&lt;0,(10-0)*A3015,-0*A3015))+C$129*EXP(IF(A3015&lt;0,(10-1)*A3015,-1*A3015))+D$129*EXP(IF(A3015&lt;0,(10-2)*A3015,-2*A3015))+E$129*EXP(IF(A3015&lt;0,(10-3)*A3015,-3*A3015))+F$129*EXP(IF(A3015&lt;0,(10-4)*A3015,-4*A3015))+G$129*EXP(IF(A3015&lt;0,(10-5)*A3015,-5*A3015))+H$129*EXP(IF(A3015&lt;0,(10-6)*A3015,-6*A3015))+I$129*EXP(IF(A3015&lt;0,(10-7)*A3015,-7*A3015))+J$129*EXP(IF(A3015&lt;0,(10-8)*A3015,-8*A3015))+K$129*EXP(IF(A3015&lt;0,(10-9)*A3015,-9*A3015))+L$129*EXP(IF(A3015&lt;0,(10-10)*A3015,-10*A3015)),0)</x:f>
        <x:v>-191155.93215462446</x:v>
      </x:c>
      <x:c r="C3015" s="256" t="n">
        <x:f>IF(B3015=0,IF(B3014=0,0,1),IF(B3014=0,0,IF(SIGN(B3015)&lt;&gt;SIGN(B3014),1,0)))</x:f>
        <x:v>0</x:v>
      </x:c>
      <x:c r="D3015" s="256" t="n">
        <x:f>EXP(A3015-0.005)-1</x:f>
        <x:v>6.729158537909887</x:v>
      </x:c>
    </x:row>
    <x:row r="3016" ht="20" customHeight="1">
      <x:c r="A3016" s="256" t="n">
        <x:f>-12+1406*0.01</x:f>
        <x:v>2.0600000000000005</x:v>
      </x:c>
      <x:c r="B3016" s="256" t="n">
        <x:f>IF(COUNT($B$129:$L$129)=11,B$129*EXP(IF(A3016&lt;0,(10-0)*A3016,-0*A3016))+C$129*EXP(IF(A3016&lt;0,(10-1)*A3016,-1*A3016))+D$129*EXP(IF(A3016&lt;0,(10-2)*A3016,-2*A3016))+E$129*EXP(IF(A3016&lt;0,(10-3)*A3016,-3*A3016))+F$129*EXP(IF(A3016&lt;0,(10-4)*A3016,-4*A3016))+G$129*EXP(IF(A3016&lt;0,(10-5)*A3016,-5*A3016))+H$129*EXP(IF(A3016&lt;0,(10-6)*A3016,-6*A3016))+I$129*EXP(IF(A3016&lt;0,(10-7)*A3016,-7*A3016))+J$129*EXP(IF(A3016&lt;0,(10-8)*A3016,-8*A3016))+K$129*EXP(IF(A3016&lt;0,(10-9)*A3016,-9*A3016))+L$129*EXP(IF(A3016&lt;0,(10-10)*A3016,-10*A3016)),0)</x:f>
        <x:v>-191143.30398008754</x:v>
      </x:c>
      <x:c r="C3016" s="256" t="n">
        <x:f>IF(B3016=0,IF(B3015=0,0,1),IF(B3015=0,0,IF(SIGN(B3016)&lt;&gt;SIGN(B3015),1,0)))</x:f>
        <x:v>0</x:v>
      </x:c>
      <x:c r="D3016" s="256" t="n">
        <x:f>EXP(A3016-0.005)-1</x:f>
        <x:v>6.806837872635904</x:v>
      </x:c>
    </x:row>
    <x:row r="3017" ht="20" customHeight="1">
      <x:c r="A3017" s="256" t="n">
        <x:f>-12+1407*0.01</x:f>
        <x:v>2.0700000000000003</x:v>
      </x:c>
      <x:c r="B3017" s="256" t="n">
        <x:f>IF(COUNT($B$129:$L$129)=11,B$129*EXP(IF(A3017&lt;0,(10-0)*A3017,-0*A3017))+C$129*EXP(IF(A3017&lt;0,(10-1)*A3017,-1*A3017))+D$129*EXP(IF(A3017&lt;0,(10-2)*A3017,-2*A3017))+E$129*EXP(IF(A3017&lt;0,(10-3)*A3017,-3*A3017))+F$129*EXP(IF(A3017&lt;0,(10-4)*A3017,-4*A3017))+G$129*EXP(IF(A3017&lt;0,(10-5)*A3017,-5*A3017))+H$129*EXP(IF(A3017&lt;0,(10-6)*A3017,-6*A3017))+I$129*EXP(IF(A3017&lt;0,(10-7)*A3017,-7*A3017))+J$129*EXP(IF(A3017&lt;0,(10-8)*A3017,-8*A3017))+K$129*EXP(IF(A3017&lt;0,(10-9)*A3017,-9*A3017))+L$129*EXP(IF(A3017&lt;0,(10-10)*A3017,-10*A3017)),0)</x:f>
        <x:v>-191130.8253178579</x:v>
      </x:c>
      <x:c r="C3017" s="256" t="n">
        <x:f>IF(B3017=0,IF(B3016=0,0,1),IF(B3016=0,0,IF(SIGN(B3017)&lt;&gt;SIGN(B3016),1,0)))</x:f>
        <x:v>0</x:v>
      </x:c>
      <x:c r="D3017" s="256" t="n">
        <x:f>EXP(A3017-0.005)-1</x:f>
        <x:v>6.885297897654904</x:v>
      </x:c>
    </x:row>
    <x:row r="3018" ht="20" customHeight="1">
      <x:c r="A3018" s="256" t="n">
        <x:f>-12+1408*0.01</x:f>
        <x:v>2.08</x:v>
      </x:c>
      <x:c r="B3018" s="256" t="n">
        <x:f>IF(COUNT($B$129:$L$129)=11,B$129*EXP(IF(A3018&lt;0,(10-0)*A3018,-0*A3018))+C$129*EXP(IF(A3018&lt;0,(10-1)*A3018,-1*A3018))+D$129*EXP(IF(A3018&lt;0,(10-2)*A3018,-2*A3018))+E$129*EXP(IF(A3018&lt;0,(10-3)*A3018,-3*A3018))+F$129*EXP(IF(A3018&lt;0,(10-4)*A3018,-4*A3018))+G$129*EXP(IF(A3018&lt;0,(10-5)*A3018,-5*A3018))+H$129*EXP(IF(A3018&lt;0,(10-6)*A3018,-6*A3018))+I$129*EXP(IF(A3018&lt;0,(10-7)*A3018,-7*A3018))+J$129*EXP(IF(A3018&lt;0,(10-8)*A3018,-8*A3018))+K$129*EXP(IF(A3018&lt;0,(10-9)*A3018,-9*A3018))+L$129*EXP(IF(A3018&lt;0,(10-10)*A3018,-10*A3018)),0)</x:f>
        <x:v>-191118.49416303012</x:v>
      </x:c>
      <x:c r="C3018" s="256" t="n">
        <x:f>IF(B3018=0,IF(B3017=0,0,1),IF(B3017=0,0,IF(SIGN(B3018)&lt;&gt;SIGN(B3017),1,0)))</x:f>
        <x:v>0</x:v>
      </x:c>
      <x:c r="D3018" s="256" t="n">
        <x:f>EXP(A3018-0.005)-1</x:f>
        <x:v>6.964546459034773</x:v>
      </x:c>
    </x:row>
    <x:row r="3019" ht="20" customHeight="1">
      <x:c r="A3019" s="256" t="n">
        <x:f>-12+1409*0.01</x:f>
        <x:v>2.09</x:v>
      </x:c>
      <x:c r="B3019" s="256" t="n">
        <x:f>IF(COUNT($B$129:$L$129)=11,B$129*EXP(IF(A3019&lt;0,(10-0)*A3019,-0*A3019))+C$129*EXP(IF(A3019&lt;0,(10-1)*A3019,-1*A3019))+D$129*EXP(IF(A3019&lt;0,(10-2)*A3019,-2*A3019))+E$129*EXP(IF(A3019&lt;0,(10-3)*A3019,-3*A3019))+F$129*EXP(IF(A3019&lt;0,(10-4)*A3019,-4*A3019))+G$129*EXP(IF(A3019&lt;0,(10-5)*A3019,-5*A3019))+H$129*EXP(IF(A3019&lt;0,(10-6)*A3019,-6*A3019))+I$129*EXP(IF(A3019&lt;0,(10-7)*A3019,-7*A3019))+J$129*EXP(IF(A3019&lt;0,(10-8)*A3019,-8*A3019))+K$129*EXP(IF(A3019&lt;0,(10-9)*A3019,-9*A3019))+L$129*EXP(IF(A3019&lt;0,(10-10)*A3019,-10*A3019)),0)</x:f>
        <x:v>-191106.308542098</x:v>
      </x:c>
      <x:c r="C3019" s="256" t="n">
        <x:f>IF(B3019=0,IF(B3018=0,0,1),IF(B3018=0,0,IF(SIGN(B3019)&lt;&gt;SIGN(B3018),1,0)))</x:f>
        <x:v>0</x:v>
      </x:c>
      <x:c r="D3019" s="256" t="n">
        <x:f>EXP(A3019-0.005)-1</x:f>
        <x:v>7.04459148169769</x:v>
      </x:c>
    </x:row>
    <x:row r="3020" ht="20" customHeight="1">
      <x:c r="A3020" s="256" t="n">
        <x:f>-12+1410*0.01</x:f>
        <x:v>2.0999999999999996</x:v>
      </x:c>
      <x:c r="B3020" s="256" t="n">
        <x:f>IF(COUNT($B$129:$L$129)=11,B$129*EXP(IF(A3020&lt;0,(10-0)*A3020,-0*A3020))+C$129*EXP(IF(A3020&lt;0,(10-1)*A3020,-1*A3020))+D$129*EXP(IF(A3020&lt;0,(10-2)*A3020,-2*A3020))+E$129*EXP(IF(A3020&lt;0,(10-3)*A3020,-3*A3020))+F$129*EXP(IF(A3020&lt;0,(10-4)*A3020,-4*A3020))+G$129*EXP(IF(A3020&lt;0,(10-5)*A3020,-5*A3020))+H$129*EXP(IF(A3020&lt;0,(10-6)*A3020,-6*A3020))+I$129*EXP(IF(A3020&lt;0,(10-7)*A3020,-7*A3020))+J$129*EXP(IF(A3020&lt;0,(10-8)*A3020,-8*A3020))+K$129*EXP(IF(A3020&lt;0,(10-9)*A3020,-9*A3020))+L$129*EXP(IF(A3020&lt;0,(10-10)*A3020,-10*A3020)),0)</x:f>
        <x:v>-191094.26651238932</x:v>
      </x:c>
      <x:c r="C3020" s="256" t="n">
        <x:f>IF(B3020=0,IF(B3019=0,0,1),IF(B3019=0,0,IF(SIGN(B3020)&lt;&gt;SIGN(B3019),1,0)))</x:f>
        <x:v>0</x:v>
      </x:c>
      <x:c r="D3020" s="256" t="n">
        <x:f>EXP(A3020-0.005)-1</x:f>
        <x:v>7.125440970212626</x:v>
      </x:c>
    </x:row>
    <x:row r="3021" ht="20" customHeight="1">
      <x:c r="A3021" s="256" t="n">
        <x:f>-12+1411*0.01</x:f>
        <x:v>2.1099999999999994</x:v>
      </x:c>
      <x:c r="B3021" s="256" t="n">
        <x:f>IF(COUNT($B$129:$L$129)=11,B$129*EXP(IF(A3021&lt;0,(10-0)*A3021,-0*A3021))+C$129*EXP(IF(A3021&lt;0,(10-1)*A3021,-1*A3021))+D$129*EXP(IF(A3021&lt;0,(10-2)*A3021,-2*A3021))+E$129*EXP(IF(A3021&lt;0,(10-3)*A3021,-3*A3021))+F$129*EXP(IF(A3021&lt;0,(10-4)*A3021,-4*A3021))+G$129*EXP(IF(A3021&lt;0,(10-5)*A3021,-5*A3021))+H$129*EXP(IF(A3021&lt;0,(10-6)*A3021,-6*A3021))+I$129*EXP(IF(A3021&lt;0,(10-7)*A3021,-7*A3021))+J$129*EXP(IF(A3021&lt;0,(10-8)*A3021,-8*A3021))+K$129*EXP(IF(A3021&lt;0,(10-9)*A3021,-9*A3021))+L$129*EXP(IF(A3021&lt;0,(10-10)*A3021,-10*A3021)),0)</x:f>
        <x:v>-191082.36616151128</x:v>
      </x:c>
      <x:c r="C3021" s="256" t="n">
        <x:f>IF(B3021=0,IF(B3020=0,0,1),IF(B3020=0,0,IF(SIGN(B3021)&lt;&gt;SIGN(B3020),1,0)))</x:f>
        <x:v>0</x:v>
      </x:c>
      <x:c r="D3021" s="256" t="n">
        <x:f>EXP(A3021-0.005)-1</x:f>
        <x:v>7.207103009595805</x:v>
      </x:c>
    </x:row>
    <x:row r="3022" ht="20" customHeight="1">
      <x:c r="A3022" s="256" t="n">
        <x:f>-12+1412*0.01</x:f>
        <x:v>2.120000000000001</x:v>
      </x:c>
      <x:c r="B3022" s="256" t="n">
        <x:f>IF(COUNT($B$129:$L$129)=11,B$129*EXP(IF(A3022&lt;0,(10-0)*A3022,-0*A3022))+C$129*EXP(IF(A3022&lt;0,(10-1)*A3022,-1*A3022))+D$129*EXP(IF(A3022&lt;0,(10-2)*A3022,-2*A3022))+E$129*EXP(IF(A3022&lt;0,(10-3)*A3022,-3*A3022))+F$129*EXP(IF(A3022&lt;0,(10-4)*A3022,-4*A3022))+G$129*EXP(IF(A3022&lt;0,(10-5)*A3022,-5*A3022))+H$129*EXP(IF(A3022&lt;0,(10-6)*A3022,-6*A3022))+I$129*EXP(IF(A3022&lt;0,(10-7)*A3022,-7*A3022))+J$129*EXP(IF(A3022&lt;0,(10-8)*A3022,-8*A3022))+K$129*EXP(IF(A3022&lt;0,(10-9)*A3022,-9*A3022))+L$129*EXP(IF(A3022&lt;0,(10-10)*A3022,-10*A3022)),0)</x:f>
        <x:v>-191070.605606806</x:v>
      </x:c>
      <x:c r="C3022" s="256" t="n">
        <x:f>IF(B3022=0,IF(B3021=0,0,1),IF(B3021=0,0,IF(SIGN(B3022)&lt;&gt;SIGN(B3021),1,0)))</x:f>
        <x:v>0</x:v>
      </x:c>
      <x:c r="D3022" s="256" t="n">
        <x:f>EXP(A3022-0.005)-1</x:f>
        <x:v>7.2895857661192345</x:v>
      </x:c>
    </x:row>
    <x:row r="3023" ht="20" customHeight="1">
      <x:c r="A3023" s="256" t="n">
        <x:f>-12+1413*0.01</x:f>
        <x:v>2.130000000000001</x:v>
      </x:c>
      <x:c r="B3023" s="256" t="n">
        <x:f>IF(COUNT($B$129:$L$129)=11,B$129*EXP(IF(A3023&lt;0,(10-0)*A3023,-0*A3023))+C$129*EXP(IF(A3023&lt;0,(10-1)*A3023,-1*A3023))+D$129*EXP(IF(A3023&lt;0,(10-2)*A3023,-2*A3023))+E$129*EXP(IF(A3023&lt;0,(10-3)*A3023,-3*A3023))+F$129*EXP(IF(A3023&lt;0,(10-4)*A3023,-4*A3023))+G$129*EXP(IF(A3023&lt;0,(10-5)*A3023,-5*A3023))+H$129*EXP(IF(A3023&lt;0,(10-6)*A3023,-6*A3023))+I$129*EXP(IF(A3023&lt;0,(10-7)*A3023,-7*A3023))+J$129*EXP(IF(A3023&lt;0,(10-8)*A3023,-8*A3023))+K$129*EXP(IF(A3023&lt;0,(10-9)*A3023,-9*A3023))+L$129*EXP(IF(A3023&lt;0,(10-10)*A3023,-10*A3023)),0)</x:f>
        <x:v>-191058.98299481714</x:v>
      </x:c>
      <x:c r="C3023" s="256" t="n">
        <x:f>IF(B3023=0,IF(B3022=0,0,1),IF(B3022=0,0,IF(SIGN(B3023)&lt;&gt;SIGN(B3022),1,0)))</x:f>
        <x:v>0</x:v>
      </x:c>
      <x:c r="D3023" s="256" t="n">
        <x:f>EXP(A3023-0.005)-1</x:f>
        <x:v>7.372897488127272</x:v>
      </x:c>
    </x:row>
    <x:row r="3024" ht="20" customHeight="1">
      <x:c r="A3024" s="256" t="n">
        <x:f>-12+1414*0.01</x:f>
        <x:v>2.1400000000000006</x:v>
      </x:c>
      <x:c r="B3024" s="256" t="n">
        <x:f>IF(COUNT($B$129:$L$129)=11,B$129*EXP(IF(A3024&lt;0,(10-0)*A3024,-0*A3024))+C$129*EXP(IF(A3024&lt;0,(10-1)*A3024,-1*A3024))+D$129*EXP(IF(A3024&lt;0,(10-2)*A3024,-2*A3024))+E$129*EXP(IF(A3024&lt;0,(10-3)*A3024,-3*A3024))+F$129*EXP(IF(A3024&lt;0,(10-4)*A3024,-4*A3024))+G$129*EXP(IF(A3024&lt;0,(10-5)*A3024,-5*A3024))+H$129*EXP(IF(A3024&lt;0,(10-6)*A3024,-6*A3024))+I$129*EXP(IF(A3024&lt;0,(10-7)*A3024,-7*A3024))+J$129*EXP(IF(A3024&lt;0,(10-8)*A3024,-8*A3024))+K$129*EXP(IF(A3024&lt;0,(10-9)*A3024,-9*A3024))+L$129*EXP(IF(A3024&lt;0,(10-10)*A3024,-10*A3024)),0)</x:f>
        <x:v>-191047.49650076602</x:v>
      </x:c>
      <x:c r="C3024" s="256" t="n">
        <x:f>IF(B3024=0,IF(B3023=0,0,1),IF(B3023=0,0,IF(SIGN(B3024)&lt;&gt;SIGN(B3023),1,0)))</x:f>
        <x:v>0</x:v>
      </x:c>
      <x:c r="D3024" s="256" t="n">
        <x:f>EXP(A3024-0.005)-1</x:f>
        <x:v>7.457046506861561</x:v>
      </x:c>
    </x:row>
    <x:row r="3025" ht="20" customHeight="1">
      <x:c r="A3025" s="256" t="n">
        <x:f>-12+1415*0.01</x:f>
        <x:v>2.1500000000000004</x:v>
      </x:c>
      <x:c r="B3025" s="256" t="n">
        <x:f>IF(COUNT($B$129:$L$129)=11,B$129*EXP(IF(A3025&lt;0,(10-0)*A3025,-0*A3025))+C$129*EXP(IF(A3025&lt;0,(10-1)*A3025,-1*A3025))+D$129*EXP(IF(A3025&lt;0,(10-2)*A3025,-2*A3025))+E$129*EXP(IF(A3025&lt;0,(10-3)*A3025,-3*A3025))+F$129*EXP(IF(A3025&lt;0,(10-4)*A3025,-4*A3025))+G$129*EXP(IF(A3025&lt;0,(10-5)*A3025,-5*A3025))+H$129*EXP(IF(A3025&lt;0,(10-6)*A3025,-6*A3025))+I$129*EXP(IF(A3025&lt;0,(10-7)*A3025,-7*A3025))+J$129*EXP(IF(A3025&lt;0,(10-8)*A3025,-8*A3025))+K$129*EXP(IF(A3025&lt;0,(10-9)*A3025,-9*A3025))+L$129*EXP(IF(A3025&lt;0,(10-10)*A3025,-10*A3025)),0)</x:f>
        <x:v>-191036.144328038</x:v>
      </x:c>
      <x:c r="C3025" s="256" t="n">
        <x:f>IF(B3025=0,IF(B3024=0,0,1),IF(B3024=0,0,IF(SIGN(B3025)&lt;&gt;SIGN(B3024),1,0)))</x:f>
        <x:v>0</x:v>
      </x:c>
      <x:c r="D3025" s="256" t="n">
        <x:f>EXP(A3025-0.005)-1</x:f>
        <x:v>7.542041237294097</x:v>
      </x:c>
    </x:row>
    <x:row r="3026" ht="20" customHeight="1">
      <x:c r="A3026" s="256" t="n">
        <x:f>-12+1416*0.01</x:f>
        <x:v>2.16</x:v>
      </x:c>
      <x:c r="B3026" s="256" t="n">
        <x:f>IF(COUNT($B$129:$L$129)=11,B$129*EXP(IF(A3026&lt;0,(10-0)*A3026,-0*A3026))+C$129*EXP(IF(A3026&lt;0,(10-1)*A3026,-1*A3026))+D$129*EXP(IF(A3026&lt;0,(10-2)*A3026,-2*A3026))+E$129*EXP(IF(A3026&lt;0,(10-3)*A3026,-3*A3026))+F$129*EXP(IF(A3026&lt;0,(10-4)*A3026,-4*A3026))+G$129*EXP(IF(A3026&lt;0,(10-5)*A3026,-5*A3026))+H$129*EXP(IF(A3026&lt;0,(10-6)*A3026,-6*A3026))+I$129*EXP(IF(A3026&lt;0,(10-7)*A3026,-7*A3026))+J$129*EXP(IF(A3026&lt;0,(10-8)*A3026,-8*A3026))+K$129*EXP(IF(A3026&lt;0,(10-9)*A3026,-9*A3026))+L$129*EXP(IF(A3026&lt;0,(10-10)*A3026,-10*A3026)),0)</x:f>
        <x:v>-191024.92470767887</x:v>
      </x:c>
      <x:c r="C3026" s="256" t="n">
        <x:f>IF(B3026=0,IF(B3025=0,0,1),IF(B3025=0,0,IF(SIGN(B3026)&lt;&gt;SIGN(B3025),1,0)))</x:f>
        <x:v>0</x:v>
      </x:c>
      <x:c r="D3026" s="256" t="n">
        <x:f>EXP(A3026-0.005)-1</x:f>
        <x:v>7.627890178968755</x:v>
      </x:c>
    </x:row>
    <x:row r="3027" ht="20" customHeight="1">
      <x:c r="A3027" s="256" t="n">
        <x:f>-12+1417*0.01</x:f>
        <x:v>2.17</x:v>
      </x:c>
      <x:c r="B3027" s="256" t="n">
        <x:f>IF(COUNT($B$129:$L$129)=11,B$129*EXP(IF(A3027&lt;0,(10-0)*A3027,-0*A3027))+C$129*EXP(IF(A3027&lt;0,(10-1)*A3027,-1*A3027))+D$129*EXP(IF(A3027&lt;0,(10-2)*A3027,-2*A3027))+E$129*EXP(IF(A3027&lt;0,(10-3)*A3027,-3*A3027))+F$129*EXP(IF(A3027&lt;0,(10-4)*A3027,-4*A3027))+G$129*EXP(IF(A3027&lt;0,(10-5)*A3027,-5*A3027))+H$129*EXP(IF(A3027&lt;0,(10-6)*A3027,-6*A3027))+I$129*EXP(IF(A3027&lt;0,(10-7)*A3027,-7*A3027))+J$129*EXP(IF(A3027&lt;0,(10-8)*A3027,-8*A3027))+K$129*EXP(IF(A3027&lt;0,(10-9)*A3027,-9*A3027))+L$129*EXP(IF(A3027&lt;0,(10-10)*A3027,-10*A3027)),0)</x:f>
        <x:v>-191013.83589790098</x:v>
      </x:c>
      <x:c r="C3027" s="256" t="n">
        <x:f>IF(B3027=0,IF(B3026=0,0,1),IF(B3026=0,0,IF(SIGN(B3027)&lt;&gt;SIGN(B3026),1,0)))</x:f>
        <x:v>0</x:v>
      </x:c>
      <x:c r="D3027" s="256" t="n">
        <x:f>EXP(A3027-0.005)-1</x:f>
        <x:v>7.714601916851242</x:v>
      </x:c>
    </x:row>
    <x:row r="3028" ht="20" customHeight="1">
      <x:c r="A3028" s="256" t="n">
        <x:f>-12+1418*0.01</x:f>
        <x:v>2.1799999999999997</x:v>
      </x:c>
      <x:c r="B3028" s="256" t="n">
        <x:f>IF(COUNT($B$129:$L$129)=11,B$129*EXP(IF(A3028&lt;0,(10-0)*A3028,-0*A3028))+C$129*EXP(IF(A3028&lt;0,(10-1)*A3028,-1*A3028))+D$129*EXP(IF(A3028&lt;0,(10-2)*A3028,-2*A3028))+E$129*EXP(IF(A3028&lt;0,(10-3)*A3028,-3*A3028))+F$129*EXP(IF(A3028&lt;0,(10-4)*A3028,-4*A3028))+G$129*EXP(IF(A3028&lt;0,(10-5)*A3028,-5*A3028))+H$129*EXP(IF(A3028&lt;0,(10-6)*A3028,-6*A3028))+I$129*EXP(IF(A3028&lt;0,(10-7)*A3028,-7*A3028))+J$129*EXP(IF(A3028&lt;0,(10-8)*A3028,-8*A3028))+K$129*EXP(IF(A3028&lt;0,(10-9)*A3028,-9*A3028))+L$129*EXP(IF(A3028&lt;0,(10-10)*A3028,-10*A3028)),0)</x:f>
        <x:v>-191002.87618359848</x:v>
      </x:c>
      <x:c r="C3028" s="256" t="n">
        <x:f>IF(B3028=0,IF(B3027=0,0,1),IF(B3027=0,0,IF(SIGN(B3028)&lt;&gt;SIGN(B3027),1,0)))</x:f>
        <x:v>0</x:v>
      </x:c>
      <x:c r="D3028" s="256" t="n">
        <x:f>EXP(A3028-0.005)-1</x:f>
        <x:v>7.8021851221876055</x:v>
      </x:c>
    </x:row>
    <x:row r="3029" ht="20" customHeight="1">
      <x:c r="A3029" s="256" t="n">
        <x:f>-12+1419*0.01</x:f>
        <x:v>2.1899999999999995</x:v>
      </x:c>
      <x:c r="B3029" s="256" t="n">
        <x:f>IF(COUNT($B$129:$L$129)=11,B$129*EXP(IF(A3029&lt;0,(10-0)*A3029,-0*A3029))+C$129*EXP(IF(A3029&lt;0,(10-1)*A3029,-1*A3029))+D$129*EXP(IF(A3029&lt;0,(10-2)*A3029,-2*A3029))+E$129*EXP(IF(A3029&lt;0,(10-3)*A3029,-3*A3029))+F$129*EXP(IF(A3029&lt;0,(10-4)*A3029,-4*A3029))+G$129*EXP(IF(A3029&lt;0,(10-5)*A3029,-5*A3029))+H$129*EXP(IF(A3029&lt;0,(10-6)*A3029,-6*A3029))+I$129*EXP(IF(A3029&lt;0,(10-7)*A3029,-7*A3029))+J$129*EXP(IF(A3029&lt;0,(10-8)*A3029,-8*A3029))+K$129*EXP(IF(A3029&lt;0,(10-9)*A3029,-9*A3029))+L$129*EXP(IF(A3029&lt;0,(10-10)*A3029,-10*A3029)),0)</x:f>
        <x:v>-190992.04387587277</x:v>
      </x:c>
      <x:c r="C3029" s="256" t="n">
        <x:f>IF(B3029=0,IF(B3028=0,0,1),IF(B3028=0,0,IF(SIGN(B3029)&lt;&gt;SIGN(B3028),1,0)))</x:f>
        <x:v>0</x:v>
      </x:c>
      <x:c r="D3029" s="256" t="n">
        <x:f>EXP(A3029-0.005)-1</x:f>
        <x:v>7.890648553371367</x:v>
      </x:c>
    </x:row>
    <x:row r="3030" ht="20" customHeight="1">
      <x:c r="A3030" s="256" t="n">
        <x:f>-12+1420*0.01</x:f>
        <x:v>2.200000000000001</x:v>
      </x:c>
      <x:c r="B3030" s="256" t="n">
        <x:f>IF(COUNT($B$129:$L$129)=11,B$129*EXP(IF(A3030&lt;0,(10-0)*A3030,-0*A3030))+C$129*EXP(IF(A3030&lt;0,(10-1)*A3030,-1*A3030))+D$129*EXP(IF(A3030&lt;0,(10-2)*A3030,-2*A3030))+E$129*EXP(IF(A3030&lt;0,(10-3)*A3030,-3*A3030))+F$129*EXP(IF(A3030&lt;0,(10-4)*A3030,-4*A3030))+G$129*EXP(IF(A3030&lt;0,(10-5)*A3030,-5*A3030))+H$129*EXP(IF(A3030&lt;0,(10-6)*A3030,-6*A3030))+I$129*EXP(IF(A3030&lt;0,(10-7)*A3030,-7*A3030))+J$129*EXP(IF(A3030&lt;0,(10-8)*A3030,-8*A3030))+K$129*EXP(IF(A3030&lt;0,(10-9)*A3030,-9*A3030))+L$129*EXP(IF(A3030&lt;0,(10-10)*A3030,-10*A3030)),0)</x:f>
        <x:v>-190981.3373115661</x:v>
      </x:c>
      <x:c r="C3030" s="256" t="n">
        <x:f>IF(B3030=0,IF(B3029=0,0,1),IF(B3029=0,0,IF(SIGN(B3030)&lt;&gt;SIGN(B3029),1,0)))</x:f>
        <x:v>0</x:v>
      </x:c>
      <x:c r="D3030" s="256" t="n">
        <x:f>EXP(A3030-0.005)-1</x:f>
        <x:v>7.980001056819381</x:v>
      </x:c>
    </x:row>
    <x:row r="3031" ht="20" customHeight="1">
      <x:c r="A3031" s="256" t="n">
        <x:f>-12+1421*0.01</x:f>
        <x:v>2.210000000000001</x:v>
      </x:c>
      <x:c r="B3031" s="256" t="n">
        <x:f>IF(COUNT($B$129:$L$129)=11,B$129*EXP(IF(A3031&lt;0,(10-0)*A3031,-0*A3031))+C$129*EXP(IF(A3031&lt;0,(10-1)*A3031,-1*A3031))+D$129*EXP(IF(A3031&lt;0,(10-2)*A3031,-2*A3031))+E$129*EXP(IF(A3031&lt;0,(10-3)*A3031,-3*A3031))+F$129*EXP(IF(A3031&lt;0,(10-4)*A3031,-4*A3031))+G$129*EXP(IF(A3031&lt;0,(10-5)*A3031,-5*A3031))+H$129*EXP(IF(A3031&lt;0,(10-6)*A3031,-6*A3031))+I$129*EXP(IF(A3031&lt;0,(10-7)*A3031,-7*A3031))+J$129*EXP(IF(A3031&lt;0,(10-8)*A3031,-8*A3031))+K$129*EXP(IF(A3031&lt;0,(10-9)*A3031,-9*A3031))+L$129*EXP(IF(A3031&lt;0,(10-10)*A3031,-10*A3031)),0)</x:f>
        <x:v>-190970.75485280572</x:v>
      </x:c>
      <x:c r="C3031" s="256" t="n">
        <x:f>IF(B3031=0,IF(B3030=0,0,1),IF(B3030=0,0,IF(SIGN(B3031)&lt;&gt;SIGN(B3030),1,0)))</x:f>
        <x:v>0</x:v>
      </x:c>
      <x:c r="D3031" s="256" t="n">
        <x:f>EXP(A3031-0.005)-1</x:f>
        <x:v>8.070251567856419</x:v>
      </x:c>
    </x:row>
    <x:row r="3032" ht="20" customHeight="1">
      <x:c r="A3032" s="256" t="n">
        <x:f>-12+1422*0.01</x:f>
        <x:v>2.2200000000000006</x:v>
      </x:c>
      <x:c r="B3032" s="256" t="n">
        <x:f>IF(COUNT($B$129:$L$129)=11,B$129*EXP(IF(A3032&lt;0,(10-0)*A3032,-0*A3032))+C$129*EXP(IF(A3032&lt;0,(10-1)*A3032,-1*A3032))+D$129*EXP(IF(A3032&lt;0,(10-2)*A3032,-2*A3032))+E$129*EXP(IF(A3032&lt;0,(10-3)*A3032,-3*A3032))+F$129*EXP(IF(A3032&lt;0,(10-4)*A3032,-4*A3032))+G$129*EXP(IF(A3032&lt;0,(10-5)*A3032,-5*A3032))+H$129*EXP(IF(A3032&lt;0,(10-6)*A3032,-6*A3032))+I$129*EXP(IF(A3032&lt;0,(10-7)*A3032,-7*A3032))+J$129*EXP(IF(A3032&lt;0,(10-8)*A3032,-8*A3032))+K$129*EXP(IF(A3032&lt;0,(10-9)*A3032,-9*A3032))+L$129*EXP(IF(A3032&lt;0,(10-10)*A3032,-10*A3032)),0)</x:f>
        <x:v>-190960.29488655514</x:v>
      </x:c>
      <x:c r="C3032" s="256" t="n">
        <x:f>IF(B3032=0,IF(B3031=0,0,1),IF(B3031=0,0,IF(SIGN(B3032)&lt;&gt;SIGN(B3031),1,0)))</x:f>
        <x:v>0</x:v>
      </x:c>
      <x:c r="D3032" s="256" t="n">
        <x:f>EXP(A3032-0.005)-1</x:f>
        <x:v>8.161409111608812</x:v>
      </x:c>
    </x:row>
    <x:row r="3033" ht="20" customHeight="1">
      <x:c r="A3033" s="256" t="n">
        <x:f>-12+1423*0.01</x:f>
        <x:v>2.2300000000000004</x:v>
      </x:c>
      <x:c r="B3033" s="256" t="n">
        <x:f>IF(COUNT($B$129:$L$129)=11,B$129*EXP(IF(A3033&lt;0,(10-0)*A3033,-0*A3033))+C$129*EXP(IF(A3033&lt;0,(10-1)*A3033,-1*A3033))+D$129*EXP(IF(A3033&lt;0,(10-2)*A3033,-2*A3033))+E$129*EXP(IF(A3033&lt;0,(10-3)*A3033,-3*A3033))+F$129*EXP(IF(A3033&lt;0,(10-4)*A3033,-4*A3033))+G$129*EXP(IF(A3033&lt;0,(10-5)*A3033,-5*A3033))+H$129*EXP(IF(A3033&lt;0,(10-6)*A3033,-6*A3033))+I$129*EXP(IF(A3033&lt;0,(10-7)*A3033,-7*A3033))+J$129*EXP(IF(A3033&lt;0,(10-8)*A3033,-8*A3033))+K$129*EXP(IF(A3033&lt;0,(10-9)*A3033,-9*A3033))+L$129*EXP(IF(A3033&lt;0,(10-10)*A3033,-10*A3033)),0)</x:f>
        <x:v>-190949.95582417565</x:v>
      </x:c>
      <x:c r="C3033" s="256" t="n">
        <x:f>IF(B3033=0,IF(B3032=0,0,1),IF(B3032=0,0,IF(SIGN(B3033)&lt;&gt;SIGN(B3032),1,0)))</x:f>
        <x:v>0</x:v>
      </x:c>
      <x:c r="D3033" s="256" t="n">
        <x:f>EXP(A3033-0.005)-1</x:f>
        <x:v>8.253482803906898</x:v>
      </x:c>
    </x:row>
    <x:row r="3034" ht="20" customHeight="1">
      <x:c r="A3034" s="256" t="n">
        <x:f>-12+1424*0.01</x:f>
        <x:v>2.24</x:v>
      </x:c>
      <x:c r="B3034" s="256" t="n">
        <x:f>IF(COUNT($B$129:$L$129)=11,B$129*EXP(IF(A3034&lt;0,(10-0)*A3034,-0*A3034))+C$129*EXP(IF(A3034&lt;0,(10-1)*A3034,-1*A3034))+D$129*EXP(IF(A3034&lt;0,(10-2)*A3034,-2*A3034))+E$129*EXP(IF(A3034&lt;0,(10-3)*A3034,-3*A3034))+F$129*EXP(IF(A3034&lt;0,(10-4)*A3034,-4*A3034))+G$129*EXP(IF(A3034&lt;0,(10-5)*A3034,-5*A3034))+H$129*EXP(IF(A3034&lt;0,(10-6)*A3034,-6*A3034))+I$129*EXP(IF(A3034&lt;0,(10-7)*A3034,-7*A3034))+J$129*EXP(IF(A3034&lt;0,(10-8)*A3034,-8*A3034))+K$129*EXP(IF(A3034&lt;0,(10-9)*A3034,-9*A3034))+L$129*EXP(IF(A3034&lt;0,(10-10)*A3034,-10*A3034)),0)</x:f>
        <x:v>-190939.7361009957</x:v>
      </x:c>
      <x:c r="C3034" s="256" t="n">
        <x:f>IF(B3034=0,IF(B3033=0,0,1),IF(B3033=0,0,IF(SIGN(B3034)&lt;&gt;SIGN(B3033),1,0)))</x:f>
        <x:v>0</x:v>
      </x:c>
      <x:c r="D3034" s="256" t="n">
        <x:f>EXP(A3034-0.005)-1</x:f>
        <x:v>8.346481852196636</x:v>
      </x:c>
    </x:row>
    <x:row r="3035" ht="20" customHeight="1">
      <x:c r="A3035" s="256" t="n">
        <x:f>-12+1425*0.01</x:f>
        <x:v>2.25</x:v>
      </x:c>
      <x:c r="B3035" s="256" t="n">
        <x:f>IF(COUNT($B$129:$L$129)=11,B$129*EXP(IF(A3035&lt;0,(10-0)*A3035,-0*A3035))+C$129*EXP(IF(A3035&lt;0,(10-1)*A3035,-1*A3035))+D$129*EXP(IF(A3035&lt;0,(10-2)*A3035,-2*A3035))+E$129*EXP(IF(A3035&lt;0,(10-3)*A3035,-3*A3035))+F$129*EXP(IF(A3035&lt;0,(10-4)*A3035,-4*A3035))+G$129*EXP(IF(A3035&lt;0,(10-5)*A3035,-5*A3035))+H$129*EXP(IF(A3035&lt;0,(10-6)*A3035,-6*A3035))+I$129*EXP(IF(A3035&lt;0,(10-7)*A3035,-7*A3035))+J$129*EXP(IF(A3035&lt;0,(10-8)*A3035,-8*A3035))+K$129*EXP(IF(A3035&lt;0,(10-9)*A3035,-9*A3035))+L$129*EXP(IF(A3035&lt;0,(10-10)*A3035,-10*A3035)),0)</x:f>
        <x:v>-190929.63417588887</x:v>
      </x:c>
      <x:c r="C3035" s="256" t="n">
        <x:f>IF(B3035=0,IF(B3034=0,0,1),IF(B3034=0,0,IF(SIGN(B3035)&lt;&gt;SIGN(B3034),1,0)))</x:f>
        <x:v>0</x:v>
      </x:c>
      <x:c r="D3035" s="256" t="n">
        <x:f>EXP(A3035-0.005)-1</x:f>
        <x:v>8.440415556460355</x:v>
      </x:c>
    </x:row>
    <x:row r="3036" ht="20" customHeight="1">
      <x:c r="A3036" s="256" t="n">
        <x:f>-12+1426*0.01</x:f>
        <x:v>2.26</x:v>
      </x:c>
      <x:c r="B3036" s="256" t="n">
        <x:f>IF(COUNT($B$129:$L$129)=11,B$129*EXP(IF(A3036&lt;0,(10-0)*A3036,-0*A3036))+C$129*EXP(IF(A3036&lt;0,(10-1)*A3036,-1*A3036))+D$129*EXP(IF(A3036&lt;0,(10-2)*A3036,-2*A3036))+E$129*EXP(IF(A3036&lt;0,(10-3)*A3036,-3*A3036))+F$129*EXP(IF(A3036&lt;0,(10-4)*A3036,-4*A3036))+G$129*EXP(IF(A3036&lt;0,(10-5)*A3036,-5*A3036))+H$129*EXP(IF(A3036&lt;0,(10-6)*A3036,-6*A3036))+I$129*EXP(IF(A3036&lt;0,(10-7)*A3036,-7*A3036))+J$129*EXP(IF(A3036&lt;0,(10-8)*A3036,-8*A3036))+K$129*EXP(IF(A3036&lt;0,(10-9)*A3036,-9*A3036))+L$129*EXP(IF(A3036&lt;0,(10-10)*A3036,-10*A3036)),0)</x:f>
        <x:v>-190919.64853086002</x:v>
      </x:c>
      <x:c r="C3036" s="256" t="n">
        <x:f>IF(B3036=0,IF(B3035=0,0,1),IF(B3035=0,0,IF(SIGN(B3036)&lt;&gt;SIGN(B3035),1,0)))</x:f>
        <x:v>0</x:v>
      </x:c>
      <x:c r="D3036" s="256" t="n">
        <x:f>EXP(A3036-0.005)-1</x:f>
        <x:v>8.53529331014676</x:v>
      </x:c>
    </x:row>
    <x:row r="3037" ht="20" customHeight="1">
      <x:c r="A3037" s="256" t="n">
        <x:f>-12+1427*0.01</x:f>
        <x:v>2.2699999999999996</x:v>
      </x:c>
      <x:c r="B3037" s="256" t="n">
        <x:f>IF(COUNT($B$129:$L$129)=11,B$129*EXP(IF(A3037&lt;0,(10-0)*A3037,-0*A3037))+C$129*EXP(IF(A3037&lt;0,(10-1)*A3037,-1*A3037))+D$129*EXP(IF(A3037&lt;0,(10-2)*A3037,-2*A3037))+E$129*EXP(IF(A3037&lt;0,(10-3)*A3037,-3*A3037))+F$129*EXP(IF(A3037&lt;0,(10-4)*A3037,-4*A3037))+G$129*EXP(IF(A3037&lt;0,(10-5)*A3037,-5*A3037))+H$129*EXP(IF(A3037&lt;0,(10-6)*A3037,-6*A3037))+I$129*EXP(IF(A3037&lt;0,(10-7)*A3037,-7*A3037))+J$129*EXP(IF(A3037&lt;0,(10-8)*A3037,-8*A3037))+K$129*EXP(IF(A3037&lt;0,(10-9)*A3037,-9*A3037))+L$129*EXP(IF(A3037&lt;0,(10-10)*A3037,-10*A3037)),0)</x:f>
        <x:v>-190909.7776706396</x:v>
      </x:c>
      <x:c r="C3037" s="256" t="n">
        <x:f>IF(B3037=0,IF(B3036=0,0,1),IF(B3036=0,0,IF(SIGN(B3037)&lt;&gt;SIGN(B3036),1,0)))</x:f>
        <x:v>0</x:v>
      </x:c>
      <x:c r="D3037" s="256" t="n">
        <x:f>EXP(A3037-0.005)-1</x:f>
        <x:v>8.631124601110281</x:v>
      </x:c>
    </x:row>
    <x:row r="3038" ht="20" customHeight="1">
      <x:c r="A3038" s="256" t="n">
        <x:f>-12+1428*0.01</x:f>
        <x:v>2.280000000000001</x:v>
      </x:c>
      <x:c r="B3038" s="256" t="n">
        <x:f>IF(COUNT($B$129:$L$129)=11,B$129*EXP(IF(A3038&lt;0,(10-0)*A3038,-0*A3038))+C$129*EXP(IF(A3038&lt;0,(10-1)*A3038,-1*A3038))+D$129*EXP(IF(A3038&lt;0,(10-2)*A3038,-2*A3038))+E$129*EXP(IF(A3038&lt;0,(10-3)*A3038,-3*A3038))+F$129*EXP(IF(A3038&lt;0,(10-4)*A3038,-4*A3038))+G$129*EXP(IF(A3038&lt;0,(10-5)*A3038,-5*A3038))+H$129*EXP(IF(A3038&lt;0,(10-6)*A3038,-6*A3038))+I$129*EXP(IF(A3038&lt;0,(10-7)*A3038,-7*A3038))+J$129*EXP(IF(A3038&lt;0,(10-8)*A3038,-8*A3038))+K$129*EXP(IF(A3038&lt;0,(10-9)*A3038,-9*A3038))+L$129*EXP(IF(A3038&lt;0,(10-10)*A3038,-10*A3038)),0)</x:f>
        <x:v>-190900.02012228593</x:v>
      </x:c>
      <x:c r="C3038" s="256" t="n">
        <x:f>IF(B3038=0,IF(B3037=0,0,1),IF(B3037=0,0,IF(SIGN(B3038)&lt;&gt;SIGN(B3037),1,0)))</x:f>
        <x:v>0</x:v>
      </x:c>
      <x:c r="D3038" s="256" t="n">
        <x:f>EXP(A3038-0.005)-1</x:f>
        <x:v>8.727919012559896</x:v>
      </x:c>
    </x:row>
    <x:row r="3039" ht="20" customHeight="1">
      <x:c r="A3039" s="256" t="n">
        <x:f>-12+1429*0.01</x:f>
        <x:v>2.290000000000001</x:v>
      </x:c>
      <x:c r="B3039" s="256" t="n">
        <x:f>IF(COUNT($B$129:$L$129)=11,B$129*EXP(IF(A3039&lt;0,(10-0)*A3039,-0*A3039))+C$129*EXP(IF(A3039&lt;0,(10-1)*A3039,-1*A3039))+D$129*EXP(IF(A3039&lt;0,(10-2)*A3039,-2*A3039))+E$129*EXP(IF(A3039&lt;0,(10-3)*A3039,-3*A3039))+F$129*EXP(IF(A3039&lt;0,(10-4)*A3039,-4*A3039))+G$129*EXP(IF(A3039&lt;0,(10-5)*A3039,-5*A3039))+H$129*EXP(IF(A3039&lt;0,(10-6)*A3039,-6*A3039))+I$129*EXP(IF(A3039&lt;0,(10-7)*A3039,-7*A3039))+J$129*EXP(IF(A3039&lt;0,(10-8)*A3039,-8*A3039))+K$129*EXP(IF(A3039&lt;0,(10-9)*A3039,-9*A3039))+L$129*EXP(IF(A3039&lt;0,(10-10)*A3039,-10*A3039)),0)</x:f>
        <x:v>-190890.37443479546</x:v>
      </x:c>
      <x:c r="C3039" s="256" t="n">
        <x:f>IF(B3039=0,IF(B3038=0,0,1),IF(B3038=0,0,IF(SIGN(B3039)&lt;&gt;SIGN(B3038),1,0)))</x:f>
        <x:v>0</x:v>
      </x:c>
      <x:c r="D3039" s="256" t="n">
        <x:f>EXP(A3039-0.005)-1</x:f>
        <x:v>8.825686224017376</x:v>
      </x:c>
    </x:row>
    <x:row r="3040" ht="20" customHeight="1">
      <x:c r="A3040" s="256" t="n">
        <x:f>-12+1430*0.01</x:f>
        <x:v>2.3000000000000007</x:v>
      </x:c>
      <x:c r="B3040" s="256" t="n">
        <x:f>IF(COUNT($B$129:$L$129)=11,B$129*EXP(IF(A3040&lt;0,(10-0)*A3040,-0*A3040))+C$129*EXP(IF(A3040&lt;0,(10-1)*A3040,-1*A3040))+D$129*EXP(IF(A3040&lt;0,(10-2)*A3040,-2*A3040))+E$129*EXP(IF(A3040&lt;0,(10-3)*A3040,-3*A3040))+F$129*EXP(IF(A3040&lt;0,(10-4)*A3040,-4*A3040))+G$129*EXP(IF(A3040&lt;0,(10-5)*A3040,-5*A3040))+H$129*EXP(IF(A3040&lt;0,(10-6)*A3040,-6*A3040))+I$129*EXP(IF(A3040&lt;0,(10-7)*A3040,-7*A3040))+J$129*EXP(IF(A3040&lt;0,(10-8)*A3040,-8*A3040))+K$129*EXP(IF(A3040&lt;0,(10-9)*A3040,-9*A3040))+L$129*EXP(IF(A3040&lt;0,(10-10)*A3040,-10*A3040)),0)</x:f>
        <x:v>-190880.83917872002</x:v>
      </x:c>
      <x:c r="C3040" s="256" t="n">
        <x:f>IF(B3040=0,IF(B3039=0,0,1),IF(B3039=0,0,IF(SIGN(B3040)&lt;&gt;SIGN(B3039),1,0)))</x:f>
        <x:v>0</x:v>
      </x:c>
      <x:c r="D3040" s="256" t="n">
        <x:f>EXP(A3040-0.005)-1</x:f>
        <x:v>8.924436012285357</x:v>
      </x:c>
    </x:row>
    <x:row r="3041" ht="20" customHeight="1">
      <x:c r="A3041" s="256" t="n">
        <x:f>-12+1431*0.01</x:f>
        <x:v>2.3100000000000005</x:v>
      </x:c>
      <x:c r="B3041" s="256" t="n">
        <x:f>IF(COUNT($B$129:$L$129)=11,B$129*EXP(IF(A3041&lt;0,(10-0)*A3041,-0*A3041))+C$129*EXP(IF(A3041&lt;0,(10-1)*A3041,-1*A3041))+D$129*EXP(IF(A3041&lt;0,(10-2)*A3041,-2*A3041))+E$129*EXP(IF(A3041&lt;0,(10-3)*A3041,-3*A3041))+F$129*EXP(IF(A3041&lt;0,(10-4)*A3041,-4*A3041))+G$129*EXP(IF(A3041&lt;0,(10-5)*A3041,-5*A3041))+H$129*EXP(IF(A3041&lt;0,(10-6)*A3041,-6*A3041))+I$129*EXP(IF(A3041&lt;0,(10-7)*A3041,-7*A3041))+J$129*EXP(IF(A3041&lt;0,(10-8)*A3041,-8*A3041))+K$129*EXP(IF(A3041&lt;0,(10-9)*A3041,-9*A3041))+L$129*EXP(IF(A3041&lt;0,(10-10)*A3041,-10*A3041)),0)</x:f>
        <x:v>-190871.41294579254</x:v>
      </x:c>
      <x:c r="C3041" s="256" t="n">
        <x:f>IF(B3041=0,IF(B3040=0,0,1),IF(B3040=0,0,IF(SIGN(B3041)&lt;&gt;SIGN(B3040),1,0)))</x:f>
        <x:v>0</x:v>
      </x:c>
      <x:c r="D3041" s="256" t="n">
        <x:f>EXP(A3041-0.005)-1</x:f>
        <x:v>9.024178252424958</x:v>
      </x:c>
    </x:row>
    <x:row r="3042" ht="20" customHeight="1">
      <x:c r="A3042" s="256" t="n">
        <x:f>-12+1432*0.01</x:f>
        <x:v>2.3200000000000003</x:v>
      </x:c>
      <x:c r="B3042" s="256" t="n">
        <x:f>IF(COUNT($B$129:$L$129)=11,B$129*EXP(IF(A3042&lt;0,(10-0)*A3042,-0*A3042))+C$129*EXP(IF(A3042&lt;0,(10-1)*A3042,-1*A3042))+D$129*EXP(IF(A3042&lt;0,(10-2)*A3042,-2*A3042))+E$129*EXP(IF(A3042&lt;0,(10-3)*A3042,-3*A3042))+F$129*EXP(IF(A3042&lt;0,(10-4)*A3042,-4*A3042))+G$129*EXP(IF(A3042&lt;0,(10-5)*A3042,-5*A3042))+H$129*EXP(IF(A3042&lt;0,(10-6)*A3042,-6*A3042))+I$129*EXP(IF(A3042&lt;0,(10-7)*A3042,-7*A3042))+J$129*EXP(IF(A3042&lt;0,(10-8)*A3042,-8*A3042))+K$129*EXP(IF(A3042&lt;0,(10-9)*A3042,-9*A3042))+L$129*EXP(IF(A3042&lt;0,(10-10)*A3042,-10*A3042)),0)</x:f>
        <x:v>-190862.09434855919</x:v>
      </x:c>
      <x:c r="C3042" s="256" t="n">
        <x:f>IF(B3042=0,IF(B3041=0,0,1),IF(B3041=0,0,IF(SIGN(B3042)&lt;&gt;SIGN(B3041),1,0)))</x:f>
        <x:v>0</x:v>
      </x:c>
      <x:c r="D3042" s="256" t="n">
        <x:f>EXP(A3042-0.005)-1</x:f>
        <x:v>9.12492291874331</x:v>
      </x:c>
    </x:row>
    <x:row r="3043" ht="20" customHeight="1">
      <x:c r="A3043" s="256" t="n">
        <x:f>-12+1433*0.01</x:f>
        <x:v>2.33</x:v>
      </x:c>
      <x:c r="B3043" s="256" t="n">
        <x:f>IF(COUNT($B$129:$L$129)=11,B$129*EXP(IF(A3043&lt;0,(10-0)*A3043,-0*A3043))+C$129*EXP(IF(A3043&lt;0,(10-1)*A3043,-1*A3043))+D$129*EXP(IF(A3043&lt;0,(10-2)*A3043,-2*A3043))+E$129*EXP(IF(A3043&lt;0,(10-3)*A3043,-3*A3043))+F$129*EXP(IF(A3043&lt;0,(10-4)*A3043,-4*A3043))+G$129*EXP(IF(A3043&lt;0,(10-5)*A3043,-5*A3043))+H$129*EXP(IF(A3043&lt;0,(10-6)*A3043,-6*A3043))+I$129*EXP(IF(A3043&lt;0,(10-7)*A3043,-7*A3043))+J$129*EXP(IF(A3043&lt;0,(10-8)*A3043,-8*A3043))+K$129*EXP(IF(A3043&lt;0,(10-9)*A3043,-9*A3043))+L$129*EXP(IF(A3043&lt;0,(10-10)*A3043,-10*A3043)),0)</x:f>
        <x:v>-190852.88202001934</x:v>
      </x:c>
      <x:c r="C3043" s="256" t="n">
        <x:f>IF(B3043=0,IF(B3042=0,0,1),IF(B3042=0,0,IF(SIGN(B3043)&lt;&gt;SIGN(B3042),1,0)))</x:f>
        <x:v>0</x:v>
      </x:c>
      <x:c r="D3043" s="256" t="n">
        <x:f>EXP(A3043-0.005)-1</x:f>
        <x:v>9.226680085791001</x:v>
      </x:c>
    </x:row>
    <x:row r="3044" ht="20" customHeight="1">
      <x:c r="A3044" s="256" t="n">
        <x:f>-12+1434*0.01</x:f>
        <x:v>2.34</x:v>
      </x:c>
      <x:c r="B3044" s="256" t="n">
        <x:f>IF(COUNT($B$129:$L$129)=11,B$129*EXP(IF(A3044&lt;0,(10-0)*A3044,-0*A3044))+C$129*EXP(IF(A3044&lt;0,(10-1)*A3044,-1*A3044))+D$129*EXP(IF(A3044&lt;0,(10-2)*A3044,-2*A3044))+E$129*EXP(IF(A3044&lt;0,(10-3)*A3044,-3*A3044))+F$129*EXP(IF(A3044&lt;0,(10-4)*A3044,-4*A3044))+G$129*EXP(IF(A3044&lt;0,(10-5)*A3044,-5*A3044))+H$129*EXP(IF(A3044&lt;0,(10-6)*A3044,-6*A3044))+I$129*EXP(IF(A3044&lt;0,(10-7)*A3044,-7*A3044))+J$129*EXP(IF(A3044&lt;0,(10-8)*A3044,-8*A3044))+K$129*EXP(IF(A3044&lt;0,(10-9)*A3044,-9*A3044))+L$129*EXP(IF(A3044&lt;0,(10-10)*A3044,-10*A3044)),0)</x:f>
        <x:v>-190843.77461327202</x:v>
      </x:c>
      <x:c r="C3044" s="256" t="n">
        <x:f>IF(B3044=0,IF(B3043=0,0,1),IF(B3043=0,0,IF(SIGN(B3044)&lt;&gt;SIGN(B3043),1,0)))</x:f>
        <x:v>0</x:v>
      </x:c>
      <x:c r="D3044" s="256" t="n">
        <x:f>EXP(A3044-0.005)-1</x:f>
        <x:v>9.329459929369532</x:v>
      </x:c>
    </x:row>
    <x:row r="3045" ht="20" customHeight="1">
      <x:c r="A3045" s="256" t="n">
        <x:f>-12+1435*0.01</x:f>
        <x:v>2.3499999999999996</x:v>
      </x:c>
      <x:c r="B3045" s="256" t="n">
        <x:f>IF(COUNT($B$129:$L$129)=11,B$129*EXP(IF(A3045&lt;0,(10-0)*A3045,-0*A3045))+C$129*EXP(IF(A3045&lt;0,(10-1)*A3045,-1*A3045))+D$129*EXP(IF(A3045&lt;0,(10-2)*A3045,-2*A3045))+E$129*EXP(IF(A3045&lt;0,(10-3)*A3045,-3*A3045))+F$129*EXP(IF(A3045&lt;0,(10-4)*A3045,-4*A3045))+G$129*EXP(IF(A3045&lt;0,(10-5)*A3045,-5*A3045))+H$129*EXP(IF(A3045&lt;0,(10-6)*A3045,-6*A3045))+I$129*EXP(IF(A3045&lt;0,(10-7)*A3045,-7*A3045))+J$129*EXP(IF(A3045&lt;0,(10-8)*A3045,-8*A3045))+K$129*EXP(IF(A3045&lt;0,(10-9)*A3045,-9*A3045))+L$129*EXP(IF(A3045&lt;0,(10-10)*A3045,-10*A3045)),0)</x:f>
        <x:v>-190834.77080117023</x:v>
      </x:c>
      <x:c r="C3045" s="256" t="n">
        <x:f>IF(B3045=0,IF(B3044=0,0,1),IF(B3044=0,0,IF(SIGN(B3045)&lt;&gt;SIGN(B3044),1,0)))</x:f>
        <x:v>0</x:v>
      </x:c>
      <x:c r="D3045" s="256" t="n">
        <x:f>EXP(A3045-0.005)-1</x:f>
        <x:v>9.433272727548912</x:v>
      </x:c>
    </x:row>
    <x:row r="3046" ht="20" customHeight="1">
      <x:c r="A3046" s="256" t="n">
        <x:f>-12+1436*0.01</x:f>
        <x:v>2.3599999999999994</x:v>
      </x:c>
      <x:c r="B3046" s="256" t="n">
        <x:f>IF(COUNT($B$129:$L$129)=11,B$129*EXP(IF(A3046&lt;0,(10-0)*A3046,-0*A3046))+C$129*EXP(IF(A3046&lt;0,(10-1)*A3046,-1*A3046))+D$129*EXP(IF(A3046&lt;0,(10-2)*A3046,-2*A3046))+E$129*EXP(IF(A3046&lt;0,(10-3)*A3046,-3*A3046))+F$129*EXP(IF(A3046&lt;0,(10-4)*A3046,-4*A3046))+G$129*EXP(IF(A3046&lt;0,(10-5)*A3046,-5*A3046))+H$129*EXP(IF(A3046&lt;0,(10-6)*A3046,-6*A3046))+I$129*EXP(IF(A3046&lt;0,(10-7)*A3046,-7*A3046))+J$129*EXP(IF(A3046&lt;0,(10-8)*A3046,-8*A3046))+K$129*EXP(IF(A3046&lt;0,(10-9)*A3046,-9*A3046))+L$129*EXP(IF(A3046&lt;0,(10-10)*A3046,-10*A3046)),0)</x:f>
        <x:v>-190825.86927598063</x:v>
      </x:c>
      <x:c r="C3046" s="256" t="n">
        <x:f>IF(B3046=0,IF(B3045=0,0,1),IF(B3045=0,0,IF(SIGN(B3046)&lt;&gt;SIGN(B3045),1,0)))</x:f>
        <x:v>0</x:v>
      </x:c>
      <x:c r="D3046" s="256" t="n">
        <x:f>EXP(A3046-0.005)-1</x:f>
        <x:v>9.538128861695471</x:v>
      </x:c>
    </x:row>
    <x:row r="3047" ht="20" customHeight="1">
      <x:c r="A3047" s="256" t="n">
        <x:f>-12+1437*0.01</x:f>
        <x:v>2.370000000000001</x:v>
      </x:c>
      <x:c r="B3047" s="256" t="n">
        <x:f>IF(COUNT($B$129:$L$129)=11,B$129*EXP(IF(A3047&lt;0,(10-0)*A3047,-0*A3047))+C$129*EXP(IF(A3047&lt;0,(10-1)*A3047,-1*A3047))+D$129*EXP(IF(A3047&lt;0,(10-2)*A3047,-2*A3047))+E$129*EXP(IF(A3047&lt;0,(10-3)*A3047,-3*A3047))+F$129*EXP(IF(A3047&lt;0,(10-4)*A3047,-4*A3047))+G$129*EXP(IF(A3047&lt;0,(10-5)*A3047,-5*A3047))+H$129*EXP(IF(A3047&lt;0,(10-6)*A3047,-6*A3047))+I$129*EXP(IF(A3047&lt;0,(10-7)*A3047,-7*A3047))+J$129*EXP(IF(A3047&lt;0,(10-8)*A3047,-8*A3047))+K$129*EXP(IF(A3047&lt;0,(10-9)*A3047,-9*A3047))+L$129*EXP(IF(A3047&lt;0,(10-10)*A3047,-10*A3047)),0)</x:f>
        <x:v>-190817.06874905105</x:v>
      </x:c>
      <x:c r="C3047" s="256" t="n">
        <x:f>IF(B3047=0,IF(B3046=0,0,1),IF(B3046=0,0,IF(SIGN(B3047)&lt;&gt;SIGN(B3046),1,0)))</x:f>
        <x:v>0</x:v>
      </x:c>
      <x:c r="D3047" s="256" t="n">
        <x:f>EXP(A3047-0.005)-1</x:f>
        <x:v>9.64403881751002</x:v>
      </x:c>
    </x:row>
    <x:row r="3048" ht="20" customHeight="1">
      <x:c r="A3048" s="256" t="n">
        <x:f>-12+1438*0.01</x:f>
        <x:v>2.380000000000001</x:v>
      </x:c>
      <x:c r="B3048" s="256" t="n">
        <x:f>IF(COUNT($B$129:$L$129)=11,B$129*EXP(IF(A3048&lt;0,(10-0)*A3048,-0*A3048))+C$129*EXP(IF(A3048&lt;0,(10-1)*A3048,-1*A3048))+D$129*EXP(IF(A3048&lt;0,(10-2)*A3048,-2*A3048))+E$129*EXP(IF(A3048&lt;0,(10-3)*A3048,-3*A3048))+F$129*EXP(IF(A3048&lt;0,(10-4)*A3048,-4*A3048))+G$129*EXP(IF(A3048&lt;0,(10-5)*A3048,-5*A3048))+H$129*EXP(IF(A3048&lt;0,(10-6)*A3048,-6*A3048))+I$129*EXP(IF(A3048&lt;0,(10-7)*A3048,-7*A3048))+J$129*EXP(IF(A3048&lt;0,(10-8)*A3048,-8*A3048))+K$129*EXP(IF(A3048&lt;0,(10-9)*A3048,-9*A3048))+L$129*EXP(IF(A3048&lt;0,(10-10)*A3048,-10*A3048)),0)</x:f>
        <x:v>-190808.36795048424</x:v>
      </x:c>
      <x:c r="C3048" s="256" t="n">
        <x:f>IF(B3048=0,IF(B3047=0,0,1),IF(B3047=0,0,IF(SIGN(B3048)&lt;&gt;SIGN(B3047),1,0)))</x:f>
        <x:v>0</x:v>
      </x:c>
      <x:c r="D3048" s="256" t="n">
        <x:f>EXP(A3048-0.005)-1</x:f>
        <x:v>9.751013186076364</x:v>
      </x:c>
    </x:row>
    <x:row r="3049" ht="20" customHeight="1">
      <x:c r="A3049" s="256" t="n">
        <x:f>-12+1439*0.01</x:f>
        <x:v>2.3900000000000006</x:v>
      </x:c>
      <x:c r="B3049" s="256" t="n">
        <x:f>IF(COUNT($B$129:$L$129)=11,B$129*EXP(IF(A3049&lt;0,(10-0)*A3049,-0*A3049))+C$129*EXP(IF(A3049&lt;0,(10-1)*A3049,-1*A3049))+D$129*EXP(IF(A3049&lt;0,(10-2)*A3049,-2*A3049))+E$129*EXP(IF(A3049&lt;0,(10-3)*A3049,-3*A3049))+F$129*EXP(IF(A3049&lt;0,(10-4)*A3049,-4*A3049))+G$129*EXP(IF(A3049&lt;0,(10-5)*A3049,-5*A3049))+H$129*EXP(IF(A3049&lt;0,(10-6)*A3049,-6*A3049))+I$129*EXP(IF(A3049&lt;0,(10-7)*A3049,-7*A3049))+J$129*EXP(IF(A3049&lt;0,(10-8)*A3049,-8*A3049))+K$129*EXP(IF(A3049&lt;0,(10-9)*A3049,-9*A3049))+L$129*EXP(IF(A3049&lt;0,(10-10)*A3049,-10*A3049)),0)</x:f>
        <x:v>-190799.7656288173</x:v>
      </x:c>
      <x:c r="C3049" s="256" t="n">
        <x:f>IF(B3049=0,IF(B3048=0,0,1),IF(B3048=0,0,IF(SIGN(B3049)&lt;&gt;SIGN(B3048),1,0)))</x:f>
        <x:v>0</x:v>
      </x:c>
      <x:c r="D3049" s="256" t="n">
        <x:f>EXP(A3049-0.005)-1</x:f>
        <x:v>9.859062664920524</x:v>
      </x:c>
    </x:row>
    <x:row r="3050" ht="20" customHeight="1">
      <x:c r="A3050" s="256" t="n">
        <x:f>-12+1440*0.01</x:f>
        <x:v>2.4000000000000004</x:v>
      </x:c>
      <x:c r="B3050" s="256" t="n">
        <x:f>IF(COUNT($B$129:$L$129)=11,B$129*EXP(IF(A3050&lt;0,(10-0)*A3050,-0*A3050))+C$129*EXP(IF(A3050&lt;0,(10-1)*A3050,-1*A3050))+D$129*EXP(IF(A3050&lt;0,(10-2)*A3050,-2*A3050))+E$129*EXP(IF(A3050&lt;0,(10-3)*A3050,-3*A3050))+F$129*EXP(IF(A3050&lt;0,(10-4)*A3050,-4*A3050))+G$129*EXP(IF(A3050&lt;0,(10-5)*A3050,-5*A3050))+H$129*EXP(IF(A3050&lt;0,(10-6)*A3050,-6*A3050))+I$129*EXP(IF(A3050&lt;0,(10-7)*A3050,-7*A3050))+J$129*EXP(IF(A3050&lt;0,(10-8)*A3050,-8*A3050))+K$129*EXP(IF(A3050&lt;0,(10-9)*A3050,-9*A3050))+L$129*EXP(IF(A3050&lt;0,(10-10)*A3050,-10*A3050)),0)</x:f>
        <x:v>-190791.2605507082</x:v>
      </x:c>
      <x:c r="C3050" s="256" t="n">
        <x:f>IF(B3050=0,IF(B3049=0,0,1),IF(B3049=0,0,IF(SIGN(B3050)&lt;&gt;SIGN(B3049),1,0)))</x:f>
        <x:v>0</x:v>
      </x:c>
      <x:c r="D3050" s="256" t="n">
        <x:f>EXP(A3050-0.005)-1</x:f>
        <x:v>9.968198059080423</x:v>
      </x:c>
    </x:row>
    <x:row r="3051" ht="20" customHeight="1">
      <x:c r="A3051" s="256" t="n">
        <x:f>-12+1441*0.01</x:f>
        <x:v>2.41</x:v>
      </x:c>
      <x:c r="B3051" s="256" t="n">
        <x:f>IF(COUNT($B$129:$L$129)=11,B$129*EXP(IF(A3051&lt;0,(10-0)*A3051,-0*A3051))+C$129*EXP(IF(A3051&lt;0,(10-1)*A3051,-1*A3051))+D$129*EXP(IF(A3051&lt;0,(10-2)*A3051,-2*A3051))+E$129*EXP(IF(A3051&lt;0,(10-3)*A3051,-3*A3051))+F$129*EXP(IF(A3051&lt;0,(10-4)*A3051,-4*A3051))+G$129*EXP(IF(A3051&lt;0,(10-5)*A3051,-5*A3051))+H$129*EXP(IF(A3051&lt;0,(10-6)*A3051,-6*A3051))+I$129*EXP(IF(A3051&lt;0,(10-7)*A3051,-7*A3051))+J$129*EXP(IF(A3051&lt;0,(10-8)*A3051,-8*A3051))+K$129*EXP(IF(A3051&lt;0,(10-9)*A3051,-9*A3051))+L$129*EXP(IF(A3051&lt;0,(10-10)*A3051,-10*A3051)),0)</x:f>
        <x:v>-190782.85150062782</x:v>
      </x:c>
      <x:c r="C3051" s="256" t="n">
        <x:f>IF(B3051=0,IF(B3050=0,0,1),IF(B3050=0,0,IF(SIGN(B3051)&lt;&gt;SIGN(B3050),1,0)))</x:f>
        <x:v>0</x:v>
      </x:c>
      <x:c r="D3051" s="256" t="n">
        <x:f>EXP(A3051-0.005)-1</x:f>
        <x:v>10.078430282186428</x:v>
      </x:c>
    </x:row>
    <x:row r="3052" ht="20" customHeight="1">
      <x:c r="A3052" s="256" t="n">
        <x:f>-12+1442*0.01</x:f>
        <x:v>2.42</x:v>
      </x:c>
      <x:c r="B3052" s="256" t="n">
        <x:f>IF(COUNT($B$129:$L$129)=11,B$129*EXP(IF(A3052&lt;0,(10-0)*A3052,-0*A3052))+C$129*EXP(IF(A3052&lt;0,(10-1)*A3052,-1*A3052))+D$129*EXP(IF(A3052&lt;0,(10-2)*A3052,-2*A3052))+E$129*EXP(IF(A3052&lt;0,(10-3)*A3052,-3*A3052))+F$129*EXP(IF(A3052&lt;0,(10-4)*A3052,-4*A3052))+G$129*EXP(IF(A3052&lt;0,(10-5)*A3052,-5*A3052))+H$129*EXP(IF(A3052&lt;0,(10-6)*A3052,-6*A3052))+I$129*EXP(IF(A3052&lt;0,(10-7)*A3052,-7*A3052))+J$129*EXP(IF(A3052&lt;0,(10-8)*A3052,-8*A3052))+K$129*EXP(IF(A3052&lt;0,(10-9)*A3052,-9*A3052))+L$129*EXP(IF(A3052&lt;0,(10-10)*A3052,-10*A3052)),0)</x:f>
        <x:v>-190774.53728055867</x:v>
      </x:c>
      <x:c r="C3052" s="256" t="n">
        <x:f>IF(B3052=0,IF(B3051=0,0,1),IF(B3051=0,0,IF(SIGN(B3052)&lt;&gt;SIGN(B3051),1,0)))</x:f>
        <x:v>0</x:v>
      </x:c>
      <x:c r="D3052" s="256" t="n">
        <x:f>EXP(A3052-0.005)-1</x:f>
        <x:v>10.189770357552707</x:v>
      </x:c>
    </x:row>
    <x:row r="3053" ht="20" customHeight="1">
      <x:c r="A3053" s="256" t="n">
        <x:f>-12+1443*0.01</x:f>
        <x:v>2.4299999999999997</x:v>
      </x:c>
      <x:c r="B3053" s="256" t="n">
        <x:f>IF(COUNT($B$129:$L$129)=11,B$129*EXP(IF(A3053&lt;0,(10-0)*A3053,-0*A3053))+C$129*EXP(IF(A3053&lt;0,(10-1)*A3053,-1*A3053))+D$129*EXP(IF(A3053&lt;0,(10-2)*A3053,-2*A3053))+E$129*EXP(IF(A3053&lt;0,(10-3)*A3053,-3*A3053))+F$129*EXP(IF(A3053&lt;0,(10-4)*A3053,-4*A3053))+G$129*EXP(IF(A3053&lt;0,(10-5)*A3053,-5*A3053))+H$129*EXP(IF(A3053&lt;0,(10-6)*A3053,-6*A3053))+I$129*EXP(IF(A3053&lt;0,(10-7)*A3053,-7*A3053))+J$129*EXP(IF(A3053&lt;0,(10-8)*A3053,-8*A3053))+K$129*EXP(IF(A3053&lt;0,(10-9)*A3053,-9*A3053))+L$129*EXP(IF(A3053&lt;0,(10-10)*A3053,-10*A3053)),0)</x:f>
        <x:v>-190766.3167096982</x:v>
      </x:c>
      <x:c r="C3053" s="256" t="n">
        <x:f>IF(B3053=0,IF(B3052=0,0,1),IF(B3052=0,0,IF(SIGN(B3053)&lt;&gt;SIGN(B3052),1,0)))</x:f>
        <x:v>0</x:v>
      </x:c>
      <x:c r="D3053" s="256" t="n">
        <x:f>EXP(A3053-0.005)-1</x:f>
        <x:v>10.302229419279579</x:v>
      </x:c>
    </x:row>
    <x:row r="3054" ht="20" customHeight="1">
      <x:c r="A3054" s="256" t="n">
        <x:f>-12+1444*0.01</x:f>
        <x:v>2.4399999999999995</x:v>
      </x:c>
      <x:c r="B3054" s="256" t="n">
        <x:f>IF(COUNT($B$129:$L$129)=11,B$129*EXP(IF(A3054&lt;0,(10-0)*A3054,-0*A3054))+C$129*EXP(IF(A3054&lt;0,(10-1)*A3054,-1*A3054))+D$129*EXP(IF(A3054&lt;0,(10-2)*A3054,-2*A3054))+E$129*EXP(IF(A3054&lt;0,(10-3)*A3054,-3*A3054))+F$129*EXP(IF(A3054&lt;0,(10-4)*A3054,-4*A3054))+G$129*EXP(IF(A3054&lt;0,(10-5)*A3054,-5*A3054))+H$129*EXP(IF(A3054&lt;0,(10-6)*A3054,-6*A3054))+I$129*EXP(IF(A3054&lt;0,(10-7)*A3054,-7*A3054))+J$129*EXP(IF(A3054&lt;0,(10-8)*A3054,-8*A3054))+K$129*EXP(IF(A3054&lt;0,(10-9)*A3054,-9*A3054))+L$129*EXP(IF(A3054&lt;0,(10-10)*A3054,-10*A3054)),0)</x:f>
        <x:v>-190758.18862416933</x:v>
      </x:c>
      <x:c r="C3054" s="256" t="n">
        <x:f>IF(B3054=0,IF(B3053=0,0,1),IF(B3053=0,0,IF(SIGN(B3054)&lt;&gt;SIGN(B3053),1,0)))</x:f>
        <x:v>0</x:v>
      </x:c>
      <x:c r="D3054" s="256" t="n">
        <x:f>EXP(A3054-0.005)-1</x:f>
        <x:v>10.415818713366935</x:v>
      </x:c>
    </x:row>
    <x:row r="3055" ht="20" customHeight="1">
      <x:c r="A3055" s="256" t="n">
        <x:f>-12+1445*0.01</x:f>
        <x:v>2.450000000000001</x:v>
      </x:c>
      <x:c r="B3055" s="256" t="n">
        <x:f>IF(COUNT($B$129:$L$129)=11,B$129*EXP(IF(A3055&lt;0,(10-0)*A3055,-0*A3055))+C$129*EXP(IF(A3055&lt;0,(10-1)*A3055,-1*A3055))+D$129*EXP(IF(A3055&lt;0,(10-2)*A3055,-2*A3055))+E$129*EXP(IF(A3055&lt;0,(10-3)*A3055,-3*A3055))+F$129*EXP(IF(A3055&lt;0,(10-4)*A3055,-4*A3055))+G$129*EXP(IF(A3055&lt;0,(10-5)*A3055,-5*A3055))+H$129*EXP(IF(A3055&lt;0,(10-6)*A3055,-6*A3055))+I$129*EXP(IF(A3055&lt;0,(10-7)*A3055,-7*A3055))+J$129*EXP(IF(A3055&lt;0,(10-8)*A3055,-8*A3055))+K$129*EXP(IF(A3055&lt;0,(10-9)*A3055,-9*A3055))+L$129*EXP(IF(A3055&lt;0,(10-10)*A3055,-10*A3055)),0)</x:f>
        <x:v>-190750.15187673538</x:v>
      </x:c>
      <x:c r="C3055" s="256" t="n">
        <x:f>IF(B3055=0,IF(B3054=0,0,1),IF(B3054=0,0,IF(SIGN(B3055)&lt;&gt;SIGN(B3054),1,0)))</x:f>
        <x:v>0</x:v>
      </x:c>
      <x:c r="D3055" s="256" t="n">
        <x:f>EXP(A3055-0.005)-1</x:f>
        <x:v>10.530549598838864</x:v>
      </x:c>
    </x:row>
    <x:row r="3056" ht="20" customHeight="1">
      <x:c r="A3056" s="256" t="n">
        <x:f>-12+1446*0.01</x:f>
        <x:v>2.460000000000001</x:v>
      </x:c>
      <x:c r="B3056" s="256" t="n">
        <x:f>IF(COUNT($B$129:$L$129)=11,B$129*EXP(IF(A3056&lt;0,(10-0)*A3056,-0*A3056))+C$129*EXP(IF(A3056&lt;0,(10-1)*A3056,-1*A3056))+D$129*EXP(IF(A3056&lt;0,(10-2)*A3056,-2*A3056))+E$129*EXP(IF(A3056&lt;0,(10-3)*A3056,-3*A3056))+F$129*EXP(IF(A3056&lt;0,(10-4)*A3056,-4*A3056))+G$129*EXP(IF(A3056&lt;0,(10-5)*A3056,-5*A3056))+H$129*EXP(IF(A3056&lt;0,(10-6)*A3056,-6*A3056))+I$129*EXP(IF(A3056&lt;0,(10-7)*A3056,-7*A3056))+J$129*EXP(IF(A3056&lt;0,(10-8)*A3056,-8*A3056))+K$129*EXP(IF(A3056&lt;0,(10-9)*A3056,-9*A3056))+L$129*EXP(IF(A3056&lt;0,(10-10)*A3056,-10*A3056)),0)</x:f>
        <x:v>-190742.20533652138</x:v>
      </x:c>
      <x:c r="C3056" s="256" t="n">
        <x:f>IF(B3056=0,IF(B3055=0,0,1),IF(B3055=0,0,IF(SIGN(B3056)&lt;&gt;SIGN(B3055),1,0)))</x:f>
        <x:v>0</x:v>
      </x:c>
      <x:c r="D3056" s="256" t="n">
        <x:f>EXP(A3056-0.005)-1</x:f>
        <x:v>10.646433548879479</x:v>
      </x:c>
    </x:row>
    <x:row r="3057" ht="20" customHeight="1">
      <x:c r="A3057" s="256" t="n">
        <x:f>-12+1447*0.01</x:f>
        <x:v>2.4700000000000006</x:v>
      </x:c>
      <x:c r="B3057" s="256" t="n">
        <x:f>IF(COUNT($B$129:$L$129)=11,B$129*EXP(IF(A3057&lt;0,(10-0)*A3057,-0*A3057))+C$129*EXP(IF(A3057&lt;0,(10-1)*A3057,-1*A3057))+D$129*EXP(IF(A3057&lt;0,(10-2)*A3057,-2*A3057))+E$129*EXP(IF(A3057&lt;0,(10-3)*A3057,-3*A3057))+F$129*EXP(IF(A3057&lt;0,(10-4)*A3057,-4*A3057))+G$129*EXP(IF(A3057&lt;0,(10-5)*A3057,-5*A3057))+H$129*EXP(IF(A3057&lt;0,(10-6)*A3057,-6*A3057))+I$129*EXP(IF(A3057&lt;0,(10-7)*A3057,-7*A3057))+J$129*EXP(IF(A3057&lt;0,(10-8)*A3057,-8*A3057))+K$129*EXP(IF(A3057&lt;0,(10-9)*A3057,-9*A3057))+L$129*EXP(IF(A3057&lt;0,(10-10)*A3057,-10*A3057)),0)</x:f>
        <x:v>-190734.3478887401</x:v>
      </x:c>
      <x:c r="C3057" s="256" t="n">
        <x:f>IF(B3057=0,IF(B3056=0,0,1),IF(B3056=0,0,IF(SIGN(B3057)&lt;&gt;SIGN(B3056),1,0)))</x:f>
        <x:v>0</x:v>
      </x:c>
      <x:c r="D3057" s="256" t="n">
        <x:f>EXP(A3057-0.005)-1</x:f>
        <x:v>10.763482151980376</x:v>
      </x:c>
    </x:row>
    <x:row r="3058" ht="20" customHeight="1">
      <x:c r="A3058" s="256" t="n">
        <x:f>-12+1448*0.01</x:f>
        <x:v>2.4800000000000004</x:v>
      </x:c>
      <x:c r="B3058" s="256" t="n">
        <x:f>IF(COUNT($B$129:$L$129)=11,B$129*EXP(IF(A3058&lt;0,(10-0)*A3058,-0*A3058))+C$129*EXP(IF(A3058&lt;0,(10-1)*A3058,-1*A3058))+D$129*EXP(IF(A3058&lt;0,(10-2)*A3058,-2*A3058))+E$129*EXP(IF(A3058&lt;0,(10-3)*A3058,-3*A3058))+F$129*EXP(IF(A3058&lt;0,(10-4)*A3058,-4*A3058))+G$129*EXP(IF(A3058&lt;0,(10-5)*A3058,-5*A3058))+H$129*EXP(IF(A3058&lt;0,(10-6)*A3058,-6*A3058))+I$129*EXP(IF(A3058&lt;0,(10-7)*A3058,-7*A3058))+J$129*EXP(IF(A3058&lt;0,(10-8)*A3058,-8*A3058))+K$129*EXP(IF(A3058&lt;0,(10-9)*A3058,-9*A3058))+L$129*EXP(IF(A3058&lt;0,(10-10)*A3058,-10*A3058)),0)</x:f>
        <x:v>-190726.5784344236</x:v>
      </x:c>
      <x:c r="C3058" s="256" t="n">
        <x:f>IF(B3058=0,IF(B3057=0,0,1),IF(B3057=0,0,IF(SIGN(B3058)&lt;&gt;SIGN(B3057),1,0)))</x:f>
        <x:v>0</x:v>
      </x:c>
      <x:c r="D3058" s="256" t="n">
        <x:f>EXP(A3058-0.005)-1</x:f>
        <x:v>10.881707113099406</x:v>
      </x:c>
    </x:row>
    <x:row r="3059" ht="20" customHeight="1">
      <x:c r="A3059" s="256" t="n">
        <x:f>-12+1449*0.01</x:f>
        <x:v>2.49</x:v>
      </x:c>
      <x:c r="B3059" s="256" t="n">
        <x:f>IF(COUNT($B$129:$L$129)=11,B$129*EXP(IF(A3059&lt;0,(10-0)*A3059,-0*A3059))+C$129*EXP(IF(A3059&lt;0,(10-1)*A3059,-1*A3059))+D$129*EXP(IF(A3059&lt;0,(10-2)*A3059,-2*A3059))+E$129*EXP(IF(A3059&lt;0,(10-3)*A3059,-3*A3059))+F$129*EXP(IF(A3059&lt;0,(10-4)*A3059,-4*A3059))+G$129*EXP(IF(A3059&lt;0,(10-5)*A3059,-5*A3059))+H$129*EXP(IF(A3059&lt;0,(10-6)*A3059,-6*A3059))+I$129*EXP(IF(A3059&lt;0,(10-7)*A3059,-7*A3059))+J$129*EXP(IF(A3059&lt;0,(10-8)*A3059,-8*A3059))+K$129*EXP(IF(A3059&lt;0,(10-9)*A3059,-9*A3059))+L$129*EXP(IF(A3059&lt;0,(10-10)*A3059,-10*A3059)),0)</x:f>
        <x:v>-190718.8958901603</x:v>
      </x:c>
      <x:c r="C3059" s="256" t="n">
        <x:f>IF(B3059=0,IF(B3058=0,0,1),IF(B3058=0,0,IF(SIGN(B3059)&lt;&gt;SIGN(B3058),1,0)))</x:f>
        <x:v>0</x:v>
      </x:c>
      <x:c r="D3059" s="256" t="n">
        <x:f>EXP(A3059-0.005)-1</x:f>
        <x:v>11.0011202548312</x:v>
      </x:c>
    </x:row>
    <x:row r="3060" ht="20" customHeight="1">
      <x:c r="A3060" s="256" t="n">
        <x:f>-12+1450*0.01</x:f>
        <x:v>2.5</x:v>
      </x:c>
      <x:c r="B3060" s="256" t="n">
        <x:f>IF(COUNT($B$129:$L$129)=11,B$129*EXP(IF(A3060&lt;0,(10-0)*A3060,-0*A3060))+C$129*EXP(IF(A3060&lt;0,(10-1)*A3060,-1*A3060))+D$129*EXP(IF(A3060&lt;0,(10-2)*A3060,-2*A3060))+E$129*EXP(IF(A3060&lt;0,(10-3)*A3060,-3*A3060))+F$129*EXP(IF(A3060&lt;0,(10-4)*A3060,-4*A3060))+G$129*EXP(IF(A3060&lt;0,(10-5)*A3060,-5*A3060))+H$129*EXP(IF(A3060&lt;0,(10-6)*A3060,-6*A3060))+I$129*EXP(IF(A3060&lt;0,(10-7)*A3060,-7*A3060))+J$129*EXP(IF(A3060&lt;0,(10-8)*A3060,-8*A3060))+K$129*EXP(IF(A3060&lt;0,(10-9)*A3060,-9*A3060))+L$129*EXP(IF(A3060&lt;0,(10-10)*A3060,-10*A3060)),0)</x:f>
        <x:v>-190711.29918783618</x:v>
      </x:c>
      <x:c r="C3060" s="256" t="n">
        <x:f>IF(B3060=0,IF(B3059=0,0,1),IF(B3059=0,0,IF(SIGN(B3060)&lt;&gt;SIGN(B3059),1,0)))</x:f>
        <x:v>0</x:v>
      </x:c>
      <x:c r="D3060" s="256" t="n">
        <x:f>EXP(A3060-0.005)-1</x:f>
        <x:v>11.121733518589444</x:v>
      </x:c>
    </x:row>
    <x:row r="3061" ht="20" customHeight="1">
      <x:c r="A3061" s="256" t="n">
        <x:f>-12+1451*0.01</x:f>
        <x:v>2.51</x:v>
      </x:c>
      <x:c r="B3061" s="256" t="n">
        <x:f>IF(COUNT($B$129:$L$129)=11,B$129*EXP(IF(A3061&lt;0,(10-0)*A3061,-0*A3061))+C$129*EXP(IF(A3061&lt;0,(10-1)*A3061,-1*A3061))+D$129*EXP(IF(A3061&lt;0,(10-2)*A3061,-2*A3061))+E$129*EXP(IF(A3061&lt;0,(10-3)*A3061,-3*A3061))+F$129*EXP(IF(A3061&lt;0,(10-4)*A3061,-4*A3061))+G$129*EXP(IF(A3061&lt;0,(10-5)*A3061,-5*A3061))+H$129*EXP(IF(A3061&lt;0,(10-6)*A3061,-6*A3061))+I$129*EXP(IF(A3061&lt;0,(10-7)*A3061,-7*A3061))+J$129*EXP(IF(A3061&lt;0,(10-8)*A3061,-8*A3061))+K$129*EXP(IF(A3061&lt;0,(10-9)*A3061,-9*A3061))+L$129*EXP(IF(A3061&lt;0,(10-10)*A3061,-10*A3061)),0)</x:f>
        <x:v>-190703.78727438202</x:v>
      </x:c>
      <x:c r="C3061" s="256" t="n">
        <x:f>IF(B3061=0,IF(B3060=0,0,1),IF(B3060=0,0,IF(SIGN(B3061)&lt;&gt;SIGN(B3060),1,0)))</x:f>
        <x:v>0</x:v>
      </x:c>
      <x:c r="D3061" s="256" t="n">
        <x:f>EXP(A3061-0.005)-1</x:f>
        <x:v>11.243558965801025</x:v>
      </x:c>
    </x:row>
    <x:row r="3062" ht="20" customHeight="1">
      <x:c r="A3062" s="256" t="n">
        <x:f>-12+1452*0.01</x:f>
        <x:v>2.5199999999999996</x:v>
      </x:c>
      <x:c r="B3062" s="256" t="n">
        <x:f>IF(COUNT($B$129:$L$129)=11,B$129*EXP(IF(A3062&lt;0,(10-0)*A3062,-0*A3062))+C$129*EXP(IF(A3062&lt;0,(10-1)*A3062,-1*A3062))+D$129*EXP(IF(A3062&lt;0,(10-2)*A3062,-2*A3062))+E$129*EXP(IF(A3062&lt;0,(10-3)*A3062,-3*A3062))+F$129*EXP(IF(A3062&lt;0,(10-4)*A3062,-4*A3062))+G$129*EXP(IF(A3062&lt;0,(10-5)*A3062,-5*A3062))+H$129*EXP(IF(A3062&lt;0,(10-6)*A3062,-6*A3062))+I$129*EXP(IF(A3062&lt;0,(10-7)*A3062,-7*A3062))+J$129*EXP(IF(A3062&lt;0,(10-8)*A3062,-8*A3062))+K$129*EXP(IF(A3062&lt;0,(10-9)*A3062,-9*A3062))+L$129*EXP(IF(A3062&lt;0,(10-10)*A3062,-10*A3062)),0)</x:f>
        <x:v>-190696.35911152465</x:v>
      </x:c>
      <x:c r="C3062" s="256" t="n">
        <x:f>IF(B3062=0,IF(B3061=0,0,1),IF(B3061=0,0,IF(SIGN(B3062)&lt;&gt;SIGN(B3061),1,0)))</x:f>
        <x:v>0</x:v>
      </x:c>
      <x:c r="D3062" s="256" t="n">
        <x:f>EXP(A3062-0.005)-1</x:f>
        <x:v>11.366608779112187</x:v>
      </x:c>
    </x:row>
    <x:row r="3063" ht="20" customHeight="1">
      <x:c r="A3063" s="256" t="n">
        <x:f>-12+1453*0.01</x:f>
        <x:v>2.530000000000001</x:v>
      </x:c>
      <x:c r="B3063" s="256" t="n">
        <x:f>IF(COUNT($B$129:$L$129)=11,B$129*EXP(IF(A3063&lt;0,(10-0)*A3063,-0*A3063))+C$129*EXP(IF(A3063&lt;0,(10-1)*A3063,-1*A3063))+D$129*EXP(IF(A3063&lt;0,(10-2)*A3063,-2*A3063))+E$129*EXP(IF(A3063&lt;0,(10-3)*A3063,-3*A3063))+F$129*EXP(IF(A3063&lt;0,(10-4)*A3063,-4*A3063))+G$129*EXP(IF(A3063&lt;0,(10-5)*A3063,-5*A3063))+H$129*EXP(IF(A3063&lt;0,(10-6)*A3063,-6*A3063))+I$129*EXP(IF(A3063&lt;0,(10-7)*A3063,-7*A3063))+J$129*EXP(IF(A3063&lt;0,(10-8)*A3063,-8*A3063))+K$129*EXP(IF(A3063&lt;0,(10-9)*A3063,-9*A3063))+L$129*EXP(IF(A3063&lt;0,(10-10)*A3063,-10*A3063)),0)</x:f>
        <x:v>-190689.01367554316</x:v>
      </x:c>
      <x:c r="C3063" s="256" t="n">
        <x:f>IF(B3063=0,IF(B3062=0,0,1),IF(B3062=0,0,IF(SIGN(B3063)&lt;&gt;SIGN(B3062),1,0)))</x:f>
        <x:v>0</x:v>
      </x:c>
      <x:c r="D3063" s="256" t="n">
        <x:f>EXP(A3063-0.005)-1</x:f>
        <x:v>11.490895263606824</x:v>
      </x:c>
    </x:row>
    <x:row r="3064" ht="20" customHeight="1">
      <x:c r="A3064" s="256" t="n">
        <x:f>-12+1454*0.01</x:f>
        <x:v>2.540000000000001</x:v>
      </x:c>
      <x:c r="B3064" s="256" t="n">
        <x:f>IF(COUNT($B$129:$L$129)=11,B$129*EXP(IF(A3064&lt;0,(10-0)*A3064,-0*A3064))+C$129*EXP(IF(A3064&lt;0,(10-1)*A3064,-1*A3064))+D$129*EXP(IF(A3064&lt;0,(10-2)*A3064,-2*A3064))+E$129*EXP(IF(A3064&lt;0,(10-3)*A3064,-3*A3064))+F$129*EXP(IF(A3064&lt;0,(10-4)*A3064,-4*A3064))+G$129*EXP(IF(A3064&lt;0,(10-5)*A3064,-5*A3064))+H$129*EXP(IF(A3064&lt;0,(10-6)*A3064,-6*A3064))+I$129*EXP(IF(A3064&lt;0,(10-7)*A3064,-7*A3064))+J$129*EXP(IF(A3064&lt;0,(10-8)*A3064,-8*A3064))+K$129*EXP(IF(A3064&lt;0,(10-9)*A3064,-9*A3064))+L$129*EXP(IF(A3064&lt;0,(10-10)*A3064,-10*A3064)),0)</x:f>
        <x:v>-190681.74995703035</x:v>
      </x:c>
      <x:c r="C3064" s="256" t="n">
        <x:f>IF(B3064=0,IF(B3063=0,0,1),IF(B3063=0,0,IF(SIGN(B3064)&lt;&gt;SIGN(B3063),1,0)))</x:f>
        <x:v>0</x:v>
      </x:c>
      <x:c r="D3064" s="256" t="n">
        <x:f>EXP(A3064-0.005)-1</x:f>
        <x:v>11.616430848036913</x:v>
      </x:c>
    </x:row>
    <x:row r="3065" ht="20" customHeight="1">
      <x:c r="A3065" s="256" t="n">
        <x:f>-12+1455*0.01</x:f>
        <x:v>2.5500000000000007</x:v>
      </x:c>
      <x:c r="B3065" s="256" t="n">
        <x:f>IF(COUNT($B$129:$L$129)=11,B$129*EXP(IF(A3065&lt;0,(10-0)*A3065,-0*A3065))+C$129*EXP(IF(A3065&lt;0,(10-1)*A3065,-1*A3065))+D$129*EXP(IF(A3065&lt;0,(10-2)*A3065,-2*A3065))+E$129*EXP(IF(A3065&lt;0,(10-3)*A3065,-3*A3065))+F$129*EXP(IF(A3065&lt;0,(10-4)*A3065,-4*A3065))+G$129*EXP(IF(A3065&lt;0,(10-5)*A3065,-5*A3065))+H$129*EXP(IF(A3065&lt;0,(10-6)*A3065,-6*A3065))+I$129*EXP(IF(A3065&lt;0,(10-7)*A3065,-7*A3065))+J$129*EXP(IF(A3065&lt;0,(10-8)*A3065,-8*A3065))+K$129*EXP(IF(A3065&lt;0,(10-9)*A3065,-9*A3065))+L$129*EXP(IF(A3065&lt;0,(10-10)*A3065,-10*A3065)),0)</x:f>
        <x:v>-190674.5669606573</x:v>
      </x:c>
      <x:c r="C3065" s="256" t="n">
        <x:f>IF(B3065=0,IF(B3064=0,0,1),IF(B3064=0,0,IF(SIGN(B3065)&lt;&gt;SIGN(B3064),1,0)))</x:f>
        <x:v>0</x:v>
      </x:c>
      <x:c r="D3065" s="256" t="n">
        <x:f>EXP(A3065-0.005)-1</x:f>
        <x:v>11.743228086065534</x:v>
      </x:c>
    </x:row>
    <x:row r="3066" ht="20" customHeight="1">
      <x:c r="A3066" s="256" t="n">
        <x:f>-12+1456*0.01</x:f>
        <x:v>2.5600000000000005</x:v>
      </x:c>
      <x:c r="B3066" s="256" t="n">
        <x:f>IF(COUNT($B$129:$L$129)=11,B$129*EXP(IF(A3066&lt;0,(10-0)*A3066,-0*A3066))+C$129*EXP(IF(A3066&lt;0,(10-1)*A3066,-1*A3066))+D$129*EXP(IF(A3066&lt;0,(10-2)*A3066,-2*A3066))+E$129*EXP(IF(A3066&lt;0,(10-3)*A3066,-3*A3066))+F$129*EXP(IF(A3066&lt;0,(10-4)*A3066,-4*A3066))+G$129*EXP(IF(A3066&lt;0,(10-5)*A3066,-5*A3066))+H$129*EXP(IF(A3066&lt;0,(10-6)*A3066,-6*A3066))+I$129*EXP(IF(A3066&lt;0,(10-7)*A3066,-7*A3066))+J$129*EXP(IF(A3066&lt;0,(10-8)*A3066,-8*A3066))+K$129*EXP(IF(A3066&lt;0,(10-9)*A3066,-9*A3066))+L$129*EXP(IF(A3066&lt;0,(10-10)*A3066,-10*A3066)),0)</x:f>
        <x:v>-190667.46370494447</x:v>
      </x:c>
      <x:c r="C3066" s="256" t="n">
        <x:f>IF(B3066=0,IF(B3065=0,0,1),IF(B3065=0,0,IF(SIGN(B3066)&lt;&gt;SIGN(B3065),1,0)))</x:f>
        <x:v>0</x:v>
      </x:c>
      <x:c r="D3066" s="256" t="n">
        <x:f>EXP(A3066-0.005)-1</x:f>
        <x:v>11.871299657522153</x:v>
      </x:c>
    </x:row>
    <x:row r="3067" ht="20" customHeight="1">
      <x:c r="A3067" s="256" t="n">
        <x:f>-12+1457*0.01</x:f>
        <x:v>2.5700000000000003</x:v>
      </x:c>
      <x:c r="B3067" s="256" t="n">
        <x:f>IF(COUNT($B$129:$L$129)=11,B$129*EXP(IF(A3067&lt;0,(10-0)*A3067,-0*A3067))+C$129*EXP(IF(A3067&lt;0,(10-1)*A3067,-1*A3067))+D$129*EXP(IF(A3067&lt;0,(10-2)*A3067,-2*A3067))+E$129*EXP(IF(A3067&lt;0,(10-3)*A3067,-3*A3067))+F$129*EXP(IF(A3067&lt;0,(10-4)*A3067,-4*A3067))+G$129*EXP(IF(A3067&lt;0,(10-5)*A3067,-5*A3067))+H$129*EXP(IF(A3067&lt;0,(10-6)*A3067,-6*A3067))+I$129*EXP(IF(A3067&lt;0,(10-7)*A3067,-7*A3067))+J$129*EXP(IF(A3067&lt;0,(10-8)*A3067,-8*A3067))+K$129*EXP(IF(A3067&lt;0,(10-9)*A3067,-9*A3067))+L$129*EXP(IF(A3067&lt;0,(10-10)*A3067,-10*A3067)),0)</x:f>
        <x:v>-190660.43922203447</x:v>
      </x:c>
      <x:c r="C3067" s="256" t="n">
        <x:f>IF(B3067=0,IF(B3066=0,0,1),IF(B3066=0,0,IF(SIGN(B3067)&lt;&gt;SIGN(B3066),1,0)))</x:f>
        <x:v>0</x:v>
      </x:c>
      <x:c r="D3067" s="256" t="n">
        <x:f>EXP(A3067-0.005)-1</x:f>
        <x:v>12.000658369670642</x:v>
      </x:c>
    </x:row>
    <x:row r="3068" ht="20" customHeight="1">
      <x:c r="A3068" s="256" t="n">
        <x:f>-12+1458*0.01</x:f>
        <x:v>2.58</x:v>
      </x:c>
      <x:c r="B3068" s="256" t="n">
        <x:f>IF(COUNT($B$129:$L$129)=11,B$129*EXP(IF(A3068&lt;0,(10-0)*A3068,-0*A3068))+C$129*EXP(IF(A3068&lt;0,(10-1)*A3068,-1*A3068))+D$129*EXP(IF(A3068&lt;0,(10-2)*A3068,-2*A3068))+E$129*EXP(IF(A3068&lt;0,(10-3)*A3068,-3*A3068))+F$129*EXP(IF(A3068&lt;0,(10-4)*A3068,-4*A3068))+G$129*EXP(IF(A3068&lt;0,(10-5)*A3068,-5*A3068))+H$129*EXP(IF(A3068&lt;0,(10-6)*A3068,-6*A3068))+I$129*EXP(IF(A3068&lt;0,(10-7)*A3068,-7*A3068))+J$129*EXP(IF(A3068&lt;0,(10-8)*A3068,-8*A3068))+K$129*EXP(IF(A3068&lt;0,(10-9)*A3068,-9*A3068))+L$129*EXP(IF(A3068&lt;0,(10-10)*A3068,-10*A3068)),0)</x:f>
        <x:v>-190653.49255747214</x:v>
      </x:c>
      <x:c r="C3068" s="256" t="n">
        <x:f>IF(B3068=0,IF(B3067=0,0,1),IF(B3067=0,0,IF(SIGN(B3068)&lt;&gt;SIGN(B3067),1,0)))</x:f>
        <x:v>0</x:v>
      </x:c>
      <x:c r="D3068" s="256" t="n">
        <x:f>EXP(A3068-0.005)-1</x:f>
        <x:v>12.131317158490017</x:v>
      </x:c>
    </x:row>
    <x:row r="3069" ht="20" customHeight="1">
      <x:c r="A3069" s="256" t="n">
        <x:f>-12+1459*0.01</x:f>
        <x:v>2.59</x:v>
      </x:c>
      <x:c r="B3069" s="256" t="n">
        <x:f>IF(COUNT($B$129:$L$129)=11,B$129*EXP(IF(A3069&lt;0,(10-0)*A3069,-0*A3069))+C$129*EXP(IF(A3069&lt;0,(10-1)*A3069,-1*A3069))+D$129*EXP(IF(A3069&lt;0,(10-2)*A3069,-2*A3069))+E$129*EXP(IF(A3069&lt;0,(10-3)*A3069,-3*A3069))+F$129*EXP(IF(A3069&lt;0,(10-4)*A3069,-4*A3069))+G$129*EXP(IF(A3069&lt;0,(10-5)*A3069,-5*A3069))+H$129*EXP(IF(A3069&lt;0,(10-6)*A3069,-6*A3069))+I$129*EXP(IF(A3069&lt;0,(10-7)*A3069,-7*A3069))+J$129*EXP(IF(A3069&lt;0,(10-8)*A3069,-8*A3069))+K$129*EXP(IF(A3069&lt;0,(10-9)*A3069,-9*A3069))+L$129*EXP(IF(A3069&lt;0,(10-10)*A3069,-10*A3069)),0)</x:f>
        <x:v>-190646.6227699861</x:v>
      </x:c>
      <x:c r="C3069" s="256" t="n">
        <x:f>IF(B3069=0,IF(B3068=0,0,1),IF(B3068=0,0,IF(SIGN(B3069)&lt;&gt;SIGN(B3068),1,0)))</x:f>
        <x:v>0</x:v>
      </x:c>
      <x:c r="D3069" s="256" t="n">
        <x:f>EXP(A3069-0.005)-1</x:f>
        <x:v>12.263289089968042</x:v>
      </x:c>
    </x:row>
    <x:row r="3070" ht="20" customHeight="1">
      <x:c r="A3070" s="256" t="n">
        <x:f>-12+1460*0.01</x:f>
        <x:v>2.5999999999999996</x:v>
      </x:c>
      <x:c r="B3070" s="256" t="n">
        <x:f>IF(COUNT($B$129:$L$129)=11,B$129*EXP(IF(A3070&lt;0,(10-0)*A3070,-0*A3070))+C$129*EXP(IF(A3070&lt;0,(10-1)*A3070,-1*A3070))+D$129*EXP(IF(A3070&lt;0,(10-2)*A3070,-2*A3070))+E$129*EXP(IF(A3070&lt;0,(10-3)*A3070,-3*A3070))+F$129*EXP(IF(A3070&lt;0,(10-4)*A3070,-4*A3070))+G$129*EXP(IF(A3070&lt;0,(10-5)*A3070,-5*A3070))+H$129*EXP(IF(A3070&lt;0,(10-6)*A3070,-6*A3070))+I$129*EXP(IF(A3070&lt;0,(10-7)*A3070,-7*A3070))+J$129*EXP(IF(A3070&lt;0,(10-8)*A3070,-8*A3070))+K$129*EXP(IF(A3070&lt;0,(10-9)*A3070,-9*A3070))+L$129*EXP(IF(A3070&lt;0,(10-10)*A3070,-10*A3070)),0)</x:f>
        <x:v>-190639.82893127613</x:v>
      </x:c>
      <x:c r="C3070" s="256" t="n">
        <x:f>IF(B3070=0,IF(B3069=0,0,1),IF(B3069=0,0,IF(SIGN(B3070)&lt;&gt;SIGN(B3069),1,0)))</x:f>
        <x:v>0</x:v>
      </x:c>
      <x:c r="D3070" s="256" t="n">
        <x:f>EXP(A3070-0.005)-1</x:f>
        <x:v>12.396587361407843</x:v>
      </x:c>
    </x:row>
    <x:row r="3071" ht="20" customHeight="1">
      <x:c r="A3071" s="256" t="n">
        <x:f>-12+1461*0.01</x:f>
        <x:v>2.6099999999999994</x:v>
      </x:c>
      <x:c r="B3071" s="256" t="n">
        <x:f>IF(COUNT($B$129:$L$129)=11,B$129*EXP(IF(A3071&lt;0,(10-0)*A3071,-0*A3071))+C$129*EXP(IF(A3071&lt;0,(10-1)*A3071,-1*A3071))+D$129*EXP(IF(A3071&lt;0,(10-2)*A3071,-2*A3071))+E$129*EXP(IF(A3071&lt;0,(10-3)*A3071,-3*A3071))+F$129*EXP(IF(A3071&lt;0,(10-4)*A3071,-4*A3071))+G$129*EXP(IF(A3071&lt;0,(10-5)*A3071,-5*A3071))+H$129*EXP(IF(A3071&lt;0,(10-6)*A3071,-6*A3071))+I$129*EXP(IF(A3071&lt;0,(10-7)*A3071,-7*A3071))+J$129*EXP(IF(A3071&lt;0,(10-8)*A3071,-8*A3071))+K$129*EXP(IF(A3071&lt;0,(10-9)*A3071,-9*A3071))+L$129*EXP(IF(A3071&lt;0,(10-10)*A3071,-10*A3071)),0)</x:f>
        <x:v>-190633.11012580353</x:v>
      </x:c>
      <x:c r="C3071" s="256" t="n">
        <x:f>IF(B3071=0,IF(B3070=0,0,1),IF(B3070=0,0,IF(SIGN(B3071)&lt;&gt;SIGN(B3070),1,0)))</x:f>
        <x:v>0</x:v>
      </x:c>
      <x:c r="D3071" s="256" t="n">
        <x:f>EXP(A3071-0.005)-1</x:f>
        <x:v>12.531225302747641</x:v>
      </x:c>
    </x:row>
    <x:row r="3072" ht="20" customHeight="1">
      <x:c r="A3072" s="256" t="n">
        <x:f>-12+1462*0.01</x:f>
        <x:v>2.620000000000001</x:v>
      </x:c>
      <x:c r="B3072" s="256" t="n">
        <x:f>IF(COUNT($B$129:$L$129)=11,B$129*EXP(IF(A3072&lt;0,(10-0)*A3072,-0*A3072))+C$129*EXP(IF(A3072&lt;0,(10-1)*A3072,-1*A3072))+D$129*EXP(IF(A3072&lt;0,(10-2)*A3072,-2*A3072))+E$129*EXP(IF(A3072&lt;0,(10-3)*A3072,-3*A3072))+F$129*EXP(IF(A3072&lt;0,(10-4)*A3072,-4*A3072))+G$129*EXP(IF(A3072&lt;0,(10-5)*A3072,-5*A3072))+H$129*EXP(IF(A3072&lt;0,(10-6)*A3072,-6*A3072))+I$129*EXP(IF(A3072&lt;0,(10-7)*A3072,-7*A3072))+J$129*EXP(IF(A3072&lt;0,(10-8)*A3072,-8*A3072))+K$129*EXP(IF(A3072&lt;0,(10-9)*A3072,-9*A3072))+L$129*EXP(IF(A3072&lt;0,(10-10)*A3072,-10*A3072)),0)</x:f>
        <x:v>-190626.46545058655</x:v>
      </x:c>
      <x:c r="C3072" s="256" t="n">
        <x:f>IF(B3072=0,IF(B3071=0,0,1),IF(B3071=0,0,IF(SIGN(B3072)&lt;&gt;SIGN(B3071),1,0)))</x:f>
        <x:v>0</x:v>
      </x:c>
      <x:c r="D3072" s="256" t="n">
        <x:f>EXP(A3072-0.005)-1</x:f>
        <x:v>12.6672163778938</x:v>
      </x:c>
    </x:row>
    <x:row r="3073" ht="20" customHeight="1">
      <x:c r="A3073" s="256" t="n">
        <x:f>-12+1463*0.01</x:f>
        <x:v>2.630000000000001</x:v>
      </x:c>
      <x:c r="B3073" s="256" t="n">
        <x:f>IF(COUNT($B$129:$L$129)=11,B$129*EXP(IF(A3073&lt;0,(10-0)*A3073,-0*A3073))+C$129*EXP(IF(A3073&lt;0,(10-1)*A3073,-1*A3073))+D$129*EXP(IF(A3073&lt;0,(10-2)*A3073,-2*A3073))+E$129*EXP(IF(A3073&lt;0,(10-3)*A3073,-3*A3073))+F$129*EXP(IF(A3073&lt;0,(10-4)*A3073,-4*A3073))+G$129*EXP(IF(A3073&lt;0,(10-5)*A3073,-5*A3073))+H$129*EXP(IF(A3073&lt;0,(10-6)*A3073,-6*A3073))+I$129*EXP(IF(A3073&lt;0,(10-7)*A3073,-7*A3073))+J$129*EXP(IF(A3073&lt;0,(10-8)*A3073,-8*A3073))+K$129*EXP(IF(A3073&lt;0,(10-9)*A3073,-9*A3073))+L$129*EXP(IF(A3073&lt;0,(10-10)*A3073,-10*A3073)),0)</x:f>
        <x:v>-190619.8940149979</x:v>
      </x:c>
      <x:c r="C3073" s="256" t="n">
        <x:f>IF(B3073=0,IF(B3072=0,0,1),IF(B3072=0,0,IF(SIGN(B3073)&lt;&gt;SIGN(B3072),1,0)))</x:f>
        <x:v>0</x:v>
      </x:c>
      <x:c r="D3073" s="256" t="n">
        <x:f>EXP(A3073-0.005)-1</x:f>
        <x:v>12.804574186067107</x:v>
      </x:c>
    </x:row>
    <x:row r="3074" ht="20" customHeight="1">
      <x:c r="A3074" s="256" t="n">
        <x:f>-12+1464*0.01</x:f>
        <x:v>2.6400000000000006</x:v>
      </x:c>
      <x:c r="B3074" s="256" t="n">
        <x:f>IF(COUNT($B$129:$L$129)=11,B$129*EXP(IF(A3074&lt;0,(10-0)*A3074,-0*A3074))+C$129*EXP(IF(A3074&lt;0,(10-1)*A3074,-1*A3074))+D$129*EXP(IF(A3074&lt;0,(10-2)*A3074,-2*A3074))+E$129*EXP(IF(A3074&lt;0,(10-3)*A3074,-3*A3074))+F$129*EXP(IF(A3074&lt;0,(10-4)*A3074,-4*A3074))+G$129*EXP(IF(A3074&lt;0,(10-5)*A3074,-5*A3074))+H$129*EXP(IF(A3074&lt;0,(10-6)*A3074,-6*A3074))+I$129*EXP(IF(A3074&lt;0,(10-7)*A3074,-7*A3074))+J$129*EXP(IF(A3074&lt;0,(10-8)*A3074,-8*A3074))+K$129*EXP(IF(A3074&lt;0,(10-9)*A3074,-9*A3074))+L$129*EXP(IF(A3074&lt;0,(10-10)*A3074,-10*A3074)),0)</x:f>
        <x:v>-190613.39494056784</x:v>
      </x:c>
      <x:c r="C3074" s="256" t="n">
        <x:f>IF(B3074=0,IF(B3073=0,0,1),IF(B3073=0,0,IF(SIGN(B3074)&lt;&gt;SIGN(B3073),1,0)))</x:f>
        <x:v>0</x:v>
      </x:c>
      <x:c r="D3074" s="256" t="n">
        <x:f>EXP(A3074-0.005)-1</x:f>
        <x:v>12.943312463162872</x:v>
      </x:c>
    </x:row>
    <x:row r="3075" ht="20" customHeight="1">
      <x:c r="A3075" s="256" t="n">
        <x:f>-12+1465*0.01</x:f>
        <x:v>2.6500000000000004</x:v>
      </x:c>
      <x:c r="B3075" s="256" t="n">
        <x:f>IF(COUNT($B$129:$L$129)=11,B$129*EXP(IF(A3075&lt;0,(10-0)*A3075,-0*A3075))+C$129*EXP(IF(A3075&lt;0,(10-1)*A3075,-1*A3075))+D$129*EXP(IF(A3075&lt;0,(10-2)*A3075,-2*A3075))+E$129*EXP(IF(A3075&lt;0,(10-3)*A3075,-3*A3075))+F$129*EXP(IF(A3075&lt;0,(10-4)*A3075,-4*A3075))+G$129*EXP(IF(A3075&lt;0,(10-5)*A3075,-5*A3075))+H$129*EXP(IF(A3075&lt;0,(10-6)*A3075,-6*A3075))+I$129*EXP(IF(A3075&lt;0,(10-7)*A3075,-7*A3075))+J$129*EXP(IF(A3075&lt;0,(10-8)*A3075,-8*A3075))+K$129*EXP(IF(A3075&lt;0,(10-9)*A3075,-9*A3075))+L$129*EXP(IF(A3075&lt;0,(10-10)*A3075,-10*A3075)),0)</x:f>
        <x:v>-190606.96736078997</x:v>
      </x:c>
      <x:c r="C3075" s="256" t="n">
        <x:f>IF(B3075=0,IF(B3074=0,0,1),IF(B3074=0,0,IF(SIGN(B3075)&lt;&gt;SIGN(B3074),1,0)))</x:f>
        <x:v>0</x:v>
      </x:c>
      <x:c r="D3075" s="256" t="n">
        <x:f>EXP(A3075-0.005)-1</x:f>
        <x:v>13.083445083124419</x:v>
      </x:c>
    </x:row>
    <x:row r="3076" ht="20" customHeight="1">
      <x:c r="A3076" s="256" t="n">
        <x:f>-12+1466*0.01</x:f>
        <x:v>2.66</x:v>
      </x:c>
      <x:c r="B3076" s="256" t="n">
        <x:f>IF(COUNT($B$129:$L$129)=11,B$129*EXP(IF(A3076&lt;0,(10-0)*A3076,-0*A3076))+C$129*EXP(IF(A3076&lt;0,(10-1)*A3076,-1*A3076))+D$129*EXP(IF(A3076&lt;0,(10-2)*A3076,-2*A3076))+E$129*EXP(IF(A3076&lt;0,(10-3)*A3076,-3*A3076))+F$129*EXP(IF(A3076&lt;0,(10-4)*A3076,-4*A3076))+G$129*EXP(IF(A3076&lt;0,(10-5)*A3076,-5*A3076))+H$129*EXP(IF(A3076&lt;0,(10-6)*A3076,-6*A3076))+I$129*EXP(IF(A3076&lt;0,(10-7)*A3076,-7*A3076))+J$129*EXP(IF(A3076&lt;0,(10-8)*A3076,-8*A3076))+K$129*EXP(IF(A3076&lt;0,(10-9)*A3076,-9*A3076))+L$129*EXP(IF(A3076&lt;0,(10-10)*A3076,-10*A3076)),0)</x:f>
        <x:v>-190600.6104209306</x:v>
      </x:c>
      <x:c r="C3076" s="256" t="n">
        <x:f>IF(B3076=0,IF(B3075=0,0,1),IF(B3075=0,0,IF(SIGN(B3076)&lt;&gt;SIGN(B3075),1,0)))</x:f>
        <x:v>0</x:v>
      </x:c>
      <x:c r="D3076" s="256" t="n">
        <x:f>EXP(A3076-0.005)-1</x:f>
        <x:v>13.22498605933052</x:v>
      </x:c>
    </x:row>
    <x:row r="3077" ht="20" customHeight="1">
      <x:c r="A3077" s="256" t="n">
        <x:f>-12+1467*0.01</x:f>
        <x:v>2.67</x:v>
      </x:c>
      <x:c r="B3077" s="256" t="n">
        <x:f>IF(COUNT($B$129:$L$129)=11,B$129*EXP(IF(A3077&lt;0,(10-0)*A3077,-0*A3077))+C$129*EXP(IF(A3077&lt;0,(10-1)*A3077,-1*A3077))+D$129*EXP(IF(A3077&lt;0,(10-2)*A3077,-2*A3077))+E$129*EXP(IF(A3077&lt;0,(10-3)*A3077,-3*A3077))+F$129*EXP(IF(A3077&lt;0,(10-4)*A3077,-4*A3077))+G$129*EXP(IF(A3077&lt;0,(10-5)*A3077,-5*A3077))+H$129*EXP(IF(A3077&lt;0,(10-6)*A3077,-6*A3077))+I$129*EXP(IF(A3077&lt;0,(10-7)*A3077,-7*A3077))+J$129*EXP(IF(A3077&lt;0,(10-8)*A3077,-8*A3077))+K$129*EXP(IF(A3077&lt;0,(10-9)*A3077,-9*A3077))+L$129*EXP(IF(A3077&lt;0,(10-10)*A3077,-10*A3077)),0)</x:f>
        <x:v>-190594.323277842</x:v>
      </x:c>
      <x:c r="C3077" s="256" t="n">
        <x:f>IF(B3077=0,IF(B3076=0,0,1),IF(B3076=0,0,IF(SIGN(B3077)&lt;&gt;SIGN(B3076),1,0)))</x:f>
        <x:v>0</x:v>
      </x:c>
      <x:c r="D3077" s="256" t="n">
        <x:f>EXP(A3077-0.005)-1</x:f>
        <x:v>13.367949545996751</x:v>
      </x:c>
    </x:row>
    <x:row r="3078" ht="20" customHeight="1">
      <x:c r="A3078" s="256" t="n">
        <x:f>-12+1468*0.01</x:f>
        <x:v>2.6799999999999997</x:v>
      </x:c>
      <x:c r="B3078" s="256" t="n">
        <x:f>IF(COUNT($B$129:$L$129)=11,B$129*EXP(IF(A3078&lt;0,(10-0)*A3078,-0*A3078))+C$129*EXP(IF(A3078&lt;0,(10-1)*A3078,-1*A3078))+D$129*EXP(IF(A3078&lt;0,(10-2)*A3078,-2*A3078))+E$129*EXP(IF(A3078&lt;0,(10-3)*A3078,-3*A3078))+F$129*EXP(IF(A3078&lt;0,(10-4)*A3078,-4*A3078))+G$129*EXP(IF(A3078&lt;0,(10-5)*A3078,-5*A3078))+H$129*EXP(IF(A3078&lt;0,(10-6)*A3078,-6*A3078))+I$129*EXP(IF(A3078&lt;0,(10-7)*A3078,-7*A3078))+J$129*EXP(IF(A3078&lt;0,(10-8)*A3078,-8*A3078))+K$129*EXP(IF(A3078&lt;0,(10-9)*A3078,-9*A3078))+L$129*EXP(IF(A3078&lt;0,(10-10)*A3078,-10*A3078)),0)</x:f>
        <x:v>-190588.1050997789</x:v>
      </x:c>
      <x:c r="C3078" s="256" t="n">
        <x:f>IF(B3078=0,IF(B3077=0,0,1),IF(B3077=0,0,IF(SIGN(B3078)&lt;&gt;SIGN(B3077),1,0)))</x:f>
        <x:v>0</x:v>
      </x:c>
      <x:c r="D3078" s="256" t="n">
        <x:f>EXP(A3078-0.005)-1</x:f>
        <x:v>13.512349839590913</x:v>
      </x:c>
    </x:row>
    <x:row r="3079" ht="20" customHeight="1">
      <x:c r="A3079" s="256" t="n">
        <x:f>-12+1469*0.01</x:f>
        <x:v>2.6899999999999995</x:v>
      </x:c>
      <x:c r="B3079" s="256" t="n">
        <x:f>IF(COUNT($B$129:$L$129)=11,B$129*EXP(IF(A3079&lt;0,(10-0)*A3079,-0*A3079))+C$129*EXP(IF(A3079&lt;0,(10-1)*A3079,-1*A3079))+D$129*EXP(IF(A3079&lt;0,(10-2)*A3079,-2*A3079))+E$129*EXP(IF(A3079&lt;0,(10-3)*A3079,-3*A3079))+F$129*EXP(IF(A3079&lt;0,(10-4)*A3079,-4*A3079))+G$129*EXP(IF(A3079&lt;0,(10-5)*A3079,-5*A3079))+H$129*EXP(IF(A3079&lt;0,(10-6)*A3079,-6*A3079))+I$129*EXP(IF(A3079&lt;0,(10-7)*A3079,-7*A3079))+J$129*EXP(IF(A3079&lt;0,(10-8)*A3079,-8*A3079))+K$129*EXP(IF(A3079&lt;0,(10-9)*A3079,-9*A3079))+L$129*EXP(IF(A3079&lt;0,(10-10)*A3079,-10*A3079)),0)</x:f>
        <x:v>-190581.95506621862</x:v>
      </x:c>
      <x:c r="C3079" s="256" t="n">
        <x:f>IF(B3079=0,IF(B3078=0,0,1),IF(B3078=0,0,IF(SIGN(B3079)&lt;&gt;SIGN(B3078),1,0)))</x:f>
        <x:v>0</x:v>
      </x:c>
      <x:c r="D3079" s="256" t="n">
        <x:f>EXP(A3079-0.005)-1</x:f>
        <x:v>13.658201380262696</x:v>
      </x:c>
    </x:row>
    <x:row r="3080" ht="20" customHeight="1">
      <x:c r="A3080" s="256" t="n">
        <x:f>-12+1470*0.01</x:f>
        <x:v>2.700000000000001</x:v>
      </x:c>
      <x:c r="B3080" s="256" t="n">
        <x:f>IF(COUNT($B$129:$L$129)=11,B$129*EXP(IF(A3080&lt;0,(10-0)*A3080,-0*A3080))+C$129*EXP(IF(A3080&lt;0,(10-1)*A3080,-1*A3080))+D$129*EXP(IF(A3080&lt;0,(10-2)*A3080,-2*A3080))+E$129*EXP(IF(A3080&lt;0,(10-3)*A3080,-3*A3080))+F$129*EXP(IF(A3080&lt;0,(10-4)*A3080,-4*A3080))+G$129*EXP(IF(A3080&lt;0,(10-5)*A3080,-5*A3080))+H$129*EXP(IF(A3080&lt;0,(10-6)*A3080,-6*A3080))+I$129*EXP(IF(A3080&lt;0,(10-7)*A3080,-7*A3080))+J$129*EXP(IF(A3080&lt;0,(10-8)*A3080,-8*A3080))+K$129*EXP(IF(A3080&lt;0,(10-9)*A3080,-9*A3080))+L$129*EXP(IF(A3080&lt;0,(10-10)*A3080,-10*A3080)),0)</x:f>
        <x:v>-190575.87236768368</x:v>
      </x:c>
      <x:c r="C3080" s="256" t="n">
        <x:f>IF(B3080=0,IF(B3079=0,0,1),IF(B3079=0,0,IF(SIGN(B3080)&lt;&gt;SIGN(B3079),1,0)))</x:f>
        <x:v>0</x:v>
      </x:c>
      <x:c r="D3080" s="256" t="n">
        <x:f>EXP(A3080-0.005)-1</x:f>
        <x:v>13.805518753287743</x:v>
      </x:c>
    </x:row>
    <x:row r="3081" ht="20" customHeight="1">
      <x:c r="A3081" s="256" t="n">
        <x:f>-12+1471*0.01</x:f>
        <x:v>2.710000000000001</x:v>
      </x:c>
      <x:c r="B3081" s="256" t="n">
        <x:f>IF(COUNT($B$129:$L$129)=11,B$129*EXP(IF(A3081&lt;0,(10-0)*A3081,-0*A3081))+C$129*EXP(IF(A3081&lt;0,(10-1)*A3081,-1*A3081))+D$129*EXP(IF(A3081&lt;0,(10-2)*A3081,-2*A3081))+E$129*EXP(IF(A3081&lt;0,(10-3)*A3081,-3*A3081))+F$129*EXP(IF(A3081&lt;0,(10-4)*A3081,-4*A3081))+G$129*EXP(IF(A3081&lt;0,(10-5)*A3081,-5*A3081))+H$129*EXP(IF(A3081&lt;0,(10-6)*A3081,-6*A3081))+I$129*EXP(IF(A3081&lt;0,(10-7)*A3081,-7*A3081))+J$129*EXP(IF(A3081&lt;0,(10-8)*A3081,-8*A3081))+K$129*EXP(IF(A3081&lt;0,(10-9)*A3081,-9*A3081))+L$129*EXP(IF(A3081&lt;0,(10-10)*A3081,-10*A3081)),0)</x:f>
        <x:v>-190569.85620556923</x:v>
      </x:c>
      <x:c r="C3081" s="256" t="n">
        <x:f>IF(B3081=0,IF(B3080=0,0,1),IF(B3080=0,0,IF(SIGN(B3081)&lt;&gt;SIGN(B3080),1,0)))</x:f>
        <x:v>0</x:v>
      </x:c>
      <x:c r="D3081" s="256" t="n">
        <x:f>EXP(A3081-0.005)-1</x:f>
        <x:v>13.954316690526065</x:v>
      </x:c>
    </x:row>
    <x:row r="3082" ht="20" customHeight="1">
      <x:c r="A3082" s="256" t="n">
        <x:f>-12+1472*0.01</x:f>
        <x:v>2.7200000000000006</x:v>
      </x:c>
      <x:c r="B3082" s="256" t="n">
        <x:f>IF(COUNT($B$129:$L$129)=11,B$129*EXP(IF(A3082&lt;0,(10-0)*A3082,-0*A3082))+C$129*EXP(IF(A3082&lt;0,(10-1)*A3082,-1*A3082))+D$129*EXP(IF(A3082&lt;0,(10-2)*A3082,-2*A3082))+E$129*EXP(IF(A3082&lt;0,(10-3)*A3082,-3*A3082))+F$129*EXP(IF(A3082&lt;0,(10-4)*A3082,-4*A3082))+G$129*EXP(IF(A3082&lt;0,(10-5)*A3082,-5*A3082))+H$129*EXP(IF(A3082&lt;0,(10-6)*A3082,-6*A3082))+I$129*EXP(IF(A3082&lt;0,(10-7)*A3082,-7*A3082))+J$129*EXP(IF(A3082&lt;0,(10-8)*A3082,-8*A3082))+K$129*EXP(IF(A3082&lt;0,(10-9)*A3082,-9*A3082))+L$129*EXP(IF(A3082&lt;0,(10-10)*A3082,-10*A3082)),0)</x:f>
        <x:v>-190563.90579197204</x:v>
      </x:c>
      <x:c r="C3082" s="256" t="n">
        <x:f>IF(B3082=0,IF(B3081=0,0,1),IF(B3081=0,0,IF(SIGN(B3082)&lt;&gt;SIGN(B3081),1,0)))</x:f>
        <x:v>0</x:v>
      </x:c>
      <x:c r="D3082" s="256" t="n">
        <x:f>EXP(A3082-0.005)-1</x:f>
        <x:v>14.104610071895411</x:v>
      </x:c>
    </x:row>
    <x:row r="3083" ht="20" customHeight="1">
      <x:c r="A3083" s="256" t="n">
        <x:f>-12+1473*0.01</x:f>
        <x:v>2.7300000000000004</x:v>
      </x:c>
      <x:c r="B3083" s="256" t="n">
        <x:f>IF(COUNT($B$129:$L$129)=11,B$129*EXP(IF(A3083&lt;0,(10-0)*A3083,-0*A3083))+C$129*EXP(IF(A3083&lt;0,(10-1)*A3083,-1*A3083))+D$129*EXP(IF(A3083&lt;0,(10-2)*A3083,-2*A3083))+E$129*EXP(IF(A3083&lt;0,(10-3)*A3083,-3*A3083))+F$129*EXP(IF(A3083&lt;0,(10-4)*A3083,-4*A3083))+G$129*EXP(IF(A3083&lt;0,(10-5)*A3083,-5*A3083))+H$129*EXP(IF(A3083&lt;0,(10-6)*A3083,-6*A3083))+I$129*EXP(IF(A3083&lt;0,(10-7)*A3083,-7*A3083))+J$129*EXP(IF(A3083&lt;0,(10-8)*A3083,-8*A3083))+K$129*EXP(IF(A3083&lt;0,(10-9)*A3083,-9*A3083))+L$129*EXP(IF(A3083&lt;0,(10-10)*A3083,-10*A3083)),0)</x:f>
        <x:v>-190558.02034952326</x:v>
      </x:c>
      <x:c r="C3083" s="256" t="n">
        <x:f>IF(B3083=0,IF(B3082=0,0,1),IF(B3082=0,0,IF(SIGN(B3083)&lt;&gt;SIGN(B3082),1,0)))</x:f>
        <x:v>0</x:v>
      </x:c>
      <x:c r="D3083" s="256" t="n">
        <x:f>EXP(A3083-0.005)-1</x:f>
        <x:v>14.256413926859166</x:v>
      </x:c>
    </x:row>
    <x:row r="3084" ht="20" customHeight="1">
      <x:c r="A3084" s="256" t="n">
        <x:f>-12+1474*0.01</x:f>
        <x:v>2.74</x:v>
      </x:c>
      <x:c r="B3084" s="256" t="n">
        <x:f>IF(COUNT($B$129:$L$129)=11,B$129*EXP(IF(A3084&lt;0,(10-0)*A3084,-0*A3084))+C$129*EXP(IF(A3084&lt;0,(10-1)*A3084,-1*A3084))+D$129*EXP(IF(A3084&lt;0,(10-2)*A3084,-2*A3084))+E$129*EXP(IF(A3084&lt;0,(10-3)*A3084,-3*A3084))+F$129*EXP(IF(A3084&lt;0,(10-4)*A3084,-4*A3084))+G$129*EXP(IF(A3084&lt;0,(10-5)*A3084,-5*A3084))+H$129*EXP(IF(A3084&lt;0,(10-6)*A3084,-6*A3084))+I$129*EXP(IF(A3084&lt;0,(10-7)*A3084,-7*A3084))+J$129*EXP(IF(A3084&lt;0,(10-8)*A3084,-8*A3084))+K$129*EXP(IF(A3084&lt;0,(10-9)*A3084,-9*A3084))+L$129*EXP(IF(A3084&lt;0,(10-10)*A3084,-10*A3084)),0)</x:f>
        <x:v>-190552.19911122468</x:v>
      </x:c>
      <x:c r="C3084" s="256" t="n">
        <x:f>IF(B3084=0,IF(B3083=0,0,1),IF(B3083=0,0,IF(SIGN(B3084)&lt;&gt;SIGN(B3083),1,0)))</x:f>
        <x:v>0</x:v>
      </x:c>
      <x:c r="D3084" s="256" t="n">
        <x:f>EXP(A3084-0.005)-1</x:f>
        <x:v>14.409743435929325</x:v>
      </x:c>
    </x:row>
    <x:row r="3085" ht="20" customHeight="1">
      <x:c r="A3085" s="256" t="n">
        <x:f>-12+1475*0.01</x:f>
        <x:v>2.75</x:v>
      </x:c>
      <x:c r="B3085" s="256" t="n">
        <x:f>IF(COUNT($B$129:$L$129)=11,B$129*EXP(IF(A3085&lt;0,(10-0)*A3085,-0*A3085))+C$129*EXP(IF(A3085&lt;0,(10-1)*A3085,-1*A3085))+D$129*EXP(IF(A3085&lt;0,(10-2)*A3085,-2*A3085))+E$129*EXP(IF(A3085&lt;0,(10-3)*A3085,-3*A3085))+F$129*EXP(IF(A3085&lt;0,(10-4)*A3085,-4*A3085))+G$129*EXP(IF(A3085&lt;0,(10-5)*A3085,-5*A3085))+H$129*EXP(IF(A3085&lt;0,(10-6)*A3085,-6*A3085))+I$129*EXP(IF(A3085&lt;0,(10-7)*A3085,-7*A3085))+J$129*EXP(IF(A3085&lt;0,(10-8)*A3085,-8*A3085))+K$129*EXP(IF(A3085&lt;0,(10-9)*A3085,-9*A3085))+L$129*EXP(IF(A3085&lt;0,(10-10)*A3085,-10*A3085)),0)</x:f>
        <x:v>-190546.44132028712</x:v>
      </x:c>
      <x:c r="C3085" s="256" t="n">
        <x:f>IF(B3085=0,IF(B3084=0,0,1),IF(B3084=0,0,IF(SIGN(B3085)&lt;&gt;SIGN(B3084),1,0)))</x:f>
        <x:v>0</x:v>
      </x:c>
      <x:c r="D3085" s="256" t="n">
        <x:f>EXP(A3085-0.005)-1</x:f>
        <x:v>14.564613932184574</x:v>
      </x:c>
    </x:row>
    <x:row r="3086" ht="20" customHeight="1">
      <x:c r="A3086" s="256" t="n">
        <x:f>-12+1476*0.01</x:f>
        <x:v>2.76</x:v>
      </x:c>
      <x:c r="B3086" s="256" t="n">
        <x:f>IF(COUNT($B$129:$L$129)=11,B$129*EXP(IF(A3086&lt;0,(10-0)*A3086,-0*A3086))+C$129*EXP(IF(A3086&lt;0,(10-1)*A3086,-1*A3086))+D$129*EXP(IF(A3086&lt;0,(10-2)*A3086,-2*A3086))+E$129*EXP(IF(A3086&lt;0,(10-3)*A3086,-3*A3086))+F$129*EXP(IF(A3086&lt;0,(10-4)*A3086,-4*A3086))+G$129*EXP(IF(A3086&lt;0,(10-5)*A3086,-5*A3086))+H$129*EXP(IF(A3086&lt;0,(10-6)*A3086,-6*A3086))+I$129*EXP(IF(A3086&lt;0,(10-7)*A3086,-7*A3086))+J$129*EXP(IF(A3086&lt;0,(10-8)*A3086,-8*A3086))+K$129*EXP(IF(A3086&lt;0,(10-9)*A3086,-9*A3086))+L$129*EXP(IF(A3086&lt;0,(10-10)*A3086,-10*A3086)),0)</x:f>
        <x:v>-190540.7462299723</x:v>
      </x:c>
      <x:c r="C3086" s="256" t="n">
        <x:f>IF(B3086=0,IF(B3085=0,0,1),IF(B3085=0,0,IF(SIGN(B3086)&lt;&gt;SIGN(B3085),1,0)))</x:f>
        <x:v>0</x:v>
      </x:c>
      <x:c r="D3086" s="256" t="n">
        <x:f>EXP(A3086-0.005)-1</x:f>
        <x:v>14.721040902803596</x:v>
      </x:c>
    </x:row>
    <x:row r="3087" ht="20" customHeight="1">
      <x:c r="A3087" s="256" t="n">
        <x:f>-12+1477*0.01</x:f>
        <x:v>2.7699999999999996</x:v>
      </x:c>
      <x:c r="B3087" s="256" t="n">
        <x:f>IF(COUNT($B$129:$L$129)=11,B$129*EXP(IF(A3087&lt;0,(10-0)*A3087,-0*A3087))+C$129*EXP(IF(A3087&lt;0,(10-1)*A3087,-1*A3087))+D$129*EXP(IF(A3087&lt;0,(10-2)*A3087,-2*A3087))+E$129*EXP(IF(A3087&lt;0,(10-3)*A3087,-3*A3087))+F$129*EXP(IF(A3087&lt;0,(10-4)*A3087,-4*A3087))+G$129*EXP(IF(A3087&lt;0,(10-5)*A3087,-5*A3087))+H$129*EXP(IF(A3087&lt;0,(10-6)*A3087,-6*A3087))+I$129*EXP(IF(A3087&lt;0,(10-7)*A3087,-7*A3087))+J$129*EXP(IF(A3087&lt;0,(10-8)*A3087,-8*A3087))+K$129*EXP(IF(A3087&lt;0,(10-9)*A3087,-9*A3087))+L$129*EXP(IF(A3087&lt;0,(10-10)*A3087,-10*A3087)),0)</x:f>
        <x:v>-190535.11310343753</x:v>
      </x:c>
      <x:c r="C3087" s="256" t="n">
        <x:f>IF(B3087=0,IF(B3086=0,0,1),IF(B3086=0,0,IF(SIGN(B3087)&lt;&gt;SIGN(B3086),1,0)))</x:f>
        <x:v>0</x:v>
      </x:c>
      <x:c r="D3087" s="256" t="n">
        <x:f>EXP(A3087-0.005)-1</x:f>
        <x:v>14.879039990613808</x:v>
      </x:c>
    </x:row>
    <x:row r="3088" ht="20" customHeight="1">
      <x:c r="A3088" s="256" t="n">
        <x:f>-12+1478*0.01</x:f>
        <x:v>2.780000000000001</x:v>
      </x:c>
      <x:c r="B3088" s="256" t="n">
        <x:f>IF(COUNT($B$129:$L$129)=11,B$129*EXP(IF(A3088&lt;0,(10-0)*A3088,-0*A3088))+C$129*EXP(IF(A3088&lt;0,(10-1)*A3088,-1*A3088))+D$129*EXP(IF(A3088&lt;0,(10-2)*A3088,-2*A3088))+E$129*EXP(IF(A3088&lt;0,(10-3)*A3088,-3*A3088))+F$129*EXP(IF(A3088&lt;0,(10-4)*A3088,-4*A3088))+G$129*EXP(IF(A3088&lt;0,(10-5)*A3088,-5*A3088))+H$129*EXP(IF(A3088&lt;0,(10-6)*A3088,-6*A3088))+I$129*EXP(IF(A3088&lt;0,(10-7)*A3088,-7*A3088))+J$129*EXP(IF(A3088&lt;0,(10-8)*A3088,-8*A3088))+K$129*EXP(IF(A3088&lt;0,(10-9)*A3088,-9*A3088))+L$129*EXP(IF(A3088&lt;0,(10-10)*A3088,-10*A3088)),0)</x:f>
        <x:v>-190529.5412135828</x:v>
      </x:c>
      <x:c r="C3088" s="256" t="n">
        <x:f>IF(B3088=0,IF(B3087=0,0,1),IF(B3087=0,0,IF(SIGN(B3088)&lt;&gt;SIGN(B3087),1,0)))</x:f>
        <x:v>0</x:v>
      </x:c>
      <x:c r="D3088" s="256" t="n">
        <x:f>EXP(A3088-0.005)-1</x:f>
        <x:v>15.03862699565569</x:v>
      </x:c>
    </x:row>
    <x:row r="3089" ht="20" customHeight="1">
      <x:c r="A3089" s="256" t="n">
        <x:f>-12+1479*0.01</x:f>
        <x:v>2.790000000000001</x:v>
      </x:c>
      <x:c r="B3089" s="256" t="n">
        <x:f>IF(COUNT($B$129:$L$129)=11,B$129*EXP(IF(A3089&lt;0,(10-0)*A3089,-0*A3089))+C$129*EXP(IF(A3089&lt;0,(10-1)*A3089,-1*A3089))+D$129*EXP(IF(A3089&lt;0,(10-2)*A3089,-2*A3089))+E$129*EXP(IF(A3089&lt;0,(10-3)*A3089,-3*A3089))+F$129*EXP(IF(A3089&lt;0,(10-4)*A3089,-4*A3089))+G$129*EXP(IF(A3089&lt;0,(10-5)*A3089,-5*A3089))+H$129*EXP(IF(A3089&lt;0,(10-6)*A3089,-6*A3089))+I$129*EXP(IF(A3089&lt;0,(10-7)*A3089,-7*A3089))+J$129*EXP(IF(A3089&lt;0,(10-8)*A3089,-8*A3089))+K$129*EXP(IF(A3089&lt;0,(10-9)*A3089,-9*A3089))+L$129*EXP(IF(A3089&lt;0,(10-10)*A3089,-10*A3089)),0)</x:f>
        <x:v>-190524.0298429013</x:v>
      </x:c>
      <x:c r="C3089" s="256" t="n">
        <x:f>IF(B3089=0,IF(B3088=0,0,1),IF(B3088=0,0,IF(SIGN(B3089)&lt;&gt;SIGN(B3088),1,0)))</x:f>
        <x:v>0</x:v>
      </x:c>
      <x:c r="D3089" s="256" t="n">
        <x:f>EXP(A3089-0.005)-1</x:f>
        <x:v>15.199817876762673</x:v>
      </x:c>
    </x:row>
    <x:row r="3090" ht="20" customHeight="1">
      <x:c r="A3090" s="256" t="n">
        <x:f>-12+1480*0.01</x:f>
        <x:v>2.8000000000000007</x:v>
      </x:c>
      <x:c r="B3090" s="256" t="n">
        <x:f>IF(COUNT($B$129:$L$129)=11,B$129*EXP(IF(A3090&lt;0,(10-0)*A3090,-0*A3090))+C$129*EXP(IF(A3090&lt;0,(10-1)*A3090,-1*A3090))+D$129*EXP(IF(A3090&lt;0,(10-2)*A3090,-2*A3090))+E$129*EXP(IF(A3090&lt;0,(10-3)*A3090,-3*A3090))+F$129*EXP(IF(A3090&lt;0,(10-4)*A3090,-4*A3090))+G$129*EXP(IF(A3090&lt;0,(10-5)*A3090,-5*A3090))+H$129*EXP(IF(A3090&lt;0,(10-6)*A3090,-6*A3090))+I$129*EXP(IF(A3090&lt;0,(10-7)*A3090,-7*A3090))+J$129*EXP(IF(A3090&lt;0,(10-8)*A3090,-8*A3090))+K$129*EXP(IF(A3090&lt;0,(10-9)*A3090,-9*A3090))+L$129*EXP(IF(A3090&lt;0,(10-10)*A3090,-10*A3090)),0)</x:f>
        <x:v>-190518.57828333203</x:v>
      </x:c>
      <x:c r="C3090" s="256" t="n">
        <x:f>IF(B3090=0,IF(B3089=0,0,1),IF(B3089=0,0,IF(SIGN(B3090)&lt;&gt;SIGN(B3089),1,0)))</x:f>
        <x:v>0</x:v>
      </x:c>
      <x:c r="D3090" s="256" t="n">
        <x:f>EXP(A3090-0.005)-1</x:f>
        <x:v>15.362628753157228</x:v>
      </x:c>
    </x:row>
    <x:row r="3091" ht="20" customHeight="1">
      <x:c r="A3091" s="256" t="n">
        <x:f>-12+1481*0.01</x:f>
        <x:v>2.8100000000000005</x:v>
      </x:c>
      <x:c r="B3091" s="256" t="n">
        <x:f>IF(COUNT($B$129:$L$129)=11,B$129*EXP(IF(A3091&lt;0,(10-0)*A3091,-0*A3091))+C$129*EXP(IF(A3091&lt;0,(10-1)*A3091,-1*A3091))+D$129*EXP(IF(A3091&lt;0,(10-2)*A3091,-2*A3091))+E$129*EXP(IF(A3091&lt;0,(10-3)*A3091,-3*A3091))+F$129*EXP(IF(A3091&lt;0,(10-4)*A3091,-4*A3091))+G$129*EXP(IF(A3091&lt;0,(10-5)*A3091,-5*A3091))+H$129*EXP(IF(A3091&lt;0,(10-6)*A3091,-6*A3091))+I$129*EXP(IF(A3091&lt;0,(10-7)*A3091,-7*A3091))+J$129*EXP(IF(A3091&lt;0,(10-8)*A3091,-8*A3091))+K$129*EXP(IF(A3091&lt;0,(10-9)*A3091,-9*A3091))+L$129*EXP(IF(A3091&lt;0,(10-10)*A3091,-10*A3091)),0)</x:f>
        <x:v>-190513.1858361152</x:v>
      </x:c>
      <x:c r="C3091" s="256" t="n">
        <x:f>IF(B3091=0,IF(B3090=0,0,1),IF(B3090=0,0,IF(SIGN(B3091)&lt;&gt;SIGN(B3090),1,0)))</x:f>
        <x:v>0</x:v>
      </x:c>
      <x:c r="D3091" s="256" t="n">
        <x:f>EXP(A3091-0.005)-1</x:f>
        <x:v>15.527075906062667</x:v>
      </x:c>
    </x:row>
    <x:row r="3092" ht="20" customHeight="1">
      <x:c r="A3092" s="256" t="n">
        <x:f>-12+1482*0.01</x:f>
        <x:v>2.8200000000000003</x:v>
      </x:c>
      <x:c r="B3092" s="256" t="n">
        <x:f>IF(COUNT($B$129:$L$129)=11,B$129*EXP(IF(A3092&lt;0,(10-0)*A3092,-0*A3092))+C$129*EXP(IF(A3092&lt;0,(10-1)*A3092,-1*A3092))+D$129*EXP(IF(A3092&lt;0,(10-2)*A3092,-2*A3092))+E$129*EXP(IF(A3092&lt;0,(10-3)*A3092,-3*A3092))+F$129*EXP(IF(A3092&lt;0,(10-4)*A3092,-4*A3092))+G$129*EXP(IF(A3092&lt;0,(10-5)*A3092,-5*A3092))+H$129*EXP(IF(A3092&lt;0,(10-6)*A3092,-6*A3092))+I$129*EXP(IF(A3092&lt;0,(10-7)*A3092,-7*A3092))+J$129*EXP(IF(A3092&lt;0,(10-8)*A3092,-8*A3092))+K$129*EXP(IF(A3092&lt;0,(10-9)*A3092,-9*A3092))+L$129*EXP(IF(A3092&lt;0,(10-10)*A3092,-10*A3092)),0)</x:f>
        <x:v>-190507.85181165024</x:v>
      </x:c>
      <x:c r="C3092" s="256" t="n">
        <x:f>IF(B3092=0,IF(B3091=0,0,1),IF(B3091=0,0,IF(SIGN(B3092)&lt;&gt;SIGN(B3091),1,0)))</x:f>
        <x:v>0</x:v>
      </x:c>
      <x:c r="D3092" s="256" t="n">
        <x:f>EXP(A3092-0.005)-1</x:f>
        <x:v>15.69317578033132</x:v>
      </x:c>
    </x:row>
    <x:row r="3093" ht="20" customHeight="1">
      <x:c r="A3093" s="256" t="n">
        <x:f>-12+1483*0.01</x:f>
        <x:v>2.83</x:v>
      </x:c>
      <x:c r="B3093" s="256" t="n">
        <x:f>IF(COUNT($B$129:$L$129)=11,B$129*EXP(IF(A3093&lt;0,(10-0)*A3093,-0*A3093))+C$129*EXP(IF(A3093&lt;0,(10-1)*A3093,-1*A3093))+D$129*EXP(IF(A3093&lt;0,(10-2)*A3093,-2*A3093))+E$129*EXP(IF(A3093&lt;0,(10-3)*A3093,-3*A3093))+F$129*EXP(IF(A3093&lt;0,(10-4)*A3093,-4*A3093))+G$129*EXP(IF(A3093&lt;0,(10-5)*A3093,-5*A3093))+H$129*EXP(IF(A3093&lt;0,(10-6)*A3093,-6*A3093))+I$129*EXP(IF(A3093&lt;0,(10-7)*A3093,-7*A3093))+J$129*EXP(IF(A3093&lt;0,(10-8)*A3093,-8*A3093))+K$129*EXP(IF(A3093&lt;0,(10-9)*A3093,-9*A3093))+L$129*EXP(IF(A3093&lt;0,(10-10)*A3093,-10*A3093)),0)</x:f>
        <x:v>-190502.5755293568</x:v>
      </x:c>
      <x:c r="C3093" s="256" t="n">
        <x:f>IF(B3093=0,IF(B3092=0,0,1),IF(B3092=0,0,IF(SIGN(B3093)&lt;&gt;SIGN(B3092),1,0)))</x:f>
        <x:v>0</x:v>
      </x:c>
      <x:c r="D3093" s="256" t="n">
        <x:f>EXP(A3093-0.005)-1</x:f>
        <x:v>15.860944986089034</x:v>
      </x:c>
    </x:row>
    <x:row r="3094" ht="20" customHeight="1">
      <x:c r="A3094" s="256" t="n">
        <x:f>-12+1484*0.01</x:f>
        <x:v>2.84</x:v>
      </x:c>
      <x:c r="B3094" s="256" t="n">
        <x:f>IF(COUNT($B$129:$L$129)=11,B$129*EXP(IF(A3094&lt;0,(10-0)*A3094,-0*A3094))+C$129*EXP(IF(A3094&lt;0,(10-1)*A3094,-1*A3094))+D$129*EXP(IF(A3094&lt;0,(10-2)*A3094,-2*A3094))+E$129*EXP(IF(A3094&lt;0,(10-3)*A3094,-3*A3094))+F$129*EXP(IF(A3094&lt;0,(10-4)*A3094,-4*A3094))+G$129*EXP(IF(A3094&lt;0,(10-5)*A3094,-5*A3094))+H$129*EXP(IF(A3094&lt;0,(10-6)*A3094,-6*A3094))+I$129*EXP(IF(A3094&lt;0,(10-7)*A3094,-7*A3094))+J$129*EXP(IF(A3094&lt;0,(10-8)*A3094,-8*A3094))+K$129*EXP(IF(A3094&lt;0,(10-9)*A3094,-9*A3094))+L$129*EXP(IF(A3094&lt;0,(10-10)*A3094,-10*A3094)),0)</x:f>
        <x:v>-190497.35631753723</x:v>
      </x:c>
      <x:c r="C3094" s="256" t="n">
        <x:f>IF(B3094=0,IF(B3093=0,0,1),IF(B3093=0,0,IF(SIGN(B3094)&lt;&gt;SIGN(B3093),1,0)))</x:f>
        <x:v>0</x:v>
      </x:c>
      <x:c r="D3094" s="256" t="n">
        <x:f>EXP(A3094-0.005)-1</x:f>
        <x:v>16.03040030039619</x:v>
      </x:c>
    </x:row>
    <x:row r="3095" ht="20" customHeight="1">
      <x:c r="A3095" s="256" t="n">
        <x:f>-12+1485*0.01</x:f>
        <x:v>2.8499999999999996</x:v>
      </x:c>
      <x:c r="B3095" s="256" t="n">
        <x:f>IF(COUNT($B$129:$L$129)=11,B$129*EXP(IF(A3095&lt;0,(10-0)*A3095,-0*A3095))+C$129*EXP(IF(A3095&lt;0,(10-1)*A3095,-1*A3095))+D$129*EXP(IF(A3095&lt;0,(10-2)*A3095,-2*A3095))+E$129*EXP(IF(A3095&lt;0,(10-3)*A3095,-3*A3095))+F$129*EXP(IF(A3095&lt;0,(10-4)*A3095,-4*A3095))+G$129*EXP(IF(A3095&lt;0,(10-5)*A3095,-5*A3095))+H$129*EXP(IF(A3095&lt;0,(10-6)*A3095,-6*A3095))+I$129*EXP(IF(A3095&lt;0,(10-7)*A3095,-7*A3095))+J$129*EXP(IF(A3095&lt;0,(10-8)*A3095,-8*A3095))+K$129*EXP(IF(A3095&lt;0,(10-9)*A3095,-9*A3095))+L$129*EXP(IF(A3095&lt;0,(10-10)*A3095,-10*A3095)),0)</x:f>
        <x:v>-190492.19351324235</x:v>
      </x:c>
      <x:c r="C3095" s="256" t="n">
        <x:f>IF(B3095=0,IF(B3094=0,0,1),IF(B3094=0,0,IF(SIGN(B3095)&lt;&gt;SIGN(B3094),1,0)))</x:f>
        <x:v>0</x:v>
      </x:c>
      <x:c r="D3095" s="256" t="n">
        <x:f>EXP(A3095-0.005)-1</x:f>
        <x:v>16.201558668925436</x:v>
      </x:c>
    </x:row>
    <x:row r="3096" ht="20" customHeight="1">
      <x:c r="A3096" s="256" t="n">
        <x:f>-12+1486*0.01</x:f>
        <x:v>2.8599999999999994</x:v>
      </x:c>
      <x:c r="B3096" s="256" t="n">
        <x:f>IF(COUNT($B$129:$L$129)=11,B$129*EXP(IF(A3096&lt;0,(10-0)*A3096,-0*A3096))+C$129*EXP(IF(A3096&lt;0,(10-1)*A3096,-1*A3096))+D$129*EXP(IF(A3096&lt;0,(10-2)*A3096,-2*A3096))+E$129*EXP(IF(A3096&lt;0,(10-3)*A3096,-3*A3096))+F$129*EXP(IF(A3096&lt;0,(10-4)*A3096,-4*A3096))+G$129*EXP(IF(A3096&lt;0,(10-5)*A3096,-5*A3096))+H$129*EXP(IF(A3096&lt;0,(10-6)*A3096,-6*A3096))+I$129*EXP(IF(A3096&lt;0,(10-7)*A3096,-7*A3096))+J$129*EXP(IF(A3096&lt;0,(10-8)*A3096,-8*A3096))+K$129*EXP(IF(A3096&lt;0,(10-9)*A3096,-9*A3096))+L$129*EXP(IF(A3096&lt;0,(10-10)*A3096,-10*A3096)),0)</x:f>
        <x:v>-190487.08646213953</x:v>
      </x:c>
      <x:c r="C3096" s="256" t="n">
        <x:f>IF(B3096=0,IF(B3095=0,0,1),IF(B3095=0,0,IF(SIGN(B3096)&lt;&gt;SIGN(B3095),1,0)))</x:f>
        <x:v>0</x:v>
      </x:c>
      <x:c r="D3096" s="256" t="n">
        <x:f>EXP(A3096-0.005)-1</x:f>
        <x:v>16.37443720765625</x:v>
      </x:c>
    </x:row>
    <x:row r="3097" ht="20" customHeight="1">
      <x:c r="A3097" s="256" t="n">
        <x:f>-12+1487*0.01</x:f>
        <x:v>2.870000000000001</x:v>
      </x:c>
      <x:c r="B3097" s="256" t="n">
        <x:f>IF(COUNT($B$129:$L$129)=11,B$129*EXP(IF(A3097&lt;0,(10-0)*A3097,-0*A3097))+C$129*EXP(IF(A3097&lt;0,(10-1)*A3097,-1*A3097))+D$129*EXP(IF(A3097&lt;0,(10-2)*A3097,-2*A3097))+E$129*EXP(IF(A3097&lt;0,(10-3)*A3097,-3*A3097))+F$129*EXP(IF(A3097&lt;0,(10-4)*A3097,-4*A3097))+G$129*EXP(IF(A3097&lt;0,(10-5)*A3097,-5*A3097))+H$129*EXP(IF(A3097&lt;0,(10-6)*A3097,-6*A3097))+I$129*EXP(IF(A3097&lt;0,(10-7)*A3097,-7*A3097))+J$129*EXP(IF(A3097&lt;0,(10-8)*A3097,-8*A3097))+K$129*EXP(IF(A3097&lt;0,(10-9)*A3097,-9*A3097))+L$129*EXP(IF(A3097&lt;0,(10-10)*A3097,-10*A3097)),0)</x:f>
        <x:v>-190482.03451838222</x:v>
      </x:c>
      <x:c r="C3097" s="256" t="n">
        <x:f>IF(B3097=0,IF(B3096=0,0,1),IF(B3096=0,0,IF(SIGN(B3097)&lt;&gt;SIGN(B3096),1,0)))</x:f>
        <x:v>0</x:v>
      </x:c>
      <x:c r="D3097" s="256" t="n">
        <x:f>EXP(A3097-0.005)-1</x:f>
        <x:v>16.54905320458661</x:v>
      </x:c>
    </x:row>
    <x:row r="3098" ht="20" customHeight="1">
      <x:c r="A3098" s="256" t="n">
        <x:f>-12+1488*0.01</x:f>
        <x:v>2.880000000000001</x:v>
      </x:c>
      <x:c r="B3098" s="256" t="n">
        <x:f>IF(COUNT($B$129:$L$129)=11,B$129*EXP(IF(A3098&lt;0,(10-0)*A3098,-0*A3098))+C$129*EXP(IF(A3098&lt;0,(10-1)*A3098,-1*A3098))+D$129*EXP(IF(A3098&lt;0,(10-2)*A3098,-2*A3098))+E$129*EXP(IF(A3098&lt;0,(10-3)*A3098,-3*A3098))+F$129*EXP(IF(A3098&lt;0,(10-4)*A3098,-4*A3098))+G$129*EXP(IF(A3098&lt;0,(10-5)*A3098,-5*A3098))+H$129*EXP(IF(A3098&lt;0,(10-6)*A3098,-6*A3098))+I$129*EXP(IF(A3098&lt;0,(10-7)*A3098,-7*A3098))+J$129*EXP(IF(A3098&lt;0,(10-8)*A3098,-8*A3098))+K$129*EXP(IF(A3098&lt;0,(10-9)*A3098,-9*A3098))+L$129*EXP(IF(A3098&lt;0,(10-10)*A3098,-10*A3098)),0)</x:f>
        <x:v>-190477.03704448327</x:v>
      </x:c>
      <x:c r="C3098" s="256" t="n">
        <x:f>IF(B3098=0,IF(B3097=0,0,1),IF(B3097=0,0,IF(SIGN(B3098)&lt;&gt;SIGN(B3097),1,0)))</x:f>
        <x:v>0</x:v>
      </x:c>
      <x:c r="D3098" s="256" t="n">
        <x:f>EXP(A3098-0.005)-1</x:f>
        <x:v>16.725424121461657</x:v>
      </x:c>
    </x:row>
    <x:row r="3099" ht="20" customHeight="1">
      <x:c r="A3099" s="256" t="n">
        <x:f>-12+1489*0.01</x:f>
        <x:v>2.8900000000000006</x:v>
      </x:c>
      <x:c r="B3099" s="256" t="n">
        <x:f>IF(COUNT($B$129:$L$129)=11,B$129*EXP(IF(A3099&lt;0,(10-0)*A3099,-0*A3099))+C$129*EXP(IF(A3099&lt;0,(10-1)*A3099,-1*A3099))+D$129*EXP(IF(A3099&lt;0,(10-2)*A3099,-2*A3099))+E$129*EXP(IF(A3099&lt;0,(10-3)*A3099,-3*A3099))+F$129*EXP(IF(A3099&lt;0,(10-4)*A3099,-4*A3099))+G$129*EXP(IF(A3099&lt;0,(10-5)*A3099,-5*A3099))+H$129*EXP(IF(A3099&lt;0,(10-6)*A3099,-6*A3099))+I$129*EXP(IF(A3099&lt;0,(10-7)*A3099,-7*A3099))+J$129*EXP(IF(A3099&lt;0,(10-8)*A3099,-8*A3099))+K$129*EXP(IF(A3099&lt;0,(10-9)*A3099,-9*A3099))+L$129*EXP(IF(A3099&lt;0,(10-10)*A3099,-10*A3099)),0)</x:f>
        <x:v>-190472.09341118878</x:v>
      </x:c>
      <x:c r="C3099" s="256" t="n">
        <x:f>IF(B3099=0,IF(B3098=0,0,1),IF(B3098=0,0,IF(SIGN(B3099)&lt;&gt;SIGN(B3098),1,0)))</x:f>
        <x:v>0</x:v>
      </x:c>
      <x:c r="D3099" s="256" t="n">
        <x:f>EXP(A3099-0.005)-1</x:f>
        <x:v>16.903567595520087</x:v>
      </x:c>
    </x:row>
    <x:row r="3100" ht="20" customHeight="1">
      <x:c r="A3100" s="256" t="n">
        <x:f>-12+1490*0.01</x:f>
        <x:v>2.9000000000000004</x:v>
      </x:c>
      <x:c r="B3100" s="256" t="n">
        <x:f>IF(COUNT($B$129:$L$129)=11,B$129*EXP(IF(A3100&lt;0,(10-0)*A3100,-0*A3100))+C$129*EXP(IF(A3100&lt;0,(10-1)*A3100,-1*A3100))+D$129*EXP(IF(A3100&lt;0,(10-2)*A3100,-2*A3100))+E$129*EXP(IF(A3100&lt;0,(10-3)*A3100,-3*A3100))+F$129*EXP(IF(A3100&lt;0,(10-4)*A3100,-4*A3100))+G$129*EXP(IF(A3100&lt;0,(10-5)*A3100,-5*A3100))+H$129*EXP(IF(A3100&lt;0,(10-6)*A3100,-6*A3100))+I$129*EXP(IF(A3100&lt;0,(10-7)*A3100,-7*A3100))+J$129*EXP(IF(A3100&lt;0,(10-8)*A3100,-8*A3100))+K$129*EXP(IF(A3100&lt;0,(10-9)*A3100,-9*A3100))+L$129*EXP(IF(A3100&lt;0,(10-10)*A3100,-10*A3100)),0)</x:f>
        <x:v>-190467.2029973558</x:v>
      </x:c>
      <x:c r="C3100" s="256" t="n">
        <x:f>IF(B3100=0,IF(B3099=0,0,1),IF(B3099=0,0,IF(SIGN(B3100)&lt;&gt;SIGN(B3099),1,0)))</x:f>
        <x:v>0</x:v>
      </x:c>
      <x:c r="D3100" s="256" t="n">
        <x:f>EXP(A3100-0.005)-1</x:f>
        <x:v>17.083501441257756</x:v>
      </x:c>
    </x:row>
    <x:row r="3101" ht="20" customHeight="1">
      <x:c r="A3101" s="256" t="n">
        <x:f>-12+1491*0.01</x:f>
        <x:v>2.91</x:v>
      </x:c>
      <x:c r="B3101" s="256" t="n">
        <x:f>IF(COUNT($B$129:$L$129)=11,B$129*EXP(IF(A3101&lt;0,(10-0)*A3101,-0*A3101))+C$129*EXP(IF(A3101&lt;0,(10-1)*A3101,-1*A3101))+D$129*EXP(IF(A3101&lt;0,(10-2)*A3101,-2*A3101))+E$129*EXP(IF(A3101&lt;0,(10-3)*A3101,-3*A3101))+F$129*EXP(IF(A3101&lt;0,(10-4)*A3101,-4*A3101))+G$129*EXP(IF(A3101&lt;0,(10-5)*A3101,-5*A3101))+H$129*EXP(IF(A3101&lt;0,(10-6)*A3101,-6*A3101))+I$129*EXP(IF(A3101&lt;0,(10-7)*A3101,-7*A3101))+J$129*EXP(IF(A3101&lt;0,(10-8)*A3101,-8*A3101))+K$129*EXP(IF(A3101&lt;0,(10-9)*A3101,-9*A3101))+L$129*EXP(IF(A3101&lt;0,(10-10)*A3101,-10*A3101)),0)</x:f>
        <x:v>-190462.3651898308</x:v>
      </x:c>
      <x:c r="C3101" s="256" t="n">
        <x:f>IF(B3101=0,IF(B3100=0,0,1),IF(B3100=0,0,IF(SIGN(B3101)&lt;&gt;SIGN(B3100),1,0)))</x:f>
        <x:v>0</x:v>
      </x:c>
      <x:c r="D3101" s="256" t="n">
        <x:f>EXP(A3101-0.005)-1</x:f>
        <x:v>17.265243652209186</x:v>
      </x:c>
    </x:row>
    <x:row r="3102" ht="20" customHeight="1">
      <x:c r="A3102" s="256" t="n">
        <x:f>-12+1492*0.01</x:f>
        <x:v>2.92</x:v>
      </x:c>
      <x:c r="B3102" s="256" t="n">
        <x:f>IF(COUNT($B$129:$L$129)=11,B$129*EXP(IF(A3102&lt;0,(10-0)*A3102,-0*A3102))+C$129*EXP(IF(A3102&lt;0,(10-1)*A3102,-1*A3102))+D$129*EXP(IF(A3102&lt;0,(10-2)*A3102,-2*A3102))+E$129*EXP(IF(A3102&lt;0,(10-3)*A3102,-3*A3102))+F$129*EXP(IF(A3102&lt;0,(10-4)*A3102,-4*A3102))+G$129*EXP(IF(A3102&lt;0,(10-5)*A3102,-5*A3102))+H$129*EXP(IF(A3102&lt;0,(10-6)*A3102,-6*A3102))+I$129*EXP(IF(A3102&lt;0,(10-7)*A3102,-7*A3102))+J$129*EXP(IF(A3102&lt;0,(10-8)*A3102,-8*A3102))+K$129*EXP(IF(A3102&lt;0,(10-9)*A3102,-9*A3102))+L$129*EXP(IF(A3102&lt;0,(10-10)*A3102,-10*A3102)),0)</x:f>
        <x:v>-190457.57938333123</x:v>
      </x:c>
      <x:c r="C3102" s="256" t="n">
        <x:f>IF(B3102=0,IF(B3101=0,0,1),IF(B3101=0,0,IF(SIGN(B3102)&lt;&gt;SIGN(B3101),1,0)))</x:f>
        <x:v>0</x:v>
      </x:c>
      <x:c r="D3102" s="256" t="n">
        <x:f>EXP(A3102-0.005)-1</x:f>
        <x:v>17.448812402746924</x:v>
      </x:c>
    </x:row>
    <x:row r="3103" ht="20" customHeight="1">
      <x:c r="A3103" s="256" t="n">
        <x:f>-12+1493*0.01</x:f>
        <x:v>2.9299999999999997</x:v>
      </x:c>
      <x:c r="B3103" s="256" t="n">
        <x:f>IF(COUNT($B$129:$L$129)=11,B$129*EXP(IF(A3103&lt;0,(10-0)*A3103,-0*A3103))+C$129*EXP(IF(A3103&lt;0,(10-1)*A3103,-1*A3103))+D$129*EXP(IF(A3103&lt;0,(10-2)*A3103,-2*A3103))+E$129*EXP(IF(A3103&lt;0,(10-3)*A3103,-3*A3103))+F$129*EXP(IF(A3103&lt;0,(10-4)*A3103,-4*A3103))+G$129*EXP(IF(A3103&lt;0,(10-5)*A3103,-5*A3103))+H$129*EXP(IF(A3103&lt;0,(10-6)*A3103,-6*A3103))+I$129*EXP(IF(A3103&lt;0,(10-7)*A3103,-7*A3103))+J$129*EXP(IF(A3103&lt;0,(10-8)*A3103,-8*A3103))+K$129*EXP(IF(A3103&lt;0,(10-9)*A3103,-9*A3103))+L$129*EXP(IF(A3103&lt;0,(10-10)*A3103,-10*A3103)),0)</x:f>
        <x:v>-190452.84498032843</x:v>
      </x:c>
      <x:c r="C3103" s="256" t="n">
        <x:f>IF(B3103=0,IF(B3102=0,0,1),IF(B3102=0,0,IF(SIGN(B3103)&lt;&gt;SIGN(B3102),1,0)))</x:f>
        <x:v>0</x:v>
      </x:c>
      <x:c r="D3103" s="256" t="n">
        <x:f>EXP(A3103-0.005)-1</x:f>
        <x:v>17.634226049899</x:v>
      </x:c>
    </x:row>
    <x:row r="3104" ht="20" customHeight="1">
      <x:c r="A3104" s="256" t="n">
        <x:f>-12+1494*0.01</x:f>
        <x:v>2.9399999999999995</x:v>
      </x:c>
      <x:c r="B3104" s="256" t="n">
        <x:f>IF(COUNT($B$129:$L$129)=11,B$129*EXP(IF(A3104&lt;0,(10-0)*A3104,-0*A3104))+C$129*EXP(IF(A3104&lt;0,(10-1)*A3104,-1*A3104))+D$129*EXP(IF(A3104&lt;0,(10-2)*A3104,-2*A3104))+E$129*EXP(IF(A3104&lt;0,(10-3)*A3104,-3*A3104))+F$129*EXP(IF(A3104&lt;0,(10-4)*A3104,-4*A3104))+G$129*EXP(IF(A3104&lt;0,(10-5)*A3104,-5*A3104))+H$129*EXP(IF(A3104&lt;0,(10-6)*A3104,-6*A3104))+I$129*EXP(IF(A3104&lt;0,(10-7)*A3104,-7*A3104))+J$129*EXP(IF(A3104&lt;0,(10-8)*A3104,-8*A3104))+K$129*EXP(IF(A3104&lt;0,(10-9)*A3104,-9*A3104))+L$129*EXP(IF(A3104&lt;0,(10-10)*A3104,-10*A3104)),0)</x:f>
        <x:v>-190448.16139093324</x:v>
      </x:c>
      <x:c r="C3104" s="256" t="n">
        <x:f>IF(B3104=0,IF(B3103=0,0,1),IF(B3103=0,0,IF(SIGN(B3104)&lt;&gt;SIGN(B3103),1,0)))</x:f>
        <x:v>0</x:v>
      </x:c>
      <x:c r="D3104" s="256" t="n">
        <x:f>EXP(A3104-0.005)-1</x:f>
        <x:v>17.82150313518464</x:v>
      </x:c>
    </x:row>
    <x:row r="3105" ht="20" customHeight="1">
      <x:c r="A3105" s="256" t="n">
        <x:f>-12+1495*0.01</x:f>
        <x:v>2.950000000000001</x:v>
      </x:c>
      <x:c r="B3105" s="256" t="n">
        <x:f>IF(COUNT($B$129:$L$129)=11,B$129*EXP(IF(A3105&lt;0,(10-0)*A3105,-0*A3105))+C$129*EXP(IF(A3105&lt;0,(10-1)*A3105,-1*A3105))+D$129*EXP(IF(A3105&lt;0,(10-2)*A3105,-2*A3105))+E$129*EXP(IF(A3105&lt;0,(10-3)*A3105,-3*A3105))+F$129*EXP(IF(A3105&lt;0,(10-4)*A3105,-4*A3105))+G$129*EXP(IF(A3105&lt;0,(10-5)*A3105,-5*A3105))+H$129*EXP(IF(A3105&lt;0,(10-6)*A3105,-6*A3105))+I$129*EXP(IF(A3105&lt;0,(10-7)*A3105,-7*A3105))+J$129*EXP(IF(A3105&lt;0,(10-8)*A3105,-8*A3105))+K$129*EXP(IF(A3105&lt;0,(10-9)*A3105,-9*A3105))+L$129*EXP(IF(A3105&lt;0,(10-10)*A3105,-10*A3105)),0)</x:f>
        <x:v>-190443.52803278272</x:v>
      </x:c>
      <x:c r="C3105" s="256" t="n">
        <x:f>IF(B3105=0,IF(B3104=0,0,1),IF(B3104=0,0,IF(SIGN(B3105)&lt;&gt;SIGN(B3104),1,0)))</x:f>
        <x:v>0</x:v>
      </x:c>
      <x:c r="D3105" s="256" t="n">
        <x:f>EXP(A3105-0.005)-1</x:f>
        <x:v>18.010662386468464</x:v>
      </x:c>
    </x:row>
    <x:row r="3106" ht="20" customHeight="1">
      <x:c r="A3106" s="256" t="n">
        <x:f>-12+1496*0.01</x:f>
        <x:v>2.960000000000001</x:v>
      </x:c>
      <x:c r="B3106" s="256" t="n">
        <x:f>IF(COUNT($B$129:$L$129)=11,B$129*EXP(IF(A3106&lt;0,(10-0)*A3106,-0*A3106))+C$129*EXP(IF(A3106&lt;0,(10-1)*A3106,-1*A3106))+D$129*EXP(IF(A3106&lt;0,(10-2)*A3106,-2*A3106))+E$129*EXP(IF(A3106&lt;0,(10-3)*A3106,-3*A3106))+F$129*EXP(IF(A3106&lt;0,(10-4)*A3106,-4*A3106))+G$129*EXP(IF(A3106&lt;0,(10-5)*A3106,-5*A3106))+H$129*EXP(IF(A3106&lt;0,(10-6)*A3106,-6*A3106))+I$129*EXP(IF(A3106&lt;0,(10-7)*A3106,-7*A3106))+J$129*EXP(IF(A3106&lt;0,(10-8)*A3106,-8*A3106))+K$129*EXP(IF(A3106&lt;0,(10-9)*A3106,-9*A3106))+L$129*EXP(IF(A3106&lt;0,(10-10)*A3106,-10*A3106)),0)</x:f>
        <x:v>-190438.94433092998</x:v>
      </x:c>
      <x:c r="C3106" s="256" t="n">
        <x:f>IF(B3106=0,IF(B3105=0,0,1),IF(B3105=0,0,IF(SIGN(B3106)&lt;&gt;SIGN(B3105),1,0)))</x:f>
        <x:v>0</x:v>
      </x:c>
      <x:c r="D3106" s="256" t="n">
        <x:f>EXP(A3106-0.005)-1</x:f>
        <x:v>18.201722719833178</x:v>
      </x:c>
    </x:row>
    <x:row r="3107" ht="20" customHeight="1">
      <x:c r="A3107" s="256" t="n">
        <x:f>-12+1497*0.01</x:f>
        <x:v>2.9700000000000006</x:v>
      </x:c>
      <x:c r="B3107" s="256" t="n">
        <x:f>IF(COUNT($B$129:$L$129)=11,B$129*EXP(IF(A3107&lt;0,(10-0)*A3107,-0*A3107))+C$129*EXP(IF(A3107&lt;0,(10-1)*A3107,-1*A3107))+D$129*EXP(IF(A3107&lt;0,(10-2)*A3107,-2*A3107))+E$129*EXP(IF(A3107&lt;0,(10-3)*A3107,-3*A3107))+F$129*EXP(IF(A3107&lt;0,(10-4)*A3107,-4*A3107))+G$129*EXP(IF(A3107&lt;0,(10-5)*A3107,-5*A3107))+H$129*EXP(IF(A3107&lt;0,(10-6)*A3107,-6*A3107))+I$129*EXP(IF(A3107&lt;0,(10-7)*A3107,-7*A3107))+J$129*EXP(IF(A3107&lt;0,(10-8)*A3107,-8*A3107))+K$129*EXP(IF(A3107&lt;0,(10-9)*A3107,-9*A3107))+L$129*EXP(IF(A3107&lt;0,(10-10)*A3107,-10*A3107)),0)</x:f>
        <x:v>-190434.40971773487</x:v>
      </x:c>
      <x:c r="C3107" s="256" t="n">
        <x:f>IF(B3107=0,IF(B3106=0,0,1),IF(B3106=0,0,IF(SIGN(B3107)&lt;&gt;SIGN(B3106),1,0)))</x:f>
        <x:v>0</x:v>
      </x:c>
      <x:c r="D3107" s="256" t="n">
        <x:f>EXP(A3107-0.005)-1</x:f>
        <x:v>18.394703241471362</x:v>
      </x:c>
    </x:row>
    <x:row r="3108" ht="20" customHeight="1">
      <x:c r="A3108" s="256" t="n">
        <x:f>-12+1498*0.01</x:f>
        <x:v>2.9800000000000004</x:v>
      </x:c>
      <x:c r="B3108" s="256" t="n">
        <x:f>IF(COUNT($B$129:$L$129)=11,B$129*EXP(IF(A3108&lt;0,(10-0)*A3108,-0*A3108))+C$129*EXP(IF(A3108&lt;0,(10-1)*A3108,-1*A3108))+D$129*EXP(IF(A3108&lt;0,(10-2)*A3108,-2*A3108))+E$129*EXP(IF(A3108&lt;0,(10-3)*A3108,-3*A3108))+F$129*EXP(IF(A3108&lt;0,(10-4)*A3108,-4*A3108))+G$129*EXP(IF(A3108&lt;0,(10-5)*A3108,-5*A3108))+H$129*EXP(IF(A3108&lt;0,(10-6)*A3108,-6*A3108))+I$129*EXP(IF(A3108&lt;0,(10-7)*A3108,-7*A3108))+J$129*EXP(IF(A3108&lt;0,(10-8)*A3108,-8*A3108))+K$129*EXP(IF(A3108&lt;0,(10-9)*A3108,-9*A3108))+L$129*EXP(IF(A3108&lt;0,(10-10)*A3108,-10*A3108)),0)</x:f>
        <x:v>-190429.9236327569</x:v>
      </x:c>
      <x:c r="C3108" s="256" t="n">
        <x:f>IF(B3108=0,IF(B3107=0,0,1),IF(B3107=0,0,IF(SIGN(B3108)&lt;&gt;SIGN(B3107),1,0)))</x:f>
        <x:v>0</x:v>
      </x:c>
      <x:c r="D3108" s="256" t="n">
        <x:f>EXP(A3108-0.005)-1</x:f>
        <x:v>18.589623249596002</x:v>
      </x:c>
    </x:row>
    <x:row r="3109" ht="20" customHeight="1">
      <x:c r="A3109" s="256" t="n">
        <x:f>-12+1499*0.01</x:f>
        <x:v>2.99</x:v>
      </x:c>
      <x:c r="B3109" s="256" t="n">
        <x:f>IF(COUNT($B$129:$L$129)=11,B$129*EXP(IF(A3109&lt;0,(10-0)*A3109,-0*A3109))+C$129*EXP(IF(A3109&lt;0,(10-1)*A3109,-1*A3109))+D$129*EXP(IF(A3109&lt;0,(10-2)*A3109,-2*A3109))+E$129*EXP(IF(A3109&lt;0,(10-3)*A3109,-3*A3109))+F$129*EXP(IF(A3109&lt;0,(10-4)*A3109,-4*A3109))+G$129*EXP(IF(A3109&lt;0,(10-5)*A3109,-5*A3109))+H$129*EXP(IF(A3109&lt;0,(10-6)*A3109,-6*A3109))+I$129*EXP(IF(A3109&lt;0,(10-7)*A3109,-7*A3109))+J$129*EXP(IF(A3109&lt;0,(10-8)*A3109,-8*A3109))+K$129*EXP(IF(A3109&lt;0,(10-9)*A3109,-9*A3109))+L$129*EXP(IF(A3109&lt;0,(10-10)*A3109,-10*A3109)),0)</x:f>
        <x:v>-190425.48552265018</x:v>
      </x:c>
      <x:c r="C3109" s="256" t="n">
        <x:f>IF(B3109=0,IF(B3108=0,0,1),IF(B3108=0,0,IF(SIGN(B3109)&lt;&gt;SIGN(B3108),1,0)))</x:f>
        <x:v>0</x:v>
      </x:c>
      <x:c r="D3109" s="256" t="n">
        <x:f>EXP(A3109-0.005)-1</x:f>
        <x:v>18.786502236370342</x:v>
      </x:c>
    </x:row>
    <x:row r="3110" ht="20" customHeight="1">
      <x:c r="A3110" s="256" t="n">
        <x:f>-12+1500*0.01</x:f>
        <x:v>3</x:v>
      </x:c>
      <x:c r="B3110" s="256" t="n">
        <x:f>IF(COUNT($B$129:$L$129)=11,B$129*EXP(IF(A3110&lt;0,(10-0)*A3110,-0*A3110))+C$129*EXP(IF(A3110&lt;0,(10-1)*A3110,-1*A3110))+D$129*EXP(IF(A3110&lt;0,(10-2)*A3110,-2*A3110))+E$129*EXP(IF(A3110&lt;0,(10-3)*A3110,-3*A3110))+F$129*EXP(IF(A3110&lt;0,(10-4)*A3110,-4*A3110))+G$129*EXP(IF(A3110&lt;0,(10-5)*A3110,-5*A3110))+H$129*EXP(IF(A3110&lt;0,(10-6)*A3110,-6*A3110))+I$129*EXP(IF(A3110&lt;0,(10-7)*A3110,-7*A3110))+J$129*EXP(IF(A3110&lt;0,(10-8)*A3110,-8*A3110))+K$129*EXP(IF(A3110&lt;0,(10-9)*A3110,-9*A3110))+L$129*EXP(IF(A3110&lt;0,(10-10)*A3110,-10*A3110)),0)</x:f>
        <x:v>-190421.09484106005</x:v>
      </x:c>
      <x:c r="C3110" s="256" t="n">
        <x:f>IF(B3110=0,IF(B3109=0,0,1),IF(B3109=0,0,IF(SIGN(B3110)&lt;&gt;SIGN(B3109),1,0)))</x:f>
        <x:v>0</x:v>
      </x:c>
      <x:c r="D3110" s="256" t="n">
        <x:f>EXP(A3110-0.005)-1</x:f>
        <x:v>18.985359889857122</x:v>
      </x:c>
    </x:row>
    <x:row r="3111" ht="20" customHeight="1">
      <x:c r="A3111" s="256" t="n">
        <x:f>-12+1501*0.01</x:f>
        <x:v>3.01</x:v>
      </x:c>
      <x:c r="B3111" s="256" t="n">
        <x:f>IF(COUNT($B$129:$L$129)=11,B$129*EXP(IF(A3111&lt;0,(10-0)*A3111,-0*A3111))+C$129*EXP(IF(A3111&lt;0,(10-1)*A3111,-1*A3111))+D$129*EXP(IF(A3111&lt;0,(10-2)*A3111,-2*A3111))+E$129*EXP(IF(A3111&lt;0,(10-3)*A3111,-3*A3111))+F$129*EXP(IF(A3111&lt;0,(10-4)*A3111,-4*A3111))+G$129*EXP(IF(A3111&lt;0,(10-5)*A3111,-5*A3111))+H$129*EXP(IF(A3111&lt;0,(10-6)*A3111,-6*A3111))+I$129*EXP(IF(A3111&lt;0,(10-7)*A3111,-7*A3111))+J$129*EXP(IF(A3111&lt;0,(10-8)*A3111,-8*A3111))+K$129*EXP(IF(A3111&lt;0,(10-9)*A3111,-9*A3111))+L$129*EXP(IF(A3111&lt;0,(10-10)*A3111,-10*A3111)),0)</x:f>
        <x:v>-190416.7510485213</x:v>
      </x:c>
      <x:c r="C3111" s="256" t="n">
        <x:f>IF(B3111=0,IF(B3110=0,0,1),IF(B3110=0,0,IF(SIGN(B3111)&lt;&gt;SIGN(B3110),1,0)))</x:f>
        <x:v>0</x:v>
      </x:c>
      <x:c r="D3111" s="256" t="n">
        <x:f>EXP(A3111-0.005)-1</x:f>
        <x:v>19.186216095987415</x:v>
      </x:c>
    </x:row>
    <x:row r="3112" ht="20" customHeight="1">
      <x:c r="A3112" s="256" t="n">
        <x:f>-12+1502*0.01</x:f>
        <x:v>3.0199999999999996</x:v>
      </x:c>
      <x:c r="B3112" s="256" t="n">
        <x:f>IF(COUNT($B$129:$L$129)=11,B$129*EXP(IF(A3112&lt;0,(10-0)*A3112,-0*A3112))+C$129*EXP(IF(A3112&lt;0,(10-1)*A3112,-1*A3112))+D$129*EXP(IF(A3112&lt;0,(10-2)*A3112,-2*A3112))+E$129*EXP(IF(A3112&lt;0,(10-3)*A3112,-3*A3112))+F$129*EXP(IF(A3112&lt;0,(10-4)*A3112,-4*A3112))+G$129*EXP(IF(A3112&lt;0,(10-5)*A3112,-5*A3112))+H$129*EXP(IF(A3112&lt;0,(10-6)*A3112,-6*A3112))+I$129*EXP(IF(A3112&lt;0,(10-7)*A3112,-7*A3112))+J$129*EXP(IF(A3112&lt;0,(10-8)*A3112,-8*A3112))+K$129*EXP(IF(A3112&lt;0,(10-9)*A3112,-9*A3112))+L$129*EXP(IF(A3112&lt;0,(10-10)*A3112,-10*A3112)),0)</x:f>
        <x:v>-190412.45361235825</x:v>
      </x:c>
      <x:c r="C3112" s="256" t="n">
        <x:f>IF(B3112=0,IF(B3111=0,0,1),IF(B3111=0,0,IF(SIGN(B3112)&lt;&gt;SIGN(B3111),1,0)))</x:f>
        <x:v>0</x:v>
      </x:c>
      <x:c r="D3112" s="256" t="n">
        <x:f>EXP(A3112-0.005)-1</x:f>
        <x:v>19.389090940549206</x:v>
      </x:c>
    </x:row>
    <x:row r="3113" ht="20" customHeight="1">
      <x:c r="A3113" s="256" t="n">
        <x:f>-12+1503*0.01</x:f>
        <x:v>3.030000000000001</x:v>
      </x:c>
      <x:c r="B3113" s="256" t="n">
        <x:f>IF(COUNT($B$129:$L$129)=11,B$129*EXP(IF(A3113&lt;0,(10-0)*A3113,-0*A3113))+C$129*EXP(IF(A3113&lt;0,(10-1)*A3113,-1*A3113))+D$129*EXP(IF(A3113&lt;0,(10-2)*A3113,-2*A3113))+E$129*EXP(IF(A3113&lt;0,(10-3)*A3113,-3*A3113))+F$129*EXP(IF(A3113&lt;0,(10-4)*A3113,-4*A3113))+G$129*EXP(IF(A3113&lt;0,(10-5)*A3113,-5*A3113))+H$129*EXP(IF(A3113&lt;0,(10-6)*A3113,-6*A3113))+I$129*EXP(IF(A3113&lt;0,(10-7)*A3113,-7*A3113))+J$129*EXP(IF(A3113&lt;0,(10-8)*A3113,-8*A3113))+K$129*EXP(IF(A3113&lt;0,(10-9)*A3113,-9*A3113))+L$129*EXP(IF(A3113&lt;0,(10-10)*A3113,-10*A3113)),0)</x:f>
        <x:v>-190408.20200658668</x:v>
      </x:c>
      <x:c r="C3113" s="256" t="n">
        <x:f>IF(B3113=0,IF(B3112=0,0,1),IF(B3112=0,0,IF(SIGN(B3113)&lt;&gt;SIGN(B3112),1,0)))</x:f>
        <x:v>0</x:v>
      </x:c>
      <x:c r="D3113" s="256" t="n">
        <x:f>EXP(A3113-0.005)-1</x:f>
        <x:v>19.594004711196057</x:v>
      </x:c>
    </x:row>
    <x:row r="3114" ht="20" customHeight="1">
      <x:c r="A3114" s="256" t="n">
        <x:f>-12+1504*0.01</x:f>
        <x:v>3.040000000000001</x:v>
      </x:c>
      <x:c r="B3114" s="256" t="n">
        <x:f>IF(COUNT($B$129:$L$129)=11,B$129*EXP(IF(A3114&lt;0,(10-0)*A3114,-0*A3114))+C$129*EXP(IF(A3114&lt;0,(10-1)*A3114,-1*A3114))+D$129*EXP(IF(A3114&lt;0,(10-2)*A3114,-2*A3114))+E$129*EXP(IF(A3114&lt;0,(10-3)*A3114,-3*A3114))+F$129*EXP(IF(A3114&lt;0,(10-4)*A3114,-4*A3114))+G$129*EXP(IF(A3114&lt;0,(10-5)*A3114,-5*A3114))+H$129*EXP(IF(A3114&lt;0,(10-6)*A3114,-6*A3114))+I$129*EXP(IF(A3114&lt;0,(10-7)*A3114,-7*A3114))+J$129*EXP(IF(A3114&lt;0,(10-8)*A3114,-8*A3114))+K$129*EXP(IF(A3114&lt;0,(10-9)*A3114,-9*A3114))+L$129*EXP(IF(A3114&lt;0,(10-10)*A3114,-10*A3114)),0)</x:f>
        <x:v>-190403.9957118171</x:v>
      </x:c>
      <x:c r="C3114" s="256" t="n">
        <x:f>IF(B3114=0,IF(B3113=0,0,1),IF(B3113=0,0,IF(SIGN(B3114)&lt;&gt;SIGN(B3113),1,0)))</x:f>
        <x:v>0</x:v>
      </x:c>
      <x:c r="D3114" s="256" t="n">
        <x:f>EXP(A3114-0.005)-1</x:f>
        <x:v>19.800977899475715</x:v>
      </x:c>
    </x:row>
    <x:row r="3115" ht="20" customHeight="1">
      <x:c r="A3115" s="256" t="n">
        <x:f>-12+1505*0.01</x:f>
        <x:v>3.0500000000000007</x:v>
      </x:c>
      <x:c r="B3115" s="256" t="n">
        <x:f>IF(COUNT($B$129:$L$129)=11,B$129*EXP(IF(A3115&lt;0,(10-0)*A3115,-0*A3115))+C$129*EXP(IF(A3115&lt;0,(10-1)*A3115,-1*A3115))+D$129*EXP(IF(A3115&lt;0,(10-2)*A3115,-2*A3115))+E$129*EXP(IF(A3115&lt;0,(10-3)*A3115,-3*A3115))+F$129*EXP(IF(A3115&lt;0,(10-4)*A3115,-4*A3115))+G$129*EXP(IF(A3115&lt;0,(10-5)*A3115,-5*A3115))+H$129*EXP(IF(A3115&lt;0,(10-6)*A3115,-6*A3115))+I$129*EXP(IF(A3115&lt;0,(10-7)*A3115,-7*A3115))+J$129*EXP(IF(A3115&lt;0,(10-8)*A3115,-8*A3115))+K$129*EXP(IF(A3115&lt;0,(10-9)*A3115,-9*A3115))+L$129*EXP(IF(A3115&lt;0,(10-10)*A3115,-10*A3115)),0)</x:f>
        <x:v>-190399.83421515967</x:v>
      </x:c>
      <x:c r="C3115" s="256" t="n">
        <x:f>IF(B3115=0,IF(B3114=0,0,1),IF(B3114=0,0,IF(SIGN(B3115)&lt;&gt;SIGN(B3114),1,0)))</x:f>
        <x:v>0</x:v>
      </x:c>
      <x:c r="D3115" s="256" t="n">
        <x:f>EXP(A3115-0.005)-1</x:f>
        <x:v>20.010031202879528</x:v>
      </x:c>
    </x:row>
    <x:row r="3116" ht="20" customHeight="1">
      <x:c r="A3116" s="256" t="n">
        <x:f>-12+1506*0.01</x:f>
        <x:v>3.0600000000000005</x:v>
      </x:c>
      <x:c r="B3116" s="256" t="n">
        <x:f>IF(COUNT($B$129:$L$129)=11,B$129*EXP(IF(A3116&lt;0,(10-0)*A3116,-0*A3116))+C$129*EXP(IF(A3116&lt;0,(10-1)*A3116,-1*A3116))+D$129*EXP(IF(A3116&lt;0,(10-2)*A3116,-2*A3116))+E$129*EXP(IF(A3116&lt;0,(10-3)*A3116,-3*A3116))+F$129*EXP(IF(A3116&lt;0,(10-4)*A3116,-4*A3116))+G$129*EXP(IF(A3116&lt;0,(10-5)*A3116,-5*A3116))+H$129*EXP(IF(A3116&lt;0,(10-6)*A3116,-6*A3116))+I$129*EXP(IF(A3116&lt;0,(10-7)*A3116,-7*A3116))+J$129*EXP(IF(A3116&lt;0,(10-8)*A3116,-8*A3116))+K$129*EXP(IF(A3116&lt;0,(10-9)*A3116,-9*A3116))+L$129*EXP(IF(A3116&lt;0,(10-10)*A3116,-10*A3116)),0)</x:f>
        <x:v>-190395.71701013146</x:v>
      </x:c>
      <x:c r="C3116" s="256" t="n">
        <x:f>IF(B3116=0,IF(B3115=0,0,1),IF(B3115=0,0,IF(SIGN(B3116)&lt;&gt;SIGN(B3115),1,0)))</x:f>
        <x:v>0</x:v>
      </x:c>
      <x:c r="D3116" s="256" t="n">
        <x:f>EXP(A3116-0.005)-1</x:f>
        <x:v>20.22118552691205</x:v>
      </x:c>
    </x:row>
    <x:row r="3117" ht="20" customHeight="1">
      <x:c r="A3117" s="256" t="n">
        <x:f>-12+1507*0.01</x:f>
        <x:v>3.0700000000000003</x:v>
      </x:c>
      <x:c r="B3117" s="256" t="n">
        <x:f>IF(COUNT($B$129:$L$129)=11,B$129*EXP(IF(A3117&lt;0,(10-0)*A3117,-0*A3117))+C$129*EXP(IF(A3117&lt;0,(10-1)*A3117,-1*A3117))+D$129*EXP(IF(A3117&lt;0,(10-2)*A3117,-2*A3117))+E$129*EXP(IF(A3117&lt;0,(10-3)*A3117,-3*A3117))+F$129*EXP(IF(A3117&lt;0,(10-4)*A3117,-4*A3117))+G$129*EXP(IF(A3117&lt;0,(10-5)*A3117,-5*A3117))+H$129*EXP(IF(A3117&lt;0,(10-6)*A3117,-6*A3117))+I$129*EXP(IF(A3117&lt;0,(10-7)*A3117,-7*A3117))+J$129*EXP(IF(A3117&lt;0,(10-8)*A3117,-8*A3117))+K$129*EXP(IF(A3117&lt;0,(10-9)*A3117,-9*A3117))+L$129*EXP(IF(A3117&lt;0,(10-10)*A3117,-10*A3117)),0)</x:f>
        <x:v>-190391.64359656372</x:v>
      </x:c>
      <x:c r="C3117" s="256" t="n">
        <x:f>IF(B3117=0,IF(B3116=0,0,1),IF(B3116=0,0,IF(SIGN(B3117)&lt;&gt;SIGN(B3116),1,0)))</x:f>
        <x:v>0</x:v>
      </x:c>
      <x:c r="D3117" s="256" t="n">
        <x:f>EXP(A3117-0.005)-1</x:f>
        <x:v>20.43446198718164</x:v>
      </x:c>
    </x:row>
    <x:row r="3118" ht="20" customHeight="1">
      <x:c r="A3118" s="256" t="n">
        <x:f>-12+1508*0.01</x:f>
        <x:v>3.08</x:v>
      </x:c>
      <x:c r="B3118" s="256" t="n">
        <x:f>IF(COUNT($B$129:$L$129)=11,B$129*EXP(IF(A3118&lt;0,(10-0)*A3118,-0*A3118))+C$129*EXP(IF(A3118&lt;0,(10-1)*A3118,-1*A3118))+D$129*EXP(IF(A3118&lt;0,(10-2)*A3118,-2*A3118))+E$129*EXP(IF(A3118&lt;0,(10-3)*A3118,-3*A3118))+F$129*EXP(IF(A3118&lt;0,(10-4)*A3118,-4*A3118))+G$129*EXP(IF(A3118&lt;0,(10-5)*A3118,-5*A3118))+H$129*EXP(IF(A3118&lt;0,(10-6)*A3118,-6*A3118))+I$129*EXP(IF(A3118&lt;0,(10-7)*A3118,-7*A3118))+J$129*EXP(IF(A3118&lt;0,(10-8)*A3118,-8*A3118))+K$129*EXP(IF(A3118&lt;0,(10-9)*A3118,-9*A3118))+L$129*EXP(IF(A3118&lt;0,(10-10)*A3118,-10*A3118)),0)</x:f>
        <x:v>-190387.61348051258</x:v>
      </x:c>
      <x:c r="C3118" s="256" t="n">
        <x:f>IF(B3118=0,IF(B3117=0,0,1),IF(B3117=0,0,IF(SIGN(B3118)&lt;&gt;SIGN(B3117),1,0)))</x:f>
        <x:v>0</x:v>
      </x:c>
      <x:c r="D3118" s="256" t="n">
        <x:f>EXP(A3118-0.005)-1</x:f>
        <x:v>20.649881911512058</x:v>
      </x:c>
    </x:row>
    <x:row r="3119" ht="20" customHeight="1">
      <x:c r="A3119" s="256" t="n">
        <x:f>-12+1509*0.01</x:f>
        <x:v>3.09</x:v>
      </x:c>
      <x:c r="B3119" s="256" t="n">
        <x:f>IF(COUNT($B$129:$L$129)=11,B$129*EXP(IF(A3119&lt;0,(10-0)*A3119,-0*A3119))+C$129*EXP(IF(A3119&lt;0,(10-1)*A3119,-1*A3119))+D$129*EXP(IF(A3119&lt;0,(10-2)*A3119,-2*A3119))+E$129*EXP(IF(A3119&lt;0,(10-3)*A3119,-3*A3119))+F$129*EXP(IF(A3119&lt;0,(10-4)*A3119,-4*A3119))+G$129*EXP(IF(A3119&lt;0,(10-5)*A3119,-5*A3119))+H$129*EXP(IF(A3119&lt;0,(10-6)*A3119,-6*A3119))+I$129*EXP(IF(A3119&lt;0,(10-7)*A3119,-7*A3119))+J$129*EXP(IF(A3119&lt;0,(10-8)*A3119,-8*A3119))+K$129*EXP(IF(A3119&lt;0,(10-9)*A3119,-9*A3119))+L$129*EXP(IF(A3119&lt;0,(10-10)*A3119,-10*A3119)),0)</x:f>
        <x:v>-190383.6261741695</x:v>
      </x:c>
      <x:c r="C3119" s="256" t="n">
        <x:f>IF(B3119=0,IF(B3118=0,0,1),IF(B3118=0,0,IF(SIGN(B3119)&lt;&gt;SIGN(B3118),1,0)))</x:f>
        <x:v>0</x:v>
      </x:c>
      <x:c r="D3119" s="256" t="n">
        <x:f>EXP(A3119-0.005)-1</x:f>
        <x:v>20.867466842075256</x:v>
      </x:c>
    </x:row>
    <x:row r="3120" ht="20" customHeight="1">
      <x:c r="A3120" s="256" t="n">
        <x:f>-12+1510*0.01</x:f>
        <x:v>3.0999999999999996</x:v>
      </x:c>
      <x:c r="B3120" s="256" t="n">
        <x:f>IF(COUNT($B$129:$L$129)=11,B$129*EXP(IF(A3120&lt;0,(10-0)*A3120,-0*A3120))+C$129*EXP(IF(A3120&lt;0,(10-1)*A3120,-1*A3120))+D$129*EXP(IF(A3120&lt;0,(10-2)*A3120,-2*A3120))+E$129*EXP(IF(A3120&lt;0,(10-3)*A3120,-3*A3120))+F$129*EXP(IF(A3120&lt;0,(10-4)*A3120,-4*A3120))+G$129*EXP(IF(A3120&lt;0,(10-5)*A3120,-5*A3120))+H$129*EXP(IF(A3120&lt;0,(10-6)*A3120,-6*A3120))+I$129*EXP(IF(A3120&lt;0,(10-7)*A3120,-7*A3120))+J$129*EXP(IF(A3120&lt;0,(10-8)*A3120,-8*A3120))+K$129*EXP(IF(A3120&lt;0,(10-9)*A3120,-9*A3120))+L$129*EXP(IF(A3120&lt;0,(10-10)*A3120,-10*A3120)),0)</x:f>
        <x:v>-190379.68119577473</x:v>
      </x:c>
      <x:c r="C3120" s="256" t="n">
        <x:f>IF(B3120=0,IF(B3119=0,0,1),IF(B3119=0,0,IF(SIGN(B3120)&lt;&gt;SIGN(B3119),1,0)))</x:f>
        <x:v>0</x:v>
      </x:c>
      <x:c r="D3120" s="256" t="n">
        <x:f>EXP(A3120-0.005)-1</x:f>
        <x:v>21.087238537545613</x:v>
      </x:c>
    </x:row>
    <x:row r="3121" ht="20" customHeight="1">
      <x:c r="A3121" s="256" t="n">
        <x:f>-12+1511*0.01</x:f>
        <x:v>3.1099999999999994</x:v>
      </x:c>
      <x:c r="B3121" s="256" t="n">
        <x:f>IF(COUNT($B$129:$L$129)=11,B$129*EXP(IF(A3121&lt;0,(10-0)*A3121,-0*A3121))+C$129*EXP(IF(A3121&lt;0,(10-1)*A3121,-1*A3121))+D$129*EXP(IF(A3121&lt;0,(10-2)*A3121,-2*A3121))+E$129*EXP(IF(A3121&lt;0,(10-3)*A3121,-3*A3121))+F$129*EXP(IF(A3121&lt;0,(10-4)*A3121,-4*A3121))+G$129*EXP(IF(A3121&lt;0,(10-5)*A3121,-5*A3121))+H$129*EXP(IF(A3121&lt;0,(10-6)*A3121,-6*A3121))+I$129*EXP(IF(A3121&lt;0,(10-7)*A3121,-7*A3121))+J$129*EXP(IF(A3121&lt;0,(10-8)*A3121,-8*A3121))+K$129*EXP(IF(A3121&lt;0,(10-9)*A3121,-9*A3121))+L$129*EXP(IF(A3121&lt;0,(10-10)*A3121,-10*A3121)),0)</x:f>
        <x:v>-190375.77806953085</x:v>
      </x:c>
      <x:c r="C3121" s="256" t="n">
        <x:f>IF(B3121=0,IF(B3120=0,0,1),IF(B3120=0,0,IF(SIGN(B3121)&lt;&gt;SIGN(B3120),1,0)))</x:f>
        <x:v>0</x:v>
      </x:c>
      <x:c r="D3121" s="256" t="n">
        <x:f>EXP(A3121-0.005)-1</x:f>
        <x:v>21.30921897527582</x:v>
      </x:c>
    </x:row>
    <x:row r="3122" ht="20" customHeight="1">
      <x:c r="A3122" s="256" t="n">
        <x:f>-12+1512*0.01</x:f>
        <x:v>3.120000000000001</x:v>
      </x:c>
      <x:c r="B3122" s="256" t="n">
        <x:f>IF(COUNT($B$129:$L$129)=11,B$129*EXP(IF(A3122&lt;0,(10-0)*A3122,-0*A3122))+C$129*EXP(IF(A3122&lt;0,(10-1)*A3122,-1*A3122))+D$129*EXP(IF(A3122&lt;0,(10-2)*A3122,-2*A3122))+E$129*EXP(IF(A3122&lt;0,(10-3)*A3122,-3*A3122))+F$129*EXP(IF(A3122&lt;0,(10-4)*A3122,-4*A3122))+G$129*EXP(IF(A3122&lt;0,(10-5)*A3122,-5*A3122))+H$129*EXP(IF(A3122&lt;0,(10-6)*A3122,-6*A3122))+I$129*EXP(IF(A3122&lt;0,(10-7)*A3122,-7*A3122))+J$129*EXP(IF(A3122&lt;0,(10-8)*A3122,-8*A3122))+K$129*EXP(IF(A3122&lt;0,(10-9)*A3122,-9*A3122))+L$129*EXP(IF(A3122&lt;0,(10-10)*A3122,-10*A3122)),0)</x:f>
        <x:v>-190371.9163255189</x:v>
      </x:c>
      <x:c r="C3122" s="256" t="n">
        <x:f>IF(B3122=0,IF(B3121=0,0,1),IF(B3121=0,0,IF(SIGN(B3122)&lt;&gt;SIGN(B3121),1,0)))</x:f>
        <x:v>0</x:v>
      </x:c>
      <x:c r="D3122" s="256" t="n">
        <x:f>EXP(A3122-0.005)-1</x:f>
        <x:v>21.533430353494666</x:v>
      </x:c>
    </x:row>
    <x:row r="3123" ht="20" customHeight="1">
      <x:c r="A3123" s="256" t="n">
        <x:f>-12+1513*0.01</x:f>
        <x:v>3.130000000000001</x:v>
      </x:c>
      <x:c r="B3123" s="256" t="n">
        <x:f>IF(COUNT($B$129:$L$129)=11,B$129*EXP(IF(A3123&lt;0,(10-0)*A3123,-0*A3123))+C$129*EXP(IF(A3123&lt;0,(10-1)*A3123,-1*A3123))+D$129*EXP(IF(A3123&lt;0,(10-2)*A3123,-2*A3123))+E$129*EXP(IF(A3123&lt;0,(10-3)*A3123,-3*A3123))+F$129*EXP(IF(A3123&lt;0,(10-4)*A3123,-4*A3123))+G$129*EXP(IF(A3123&lt;0,(10-5)*A3123,-5*A3123))+H$129*EXP(IF(A3123&lt;0,(10-6)*A3123,-6*A3123))+I$129*EXP(IF(A3123&lt;0,(10-7)*A3123,-7*A3123))+J$129*EXP(IF(A3123&lt;0,(10-8)*A3123,-8*A3123))+K$129*EXP(IF(A3123&lt;0,(10-9)*A3123,-9*A3123))+L$129*EXP(IF(A3123&lt;0,(10-10)*A3123,-10*A3123)),0)</x:f>
        <x:v>-190368.09549961495</x:v>
      </x:c>
      <x:c r="C3123" s="256" t="n">
        <x:f>IF(B3123=0,IF(B3122=0,0,1),IF(B3122=0,0,IF(SIGN(B3123)&lt;&gt;SIGN(B3122),1,0)))</x:f>
        <x:v>0</x:v>
      </x:c>
      <x:c r="D3123" s="256" t="n">
        <x:f>EXP(A3123-0.005)-1</x:f>
        <x:v>21.759895093526747</x:v>
      </x:c>
    </x:row>
    <x:row r="3124" ht="20" customHeight="1">
      <x:c r="A3124" s="256" t="n">
        <x:f>-12+1514*0.01</x:f>
        <x:v>3.1400000000000006</x:v>
      </x:c>
      <x:c r="B3124" s="256" t="n">
        <x:f>IF(COUNT($B$129:$L$129)=11,B$129*EXP(IF(A3124&lt;0,(10-0)*A3124,-0*A3124))+C$129*EXP(IF(A3124&lt;0,(10-1)*A3124,-1*A3124))+D$129*EXP(IF(A3124&lt;0,(10-2)*A3124,-2*A3124))+E$129*EXP(IF(A3124&lt;0,(10-3)*A3124,-3*A3124))+F$129*EXP(IF(A3124&lt;0,(10-4)*A3124,-4*A3124))+G$129*EXP(IF(A3124&lt;0,(10-5)*A3124,-5*A3124))+H$129*EXP(IF(A3124&lt;0,(10-6)*A3124,-6*A3124))+I$129*EXP(IF(A3124&lt;0,(10-7)*A3124,-7*A3124))+J$129*EXP(IF(A3124&lt;0,(10-8)*A3124,-8*A3124))+K$129*EXP(IF(A3124&lt;0,(10-9)*A3124,-9*A3124))+L$129*EXP(IF(A3124&lt;0,(10-10)*A3124,-10*A3124)),0)</x:f>
        <x:v>-190364.31513340873</x:v>
      </x:c>
      <x:c r="C3124" s="256" t="n">
        <x:f>IF(B3124=0,IF(B3123=0,0,1),IF(B3123=0,0,IF(SIGN(B3124)&lt;&gt;SIGN(B3123),1,0)))</x:f>
        <x:v>0</x:v>
      </x:c>
      <x:c r="D3124" s="256" t="n">
        <x:f>EXP(A3124-0.005)-1</x:f>
        <x:v>21.988635842034824</x:v>
      </x:c>
    </x:row>
    <x:row r="3125" ht="20" customHeight="1">
      <x:c r="A3125" s="256" t="n">
        <x:f>-12+1515*0.01</x:f>
        <x:v>3.1500000000000004</x:v>
      </x:c>
      <x:c r="B3125" s="256" t="n">
        <x:f>IF(COUNT($B$129:$L$129)=11,B$129*EXP(IF(A3125&lt;0,(10-0)*A3125,-0*A3125))+C$129*EXP(IF(A3125&lt;0,(10-1)*A3125,-1*A3125))+D$129*EXP(IF(A3125&lt;0,(10-2)*A3125,-2*A3125))+E$129*EXP(IF(A3125&lt;0,(10-3)*A3125,-3*A3125))+F$129*EXP(IF(A3125&lt;0,(10-4)*A3125,-4*A3125))+G$129*EXP(IF(A3125&lt;0,(10-5)*A3125,-5*A3125))+H$129*EXP(IF(A3125&lt;0,(10-6)*A3125,-6*A3125))+I$129*EXP(IF(A3125&lt;0,(10-7)*A3125,-7*A3125))+J$129*EXP(IF(A3125&lt;0,(10-8)*A3125,-8*A3125))+K$129*EXP(IF(A3125&lt;0,(10-9)*A3125,-9*A3125))+L$129*EXP(IF(A3125&lt;0,(10-10)*A3125,-10*A3125)),0)</x:f>
        <x:v>-190360.5747741233</x:v>
      </x:c>
      <x:c r="C3125" s="256" t="n">
        <x:f>IF(B3125=0,IF(B3124=0,0,1),IF(B3124=0,0,IF(SIGN(B3125)&lt;&gt;SIGN(B3124),1,0)))</x:f>
        <x:v>0</x:v>
      </x:c>
      <x:c r="D3125" s="256" t="n">
        <x:f>EXP(A3125-0.005)-1</x:f>
        <x:v>22.21967547328436</x:v>
      </x:c>
    </x:row>
    <x:row r="3126" ht="20" customHeight="1">
      <x:c r="A3126" s="256" t="n">
        <x:f>-12+1516*0.01</x:f>
        <x:v>3.16</x:v>
      </x:c>
      <x:c r="B3126" s="256" t="n">
        <x:f>IF(COUNT($B$129:$L$129)=11,B$129*EXP(IF(A3126&lt;0,(10-0)*A3126,-0*A3126))+C$129*EXP(IF(A3126&lt;0,(10-1)*A3126,-1*A3126))+D$129*EXP(IF(A3126&lt;0,(10-2)*A3126,-2*A3126))+E$129*EXP(IF(A3126&lt;0,(10-3)*A3126,-3*A3126))+F$129*EXP(IF(A3126&lt;0,(10-4)*A3126,-4*A3126))+G$129*EXP(IF(A3126&lt;0,(10-5)*A3126,-5*A3126))+H$129*EXP(IF(A3126&lt;0,(10-6)*A3126,-6*A3126))+I$129*EXP(IF(A3126&lt;0,(10-7)*A3126,-7*A3126))+J$129*EXP(IF(A3126&lt;0,(10-8)*A3126,-8*A3126))+K$129*EXP(IF(A3126&lt;0,(10-9)*A3126,-9*A3126))+L$129*EXP(IF(A3126&lt;0,(10-10)*A3126,-10*A3126)),0)</x:f>
        <x:v>-190356.8739745359</x:v>
      </x:c>
      <x:c r="C3126" s="256" t="n">
        <x:f>IF(B3126=0,IF(B3125=0,0,1),IF(B3125=0,0,IF(SIGN(B3126)&lt;&gt;SIGN(B3125),1,0)))</x:f>
        <x:v>0</x:v>
      </x:c>
      <x:c r="D3126" s="256" t="n">
        <x:f>EXP(A3126-0.005)-1</x:f>
        <x:v>22.453037091431025</x:v>
      </x:c>
    </x:row>
    <x:row r="3127" ht="20" customHeight="1">
      <x:c r="A3127" s="256" t="n">
        <x:f>-12+1517*0.01</x:f>
        <x:v>3.17</x:v>
      </x:c>
      <x:c r="B3127" s="256" t="n">
        <x:f>IF(COUNT($B$129:$L$129)=11,B$129*EXP(IF(A3127&lt;0,(10-0)*A3127,-0*A3127))+C$129*EXP(IF(A3127&lt;0,(10-1)*A3127,-1*A3127))+D$129*EXP(IF(A3127&lt;0,(10-2)*A3127,-2*A3127))+E$129*EXP(IF(A3127&lt;0,(10-3)*A3127,-3*A3127))+F$129*EXP(IF(A3127&lt;0,(10-4)*A3127,-4*A3127))+G$129*EXP(IF(A3127&lt;0,(10-5)*A3127,-5*A3127))+H$129*EXP(IF(A3127&lt;0,(10-6)*A3127,-6*A3127))+I$129*EXP(IF(A3127&lt;0,(10-7)*A3127,-7*A3127))+J$129*EXP(IF(A3127&lt;0,(10-8)*A3127,-8*A3127))+K$129*EXP(IF(A3127&lt;0,(10-9)*A3127,-9*A3127))+L$129*EXP(IF(A3127&lt;0,(10-10)*A3127,-10*A3127)),0)</x:f>
        <x:v>-190353.21229290054</x:v>
      </x:c>
      <x:c r="C3127" s="256" t="n">
        <x:f>IF(B3127=0,IF(B3126=0,0,1),IF(B3126=0,0,IF(SIGN(B3127)&lt;&gt;SIGN(B3126),1,0)))</x:f>
        <x:v>0</x:v>
      </x:c>
      <x:c r="D3127" s="256" t="n">
        <x:f>EXP(A3127-0.005)-1</x:f>
        <x:v>22.688744032831092</x:v>
      </x:c>
    </x:row>
    <x:row r="3128" ht="20" customHeight="1">
      <x:c r="A3128" s="256" t="n">
        <x:f>-12+1518*0.01</x:f>
        <x:v>3.1799999999999997</x:v>
      </x:c>
      <x:c r="B3128" s="256" t="n">
        <x:f>IF(COUNT($B$129:$L$129)=11,B$129*EXP(IF(A3128&lt;0,(10-0)*A3128,-0*A3128))+C$129*EXP(IF(A3128&lt;0,(10-1)*A3128,-1*A3128))+D$129*EXP(IF(A3128&lt;0,(10-2)*A3128,-2*A3128))+E$129*EXP(IF(A3128&lt;0,(10-3)*A3128,-3*A3128))+F$129*EXP(IF(A3128&lt;0,(10-4)*A3128,-4*A3128))+G$129*EXP(IF(A3128&lt;0,(10-5)*A3128,-5*A3128))+H$129*EXP(IF(A3128&lt;0,(10-6)*A3128,-6*A3128))+I$129*EXP(IF(A3128&lt;0,(10-7)*A3128,-7*A3128))+J$129*EXP(IF(A3128&lt;0,(10-8)*A3128,-8*A3128))+K$129*EXP(IF(A3128&lt;0,(10-9)*A3128,-9*A3128))+L$129*EXP(IF(A3128&lt;0,(10-10)*A3128,-10*A3128)),0)</x:f>
        <x:v>-190349.5892928713</x:v>
      </x:c>
      <x:c r="C3128" s="256" t="n">
        <x:f>IF(B3128=0,IF(B3127=0,0,1),IF(B3127=0,0,IF(SIGN(B3128)&lt;&gt;SIGN(B3127),1,0)))</x:f>
        <x:v>0</x:v>
      </x:c>
      <x:c r="D3128" s="256" t="n">
        <x:f>EXP(A3128-0.005)-1</x:f>
        <x:v>22.92681986837513</x:v>
      </x:c>
    </x:row>
    <x:row r="3129" ht="20" customHeight="1">
      <x:c r="A3129" s="256" t="n">
        <x:f>-12+1519*0.01</x:f>
        <x:v>3.1899999999999995</x:v>
      </x:c>
      <x:c r="B3129" s="256" t="n">
        <x:f>IF(COUNT($B$129:$L$129)=11,B$129*EXP(IF(A3129&lt;0,(10-0)*A3129,-0*A3129))+C$129*EXP(IF(A3129&lt;0,(10-1)*A3129,-1*A3129))+D$129*EXP(IF(A3129&lt;0,(10-2)*A3129,-2*A3129))+E$129*EXP(IF(A3129&lt;0,(10-3)*A3129,-3*A3129))+F$129*EXP(IF(A3129&lt;0,(10-4)*A3129,-4*A3129))+G$129*EXP(IF(A3129&lt;0,(10-5)*A3129,-5*A3129))+H$129*EXP(IF(A3129&lt;0,(10-6)*A3129,-6*A3129))+I$129*EXP(IF(A3129&lt;0,(10-7)*A3129,-7*A3129))+J$129*EXP(IF(A3129&lt;0,(10-8)*A3129,-8*A3129))+K$129*EXP(IF(A3129&lt;0,(10-9)*A3129,-9*A3129))+L$129*EXP(IF(A3129&lt;0,(10-10)*A3129,-10*A3129)),0)</x:f>
        <x:v>-190346.0045434273</x:v>
      </x:c>
      <x:c r="C3129" s="256" t="n">
        <x:f>IF(B3129=0,IF(B3128=0,0,1),IF(B3128=0,0,IF(SIGN(B3129)&lt;&gt;SIGN(B3128),1,0)))</x:f>
        <x:v>0</x:v>
      </x:c>
      <x:c r="D3129" s="256" t="n">
        <x:f>EXP(A3129-0.005)-1</x:f>
        <x:v>23.167288405845085</x:v>
      </x:c>
    </x:row>
    <x:row r="3130" ht="20" customHeight="1">
      <x:c r="A3130" s="256" t="n">
        <x:f>-12+1520*0.01</x:f>
        <x:v>3.200000000000001</x:v>
      </x:c>
      <x:c r="B3130" s="256" t="n">
        <x:f>IF(COUNT($B$129:$L$129)=11,B$129*EXP(IF(A3130&lt;0,(10-0)*A3130,-0*A3130))+C$129*EXP(IF(A3130&lt;0,(10-1)*A3130,-1*A3130))+D$129*EXP(IF(A3130&lt;0,(10-2)*A3130,-2*A3130))+E$129*EXP(IF(A3130&lt;0,(10-3)*A3130,-3*A3130))+F$129*EXP(IF(A3130&lt;0,(10-4)*A3130,-4*A3130))+G$129*EXP(IF(A3130&lt;0,(10-5)*A3130,-5*A3130))+H$129*EXP(IF(A3130&lt;0,(10-6)*A3130,-6*A3130))+I$129*EXP(IF(A3130&lt;0,(10-7)*A3130,-7*A3130))+J$129*EXP(IF(A3130&lt;0,(10-8)*A3130,-8*A3130))+K$129*EXP(IF(A3130&lt;0,(10-9)*A3130,-9*A3130))+L$129*EXP(IF(A3130&lt;0,(10-10)*A3130,-10*A3130)),0)</x:f>
        <x:v>-190342.45761879877</x:v>
      </x:c>
      <x:c r="C3130" s="256" t="n">
        <x:f>IF(B3130=0,IF(B3129=0,0,1),IF(B3129=0,0,IF(SIGN(B3130)&lt;&gt;SIGN(B3129),1,0)))</x:f>
        <x:v>0</x:v>
      </x:c>
      <x:c r="D3130" s="256" t="n">
        <x:f>EXP(A3130-0.005)-1</x:f>
        <x:v>23.410173692295146</x:v>
      </x:c>
    </x:row>
    <x:row r="3131" ht="20" customHeight="1">
      <x:c r="A3131" s="256" t="n">
        <x:f>-12+1521*0.01</x:f>
        <x:v>3.210000000000001</x:v>
      </x:c>
      <x:c r="B3131" s="256" t="n">
        <x:f>IF(COUNT($B$129:$L$129)=11,B$129*EXP(IF(A3131&lt;0,(10-0)*A3131,-0*A3131))+C$129*EXP(IF(A3131&lt;0,(10-1)*A3131,-1*A3131))+D$129*EXP(IF(A3131&lt;0,(10-2)*A3131,-2*A3131))+E$129*EXP(IF(A3131&lt;0,(10-3)*A3131,-3*A3131))+F$129*EXP(IF(A3131&lt;0,(10-4)*A3131,-4*A3131))+G$129*EXP(IF(A3131&lt;0,(10-5)*A3131,-5*A3131))+H$129*EXP(IF(A3131&lt;0,(10-6)*A3131,-6*A3131))+I$129*EXP(IF(A3131&lt;0,(10-7)*A3131,-7*A3131))+J$129*EXP(IF(A3131&lt;0,(10-8)*A3131,-8*A3131))+K$129*EXP(IF(A3131&lt;0,(10-9)*A3131,-9*A3131))+L$129*EXP(IF(A3131&lt;0,(10-10)*A3131,-10*A3131)),0)</x:f>
        <x:v>-190338.94809839412</x:v>
      </x:c>
      <x:c r="C3131" s="256" t="n">
        <x:f>IF(B3131=0,IF(B3130=0,0,1),IF(B3130=0,0,IF(SIGN(B3131)&lt;&gt;SIGN(B3130),1,0)))</x:f>
        <x:v>0</x:v>
      </x:c>
      <x:c r="D3131" s="256" t="n">
        <x:f>EXP(A3131-0.005)-1</x:f>
        <x:v>23.65550001645627</x:v>
      </x:c>
    </x:row>
    <x:row r="3132" ht="20" customHeight="1">
      <x:c r="A3132" s="256" t="n">
        <x:f>-12+1522*0.01</x:f>
        <x:v>3.2200000000000006</x:v>
      </x:c>
      <x:c r="B3132" s="256" t="n">
        <x:f>IF(COUNT($B$129:$L$129)=11,B$129*EXP(IF(A3132&lt;0,(10-0)*A3132,-0*A3132))+C$129*EXP(IF(A3132&lt;0,(10-1)*A3132,-1*A3132))+D$129*EXP(IF(A3132&lt;0,(10-2)*A3132,-2*A3132))+E$129*EXP(IF(A3132&lt;0,(10-3)*A3132,-3*A3132))+F$129*EXP(IF(A3132&lt;0,(10-4)*A3132,-4*A3132))+G$129*EXP(IF(A3132&lt;0,(10-5)*A3132,-5*A3132))+H$129*EXP(IF(A3132&lt;0,(10-6)*A3132,-6*A3132))+I$129*EXP(IF(A3132&lt;0,(10-7)*A3132,-7*A3132))+J$129*EXP(IF(A3132&lt;0,(10-8)*A3132,-8*A3132))+K$129*EXP(IF(A3132&lt;0,(10-9)*A3132,-9*A3132))+L$129*EXP(IF(A3132&lt;0,(10-10)*A3132,-10*A3132)),0)</x:f>
        <x:v>-190335.47556672862</x:v>
      </x:c>
      <x:c r="C3132" s="256" t="n">
        <x:f>IF(B3132=0,IF(B3131=0,0,1),IF(B3131=0,0,IF(SIGN(B3132)&lt;&gt;SIGN(B3131),1,0)))</x:f>
        <x:v>0</x:v>
      </x:c>
      <x:c r="D3132" s="256" t="n">
        <x:f>EXP(A3132-0.005)-1</x:f>
        <x:v>23.903291911165358</x:v>
      </x:c>
    </x:row>
    <x:row r="3133" ht="20" customHeight="1">
      <x:c r="A3133" s="256" t="n">
        <x:f>-12+1523*0.01</x:f>
        <x:v>3.2300000000000004</x:v>
      </x:c>
      <x:c r="B3133" s="256" t="n">
        <x:f>IF(COUNT($B$129:$L$129)=11,B$129*EXP(IF(A3133&lt;0,(10-0)*A3133,-0*A3133))+C$129*EXP(IF(A3133&lt;0,(10-1)*A3133,-1*A3133))+D$129*EXP(IF(A3133&lt;0,(10-2)*A3133,-2*A3133))+E$129*EXP(IF(A3133&lt;0,(10-3)*A3133,-3*A3133))+F$129*EXP(IF(A3133&lt;0,(10-4)*A3133,-4*A3133))+G$129*EXP(IF(A3133&lt;0,(10-5)*A3133,-5*A3133))+H$129*EXP(IF(A3133&lt;0,(10-6)*A3133,-6*A3133))+I$129*EXP(IF(A3133&lt;0,(10-7)*A3133,-7*A3133))+J$129*EXP(IF(A3133&lt;0,(10-8)*A3133,-8*A3133))+K$129*EXP(IF(A3133&lt;0,(10-9)*A3133,-9*A3133))+L$129*EXP(IF(A3133&lt;0,(10-10)*A3133,-10*A3133)),0)</x:f>
        <x:v>-190332.03961335353</x:v>
      </x:c>
      <x:c r="C3133" s="256" t="n">
        <x:f>IF(B3133=0,IF(B3132=0,0,1),IF(B3132=0,0,IF(SIGN(B3133)&lt;&gt;SIGN(B3132),1,0)))</x:f>
        <x:v>0</x:v>
      </x:c>
      <x:c r="D3133" s="256" t="n">
        <x:f>EXP(A3133-0.005)-1</x:f>
        <x:v>24.153574155818376</x:v>
      </x:c>
    </x:row>
    <x:row r="3134" ht="20" customHeight="1">
      <x:c r="A3134" s="256" t="n">
        <x:f>-12+1524*0.01</x:f>
        <x:v>3.24</x:v>
      </x:c>
      <x:c r="B3134" s="256" t="n">
        <x:f>IF(COUNT($B$129:$L$129)=11,B$129*EXP(IF(A3134&lt;0,(10-0)*A3134,-0*A3134))+C$129*EXP(IF(A3134&lt;0,(10-1)*A3134,-1*A3134))+D$129*EXP(IF(A3134&lt;0,(10-2)*A3134,-2*A3134))+E$129*EXP(IF(A3134&lt;0,(10-3)*A3134,-3*A3134))+F$129*EXP(IF(A3134&lt;0,(10-4)*A3134,-4*A3134))+G$129*EXP(IF(A3134&lt;0,(10-5)*A3134,-5*A3134))+H$129*EXP(IF(A3134&lt;0,(10-6)*A3134,-6*A3134))+I$129*EXP(IF(A3134&lt;0,(10-7)*A3134,-7*A3134))+J$129*EXP(IF(A3134&lt;0,(10-8)*A3134,-8*A3134))+K$129*EXP(IF(A3134&lt;0,(10-9)*A3134,-9*A3134))+L$129*EXP(IF(A3134&lt;0,(10-10)*A3134,-10*A3134)),0)</x:f>
        <x:v>-190328.6398327873</x:v>
      </x:c>
      <x:c r="C3134" s="256" t="n">
        <x:f>IF(B3134=0,IF(B3133=0,0,1),IF(B3133=0,0,IF(SIGN(B3134)&lt;&gt;SIGN(B3133),1,0)))</x:f>
        <x:v>0</x:v>
      </x:c>
      <x:c r="D3134" s="256" t="n">
        <x:f>EXP(A3134-0.005)-1</x:f>
        <x:v>24.406371778848357</x:v>
      </x:c>
    </x:row>
    <x:row r="3135" ht="20" customHeight="1">
      <x:c r="A3135" s="256" t="n">
        <x:f>-12+1525*0.01</x:f>
        <x:v>3.25</x:v>
      </x:c>
      <x:c r="B3135" s="256" t="n">
        <x:f>IF(COUNT($B$129:$L$129)=11,B$129*EXP(IF(A3135&lt;0,(10-0)*A3135,-0*A3135))+C$129*EXP(IF(A3135&lt;0,(10-1)*A3135,-1*A3135))+D$129*EXP(IF(A3135&lt;0,(10-2)*A3135,-2*A3135))+E$129*EXP(IF(A3135&lt;0,(10-3)*A3135,-3*A3135))+F$129*EXP(IF(A3135&lt;0,(10-4)*A3135,-4*A3135))+G$129*EXP(IF(A3135&lt;0,(10-5)*A3135,-5*A3135))+H$129*EXP(IF(A3135&lt;0,(10-6)*A3135,-6*A3135))+I$129*EXP(IF(A3135&lt;0,(10-7)*A3135,-7*A3135))+J$129*EXP(IF(A3135&lt;0,(10-8)*A3135,-8*A3135))+K$129*EXP(IF(A3135&lt;0,(10-9)*A3135,-9*A3135))+L$129*EXP(IF(A3135&lt;0,(10-10)*A3135,-10*A3135)),0)</x:f>
        <x:v>-190325.27582444702</x:v>
      </x:c>
      <x:c r="C3135" s="256" t="n">
        <x:f>IF(B3135=0,IF(B3134=0,0,1),IF(B3134=0,0,IF(SIGN(B3135)&lt;&gt;SIGN(B3134),1,0)))</x:f>
        <x:v>0</x:v>
      </x:c>
      <x:c r="D3135" s="256" t="n">
        <x:f>EXP(A3135-0.005)-1</x:f>
        <x:v>24.66171006022827</x:v>
      </x:c>
    </x:row>
    <x:row r="3136" ht="20" customHeight="1">
      <x:c r="A3136" s="256" t="n">
        <x:f>-12+1526*0.01</x:f>
        <x:v>3.26</x:v>
      </x:c>
      <x:c r="B3136" s="256" t="n">
        <x:f>IF(COUNT($B$129:$L$129)=11,B$129*EXP(IF(A3136&lt;0,(10-0)*A3136,-0*A3136))+C$129*EXP(IF(A3136&lt;0,(10-1)*A3136,-1*A3136))+D$129*EXP(IF(A3136&lt;0,(10-2)*A3136,-2*A3136))+E$129*EXP(IF(A3136&lt;0,(10-3)*A3136,-3*A3136))+F$129*EXP(IF(A3136&lt;0,(10-4)*A3136,-4*A3136))+G$129*EXP(IF(A3136&lt;0,(10-5)*A3136,-5*A3136))+H$129*EXP(IF(A3136&lt;0,(10-6)*A3136,-6*A3136))+I$129*EXP(IF(A3136&lt;0,(10-7)*A3136,-7*A3136))+J$129*EXP(IF(A3136&lt;0,(10-8)*A3136,-8*A3136))+K$129*EXP(IF(A3136&lt;0,(10-9)*A3136,-9*A3136))+L$129*EXP(IF(A3136&lt;0,(10-10)*A3136,-10*A3136)),0)</x:f>
        <x:v>-190321.94719258137</x:v>
      </x:c>
      <x:c r="C3136" s="256" t="n">
        <x:f>IF(B3136=0,IF(B3135=0,0,1),IF(B3135=0,0,IF(SIGN(B3136)&lt;&gt;SIGN(B3135),1,0)))</x:f>
        <x:v>0</x:v>
      </x:c>
      <x:c r="D3136" s="256" t="n">
        <x:f>EXP(A3136-0.005)-1</x:f>
        <x:v>24.919614533999034</x:v>
      </x:c>
    </x:row>
    <x:row r="3137" ht="20" customHeight="1">
      <x:c r="A3137" s="256" t="n">
        <x:f>-12+1527*0.01</x:f>
        <x:v>3.2699999999999996</x:v>
      </x:c>
      <x:c r="B3137" s="256" t="n">
        <x:f>IF(COUNT($B$129:$L$129)=11,B$129*EXP(IF(A3137&lt;0,(10-0)*A3137,-0*A3137))+C$129*EXP(IF(A3137&lt;0,(10-1)*A3137,-1*A3137))+D$129*EXP(IF(A3137&lt;0,(10-2)*A3137,-2*A3137))+E$129*EXP(IF(A3137&lt;0,(10-3)*A3137,-3*A3137))+F$129*EXP(IF(A3137&lt;0,(10-4)*A3137,-4*A3137))+G$129*EXP(IF(A3137&lt;0,(10-5)*A3137,-5*A3137))+H$129*EXP(IF(A3137&lt;0,(10-6)*A3137,-6*A3137))+I$129*EXP(IF(A3137&lt;0,(10-7)*A3137,-7*A3137))+J$129*EXP(IF(A3137&lt;0,(10-8)*A3137,-8*A3137))+K$129*EXP(IF(A3137&lt;0,(10-9)*A3137,-9*A3137))+L$129*EXP(IF(A3137&lt;0,(10-10)*A3137,-10*A3137)),0)</x:f>
        <x:v>-190318.65354620476</x:v>
      </x:c>
      <x:c r="C3137" s="256" t="n">
        <x:f>IF(B3137=0,IF(B3136=0,0,1),IF(B3136=0,0,IF(SIGN(B3137)&lt;&gt;SIGN(B3136),1,0)))</x:f>
        <x:v>0</x:v>
      </x:c>
      <x:c r="D3137" s="256" t="n">
        <x:f>EXP(A3137-0.005)-1</x:f>
        <x:v>25.18011099082295</x:v>
      </x:c>
    </x:row>
    <x:row r="3138" ht="20" customHeight="1">
      <x:c r="A3138" s="256" t="n">
        <x:f>-12+1528*0.01</x:f>
        <x:v>3.280000000000001</x:v>
      </x:c>
      <x:c r="B3138" s="256" t="n">
        <x:f>IF(COUNT($B$129:$L$129)=11,B$129*EXP(IF(A3138&lt;0,(10-0)*A3138,-0*A3138))+C$129*EXP(IF(A3138&lt;0,(10-1)*A3138,-1*A3138))+D$129*EXP(IF(A3138&lt;0,(10-2)*A3138,-2*A3138))+E$129*EXP(IF(A3138&lt;0,(10-3)*A3138,-3*A3138))+F$129*EXP(IF(A3138&lt;0,(10-4)*A3138,-4*A3138))+G$129*EXP(IF(A3138&lt;0,(10-5)*A3138,-5*A3138))+H$129*EXP(IF(A3138&lt;0,(10-6)*A3138,-6*A3138))+I$129*EXP(IF(A3138&lt;0,(10-7)*A3138,-7*A3138))+J$129*EXP(IF(A3138&lt;0,(10-8)*A3138,-8*A3138))+K$129*EXP(IF(A3138&lt;0,(10-9)*A3138,-9*A3138))+L$129*EXP(IF(A3138&lt;0,(10-10)*A3138,-10*A3138)),0)</x:f>
        <x:v>-190315.39449903206</x:v>
      </x:c>
      <x:c r="C3138" s="256" t="n">
        <x:f>IF(B3138=0,IF(B3137=0,0,1),IF(B3137=0,0,IF(SIGN(B3138)&lt;&gt;SIGN(B3137),1,0)))</x:f>
        <x:v>0</x:v>
      </x:c>
      <x:c r="D3138" s="256" t="n">
        <x:f>EXP(A3138-0.005)-1</x:f>
        <x:v>25.443225480562823</x:v>
      </x:c>
    </x:row>
    <x:row r="3139" ht="20" customHeight="1">
      <x:c r="A3139" s="256" t="n">
        <x:f>-12+1529*0.01</x:f>
        <x:v>3.290000000000001</x:v>
      </x:c>
      <x:c r="B3139" s="256" t="n">
        <x:f>IF(COUNT($B$129:$L$129)=11,B$129*EXP(IF(A3139&lt;0,(10-0)*A3139,-0*A3139))+C$129*EXP(IF(A3139&lt;0,(10-1)*A3139,-1*A3139))+D$129*EXP(IF(A3139&lt;0,(10-2)*A3139,-2*A3139))+E$129*EXP(IF(A3139&lt;0,(10-3)*A3139,-3*A3139))+F$129*EXP(IF(A3139&lt;0,(10-4)*A3139,-4*A3139))+G$129*EXP(IF(A3139&lt;0,(10-5)*A3139,-5*A3139))+H$129*EXP(IF(A3139&lt;0,(10-6)*A3139,-6*A3139))+I$129*EXP(IF(A3139&lt;0,(10-7)*A3139,-7*A3139))+J$129*EXP(IF(A3139&lt;0,(10-8)*A3139,-8*A3139))+K$129*EXP(IF(A3139&lt;0,(10-9)*A3139,-9*A3139))+L$129*EXP(IF(A3139&lt;0,(10-10)*A3139,-10*A3139)),0)</x:f>
        <x:v>-190312.16966941487</x:v>
      </x:c>
      <x:c r="C3139" s="256" t="n">
        <x:f>IF(B3139=0,IF(B3138=0,0,1),IF(B3138=0,0,IF(SIGN(B3139)&lt;&gt;SIGN(B3138),1,0)))</x:f>
        <x:v>0</x:v>
      </x:c>
      <x:c r="D3139" s="256" t="n">
        <x:f>EXP(A3139-0.005)-1</x:f>
        <x:v>25.708984314886806</x:v>
      </x:c>
    </x:row>
    <x:row r="3140" ht="20" customHeight="1">
      <x:c r="A3140" s="256" t="n">
        <x:f>-12+1530*0.01</x:f>
        <x:v>3.3000000000000007</x:v>
      </x:c>
      <x:c r="B3140" s="256" t="n">
        <x:f>IF(COUNT($B$129:$L$129)=11,B$129*EXP(IF(A3140&lt;0,(10-0)*A3140,-0*A3140))+C$129*EXP(IF(A3140&lt;0,(10-1)*A3140,-1*A3140))+D$129*EXP(IF(A3140&lt;0,(10-2)*A3140,-2*A3140))+E$129*EXP(IF(A3140&lt;0,(10-3)*A3140,-3*A3140))+F$129*EXP(IF(A3140&lt;0,(10-4)*A3140,-4*A3140))+G$129*EXP(IF(A3140&lt;0,(10-5)*A3140,-5*A3140))+H$129*EXP(IF(A3140&lt;0,(10-6)*A3140,-6*A3140))+I$129*EXP(IF(A3140&lt;0,(10-7)*A3140,-7*A3140))+J$129*EXP(IF(A3140&lt;0,(10-8)*A3140,-8*A3140))+K$129*EXP(IF(A3140&lt;0,(10-9)*A3140,-9*A3140))+L$129*EXP(IF(A3140&lt;0,(10-10)*A3140,-10*A3140)),0)</x:f>
        <x:v>-190308.9786802784</x:v>
      </x:c>
      <x:c r="C3140" s="256" t="n">
        <x:f>IF(B3140=0,IF(B3139=0,0,1),IF(B3139=0,0,IF(SIGN(B3140)&lt;&gt;SIGN(B3139),1,0)))</x:f>
        <x:v>0</x:v>
      </x:c>
      <x:c r="D3140" s="256" t="n">
        <x:f>EXP(A3140-0.005)-1</x:f>
        <x:v>25.977414069899837</x:v>
      </x:c>
    </x:row>
    <x:row r="3141" ht="20" customHeight="1">
      <x:c r="A3141" s="256" t="n">
        <x:f>-12+1531*0.01</x:f>
        <x:v>3.3100000000000005</x:v>
      </x:c>
      <x:c r="B3141" s="256" t="n">
        <x:f>IF(COUNT($B$129:$L$129)=11,B$129*EXP(IF(A3141&lt;0,(10-0)*A3141,-0*A3141))+C$129*EXP(IF(A3141&lt;0,(10-1)*A3141,-1*A3141))+D$129*EXP(IF(A3141&lt;0,(10-2)*A3141,-2*A3141))+E$129*EXP(IF(A3141&lt;0,(10-3)*A3141,-3*A3141))+F$129*EXP(IF(A3141&lt;0,(10-4)*A3141,-4*A3141))+G$129*EXP(IF(A3141&lt;0,(10-5)*A3141,-5*A3141))+H$129*EXP(IF(A3141&lt;0,(10-6)*A3141,-6*A3141))+I$129*EXP(IF(A3141&lt;0,(10-7)*A3141,-7*A3141))+J$129*EXP(IF(A3141&lt;0,(10-8)*A3141,-8*A3141))+K$129*EXP(IF(A3141&lt;0,(10-9)*A3141,-9*A3141))+L$129*EXP(IF(A3141&lt;0,(10-10)*A3141,-10*A3141)),0)</x:f>
        <x:v>-190305.8211590597</x:v>
      </x:c>
      <x:c r="C3141" s="256" t="n">
        <x:f>IF(B3141=0,IF(B3140=0,0,1),IF(B3140=0,0,IF(SIGN(B3141)&lt;&gt;SIGN(B3140),1,0)))</x:f>
        <x:v>0</x:v>
      </x:c>
      <x:c r="D3141" s="256" t="n">
        <x:f>EXP(A3141-0.005)-1</x:f>
        <x:v>26.24854158880111</x:v>
      </x:c>
    </x:row>
    <x:row r="3142" ht="20" customHeight="1">
      <x:c r="A3142" s="256" t="n">
        <x:f>-12+1532*0.01</x:f>
        <x:v>3.3200000000000003</x:v>
      </x:c>
      <x:c r="B3142" s="256" t="n">
        <x:f>IF(COUNT($B$129:$L$129)=11,B$129*EXP(IF(A3142&lt;0,(10-0)*A3142,-0*A3142))+C$129*EXP(IF(A3142&lt;0,(10-1)*A3142,-1*A3142))+D$129*EXP(IF(A3142&lt;0,(10-2)*A3142,-2*A3142))+E$129*EXP(IF(A3142&lt;0,(10-3)*A3142,-3*A3142))+F$129*EXP(IF(A3142&lt;0,(10-4)*A3142,-4*A3142))+G$129*EXP(IF(A3142&lt;0,(10-5)*A3142,-5*A3142))+H$129*EXP(IF(A3142&lt;0,(10-6)*A3142,-6*A3142))+I$129*EXP(IF(A3142&lt;0,(10-7)*A3142,-7*A3142))+J$129*EXP(IF(A3142&lt;0,(10-8)*A3142,-8*A3142))+K$129*EXP(IF(A3142&lt;0,(10-9)*A3142,-9*A3142))+L$129*EXP(IF(A3142&lt;0,(10-10)*A3142,-10*A3142)),0)</x:f>
        <x:v>-190302.6967376465</x:v>
      </x:c>
      <x:c r="C3142" s="256" t="n">
        <x:f>IF(B3142=0,IF(B3141=0,0,1),IF(B3141=0,0,IF(SIGN(B3142)&lt;&gt;SIGN(B3141),1,0)))</x:f>
        <x:v>0</x:v>
      </x:c>
      <x:c r="D3142" s="256" t="n">
        <x:f>EXP(A3142-0.005)-1</x:f>
        <x:v>26.52239398456846</x:v>
      </x:c>
    </x:row>
    <x:row r="3143" ht="20" customHeight="1">
      <x:c r="A3143" s="256" t="n">
        <x:f>-12+1533*0.01</x:f>
        <x:v>3.33</x:v>
      </x:c>
      <x:c r="B3143" s="256" t="n">
        <x:f>IF(COUNT($B$129:$L$129)=11,B$129*EXP(IF(A3143&lt;0,(10-0)*A3143,-0*A3143))+C$129*EXP(IF(A3143&lt;0,(10-1)*A3143,-1*A3143))+D$129*EXP(IF(A3143&lt;0,(10-2)*A3143,-2*A3143))+E$129*EXP(IF(A3143&lt;0,(10-3)*A3143,-3*A3143))+F$129*EXP(IF(A3143&lt;0,(10-4)*A3143,-4*A3143))+G$129*EXP(IF(A3143&lt;0,(10-5)*A3143,-5*A3143))+H$129*EXP(IF(A3143&lt;0,(10-6)*A3143,-6*A3143))+I$129*EXP(IF(A3143&lt;0,(10-7)*A3143,-7*A3143))+J$129*EXP(IF(A3143&lt;0,(10-8)*A3143,-8*A3143))+K$129*EXP(IF(A3143&lt;0,(10-9)*A3143,-9*A3143))+L$129*EXP(IF(A3143&lt;0,(10-10)*A3143,-10*A3143)),0)</x:f>
        <x:v>-190299.60505231723</x:v>
      </x:c>
      <x:c r="C3143" s="256" t="n">
        <x:f>IF(B3143=0,IF(B3142=0,0,1),IF(B3142=0,0,IF(SIGN(B3143)&lt;&gt;SIGN(B3142),1,0)))</x:f>
        <x:v>0</x:v>
      </x:c>
      <x:c r="D3143" s="256" t="n">
        <x:f>EXP(A3143-0.005)-1</x:f>
        <x:v>26.798998642669666</x:v>
      </x:c>
    </x:row>
    <x:row r="3144" ht="20" customHeight="1">
      <x:c r="A3144" s="256" t="n">
        <x:f>-12+1534*0.01</x:f>
        <x:v>3.34</x:v>
      </x:c>
      <x:c r="B3144" s="256" t="n">
        <x:f>IF(COUNT($B$129:$L$129)=11,B$129*EXP(IF(A3144&lt;0,(10-0)*A3144,-0*A3144))+C$129*EXP(IF(A3144&lt;0,(10-1)*A3144,-1*A3144))+D$129*EXP(IF(A3144&lt;0,(10-2)*A3144,-2*A3144))+E$129*EXP(IF(A3144&lt;0,(10-3)*A3144,-3*A3144))+F$129*EXP(IF(A3144&lt;0,(10-4)*A3144,-4*A3144))+G$129*EXP(IF(A3144&lt;0,(10-5)*A3144,-5*A3144))+H$129*EXP(IF(A3144&lt;0,(10-6)*A3144,-6*A3144))+I$129*EXP(IF(A3144&lt;0,(10-7)*A3144,-7*A3144))+J$129*EXP(IF(A3144&lt;0,(10-8)*A3144,-8*A3144))+K$129*EXP(IF(A3144&lt;0,(10-9)*A3144,-9*A3144))+L$129*EXP(IF(A3144&lt;0,(10-10)*A3144,-10*A3144)),0)</x:f>
        <x:v>-190296.54574368204</x:v>
      </x:c>
      <x:c r="C3144" s="256" t="n">
        <x:f>IF(B3144=0,IF(B3143=0,0,1),IF(B3143=0,0,IF(SIGN(B3144)&lt;&gt;SIGN(B3143),1,0)))</x:f>
        <x:v>0</x:v>
      </x:c>
      <x:c r="D3144" s="256" t="n">
        <x:f>EXP(A3144-0.005)-1</x:f>
        <x:v>27.07838322380105</x:v>
      </x:c>
    </x:row>
    <x:row r="3145" ht="20" customHeight="1">
      <x:c r="A3145" s="256" t="n">
        <x:f>-12+1535*0.01</x:f>
        <x:v>3.3499999999999996</x:v>
      </x:c>
      <x:c r="B3145" s="256" t="n">
        <x:f>IF(COUNT($B$129:$L$129)=11,B$129*EXP(IF(A3145&lt;0,(10-0)*A3145,-0*A3145))+C$129*EXP(IF(A3145&lt;0,(10-1)*A3145,-1*A3145))+D$129*EXP(IF(A3145&lt;0,(10-2)*A3145,-2*A3145))+E$129*EXP(IF(A3145&lt;0,(10-3)*A3145,-3*A3145))+F$129*EXP(IF(A3145&lt;0,(10-4)*A3145,-4*A3145))+G$129*EXP(IF(A3145&lt;0,(10-5)*A3145,-5*A3145))+H$129*EXP(IF(A3145&lt;0,(10-6)*A3145,-6*A3145))+I$129*EXP(IF(A3145&lt;0,(10-7)*A3145,-7*A3145))+J$129*EXP(IF(A3145&lt;0,(10-8)*A3145,-8*A3145))+K$129*EXP(IF(A3145&lt;0,(10-9)*A3145,-9*A3145))+L$129*EXP(IF(A3145&lt;0,(10-10)*A3145,-10*A3145)),0)</x:f>
        <x:v>-190293.5184566245</x:v>
      </x:c>
      <x:c r="C3145" s="256" t="n">
        <x:f>IF(B3145=0,IF(B3144=0,0,1),IF(B3144=0,0,IF(SIGN(B3145)&lt;&gt;SIGN(B3144),1,0)))</x:f>
        <x:v>0</x:v>
      </x:c>
      <x:c r="D3145" s="256" t="n">
        <x:f>EXP(A3145-0.005)-1</x:f>
        <x:v>27.36057566665355</x:v>
      </x:c>
    </x:row>
    <x:row r="3146" ht="20" customHeight="1">
      <x:c r="A3146" s="256" t="n">
        <x:f>-12+1536*0.01</x:f>
        <x:v>3.3599999999999994</x:v>
      </x:c>
      <x:c r="B3146" s="256" t="n">
        <x:f>IF(COUNT($B$129:$L$129)=11,B$129*EXP(IF(A3146&lt;0,(10-0)*A3146,-0*A3146))+C$129*EXP(IF(A3146&lt;0,(10-1)*A3146,-1*A3146))+D$129*EXP(IF(A3146&lt;0,(10-2)*A3146,-2*A3146))+E$129*EXP(IF(A3146&lt;0,(10-3)*A3146,-3*A3146))+F$129*EXP(IF(A3146&lt;0,(10-4)*A3146,-4*A3146))+G$129*EXP(IF(A3146&lt;0,(10-5)*A3146,-5*A3146))+H$129*EXP(IF(A3146&lt;0,(10-6)*A3146,-6*A3146))+I$129*EXP(IF(A3146&lt;0,(10-7)*A3146,-7*A3146))+J$129*EXP(IF(A3146&lt;0,(10-8)*A3146,-8*A3146))+K$129*EXP(IF(A3146&lt;0,(10-9)*A3146,-9*A3146))+L$129*EXP(IF(A3146&lt;0,(10-10)*A3146,-10*A3146)),0)</x:f>
        <x:v>-190290.5228402443</x:v>
      </x:c>
      <x:c r="C3146" s="256" t="n">
        <x:f>IF(B3146=0,IF(B3145=0,0,1),IF(B3145=0,0,IF(SIGN(B3146)&lt;&gt;SIGN(B3145),1,0)))</x:f>
        <x:v>0</x:v>
      </x:c>
      <x:c r="D3146" s="256" t="n">
        <x:f>EXP(A3146-0.005)-1</x:f>
        <x:v>27.6456041907066</x:v>
      </x:c>
    </x:row>
    <x:row r="3147" ht="20" customHeight="1">
      <x:c r="A3147" s="256" t="n">
        <x:f>-12+1537*0.01</x:f>
        <x:v>3.370000000000001</x:v>
      </x:c>
      <x:c r="B3147" s="256" t="n">
        <x:f>IF(COUNT($B$129:$L$129)=11,B$129*EXP(IF(A3147&lt;0,(10-0)*A3147,-0*A3147))+C$129*EXP(IF(A3147&lt;0,(10-1)*A3147,-1*A3147))+D$129*EXP(IF(A3147&lt;0,(10-2)*A3147,-2*A3147))+E$129*EXP(IF(A3147&lt;0,(10-3)*A3147,-3*A3147))+F$129*EXP(IF(A3147&lt;0,(10-4)*A3147,-4*A3147))+G$129*EXP(IF(A3147&lt;0,(10-5)*A3147,-5*A3147))+H$129*EXP(IF(A3147&lt;0,(10-6)*A3147,-6*A3147))+I$129*EXP(IF(A3147&lt;0,(10-7)*A3147,-7*A3147))+J$129*EXP(IF(A3147&lt;0,(10-8)*A3147,-8*A3147))+K$129*EXP(IF(A3147&lt;0,(10-9)*A3147,-9*A3147))+L$129*EXP(IF(A3147&lt;0,(10-10)*A3147,-10*A3147)),0)</x:f>
        <x:v>-190287.55854780125</x:v>
      </x:c>
      <x:c r="C3147" s="256" t="n">
        <x:f>IF(B3147=0,IF(B3146=0,0,1),IF(B3146=0,0,IF(SIGN(B3147)&lt;&gt;SIGN(B3146),1,0)))</x:f>
        <x:v>0</x:v>
      </x:c>
      <x:c r="D3147" s="256" t="n">
        <x:f>EXP(A3147-0.005)-1</x:f>
        <x:v>27.93349729905019</x:v>
      </x:c>
    </x:row>
    <x:row r="3148" ht="20" customHeight="1">
      <x:c r="A3148" s="256" t="n">
        <x:f>-12+1538*0.01</x:f>
        <x:v>3.380000000000001</x:v>
      </x:c>
      <x:c r="B3148" s="256" t="n">
        <x:f>IF(COUNT($B$129:$L$129)=11,B$129*EXP(IF(A3148&lt;0,(10-0)*A3148,-0*A3148))+C$129*EXP(IF(A3148&lt;0,(10-1)*A3148,-1*A3148))+D$129*EXP(IF(A3148&lt;0,(10-2)*A3148,-2*A3148))+E$129*EXP(IF(A3148&lt;0,(10-3)*A3148,-3*A3148))+F$129*EXP(IF(A3148&lt;0,(10-4)*A3148,-4*A3148))+G$129*EXP(IF(A3148&lt;0,(10-5)*A3148,-5*A3148))+H$129*EXP(IF(A3148&lt;0,(10-6)*A3148,-6*A3148))+I$129*EXP(IF(A3148&lt;0,(10-7)*A3148,-7*A3148))+J$129*EXP(IF(A3148&lt;0,(10-8)*A3148,-8*A3148))+K$129*EXP(IF(A3148&lt;0,(10-9)*A3148,-9*A3148))+L$129*EXP(IF(A3148&lt;0,(10-10)*A3148,-10*A3148)),0)</x:f>
        <x:v>-190284.62523665917</x:v>
      </x:c>
      <x:c r="C3148" s="256" t="n">
        <x:f>IF(B3148=0,IF(B3147=0,0,1),IF(B3147=0,0,IF(SIGN(B3148)&lt;&gt;SIGN(B3147),1,0)))</x:f>
        <x:v>0</x:v>
      </x:c>
      <x:c r="D3148" s="256" t="n">
        <x:f>EXP(A3148-0.005)-1</x:f>
        <x:v>28.224283781234966</x:v>
      </x:c>
    </x:row>
    <x:row r="3149" ht="20" customHeight="1">
      <x:c r="A3149" s="256" t="n">
        <x:f>-12+1539*0.01</x:f>
        <x:v>3.3900000000000006</x:v>
      </x:c>
      <x:c r="B3149" s="256" t="n">
        <x:f>IF(COUNT($B$129:$L$129)=11,B$129*EXP(IF(A3149&lt;0,(10-0)*A3149,-0*A3149))+C$129*EXP(IF(A3149&lt;0,(10-1)*A3149,-1*A3149))+D$129*EXP(IF(A3149&lt;0,(10-2)*A3149,-2*A3149))+E$129*EXP(IF(A3149&lt;0,(10-3)*A3149,-3*A3149))+F$129*EXP(IF(A3149&lt;0,(10-4)*A3149,-4*A3149))+G$129*EXP(IF(A3149&lt;0,(10-5)*A3149,-5*A3149))+H$129*EXP(IF(A3149&lt;0,(10-6)*A3149,-6*A3149))+I$129*EXP(IF(A3149&lt;0,(10-7)*A3149,-7*A3149))+J$129*EXP(IF(A3149&lt;0,(10-8)*A3149,-8*A3149))+K$129*EXP(IF(A3149&lt;0,(10-9)*A3149,-9*A3149))+L$129*EXP(IF(A3149&lt;0,(10-10)*A3149,-10*A3149)),0)</x:f>
        <x:v>-190281.72256823175</x:v>
      </x:c>
      <x:c r="C3149" s="256" t="n">
        <x:f>IF(B3149=0,IF(B3148=0,0,1),IF(B3148=0,0,IF(SIGN(B3149)&lt;&gt;SIGN(B3148),1,0)))</x:f>
        <x:v>0</x:v>
      </x:c>
      <x:c r="D3149" s="256" t="n">
        <x:f>EXP(A3149-0.005)-1</x:f>
        <x:v>28.517992716151515</x:v>
      </x:c>
    </x:row>
    <x:row r="3150" ht="20" customHeight="1">
      <x:c r="A3150" s="256" t="n">
        <x:f>-12+1540*0.01</x:f>
        <x:v>3.4000000000000004</x:v>
      </x:c>
      <x:c r="B3150" s="256" t="n">
        <x:f>IF(COUNT($B$129:$L$129)=11,B$129*EXP(IF(A3150&lt;0,(10-0)*A3150,-0*A3150))+C$129*EXP(IF(A3150&lt;0,(10-1)*A3150,-1*A3150))+D$129*EXP(IF(A3150&lt;0,(10-2)*A3150,-2*A3150))+E$129*EXP(IF(A3150&lt;0,(10-3)*A3150,-3*A3150))+F$129*EXP(IF(A3150&lt;0,(10-4)*A3150,-4*A3150))+G$129*EXP(IF(A3150&lt;0,(10-5)*A3150,-5*A3150))+H$129*EXP(IF(A3150&lt;0,(10-6)*A3150,-6*A3150))+I$129*EXP(IF(A3150&lt;0,(10-7)*A3150,-7*A3150))+J$129*EXP(IF(A3150&lt;0,(10-8)*A3150,-8*A3150))+K$129*EXP(IF(A3150&lt;0,(10-9)*A3150,-9*A3150))+L$129*EXP(IF(A3150&lt;0,(10-10)*A3150,-10*A3150)),0)</x:f>
        <x:v>-190278.85020792854</x:v>
      </x:c>
      <x:c r="C3150" s="256" t="n">
        <x:f>IF(B3150=0,IF(B3149=0,0,1),IF(B3149=0,0,IF(SIGN(B3150)&lt;&gt;SIGN(B3149),1,0)))</x:f>
        <x:v>0</x:v>
      </x:c>
      <x:c r="D3150" s="256" t="n">
        <x:f>EXP(A3150-0.005)-1</x:f>
        <x:v>28.814653474938087</x:v>
      </x:c>
    </x:row>
    <x:row r="3151" ht="20" customHeight="1">
      <x:c r="A3151" s="256" t="n">
        <x:f>-12+1541*0.01</x:f>
        <x:v>3.41</x:v>
      </x:c>
      <x:c r="B3151" s="256" t="n">
        <x:f>IF(COUNT($B$129:$L$129)=11,B$129*EXP(IF(A3151&lt;0,(10-0)*A3151,-0*A3151))+C$129*EXP(IF(A3151&lt;0,(10-1)*A3151,-1*A3151))+D$129*EXP(IF(A3151&lt;0,(10-2)*A3151,-2*A3151))+E$129*EXP(IF(A3151&lt;0,(10-3)*A3151,-3*A3151))+F$129*EXP(IF(A3151&lt;0,(10-4)*A3151,-4*A3151))+G$129*EXP(IF(A3151&lt;0,(10-5)*A3151,-5*A3151))+H$129*EXP(IF(A3151&lt;0,(10-6)*A3151,-6*A3151))+I$129*EXP(IF(A3151&lt;0,(10-7)*A3151,-7*A3151))+J$129*EXP(IF(A3151&lt;0,(10-8)*A3151,-8*A3151))+K$129*EXP(IF(A3151&lt;0,(10-9)*A3151,-9*A3151))+L$129*EXP(IF(A3151&lt;0,(10-10)*A3151,-10*A3151)),0)</x:f>
        <x:v>-190276.00782510213</x:v>
      </x:c>
      <x:c r="C3151" s="256" t="n">
        <x:f>IF(B3151=0,IF(B3150=0,0,1),IF(B3150=0,0,IF(SIGN(B3151)&lt;&gt;SIGN(B3150),1,0)))</x:f>
        <x:v>0</x:v>
      </x:c>
      <x:c r="D3151" s="256" t="n">
        <x:f>EXP(A3151-0.005)-1</x:f>
        <x:v>29.114295723917778</x:v>
      </x:c>
    </x:row>
    <x:row r="3152" ht="20" customHeight="1">
      <x:c r="A3152" s="256" t="n">
        <x:f>-12+1542*0.01</x:f>
        <x:v>3.42</x:v>
      </x:c>
      <x:c r="B3152" s="256" t="n">
        <x:f>IF(COUNT($B$129:$L$129)=11,B$129*EXP(IF(A3152&lt;0,(10-0)*A3152,-0*A3152))+C$129*EXP(IF(A3152&lt;0,(10-1)*A3152,-1*A3152))+D$129*EXP(IF(A3152&lt;0,(10-2)*A3152,-2*A3152))+E$129*EXP(IF(A3152&lt;0,(10-3)*A3152,-3*A3152))+F$129*EXP(IF(A3152&lt;0,(10-4)*A3152,-4*A3152))+G$129*EXP(IF(A3152&lt;0,(10-5)*A3152,-5*A3152))+H$129*EXP(IF(A3152&lt;0,(10-6)*A3152,-6*A3152))+I$129*EXP(IF(A3152&lt;0,(10-7)*A3152,-7*A3152))+J$129*EXP(IF(A3152&lt;0,(10-8)*A3152,-8*A3152))+K$129*EXP(IF(A3152&lt;0,(10-9)*A3152,-9*A3152))+L$129*EXP(IF(A3152&lt;0,(10-10)*A3152,-10*A3152)),0)</x:f>
        <x:v>-190273.19509299585</x:v>
      </x:c>
      <x:c r="C3152" s="256" t="n">
        <x:f>IF(B3152=0,IF(B3151=0,0,1),IF(B3151=0,0,IF(SIGN(B3152)&lt;&gt;SIGN(B3151),1,0)))</x:f>
        <x:v>0</x:v>
      </x:c>
      <x:c r="D3152" s="256" t="n">
        <x:f>EXP(A3152-0.005)-1</x:f>
        <x:v>29.416949427565193</x:v>
      </x:c>
    </x:row>
    <x:row r="3153" ht="20" customHeight="1">
      <x:c r="A3153" s="256" t="n">
        <x:f>-12+1543*0.01</x:f>
        <x:v>3.4299999999999997</x:v>
      </x:c>
      <x:c r="B3153" s="256" t="n">
        <x:f>IF(COUNT($B$129:$L$129)=11,B$129*EXP(IF(A3153&lt;0,(10-0)*A3153,-0*A3153))+C$129*EXP(IF(A3153&lt;0,(10-1)*A3153,-1*A3153))+D$129*EXP(IF(A3153&lt;0,(10-2)*A3153,-2*A3153))+E$129*EXP(IF(A3153&lt;0,(10-3)*A3153,-3*A3153))+F$129*EXP(IF(A3153&lt;0,(10-4)*A3153,-4*A3153))+G$129*EXP(IF(A3153&lt;0,(10-5)*A3153,-5*A3153))+H$129*EXP(IF(A3153&lt;0,(10-6)*A3153,-6*A3153))+I$129*EXP(IF(A3153&lt;0,(10-7)*A3153,-7*A3153))+J$129*EXP(IF(A3153&lt;0,(10-8)*A3153,-8*A3153))+K$129*EXP(IF(A3153&lt;0,(10-9)*A3153,-9*A3153))+L$129*EXP(IF(A3153&lt;0,(10-10)*A3153,-10*A3153)),0)</x:f>
        <x:v>-190270.41168869234</x:v>
      </x:c>
      <x:c r="C3153" s="256" t="n">
        <x:f>IF(B3153=0,IF(B3152=0,0,1),IF(B3152=0,0,IF(SIGN(B3153)&lt;&gt;SIGN(B3152),1,0)))</x:f>
        <x:v>0</x:v>
      </x:c>
      <x:c r="D3153" s="256" t="n">
        <x:f>EXP(A3153-0.005)-1</x:f>
        <x:v>29.722644851502906</x:v>
      </x:c>
    </x:row>
    <x:row r="3154" ht="20" customHeight="1">
      <x:c r="A3154" s="256" t="n">
        <x:f>-12+1544*0.01</x:f>
        <x:v>3.4399999999999995</x:v>
      </x:c>
      <x:c r="B3154" s="256" t="n">
        <x:f>IF(COUNT($B$129:$L$129)=11,B$129*EXP(IF(A3154&lt;0,(10-0)*A3154,-0*A3154))+C$129*EXP(IF(A3154&lt;0,(10-1)*A3154,-1*A3154))+D$129*EXP(IF(A3154&lt;0,(10-2)*A3154,-2*A3154))+E$129*EXP(IF(A3154&lt;0,(10-3)*A3154,-3*A3154))+F$129*EXP(IF(A3154&lt;0,(10-4)*A3154,-4*A3154))+G$129*EXP(IF(A3154&lt;0,(10-5)*A3154,-5*A3154))+H$129*EXP(IF(A3154&lt;0,(10-6)*A3154,-6*A3154))+I$129*EXP(IF(A3154&lt;0,(10-7)*A3154,-7*A3154))+J$129*EXP(IF(A3154&lt;0,(10-8)*A3154,-8*A3154))+K$129*EXP(IF(A3154&lt;0,(10-9)*A3154,-9*A3154))+L$129*EXP(IF(A3154&lt;0,(10-10)*A3154,-10*A3154)),0)</x:f>
        <x:v>-190267.6572930632</x:v>
      </x:c>
      <x:c r="C3154" s="256" t="n">
        <x:f>IF(B3154=0,IF(B3153=0,0,1),IF(B3153=0,0,IF(SIGN(B3154)&lt;&gt;SIGN(B3153),1,0)))</x:f>
        <x:v>0</x:v>
      </x:c>
      <x:c r="D3154" s="256" t="n">
        <x:f>EXP(A3154-0.005)-1</x:f>
        <x:v>30.03141256552806</x:v>
      </x:c>
    </x:row>
    <x:row r="3155" ht="20" customHeight="1">
      <x:c r="A3155" s="256" t="n">
        <x:f>-12+1545*0.01</x:f>
        <x:v>3.450000000000001</x:v>
      </x:c>
      <x:c r="B3155" s="256" t="n">
        <x:f>IF(COUNT($B$129:$L$129)=11,B$129*EXP(IF(A3155&lt;0,(10-0)*A3155,-0*A3155))+C$129*EXP(IF(A3155&lt;0,(10-1)*A3155,-1*A3155))+D$129*EXP(IF(A3155&lt;0,(10-2)*A3155,-2*A3155))+E$129*EXP(IF(A3155&lt;0,(10-3)*A3155,-3*A3155))+F$129*EXP(IF(A3155&lt;0,(10-4)*A3155,-4*A3155))+G$129*EXP(IF(A3155&lt;0,(10-5)*A3155,-5*A3155))+H$129*EXP(IF(A3155&lt;0,(10-6)*A3155,-6*A3155))+I$129*EXP(IF(A3155&lt;0,(10-7)*A3155,-7*A3155))+J$129*EXP(IF(A3155&lt;0,(10-8)*A3155,-8*A3155))+K$129*EXP(IF(A3155&lt;0,(10-9)*A3155,-9*A3155))+L$129*EXP(IF(A3155&lt;0,(10-10)*A3155,-10*A3155)),0)</x:f>
        <x:v>-190264.93159071915</x:v>
      </x:c>
      <x:c r="C3155" s="256" t="n">
        <x:f>IF(B3155=0,IF(B3154=0,0,1),IF(B3154=0,0,IF(SIGN(B3155)&lt;&gt;SIGN(B3154),1,0)))</x:f>
        <x:v>0</x:v>
      </x:c>
      <x:c r="D3155" s="256" t="n">
        <x:f>EXP(A3155-0.005)-1</x:f>
        <x:v>30.343283446669417</x:v>
      </x:c>
    </x:row>
    <x:row r="3156" ht="20" customHeight="1">
      <x:c r="A3156" s="256" t="n">
        <x:f>-12+1546*0.01</x:f>
        <x:v>3.460000000000001</x:v>
      </x:c>
      <x:c r="B3156" s="256" t="n">
        <x:f>IF(COUNT($B$129:$L$129)=11,B$129*EXP(IF(A3156&lt;0,(10-0)*A3156,-0*A3156))+C$129*EXP(IF(A3156&lt;0,(10-1)*A3156,-1*A3156))+D$129*EXP(IF(A3156&lt;0,(10-2)*A3156,-2*A3156))+E$129*EXP(IF(A3156&lt;0,(10-3)*A3156,-3*A3156))+F$129*EXP(IF(A3156&lt;0,(10-4)*A3156,-4*A3156))+G$129*EXP(IF(A3156&lt;0,(10-5)*A3156,-5*A3156))+H$129*EXP(IF(A3156&lt;0,(10-6)*A3156,-6*A3156))+I$129*EXP(IF(A3156&lt;0,(10-7)*A3156,-7*A3156))+J$129*EXP(IF(A3156&lt;0,(10-8)*A3156,-8*A3156))+K$129*EXP(IF(A3156&lt;0,(10-9)*A3156,-9*A3156))+L$129*EXP(IF(A3156&lt;0,(10-10)*A3156,-10*A3156)),0)</x:f>
        <x:v>-190262.2342699607</x:v>
      </x:c>
      <x:c r="C3156" s="256" t="n">
        <x:f>IF(B3156=0,IF(B3155=0,0,1),IF(B3155=0,0,IF(SIGN(B3156)&lt;&gt;SIGN(B3155),1,0)))</x:f>
        <x:v>0</x:v>
      </x:c>
      <x:c r="D3156" s="256" t="n">
        <x:f>EXP(A3156-0.005)-1</x:f>
        <x:v>30.65828868227488</x:v>
      </x:c>
    </x:row>
    <x:row r="3157" ht="20" customHeight="1">
      <x:c r="A3157" s="256" t="n">
        <x:f>-12+1547*0.01</x:f>
        <x:v>3.4700000000000006</x:v>
      </x:c>
      <x:c r="B3157" s="256" t="n">
        <x:f>IF(COUNT($B$129:$L$129)=11,B$129*EXP(IF(A3157&lt;0,(10-0)*A3157,-0*A3157))+C$129*EXP(IF(A3157&lt;0,(10-1)*A3157,-1*A3157))+D$129*EXP(IF(A3157&lt;0,(10-2)*A3157,-2*A3157))+E$129*EXP(IF(A3157&lt;0,(10-3)*A3157,-3*A3157))+F$129*EXP(IF(A3157&lt;0,(10-4)*A3157,-4*A3157))+G$129*EXP(IF(A3157&lt;0,(10-5)*A3157,-5*A3157))+H$129*EXP(IF(A3157&lt;0,(10-6)*A3157,-6*A3157))+I$129*EXP(IF(A3157&lt;0,(10-7)*A3157,-7*A3157))+J$129*EXP(IF(A3157&lt;0,(10-8)*A3157,-8*A3157))+K$129*EXP(IF(A3157&lt;0,(10-9)*A3157,-9*A3157))+L$129*EXP(IF(A3157&lt;0,(10-10)*A3157,-10*A3157)),0)</x:f>
        <x:v>-190259.56502273006</x:v>
      </x:c>
      <x:c r="C3157" s="256" t="n">
        <x:f>IF(B3157=0,IF(B3156=0,0,1),IF(B3156=0,0,IF(SIGN(B3157)&lt;&gt;SIGN(B3156),1,0)))</x:f>
        <x:v>0</x:v>
      </x:c>
      <x:c r="D3157" s="256" t="n">
        <x:f>EXP(A3157-0.005)-1</x:f>
        <x:v>30.97645977313056</x:v>
      </x:c>
    </x:row>
    <x:row r="3158" ht="20" customHeight="1">
      <x:c r="A3158" s="256" t="n">
        <x:f>-12+1548*0.01</x:f>
        <x:v>3.4800000000000004</x:v>
      </x:c>
      <x:c r="B3158" s="256" t="n">
        <x:f>IF(COUNT($B$129:$L$129)=11,B$129*EXP(IF(A3158&lt;0,(10-0)*A3158,-0*A3158))+C$129*EXP(IF(A3158&lt;0,(10-1)*A3158,-1*A3158))+D$129*EXP(IF(A3158&lt;0,(10-2)*A3158,-2*A3158))+E$129*EXP(IF(A3158&lt;0,(10-3)*A3158,-3*A3158))+F$129*EXP(IF(A3158&lt;0,(10-4)*A3158,-4*A3158))+G$129*EXP(IF(A3158&lt;0,(10-5)*A3158,-5*A3158))+H$129*EXP(IF(A3158&lt;0,(10-6)*A3158,-6*A3158))+I$129*EXP(IF(A3158&lt;0,(10-7)*A3158,-7*A3158))+J$129*EXP(IF(A3158&lt;0,(10-8)*A3158,-8*A3158))+K$129*EXP(IF(A3158&lt;0,(10-9)*A3158,-9*A3158))+L$129*EXP(IF(A3158&lt;0,(10-10)*A3158,-10*A3158)),0)</x:f>
        <x:v>-190256.92354456388</x:v>
      </x:c>
      <x:c r="C3158" s="256" t="n">
        <x:f>IF(B3158=0,IF(B3157=0,0,1),IF(B3157=0,0,IF(SIGN(B3158)&lt;&gt;SIGN(B3157),1,0)))</x:f>
        <x:v>0</x:v>
      </x:c>
      <x:c r="D3158" s="256" t="n">
        <x:f>EXP(A3158-0.005)-1</x:f>
        <x:v>31.297828536610695</x:v>
      </x:c>
    </x:row>
    <x:row r="3159" ht="20" customHeight="1">
      <x:c r="A3159" s="256" t="n">
        <x:f>-12+1549*0.01</x:f>
        <x:v>3.49</x:v>
      </x:c>
      <x:c r="B3159" s="256" t="n">
        <x:f>IF(COUNT($B$129:$L$129)=11,B$129*EXP(IF(A3159&lt;0,(10-0)*A3159,-0*A3159))+C$129*EXP(IF(A3159&lt;0,(10-1)*A3159,-1*A3159))+D$129*EXP(IF(A3159&lt;0,(10-2)*A3159,-2*A3159))+E$129*EXP(IF(A3159&lt;0,(10-3)*A3159,-3*A3159))+F$129*EXP(IF(A3159&lt;0,(10-4)*A3159,-4*A3159))+G$129*EXP(IF(A3159&lt;0,(10-5)*A3159,-5*A3159))+H$129*EXP(IF(A3159&lt;0,(10-6)*A3159,-6*A3159))+I$129*EXP(IF(A3159&lt;0,(10-7)*A3159,-7*A3159))+J$129*EXP(IF(A3159&lt;0,(10-8)*A3159,-8*A3159))+K$129*EXP(IF(A3159&lt;0,(10-9)*A3159,-9*A3159))+L$129*EXP(IF(A3159&lt;0,(10-10)*A3159,-10*A3159)),0)</x:f>
        <x:v>-190254.30953454558</x:v>
      </x:c>
      <x:c r="C3159" s="256" t="n">
        <x:f>IF(B3159=0,IF(B3158=0,0,1),IF(B3158=0,0,IF(SIGN(B3159)&lt;&gt;SIGN(B3158),1,0)))</x:f>
        <x:v>0</x:v>
      </x:c>
      <x:c r="D3159" s="256" t="n">
        <x:f>EXP(A3159-0.005)-1</x:f>
        <x:v>31.622427109859437</x:v>
      </x:c>
    </x:row>
    <x:row r="3160" ht="20" customHeight="1">
      <x:c r="A3160" s="256" t="n">
        <x:f>-12+1550*0.01</x:f>
        <x:v>3.5</x:v>
      </x:c>
      <x:c r="B3160" s="256" t="n">
        <x:f>IF(COUNT($B$129:$L$129)=11,B$129*EXP(IF(A3160&lt;0,(10-0)*A3160,-0*A3160))+C$129*EXP(IF(A3160&lt;0,(10-1)*A3160,-1*A3160))+D$129*EXP(IF(A3160&lt;0,(10-2)*A3160,-2*A3160))+E$129*EXP(IF(A3160&lt;0,(10-3)*A3160,-3*A3160))+F$129*EXP(IF(A3160&lt;0,(10-4)*A3160,-4*A3160))+G$129*EXP(IF(A3160&lt;0,(10-5)*A3160,-5*A3160))+H$129*EXP(IF(A3160&lt;0,(10-6)*A3160,-6*A3160))+I$129*EXP(IF(A3160&lt;0,(10-7)*A3160,-7*A3160))+J$129*EXP(IF(A3160&lt;0,(10-8)*A3160,-8*A3160))+K$129*EXP(IF(A3160&lt;0,(10-9)*A3160,-9*A3160))+L$129*EXP(IF(A3160&lt;0,(10-10)*A3160,-10*A3160)),0)</x:f>
        <x:v>-190251.72269526005</x:v>
      </x:c>
      <x:c r="C3160" s="256" t="n">
        <x:f>IF(B3160=0,IF(B3159=0,0,1),IF(B3159=0,0,IF(SIGN(B3160)&lt;&gt;SIGN(B3159),1,0)))</x:f>
        <x:v>0</x:v>
      </x:c>
      <x:c r="D3160" s="256" t="n">
        <x:f>EXP(A3160-0.005)-1</x:f>
        <x:v>31.95028795300461</x:v>
      </x:c>
    </x:row>
    <x:row r="3161" ht="20" customHeight="1">
      <x:c r="A3161" s="256" t="n">
        <x:f>-12+1551*0.01</x:f>
        <x:v>3.51</x:v>
      </x:c>
      <x:c r="B3161" s="256" t="n">
        <x:f>IF(COUNT($B$129:$L$129)=11,B$129*EXP(IF(A3161&lt;0,(10-0)*A3161,-0*A3161))+C$129*EXP(IF(A3161&lt;0,(10-1)*A3161,-1*A3161))+D$129*EXP(IF(A3161&lt;0,(10-2)*A3161,-2*A3161))+E$129*EXP(IF(A3161&lt;0,(10-3)*A3161,-3*A3161))+F$129*EXP(IF(A3161&lt;0,(10-4)*A3161,-4*A3161))+G$129*EXP(IF(A3161&lt;0,(10-5)*A3161,-5*A3161))+H$129*EXP(IF(A3161&lt;0,(10-6)*A3161,-6*A3161))+I$129*EXP(IF(A3161&lt;0,(10-7)*A3161,-7*A3161))+J$129*EXP(IF(A3161&lt;0,(10-8)*A3161,-8*A3161))+K$129*EXP(IF(A3161&lt;0,(10-9)*A3161,-9*A3161))+L$129*EXP(IF(A3161&lt;0,(10-10)*A3161,-10*A3161)),0)</x:f>
        <x:v>-190249.16273274773</x:v>
      </x:c>
      <x:c r="C3161" s="256" t="n">
        <x:f>IF(B3161=0,IF(B3160=0,0,1),IF(B3160=0,0,IF(SIGN(B3161)&lt;&gt;SIGN(B3160),1,0)))</x:f>
        <x:v>0</x:v>
      </x:c>
      <x:c r="D3161" s="256" t="n">
        <x:f>EXP(A3161-0.005)-1</x:f>
        <x:v>32.28144385240375</x:v>
      </x:c>
    </x:row>
    <x:row r="3162" ht="20" customHeight="1">
      <x:c r="A3162" s="256" t="n">
        <x:f>-12+1552*0.01</x:f>
        <x:v>3.5199999999999996</x:v>
      </x:c>
      <x:c r="B3162" s="256" t="n">
        <x:f>IF(COUNT($B$129:$L$129)=11,B$129*EXP(IF(A3162&lt;0,(10-0)*A3162,-0*A3162))+C$129*EXP(IF(A3162&lt;0,(10-1)*A3162,-1*A3162))+D$129*EXP(IF(A3162&lt;0,(10-2)*A3162,-2*A3162))+E$129*EXP(IF(A3162&lt;0,(10-3)*A3162,-3*A3162))+F$129*EXP(IF(A3162&lt;0,(10-4)*A3162,-4*A3162))+G$129*EXP(IF(A3162&lt;0,(10-5)*A3162,-5*A3162))+H$129*EXP(IF(A3162&lt;0,(10-6)*A3162,-6*A3162))+I$129*EXP(IF(A3162&lt;0,(10-7)*A3162,-7*A3162))+J$129*EXP(IF(A3162&lt;0,(10-8)*A3162,-8*A3162))+K$129*EXP(IF(A3162&lt;0,(10-9)*A3162,-9*A3162))+L$129*EXP(IF(A3162&lt;0,(10-10)*A3162,-10*A3162)),0)</x:f>
        <x:v>-190246.6293564597</x:v>
      </x:c>
      <x:c r="C3162" s="256" t="n">
        <x:f>IF(B3162=0,IF(B3161=0,0,1),IF(B3161=0,0,IF(SIGN(B3162)&lt;&gt;SIGN(B3161),1,0)))</x:f>
        <x:v>0</x:v>
      </x:c>
      <x:c r="D3162" s="256" t="n">
        <x:f>EXP(A3162-0.005)-1</x:f>
        <x:v>32.615927923922754</x:v>
      </x:c>
    </x:row>
    <x:row r="3163" ht="20" customHeight="1">
      <x:c r="A3163" s="256" t="n">
        <x:f>-12+1553*0.01</x:f>
        <x:v>3.530000000000001</x:v>
      </x:c>
      <x:c r="B3163" s="256" t="n">
        <x:f>IF(COUNT($B$129:$L$129)=11,B$129*EXP(IF(A3163&lt;0,(10-0)*A3163,-0*A3163))+C$129*EXP(IF(A3163&lt;0,(10-1)*A3163,-1*A3163))+D$129*EXP(IF(A3163&lt;0,(10-2)*A3163,-2*A3163))+E$129*EXP(IF(A3163&lt;0,(10-3)*A3163,-3*A3163))+F$129*EXP(IF(A3163&lt;0,(10-4)*A3163,-4*A3163))+G$129*EXP(IF(A3163&lt;0,(10-5)*A3163,-5*A3163))+H$129*EXP(IF(A3163&lt;0,(10-6)*A3163,-6*A3163))+I$129*EXP(IF(A3163&lt;0,(10-7)*A3163,-7*A3163))+J$129*EXP(IF(A3163&lt;0,(10-8)*A3163,-8*A3163))+K$129*EXP(IF(A3163&lt;0,(10-9)*A3163,-9*A3163))+L$129*EXP(IF(A3163&lt;0,(10-10)*A3163,-10*A3163)),0)</x:f>
        <x:v>-190244.12227921418</x:v>
      </x:c>
      <x:c r="C3163" s="256" t="n">
        <x:f>IF(B3163=0,IF(B3162=0,0,1),IF(B3162=0,0,IF(SIGN(B3163)&lt;&gt;SIGN(B3162),1,0)))</x:f>
        <x:v>0</x:v>
      </x:c>
      <x:c r="D3163" s="256" t="n">
        <x:f>EXP(A3163-0.005)-1</x:f>
        <x:v>32.95377361624759</x:v>
      </x:c>
    </x:row>
    <x:row r="3164" ht="20" customHeight="1">
      <x:c r="A3164" s="256" t="n">
        <x:f>-12+1554*0.01</x:f>
        <x:v>3.540000000000001</x:v>
      </x:c>
      <x:c r="B3164" s="256" t="n">
        <x:f>IF(COUNT($B$129:$L$129)=11,B$129*EXP(IF(A3164&lt;0,(10-0)*A3164,-0*A3164))+C$129*EXP(IF(A3164&lt;0,(10-1)*A3164,-1*A3164))+D$129*EXP(IF(A3164&lt;0,(10-2)*A3164,-2*A3164))+E$129*EXP(IF(A3164&lt;0,(10-3)*A3164,-3*A3164))+F$129*EXP(IF(A3164&lt;0,(10-4)*A3164,-4*A3164))+G$129*EXP(IF(A3164&lt;0,(10-5)*A3164,-5*A3164))+H$129*EXP(IF(A3164&lt;0,(10-6)*A3164,-6*A3164))+I$129*EXP(IF(A3164&lt;0,(10-7)*A3164,-7*A3164))+J$129*EXP(IF(A3164&lt;0,(10-8)*A3164,-8*A3164))+K$129*EXP(IF(A3164&lt;0,(10-9)*A3164,-9*A3164))+L$129*EXP(IF(A3164&lt;0,(10-10)*A3164,-10*A3164)),0)</x:f>
        <x:v>-190241.64121715233</x:v>
      </x:c>
      <x:c r="C3164" s="256" t="n">
        <x:f>IF(B3164=0,IF(B3163=0,0,1),IF(B3163=0,0,IF(SIGN(B3164)&lt;&gt;SIGN(B3163),1,0)))</x:f>
        <x:v>0</x:v>
      </x:c>
      <x:c r="D3164" s="256" t="n">
        <x:f>EXP(A3164-0.005)-1</x:f>
        <x:v>33.295014714228884</x:v>
      </x:c>
    </x:row>
    <x:row r="3165" ht="20" customHeight="1">
      <x:c r="A3165" s="256" t="n">
        <x:f>-12+1555*0.01</x:f>
        <x:v>3.5500000000000007</x:v>
      </x:c>
      <x:c r="B3165" s="256" t="n">
        <x:f>IF(COUNT($B$129:$L$129)=11,B$129*EXP(IF(A3165&lt;0,(10-0)*A3165,-0*A3165))+C$129*EXP(IF(A3165&lt;0,(10-1)*A3165,-1*A3165))+D$129*EXP(IF(A3165&lt;0,(10-2)*A3165,-2*A3165))+E$129*EXP(IF(A3165&lt;0,(10-3)*A3165,-3*A3165))+F$129*EXP(IF(A3165&lt;0,(10-4)*A3165,-4*A3165))+G$129*EXP(IF(A3165&lt;0,(10-5)*A3165,-5*A3165))+H$129*EXP(IF(A3165&lt;0,(10-6)*A3165,-6*A3165))+I$129*EXP(IF(A3165&lt;0,(10-7)*A3165,-7*A3165))+J$129*EXP(IF(A3165&lt;0,(10-8)*A3165,-8*A3165))+K$129*EXP(IF(A3165&lt;0,(10-9)*A3165,-9*A3165))+L$129*EXP(IF(A3165&lt;0,(10-10)*A3165,-10*A3165)),0)</x:f>
        <x:v>-190239.18588969592</x:v>
      </x:c>
      <x:c r="C3165" s="256" t="n">
        <x:f>IF(B3165=0,IF(B3164=0,0,1),IF(B3164=0,0,IF(SIGN(B3165)&lt;&gt;SIGN(B3164),1,0)))</x:f>
        <x:v>0</x:v>
      </x:c>
      <x:c r="D3165" s="256" t="n">
        <x:f>EXP(A3165-0.005)-1</x:f>
        <x:v>33.639685342260876</x:v>
      </x:c>
    </x:row>
    <x:row r="3166" ht="20" customHeight="1">
      <x:c r="A3166" s="256" t="n">
        <x:f>-12+1556*0.01</x:f>
        <x:v>3.5600000000000005</x:v>
      </x:c>
      <x:c r="B3166" s="256" t="n">
        <x:f>IF(COUNT($B$129:$L$129)=11,B$129*EXP(IF(A3166&lt;0,(10-0)*A3166,-0*A3166))+C$129*EXP(IF(A3166&lt;0,(10-1)*A3166,-1*A3166))+D$129*EXP(IF(A3166&lt;0,(10-2)*A3166,-2*A3166))+E$129*EXP(IF(A3166&lt;0,(10-3)*A3166,-3*A3166))+F$129*EXP(IF(A3166&lt;0,(10-4)*A3166,-4*A3166))+G$129*EXP(IF(A3166&lt;0,(10-5)*A3166,-5*A3166))+H$129*EXP(IF(A3166&lt;0,(10-6)*A3166,-6*A3166))+I$129*EXP(IF(A3166&lt;0,(10-7)*A3166,-7*A3166))+J$129*EXP(IF(A3166&lt;0,(10-8)*A3166,-8*A3166))+K$129*EXP(IF(A3166&lt;0,(10-9)*A3166,-9*A3166))+L$129*EXP(IF(A3166&lt;0,(10-10)*A3166,-10*A3166)),0)</x:f>
        <x:v>-190236.75601950512</x:v>
      </x:c>
      <x:c r="C3166" s="256" t="n">
        <x:f>IF(B3166=0,IF(B3165=0,0,1),IF(B3165=0,0,IF(SIGN(B3166)&lt;&gt;SIGN(B3165),1,0)))</x:f>
        <x:v>0</x:v>
      </x:c>
      <x:c r="D3166" s="256" t="n">
        <x:f>EXP(A3166-0.005)-1</x:f>
        <x:v>33.987819967693596</x:v>
      </x:c>
    </x:row>
    <x:row r="3167" ht="20" customHeight="1">
      <x:c r="A3167" s="256" t="n">
        <x:f>-12+1557*0.01</x:f>
        <x:v>3.5700000000000003</x:v>
      </x:c>
      <x:c r="B3167" s="256" t="n">
        <x:f>IF(COUNT($B$129:$L$129)=11,B$129*EXP(IF(A3167&lt;0,(10-0)*A3167,-0*A3167))+C$129*EXP(IF(A3167&lt;0,(10-1)*A3167,-1*A3167))+D$129*EXP(IF(A3167&lt;0,(10-2)*A3167,-2*A3167))+E$129*EXP(IF(A3167&lt;0,(10-3)*A3167,-3*A3167))+F$129*EXP(IF(A3167&lt;0,(10-4)*A3167,-4*A3167))+G$129*EXP(IF(A3167&lt;0,(10-5)*A3167,-5*A3167))+H$129*EXP(IF(A3167&lt;0,(10-6)*A3167,-6*A3167))+I$129*EXP(IF(A3167&lt;0,(10-7)*A3167,-7*A3167))+J$129*EXP(IF(A3167&lt;0,(10-8)*A3167,-8*A3167))+K$129*EXP(IF(A3167&lt;0,(10-9)*A3167,-9*A3167))+L$129*EXP(IF(A3167&lt;0,(10-10)*A3167,-10*A3167)),0)</x:f>
        <x:v>-190234.35133243658</x:v>
      </x:c>
      <x:c r="C3167" s="256" t="n">
        <x:f>IF(B3167=0,IF(B3166=0,0,1),IF(B3166=0,0,IF(SIGN(B3167)&lt;&gt;SIGN(B3166),1,0)))</x:f>
        <x:v>0</x:v>
      </x:c>
      <x:c r="D3167" s="256" t="n">
        <x:f>EXP(A3167-0.005)-1</x:f>
        <x:v>34.3394534042797</x:v>
      </x:c>
    </x:row>
    <x:row r="3168" ht="20" customHeight="1">
      <x:c r="A3168" s="256" t="n">
        <x:f>-12+1558*0.01</x:f>
        <x:v>3.58</x:v>
      </x:c>
      <x:c r="B3168" s="256" t="n">
        <x:f>IF(COUNT($B$129:$L$129)=11,B$129*EXP(IF(A3168&lt;0,(10-0)*A3168,-0*A3168))+C$129*EXP(IF(A3168&lt;0,(10-1)*A3168,-1*A3168))+D$129*EXP(IF(A3168&lt;0,(10-2)*A3168,-2*A3168))+E$129*EXP(IF(A3168&lt;0,(10-3)*A3168,-3*A3168))+F$129*EXP(IF(A3168&lt;0,(10-4)*A3168,-4*A3168))+G$129*EXP(IF(A3168&lt;0,(10-5)*A3168,-5*A3168))+H$129*EXP(IF(A3168&lt;0,(10-6)*A3168,-6*A3168))+I$129*EXP(IF(A3168&lt;0,(10-7)*A3168,-7*A3168))+J$129*EXP(IF(A3168&lt;0,(10-8)*A3168,-8*A3168))+K$129*EXP(IF(A3168&lt;0,(10-9)*A3168,-9*A3168))+L$129*EXP(IF(A3168&lt;0,(10-10)*A3168,-10*A3168)),0)</x:f>
        <x:v>-190231.97155750304</x:v>
      </x:c>
      <x:c r="C3168" s="256" t="n">
        <x:f>IF(B3168=0,IF(B3167=0,0,1),IF(B3167=0,0,IF(SIGN(B3168)&lt;&gt;SIGN(B3167),1,0)))</x:f>
        <x:v>0</x:v>
      </x:c>
      <x:c r="D3168" s="256" t="n">
        <x:f>EXP(A3168-0.005)-1</x:f>
        <x:v>34.69462081565588</x:v>
      </x:c>
    </x:row>
    <x:row r="3169" ht="20" customHeight="1">
      <x:c r="A3169" s="256" t="n">
        <x:f>-12+1559*0.01</x:f>
        <x:v>3.59</x:v>
      </x:c>
      <x:c r="B3169" s="256" t="n">
        <x:f>IF(COUNT($B$129:$L$129)=11,B$129*EXP(IF(A3169&lt;0,(10-0)*A3169,-0*A3169))+C$129*EXP(IF(A3169&lt;0,(10-1)*A3169,-1*A3169))+D$129*EXP(IF(A3169&lt;0,(10-2)*A3169,-2*A3169))+E$129*EXP(IF(A3169&lt;0,(10-3)*A3169,-3*A3169))+F$129*EXP(IF(A3169&lt;0,(10-4)*A3169,-4*A3169))+G$129*EXP(IF(A3169&lt;0,(10-5)*A3169,-5*A3169))+H$129*EXP(IF(A3169&lt;0,(10-6)*A3169,-6*A3169))+I$129*EXP(IF(A3169&lt;0,(10-7)*A3169,-7*A3169))+J$129*EXP(IF(A3169&lt;0,(10-8)*A3169,-8*A3169))+K$129*EXP(IF(A3169&lt;0,(10-9)*A3169,-9*A3169))+L$129*EXP(IF(A3169&lt;0,(10-10)*A3169,-10*A3169)),0)</x:f>
        <x:v>-190229.61642683254</x:v>
      </x:c>
      <x:c r="C3169" s="256" t="n">
        <x:f>IF(B3169=0,IF(B3168=0,0,1),IF(B3168=0,0,IF(SIGN(B3169)&lt;&gt;SIGN(B3168),1,0)))</x:f>
        <x:v>0</x:v>
      </x:c>
      <x:c r="D3169" s="256" t="n">
        <x:f>EXP(A3169-0.005)-1</x:f>
        <x:v>35.05335771885924</x:v>
      </x:c>
    </x:row>
    <x:row r="3170" ht="20" customHeight="1">
      <x:c r="A3170" s="256" t="n">
        <x:f>-12+1560*0.01</x:f>
        <x:v>3.5999999999999996</x:v>
      </x:c>
      <x:c r="B3170" s="256" t="n">
        <x:f>IF(COUNT($B$129:$L$129)=11,B$129*EXP(IF(A3170&lt;0,(10-0)*A3170,-0*A3170))+C$129*EXP(IF(A3170&lt;0,(10-1)*A3170,-1*A3170))+D$129*EXP(IF(A3170&lt;0,(10-2)*A3170,-2*A3170))+E$129*EXP(IF(A3170&lt;0,(10-3)*A3170,-3*A3170))+F$129*EXP(IF(A3170&lt;0,(10-4)*A3170,-4*A3170))+G$129*EXP(IF(A3170&lt;0,(10-5)*A3170,-5*A3170))+H$129*EXP(IF(A3170&lt;0,(10-6)*A3170,-6*A3170))+I$129*EXP(IF(A3170&lt;0,(10-7)*A3170,-7*A3170))+J$129*EXP(IF(A3170&lt;0,(10-8)*A3170,-8*A3170))+K$129*EXP(IF(A3170&lt;0,(10-9)*A3170,-9*A3170))+L$129*EXP(IF(A3170&lt;0,(10-10)*A3170,-10*A3170)),0)</x:f>
        <x:v>-190227.2856756291</x:v>
      </x:c>
      <x:c r="C3170" s="256" t="n">
        <x:f>IF(B3170=0,IF(B3169=0,0,1),IF(B3169=0,0,IF(SIGN(B3170)&lt;&gt;SIGN(B3169),1,0)))</x:f>
        <x:v>0</x:v>
      </x:c>
      <x:c r="D3170" s="256" t="n">
        <x:f>EXP(A3170-0.005)-1</x:f>
        <x:v>35.415699987879044</x:v>
      </x:c>
    </x:row>
    <x:row r="3171" ht="20" customHeight="1">
      <x:c r="A3171" s="256" t="n">
        <x:f>-12+1561*0.01</x:f>
        <x:v>3.610000000000001</x:v>
      </x:c>
      <x:c r="B3171" s="256" t="n">
        <x:f>IF(COUNT($B$129:$L$129)=11,B$129*EXP(IF(A3171&lt;0,(10-0)*A3171,-0*A3171))+C$129*EXP(IF(A3171&lt;0,(10-1)*A3171,-1*A3171))+D$129*EXP(IF(A3171&lt;0,(10-2)*A3171,-2*A3171))+E$129*EXP(IF(A3171&lt;0,(10-3)*A3171,-3*A3171))+F$129*EXP(IF(A3171&lt;0,(10-4)*A3171,-4*A3171))+G$129*EXP(IF(A3171&lt;0,(10-5)*A3171,-5*A3171))+H$129*EXP(IF(A3171&lt;0,(10-6)*A3171,-6*A3171))+I$129*EXP(IF(A3171&lt;0,(10-7)*A3171,-7*A3171))+J$129*EXP(IF(A3171&lt;0,(10-8)*A3171,-8*A3171))+K$129*EXP(IF(A3171&lt;0,(10-9)*A3171,-9*A3171))+L$129*EXP(IF(A3171&lt;0,(10-10)*A3171,-10*A3171)),0)</x:f>
        <x:v>-190224.97904213285</x:v>
      </x:c>
      <x:c r="C3171" s="256" t="n">
        <x:f>IF(B3171=0,IF(B3170=0,0,1),IF(B3170=0,0,IF(SIGN(B3171)&lt;&gt;SIGN(B3170),1,0)))</x:f>
        <x:v>0</x:v>
      </x:c>
      <x:c r="D3171" s="256" t="n">
        <x:f>EXP(A3171-0.005)-1</x:f>
        <x:v>35.781683857244225</x:v>
      </x:c>
    </x:row>
    <x:row r="3172" ht="20" customHeight="1">
      <x:c r="A3172" s="256" t="n">
        <x:f>-12+1562*0.01</x:f>
        <x:v>3.620000000000001</x:v>
      </x:c>
      <x:c r="B3172" s="256" t="n">
        <x:f>IF(COUNT($B$129:$L$129)=11,B$129*EXP(IF(A3172&lt;0,(10-0)*A3172,-0*A3172))+C$129*EXP(IF(A3172&lt;0,(10-1)*A3172,-1*A3172))+D$129*EXP(IF(A3172&lt;0,(10-2)*A3172,-2*A3172))+E$129*EXP(IF(A3172&lt;0,(10-3)*A3172,-3*A3172))+F$129*EXP(IF(A3172&lt;0,(10-4)*A3172,-4*A3172))+G$129*EXP(IF(A3172&lt;0,(10-5)*A3172,-5*A3172))+H$129*EXP(IF(A3172&lt;0,(10-6)*A3172,-6*A3172))+I$129*EXP(IF(A3172&lt;0,(10-7)*A3172,-7*A3172))+J$129*EXP(IF(A3172&lt;0,(10-8)*A3172,-8*A3172))+K$129*EXP(IF(A3172&lt;0,(10-9)*A3172,-9*A3172))+L$129*EXP(IF(A3172&lt;0,(10-10)*A3172,-10*A3172)),0)</x:f>
        <x:v>-190222.69626758242</x:v>
      </x:c>
      <x:c r="C3172" s="256" t="n">
        <x:f>IF(B3172=0,IF(B3171=0,0,1),IF(B3171=0,0,IF(SIGN(B3172)&lt;&gt;SIGN(B3171),1,0)))</x:f>
        <x:v>0</x:v>
      </x:c>
      <x:c r="D3172" s="256" t="n">
        <x:f>EXP(A3172-0.005)-1</x:f>
        <x:v>36.15134592564657</x:v>
      </x:c>
    </x:row>
    <x:row r="3173" ht="20" customHeight="1">
      <x:c r="A3173" s="256" t="n">
        <x:f>-12+1563*0.01</x:f>
        <x:v>3.630000000000001</x:v>
      </x:c>
      <x:c r="B3173" s="256" t="n">
        <x:f>IF(COUNT($B$129:$L$129)=11,B$129*EXP(IF(A3173&lt;0,(10-0)*A3173,-0*A3173))+C$129*EXP(IF(A3173&lt;0,(10-1)*A3173,-1*A3173))+D$129*EXP(IF(A3173&lt;0,(10-2)*A3173,-2*A3173))+E$129*EXP(IF(A3173&lt;0,(10-3)*A3173,-3*A3173))+F$129*EXP(IF(A3173&lt;0,(10-4)*A3173,-4*A3173))+G$129*EXP(IF(A3173&lt;0,(10-5)*A3173,-5*A3173))+H$129*EXP(IF(A3173&lt;0,(10-6)*A3173,-6*A3173))+I$129*EXP(IF(A3173&lt;0,(10-7)*A3173,-7*A3173))+J$129*EXP(IF(A3173&lt;0,(10-8)*A3173,-8*A3173))+K$129*EXP(IF(A3173&lt;0,(10-9)*A3173,-9*A3173))+L$129*EXP(IF(A3173&lt;0,(10-10)*A3173,-10*A3173)),0)</x:f>
        <x:v>-190220.43709617585</x:v>
      </x:c>
      <x:c r="C3173" s="256" t="n">
        <x:f>IF(B3173=0,IF(B3172=0,0,1),IF(B3172=0,0,IF(SIGN(B3173)&lt;&gt;SIGN(B3172),1,0)))</x:f>
        <x:v>0</x:v>
      </x:c>
      <x:c r="D3173" s="256" t="n">
        <x:f>EXP(A3173-0.005)-1</x:f>
        <x:v>36.52472315960103</x:v>
      </x:c>
    </x:row>
    <x:row r="3174" ht="20" customHeight="1">
      <x:c r="A3174" s="256" t="n">
        <x:f>-12+1564*0.01</x:f>
        <x:v>3.6400000000000006</x:v>
      </x:c>
      <x:c r="B3174" s="256" t="n">
        <x:f>IF(COUNT($B$129:$L$129)=11,B$129*EXP(IF(A3174&lt;0,(10-0)*A3174,-0*A3174))+C$129*EXP(IF(A3174&lt;0,(10-1)*A3174,-1*A3174))+D$129*EXP(IF(A3174&lt;0,(10-2)*A3174,-2*A3174))+E$129*EXP(IF(A3174&lt;0,(10-3)*A3174,-3*A3174))+F$129*EXP(IF(A3174&lt;0,(10-4)*A3174,-4*A3174))+G$129*EXP(IF(A3174&lt;0,(10-5)*A3174,-5*A3174))+H$129*EXP(IF(A3174&lt;0,(10-6)*A3174,-6*A3174))+I$129*EXP(IF(A3174&lt;0,(10-7)*A3174,-7*A3174))+J$129*EXP(IF(A3174&lt;0,(10-8)*A3174,-8*A3174))+K$129*EXP(IF(A3174&lt;0,(10-9)*A3174,-9*A3174))+L$129*EXP(IF(A3174&lt;0,(10-10)*A3174,-10*A3174)),0)</x:f>
        <x:v>-190218.20127503428</x:v>
      </x:c>
      <x:c r="C3174" s="256" t="n">
        <x:f>IF(B3174=0,IF(B3173=0,0,1),IF(B3173=0,0,IF(SIGN(B3174)&lt;&gt;SIGN(B3173),1,0)))</x:f>
        <x:v>0</x:v>
      </x:c>
      <x:c r="D3174" s="256" t="n">
        <x:f>EXP(A3174-0.005)-1</x:f>
        <x:v>36.90185289714216</x:v>
      </x:c>
    </x:row>
    <x:row r="3175" ht="20" customHeight="1">
      <x:c r="A3175" s="256" t="n">
        <x:f>-12+1565*0.01</x:f>
        <x:v>3.6500000000000004</x:v>
      </x:c>
      <x:c r="B3175" s="256" t="n">
        <x:f>IF(COUNT($B$129:$L$129)=11,B$129*EXP(IF(A3175&lt;0,(10-0)*A3175,-0*A3175))+C$129*EXP(IF(A3175&lt;0,(10-1)*A3175,-1*A3175))+D$129*EXP(IF(A3175&lt;0,(10-2)*A3175,-2*A3175))+E$129*EXP(IF(A3175&lt;0,(10-3)*A3175,-3*A3175))+F$129*EXP(IF(A3175&lt;0,(10-4)*A3175,-4*A3175))+G$129*EXP(IF(A3175&lt;0,(10-5)*A3175,-5*A3175))+H$129*EXP(IF(A3175&lt;0,(10-6)*A3175,-6*A3175))+I$129*EXP(IF(A3175&lt;0,(10-7)*A3175,-7*A3175))+J$129*EXP(IF(A3175&lt;0,(10-8)*A3175,-8*A3175))+K$129*EXP(IF(A3175&lt;0,(10-9)*A3175,-9*A3175))+L$129*EXP(IF(A3175&lt;0,(10-10)*A3175,-10*A3175)),0)</x:f>
        <x:v>-190215.98855416375</x:v>
      </x:c>
      <x:c r="C3175" s="256" t="n">
        <x:f>IF(B3175=0,IF(B3174=0,0,1),IF(B3174=0,0,IF(SIGN(B3175)&lt;&gt;SIGN(B3174),1,0)))</x:f>
        <x:v>0</x:v>
      </x:c>
      <x:c r="D3175" s="256" t="n">
        <x:f>EXP(A3175-0.005)-1</x:f>
        <x:v>37.28277285155799</x:v>
      </x:c>
    </x:row>
    <x:row r="3176" ht="20" customHeight="1">
      <x:c r="A3176" s="256" t="n">
        <x:f>-12+1566*0.01</x:f>
        <x:v>3.66</x:v>
      </x:c>
      <x:c r="B3176" s="256" t="n">
        <x:f>IF(COUNT($B$129:$L$129)=11,B$129*EXP(IF(A3176&lt;0,(10-0)*A3176,-0*A3176))+C$129*EXP(IF(A3176&lt;0,(10-1)*A3176,-1*A3176))+D$129*EXP(IF(A3176&lt;0,(10-2)*A3176,-2*A3176))+E$129*EXP(IF(A3176&lt;0,(10-3)*A3176,-3*A3176))+F$129*EXP(IF(A3176&lt;0,(10-4)*A3176,-4*A3176))+G$129*EXP(IF(A3176&lt;0,(10-5)*A3176,-5*A3176))+H$129*EXP(IF(A3176&lt;0,(10-6)*A3176,-6*A3176))+I$129*EXP(IF(A3176&lt;0,(10-7)*A3176,-7*A3176))+J$129*EXP(IF(A3176&lt;0,(10-8)*A3176,-8*A3176))+K$129*EXP(IF(A3176&lt;0,(10-9)*A3176,-9*A3176))+L$129*EXP(IF(A3176&lt;0,(10-10)*A3176,-10*A3176)),0)</x:f>
        <x:v>-190213.79868641985</x:v>
      </x:c>
      <x:c r="C3176" s="256" t="n">
        <x:f>IF(B3176=0,IF(B3175=0,0,1),IF(B3175=0,0,IF(SIGN(B3176)&lt;&gt;SIGN(B3175),1,0)))</x:f>
        <x:v>0</x:v>
      </x:c>
      <x:c r="D3176" s="256" t="n">
        <x:f>EXP(A3176-0.005)-1</x:f>
        <x:v>37.6675211151614</x:v>
      </x:c>
    </x:row>
    <x:row r="3177" ht="20" customHeight="1">
      <x:c r="A3177" s="256" t="n">
        <x:f>-12+1567*0.01</x:f>
        <x:v>3.67</x:v>
      </x:c>
      <x:c r="B3177" s="256" t="n">
        <x:f>IF(COUNT($B$129:$L$129)=11,B$129*EXP(IF(A3177&lt;0,(10-0)*A3177,-0*A3177))+C$129*EXP(IF(A3177&lt;0,(10-1)*A3177,-1*A3177))+D$129*EXP(IF(A3177&lt;0,(10-2)*A3177,-2*A3177))+E$129*EXP(IF(A3177&lt;0,(10-3)*A3177,-3*A3177))+F$129*EXP(IF(A3177&lt;0,(10-4)*A3177,-4*A3177))+G$129*EXP(IF(A3177&lt;0,(10-5)*A3177,-5*A3177))+H$129*EXP(IF(A3177&lt;0,(10-6)*A3177,-6*A3177))+I$129*EXP(IF(A3177&lt;0,(10-7)*A3177,-7*A3177))+J$129*EXP(IF(A3177&lt;0,(10-8)*A3177,-8*A3177))+K$129*EXP(IF(A3177&lt;0,(10-9)*A3177,-9*A3177))+L$129*EXP(IF(A3177&lt;0,(10-10)*A3177,-10*A3177)),0)</x:f>
        <x:v>-190211.63142747138</x:v>
      </x:c>
      <x:c r="C3177" s="256" t="n">
        <x:f>IF(B3177=0,IF(B3176=0,0,1),IF(B3176=0,0,IF(SIGN(B3177)&lt;&gt;SIGN(B3176),1,0)))</x:f>
        <x:v>0</x:v>
      </x:c>
      <x:c r="D3177" s="256" t="n">
        <x:f>EXP(A3177-0.005)-1</x:f>
        <x:v>38.05613616309936</x:v>
      </x:c>
    </x:row>
    <x:row r="3178" ht="20" customHeight="1">
      <x:c r="A3178" s="256" t="n">
        <x:f>-12+1568*0.01</x:f>
        <x:v>3.6799999999999997</x:v>
      </x:c>
      <x:c r="B3178" s="256" t="n">
        <x:f>IF(COUNT($B$129:$L$129)=11,B$129*EXP(IF(A3178&lt;0,(10-0)*A3178,-0*A3178))+C$129*EXP(IF(A3178&lt;0,(10-1)*A3178,-1*A3178))+D$129*EXP(IF(A3178&lt;0,(10-2)*A3178,-2*A3178))+E$129*EXP(IF(A3178&lt;0,(10-3)*A3178,-3*A3178))+F$129*EXP(IF(A3178&lt;0,(10-4)*A3178,-4*A3178))+G$129*EXP(IF(A3178&lt;0,(10-5)*A3178,-5*A3178))+H$129*EXP(IF(A3178&lt;0,(10-6)*A3178,-6*A3178))+I$129*EXP(IF(A3178&lt;0,(10-7)*A3178,-7*A3178))+J$129*EXP(IF(A3178&lt;0,(10-8)*A3178,-8*A3178))+K$129*EXP(IF(A3178&lt;0,(10-9)*A3178,-9*A3178))+L$129*EXP(IF(A3178&lt;0,(10-10)*A3178,-10*A3178)),0)</x:f>
        <x:v>-190209.48653576485</x:v>
      </x:c>
      <x:c r="C3178" s="256" t="n">
        <x:f>IF(B3178=0,IF(B3177=0,0,1),IF(B3177=0,0,IF(SIGN(B3178)&lt;&gt;SIGN(B3177),1,0)))</x:f>
        <x:v>0</x:v>
      </x:c>
      <x:c r="D3178" s="256" t="n">
        <x:f>EXP(A3178-0.005)-1</x:f>
        <x:v>38.44865685720052</x:v>
      </x:c>
    </x:row>
    <x:row r="3179" ht="20" customHeight="1">
      <x:c r="A3179" s="256" t="n">
        <x:f>-12+1569*0.01</x:f>
        <x:v>3.6899999999999995</x:v>
      </x:c>
      <x:c r="B3179" s="256" t="n">
        <x:f>IF(COUNT($B$129:$L$129)=11,B$129*EXP(IF(A3179&lt;0,(10-0)*A3179,-0*A3179))+C$129*EXP(IF(A3179&lt;0,(10-1)*A3179,-1*A3179))+D$129*EXP(IF(A3179&lt;0,(10-2)*A3179,-2*A3179))+E$129*EXP(IF(A3179&lt;0,(10-3)*A3179,-3*A3179))+F$129*EXP(IF(A3179&lt;0,(10-4)*A3179,-4*A3179))+G$129*EXP(IF(A3179&lt;0,(10-5)*A3179,-5*A3179))+H$129*EXP(IF(A3179&lt;0,(10-6)*A3179,-6*A3179))+I$129*EXP(IF(A3179&lt;0,(10-7)*A3179,-7*A3179))+J$129*EXP(IF(A3179&lt;0,(10-8)*A3179,-8*A3179))+K$129*EXP(IF(A3179&lt;0,(10-9)*A3179,-9*A3179))+L$129*EXP(IF(A3179&lt;0,(10-10)*A3179,-10*A3179)),0)</x:f>
        <x:v>-190207.36377249012</x:v>
      </x:c>
      <x:c r="C3179" s="256" t="n">
        <x:f>IF(B3179=0,IF(B3178=0,0,1),IF(B3178=0,0,IF(SIGN(B3179)&lt;&gt;SIGN(B3178),1,0)))</x:f>
        <x:v>0</x:v>
      </x:c>
      <x:c r="D3179" s="256" t="n">
        <x:f>EXP(A3179-0.005)-1</x:f>
        <x:v>38.845122449861385</x:v>
      </x:c>
    </x:row>
    <x:row r="3180" ht="20" customHeight="1">
      <x:c r="A3180" s="256" t="n">
        <x:f>-12+1570*0.01</x:f>
        <x:v>3.700000000000001</x:v>
      </x:c>
      <x:c r="B3180" s="256" t="n">
        <x:f>IF(COUNT($B$129:$L$129)=11,B$129*EXP(IF(A3180&lt;0,(10-0)*A3180,-0*A3180))+C$129*EXP(IF(A3180&lt;0,(10-1)*A3180,-1*A3180))+D$129*EXP(IF(A3180&lt;0,(10-2)*A3180,-2*A3180))+E$129*EXP(IF(A3180&lt;0,(10-3)*A3180,-3*A3180))+F$129*EXP(IF(A3180&lt;0,(10-4)*A3180,-4*A3180))+G$129*EXP(IF(A3180&lt;0,(10-5)*A3180,-5*A3180))+H$129*EXP(IF(A3180&lt;0,(10-6)*A3180,-6*A3180))+I$129*EXP(IF(A3180&lt;0,(10-7)*A3180,-7*A3180))+J$129*EXP(IF(A3180&lt;0,(10-8)*A3180,-8*A3180))+K$129*EXP(IF(A3180&lt;0,(10-9)*A3180,-9*A3180))+L$129*EXP(IF(A3180&lt;0,(10-10)*A3180,-10*A3180)),0)</x:f>
        <x:v>-190205.26290154568</x:v>
      </x:c>
      <x:c r="C3180" s="256" t="n">
        <x:f>IF(B3180=0,IF(B3179=0,0,1),IF(B3179=0,0,IF(SIGN(B3180)&lt;&gt;SIGN(B3179),1,0)))</x:f>
        <x:v>0</x:v>
      </x:c>
      <x:c r="D3180" s="256" t="n">
        <x:f>EXP(A3180-0.005)-1</x:f>
        <x:v>39.245572587971694</x:v>
      </x:c>
    </x:row>
    <x:row r="3181" ht="20" customHeight="1">
      <x:c r="A3181" s="256" t="n">
        <x:f>-12+1571*0.01</x:f>
        <x:v>3.710000000000001</x:v>
      </x:c>
      <x:c r="B3181" s="256" t="n">
        <x:f>IF(COUNT($B$129:$L$129)=11,B$129*EXP(IF(A3181&lt;0,(10-0)*A3181,-0*A3181))+C$129*EXP(IF(A3181&lt;0,(10-1)*A3181,-1*A3181))+D$129*EXP(IF(A3181&lt;0,(10-2)*A3181,-2*A3181))+E$129*EXP(IF(A3181&lt;0,(10-3)*A3181,-3*A3181))+F$129*EXP(IF(A3181&lt;0,(10-4)*A3181,-4*A3181))+G$129*EXP(IF(A3181&lt;0,(10-5)*A3181,-5*A3181))+H$129*EXP(IF(A3181&lt;0,(10-6)*A3181,-6*A3181))+I$129*EXP(IF(A3181&lt;0,(10-7)*A3181,-7*A3181))+J$129*EXP(IF(A3181&lt;0,(10-8)*A3181,-8*A3181))+K$129*EXP(IF(A3181&lt;0,(10-9)*A3181,-9*A3181))+L$129*EXP(IF(A3181&lt;0,(10-10)*A3181,-10*A3181)),0)</x:f>
        <x:v>-190203.18368950477</x:v>
      </x:c>
      <x:c r="C3181" s="256" t="n">
        <x:f>IF(B3181=0,IF(B3180=0,0,1),IF(B3180=0,0,IF(SIGN(B3181)&lt;&gt;SIGN(B3180),1,0)))</x:f>
        <x:v>0</x:v>
      </x:c>
      <x:c r="D3181" s="256" t="n">
        <x:f>EXP(A3181-0.005)-1</x:f>
        <x:v>39.65004731687881</x:v>
      </x:c>
    </x:row>
    <x:row r="3182" ht="20" customHeight="1">
      <x:c r="A3182" s="256" t="n">
        <x:f>-12+1572*0.01</x:f>
        <x:v>3.7200000000000006</x:v>
      </x:c>
      <x:c r="B3182" s="256" t="n">
        <x:f>IF(COUNT($B$129:$L$129)=11,B$129*EXP(IF(A3182&lt;0,(10-0)*A3182,-0*A3182))+C$129*EXP(IF(A3182&lt;0,(10-1)*A3182,-1*A3182))+D$129*EXP(IF(A3182&lt;0,(10-2)*A3182,-2*A3182))+E$129*EXP(IF(A3182&lt;0,(10-3)*A3182,-3*A3182))+F$129*EXP(IF(A3182&lt;0,(10-4)*A3182,-4*A3182))+G$129*EXP(IF(A3182&lt;0,(10-5)*A3182,-5*A3182))+H$129*EXP(IF(A3182&lt;0,(10-6)*A3182,-6*A3182))+I$129*EXP(IF(A3182&lt;0,(10-7)*A3182,-7*A3182))+J$129*EXP(IF(A3182&lt;0,(10-8)*A3182,-8*A3182))+K$129*EXP(IF(A3182&lt;0,(10-9)*A3182,-9*A3182))+L$129*EXP(IF(A3182&lt;0,(10-10)*A3182,-10*A3182)),0)</x:f>
        <x:v>-190201.12590558213</x:v>
      </x:c>
      <x:c r="C3182" s="256" t="n">
        <x:f>IF(B3182=0,IF(B3181=0,0,1),IF(B3181=0,0,IF(SIGN(B3182)&lt;&gt;SIGN(B3181),1,0)))</x:f>
        <x:v>0</x:v>
      </x:c>
      <x:c r="D3182" s="256" t="n">
        <x:f>EXP(A3182-0.005)-1</x:f>
        <x:v>40.05858708439277</x:v>
      </x:c>
    </x:row>
    <x:row r="3183" ht="20" customHeight="1">
      <x:c r="A3183" s="256" t="n">
        <x:f>-12+1573*0.01</x:f>
        <x:v>3.7300000000000004</x:v>
      </x:c>
      <x:c r="B3183" s="256" t="n">
        <x:f>IF(COUNT($B$129:$L$129)=11,B$129*EXP(IF(A3183&lt;0,(10-0)*A3183,-0*A3183))+C$129*EXP(IF(A3183&lt;0,(10-1)*A3183,-1*A3183))+D$129*EXP(IF(A3183&lt;0,(10-2)*A3183,-2*A3183))+E$129*EXP(IF(A3183&lt;0,(10-3)*A3183,-3*A3183))+F$129*EXP(IF(A3183&lt;0,(10-4)*A3183,-4*A3183))+G$129*EXP(IF(A3183&lt;0,(10-5)*A3183,-5*A3183))+H$129*EXP(IF(A3183&lt;0,(10-6)*A3183,-6*A3183))+I$129*EXP(IF(A3183&lt;0,(10-7)*A3183,-7*A3183))+J$129*EXP(IF(A3183&lt;0,(10-8)*A3183,-8*A3183))+K$129*EXP(IF(A3183&lt;0,(10-9)*A3183,-9*A3183))+L$129*EXP(IF(A3183&lt;0,(10-10)*A3183,-10*A3183)),0)</x:f>
        <x:v>-190199.08932160132</x:v>
      </x:c>
      <x:c r="C3183" s="256" t="n">
        <x:f>IF(B3183=0,IF(B3182=0,0,1),IF(B3182=0,0,IF(SIGN(B3183)&lt;&gt;SIGN(B3182),1,0)))</x:f>
        <x:v>0</x:v>
      </x:c>
      <x:c r="D3183" s="256" t="n">
        <x:f>EXP(A3183-0.005)-1</x:f>
        <x:v>40.47123274483077</x:v>
      </x:c>
    </x:row>
    <x:row r="3184" ht="20" customHeight="1">
      <x:c r="A3184" s="256" t="n">
        <x:f>-12+1574*0.01</x:f>
        <x:v>3.74</x:v>
      </x:c>
      <x:c r="B3184" s="256" t="n">
        <x:f>IF(COUNT($B$129:$L$129)=11,B$129*EXP(IF(A3184&lt;0,(10-0)*A3184,-0*A3184))+C$129*EXP(IF(A3184&lt;0,(10-1)*A3184,-1*A3184))+D$129*EXP(IF(A3184&lt;0,(10-2)*A3184,-2*A3184))+E$129*EXP(IF(A3184&lt;0,(10-3)*A3184,-3*A3184))+F$129*EXP(IF(A3184&lt;0,(10-4)*A3184,-4*A3184))+G$129*EXP(IF(A3184&lt;0,(10-5)*A3184,-5*A3184))+H$129*EXP(IF(A3184&lt;0,(10-6)*A3184,-6*A3184))+I$129*EXP(IF(A3184&lt;0,(10-7)*A3184,-7*A3184))+J$129*EXP(IF(A3184&lt;0,(10-8)*A3184,-8*A3184))+K$129*EXP(IF(A3184&lt;0,(10-9)*A3184,-9*A3184))+L$129*EXP(IF(A3184&lt;0,(10-10)*A3184,-10*A3184)),0)</x:f>
        <x:v>-190197.07371196186</x:v>
      </x:c>
      <x:c r="C3184" s="256" t="n">
        <x:f>IF(B3184=0,IF(B3183=0,0,1),IF(B3183=0,0,IF(SIGN(B3184)&lt;&gt;SIGN(B3183),1,0)))</x:f>
        <x:v>0</x:v>
      </x:c>
      <x:c r="D3184" s="256" t="n">
        <x:f>EXP(A3184-0.005)-1</x:f>
        <x:v>40.88802556310274</x:v>
      </x:c>
    </x:row>
    <x:row r="3185" ht="20" customHeight="1">
      <x:c r="A3185" s="256" t="n">
        <x:f>-12+1575*0.01</x:f>
        <x:v>3.75</x:v>
      </x:c>
      <x:c r="B3185" s="256" t="n">
        <x:f>IF(COUNT($B$129:$L$129)=11,B$129*EXP(IF(A3185&lt;0,(10-0)*A3185,-0*A3185))+C$129*EXP(IF(A3185&lt;0,(10-1)*A3185,-1*A3185))+D$129*EXP(IF(A3185&lt;0,(10-2)*A3185,-2*A3185))+E$129*EXP(IF(A3185&lt;0,(10-3)*A3185,-3*A3185))+F$129*EXP(IF(A3185&lt;0,(10-4)*A3185,-4*A3185))+G$129*EXP(IF(A3185&lt;0,(10-5)*A3185,-5*A3185))+H$129*EXP(IF(A3185&lt;0,(10-6)*A3185,-6*A3185))+I$129*EXP(IF(A3185&lt;0,(10-7)*A3185,-7*A3185))+J$129*EXP(IF(A3185&lt;0,(10-8)*A3185,-8*A3185))+K$129*EXP(IF(A3185&lt;0,(10-9)*A3185,-9*A3185))+L$129*EXP(IF(A3185&lt;0,(10-10)*A3185,-10*A3185)),0)</x:f>
        <x:v>-190195.07885360744</x:v>
      </x:c>
      <x:c r="C3185" s="256" t="n">
        <x:f>IF(B3185=0,IF(B3184=0,0,1),IF(B3184=0,0,IF(SIGN(B3185)&lt;&gt;SIGN(B3184),1,0)))</x:f>
        <x:v>0</x:v>
      </x:c>
      <x:c r="D3185" s="256" t="n">
        <x:f>EXP(A3185-0.005)-1</x:f>
        <x:v>41.30900721883781</x:v>
      </x:c>
    </x:row>
    <x:row r="3186" ht="20" customHeight="1">
      <x:c r="A3186" s="256" t="n">
        <x:f>-12+1576*0.01</x:f>
        <x:v>3.76</x:v>
      </x:c>
      <x:c r="B3186" s="256" t="n">
        <x:f>IF(COUNT($B$129:$L$129)=11,B$129*EXP(IF(A3186&lt;0,(10-0)*A3186,-0*A3186))+C$129*EXP(IF(A3186&lt;0,(10-1)*A3186,-1*A3186))+D$129*EXP(IF(A3186&lt;0,(10-2)*A3186,-2*A3186))+E$129*EXP(IF(A3186&lt;0,(10-3)*A3186,-3*A3186))+F$129*EXP(IF(A3186&lt;0,(10-4)*A3186,-4*A3186))+G$129*EXP(IF(A3186&lt;0,(10-5)*A3186,-5*A3186))+H$129*EXP(IF(A3186&lt;0,(10-6)*A3186,-6*A3186))+I$129*EXP(IF(A3186&lt;0,(10-7)*A3186,-7*A3186))+J$129*EXP(IF(A3186&lt;0,(10-8)*A3186,-8*A3186))+K$129*EXP(IF(A3186&lt;0,(10-9)*A3186,-9*A3186))+L$129*EXP(IF(A3186&lt;0,(10-10)*A3186,-10*A3186)),0)</x:f>
        <x:v>-190193.1045259946</x:v>
      </x:c>
      <x:c r="C3186" s="256" t="n">
        <x:f>IF(B3186=0,IF(B3185=0,0,1),IF(B3185=0,0,IF(SIGN(B3186)&lt;&gt;SIGN(B3185),1,0)))</x:f>
        <x:v>0</x:v>
      </x:c>
      <x:c r="D3186" s="256" t="n">
        <x:f>EXP(A3186-0.005)-1</x:f>
        <x:v>41.734219810552396</x:v>
      </x:c>
    </x:row>
    <x:row r="3187" ht="20" customHeight="1">
      <x:c r="A3187" s="256" t="n">
        <x:f>-12+1577*0.01</x:f>
        <x:v>3.7699999999999996</x:v>
      </x:c>
      <x:c r="B3187" s="256" t="n">
        <x:f>IF(COUNT($B$129:$L$129)=11,B$129*EXP(IF(A3187&lt;0,(10-0)*A3187,-0*A3187))+C$129*EXP(IF(A3187&lt;0,(10-1)*A3187,-1*A3187))+D$129*EXP(IF(A3187&lt;0,(10-2)*A3187,-2*A3187))+E$129*EXP(IF(A3187&lt;0,(10-3)*A3187,-3*A3187))+F$129*EXP(IF(A3187&lt;0,(10-4)*A3187,-4*A3187))+G$129*EXP(IF(A3187&lt;0,(10-5)*A3187,-5*A3187))+H$129*EXP(IF(A3187&lt;0,(10-6)*A3187,-6*A3187))+I$129*EXP(IF(A3187&lt;0,(10-7)*A3187,-7*A3187))+J$129*EXP(IF(A3187&lt;0,(10-8)*A3187,-8*A3187))+K$129*EXP(IF(A3187&lt;0,(10-9)*A3187,-9*A3187))+L$129*EXP(IF(A3187&lt;0,(10-10)*A3187,-10*A3187)),0)</x:f>
        <x:v>-190191.1505110613</x:v>
      </x:c>
      <x:c r="C3187" s="256" t="n">
        <x:f>IF(B3187=0,IF(B3186=0,0,1),IF(B3186=0,0,IF(SIGN(B3187)&lt;&gt;SIGN(B3186),1,0)))</x:f>
        <x:v>0</x:v>
      </x:c>
      <x:c r="D3187" s="256" t="n">
        <x:f>EXP(A3187-0.005)-1</x:f>
        <x:v>42.16370585986</x:v>
      </x:c>
    </x:row>
    <x:row r="3188" ht="20" customHeight="1">
      <x:c r="A3188" s="256" t="n">
        <x:f>-12+1578*0.01</x:f>
        <x:v>3.780000000000001</x:v>
      </x:c>
      <x:c r="B3188" s="256" t="n">
        <x:f>IF(COUNT($B$129:$L$129)=11,B$129*EXP(IF(A3188&lt;0,(10-0)*A3188,-0*A3188))+C$129*EXP(IF(A3188&lt;0,(10-1)*A3188,-1*A3188))+D$129*EXP(IF(A3188&lt;0,(10-2)*A3188,-2*A3188))+E$129*EXP(IF(A3188&lt;0,(10-3)*A3188,-3*A3188))+F$129*EXP(IF(A3188&lt;0,(10-4)*A3188,-4*A3188))+G$129*EXP(IF(A3188&lt;0,(10-5)*A3188,-5*A3188))+H$129*EXP(IF(A3188&lt;0,(10-6)*A3188,-6*A3188))+I$129*EXP(IF(A3188&lt;0,(10-7)*A3188,-7*A3188))+J$129*EXP(IF(A3188&lt;0,(10-8)*A3188,-8*A3188))+K$129*EXP(IF(A3188&lt;0,(10-9)*A3188,-9*A3188))+L$129*EXP(IF(A3188&lt;0,(10-10)*A3188,-10*A3188)),0)</x:f>
        <x:v>-190189.21659319653</x:v>
      </x:c>
      <x:c r="C3188" s="256" t="n">
        <x:f>IF(B3188=0,IF(B3187=0,0,1),IF(B3187=0,0,IF(SIGN(B3188)&lt;&gt;SIGN(B3187),1,0)))</x:f>
        <x:v>0</x:v>
      </x:c>
      <x:c r="D3188" s="256" t="n">
        <x:f>EXP(A3188-0.005)-1</x:f>
        <x:v>42.597508315723545</x:v>
      </x:c>
    </x:row>
    <x:row r="3189" ht="20" customHeight="1">
      <x:c r="A3189" s="256" t="n">
        <x:f>-12+1579*0.01</x:f>
        <x:v>3.790000000000001</x:v>
      </x:c>
      <x:c r="B3189" s="256" t="n">
        <x:f>IF(COUNT($B$129:$L$129)=11,B$129*EXP(IF(A3189&lt;0,(10-0)*A3189,-0*A3189))+C$129*EXP(IF(A3189&lt;0,(10-1)*A3189,-1*A3189))+D$129*EXP(IF(A3189&lt;0,(10-2)*A3189,-2*A3189))+E$129*EXP(IF(A3189&lt;0,(10-3)*A3189,-3*A3189))+F$129*EXP(IF(A3189&lt;0,(10-4)*A3189,-4*A3189))+G$129*EXP(IF(A3189&lt;0,(10-5)*A3189,-5*A3189))+H$129*EXP(IF(A3189&lt;0,(10-6)*A3189,-6*A3189))+I$129*EXP(IF(A3189&lt;0,(10-7)*A3189,-7*A3189))+J$129*EXP(IF(A3189&lt;0,(10-8)*A3189,-8*A3189))+K$129*EXP(IF(A3189&lt;0,(10-9)*A3189,-9*A3189))+L$129*EXP(IF(A3189&lt;0,(10-10)*A3189,-10*A3189)),0)</x:f>
        <x:v>-190187.30255921016</x:v>
      </x:c>
      <x:c r="C3189" s="256" t="n">
        <x:f>IF(B3189=0,IF(B3188=0,0,1),IF(B3188=0,0,IF(SIGN(B3189)&lt;&gt;SIGN(B3188),1,0)))</x:f>
        <x:v>0</x:v>
      </x:c>
      <x:c r="D3189" s="256" t="n">
        <x:f>EXP(A3189-0.005)-1</x:f>
        <x:v>43.03567055874997</x:v>
      </x:c>
    </x:row>
    <x:row r="3190" ht="20" customHeight="1">
      <x:c r="A3190" s="256" t="n">
        <x:f>-12+1580*0.01</x:f>
        <x:v>3.8000000000000007</x:v>
      </x:c>
      <x:c r="B3190" s="256" t="n">
        <x:f>IF(COUNT($B$129:$L$129)=11,B$129*EXP(IF(A3190&lt;0,(10-0)*A3190,-0*A3190))+C$129*EXP(IF(A3190&lt;0,(10-1)*A3190,-1*A3190))+D$129*EXP(IF(A3190&lt;0,(10-2)*A3190,-2*A3190))+E$129*EXP(IF(A3190&lt;0,(10-3)*A3190,-3*A3190))+F$129*EXP(IF(A3190&lt;0,(10-4)*A3190,-4*A3190))+G$129*EXP(IF(A3190&lt;0,(10-5)*A3190,-5*A3190))+H$129*EXP(IF(A3190&lt;0,(10-6)*A3190,-6*A3190))+I$129*EXP(IF(A3190&lt;0,(10-7)*A3190,-7*A3190))+J$129*EXP(IF(A3190&lt;0,(10-8)*A3190,-8*A3190))+K$129*EXP(IF(A3190&lt;0,(10-9)*A3190,-9*A3190))+L$129*EXP(IF(A3190&lt;0,(10-10)*A3190,-10*A3190)),0)</x:f>
        <x:v>-190185.40819830276</x:v>
      </x:c>
      <x:c r="C3190" s="256" t="n">
        <x:f>IF(B3190=0,IF(B3189=0,0,1),IF(B3189=0,0,IF(SIGN(B3190)&lt;&gt;SIGN(B3189),1,0)))</x:f>
        <x:v>0</x:v>
      </x:c>
      <x:c r="D3190" s="256" t="n">
        <x:f>EXP(A3190-0.005)-1</x:f>
        <x:v>43.478236405528776</x:v>
      </x:c>
    </x:row>
    <x:row r="3191" ht="20" customHeight="1">
      <x:c r="A3191" s="256" t="n">
        <x:f>-12+1581*0.01</x:f>
        <x:v>3.8100000000000005</x:v>
      </x:c>
      <x:c r="B3191" s="256" t="n">
        <x:f>IF(COUNT($B$129:$L$129)=11,B$129*EXP(IF(A3191&lt;0,(10-0)*A3191,-0*A3191))+C$129*EXP(IF(A3191&lt;0,(10-1)*A3191,-1*A3191))+D$129*EXP(IF(A3191&lt;0,(10-2)*A3191,-2*A3191))+E$129*EXP(IF(A3191&lt;0,(10-3)*A3191,-3*A3191))+F$129*EXP(IF(A3191&lt;0,(10-4)*A3191,-4*A3191))+G$129*EXP(IF(A3191&lt;0,(10-5)*A3191,-5*A3191))+H$129*EXP(IF(A3191&lt;0,(10-6)*A3191,-6*A3191))+I$129*EXP(IF(A3191&lt;0,(10-7)*A3191,-7*A3191))+J$129*EXP(IF(A3191&lt;0,(10-8)*A3191,-8*A3191))+K$129*EXP(IF(A3191&lt;0,(10-9)*A3191,-9*A3191))+L$129*EXP(IF(A3191&lt;0,(10-10)*A3191,-10*A3191)),0)</x:f>
        <x:v>-190183.53330203684</x:v>
      </x:c>
      <x:c r="C3191" s="256" t="n">
        <x:f>IF(B3191=0,IF(B3190=0,0,1),IF(B3190=0,0,IF(SIGN(B3191)&lt;&gt;SIGN(B3190),1,0)))</x:f>
        <x:v>0</x:v>
      </x:c>
      <x:c r="D3191" s="256" t="n">
        <x:f>EXP(A3191-0.005)-1</x:f>
        <x:v>43.925250113013455</x:v>
      </x:c>
    </x:row>
    <x:row r="3192" ht="20" customHeight="1">
      <x:c r="A3192" s="256" t="n">
        <x:f>-12+1582*0.01</x:f>
        <x:v>3.8200000000000003</x:v>
      </x:c>
      <x:c r="B3192" s="256" t="n">
        <x:f>IF(COUNT($B$129:$L$129)=11,B$129*EXP(IF(A3192&lt;0,(10-0)*A3192,-0*A3192))+C$129*EXP(IF(A3192&lt;0,(10-1)*A3192,-1*A3192))+D$129*EXP(IF(A3192&lt;0,(10-2)*A3192,-2*A3192))+E$129*EXP(IF(A3192&lt;0,(10-3)*A3192,-3*A3192))+F$129*EXP(IF(A3192&lt;0,(10-4)*A3192,-4*A3192))+G$129*EXP(IF(A3192&lt;0,(10-5)*A3192,-5*A3192))+H$129*EXP(IF(A3192&lt;0,(10-6)*A3192,-6*A3192))+I$129*EXP(IF(A3192&lt;0,(10-7)*A3192,-7*A3192))+J$129*EXP(IF(A3192&lt;0,(10-8)*A3192,-8*A3192))+K$129*EXP(IF(A3192&lt;0,(10-9)*A3192,-9*A3192))+L$129*EXP(IF(A3192&lt;0,(10-10)*A3192,-10*A3192)),0)</x:f>
        <x:v>-190181.6776643072</x:v>
      </x:c>
      <x:c r="C3192" s="256" t="n">
        <x:f>IF(B3192=0,IF(B3191=0,0,1),IF(B3191=0,0,IF(SIGN(B3192)&lt;&gt;SIGN(B3191),1,0)))</x:f>
        <x:v>0</x:v>
      </x:c>
      <x:c r="D3192" s="256" t="n">
        <x:f>EXP(A3192-0.005)-1</x:f>
        <x:v>44.37675638294727</x:v>
      </x:c>
    </x:row>
    <x:row r="3193" ht="20" customHeight="1">
      <x:c r="A3193" s="256" t="n">
        <x:f>-12+1583*0.01</x:f>
        <x:v>3.83</x:v>
      </x:c>
      <x:c r="B3193" s="256" t="n">
        <x:f>IF(COUNT($B$129:$L$129)=11,B$129*EXP(IF(A3193&lt;0,(10-0)*A3193,-0*A3193))+C$129*EXP(IF(A3193&lt;0,(10-1)*A3193,-1*A3193))+D$129*EXP(IF(A3193&lt;0,(10-2)*A3193,-2*A3193))+E$129*EXP(IF(A3193&lt;0,(10-3)*A3193,-3*A3193))+F$129*EXP(IF(A3193&lt;0,(10-4)*A3193,-4*A3193))+G$129*EXP(IF(A3193&lt;0,(10-5)*A3193,-5*A3193))+H$129*EXP(IF(A3193&lt;0,(10-6)*A3193,-6*A3193))+I$129*EXP(IF(A3193&lt;0,(10-7)*A3193,-7*A3193))+J$129*EXP(IF(A3193&lt;0,(10-8)*A3193,-8*A3193))+K$129*EXP(IF(A3193&lt;0,(10-9)*A3193,-9*A3193))+L$129*EXP(IF(A3193&lt;0,(10-10)*A3193,-10*A3193)),0)</x:f>
        <x:v>-190179.84108131315</x:v>
      </x:c>
      <x:c r="C3193" s="256" t="n">
        <x:f>IF(B3193=0,IF(B3192=0,0,1),IF(B3192=0,0,IF(SIGN(B3193)&lt;&gt;SIGN(B3192),1,0)))</x:f>
        <x:v>0</x:v>
      </x:c>
      <x:c r="D3193" s="256" t="n">
        <x:f>EXP(A3193-0.005)-1</x:f>
        <x:v>44.83280036633347</x:v>
      </x:c>
    </x:row>
    <x:row r="3194" ht="20" customHeight="1">
      <x:c r="A3194" s="256" t="n">
        <x:f>-12+1584*0.01</x:f>
        <x:v>3.84</x:v>
      </x:c>
      <x:c r="B3194" s="256" t="n">
        <x:f>IF(COUNT($B$129:$L$129)=11,B$129*EXP(IF(A3194&lt;0,(10-0)*A3194,-0*A3194))+C$129*EXP(IF(A3194&lt;0,(10-1)*A3194,-1*A3194))+D$129*EXP(IF(A3194&lt;0,(10-2)*A3194,-2*A3194))+E$129*EXP(IF(A3194&lt;0,(10-3)*A3194,-3*A3194))+F$129*EXP(IF(A3194&lt;0,(10-4)*A3194,-4*A3194))+G$129*EXP(IF(A3194&lt;0,(10-5)*A3194,-5*A3194))+H$129*EXP(IF(A3194&lt;0,(10-6)*A3194,-6*A3194))+I$129*EXP(IF(A3194&lt;0,(10-7)*A3194,-7*A3194))+J$129*EXP(IF(A3194&lt;0,(10-8)*A3194,-8*A3194))+K$129*EXP(IF(A3194&lt;0,(10-9)*A3194,-9*A3194))+L$129*EXP(IF(A3194&lt;0,(10-10)*A3194,-10*A3194)),0)</x:f>
        <x:v>-190178.02335152953</x:v>
      </x:c>
      <x:c r="C3194" s="256" t="n">
        <x:f>IF(B3194=0,IF(B3193=0,0,1),IF(B3193=0,0,IF(SIGN(B3194)&lt;&gt;SIGN(B3193),1,0)))</x:f>
        <x:v>0</x:v>
      </x:c>
      <x:c r="D3194" s="256" t="n">
        <x:f>EXP(A3194-0.005)-1</x:f>
        <x:v>45.29342766795043</x:v>
      </x:c>
    </x:row>
    <x:row r="3195" ht="20" customHeight="1">
      <x:c r="A3195" s="256" t="n">
        <x:f>-12+1585*0.01</x:f>
        <x:v>3.8499999999999996</x:v>
      </x:c>
      <x:c r="B3195" s="256" t="n">
        <x:f>IF(COUNT($B$129:$L$129)=11,B$129*EXP(IF(A3195&lt;0,(10-0)*A3195,-0*A3195))+C$129*EXP(IF(A3195&lt;0,(10-1)*A3195,-1*A3195))+D$129*EXP(IF(A3195&lt;0,(10-2)*A3195,-2*A3195))+E$129*EXP(IF(A3195&lt;0,(10-3)*A3195,-3*A3195))+F$129*EXP(IF(A3195&lt;0,(10-4)*A3195,-4*A3195))+G$129*EXP(IF(A3195&lt;0,(10-5)*A3195,-5*A3195))+H$129*EXP(IF(A3195&lt;0,(10-6)*A3195,-6*A3195))+I$129*EXP(IF(A3195&lt;0,(10-7)*A3195,-7*A3195))+J$129*EXP(IF(A3195&lt;0,(10-8)*A3195,-8*A3195))+K$129*EXP(IF(A3195&lt;0,(10-9)*A3195,-9*A3195))+L$129*EXP(IF(A3195&lt;0,(10-10)*A3195,-10*A3195)),0)</x:f>
        <x:v>-190176.22427567956</x:v>
      </x:c>
      <x:c r="C3195" s="256" t="n">
        <x:f>IF(B3195=0,IF(B3194=0,0,1),IF(B3194=0,0,IF(SIGN(B3195)&lt;&gt;SIGN(B3194),1,0)))</x:f>
        <x:v>0</x:v>
      </x:c>
      <x:c r="D3195" s="256" t="n">
        <x:f>EXP(A3195-0.005)-1</x:f>
        <x:v>45.758684350912176</x:v>
      </x:c>
    </x:row>
    <x:row r="3196" ht="20" customHeight="1">
      <x:c r="A3196" s="256" t="n">
        <x:f>-12+1586*0.01</x:f>
        <x:v>3.860000000000001</x:v>
      </x:c>
      <x:c r="B3196" s="256" t="n">
        <x:f>IF(COUNT($B$129:$L$129)=11,B$129*EXP(IF(A3196&lt;0,(10-0)*A3196,-0*A3196))+C$129*EXP(IF(A3196&lt;0,(10-1)*A3196,-1*A3196))+D$129*EXP(IF(A3196&lt;0,(10-2)*A3196,-2*A3196))+E$129*EXP(IF(A3196&lt;0,(10-3)*A3196,-3*A3196))+F$129*EXP(IF(A3196&lt;0,(10-4)*A3196,-4*A3196))+G$129*EXP(IF(A3196&lt;0,(10-5)*A3196,-5*A3196))+H$129*EXP(IF(A3196&lt;0,(10-6)*A3196,-6*A3196))+I$129*EXP(IF(A3196&lt;0,(10-7)*A3196,-7*A3196))+J$129*EXP(IF(A3196&lt;0,(10-8)*A3196,-8*A3196))+K$129*EXP(IF(A3196&lt;0,(10-9)*A3196,-9*A3196))+L$129*EXP(IF(A3196&lt;0,(10-10)*A3196,-10*A3196)),0)</x:f>
        <x:v>-190174.4436567073</x:v>
      </x:c>
      <x:c r="C3196" s="256" t="n">
        <x:f>IF(B3196=0,IF(B3195=0,0,1),IF(B3195=0,0,IF(SIGN(B3196)&lt;&gt;SIGN(B3195),1,0)))</x:f>
        <x:v>0</x:v>
      </x:c>
      <x:c r="D3196" s="256" t="n">
        <x:f>EXP(A3196-0.005)-1</x:f>
        <x:v>46.22861694127479</x:v>
      </x:c>
    </x:row>
    <x:row r="3197" ht="20" customHeight="1">
      <x:c r="A3197" s="256" t="n">
        <x:f>-12+1587*0.01</x:f>
        <x:v>3.870000000000001</x:v>
      </x:c>
      <x:c r="B3197" s="256" t="n">
        <x:f>IF(COUNT($B$129:$L$129)=11,B$129*EXP(IF(A3197&lt;0,(10-0)*A3197,-0*A3197))+C$129*EXP(IF(A3197&lt;0,(10-1)*A3197,-1*A3197))+D$129*EXP(IF(A3197&lt;0,(10-2)*A3197,-2*A3197))+E$129*EXP(IF(A3197&lt;0,(10-3)*A3197,-3*A3197))+F$129*EXP(IF(A3197&lt;0,(10-4)*A3197,-4*A3197))+G$129*EXP(IF(A3197&lt;0,(10-5)*A3197,-5*A3197))+H$129*EXP(IF(A3197&lt;0,(10-6)*A3197,-6*A3197))+I$129*EXP(IF(A3197&lt;0,(10-7)*A3197,-7*A3197))+J$129*EXP(IF(A3197&lt;0,(10-8)*A3197,-8*A3197))+K$129*EXP(IF(A3197&lt;0,(10-9)*A3197,-9*A3197))+L$129*EXP(IF(A3197&lt;0,(10-10)*A3197,-10*A3197)),0)</x:f>
        <x:v>-190172.68129975037</x:v>
      </x:c>
      <x:c r="C3197" s="256" t="n">
        <x:f>IF(B3197=0,IF(B3196=0,0,1),IF(B3196=0,0,IF(SIGN(B3197)&lt;&gt;SIGN(B3196),1,0)))</x:f>
        <x:v>0</x:v>
      </x:c>
      <x:c r="D3197" s="256" t="n">
        <x:f>EXP(A3197-0.005)-1</x:f>
        <x:v>46.70327243268876</x:v>
      </x:c>
    </x:row>
    <x:row r="3198" ht="20" customHeight="1">
      <x:c r="A3198" s="256" t="n">
        <x:f>-12+1588*0.01</x:f>
        <x:v>3.880000000000001</x:v>
      </x:c>
      <x:c r="B3198" s="256" t="n">
        <x:f>IF(COUNT($B$129:$L$129)=11,B$129*EXP(IF(A3198&lt;0,(10-0)*A3198,-0*A3198))+C$129*EXP(IF(A3198&lt;0,(10-1)*A3198,-1*A3198))+D$129*EXP(IF(A3198&lt;0,(10-2)*A3198,-2*A3198))+E$129*EXP(IF(A3198&lt;0,(10-3)*A3198,-3*A3198))+F$129*EXP(IF(A3198&lt;0,(10-4)*A3198,-4*A3198))+G$129*EXP(IF(A3198&lt;0,(10-5)*A3198,-5*A3198))+H$129*EXP(IF(A3198&lt;0,(10-6)*A3198,-6*A3198))+I$129*EXP(IF(A3198&lt;0,(10-7)*A3198,-7*A3198))+J$129*EXP(IF(A3198&lt;0,(10-8)*A3198,-8*A3198))+K$129*EXP(IF(A3198&lt;0,(10-9)*A3198,-9*A3198))+L$129*EXP(IF(A3198&lt;0,(10-10)*A3198,-10*A3198)),0)</x:f>
        <x:v>-190170.93701211383</x:v>
      </x:c>
      <x:c r="C3198" s="256" t="n">
        <x:f>IF(B3198=0,IF(B3197=0,0,1),IF(B3197=0,0,IF(SIGN(B3198)&lt;&gt;SIGN(B3197),1,0)))</x:f>
        <x:v>0</x:v>
      </x:c>
      <x:c r="D3198" s="256" t="n">
        <x:f>EXP(A3198-0.005)-1</x:f>
        <x:v>47.18269829109886</x:v>
      </x:c>
    </x:row>
    <x:row r="3199" ht="20" customHeight="1">
      <x:c r="A3199" s="256" t="n">
        <x:f>-12+1589*0.01</x:f>
        <x:v>3.8900000000000006</x:v>
      </x:c>
      <x:c r="B3199" s="256" t="n">
        <x:f>IF(COUNT($B$129:$L$129)=11,B$129*EXP(IF(A3199&lt;0,(10-0)*A3199,-0*A3199))+C$129*EXP(IF(A3199&lt;0,(10-1)*A3199,-1*A3199))+D$129*EXP(IF(A3199&lt;0,(10-2)*A3199,-2*A3199))+E$129*EXP(IF(A3199&lt;0,(10-3)*A3199,-3*A3199))+F$129*EXP(IF(A3199&lt;0,(10-4)*A3199,-4*A3199))+G$129*EXP(IF(A3199&lt;0,(10-5)*A3199,-5*A3199))+H$129*EXP(IF(A3199&lt;0,(10-6)*A3199,-6*A3199))+I$129*EXP(IF(A3199&lt;0,(10-7)*A3199,-7*A3199))+J$129*EXP(IF(A3199&lt;0,(10-8)*A3199,-8*A3199))+K$129*EXP(IF(A3199&lt;0,(10-9)*A3199,-9*A3199))+L$129*EXP(IF(A3199&lt;0,(10-10)*A3199,-10*A3199)),0)</x:f>
        <x:v>-190169.21060324335</x:v>
      </x:c>
      <x:c r="C3199" s="256" t="n">
        <x:f>IF(B3199=0,IF(B3198=0,0,1),IF(B3198=0,0,IF(SIGN(B3199)&lt;&gt;SIGN(B3198),1,0)))</x:f>
        <x:v>0</x:v>
      </x:c>
      <x:c r="D3199" s="256" t="n">
        <x:f>EXP(A3199-0.005)-1</x:f>
        <x:v>47.66694245949045</x:v>
      </x:c>
    </x:row>
    <x:row r="3200" ht="20" customHeight="1">
      <x:c r="A3200" s="256" t="n">
        <x:f>-12+1590*0.01</x:f>
        <x:v>3.9000000000000004</x:v>
      </x:c>
      <x:c r="B3200" s="256" t="n">
        <x:f>IF(COUNT($B$129:$L$129)=11,B$129*EXP(IF(A3200&lt;0,(10-0)*A3200,-0*A3200))+C$129*EXP(IF(A3200&lt;0,(10-1)*A3200,-1*A3200))+D$129*EXP(IF(A3200&lt;0,(10-2)*A3200,-2*A3200))+E$129*EXP(IF(A3200&lt;0,(10-3)*A3200,-3*A3200))+F$129*EXP(IF(A3200&lt;0,(10-4)*A3200,-4*A3200))+G$129*EXP(IF(A3200&lt;0,(10-5)*A3200,-5*A3200))+H$129*EXP(IF(A3200&lt;0,(10-6)*A3200,-6*A3200))+I$129*EXP(IF(A3200&lt;0,(10-7)*A3200,-7*A3200))+J$129*EXP(IF(A3200&lt;0,(10-8)*A3200,-8*A3200))+K$129*EXP(IF(A3200&lt;0,(10-9)*A3200,-9*A3200))+L$129*EXP(IF(A3200&lt;0,(10-10)*A3200,-10*A3200)),0)</x:f>
        <x:v>-190167.50188469983</x:v>
      </x:c>
      <x:c r="C3200" s="256" t="n">
        <x:f>IF(B3200=0,IF(B3199=0,0,1),IF(B3199=0,0,IF(SIGN(B3200)&lt;&gt;SIGN(B3199),1,0)))</x:f>
        <x:v>0</x:v>
      </x:c>
      <x:c r="D3200" s="256" t="n">
        <x:f>EXP(A3200-0.005)-1</x:f>
        <x:v>48.15605336268391</x:v>
      </x:c>
    </x:row>
    <x:row r="3201" ht="20" customHeight="1">
      <x:c r="A3201" s="256" t="n">
        <x:f>-12+1591*0.01</x:f>
        <x:v>3.91</x:v>
      </x:c>
      <x:c r="B3201" s="256" t="n">
        <x:f>IF(COUNT($B$129:$L$129)=11,B$129*EXP(IF(A3201&lt;0,(10-0)*A3201,-0*A3201))+C$129*EXP(IF(A3201&lt;0,(10-1)*A3201,-1*A3201))+D$129*EXP(IF(A3201&lt;0,(10-2)*A3201,-2*A3201))+E$129*EXP(IF(A3201&lt;0,(10-3)*A3201,-3*A3201))+F$129*EXP(IF(A3201&lt;0,(10-4)*A3201,-4*A3201))+G$129*EXP(IF(A3201&lt;0,(10-5)*A3201,-5*A3201))+H$129*EXP(IF(A3201&lt;0,(10-6)*A3201,-6*A3201))+I$129*EXP(IF(A3201&lt;0,(10-7)*A3201,-7*A3201))+J$129*EXP(IF(A3201&lt;0,(10-8)*A3201,-8*A3201))+K$129*EXP(IF(A3201&lt;0,(10-9)*A3201,-9*A3201))+L$129*EXP(IF(A3201&lt;0,(10-10)*A3201,-10*A3201)),0)</x:f>
        <x:v>-190165.81067013327</x:v>
      </x:c>
      <x:c r="C3201" s="256" t="n">
        <x:f>IF(B3201=0,IF(B3200=0,0,1),IF(B3200=0,0,IF(SIGN(B3201)&lt;&gt;SIGN(B3200),1,0)))</x:f>
        <x:v>0</x:v>
      </x:c>
      <x:c r="D3201" s="256" t="n">
        <x:f>EXP(A3201-0.005)-1</x:f>
        <x:v>48.650079912177155</x:v>
      </x:c>
    </x:row>
    <x:row r="3202" ht="20" customHeight="1">
      <x:c r="A3202" s="256" t="n">
        <x:f>-12+1592*0.01</x:f>
        <x:v>3.92</x:v>
      </x:c>
      <x:c r="B3202" s="256" t="n">
        <x:f>IF(COUNT($B$129:$L$129)=11,B$129*EXP(IF(A3202&lt;0,(10-0)*A3202,-0*A3202))+C$129*EXP(IF(A3202&lt;0,(10-1)*A3202,-1*A3202))+D$129*EXP(IF(A3202&lt;0,(10-2)*A3202,-2*A3202))+E$129*EXP(IF(A3202&lt;0,(10-3)*A3202,-3*A3202))+F$129*EXP(IF(A3202&lt;0,(10-4)*A3202,-4*A3202))+G$129*EXP(IF(A3202&lt;0,(10-5)*A3202,-5*A3202))+H$129*EXP(IF(A3202&lt;0,(10-6)*A3202,-6*A3202))+I$129*EXP(IF(A3202&lt;0,(10-7)*A3202,-7*A3202))+J$129*EXP(IF(A3202&lt;0,(10-8)*A3202,-8*A3202))+K$129*EXP(IF(A3202&lt;0,(10-9)*A3202,-9*A3202))+L$129*EXP(IF(A3202&lt;0,(10-10)*A3202,-10*A3202)),0)</x:f>
        <x:v>-190164.13677525826</x:v>
      </x:c>
      <x:c r="C3202" s="256" t="n">
        <x:f>IF(B3202=0,IF(B3201=0,0,1),IF(B3201=0,0,IF(SIGN(B3202)&lt;&gt;SIGN(B3201),1,0)))</x:f>
        <x:v>0</x:v>
      </x:c>
      <x:c r="D3202" s="256" t="n">
        <x:f>EXP(A3202-0.005)-1</x:f>
        <x:v>49.14907151103682</x:v>
      </x:c>
    </x:row>
    <x:row r="3203" ht="20" customHeight="1">
      <x:c r="A3203" s="256" t="n">
        <x:f>-12+1593*0.01</x:f>
        <x:v>3.9299999999999997</x:v>
      </x:c>
      <x:c r="B3203" s="256" t="n">
        <x:f>IF(COUNT($B$129:$L$129)=11,B$129*EXP(IF(A3203&lt;0,(10-0)*A3203,-0*A3203))+C$129*EXP(IF(A3203&lt;0,(10-1)*A3203,-1*A3203))+D$129*EXP(IF(A3203&lt;0,(10-2)*A3203,-2*A3203))+E$129*EXP(IF(A3203&lt;0,(10-3)*A3203,-3*A3203))+F$129*EXP(IF(A3203&lt;0,(10-4)*A3203,-4*A3203))+G$129*EXP(IF(A3203&lt;0,(10-5)*A3203,-5*A3203))+H$129*EXP(IF(A3203&lt;0,(10-6)*A3203,-6*A3203))+I$129*EXP(IF(A3203&lt;0,(10-7)*A3203,-7*A3203))+J$129*EXP(IF(A3203&lt;0,(10-8)*A3203,-8*A3203))+K$129*EXP(IF(A3203&lt;0,(10-9)*A3203,-9*A3203))+L$129*EXP(IF(A3203&lt;0,(10-10)*A3203,-10*A3203)),0)</x:f>
        <x:v>-190162.48001782835</x:v>
      </x:c>
      <x:c r="C3203" s="256" t="n">
        <x:f>IF(B3203=0,IF(B3202=0,0,1),IF(B3202=0,0,IF(SIGN(B3203)&lt;&gt;SIGN(B3202),1,0)))</x:f>
        <x:v>0</x:v>
      </x:c>
      <x:c r="D3203" s="256" t="n">
        <x:f>EXP(A3203-0.005)-1</x:f>
        <x:v>49.653078058838624</x:v>
      </x:c>
    </x:row>
    <x:row r="3204" ht="20" customHeight="1">
      <x:c r="A3204" s="256" t="n">
        <x:f>-12+1594*0.01</x:f>
        <x:v>3.9399999999999995</x:v>
      </x:c>
      <x:c r="B3204" s="256" t="n">
        <x:f>IF(COUNT($B$129:$L$129)=11,B$129*EXP(IF(A3204&lt;0,(10-0)*A3204,-0*A3204))+C$129*EXP(IF(A3204&lt;0,(10-1)*A3204,-1*A3204))+D$129*EXP(IF(A3204&lt;0,(10-2)*A3204,-2*A3204))+E$129*EXP(IF(A3204&lt;0,(10-3)*A3204,-3*A3204))+F$129*EXP(IF(A3204&lt;0,(10-4)*A3204,-4*A3204))+G$129*EXP(IF(A3204&lt;0,(10-5)*A3204,-5*A3204))+H$129*EXP(IF(A3204&lt;0,(10-6)*A3204,-6*A3204))+I$129*EXP(IF(A3204&lt;0,(10-7)*A3204,-7*A3204))+J$129*EXP(IF(A3204&lt;0,(10-8)*A3204,-8*A3204))+K$129*EXP(IF(A3204&lt;0,(10-9)*A3204,-9*A3204))+L$129*EXP(IF(A3204&lt;0,(10-10)*A3204,-10*A3204)),0)</x:f>
        <x:v>-190160.84021761228</x:v>
      </x:c>
      <x:c r="C3204" s="256" t="n">
        <x:f>IF(B3204=0,IF(B3203=0,0,1),IF(B3203=0,0,IF(SIGN(B3204)&lt;&gt;SIGN(B3203),1,0)))</x:f>
        <x:v>0</x:v>
      </x:c>
      <x:c r="D3204" s="256" t="n">
        <x:f>EXP(A3204-0.005)-1</x:f>
        <x:v>50.162149956657345</x:v>
      </x:c>
    </x:row>
    <x:row r="3205" ht="20" customHeight="1">
      <x:c r="A3205" s="256" t="n">
        <x:f>-12+1595*0.01</x:f>
        <x:v>3.950000000000001</x:v>
      </x:c>
      <x:c r="B3205" s="256" t="n">
        <x:f>IF(COUNT($B$129:$L$129)=11,B$129*EXP(IF(A3205&lt;0,(10-0)*A3205,-0*A3205))+C$129*EXP(IF(A3205&lt;0,(10-1)*A3205,-1*A3205))+D$129*EXP(IF(A3205&lt;0,(10-2)*A3205,-2*A3205))+E$129*EXP(IF(A3205&lt;0,(10-3)*A3205,-3*A3205))+F$129*EXP(IF(A3205&lt;0,(10-4)*A3205,-4*A3205))+G$129*EXP(IF(A3205&lt;0,(10-5)*A3205,-5*A3205))+H$129*EXP(IF(A3205&lt;0,(10-6)*A3205,-6*A3205))+I$129*EXP(IF(A3205&lt;0,(10-7)*A3205,-7*A3205))+J$129*EXP(IF(A3205&lt;0,(10-8)*A3205,-8*A3205))+K$129*EXP(IF(A3205&lt;0,(10-9)*A3205,-9*A3205))+L$129*EXP(IF(A3205&lt;0,(10-10)*A3205,-10*A3205)),0)</x:f>
        <x:v>-190159.2171963692</x:v>
      </x:c>
      <x:c r="C3205" s="256" t="n">
        <x:f>IF(B3205=0,IF(B3204=0,0,1),IF(B3204=0,0,IF(SIGN(B3205)&lt;&gt;SIGN(B3204),1,0)))</x:f>
        <x:v>0</x:v>
      </x:c>
      <x:c r="D3205" s="256" t="n">
        <x:f>EXP(A3205-0.005)-1</x:f>
        <x:v>50.676338112107096</x:v>
      </x:c>
    </x:row>
    <x:row r="3206" ht="20" customHeight="1">
      <x:c r="A3206" s="256" t="n">
        <x:f>-12+1596*0.01</x:f>
        <x:v>3.960000000000001</x:v>
      </x:c>
      <x:c r="B3206" s="256" t="n">
        <x:f>IF(COUNT($B$129:$L$129)=11,B$129*EXP(IF(A3206&lt;0,(10-0)*A3206,-0*A3206))+C$129*EXP(IF(A3206&lt;0,(10-1)*A3206,-1*A3206))+D$129*EXP(IF(A3206&lt;0,(10-2)*A3206,-2*A3206))+E$129*EXP(IF(A3206&lt;0,(10-3)*A3206,-3*A3206))+F$129*EXP(IF(A3206&lt;0,(10-4)*A3206,-4*A3206))+G$129*EXP(IF(A3206&lt;0,(10-5)*A3206,-5*A3206))+H$129*EXP(IF(A3206&lt;0,(10-6)*A3206,-6*A3206))+I$129*EXP(IF(A3206&lt;0,(10-7)*A3206,-7*A3206))+J$129*EXP(IF(A3206&lt;0,(10-8)*A3206,-8*A3206))+K$129*EXP(IF(A3206&lt;0,(10-9)*A3206,-9*A3206))+L$129*EXP(IF(A3206&lt;0,(10-10)*A3206,-10*A3206)),0)</x:f>
        <x:v>-190157.6107778251</x:v>
      </x:c>
      <x:c r="C3206" s="256" t="n">
        <x:f>IF(B3206=0,IF(B3205=0,0,1),IF(B3205=0,0,IF(SIGN(B3206)&lt;&gt;SIGN(B3205),1,0)))</x:f>
        <x:v>0</x:v>
      </x:c>
      <x:c r="D3206" s="256" t="n">
        <x:f>EXP(A3206-0.005)-1</x:f>
        <x:v>51.195693944431724</x:v>
      </x:c>
    </x:row>
    <x:row r="3207" ht="20" customHeight="1">
      <x:c r="A3207" s="256" t="n">
        <x:f>-12+1597*0.01</x:f>
        <x:v>3.9700000000000006</x:v>
      </x:c>
      <x:c r="B3207" s="256" t="n">
        <x:f>IF(COUNT($B$129:$L$129)=11,B$129*EXP(IF(A3207&lt;0,(10-0)*A3207,-0*A3207))+C$129*EXP(IF(A3207&lt;0,(10-1)*A3207,-1*A3207))+D$129*EXP(IF(A3207&lt;0,(10-2)*A3207,-2*A3207))+E$129*EXP(IF(A3207&lt;0,(10-3)*A3207,-3*A3207))+F$129*EXP(IF(A3207&lt;0,(10-4)*A3207,-4*A3207))+G$129*EXP(IF(A3207&lt;0,(10-5)*A3207,-5*A3207))+H$129*EXP(IF(A3207&lt;0,(10-6)*A3207,-6*A3207))+I$129*EXP(IF(A3207&lt;0,(10-7)*A3207,-7*A3207))+J$129*EXP(IF(A3207&lt;0,(10-8)*A3207,-8*A3207))+K$129*EXP(IF(A3207&lt;0,(10-9)*A3207,-9*A3207))+L$129*EXP(IF(A3207&lt;0,(10-10)*A3207,-10*A3207)),0)</x:f>
        <x:v>-190156.02078764926</x:v>
      </x:c>
      <x:c r="C3207" s="256" t="n">
        <x:f>IF(B3207=0,IF(B3206=0,0,1),IF(B3206=0,0,IF(SIGN(B3207)&lt;&gt;SIGN(B3206),1,0)))</x:f>
        <x:v>0</x:v>
      </x:c>
      <x:c r="D3207" s="256" t="n">
        <x:f>EXP(A3207-0.005)-1</x:f>
        <x:v>51.72026938964735</x:v>
      </x:c>
    </x:row>
    <x:row r="3208" ht="20" customHeight="1">
      <x:c r="A3208" s="256" t="n">
        <x:f>-12+1598*0.01</x:f>
        <x:v>3.9800000000000004</x:v>
      </x:c>
      <x:c r="B3208" s="256" t="n">
        <x:f>IF(COUNT($B$129:$L$129)=11,B$129*EXP(IF(A3208&lt;0,(10-0)*A3208,-0*A3208))+C$129*EXP(IF(A3208&lt;0,(10-1)*A3208,-1*A3208))+D$129*EXP(IF(A3208&lt;0,(10-2)*A3208,-2*A3208))+E$129*EXP(IF(A3208&lt;0,(10-3)*A3208,-3*A3208))+F$129*EXP(IF(A3208&lt;0,(10-4)*A3208,-4*A3208))+G$129*EXP(IF(A3208&lt;0,(10-5)*A3208,-5*A3208))+H$129*EXP(IF(A3208&lt;0,(10-6)*A3208,-6*A3208))+I$129*EXP(IF(A3208&lt;0,(10-7)*A3208,-7*A3208))+J$129*EXP(IF(A3208&lt;0,(10-8)*A3208,-8*A3208))+K$129*EXP(IF(A3208&lt;0,(10-9)*A3208,-9*A3208))+L$129*EXP(IF(A3208&lt;0,(10-10)*A3208,-10*A3208)),0)</x:f>
        <x:v>-190154.4470534308</x:v>
      </x:c>
      <x:c r="C3208" s="256" t="n">
        <x:f>IF(B3208=0,IF(B3207=0,0,1),IF(B3207=0,0,IF(SIGN(B3208)&lt;&gt;SIGN(B3207),1,0)))</x:f>
        <x:v>0</x:v>
      </x:c>
      <x:c r="D3208" s="256" t="n">
        <x:f>EXP(A3208-0.005)-1</x:f>
        <x:v>52.250116905735645</x:v>
      </x:c>
    </x:row>
    <x:row r="3209" ht="20" customHeight="1">
      <x:c r="A3209" s="256" t="n">
        <x:f>-12+1599*0.01</x:f>
        <x:v>3.99</x:v>
      </x:c>
      <x:c r="B3209" s="256" t="n">
        <x:f>IF(COUNT($B$129:$L$129)=11,B$129*EXP(IF(A3209&lt;0,(10-0)*A3209,-0*A3209))+C$129*EXP(IF(A3209&lt;0,(10-1)*A3209,-1*A3209))+D$129*EXP(IF(A3209&lt;0,(10-2)*A3209,-2*A3209))+E$129*EXP(IF(A3209&lt;0,(10-3)*A3209,-3*A3209))+F$129*EXP(IF(A3209&lt;0,(10-4)*A3209,-4*A3209))+G$129*EXP(IF(A3209&lt;0,(10-5)*A3209,-5*A3209))+H$129*EXP(IF(A3209&lt;0,(10-6)*A3209,-6*A3209))+I$129*EXP(IF(A3209&lt;0,(10-7)*A3209,-7*A3209))+J$129*EXP(IF(A3209&lt;0,(10-8)*A3209,-8*A3209))+K$129*EXP(IF(A3209&lt;0,(10-9)*A3209,-9*A3209))+L$129*EXP(IF(A3209&lt;0,(10-10)*A3209,-10*A3209)),0)</x:f>
        <x:v>-190152.8894046562</x:v>
      </x:c>
      <x:c r="C3209" s="256" t="n">
        <x:f>IF(B3209=0,IF(B3208=0,0,1),IF(B3208=0,0,IF(SIGN(B3209)&lt;&gt;SIGN(B3208),1,0)))</x:f>
        <x:v>0</x:v>
      </x:c>
      <x:c r="D3209" s="256" t="n">
        <x:f>EXP(A3209-0.005)-1</x:f>
        <x:v>52.78528947788976</x:v>
      </x:c>
    </x:row>
    <x:row r="3210" ht="20" customHeight="1">
      <x:c r="A3210" s="256" t="n">
        <x:f>-12+1600*0.01</x:f>
        <x:v>4</x:v>
      </x:c>
      <x:c r="B3210" s="256" t="n">
        <x:f>IF(COUNT($B$129:$L$129)=11,B$129*EXP(IF(A3210&lt;0,(10-0)*A3210,-0*A3210))+C$129*EXP(IF(A3210&lt;0,(10-1)*A3210,-1*A3210))+D$129*EXP(IF(A3210&lt;0,(10-2)*A3210,-2*A3210))+E$129*EXP(IF(A3210&lt;0,(10-3)*A3210,-3*A3210))+F$129*EXP(IF(A3210&lt;0,(10-4)*A3210,-4*A3210))+G$129*EXP(IF(A3210&lt;0,(10-5)*A3210,-5*A3210))+H$129*EXP(IF(A3210&lt;0,(10-6)*A3210,-6*A3210))+I$129*EXP(IF(A3210&lt;0,(10-7)*A3210,-7*A3210))+J$129*EXP(IF(A3210&lt;0,(10-8)*A3210,-8*A3210))+K$129*EXP(IF(A3210&lt;0,(10-9)*A3210,-9*A3210))+L$129*EXP(IF(A3210&lt;0,(10-10)*A3210,-10*A3210)),0)</x:f>
        <x:v>-190151.34767268618</x:v>
      </x:c>
      <x:c r="C3210" s="256" t="n">
        <x:f>IF(B3210=0,IF(B3209=0,0,1),IF(B3209=0,0,IF(SIGN(B3210)&lt;&gt;SIGN(B3209),1,0)))</x:f>
        <x:v>0</x:v>
      </x:c>
      <x:c r="D3210" s="256" t="n">
        <x:f>EXP(A3210-0.005)-1</x:f>
        <x:v>53.32584062381289</x:v>
      </x:c>
    </x:row>
    <x:row r="3211" ht="20" customHeight="1">
      <x:c r="A3211" s="256" t="n">
        <x:f>-12+1601*0.01</x:f>
        <x:v>4.010000000000002</x:v>
      </x:c>
      <x:c r="B3211" s="256" t="n">
        <x:f>IF(COUNT($B$129:$L$129)=11,B$129*EXP(IF(A3211&lt;0,(10-0)*A3211,-0*A3211))+C$129*EXP(IF(A3211&lt;0,(10-1)*A3211,-1*A3211))+D$129*EXP(IF(A3211&lt;0,(10-2)*A3211,-2*A3211))+E$129*EXP(IF(A3211&lt;0,(10-3)*A3211,-3*A3211))+F$129*EXP(IF(A3211&lt;0,(10-4)*A3211,-4*A3211))+G$129*EXP(IF(A3211&lt;0,(10-5)*A3211,-5*A3211))+H$129*EXP(IF(A3211&lt;0,(10-6)*A3211,-6*A3211))+I$129*EXP(IF(A3211&lt;0,(10-7)*A3211,-7*A3211))+J$129*EXP(IF(A3211&lt;0,(10-8)*A3211,-8*A3211))+K$129*EXP(IF(A3211&lt;0,(10-9)*A3211,-9*A3211))+L$129*EXP(IF(A3211&lt;0,(10-10)*A3211,-10*A3211)),0)</x:f>
        <x:v>-190149.8216907338</x:v>
      </x:c>
      <x:c r="C3211" s="256" t="n">
        <x:f>IF(B3211=0,IF(B3210=0,0,1),IF(B3210=0,0,IF(SIGN(B3211)&lt;&gt;SIGN(B3210),1,0)))</x:f>
        <x:v>0</x:v>
      </x:c>
      <x:c r="D3211" s="256" t="n">
        <x:f>EXP(A3211-0.005)-1</x:f>
        <x:v>53.87182439907018</x:v>
      </x:c>
    </x:row>
    <x:row r="3212" ht="20" customHeight="1">
      <x:c r="A3212" s="256" t="n">
        <x:f>-12+1602*0.01</x:f>
        <x:v>4.02</x:v>
      </x:c>
      <x:c r="B3212" s="256" t="n">
        <x:f>IF(COUNT($B$129:$L$129)=11,B$129*EXP(IF(A3212&lt;0,(10-0)*A3212,-0*A3212))+C$129*EXP(IF(A3212&lt;0,(10-1)*A3212,-1*A3212))+D$129*EXP(IF(A3212&lt;0,(10-2)*A3212,-2*A3212))+E$129*EXP(IF(A3212&lt;0,(10-3)*A3212,-3*A3212))+F$129*EXP(IF(A3212&lt;0,(10-4)*A3212,-4*A3212))+G$129*EXP(IF(A3212&lt;0,(10-5)*A3212,-5*A3212))+H$129*EXP(IF(A3212&lt;0,(10-6)*A3212,-6*A3212))+I$129*EXP(IF(A3212&lt;0,(10-7)*A3212,-7*A3212))+J$129*EXP(IF(A3212&lt;0,(10-8)*A3212,-8*A3212))+K$129*EXP(IF(A3212&lt;0,(10-9)*A3212,-9*A3212))+L$129*EXP(IF(A3212&lt;0,(10-10)*A3212,-10*A3212)),0)</x:f>
        <x:v>-190148.3112938422</x:v>
      </x:c>
      <x:c r="C3212" s="256" t="n">
        <x:f>IF(B3212=0,IF(B3211=0,0,1),IF(B3211=0,0,IF(SIGN(B3212)&lt;&gt;SIGN(B3211),1,0)))</x:f>
        <x:v>0</x:v>
      </x:c>
      <x:c r="D3212" s="256" t="n">
        <x:f>EXP(A3212-0.005)-1</x:f>
        <x:v>54.42329540249385</x:v>
      </x:c>
    </x:row>
    <x:row r="3213" ht="20" customHeight="1">
      <x:c r="A3213" s="256" t="n">
        <x:f>-12+1603*0.01</x:f>
        <x:v>4.030000000000001</x:v>
      </x:c>
      <x:c r="B3213" s="256" t="n">
        <x:f>IF(COUNT($B$129:$L$129)=11,B$129*EXP(IF(A3213&lt;0,(10-0)*A3213,-0*A3213))+C$129*EXP(IF(A3213&lt;0,(10-1)*A3213,-1*A3213))+D$129*EXP(IF(A3213&lt;0,(10-2)*A3213,-2*A3213))+E$129*EXP(IF(A3213&lt;0,(10-3)*A3213,-3*A3213))+F$129*EXP(IF(A3213&lt;0,(10-4)*A3213,-4*A3213))+G$129*EXP(IF(A3213&lt;0,(10-5)*A3213,-5*A3213))+H$129*EXP(IF(A3213&lt;0,(10-6)*A3213,-6*A3213))+I$129*EXP(IF(A3213&lt;0,(10-7)*A3213,-7*A3213))+J$129*EXP(IF(A3213&lt;0,(10-8)*A3213,-8*A3213))+K$129*EXP(IF(A3213&lt;0,(10-9)*A3213,-9*A3213))+L$129*EXP(IF(A3213&lt;0,(10-10)*A3213,-10*A3213)),0)</x:f>
        <x:v>-190146.81631886325</x:v>
      </x:c>
      <x:c r="C3213" s="256" t="n">
        <x:f>IF(B3213=0,IF(B3212=0,0,1),IF(B3212=0,0,IF(SIGN(B3213)&lt;&gt;SIGN(B3212),1,0)))</x:f>
        <x:v>0</x:v>
      </x:c>
      <x:c r="D3213" s="256" t="n">
        <x:f>EXP(A3213-0.005)-1</x:f>
        <x:v>54.980308781644204</x:v>
      </x:c>
    </x:row>
    <x:row r="3214" ht="20" customHeight="1">
      <x:c r="A3214" s="256" t="n">
        <x:f>-12+1604*0.01</x:f>
        <x:v>4.039999999999999</x:v>
      </x:c>
      <x:c r="B3214" s="256" t="n">
        <x:f>IF(COUNT($B$129:$L$129)=11,B$129*EXP(IF(A3214&lt;0,(10-0)*A3214,-0*A3214))+C$129*EXP(IF(A3214&lt;0,(10-1)*A3214,-1*A3214))+D$129*EXP(IF(A3214&lt;0,(10-2)*A3214,-2*A3214))+E$129*EXP(IF(A3214&lt;0,(10-3)*A3214,-3*A3214))+F$129*EXP(IF(A3214&lt;0,(10-4)*A3214,-4*A3214))+G$129*EXP(IF(A3214&lt;0,(10-5)*A3214,-5*A3214))+H$129*EXP(IF(A3214&lt;0,(10-6)*A3214,-6*A3214))+I$129*EXP(IF(A3214&lt;0,(10-7)*A3214,-7*A3214))+J$129*EXP(IF(A3214&lt;0,(10-8)*A3214,-8*A3214))+K$129*EXP(IF(A3214&lt;0,(10-9)*A3214,-9*A3214))+L$129*EXP(IF(A3214&lt;0,(10-10)*A3214,-10*A3214)),0)</x:f>
        <x:v>-190145.3366044354</x:v>
      </x:c>
      <x:c r="C3214" s="256" t="n">
        <x:f>IF(B3214=0,IF(B3213=0,0,1),IF(B3213=0,0,IF(SIGN(B3214)&lt;&gt;SIGN(B3213),1,0)))</x:f>
        <x:v>0</x:v>
      </x:c>
      <x:c r="D3214" s="256" t="n">
        <x:f>EXP(A3214-0.005)-1</x:f>
        <x:v>55.542920238322935</x:v>
      </x:c>
    </x:row>
    <x:row r="3215" ht="20" customHeight="1">
      <x:c r="A3215" s="256" t="n">
        <x:f>-12+1605*0.01</x:f>
        <x:v>4.050000000000001</x:v>
      </x:c>
      <x:c r="B3215" s="256" t="n">
        <x:f>IF(COUNT($B$129:$L$129)=11,B$129*EXP(IF(A3215&lt;0,(10-0)*A3215,-0*A3215))+C$129*EXP(IF(A3215&lt;0,(10-1)*A3215,-1*A3215))+D$129*EXP(IF(A3215&lt;0,(10-2)*A3215,-2*A3215))+E$129*EXP(IF(A3215&lt;0,(10-3)*A3215,-3*A3215))+F$129*EXP(IF(A3215&lt;0,(10-4)*A3215,-4*A3215))+G$129*EXP(IF(A3215&lt;0,(10-5)*A3215,-5*A3215))+H$129*EXP(IF(A3215&lt;0,(10-6)*A3215,-6*A3215))+I$129*EXP(IF(A3215&lt;0,(10-7)*A3215,-7*A3215))+J$129*EXP(IF(A3215&lt;0,(10-8)*A3215,-8*A3215))+K$129*EXP(IF(A3215&lt;0,(10-9)*A3215,-9*A3215))+L$129*EXP(IF(A3215&lt;0,(10-10)*A3215,-10*A3215)),0)</x:f>
        <x:v>-190143.87199096347</x:v>
      </x:c>
      <x:c r="C3215" s="256" t="n">
        <x:f>IF(B3215=0,IF(B3214=0,0,1),IF(B3214=0,0,IF(SIGN(B3215)&lt;&gt;SIGN(B3214),1,0)))</x:f>
        <x:v>0</x:v>
      </x:c>
      <x:c r="D3215" s="256" t="n">
        <x:f>EXP(A3215-0.005)-1</x:f>
        <x:v>56.11118603414496</x:v>
      </x:c>
    </x:row>
    <x:row r="3216" ht="20" customHeight="1">
      <x:c r="A3216" s="256" t="n">
        <x:f>-12+1606*0.01</x:f>
        <x:v>4.059999999999999</x:v>
      </x:c>
      <x:c r="B3216" s="256" t="n">
        <x:f>IF(COUNT($B$129:$L$129)=11,B$129*EXP(IF(A3216&lt;0,(10-0)*A3216,-0*A3216))+C$129*EXP(IF(A3216&lt;0,(10-1)*A3216,-1*A3216))+D$129*EXP(IF(A3216&lt;0,(10-2)*A3216,-2*A3216))+E$129*EXP(IF(A3216&lt;0,(10-3)*A3216,-3*A3216))+F$129*EXP(IF(A3216&lt;0,(10-4)*A3216,-4*A3216))+G$129*EXP(IF(A3216&lt;0,(10-5)*A3216,-5*A3216))+H$129*EXP(IF(A3216&lt;0,(10-6)*A3216,-6*A3216))+I$129*EXP(IF(A3216&lt;0,(10-7)*A3216,-7*A3216))+J$129*EXP(IF(A3216&lt;0,(10-8)*A3216,-8*A3216))+K$129*EXP(IF(A3216&lt;0,(10-9)*A3216,-9*A3216))+L$129*EXP(IF(A3216&lt;0,(10-10)*A3216,-10*A3216)),0)</x:f>
        <x:v>-190142.42232059716</x:v>
      </x:c>
      <x:c r="C3216" s="256" t="n">
        <x:f>IF(B3216=0,IF(B3215=0,0,1),IF(B3215=0,0,IF(SIGN(B3216)&lt;&gt;SIGN(B3215),1,0)))</x:f>
        <x:v>0</x:v>
      </x:c>
      <x:c r="D3216" s="256" t="n">
        <x:f>EXP(A3216-0.005)-1</x:f>
        <x:v>56.68516299616301</x:v>
      </x:c>
    </x:row>
    <x:row r="3217" ht="20" customHeight="1">
      <x:c r="A3217" s="256" t="n">
        <x:f>-12+1607*0.01</x:f>
        <x:v>4.07</x:v>
      </x:c>
      <x:c r="B3217" s="256" t="n">
        <x:f>IF(COUNT($B$129:$L$129)=11,B$129*EXP(IF(A3217&lt;0,(10-0)*A3217,-0*A3217))+C$129*EXP(IF(A3217&lt;0,(10-1)*A3217,-1*A3217))+D$129*EXP(IF(A3217&lt;0,(10-2)*A3217,-2*A3217))+E$129*EXP(IF(A3217&lt;0,(10-3)*A3217,-3*A3217))+F$129*EXP(IF(A3217&lt;0,(10-4)*A3217,-4*A3217))+G$129*EXP(IF(A3217&lt;0,(10-5)*A3217,-5*A3217))+H$129*EXP(IF(A3217&lt;0,(10-6)*A3217,-6*A3217))+I$129*EXP(IF(A3217&lt;0,(10-7)*A3217,-7*A3217))+J$129*EXP(IF(A3217&lt;0,(10-8)*A3217,-8*A3217))+K$129*EXP(IF(A3217&lt;0,(10-9)*A3217,-9*A3217))+L$129*EXP(IF(A3217&lt;0,(10-10)*A3217,-10*A3217)),0)</x:f>
        <x:v>-190140.98743721074</x:v>
      </x:c>
      <x:c r="C3217" s="256" t="n">
        <x:f>IF(B3217=0,IF(B3216=0,0,1),IF(B3216=0,0,IF(SIGN(B3217)&lt;&gt;SIGN(B3216),1,0)))</x:f>
        <x:v>0</x:v>
      </x:c>
      <x:c r="D3217" s="256" t="n">
        <x:f>EXP(A3217-0.005)-1</x:f>
        <x:v>57.264908522552005</x:v>
      </x:c>
    </x:row>
    <x:row r="3218" ht="20" customHeight="1">
      <x:c r="A3218" s="256" t="n">
        <x:f>-12+1608*0.01</x:f>
        <x:v>4.080000000000002</x:v>
      </x:c>
      <x:c r="B3218" s="256" t="n">
        <x:f>IF(COUNT($B$129:$L$129)=11,B$129*EXP(IF(A3218&lt;0,(10-0)*A3218,-0*A3218))+C$129*EXP(IF(A3218&lt;0,(10-1)*A3218,-1*A3218))+D$129*EXP(IF(A3218&lt;0,(10-2)*A3218,-2*A3218))+E$129*EXP(IF(A3218&lt;0,(10-3)*A3218,-3*A3218))+F$129*EXP(IF(A3218&lt;0,(10-4)*A3218,-4*A3218))+G$129*EXP(IF(A3218&lt;0,(10-5)*A3218,-5*A3218))+H$129*EXP(IF(A3218&lt;0,(10-6)*A3218,-6*A3218))+I$129*EXP(IF(A3218&lt;0,(10-7)*A3218,-7*A3218))+J$129*EXP(IF(A3218&lt;0,(10-8)*A3218,-8*A3218))+K$129*EXP(IF(A3218&lt;0,(10-9)*A3218,-9*A3218))+L$129*EXP(IF(A3218&lt;0,(10-10)*A3218,-10*A3218)),0)</x:f>
        <x:v>-190139.56718638245</x:v>
      </x:c>
      <x:c r="C3218" s="256" t="n">
        <x:f>IF(B3218=0,IF(B3217=0,0,1),IF(B3217=0,0,IF(SIGN(B3218)&lt;&gt;SIGN(B3217),1,0)))</x:f>
        <x:v>0</x:v>
      </x:c>
      <x:c r="D3218" s="256" t="n">
        <x:f>EXP(A3218-0.005)-1</x:f>
        <x:v>57.85048058834751</x:v>
      </x:c>
    </x:row>
    <x:row r="3219" ht="20" customHeight="1">
      <x:c r="A3219" s="256" t="n">
        <x:f>-12+1609*0.01</x:f>
        <x:v>4.09</x:v>
      </x:c>
      <x:c r="B3219" s="256" t="n">
        <x:f>IF(COUNT($B$129:$L$129)=11,B$129*EXP(IF(A3219&lt;0,(10-0)*A3219,-0*A3219))+C$129*EXP(IF(A3219&lt;0,(10-1)*A3219,-1*A3219))+D$129*EXP(IF(A3219&lt;0,(10-2)*A3219,-2*A3219))+E$129*EXP(IF(A3219&lt;0,(10-3)*A3219,-3*A3219))+F$129*EXP(IF(A3219&lt;0,(10-4)*A3219,-4*A3219))+G$129*EXP(IF(A3219&lt;0,(10-5)*A3219,-5*A3219))+H$129*EXP(IF(A3219&lt;0,(10-6)*A3219,-6*A3219))+I$129*EXP(IF(A3219&lt;0,(10-7)*A3219,-7*A3219))+J$129*EXP(IF(A3219&lt;0,(10-8)*A3219,-8*A3219))+K$129*EXP(IF(A3219&lt;0,(10-9)*A3219,-9*A3219))+L$129*EXP(IF(A3219&lt;0,(10-10)*A3219,-10*A3219)),0)</x:f>
        <x:v>-190138.1614153748</x:v>
      </x:c>
      <x:c r="C3219" s="256" t="n">
        <x:f>IF(B3219=0,IF(B3218=0,0,1),IF(B3218=0,0,IF(SIGN(B3219)&lt;&gt;SIGN(B3218),1,0)))</x:f>
        <x:v>0</x:v>
      </x:c>
      <x:c r="D3219" s="256" t="n">
        <x:f>EXP(A3219-0.005)-1</x:f>
        <x:v>58.44193775124387</x:v>
      </x:c>
    </x:row>
    <x:row r="3220" ht="20" customHeight="1">
      <x:c r="A3220" s="256" t="n">
        <x:f>-12+1610*0.01</x:f>
        <x:v>4.100000000000001</x:v>
      </x:c>
      <x:c r="B3220" s="256" t="n">
        <x:f>IF(COUNT($B$129:$L$129)=11,B$129*EXP(IF(A3220&lt;0,(10-0)*A3220,-0*A3220))+C$129*EXP(IF(A3220&lt;0,(10-1)*A3220,-1*A3220))+D$129*EXP(IF(A3220&lt;0,(10-2)*A3220,-2*A3220))+E$129*EXP(IF(A3220&lt;0,(10-3)*A3220,-3*A3220))+F$129*EXP(IF(A3220&lt;0,(10-4)*A3220,-4*A3220))+G$129*EXP(IF(A3220&lt;0,(10-5)*A3220,-5*A3220))+H$129*EXP(IF(A3220&lt;0,(10-6)*A3220,-6*A3220))+I$129*EXP(IF(A3220&lt;0,(10-7)*A3220,-7*A3220))+J$129*EXP(IF(A3220&lt;0,(10-8)*A3220,-8*A3220))+K$129*EXP(IF(A3220&lt;0,(10-9)*A3220,-9*A3220))+L$129*EXP(IF(A3220&lt;0,(10-10)*A3220,-10*A3220)),0)</x:f>
        <x:v>-190136.76997311471</x:v>
      </x:c>
      <x:c r="C3220" s="256" t="n">
        <x:f>IF(B3220=0,IF(B3219=0,0,1),IF(B3219=0,0,IF(SIGN(B3220)&lt;&gt;SIGN(B3219),1,0)))</x:f>
        <x:v>0</x:v>
      </x:c>
      <x:c r="D3220" s="256" t="n">
        <x:f>EXP(A3220-0.005)-1</x:f>
        <x:v>59.039339157450684</x:v>
      </x:c>
    </x:row>
    <x:row r="3221" ht="20" customHeight="1">
      <x:c r="A3221" s="256" t="n">
        <x:f>-12+1611*0.01</x:f>
        <x:v>4.109999999999999</x:v>
      </x:c>
      <x:c r="B3221" s="256" t="n">
        <x:f>IF(COUNT($B$129:$L$129)=11,B$129*EXP(IF(A3221&lt;0,(10-0)*A3221,-0*A3221))+C$129*EXP(IF(A3221&lt;0,(10-1)*A3221,-1*A3221))+D$129*EXP(IF(A3221&lt;0,(10-2)*A3221,-2*A3221))+E$129*EXP(IF(A3221&lt;0,(10-3)*A3221,-3*A3221))+F$129*EXP(IF(A3221&lt;0,(10-4)*A3221,-4*A3221))+G$129*EXP(IF(A3221&lt;0,(10-5)*A3221,-5*A3221))+H$129*EXP(IF(A3221&lt;0,(10-6)*A3221,-6*A3221))+I$129*EXP(IF(A3221&lt;0,(10-7)*A3221,-7*A3221))+J$129*EXP(IF(A3221&lt;0,(10-8)*A3221,-8*A3221))+K$129*EXP(IF(A3221&lt;0,(10-9)*A3221,-9*A3221))+L$129*EXP(IF(A3221&lt;0,(10-10)*A3221,-10*A3221)),0)</x:f>
        <x:v>-190135.39271017382</x:v>
      </x:c>
      <x:c r="C3221" s="256" t="n">
        <x:f>IF(B3221=0,IF(B3220=0,0,1),IF(B3220=0,0,IF(SIGN(B3221)&lt;&gt;SIGN(B3220),1,0)))</x:f>
        <x:v>0</x:v>
      </x:c>
      <x:c r="D3221" s="256" t="n">
        <x:f>EXP(A3221-0.005)-1</x:f>
        <x:v>59.64274454760598</x:v>
      </x:c>
    </x:row>
    <x:row r="3222" ht="20" customHeight="1">
      <x:c r="A3222" s="256" t="n">
        <x:f>-12+1612*0.01</x:f>
        <x:v>4.120000000000001</x:v>
      </x:c>
      <x:c r="B3222" s="256" t="n">
        <x:f>IF(COUNT($B$129:$L$129)=11,B$129*EXP(IF(A3222&lt;0,(10-0)*A3222,-0*A3222))+C$129*EXP(IF(A3222&lt;0,(10-1)*A3222,-1*A3222))+D$129*EXP(IF(A3222&lt;0,(10-2)*A3222,-2*A3222))+E$129*EXP(IF(A3222&lt;0,(10-3)*A3222,-3*A3222))+F$129*EXP(IF(A3222&lt;0,(10-4)*A3222,-4*A3222))+G$129*EXP(IF(A3222&lt;0,(10-5)*A3222,-5*A3222))+H$129*EXP(IF(A3222&lt;0,(10-6)*A3222,-6*A3222))+I$129*EXP(IF(A3222&lt;0,(10-7)*A3222,-7*A3222))+J$129*EXP(IF(A3222&lt;0,(10-8)*A3222,-8*A3222))+K$129*EXP(IF(A3222&lt;0,(10-9)*A3222,-9*A3222))+L$129*EXP(IF(A3222&lt;0,(10-10)*A3222,-10*A3222)),0)</x:f>
        <x:v>-190134.0294787494</x:v>
      </x:c>
      <x:c r="C3222" s="256" t="n">
        <x:f>IF(B3222=0,IF(B3221=0,0,1),IF(B3221=0,0,IF(SIGN(B3222)&lt;&gt;SIGN(B3221),1,0)))</x:f>
        <x:v>0</x:v>
      </x:c>
      <x:c r="D3222" s="256" t="n">
        <x:f>EXP(A3222-0.005)-1</x:f>
        <x:v>60.252214262752034</x:v>
      </x:c>
    </x:row>
    <x:row r="3223" ht="20" customHeight="1">
      <x:c r="A3223" s="256" t="n">
        <x:f>-12+1613*0.01</x:f>
        <x:v>4.129999999999999</x:v>
      </x:c>
      <x:c r="B3223" s="256" t="n">
        <x:f>IF(COUNT($B$129:$L$129)=11,B$129*EXP(IF(A3223&lt;0,(10-0)*A3223,-0*A3223))+C$129*EXP(IF(A3223&lt;0,(10-1)*A3223,-1*A3223))+D$129*EXP(IF(A3223&lt;0,(10-2)*A3223,-2*A3223))+E$129*EXP(IF(A3223&lt;0,(10-3)*A3223,-3*A3223))+F$129*EXP(IF(A3223&lt;0,(10-4)*A3223,-4*A3223))+G$129*EXP(IF(A3223&lt;0,(10-5)*A3223,-5*A3223))+H$129*EXP(IF(A3223&lt;0,(10-6)*A3223,-6*A3223))+I$129*EXP(IF(A3223&lt;0,(10-7)*A3223,-7*A3223))+J$129*EXP(IF(A3223&lt;0,(10-8)*A3223,-8*A3223))+K$129*EXP(IF(A3223&lt;0,(10-9)*A3223,-9*A3223))+L$129*EXP(IF(A3223&lt;0,(10-10)*A3223,-10*A3223)),0)</x:f>
        <x:v>-190132.68013264536</x:v>
      </x:c>
      <x:c r="C3223" s="256" t="n">
        <x:f>IF(B3223=0,IF(B3222=0,0,1),IF(B3222=0,0,IF(SIGN(B3223)&lt;&gt;SIGN(B3222),1,0)))</x:f>
        <x:v>0</x:v>
      </x:c>
      <x:c r="D3223" s="256" t="n">
        <x:f>EXP(A3223-0.005)-1</x:f>
        <x:v>60.867809250367834</x:v>
      </x:c>
    </x:row>
    <x:row r="3224" ht="20" customHeight="1">
      <x:c r="A3224" s="256" t="n">
        <x:f>-12+1614*0.01</x:f>
        <x:v>4.140000000000001</x:v>
      </x:c>
      <x:c r="B3224" s="256" t="n">
        <x:f>IF(COUNT($B$129:$L$129)=11,B$129*EXP(IF(A3224&lt;0,(10-0)*A3224,-0*A3224))+C$129*EXP(IF(A3224&lt;0,(10-1)*A3224,-1*A3224))+D$129*EXP(IF(A3224&lt;0,(10-2)*A3224,-2*A3224))+E$129*EXP(IF(A3224&lt;0,(10-3)*A3224,-3*A3224))+F$129*EXP(IF(A3224&lt;0,(10-4)*A3224,-4*A3224))+G$129*EXP(IF(A3224&lt;0,(10-5)*A3224,-5*A3224))+H$129*EXP(IF(A3224&lt;0,(10-6)*A3224,-6*A3224))+I$129*EXP(IF(A3224&lt;0,(10-7)*A3224,-7*A3224))+J$129*EXP(IF(A3224&lt;0,(10-8)*A3224,-8*A3224))+K$129*EXP(IF(A3224&lt;0,(10-9)*A3224,-9*A3224))+L$129*EXP(IF(A3224&lt;0,(10-10)*A3224,-10*A3224)),0)</x:f>
        <x:v>-190131.34452725312</x:v>
      </x:c>
      <x:c r="C3224" s="256" t="n">
        <x:f>IF(B3224=0,IF(B3223=0,0,1),IF(B3223=0,0,IF(SIGN(B3224)&lt;&gt;SIGN(B3223),1,0)))</x:f>
        <x:v>0</x:v>
      </x:c>
      <x:c r="D3224" s="256" t="n">
        <x:f>EXP(A3224-0.005)-1</x:f>
        <x:v>61.489591070465565</x:v>
      </x:c>
    </x:row>
    <x:row r="3225" ht="20" customHeight="1">
      <x:c r="A3225" s="256" t="n">
        <x:f>-12+1615*0.01</x:f>
        <x:v>4.149999999999999</x:v>
      </x:c>
      <x:c r="B3225" s="256" t="n">
        <x:f>IF(COUNT($B$129:$L$129)=11,B$129*EXP(IF(A3225&lt;0,(10-0)*A3225,-0*A3225))+C$129*EXP(IF(A3225&lt;0,(10-1)*A3225,-1*A3225))+D$129*EXP(IF(A3225&lt;0,(10-2)*A3225,-2*A3225))+E$129*EXP(IF(A3225&lt;0,(10-3)*A3225,-3*A3225))+F$129*EXP(IF(A3225&lt;0,(10-4)*A3225,-4*A3225))+G$129*EXP(IF(A3225&lt;0,(10-5)*A3225,-5*A3225))+H$129*EXP(IF(A3225&lt;0,(10-6)*A3225,-6*A3225))+I$129*EXP(IF(A3225&lt;0,(10-7)*A3225,-7*A3225))+J$129*EXP(IF(A3225&lt;0,(10-8)*A3225,-8*A3225))+K$129*EXP(IF(A3225&lt;0,(10-9)*A3225,-9*A3225))+L$129*EXP(IF(A3225&lt;0,(10-10)*A3225,-10*A3225)),0)</x:f>
        <x:v>-190130.0225195337</x:v>
      </x:c>
      <x:c r="C3225" s="256" t="n">
        <x:f>IF(B3225=0,IF(B3224=0,0,1),IF(B3224=0,0,IF(SIGN(B3225)&lt;&gt;SIGN(B3224),1,0)))</x:f>
        <x:v>0</x:v>
      </x:c>
      <x:c r="D3225" s="256" t="n">
        <x:f>EXP(A3225-0.005)-1</x:f>
        <x:v>62.117621901744954</x:v>
      </x:c>
    </x:row>
    <x:row r="3226" ht="20" customHeight="1">
      <x:c r="A3226" s="256" t="n">
        <x:f>-12+1616*0.01</x:f>
        <x:v>4.16</x:v>
      </x:c>
      <x:c r="B3226" s="256" t="n">
        <x:f>IF(COUNT($B$129:$L$129)=11,B$129*EXP(IF(A3226&lt;0,(10-0)*A3226,-0*A3226))+C$129*EXP(IF(A3226&lt;0,(10-1)*A3226,-1*A3226))+D$129*EXP(IF(A3226&lt;0,(10-2)*A3226,-2*A3226))+E$129*EXP(IF(A3226&lt;0,(10-3)*A3226,-3*A3226))+F$129*EXP(IF(A3226&lt;0,(10-4)*A3226,-4*A3226))+G$129*EXP(IF(A3226&lt;0,(10-5)*A3226,-5*A3226))+H$129*EXP(IF(A3226&lt;0,(10-6)*A3226,-6*A3226))+I$129*EXP(IF(A3226&lt;0,(10-7)*A3226,-7*A3226))+J$129*EXP(IF(A3226&lt;0,(10-8)*A3226,-8*A3226))+K$129*EXP(IF(A3226&lt;0,(10-9)*A3226,-9*A3226))+L$129*EXP(IF(A3226&lt;0,(10-10)*A3226,-10*A3226)),0)</x:f>
        <x:v>-190128.71396799898</x:v>
      </x:c>
      <x:c r="C3226" s="256" t="n">
        <x:f>IF(B3226=0,IF(B3225=0,0,1),IF(B3225=0,0,IF(SIGN(B3226)&lt;&gt;SIGN(B3225),1,0)))</x:f>
        <x:v>0</x:v>
      </x:c>
      <x:c r="D3226" s="256" t="n">
        <x:f>EXP(A3226-0.005)-1</x:f>
        <x:v>62.75196454781293</x:v>
      </x:c>
    </x:row>
    <x:row r="3227" ht="20" customHeight="1">
      <x:c r="A3227" s="256" t="n">
        <x:f>-12+1617*0.01</x:f>
        <x:v>4.170000000000002</x:v>
      </x:c>
      <x:c r="B3227" s="256" t="n">
        <x:f>IF(COUNT($B$129:$L$129)=11,B$129*EXP(IF(A3227&lt;0,(10-0)*A3227,-0*A3227))+C$129*EXP(IF(A3227&lt;0,(10-1)*A3227,-1*A3227))+D$129*EXP(IF(A3227&lt;0,(10-2)*A3227,-2*A3227))+E$129*EXP(IF(A3227&lt;0,(10-3)*A3227,-3*A3227))+F$129*EXP(IF(A3227&lt;0,(10-4)*A3227,-4*A3227))+G$129*EXP(IF(A3227&lt;0,(10-5)*A3227,-5*A3227))+H$129*EXP(IF(A3227&lt;0,(10-6)*A3227,-6*A3227))+I$129*EXP(IF(A3227&lt;0,(10-7)*A3227,-7*A3227))+J$129*EXP(IF(A3227&lt;0,(10-8)*A3227,-8*A3227))+K$129*EXP(IF(A3227&lt;0,(10-9)*A3227,-9*A3227))+L$129*EXP(IF(A3227&lt;0,(10-10)*A3227,-10*A3227)),0)</x:f>
        <x:v>-190127.4187326937</x:v>
      </x:c>
      <x:c r="C3227" s="256" t="n">
        <x:f>IF(B3227=0,IF(B3226=0,0,1),IF(B3226=0,0,IF(SIGN(B3227)&lt;&gt;SIGN(B3226),1,0)))</x:f>
        <x:v>0</x:v>
      </x:c>
      <x:c r="D3227" s="256" t="n">
        <x:f>EXP(A3227-0.005)-1</x:f>
        <x:v>63.39268244346252</x:v>
      </x:c>
    </x:row>
    <x:row r="3228" ht="20" customHeight="1">
      <x:c r="A3228" s="256" t="n">
        <x:f>-12+1618*0.01</x:f>
        <x:v>4.18</x:v>
      </x:c>
      <x:c r="B3228" s="256" t="n">
        <x:f>IF(COUNT($B$129:$L$129)=11,B$129*EXP(IF(A3228&lt;0,(10-0)*A3228,-0*A3228))+C$129*EXP(IF(A3228&lt;0,(10-1)*A3228,-1*A3228))+D$129*EXP(IF(A3228&lt;0,(10-2)*A3228,-2*A3228))+E$129*EXP(IF(A3228&lt;0,(10-3)*A3228,-3*A3228))+F$129*EXP(IF(A3228&lt;0,(10-4)*A3228,-4*A3228))+G$129*EXP(IF(A3228&lt;0,(10-5)*A3228,-5*A3228))+H$129*EXP(IF(A3228&lt;0,(10-6)*A3228,-6*A3228))+I$129*EXP(IF(A3228&lt;0,(10-7)*A3228,-7*A3228))+J$129*EXP(IF(A3228&lt;0,(10-8)*A3228,-8*A3228))+K$129*EXP(IF(A3228&lt;0,(10-9)*A3228,-9*A3228))+L$129*EXP(IF(A3228&lt;0,(10-10)*A3228,-10*A3228)),0)</x:f>
        <x:v>-190126.13667517804</x:v>
      </x:c>
      <x:c r="C3228" s="256" t="n">
        <x:f>IF(B3228=0,IF(B3227=0,0,1),IF(B3227=0,0,IF(SIGN(B3228)&lt;&gt;SIGN(B3227),1,0)))</x:f>
        <x:v>0</x:v>
      </x:c>
      <x:c r="D3228" s="256" t="n">
        <x:f>EXP(A3228-0.005)-1</x:f>
        <x:v>64.03983966101696</x:v>
      </x:c>
    </x:row>
    <x:row r="3229" ht="20" customHeight="1">
      <x:c r="A3229" s="256" t="n">
        <x:f>-12+1619*0.01</x:f>
        <x:v>4.190000000000001</x:v>
      </x:c>
      <x:c r="B3229" s="256" t="n">
        <x:f>IF(COUNT($B$129:$L$129)=11,B$129*EXP(IF(A3229&lt;0,(10-0)*A3229,-0*A3229))+C$129*EXP(IF(A3229&lt;0,(10-1)*A3229,-1*A3229))+D$129*EXP(IF(A3229&lt;0,(10-2)*A3229,-2*A3229))+E$129*EXP(IF(A3229&lt;0,(10-3)*A3229,-3*A3229))+F$129*EXP(IF(A3229&lt;0,(10-4)*A3229,-4*A3229))+G$129*EXP(IF(A3229&lt;0,(10-5)*A3229,-5*A3229))+H$129*EXP(IF(A3229&lt;0,(10-6)*A3229,-6*A3229))+I$129*EXP(IF(A3229&lt;0,(10-7)*A3229,-7*A3229))+J$129*EXP(IF(A3229&lt;0,(10-8)*A3229,-8*A3229))+K$129*EXP(IF(A3229&lt;0,(10-9)*A3229,-9*A3229))+L$129*EXP(IF(A3229&lt;0,(10-10)*A3229,-10*A3229)),0)</x:f>
        <x:v>-190124.86765850947</x:v>
      </x:c>
      <x:c r="C3229" s="256" t="n">
        <x:f>IF(B3229=0,IF(B3228=0,0,1),IF(B3228=0,0,IF(SIGN(B3229)&lt;&gt;SIGN(B3228),1,0)))</x:f>
        <x:v>0</x:v>
      </x:c>
      <x:c r="D3229" s="256" t="n">
        <x:f>EXP(A3229-0.005)-1</x:f>
        <x:v>64.69350091673778</x:v>
      </x:c>
    </x:row>
    <x:row r="3230" ht="20" customHeight="1">
      <x:c r="A3230" s="256" t="n">
        <x:f>-12+1620*0.01</x:f>
        <x:v>4.199999999999999</x:v>
      </x:c>
      <x:c r="B3230" s="256" t="n">
        <x:f>IF(COUNT($B$129:$L$129)=11,B$129*EXP(IF(A3230&lt;0,(10-0)*A3230,-0*A3230))+C$129*EXP(IF(A3230&lt;0,(10-1)*A3230,-1*A3230))+D$129*EXP(IF(A3230&lt;0,(10-2)*A3230,-2*A3230))+E$129*EXP(IF(A3230&lt;0,(10-3)*A3230,-3*A3230))+F$129*EXP(IF(A3230&lt;0,(10-4)*A3230,-4*A3230))+G$129*EXP(IF(A3230&lt;0,(10-5)*A3230,-5*A3230))+H$129*EXP(IF(A3230&lt;0,(10-6)*A3230,-6*A3230))+I$129*EXP(IF(A3230&lt;0,(10-7)*A3230,-7*A3230))+J$129*EXP(IF(A3230&lt;0,(10-8)*A3230,-8*A3230))+K$129*EXP(IF(A3230&lt;0,(10-9)*A3230,-9*A3230))+L$129*EXP(IF(A3230&lt;0,(10-10)*A3230,-10*A3230)),0)</x:f>
        <x:v>-190123.6115472258</x:v>
      </x:c>
      <x:c r="C3230" s="256" t="n">
        <x:f>IF(B3230=0,IF(B3229=0,0,1),IF(B3229=0,0,IF(SIGN(B3230)&lt;&gt;SIGN(B3229),1,0)))</x:f>
        <x:v>0</x:v>
      </x:c>
      <x:c r="D3230" s="256" t="n">
        <x:f>EXP(A3230-0.005)-1</x:f>
        <x:v>65.35373157729481</x:v>
      </x:c>
    </x:row>
    <x:row r="3231" ht="20" customHeight="1">
      <x:c r="A3231" s="256" t="n">
        <x:f>-12+1621*0.01</x:f>
        <x:v>4.210000000000001</x:v>
      </x:c>
      <x:c r="B3231" s="256" t="n">
        <x:f>IF(COUNT($B$129:$L$129)=11,B$129*EXP(IF(A3231&lt;0,(10-0)*A3231,-0*A3231))+C$129*EXP(IF(A3231&lt;0,(10-1)*A3231,-1*A3231))+D$129*EXP(IF(A3231&lt;0,(10-2)*A3231,-2*A3231))+E$129*EXP(IF(A3231&lt;0,(10-3)*A3231,-3*A3231))+F$129*EXP(IF(A3231&lt;0,(10-4)*A3231,-4*A3231))+G$129*EXP(IF(A3231&lt;0,(10-5)*A3231,-5*A3231))+H$129*EXP(IF(A3231&lt;0,(10-6)*A3231,-6*A3231))+I$129*EXP(IF(A3231&lt;0,(10-7)*A3231,-7*A3231))+J$129*EXP(IF(A3231&lt;0,(10-8)*A3231,-8*A3231))+K$129*EXP(IF(A3231&lt;0,(10-9)*A3231,-9*A3231))+L$129*EXP(IF(A3231&lt;0,(10-10)*A3231,-10*A3231)),0)</x:f>
        <x:v>-190122.3682073279</x:v>
      </x:c>
      <x:c r="C3231" s="256" t="n">
        <x:f>IF(B3231=0,IF(B3230=0,0,1),IF(B3230=0,0,IF(SIGN(B3231)&lt;&gt;SIGN(B3230),1,0)))</x:f>
        <x:v>0</x:v>
      </x:c>
      <x:c r="D3231" s="256" t="n">
        <x:f>EXP(A3231-0.005)-1</x:f>
        <x:v>66.02059766630477</x:v>
      </x:c>
    </x:row>
    <x:row r="3232" ht="20" customHeight="1">
      <x:c r="A3232" s="256" t="n">
        <x:f>-12+1622*0.01</x:f>
        <x:v>4.219999999999999</x:v>
      </x:c>
      <x:c r="B3232" s="256" t="n">
        <x:f>IF(COUNT($B$129:$L$129)=11,B$129*EXP(IF(A3232&lt;0,(10-0)*A3232,-0*A3232))+C$129*EXP(IF(A3232&lt;0,(10-1)*A3232,-1*A3232))+D$129*EXP(IF(A3232&lt;0,(10-2)*A3232,-2*A3232))+E$129*EXP(IF(A3232&lt;0,(10-3)*A3232,-3*A3232))+F$129*EXP(IF(A3232&lt;0,(10-4)*A3232,-4*A3232))+G$129*EXP(IF(A3232&lt;0,(10-5)*A3232,-5*A3232))+H$129*EXP(IF(A3232&lt;0,(10-6)*A3232,-6*A3232))+I$129*EXP(IF(A3232&lt;0,(10-7)*A3232,-7*A3232))+J$129*EXP(IF(A3232&lt;0,(10-8)*A3232,-8*A3232))+K$129*EXP(IF(A3232&lt;0,(10-9)*A3232,-9*A3232))+L$129*EXP(IF(A3232&lt;0,(10-10)*A3232,-10*A3232)),0)</x:f>
        <x:v>-190121.13750626284</x:v>
      </x:c>
      <x:c r="C3232" s="256" t="n">
        <x:f>IF(B3232=0,IF(B3231=0,0,1),IF(B3231=0,0,IF(SIGN(B3232)&lt;&gt;SIGN(B3231),1,0)))</x:f>
        <x:v>0</x:v>
      </x:c>
      <x:c r="D3232" s="256" t="n">
        <x:f>EXP(A3232-0.005)-1</x:f>
        <x:v>66.6941658709318</x:v>
      </x:c>
    </x:row>
    <x:row r="3233" ht="20" customHeight="1">
      <x:c r="A3233" s="256" t="n">
        <x:f>-12+1623*0.01</x:f>
        <x:v>4.23</x:v>
      </x:c>
      <x:c r="B3233" s="256" t="n">
        <x:f>IF(COUNT($B$129:$L$129)=11,B$129*EXP(IF(A3233&lt;0,(10-0)*A3233,-0*A3233))+C$129*EXP(IF(A3233&lt;0,(10-1)*A3233,-1*A3233))+D$129*EXP(IF(A3233&lt;0,(10-2)*A3233,-2*A3233))+E$129*EXP(IF(A3233&lt;0,(10-3)*A3233,-3*A3233))+F$129*EXP(IF(A3233&lt;0,(10-4)*A3233,-4*A3233))+G$129*EXP(IF(A3233&lt;0,(10-5)*A3233,-5*A3233))+H$129*EXP(IF(A3233&lt;0,(10-6)*A3233,-6*A3233))+I$129*EXP(IF(A3233&lt;0,(10-7)*A3233,-7*A3233))+J$129*EXP(IF(A3233&lt;0,(10-8)*A3233,-8*A3233))+K$129*EXP(IF(A3233&lt;0,(10-9)*A3233,-9*A3233))+L$129*EXP(IF(A3233&lt;0,(10-10)*A3233,-10*A3233)),0)</x:f>
        <x:v>-190119.91931290718</x:v>
      </x:c>
      <x:c r="C3233" s="256" t="n">
        <x:f>IF(B3233=0,IF(B3232=0,0,1),IF(B3232=0,0,IF(SIGN(B3233)&lt;&gt;SIGN(B3232),1,0)))</x:f>
        <x:v>0</x:v>
      </x:c>
      <x:c r="D3233" s="256" t="n">
        <x:f>EXP(A3233-0.005)-1</x:f>
        <x:v>67.37450354855815</x:v>
      </x:c>
    </x:row>
    <x:row r="3234" ht="20" customHeight="1">
      <x:c r="A3234" s="256" t="n">
        <x:f>-12+1624*0.01</x:f>
        <x:v>4.240000000000002</x:v>
      </x:c>
      <x:c r="B3234" s="256" t="n">
        <x:f>IF(COUNT($B$129:$L$129)=11,B$129*EXP(IF(A3234&lt;0,(10-0)*A3234,-0*A3234))+C$129*EXP(IF(A3234&lt;0,(10-1)*A3234,-1*A3234))+D$129*EXP(IF(A3234&lt;0,(10-2)*A3234,-2*A3234))+E$129*EXP(IF(A3234&lt;0,(10-3)*A3234,-3*A3234))+F$129*EXP(IF(A3234&lt;0,(10-4)*A3234,-4*A3234))+G$129*EXP(IF(A3234&lt;0,(10-5)*A3234,-5*A3234))+H$129*EXP(IF(A3234&lt;0,(10-6)*A3234,-6*A3234))+I$129*EXP(IF(A3234&lt;0,(10-7)*A3234,-7*A3234))+J$129*EXP(IF(A3234&lt;0,(10-8)*A3234,-8*A3234))+K$129*EXP(IF(A3234&lt;0,(10-9)*A3234,-9*A3234))+L$129*EXP(IF(A3234&lt;0,(10-10)*A3234,-10*A3234)),0)</x:f>
        <x:v>-190118.7134975506</x:v>
      </x:c>
      <x:c r="C3234" s="256" t="n">
        <x:f>IF(B3234=0,IF(B3233=0,0,1),IF(B3233=0,0,IF(SIGN(B3234)&lt;&gt;SIGN(B3233),1,0)))</x:f>
        <x:v>0</x:v>
      </x:c>
      <x:c r="D3234" s="256" t="n">
        <x:f>EXP(A3234-0.005)-1</x:f>
        <x:v>68.06167873351832</x:v>
      </x:c>
    </x:row>
    <x:row r="3235" ht="20" customHeight="1">
      <x:c r="A3235" s="256" t="n">
        <x:f>-12+1625*0.01</x:f>
        <x:v>4.25</x:v>
      </x:c>
      <x:c r="B3235" s="256" t="n">
        <x:f>IF(COUNT($B$129:$L$129)=11,B$129*EXP(IF(A3235&lt;0,(10-0)*A3235,-0*A3235))+C$129*EXP(IF(A3235&lt;0,(10-1)*A3235,-1*A3235))+D$129*EXP(IF(A3235&lt;0,(10-2)*A3235,-2*A3235))+E$129*EXP(IF(A3235&lt;0,(10-3)*A3235,-3*A3235))+F$129*EXP(IF(A3235&lt;0,(10-4)*A3235,-4*A3235))+G$129*EXP(IF(A3235&lt;0,(10-5)*A3235,-5*A3235))+H$129*EXP(IF(A3235&lt;0,(10-6)*A3235,-6*A3235))+I$129*EXP(IF(A3235&lt;0,(10-7)*A3235,-7*A3235))+J$129*EXP(IF(A3235&lt;0,(10-8)*A3235,-8*A3235))+K$129*EXP(IF(A3235&lt;0,(10-9)*A3235,-9*A3235))+L$129*EXP(IF(A3235&lt;0,(10-10)*A3235,-10*A3235)),0)</x:f>
        <x:v>-190117.5199318794</x:v>
      </x:c>
      <x:c r="C3235" s="256" t="n">
        <x:f>IF(B3235=0,IF(B3234=0,0,1),IF(B3234=0,0,IF(SIGN(B3235)&lt;&gt;SIGN(B3234),1,0)))</x:f>
        <x:v>0</x:v>
      </x:c>
      <x:c r="D3235" s="256" t="n">
        <x:f>EXP(A3235-0.005)-1</x:f>
        <x:v>68.75576014390317</x:v>
      </x:c>
    </x:row>
    <x:row r="3236" ht="20" customHeight="1">
      <x:c r="A3236" s="256" t="n">
        <x:f>-12+1626*0.01</x:f>
        <x:v>4.260000000000002</x:v>
      </x:c>
      <x:c r="B3236" s="256" t="n">
        <x:f>IF(COUNT($B$129:$L$129)=11,B$129*EXP(IF(A3236&lt;0,(10-0)*A3236,-0*A3236))+C$129*EXP(IF(A3236&lt;0,(10-1)*A3236,-1*A3236))+D$129*EXP(IF(A3236&lt;0,(10-2)*A3236,-2*A3236))+E$129*EXP(IF(A3236&lt;0,(10-3)*A3236,-3*A3236))+F$129*EXP(IF(A3236&lt;0,(10-4)*A3236,-4*A3236))+G$129*EXP(IF(A3236&lt;0,(10-5)*A3236,-5*A3236))+H$129*EXP(IF(A3236&lt;0,(10-6)*A3236,-6*A3236))+I$129*EXP(IF(A3236&lt;0,(10-7)*A3236,-7*A3236))+J$129*EXP(IF(A3236&lt;0,(10-8)*A3236,-8*A3236))+K$129*EXP(IF(A3236&lt;0,(10-9)*A3236,-9*A3236))+L$129*EXP(IF(A3236&lt;0,(10-10)*A3236,-10*A3236)),0)</x:f>
        <x:v>-190116.33848896055</x:v>
      </x:c>
      <x:c r="C3236" s="256" t="n">
        <x:f>IF(B3236=0,IF(B3235=0,0,1),IF(B3235=0,0,IF(SIGN(B3236)&lt;&gt;SIGN(B3235),1,0)))</x:f>
        <x:v>0</x:v>
      </x:c>
      <x:c r="D3236" s="256" t="n">
        <x:f>EXP(A3236-0.005)-1</x:f>
        <x:v>69.45681718843267</x:v>
      </x:c>
    </x:row>
    <x:row r="3237" ht="20" customHeight="1">
      <x:c r="A3237" s="256" t="n">
        <x:f>-12+1627*0.01</x:f>
        <x:v>4.27</x:v>
      </x:c>
      <x:c r="B3237" s="256" t="n">
        <x:f>IF(COUNT($B$129:$L$129)=11,B$129*EXP(IF(A3237&lt;0,(10-0)*A3237,-0*A3237))+C$129*EXP(IF(A3237&lt;0,(10-1)*A3237,-1*A3237))+D$129*EXP(IF(A3237&lt;0,(10-2)*A3237,-2*A3237))+E$129*EXP(IF(A3237&lt;0,(10-3)*A3237,-3*A3237))+F$129*EXP(IF(A3237&lt;0,(10-4)*A3237,-4*A3237))+G$129*EXP(IF(A3237&lt;0,(10-5)*A3237,-5*A3237))+H$129*EXP(IF(A3237&lt;0,(10-6)*A3237,-6*A3237))+I$129*EXP(IF(A3237&lt;0,(10-7)*A3237,-7*A3237))+J$129*EXP(IF(A3237&lt;0,(10-8)*A3237,-8*A3237))+K$129*EXP(IF(A3237&lt;0,(10-9)*A3237,-9*A3237))+L$129*EXP(IF(A3237&lt;0,(10-10)*A3237,-10*A3237)),0)</x:f>
        <x:v>-190115.169043226</x:v>
      </x:c>
      <x:c r="C3237" s="256" t="n">
        <x:f>IF(B3237=0,IF(B3236=0,0,1),IF(B3236=0,0,IF(SIGN(B3237)&lt;&gt;SIGN(B3236),1,0)))</x:f>
        <x:v>0</x:v>
      </x:c>
      <x:c r="D3237" s="256" t="n">
        <x:f>EXP(A3237-0.005)-1</x:f>
        <x:v>70.16491997339496</x:v>
      </x:c>
    </x:row>
    <x:row r="3238" ht="20" customHeight="1">
      <x:c r="A3238" s="256" t="n">
        <x:f>-12+1628*0.01</x:f>
        <x:v>4.280000000000001</x:v>
      </x:c>
      <x:c r="B3238" s="256" t="n">
        <x:f>IF(COUNT($B$129:$L$129)=11,B$129*EXP(IF(A3238&lt;0,(10-0)*A3238,-0*A3238))+C$129*EXP(IF(A3238&lt;0,(10-1)*A3238,-1*A3238))+D$129*EXP(IF(A3238&lt;0,(10-2)*A3238,-2*A3238))+E$129*EXP(IF(A3238&lt;0,(10-3)*A3238,-3*A3238))+F$129*EXP(IF(A3238&lt;0,(10-4)*A3238,-4*A3238))+G$129*EXP(IF(A3238&lt;0,(10-5)*A3238,-5*A3238))+H$129*EXP(IF(A3238&lt;0,(10-6)*A3238,-6*A3238))+I$129*EXP(IF(A3238&lt;0,(10-7)*A3238,-7*A3238))+J$129*EXP(IF(A3238&lt;0,(10-8)*A3238,-8*A3238))+K$129*EXP(IF(A3238&lt;0,(10-9)*A3238,-9*A3238))+L$129*EXP(IF(A3238&lt;0,(10-10)*A3238,-10*A3238)),0)</x:f>
        <x:v>-190114.01147045675</x:v>
      </x:c>
      <x:c r="C3238" s="256" t="n">
        <x:f>IF(B3238=0,IF(B3237=0,0,1),IF(B3237=0,0,IF(SIGN(B3238)&lt;&gt;SIGN(B3237),1,0)))</x:f>
        <x:v>0</x:v>
      </x:c>
      <x:c r="D3238" s="256" t="n">
        <x:f>EXP(A3238-0.005)-1</x:f>
        <x:v>70.88013930965913</x:v>
      </x:c>
    </x:row>
    <x:row r="3239" ht="20" customHeight="1">
      <x:c r="A3239" s="256" t="n">
        <x:f>-12+1629*0.01</x:f>
        <x:v>4.289999999999999</x:v>
      </x:c>
      <x:c r="B3239" s="256" t="n">
        <x:f>IF(COUNT($B$129:$L$129)=11,B$129*EXP(IF(A3239&lt;0,(10-0)*A3239,-0*A3239))+C$129*EXP(IF(A3239&lt;0,(10-1)*A3239,-1*A3239))+D$129*EXP(IF(A3239&lt;0,(10-2)*A3239,-2*A3239))+E$129*EXP(IF(A3239&lt;0,(10-3)*A3239,-3*A3239))+F$129*EXP(IF(A3239&lt;0,(10-4)*A3239,-4*A3239))+G$129*EXP(IF(A3239&lt;0,(10-5)*A3239,-5*A3239))+H$129*EXP(IF(A3239&lt;0,(10-6)*A3239,-6*A3239))+I$129*EXP(IF(A3239&lt;0,(10-7)*A3239,-7*A3239))+J$129*EXP(IF(A3239&lt;0,(10-8)*A3239,-8*A3239))+K$129*EXP(IF(A3239&lt;0,(10-9)*A3239,-9*A3239))+L$129*EXP(IF(A3239&lt;0,(10-10)*A3239,-10*A3239)),0)</x:f>
        <x:v>-190112.8656477676</x:v>
      </x:c>
      <x:c r="C3239" s="256" t="n">
        <x:f>IF(B3239=0,IF(B3238=0,0,1),IF(B3238=0,0,IF(SIGN(B3239)&lt;&gt;SIGN(B3238),1,0)))</x:f>
        <x:v>0</x:v>
      </x:c>
      <x:c r="D3239" s="256" t="n">
        <x:f>EXP(A3239-0.005)-1</x:f>
        <x:v>71.60254671975434</x:v>
      </x:c>
    </x:row>
    <x:row r="3240" ht="20" customHeight="1">
      <x:c r="A3240" s="256" t="n">
        <x:f>-12+1630*0.01</x:f>
        <x:v>4.300000000000001</x:v>
      </x:c>
      <x:c r="B3240" s="256" t="n">
        <x:f>IF(COUNT($B$129:$L$129)=11,B$129*EXP(IF(A3240&lt;0,(10-0)*A3240,-0*A3240))+C$129*EXP(IF(A3240&lt;0,(10-1)*A3240,-1*A3240))+D$129*EXP(IF(A3240&lt;0,(10-2)*A3240,-2*A3240))+E$129*EXP(IF(A3240&lt;0,(10-3)*A3240,-3*A3240))+F$129*EXP(IF(A3240&lt;0,(10-4)*A3240,-4*A3240))+G$129*EXP(IF(A3240&lt;0,(10-5)*A3240,-5*A3240))+H$129*EXP(IF(A3240&lt;0,(10-6)*A3240,-6*A3240))+I$129*EXP(IF(A3240&lt;0,(10-7)*A3240,-7*A3240))+J$129*EXP(IF(A3240&lt;0,(10-8)*A3240,-8*A3240))+K$129*EXP(IF(A3240&lt;0,(10-9)*A3240,-9*A3240))+L$129*EXP(IF(A3240&lt;0,(10-10)*A3240,-10*A3240)),0)</x:f>
        <x:v>-190111.73145359178</x:v>
      </x:c>
      <x:c r="C3240" s="256" t="n">
        <x:f>IF(B3240=0,IF(B3239=0,0,1),IF(B3239=0,0,IF(SIGN(B3240)&lt;&gt;SIGN(B3239),1,0)))</x:f>
        <x:v>0</x:v>
      </x:c>
      <x:c r="D3240" s="256" t="n">
        <x:f>EXP(A3240-0.005)-1</x:f>
        <x:v>72.3322144450241</x:v>
      </x:c>
    </x:row>
    <x:row r="3241" ht="20" customHeight="1">
      <x:c r="A3241" s="256" t="n">
        <x:f>-12+1631*0.01</x:f>
        <x:v>4.309999999999999</x:v>
      </x:c>
      <x:c r="B3241" s="256" t="n">
        <x:f>IF(COUNT($B$129:$L$129)=11,B$129*EXP(IF(A3241&lt;0,(10-0)*A3241,-0*A3241))+C$129*EXP(IF(A3241&lt;0,(10-1)*A3241,-1*A3241))+D$129*EXP(IF(A3241&lt;0,(10-2)*A3241,-2*A3241))+E$129*EXP(IF(A3241&lt;0,(10-3)*A3241,-3*A3241))+F$129*EXP(IF(A3241&lt;0,(10-4)*A3241,-4*A3241))+G$129*EXP(IF(A3241&lt;0,(10-5)*A3241,-5*A3241))+H$129*EXP(IF(A3241&lt;0,(10-6)*A3241,-6*A3241))+I$129*EXP(IF(A3241&lt;0,(10-7)*A3241,-7*A3241))+J$129*EXP(IF(A3241&lt;0,(10-8)*A3241,-8*A3241))+K$129*EXP(IF(A3241&lt;0,(10-9)*A3241,-9*A3241))+L$129*EXP(IF(A3241&lt;0,(10-10)*A3241,-10*A3241)),0)</x:f>
        <x:v>-190110.6087676661</x:v>
      </x:c>
      <x:c r="C3241" s="256" t="n">
        <x:f>IF(B3241=0,IF(B3240=0,0,1),IF(B3240=0,0,IF(SIGN(B3241)&lt;&gt;SIGN(B3240),1,0)))</x:f>
        <x:v>0</x:v>
      </x:c>
      <x:c r="D3241" s="256" t="n">
        <x:f>EXP(A3241-0.005)-1</x:f>
        <x:v>73.06921545284848</x:v>
      </x:c>
    </x:row>
    <x:row r="3242" ht="20" customHeight="1">
      <x:c r="A3242" s="256" t="n">
        <x:f>-12+1632*0.01</x:f>
        <x:v>4.32</x:v>
      </x:c>
      <x:c r="B3242" s="256" t="n">
        <x:f>IF(COUNT($B$129:$L$129)=11,B$129*EXP(IF(A3242&lt;0,(10-0)*A3242,-0*A3242))+C$129*EXP(IF(A3242&lt;0,(10-1)*A3242,-1*A3242))+D$129*EXP(IF(A3242&lt;0,(10-2)*A3242,-2*A3242))+E$129*EXP(IF(A3242&lt;0,(10-3)*A3242,-3*A3242))+F$129*EXP(IF(A3242&lt;0,(10-4)*A3242,-4*A3242))+G$129*EXP(IF(A3242&lt;0,(10-5)*A3242,-5*A3242))+H$129*EXP(IF(A3242&lt;0,(10-6)*A3242,-6*A3242))+I$129*EXP(IF(A3242&lt;0,(10-7)*A3242,-7*A3242))+J$129*EXP(IF(A3242&lt;0,(10-8)*A3242,-8*A3242))+K$129*EXP(IF(A3242&lt;0,(10-9)*A3242,-9*A3242))+L$129*EXP(IF(A3242&lt;0,(10-10)*A3242,-10*A3242)),0)</x:f>
        <x:v>-190109.4974710156</x:v>
      </x:c>
      <x:c r="C3242" s="256" t="n">
        <x:f>IF(B3242=0,IF(B3241=0,0,1),IF(B3241=0,0,IF(SIGN(B3242)&lt;&gt;SIGN(B3241),1,0)))</x:f>
        <x:v>0</x:v>
      </x:c>
      <x:c r="D3242" s="256" t="n">
        <x:f>EXP(A3242-0.005)-1</x:f>
        <x:v>73.81362344394297</x:v>
      </x:c>
    </x:row>
    <x:row r="3243" ht="20" customHeight="1">
      <x:c r="A3243" s="256" t="n">
        <x:f>-12+1633*0.01</x:f>
        <x:v>4.330000000000002</x:v>
      </x:c>
      <x:c r="B3243" s="256" t="n">
        <x:f>IF(COUNT($B$129:$L$129)=11,B$129*EXP(IF(A3243&lt;0,(10-0)*A3243,-0*A3243))+C$129*EXP(IF(A3243&lt;0,(10-1)*A3243,-1*A3243))+D$129*EXP(IF(A3243&lt;0,(10-2)*A3243,-2*A3243))+E$129*EXP(IF(A3243&lt;0,(10-3)*A3243,-3*A3243))+F$129*EXP(IF(A3243&lt;0,(10-4)*A3243,-4*A3243))+G$129*EXP(IF(A3243&lt;0,(10-5)*A3243,-5*A3243))+H$129*EXP(IF(A3243&lt;0,(10-6)*A3243,-6*A3243))+I$129*EXP(IF(A3243&lt;0,(10-7)*A3243,-7*A3243))+J$129*EXP(IF(A3243&lt;0,(10-8)*A3243,-8*A3243))+K$129*EXP(IF(A3243&lt;0,(10-9)*A3243,-9*A3243))+L$129*EXP(IF(A3243&lt;0,(10-10)*A3243,-10*A3243)),0)</x:f>
        <x:v>-190108.39744593925</x:v>
      </x:c>
      <x:c r="C3243" s="256" t="n">
        <x:f>IF(B3243=0,IF(B3242=0,0,1),IF(B3242=0,0,IF(SIGN(B3243)&lt;&gt;SIGN(B3242),1,0)))</x:f>
        <x:v>0</x:v>
      </x:c>
      <x:c r="D3243" s="256" t="n">
        <x:f>EXP(A3243-0.005)-1</x:f>
        <x:v>74.56551285972675</x:v>
      </x:c>
    </x:row>
    <x:row r="3244" ht="20" customHeight="1">
      <x:c r="A3244" s="256" t="n">
        <x:f>-12+1634*0.01</x:f>
        <x:v>4.34</x:v>
      </x:c>
      <x:c r="B3244" s="256" t="n">
        <x:f>IF(COUNT($B$129:$L$129)=11,B$129*EXP(IF(A3244&lt;0,(10-0)*A3244,-0*A3244))+C$129*EXP(IF(A3244&lt;0,(10-1)*A3244,-1*A3244))+D$129*EXP(IF(A3244&lt;0,(10-2)*A3244,-2*A3244))+E$129*EXP(IF(A3244&lt;0,(10-3)*A3244,-3*A3244))+F$129*EXP(IF(A3244&lt;0,(10-4)*A3244,-4*A3244))+G$129*EXP(IF(A3244&lt;0,(10-5)*A3244,-5*A3244))+H$129*EXP(IF(A3244&lt;0,(10-6)*A3244,-6*A3244))+I$129*EXP(IF(A3244&lt;0,(10-7)*A3244,-7*A3244))+J$129*EXP(IF(A3244&lt;0,(10-8)*A3244,-8*A3244))+K$129*EXP(IF(A3244&lt;0,(10-9)*A3244,-9*A3244))+L$129*EXP(IF(A3244&lt;0,(10-10)*A3244,-10*A3244)),0)</x:f>
        <x:v>-190107.3085759956</x:v>
      </x:c>
      <x:c r="C3244" s="256" t="n">
        <x:f>IF(B3244=0,IF(B3243=0,0,1),IF(B3243=0,0,IF(SIGN(B3244)&lt;&gt;SIGN(B3243),1,0)))</x:f>
        <x:v>0</x:v>
      </x:c>
      <x:c r="D3244" s="256" t="n">
        <x:f>EXP(A3244-0.005)-1</x:f>
        <x:v>75.3249588897677</x:v>
      </x:c>
    </x:row>
    <x:row r="3245" ht="20" customHeight="1">
      <x:c r="A3245" s="256" t="n">
        <x:f>-12+1635*0.01</x:f>
        <x:v>4.350000000000001</x:v>
      </x:c>
      <x:c r="B3245" s="256" t="n">
        <x:f>IF(COUNT($B$129:$L$129)=11,B$129*EXP(IF(A3245&lt;0,(10-0)*A3245,-0*A3245))+C$129*EXP(IF(A3245&lt;0,(10-1)*A3245,-1*A3245))+D$129*EXP(IF(A3245&lt;0,(10-2)*A3245,-2*A3245))+E$129*EXP(IF(A3245&lt;0,(10-3)*A3245,-3*A3245))+F$129*EXP(IF(A3245&lt;0,(10-4)*A3245,-4*A3245))+G$129*EXP(IF(A3245&lt;0,(10-5)*A3245,-5*A3245))+H$129*EXP(IF(A3245&lt;0,(10-6)*A3245,-6*A3245))+I$129*EXP(IF(A3245&lt;0,(10-7)*A3245,-7*A3245))+J$129*EXP(IF(A3245&lt;0,(10-8)*A3245,-8*A3245))+K$129*EXP(IF(A3245&lt;0,(10-9)*A3245,-9*A3245))+L$129*EXP(IF(A3245&lt;0,(10-10)*A3245,-10*A3245)),0)</x:f>
        <x:v>-190106.23074598782</x:v>
      </x:c>
      <x:c r="C3245" s="256" t="n">
        <x:f>IF(B3245=0,IF(B3244=0,0,1),IF(B3244=0,0,IF(SIGN(B3245)&lt;&gt;SIGN(B3244),1,0)))</x:f>
        <x:v>0</x:v>
      </x:c>
      <x:c r="D3245" s="256" t="n">
        <x:f>EXP(A3245-0.005)-1</x:f>
        <x:v>76.09203747930225</x:v>
      </x:c>
    </x:row>
    <x:row r="3246" ht="20" customHeight="1">
      <x:c r="A3246" s="256" t="n">
        <x:f>-12+1636*0.01</x:f>
        <x:v>4.359999999999999</x:v>
      </x:c>
      <x:c r="B3246" s="256" t="n">
        <x:f>IF(COUNT($B$129:$L$129)=11,B$129*EXP(IF(A3246&lt;0,(10-0)*A3246,-0*A3246))+C$129*EXP(IF(A3246&lt;0,(10-1)*A3246,-1*A3246))+D$129*EXP(IF(A3246&lt;0,(10-2)*A3246,-2*A3246))+E$129*EXP(IF(A3246&lt;0,(10-3)*A3246,-3*A3246))+F$129*EXP(IF(A3246&lt;0,(10-4)*A3246,-4*A3246))+G$129*EXP(IF(A3246&lt;0,(10-5)*A3246,-5*A3246))+H$129*EXP(IF(A3246&lt;0,(10-6)*A3246,-6*A3246))+I$129*EXP(IF(A3246&lt;0,(10-7)*A3246,-7*A3246))+J$129*EXP(IF(A3246&lt;0,(10-8)*A3246,-8*A3246))+K$129*EXP(IF(A3246&lt;0,(10-9)*A3246,-9*A3246))+L$129*EXP(IF(A3246&lt;0,(10-10)*A3246,-10*A3246)),0)</x:f>
        <x:v>-190105.16384195033</x:v>
      </x:c>
      <x:c r="C3246" s="256" t="n">
        <x:f>IF(B3246=0,IF(B3245=0,0,1),IF(B3245=0,0,IF(SIGN(B3246)&lt;&gt;SIGN(B3245),1,0)))</x:f>
        <x:v>0</x:v>
      </x:c>
      <x:c r="D3246" s="256" t="n">
        <x:f>EXP(A3246-0.005)-1</x:f>
        <x:v>76.86682533682803</x:v>
      </x:c>
    </x:row>
    <x:row r="3247" ht="20" customHeight="1">
      <x:c r="A3247" s="256" t="n">
        <x:f>-12+1637*0.01</x:f>
        <x:v>4.370000000000001</x:v>
      </x:c>
      <x:c r="B3247" s="256" t="n">
        <x:f>IF(COUNT($B$129:$L$129)=11,B$129*EXP(IF(A3247&lt;0,(10-0)*A3247,-0*A3247))+C$129*EXP(IF(A3247&lt;0,(10-1)*A3247,-1*A3247))+D$129*EXP(IF(A3247&lt;0,(10-2)*A3247,-2*A3247))+E$129*EXP(IF(A3247&lt;0,(10-3)*A3247,-3*A3247))+F$129*EXP(IF(A3247&lt;0,(10-4)*A3247,-4*A3247))+G$129*EXP(IF(A3247&lt;0,(10-5)*A3247,-5*A3247))+H$129*EXP(IF(A3247&lt;0,(10-6)*A3247,-6*A3247))+I$129*EXP(IF(A3247&lt;0,(10-7)*A3247,-7*A3247))+J$129*EXP(IF(A3247&lt;0,(10-8)*A3247,-8*A3247))+K$129*EXP(IF(A3247&lt;0,(10-9)*A3247,-9*A3247))+L$129*EXP(IF(A3247&lt;0,(10-10)*A3247,-10*A3247)),0)</x:f>
        <x:v>-190104.10775113408</x:v>
      </x:c>
      <x:c r="C3247" s="256" t="n">
        <x:f>IF(B3247=0,IF(B3246=0,0,1),IF(B3246=0,0,IF(SIGN(B3247)&lt;&gt;SIGN(B3246),1,0)))</x:f>
        <x:v>0</x:v>
      </x:c>
      <x:c r="D3247" s="256" t="n">
        <x:f>EXP(A3247-0.005)-1</x:f>
        <x:v>77.649399941777</x:v>
      </x:c>
    </x:row>
    <x:row r="3248" ht="20" customHeight="1">
      <x:c r="A3248" s="256" t="n">
        <x:f>-12+1638*0.01</x:f>
        <x:v>4.379999999999999</x:v>
      </x:c>
      <x:c r="B3248" s="256" t="n">
        <x:f>IF(COUNT($B$129:$L$129)=11,B$129*EXP(IF(A3248&lt;0,(10-0)*A3248,-0*A3248))+C$129*EXP(IF(A3248&lt;0,(10-1)*A3248,-1*A3248))+D$129*EXP(IF(A3248&lt;0,(10-2)*A3248,-2*A3248))+E$129*EXP(IF(A3248&lt;0,(10-3)*A3248,-3*A3248))+F$129*EXP(IF(A3248&lt;0,(10-4)*A3248,-4*A3248))+G$129*EXP(IF(A3248&lt;0,(10-5)*A3248,-5*A3248))+H$129*EXP(IF(A3248&lt;0,(10-6)*A3248,-6*A3248))+I$129*EXP(IF(A3248&lt;0,(10-7)*A3248,-7*A3248))+J$129*EXP(IF(A3248&lt;0,(10-8)*A3248,-8*A3248))+K$129*EXP(IF(A3248&lt;0,(10-9)*A3248,-9*A3248))+L$129*EXP(IF(A3248&lt;0,(10-10)*A3248,-10*A3248)),0)</x:f>
        <x:v>-190103.06236199345</x:v>
      </x:c>
      <x:c r="C3248" s="256" t="n">
        <x:f>IF(B3248=0,IF(B3247=0,0,1),IF(B3247=0,0,IF(SIGN(B3248)&lt;&gt;SIGN(B3247),1,0)))</x:f>
        <x:v>0</x:v>
      </x:c>
      <x:c r="D3248" s="256" t="n">
        <x:f>EXP(A3248-0.005)-1</x:f>
        <x:v>78.43983955226126</x:v>
      </x:c>
    </x:row>
    <x:row r="3249" ht="20" customHeight="1">
      <x:c r="A3249" s="256" t="n">
        <x:f>-12+1639*0.01</x:f>
        <x:v>4.390000000000001</x:v>
      </x:c>
      <x:c r="B3249" s="256" t="n">
        <x:f>IF(COUNT($B$129:$L$129)=11,B$129*EXP(IF(A3249&lt;0,(10-0)*A3249,-0*A3249))+C$129*EXP(IF(A3249&lt;0,(10-1)*A3249,-1*A3249))+D$129*EXP(IF(A3249&lt;0,(10-2)*A3249,-2*A3249))+E$129*EXP(IF(A3249&lt;0,(10-3)*A3249,-3*A3249))+F$129*EXP(IF(A3249&lt;0,(10-4)*A3249,-4*A3249))+G$129*EXP(IF(A3249&lt;0,(10-5)*A3249,-5*A3249))+H$129*EXP(IF(A3249&lt;0,(10-6)*A3249,-6*A3249))+I$129*EXP(IF(A3249&lt;0,(10-7)*A3249,-7*A3249))+J$129*EXP(IF(A3249&lt;0,(10-8)*A3249,-8*A3249))+K$129*EXP(IF(A3249&lt;0,(10-9)*A3249,-9*A3249))+L$129*EXP(IF(A3249&lt;0,(10-10)*A3249,-10*A3249)),0)</x:f>
        <x:v>-190102.0275641721</x:v>
      </x:c>
      <x:c r="C3249" s="256" t="n">
        <x:f>IF(B3249=0,IF(B3248=0,0,1),IF(B3248=0,0,IF(SIGN(B3249)&lt;&gt;SIGN(B3248),1,0)))</x:f>
        <x:v>0</x:v>
      </x:c>
      <x:c r="D3249" s="256" t="n">
        <x:f>EXP(A3249-0.005)-1</x:f>
        <x:v>79.23822321290112</x:v>
      </x:c>
    </x:row>
    <x:row r="3250" ht="20" customHeight="1">
      <x:c r="A3250" s="256" t="n">
        <x:f>-12+1640*0.01</x:f>
        <x:v>4.399999999999999</x:v>
      </x:c>
      <x:c r="B3250" s="256" t="n">
        <x:f>IF(COUNT($B$129:$L$129)=11,B$129*EXP(IF(A3250&lt;0,(10-0)*A3250,-0*A3250))+C$129*EXP(IF(A3250&lt;0,(10-1)*A3250,-1*A3250))+D$129*EXP(IF(A3250&lt;0,(10-2)*A3250,-2*A3250))+E$129*EXP(IF(A3250&lt;0,(10-3)*A3250,-3*A3250))+F$129*EXP(IF(A3250&lt;0,(10-4)*A3250,-4*A3250))+G$129*EXP(IF(A3250&lt;0,(10-5)*A3250,-5*A3250))+H$129*EXP(IF(A3250&lt;0,(10-6)*A3250,-6*A3250))+I$129*EXP(IF(A3250&lt;0,(10-7)*A3250,-7*A3250))+J$129*EXP(IF(A3250&lt;0,(10-8)*A3250,-8*A3250))+K$129*EXP(IF(A3250&lt;0,(10-9)*A3250,-9*A3250))+L$129*EXP(IF(A3250&lt;0,(10-10)*A3250,-10*A3250)),0)</x:f>
        <x:v>-190101.0032484898</x:v>
      </x:c>
      <x:c r="C3250" s="256" t="n">
        <x:f>IF(B3250=0,IF(B3249=0,0,1),IF(B3249=0,0,IF(SIGN(B3250)&lt;&gt;SIGN(B3249),1,0)))</x:f>
        <x:v>0</x:v>
      </x:c>
      <x:c r="D3250" s="256" t="n">
        <x:f>EXP(A3250-0.005)-1</x:f>
        <x:v>80.04463076272738</x:v>
      </x:c>
    </x:row>
    <x:row r="3251" ht="20" customHeight="1">
      <x:c r="A3251" s="256" t="n">
        <x:f>-12+1641*0.01</x:f>
        <x:v>4.41</x:v>
      </x:c>
      <x:c r="B3251" s="256" t="n">
        <x:f>IF(COUNT($B$129:$L$129)=11,B$129*EXP(IF(A3251&lt;0,(10-0)*A3251,-0*A3251))+C$129*EXP(IF(A3251&lt;0,(10-1)*A3251,-1*A3251))+D$129*EXP(IF(A3251&lt;0,(10-2)*A3251,-2*A3251))+E$129*EXP(IF(A3251&lt;0,(10-3)*A3251,-3*A3251))+F$129*EXP(IF(A3251&lt;0,(10-4)*A3251,-4*A3251))+G$129*EXP(IF(A3251&lt;0,(10-5)*A3251,-5*A3251))+H$129*EXP(IF(A3251&lt;0,(10-6)*A3251,-6*A3251))+I$129*EXP(IF(A3251&lt;0,(10-7)*A3251,-7*A3251))+J$129*EXP(IF(A3251&lt;0,(10-8)*A3251,-8*A3251))+K$129*EXP(IF(A3251&lt;0,(10-9)*A3251,-9*A3251))+L$129*EXP(IF(A3251&lt;0,(10-10)*A3251,-10*A3251)),0)</x:f>
        <x:v>-190099.98930692914</x:v>
      </x:c>
      <x:c r="C3251" s="256" t="n">
        <x:f>IF(B3251=0,IF(B3250=0,0,1),IF(B3250=0,0,IF(SIGN(B3251)&lt;&gt;SIGN(B3250),1,0)))</x:f>
        <x:v>0</x:v>
      </x:c>
      <x:c r="D3251" s="256" t="n">
        <x:f>EXP(A3251-0.005)-1</x:f>
        <x:v>80.85914284316763</x:v>
      </x:c>
    </x:row>
    <x:row r="3252" ht="20" customHeight="1">
      <x:c r="A3252" s="256" t="n">
        <x:f>-12+1642*0.01</x:f>
        <x:v>4.420000000000002</x:v>
      </x:c>
      <x:c r="B3252" s="256" t="n">
        <x:f>IF(COUNT($B$129:$L$129)=11,B$129*EXP(IF(A3252&lt;0,(10-0)*A3252,-0*A3252))+C$129*EXP(IF(A3252&lt;0,(10-1)*A3252,-1*A3252))+D$129*EXP(IF(A3252&lt;0,(10-2)*A3252,-2*A3252))+E$129*EXP(IF(A3252&lt;0,(10-3)*A3252,-3*A3252))+F$129*EXP(IF(A3252&lt;0,(10-4)*A3252,-4*A3252))+G$129*EXP(IF(A3252&lt;0,(10-5)*A3252,-5*A3252))+H$129*EXP(IF(A3252&lt;0,(10-6)*A3252,-6*A3252))+I$129*EXP(IF(A3252&lt;0,(10-7)*A3252,-7*A3252))+J$129*EXP(IF(A3252&lt;0,(10-8)*A3252,-8*A3252))+K$129*EXP(IF(A3252&lt;0,(10-9)*A3252,-9*A3252))+L$129*EXP(IF(A3252&lt;0,(10-10)*A3252,-10*A3252)),0)</x:f>
        <x:v>-190098.9856326222</x:v>
      </x:c>
      <x:c r="C3252" s="256" t="n">
        <x:f>IF(B3252=0,IF(B3251=0,0,1),IF(B3251=0,0,IF(SIGN(B3252)&lt;&gt;SIGN(B3251),1,0)))</x:f>
        <x:v>0</x:v>
      </x:c>
      <x:c r="D3252" s="256" t="n">
        <x:f>EXP(A3252-0.005)-1</x:f>
        <x:v>81.68184090610836</x:v>
      </x:c>
    </x:row>
    <x:row r="3253" ht="20" customHeight="1">
      <x:c r="A3253" s="256" t="n">
        <x:f>-12+1643*0.01</x:f>
        <x:v>4.43</x:v>
      </x:c>
      <x:c r="B3253" s="256" t="n">
        <x:f>IF(COUNT($B$129:$L$129)=11,B$129*EXP(IF(A3253&lt;0,(10-0)*A3253,-0*A3253))+C$129*EXP(IF(A3253&lt;0,(10-1)*A3253,-1*A3253))+D$129*EXP(IF(A3253&lt;0,(10-2)*A3253,-2*A3253))+E$129*EXP(IF(A3253&lt;0,(10-3)*A3253,-3*A3253))+F$129*EXP(IF(A3253&lt;0,(10-4)*A3253,-4*A3253))+G$129*EXP(IF(A3253&lt;0,(10-5)*A3253,-5*A3253))+H$129*EXP(IF(A3253&lt;0,(10-6)*A3253,-6*A3253))+I$129*EXP(IF(A3253&lt;0,(10-7)*A3253,-7*A3253))+J$129*EXP(IF(A3253&lt;0,(10-8)*A3253,-8*A3253))+K$129*EXP(IF(A3253&lt;0,(10-9)*A3253,-9*A3253))+L$129*EXP(IF(A3253&lt;0,(10-10)*A3253,-10*A3253)),0)</x:f>
        <x:v>-190097.99211983779</x:v>
      </x:c>
      <x:c r="C3253" s="256" t="n">
        <x:f>IF(B3253=0,IF(B3252=0,0,1),IF(B3252=0,0,IF(SIGN(B3253)&lt;&gt;SIGN(B3252),1,0)))</x:f>
        <x:v>0</x:v>
      </x:c>
      <x:c r="D3253" s="256" t="n">
        <x:f>EXP(A3253-0.005)-1</x:f>
        <x:v>82.5128072220412</x:v>
      </x:c>
    </x:row>
    <x:row r="3254" ht="20" customHeight="1">
      <x:c r="A3254" s="256" t="n">
        <x:f>-12+1644*0.01</x:f>
        <x:v>4.440000000000001</x:v>
      </x:c>
      <x:c r="B3254" s="256" t="n">
        <x:f>IF(COUNT($B$129:$L$129)=11,B$129*EXP(IF(A3254&lt;0,(10-0)*A3254,-0*A3254))+C$129*EXP(IF(A3254&lt;0,(10-1)*A3254,-1*A3254))+D$129*EXP(IF(A3254&lt;0,(10-2)*A3254,-2*A3254))+E$129*EXP(IF(A3254&lt;0,(10-3)*A3254,-3*A3254))+F$129*EXP(IF(A3254&lt;0,(10-4)*A3254,-4*A3254))+G$129*EXP(IF(A3254&lt;0,(10-5)*A3254,-5*A3254))+H$129*EXP(IF(A3254&lt;0,(10-6)*A3254,-6*A3254))+I$129*EXP(IF(A3254&lt;0,(10-7)*A3254,-7*A3254))+J$129*EXP(IF(A3254&lt;0,(10-8)*A3254,-8*A3254))+K$129*EXP(IF(A3254&lt;0,(10-9)*A3254,-9*A3254))+L$129*EXP(IF(A3254&lt;0,(10-10)*A3254,-10*A3254)),0)</x:f>
        <x:v>-190097.0086639687</x:v>
      </x:c>
      <x:c r="C3254" s="256" t="n">
        <x:f>IF(B3254=0,IF(B3253=0,0,1),IF(B3253=0,0,IF(SIGN(B3254)&lt;&gt;SIGN(B3253),1,0)))</x:f>
        <x:v>0</x:v>
      </x:c>
      <x:c r="D3254" s="256" t="n">
        <x:f>EXP(A3254-0.005)-1</x:f>
        <x:v>83.35212488829076</x:v>
      </x:c>
    </x:row>
    <x:row r="3255" ht="20" customHeight="1">
      <x:c r="A3255" s="256" t="n">
        <x:f>-12+1645*0.01</x:f>
        <x:v>4.449999999999999</x:v>
      </x:c>
      <x:c r="B3255" s="256" t="n">
        <x:f>IF(COUNT($B$129:$L$129)=11,B$129*EXP(IF(A3255&lt;0,(10-0)*A3255,-0*A3255))+C$129*EXP(IF(A3255&lt;0,(10-1)*A3255,-1*A3255))+D$129*EXP(IF(A3255&lt;0,(10-2)*A3255,-2*A3255))+E$129*EXP(IF(A3255&lt;0,(10-3)*A3255,-3*A3255))+F$129*EXP(IF(A3255&lt;0,(10-4)*A3255,-4*A3255))+G$129*EXP(IF(A3255&lt;0,(10-5)*A3255,-5*A3255))+H$129*EXP(IF(A3255&lt;0,(10-6)*A3255,-6*A3255))+I$129*EXP(IF(A3255&lt;0,(10-7)*A3255,-7*A3255))+J$129*EXP(IF(A3255&lt;0,(10-8)*A3255,-8*A3255))+K$129*EXP(IF(A3255&lt;0,(10-9)*A3255,-9*A3255))+L$129*EXP(IF(A3255&lt;0,(10-10)*A3255,-10*A3255)),0)</x:f>
        <x:v>-190096.0351615188</x:v>
      </x:c>
      <x:c r="C3255" s="256" t="n">
        <x:f>IF(B3255=0,IF(B3254=0,0,1),IF(B3254=0,0,IF(SIGN(B3255)&lt;&gt;SIGN(B3254),1,0)))</x:f>
        <x:v>0</x:v>
      </x:c>
      <x:c r="D3255" s="256" t="n">
        <x:f>EXP(A3255-0.005)-1</x:f>
        <x:v>84.19987783732252</x:v>
      </x:c>
    </x:row>
    <x:row r="3256" ht="20" customHeight="1">
      <x:c r="A3256" s="256" t="n">
        <x:f>-12+1646*0.01</x:f>
        <x:v>4.460000000000001</x:v>
      </x:c>
      <x:c r="B3256" s="256" t="n">
        <x:f>IF(COUNT($B$129:$L$129)=11,B$129*EXP(IF(A3256&lt;0,(10-0)*A3256,-0*A3256))+C$129*EXP(IF(A3256&lt;0,(10-1)*A3256,-1*A3256))+D$129*EXP(IF(A3256&lt;0,(10-2)*A3256,-2*A3256))+E$129*EXP(IF(A3256&lt;0,(10-3)*A3256,-3*A3256))+F$129*EXP(IF(A3256&lt;0,(10-4)*A3256,-4*A3256))+G$129*EXP(IF(A3256&lt;0,(10-5)*A3256,-5*A3256))+H$129*EXP(IF(A3256&lt;0,(10-6)*A3256,-6*A3256))+I$129*EXP(IF(A3256&lt;0,(10-7)*A3256,-7*A3256))+J$129*EXP(IF(A3256&lt;0,(10-8)*A3256,-8*A3256))+K$129*EXP(IF(A3256&lt;0,(10-9)*A3256,-9*A3256))+L$129*EXP(IF(A3256&lt;0,(10-10)*A3256,-10*A3256)),0)</x:f>
        <x:v>-190095.0715100908</x:v>
      </x:c>
      <x:c r="C3256" s="256" t="n">
        <x:f>IF(B3256=0,IF(B3255=0,0,1),IF(B3255=0,0,IF(SIGN(B3256)&lt;&gt;SIGN(B3255),1,0)))</x:f>
        <x:v>0</x:v>
      </x:c>
      <x:c r="D3256" s="256" t="n">
        <x:f>EXP(A3256-0.005)-1</x:f>
        <x:v>85.05615084513846</x:v>
      </x:c>
    </x:row>
    <x:row r="3257" ht="20" customHeight="1">
      <x:c r="A3257" s="256" t="n">
        <x:f>-12+1647*0.01</x:f>
        <x:v>4.469999999999999</x:v>
      </x:c>
      <x:c r="B3257" s="256" t="n">
        <x:f>IF(COUNT($B$129:$L$129)=11,B$129*EXP(IF(A3257&lt;0,(10-0)*A3257,-0*A3257))+C$129*EXP(IF(A3257&lt;0,(10-1)*A3257,-1*A3257))+D$129*EXP(IF(A3257&lt;0,(10-2)*A3257,-2*A3257))+E$129*EXP(IF(A3257&lt;0,(10-3)*A3257,-3*A3257))+F$129*EXP(IF(A3257&lt;0,(10-4)*A3257,-4*A3257))+G$129*EXP(IF(A3257&lt;0,(10-5)*A3257,-5*A3257))+H$129*EXP(IF(A3257&lt;0,(10-6)*A3257,-6*A3257))+I$129*EXP(IF(A3257&lt;0,(10-7)*A3257,-7*A3257))+J$129*EXP(IF(A3257&lt;0,(10-8)*A3257,-8*A3257))+K$129*EXP(IF(A3257&lt;0,(10-9)*A3257,-9*A3257))+L$129*EXP(IF(A3257&lt;0,(10-10)*A3257,-10*A3257)),0)</x:f>
        <x:v>-190094.11760837393</x:v>
      </x:c>
      <x:c r="C3257" s="256" t="n">
        <x:f>IF(B3257=0,IF(B3256=0,0,1),IF(B3256=0,0,IF(SIGN(B3257)&lt;&gt;SIGN(B3256),1,0)))</x:f>
        <x:v>0</x:v>
      </x:c>
      <x:c r="D3257" s="256" t="n">
        <x:f>EXP(A3257-0.005)-1</x:f>
        <x:v>85.9210295397523</x:v>
      </x:c>
    </x:row>
    <x:row r="3258" ht="20" customHeight="1">
      <x:c r="A3258" s="256" t="n">
        <x:f>-12+1648*0.01</x:f>
        <x:v>4.48</x:v>
      </x:c>
      <x:c r="B3258" s="256" t="n">
        <x:f>IF(COUNT($B$129:$L$129)=11,B$129*EXP(IF(A3258&lt;0,(10-0)*A3258,-0*A3258))+C$129*EXP(IF(A3258&lt;0,(10-1)*A3258,-1*A3258))+D$129*EXP(IF(A3258&lt;0,(10-2)*A3258,-2*A3258))+E$129*EXP(IF(A3258&lt;0,(10-3)*A3258,-3*A3258))+F$129*EXP(IF(A3258&lt;0,(10-4)*A3258,-4*A3258))+G$129*EXP(IF(A3258&lt;0,(10-5)*A3258,-5*A3258))+H$129*EXP(IF(A3258&lt;0,(10-6)*A3258,-6*A3258))+I$129*EXP(IF(A3258&lt;0,(10-7)*A3258,-7*A3258))+J$129*EXP(IF(A3258&lt;0,(10-8)*A3258,-8*A3258))+K$129*EXP(IF(A3258&lt;0,(10-9)*A3258,-9*A3258))+L$129*EXP(IF(A3258&lt;0,(10-10)*A3258,-10*A3258)),0)</x:f>
        <x:v>-190093.17335613145</x:v>
      </x:c>
      <x:c r="C3258" s="256" t="n">
        <x:f>IF(B3258=0,IF(B3257=0,0,1),IF(B3257=0,0,IF(SIGN(B3258)&lt;&gt;SIGN(B3257),1,0)))</x:f>
        <x:v>0</x:v>
      </x:c>
      <x:c r="D3258" s="256" t="n">
        <x:f>EXP(A3258-0.005)-1</x:f>
        <x:v>86.79460040975485</x:v>
      </x:c>
    </x:row>
    <x:row r="3259" ht="20" customHeight="1">
      <x:c r="A3259" s="256" t="n">
        <x:f>-12+1649*0.01</x:f>
        <x:v>4.490000000000002</x:v>
      </x:c>
      <x:c r="B3259" s="256" t="n">
        <x:f>IF(COUNT($B$129:$L$129)=11,B$129*EXP(IF(A3259&lt;0,(10-0)*A3259,-0*A3259))+C$129*EXP(IF(A3259&lt;0,(10-1)*A3259,-1*A3259))+D$129*EXP(IF(A3259&lt;0,(10-2)*A3259,-2*A3259))+E$129*EXP(IF(A3259&lt;0,(10-3)*A3259,-3*A3259))+F$129*EXP(IF(A3259&lt;0,(10-4)*A3259,-4*A3259))+G$129*EXP(IF(A3259&lt;0,(10-5)*A3259,-5*A3259))+H$129*EXP(IF(A3259&lt;0,(10-6)*A3259,-6*A3259))+I$129*EXP(IF(A3259&lt;0,(10-7)*A3259,-7*A3259))+J$129*EXP(IF(A3259&lt;0,(10-8)*A3259,-8*A3259))+K$129*EXP(IF(A3259&lt;0,(10-9)*A3259,-9*A3259))+L$129*EXP(IF(A3259&lt;0,(10-10)*A3259,-10*A3259)),0)</x:f>
        <x:v>-190092.23865418904</x:v>
      </x:c>
      <x:c r="C3259" s="256" t="n">
        <x:f>IF(B3259=0,IF(B3258=0,0,1),IF(B3258=0,0,IF(SIGN(B3259)&lt;&gt;SIGN(B3258),1,0)))</x:f>
        <x:v>0</x:v>
      </x:c>
      <x:c r="D3259" s="256" t="n">
        <x:f>EXP(A3259-0.005)-1</x:f>
        <x:v>87.6769508129608</x:v>
      </x:c>
    </x:row>
    <x:row r="3260" ht="20" customHeight="1">
      <x:c r="A3260" s="256" t="n">
        <x:f>-12+1650*0.01</x:f>
        <x:v>4.5</x:v>
      </x:c>
      <x:c r="B3260" s="256" t="n">
        <x:f>IF(COUNT($B$129:$L$129)=11,B$129*EXP(IF(A3260&lt;0,(10-0)*A3260,-0*A3260))+C$129*EXP(IF(A3260&lt;0,(10-1)*A3260,-1*A3260))+D$129*EXP(IF(A3260&lt;0,(10-2)*A3260,-2*A3260))+E$129*EXP(IF(A3260&lt;0,(10-3)*A3260,-3*A3260))+F$129*EXP(IF(A3260&lt;0,(10-4)*A3260,-4*A3260))+G$129*EXP(IF(A3260&lt;0,(10-5)*A3260,-5*A3260))+H$129*EXP(IF(A3260&lt;0,(10-6)*A3260,-6*A3260))+I$129*EXP(IF(A3260&lt;0,(10-7)*A3260,-7*A3260))+J$129*EXP(IF(A3260&lt;0,(10-8)*A3260,-8*A3260))+K$129*EXP(IF(A3260&lt;0,(10-9)*A3260,-9*A3260))+L$129*EXP(IF(A3260&lt;0,(10-10)*A3260,-10*A3260)),0)</x:f>
        <x:v>-190091.3134044226</x:v>
      </x:c>
      <x:c r="C3260" s="256" t="n">
        <x:f>IF(B3260=0,IF(B3259=0,0,1),IF(B3259=0,0,IF(SIGN(B3260)&lt;&gt;SIGN(B3259),1,0)))</x:f>
        <x:v>0</x:v>
      </x:c>
      <x:c r="D3260" s="256" t="n">
        <x:f>EXP(A3260-0.005)-1</x:f>
        <x:v>88.56816898514542</x:v>
      </x:c>
    </x:row>
    <x:row r="3261" ht="20" customHeight="1">
      <x:c r="A3261" s="256" t="n">
        <x:f>-12+1651*0.01</x:f>
        <x:v>4.510000000000002</x:v>
      </x:c>
      <x:c r="B3261" s="256" t="n">
        <x:f>IF(COUNT($B$129:$L$129)=11,B$129*EXP(IF(A3261&lt;0,(10-0)*A3261,-0*A3261))+C$129*EXP(IF(A3261&lt;0,(10-1)*A3261,-1*A3261))+D$129*EXP(IF(A3261&lt;0,(10-2)*A3261,-2*A3261))+E$129*EXP(IF(A3261&lt;0,(10-3)*A3261,-3*A3261))+F$129*EXP(IF(A3261&lt;0,(10-4)*A3261,-4*A3261))+G$129*EXP(IF(A3261&lt;0,(10-5)*A3261,-5*A3261))+H$129*EXP(IF(A3261&lt;0,(10-6)*A3261,-6*A3261))+I$129*EXP(IF(A3261&lt;0,(10-7)*A3261,-7*A3261))+J$129*EXP(IF(A3261&lt;0,(10-8)*A3261,-8*A3261))+K$129*EXP(IF(A3261&lt;0,(10-9)*A3261,-9*A3261))+L$129*EXP(IF(A3261&lt;0,(10-10)*A3261,-10*A3261)),0)</x:f>
        <x:v>-190090.39750974663</x:v>
      </x:c>
      <x:c r="C3261" s="256" t="n">
        <x:f>IF(B3261=0,IF(B3260=0,0,1),IF(B3260=0,0,IF(SIGN(B3261)&lt;&gt;SIGN(B3260),1,0)))</x:f>
        <x:v>0</x:v>
      </x:c>
      <x:c r="D3261" s="256" t="n">
        <x:f>EXP(A3261-0.005)-1</x:f>
        <x:v>89.46834404886927</x:v>
      </x:c>
    </x:row>
    <x:row r="3262" ht="20" customHeight="1">
      <x:c r="A3262" s="256" t="n">
        <x:f>-12+1652*0.01</x:f>
        <x:v>4.52</x:v>
      </x:c>
      <x:c r="B3262" s="256" t="n">
        <x:f>IF(COUNT($B$129:$L$129)=11,B$129*EXP(IF(A3262&lt;0,(10-0)*A3262,-0*A3262))+C$129*EXP(IF(A3262&lt;0,(10-1)*A3262,-1*A3262))+D$129*EXP(IF(A3262&lt;0,(10-2)*A3262,-2*A3262))+E$129*EXP(IF(A3262&lt;0,(10-3)*A3262,-3*A3262))+F$129*EXP(IF(A3262&lt;0,(10-4)*A3262,-4*A3262))+G$129*EXP(IF(A3262&lt;0,(10-5)*A3262,-5*A3262))+H$129*EXP(IF(A3262&lt;0,(10-6)*A3262,-6*A3262))+I$129*EXP(IF(A3262&lt;0,(10-7)*A3262,-7*A3262))+J$129*EXP(IF(A3262&lt;0,(10-8)*A3262,-8*A3262))+K$129*EXP(IF(A3262&lt;0,(10-9)*A3262,-9*A3262))+L$129*EXP(IF(A3262&lt;0,(10-10)*A3262,-10*A3262)),0)</x:f>
        <x:v>-190089.4908741027</x:v>
      </x:c>
      <x:c r="C3262" s="256" t="n">
        <x:f>IF(B3262=0,IF(B3261=0,0,1),IF(B3261=0,0,IF(SIGN(B3262)&lt;&gt;SIGN(B3261),1,0)))</x:f>
        <x:v>0</x:v>
      </x:c>
      <x:c r="D3262" s="256" t="n">
        <x:f>EXP(A3262-0.005)-1</x:f>
        <x:v>90.37756602238824</x:v>
      </x:c>
    </x:row>
    <x:row r="3263" ht="20" customHeight="1">
      <x:c r="A3263" s="256" t="n">
        <x:f>-12+1653*0.01</x:f>
        <x:v>4.530000000000001</x:v>
      </x:c>
      <x:c r="B3263" s="256" t="n">
        <x:f>IF(COUNT($B$129:$L$129)=11,B$129*EXP(IF(A3263&lt;0,(10-0)*A3263,-0*A3263))+C$129*EXP(IF(A3263&lt;0,(10-1)*A3263,-1*A3263))+D$129*EXP(IF(A3263&lt;0,(10-2)*A3263,-2*A3263))+E$129*EXP(IF(A3263&lt;0,(10-3)*A3263,-3*A3263))+F$129*EXP(IF(A3263&lt;0,(10-4)*A3263,-4*A3263))+G$129*EXP(IF(A3263&lt;0,(10-5)*A3263,-5*A3263))+H$129*EXP(IF(A3263&lt;0,(10-6)*A3263,-6*A3263))+I$129*EXP(IF(A3263&lt;0,(10-7)*A3263,-7*A3263))+J$129*EXP(IF(A3263&lt;0,(10-8)*A3263,-8*A3263))+K$129*EXP(IF(A3263&lt;0,(10-9)*A3263,-9*A3263))+L$129*EXP(IF(A3263&lt;0,(10-10)*A3263,-10*A3263)),0)</x:f>
        <x:v>-190088.59340244788</x:v>
      </x:c>
      <x:c r="C3263" s="256" t="n">
        <x:f>IF(B3263=0,IF(B3262=0,0,1),IF(B3262=0,0,IF(SIGN(B3263)&lt;&gt;SIGN(B3262),1,0)))</x:f>
        <x:v>0</x:v>
      </x:c>
      <x:c r="D3263" s="256" t="n">
        <x:f>EXP(A3263-0.005)-1</x:f>
        <x:v>91.29592582865797</x:v>
      </x:c>
    </x:row>
    <x:row r="3264" ht="20" customHeight="1">
      <x:c r="A3264" s="256" t="n">
        <x:f>-12+1654*0.01</x:f>
        <x:v>4.539999999999999</x:v>
      </x:c>
      <x:c r="B3264" s="256" t="n">
        <x:f>IF(COUNT($B$129:$L$129)=11,B$129*EXP(IF(A3264&lt;0,(10-0)*A3264,-0*A3264))+C$129*EXP(IF(A3264&lt;0,(10-1)*A3264,-1*A3264))+D$129*EXP(IF(A3264&lt;0,(10-2)*A3264,-2*A3264))+E$129*EXP(IF(A3264&lt;0,(10-3)*A3264,-3*A3264))+F$129*EXP(IF(A3264&lt;0,(10-4)*A3264,-4*A3264))+G$129*EXP(IF(A3264&lt;0,(10-5)*A3264,-5*A3264))+H$129*EXP(IF(A3264&lt;0,(10-6)*A3264,-6*A3264))+I$129*EXP(IF(A3264&lt;0,(10-7)*A3264,-7*A3264))+J$129*EXP(IF(A3264&lt;0,(10-8)*A3264,-8*A3264))+K$129*EXP(IF(A3264&lt;0,(10-9)*A3264,-9*A3264))+L$129*EXP(IF(A3264&lt;0,(10-10)*A3264,-10*A3264)),0)</x:f>
        <x:v>-190087.70500074344</x:v>
      </x:c>
      <x:c r="C3264" s="256" t="n">
        <x:f>IF(B3264=0,IF(B3263=0,0,1),IF(B3263=0,0,IF(SIGN(B3264)&lt;&gt;SIGN(B3263),1,0)))</x:f>
        <x:v>0</x:v>
      </x:c>
      <x:c r="D3264" s="256" t="n">
        <x:f>EXP(A3264-0.005)-1</x:f>
        <x:v>92.22351530442378</x:v>
      </x:c>
    </x:row>
    <x:row r="3265" ht="20" customHeight="1">
      <x:c r="A3265" s="256" t="n">
        <x:f>-12+1655*0.01</x:f>
        <x:v>4.550000000000001</x:v>
      </x:c>
      <x:c r="B3265" s="256" t="n">
        <x:f>IF(COUNT($B$129:$L$129)=11,B$129*EXP(IF(A3265&lt;0,(10-0)*A3265,-0*A3265))+C$129*EXP(IF(A3265&lt;0,(10-1)*A3265,-1*A3265))+D$129*EXP(IF(A3265&lt;0,(10-2)*A3265,-2*A3265))+E$129*EXP(IF(A3265&lt;0,(10-3)*A3265,-3*A3265))+F$129*EXP(IF(A3265&lt;0,(10-4)*A3265,-4*A3265))+G$129*EXP(IF(A3265&lt;0,(10-5)*A3265,-5*A3265))+H$129*EXP(IF(A3265&lt;0,(10-6)*A3265,-6*A3265))+I$129*EXP(IF(A3265&lt;0,(10-7)*A3265,-7*A3265))+J$129*EXP(IF(A3265&lt;0,(10-8)*A3265,-8*A3265))+K$129*EXP(IF(A3265&lt;0,(10-9)*A3265,-9*A3265))+L$129*EXP(IF(A3265&lt;0,(10-10)*A3265,-10*A3265)),0)</x:f>
        <x:v>-190086.82557594395</x:v>
      </x:c>
      <x:c r="C3265" s="256" t="n">
        <x:f>IF(B3265=0,IF(B3264=0,0,1),IF(B3264=0,0,IF(SIGN(B3265)&lt;&gt;SIGN(B3264),1,0)))</x:f>
        <x:v>0</x:v>
      </x:c>
      <x:c r="D3265" s="256" t="n">
        <x:f>EXP(A3265-0.005)-1</x:f>
        <x:v>93.16042720940689</x:v>
      </x:c>
    </x:row>
    <x:row r="3266" ht="20" customHeight="1">
      <x:c r="A3266" s="256" t="n">
        <x:f>-12+1656*0.01</x:f>
        <x:v>4.559999999999999</x:v>
      </x:c>
      <x:c r="B3266" s="256" t="n">
        <x:f>IF(COUNT($B$129:$L$129)=11,B$129*EXP(IF(A3266&lt;0,(10-0)*A3266,-0*A3266))+C$129*EXP(IF(A3266&lt;0,(10-1)*A3266,-1*A3266))+D$129*EXP(IF(A3266&lt;0,(10-2)*A3266,-2*A3266))+E$129*EXP(IF(A3266&lt;0,(10-3)*A3266,-3*A3266))+F$129*EXP(IF(A3266&lt;0,(10-4)*A3266,-4*A3266))+G$129*EXP(IF(A3266&lt;0,(10-5)*A3266,-5*A3266))+H$129*EXP(IF(A3266&lt;0,(10-6)*A3266,-6*A3266))+I$129*EXP(IF(A3266&lt;0,(10-7)*A3266,-7*A3266))+J$129*EXP(IF(A3266&lt;0,(10-8)*A3266,-8*A3266))+K$129*EXP(IF(A3266&lt;0,(10-9)*A3266,-9*A3266))+L$129*EXP(IF(A3266&lt;0,(10-10)*A3266,-10*A3266)),0)</x:f>
        <x:v>-190085.95503598562</x:v>
      </x:c>
      <x:c r="C3266" s="256" t="n">
        <x:f>IF(B3266=0,IF(B3265=0,0,1),IF(B3265=0,0,IF(SIGN(B3266)&lt;&gt;SIGN(B3265),1,0)))</x:f>
        <x:v>0</x:v>
      </x:c>
      <x:c r="D3266" s="256" t="n">
        <x:f>EXP(A3266-0.005)-1</x:f>
        <x:v>94.10675523557788</x:v>
      </x:c>
    </x:row>
    <x:row r="3267" ht="20" customHeight="1">
      <x:c r="A3267" s="256" t="n">
        <x:f>-12+1657*0.01</x:f>
        <x:v>4.57</x:v>
      </x:c>
      <x:c r="B3267" s="256" t="n">
        <x:f>IF(COUNT($B$129:$L$129)=11,B$129*EXP(IF(A3267&lt;0,(10-0)*A3267,-0*A3267))+C$129*EXP(IF(A3267&lt;0,(10-1)*A3267,-1*A3267))+D$129*EXP(IF(A3267&lt;0,(10-2)*A3267,-2*A3267))+E$129*EXP(IF(A3267&lt;0,(10-3)*A3267,-3*A3267))+F$129*EXP(IF(A3267&lt;0,(10-4)*A3267,-4*A3267))+G$129*EXP(IF(A3267&lt;0,(10-5)*A3267,-5*A3267))+H$129*EXP(IF(A3267&lt;0,(10-6)*A3267,-6*A3267))+I$129*EXP(IF(A3267&lt;0,(10-7)*A3267,-7*A3267))+J$129*EXP(IF(A3267&lt;0,(10-8)*A3267,-8*A3267))+K$129*EXP(IF(A3267&lt;0,(10-9)*A3267,-9*A3267))+L$129*EXP(IF(A3267&lt;0,(10-10)*A3267,-10*A3267)),0)</x:f>
        <x:v>-190085.09328977606</x:v>
      </x:c>
      <x:c r="C3267" s="256" t="n">
        <x:f>IF(B3267=0,IF(B3266=0,0,1),IF(B3266=0,0,IF(SIGN(B3267)&lt;&gt;SIGN(B3266),1,0)))</x:f>
        <x:v>0</x:v>
      </x:c>
      <x:c r="D3267" s="256" t="n">
        <x:f>EXP(A3267-0.005)-1</x:f>
        <x:v>95.06259401652866</x:v>
      </x:c>
    </x:row>
    <x:row r="3268" ht="20" customHeight="1">
      <x:c r="A3268" s="256" t="n">
        <x:f>-12+1658*0.01</x:f>
        <x:v>4.580000000000002</x:v>
      </x:c>
      <x:c r="B3268" s="256" t="n">
        <x:f>IF(COUNT($B$129:$L$129)=11,B$129*EXP(IF(A3268&lt;0,(10-0)*A3268,-0*A3268))+C$129*EXP(IF(A3268&lt;0,(10-1)*A3268,-1*A3268))+D$129*EXP(IF(A3268&lt;0,(10-2)*A3268,-2*A3268))+E$129*EXP(IF(A3268&lt;0,(10-3)*A3268,-3*A3268))+F$129*EXP(IF(A3268&lt;0,(10-4)*A3268,-4*A3268))+G$129*EXP(IF(A3268&lt;0,(10-5)*A3268,-5*A3268))+H$129*EXP(IF(A3268&lt;0,(10-6)*A3268,-6*A3268))+I$129*EXP(IF(A3268&lt;0,(10-7)*A3268,-7*A3268))+J$129*EXP(IF(A3268&lt;0,(10-8)*A3268,-8*A3268))+K$129*EXP(IF(A3268&lt;0,(10-9)*A3268,-9*A3268))+L$129*EXP(IF(A3268&lt;0,(10-10)*A3268,-10*A3268)),0)</x:f>
        <x:v>-190084.24024718307</x:v>
      </x:c>
      <x:c r="C3268" s="256" t="n">
        <x:f>IF(B3268=0,IF(B3267=0,0,1),IF(B3267=0,0,IF(SIGN(B3268)&lt;&gt;SIGN(B3267),1,0)))</x:f>
        <x:v>0</x:v>
      </x:c>
      <x:c r="D3268" s="256" t="n">
        <x:f>EXP(A3268-0.005)-1</x:f>
        <x:v>96.02803913693353</x:v>
      </x:c>
    </x:row>
    <x:row r="3269" ht="20" customHeight="1">
      <x:c r="A3269" s="256" t="n">
        <x:f>-12+1659*0.01</x:f>
        <x:v>4.59</x:v>
      </x:c>
      <x:c r="B3269" s="256" t="n">
        <x:f>IF(COUNT($B$129:$L$129)=11,B$129*EXP(IF(A3269&lt;0,(10-0)*A3269,-0*A3269))+C$129*EXP(IF(A3269&lt;0,(10-1)*A3269,-1*A3269))+D$129*EXP(IF(A3269&lt;0,(10-2)*A3269,-2*A3269))+E$129*EXP(IF(A3269&lt;0,(10-3)*A3269,-3*A3269))+F$129*EXP(IF(A3269&lt;0,(10-4)*A3269,-4*A3269))+G$129*EXP(IF(A3269&lt;0,(10-5)*A3269,-5*A3269))+H$129*EXP(IF(A3269&lt;0,(10-6)*A3269,-6*A3269))+I$129*EXP(IF(A3269&lt;0,(10-7)*A3269,-7*A3269))+J$129*EXP(IF(A3269&lt;0,(10-8)*A3269,-8*A3269))+K$129*EXP(IF(A3269&lt;0,(10-9)*A3269,-9*A3269))+L$129*EXP(IF(A3269&lt;0,(10-10)*A3269,-10*A3269)),0)</x:f>
        <x:v>-190083.39581902424</x:v>
      </x:c>
      <x:c r="C3269" s="256" t="n">
        <x:f>IF(B3269=0,IF(B3268=0,0,1),IF(B3268=0,0,IF(SIGN(B3269)&lt;&gt;SIGN(B3268),1,0)))</x:f>
        <x:v>0</x:v>
      </x:c>
      <x:c r="D3269" s="256" t="n">
        <x:f>EXP(A3269-0.005)-1</x:f>
        <x:v>97.00318714210871</x:v>
      </x:c>
    </x:row>
    <x:row r="3270" ht="20" customHeight="1">
      <x:c r="A3270" s="256" t="n">
        <x:f>-12+1660*0.01</x:f>
        <x:v>4.600000000000001</x:v>
      </x:c>
      <x:c r="B3270" s="256" t="n">
        <x:f>IF(COUNT($B$129:$L$129)=11,B$129*EXP(IF(A3270&lt;0,(10-0)*A3270,-0*A3270))+C$129*EXP(IF(A3270&lt;0,(10-1)*A3270,-1*A3270))+D$129*EXP(IF(A3270&lt;0,(10-2)*A3270,-2*A3270))+E$129*EXP(IF(A3270&lt;0,(10-3)*A3270,-3*A3270))+F$129*EXP(IF(A3270&lt;0,(10-4)*A3270,-4*A3270))+G$129*EXP(IF(A3270&lt;0,(10-5)*A3270,-5*A3270))+H$129*EXP(IF(A3270&lt;0,(10-6)*A3270,-6*A3270))+I$129*EXP(IF(A3270&lt;0,(10-7)*A3270,-7*A3270))+J$129*EXP(IF(A3270&lt;0,(10-8)*A3270,-8*A3270))+K$129*EXP(IF(A3270&lt;0,(10-9)*A3270,-9*A3270))+L$129*EXP(IF(A3270&lt;0,(10-10)*A3270,-10*A3270)),0)</x:f>
        <x:v>-190082.55991705623</x:v>
      </x:c>
      <x:c r="C3270" s="256" t="n">
        <x:f>IF(B3270=0,IF(B3269=0,0,1),IF(B3269=0,0,IF(SIGN(B3270)&lt;&gt;SIGN(B3269),1,0)))</x:f>
        <x:v>0</x:v>
      </x:c>
      <x:c r="D3270" s="256" t="n">
        <x:f>EXP(A3270-0.005)-1</x:f>
        <x:v>97.98813554766805</x:v>
      </x:c>
    </x:row>
    <x:row r="3271" ht="20" customHeight="1">
      <x:c r="A3271" s="256" t="n">
        <x:f>-12+1661*0.01</x:f>
        <x:v>4.609999999999999</x:v>
      </x:c>
      <x:c r="B3271" s="256" t="n">
        <x:f>IF(COUNT($B$129:$L$129)=11,B$129*EXP(IF(A3271&lt;0,(10-0)*A3271,-0*A3271))+C$129*EXP(IF(A3271&lt;0,(10-1)*A3271,-1*A3271))+D$129*EXP(IF(A3271&lt;0,(10-2)*A3271,-2*A3271))+E$129*EXP(IF(A3271&lt;0,(10-3)*A3271,-3*A3271))+F$129*EXP(IF(A3271&lt;0,(10-4)*A3271,-4*A3271))+G$129*EXP(IF(A3271&lt;0,(10-5)*A3271,-5*A3271))+H$129*EXP(IF(A3271&lt;0,(10-6)*A3271,-6*A3271))+I$129*EXP(IF(A3271&lt;0,(10-7)*A3271,-7*A3271))+J$129*EXP(IF(A3271&lt;0,(10-8)*A3271,-8*A3271))+K$129*EXP(IF(A3271&lt;0,(10-9)*A3271,-9*A3271))+L$129*EXP(IF(A3271&lt;0,(10-10)*A3271,-10*A3271)),0)</x:f>
        <x:v>-190081.7324539646</x:v>
      </x:c>
      <x:c r="C3271" s="256" t="n">
        <x:f>IF(B3271=0,IF(B3270=0,0,1),IF(B3270=0,0,IF(SIGN(B3271)&lt;&gt;SIGN(B3270),1,0)))</x:f>
        <x:v>0</x:v>
      </x:c>
      <x:c r="D3271" s="256" t="n">
        <x:f>EXP(A3271-0.005)-1</x:f>
        <x:v>98.98298284927219</x:v>
      </x:c>
    </x:row>
    <x:row r="3272" ht="20" customHeight="1">
      <x:c r="A3272" s="256" t="n">
        <x:f>-12+1662*0.01</x:f>
        <x:v>4.620000000000001</x:v>
      </x:c>
      <x:c r="B3272" s="256" t="n">
        <x:f>IF(COUNT($B$129:$L$129)=11,B$129*EXP(IF(A3272&lt;0,(10-0)*A3272,-0*A3272))+C$129*EXP(IF(A3272&lt;0,(10-1)*A3272,-1*A3272))+D$129*EXP(IF(A3272&lt;0,(10-2)*A3272,-2*A3272))+E$129*EXP(IF(A3272&lt;0,(10-3)*A3272,-3*A3272))+F$129*EXP(IF(A3272&lt;0,(10-4)*A3272,-4*A3272))+G$129*EXP(IF(A3272&lt;0,(10-5)*A3272,-5*A3272))+H$129*EXP(IF(A3272&lt;0,(10-6)*A3272,-6*A3272))+I$129*EXP(IF(A3272&lt;0,(10-7)*A3272,-7*A3272))+J$129*EXP(IF(A3272&lt;0,(10-8)*A3272,-8*A3272))+K$129*EXP(IF(A3272&lt;0,(10-9)*A3272,-9*A3272))+L$129*EXP(IF(A3272&lt;0,(10-10)*A3272,-10*A3272)),0)</x:f>
        <x:v>-190080.91334335326</x:v>
      </x:c>
      <x:c r="C3272" s="256" t="n">
        <x:f>IF(B3272=0,IF(B3271=0,0,1),IF(B3271=0,0,IF(SIGN(B3272)&lt;&gt;SIGN(B3271),1,0)))</x:f>
        <x:v>0</x:v>
      </x:c>
      <x:c r="D3272" s="256" t="n">
        <x:f>EXP(A3272-0.005)-1</x:f>
        <x:v>99.98782853248105</x:v>
      </x:c>
    </x:row>
    <x:row r="3273" ht="20" customHeight="1">
      <x:c r="A3273" s="256" t="n">
        <x:f>-12+1663*0.01</x:f>
        <x:v>4.629999999999999</x:v>
      </x:c>
      <x:c r="B3273" s="256" t="n">
        <x:f>IF(COUNT($B$129:$L$129)=11,B$129*EXP(IF(A3273&lt;0,(10-0)*A3273,-0*A3273))+C$129*EXP(IF(A3273&lt;0,(10-1)*A3273,-1*A3273))+D$129*EXP(IF(A3273&lt;0,(10-2)*A3273,-2*A3273))+E$129*EXP(IF(A3273&lt;0,(10-3)*A3273,-3*A3273))+F$129*EXP(IF(A3273&lt;0,(10-4)*A3273,-4*A3273))+G$129*EXP(IF(A3273&lt;0,(10-5)*A3273,-5*A3273))+H$129*EXP(IF(A3273&lt;0,(10-6)*A3273,-6*A3273))+I$129*EXP(IF(A3273&lt;0,(10-7)*A3273,-7*A3273))+J$129*EXP(IF(A3273&lt;0,(10-8)*A3273,-8*A3273))+K$129*EXP(IF(A3273&lt;0,(10-9)*A3273,-9*A3273))+L$129*EXP(IF(A3273&lt;0,(10-10)*A3273,-10*A3273)),0)</x:f>
        <x:v>-190080.10249973467</x:v>
      </x:c>
      <x:c r="C3273" s="256" t="n">
        <x:f>IF(B3273=0,IF(B3272=0,0,1),IF(B3272=0,0,IF(SIGN(B3273)&lt;&gt;SIGN(B3272),1,0)))</x:f>
        <x:v>0</x:v>
      </x:c>
      <x:c r="D3273" s="256" t="n">
        <x:f>EXP(A3273-0.005)-1</x:f>
        <x:v>101.00277308269959</x:v>
      </x:c>
    </x:row>
    <x:row r="3274" ht="20" customHeight="1">
      <x:c r="A3274" s="256" t="n">
        <x:f>-12+1664*0.01</x:f>
        <x:v>4.640000000000001</x:v>
      </x:c>
      <x:c r="B3274" s="256" t="n">
        <x:f>IF(COUNT($B$129:$L$129)=11,B$129*EXP(IF(A3274&lt;0,(10-0)*A3274,-0*A3274))+C$129*EXP(IF(A3274&lt;0,(10-1)*A3274,-1*A3274))+D$129*EXP(IF(A3274&lt;0,(10-2)*A3274,-2*A3274))+E$129*EXP(IF(A3274&lt;0,(10-3)*A3274,-3*A3274))+F$129*EXP(IF(A3274&lt;0,(10-4)*A3274,-4*A3274))+G$129*EXP(IF(A3274&lt;0,(10-5)*A3274,-5*A3274))+H$129*EXP(IF(A3274&lt;0,(10-6)*A3274,-6*A3274))+I$129*EXP(IF(A3274&lt;0,(10-7)*A3274,-7*A3274))+J$129*EXP(IF(A3274&lt;0,(10-8)*A3274,-8*A3274))+K$129*EXP(IF(A3274&lt;0,(10-9)*A3274,-9*A3274))+L$129*EXP(IF(A3274&lt;0,(10-10)*A3274,-10*A3274)),0)</x:f>
        <x:v>-190079.2998385195</x:v>
      </x:c>
      <x:c r="C3274" s="256" t="n">
        <x:f>IF(B3274=0,IF(B3273=0,0,1),IF(B3273=0,0,IF(SIGN(B3274)&lt;&gt;SIGN(B3273),1,0)))</x:f>
        <x:v>0</x:v>
      </x:c>
      <x:c r="D3274" s="256" t="n">
        <x:f>EXP(A3274-0.005)-1</x:f>
        <x:v>102.02791799522936</x:v>
      </x:c>
    </x:row>
    <x:row r="3275" ht="20" customHeight="1">
      <x:c r="A3275" s="256" t="n">
        <x:f>-12+1665*0.01</x:f>
        <x:v>4.649999999999999</x:v>
      </x:c>
      <x:c r="B3275" s="256" t="n">
        <x:f>IF(COUNT($B$129:$L$129)=11,B$129*EXP(IF(A3275&lt;0,(10-0)*A3275,-0*A3275))+C$129*EXP(IF(A3275&lt;0,(10-1)*A3275,-1*A3275))+D$129*EXP(IF(A3275&lt;0,(10-2)*A3275,-2*A3275))+E$129*EXP(IF(A3275&lt;0,(10-3)*A3275,-3*A3275))+F$129*EXP(IF(A3275&lt;0,(10-4)*A3275,-4*A3275))+G$129*EXP(IF(A3275&lt;0,(10-5)*A3275,-5*A3275))+H$129*EXP(IF(A3275&lt;0,(10-6)*A3275,-6*A3275))+I$129*EXP(IF(A3275&lt;0,(10-7)*A3275,-7*A3275))+J$129*EXP(IF(A3275&lt;0,(10-8)*A3275,-8*A3275))+K$129*EXP(IF(A3275&lt;0,(10-9)*A3275,-9*A3275))+L$129*EXP(IF(A3275&lt;0,(10-10)*A3275,-10*A3275)),0)</x:f>
        <x:v>-190078.505276007</x:v>
      </x:c>
      <x:c r="C3275" s="256" t="n">
        <x:f>IF(B3275=0,IF(B3274=0,0,1),IF(B3274=0,0,IF(SIGN(B3275)&lt;&gt;SIGN(B3274),1,0)))</x:f>
        <x:v>0</x:v>
      </x:c>
      <x:c r="D3275" s="256" t="n">
        <x:f>EXP(A3275-0.005)-1</x:f>
        <x:v>103.06336578541519</x:v>
      </x:c>
    </x:row>
    <x:row r="3276" ht="20" customHeight="1">
      <x:c r="A3276" s="256" t="n">
        <x:f>-12+1666*0.01</x:f>
        <x:v>4.66</x:v>
      </x:c>
      <x:c r="B3276" s="256" t="n">
        <x:f>IF(COUNT($B$129:$L$129)=11,B$129*EXP(IF(A3276&lt;0,(10-0)*A3276,-0*A3276))+C$129*EXP(IF(A3276&lt;0,(10-1)*A3276,-1*A3276))+D$129*EXP(IF(A3276&lt;0,(10-2)*A3276,-2*A3276))+E$129*EXP(IF(A3276&lt;0,(10-3)*A3276,-3*A3276))+F$129*EXP(IF(A3276&lt;0,(10-4)*A3276,-4*A3276))+G$129*EXP(IF(A3276&lt;0,(10-5)*A3276,-5*A3276))+H$129*EXP(IF(A3276&lt;0,(10-6)*A3276,-6*A3276))+I$129*EXP(IF(A3276&lt;0,(10-7)*A3276,-7*A3276))+J$129*EXP(IF(A3276&lt;0,(10-8)*A3276,-8*A3276))+K$129*EXP(IF(A3276&lt;0,(10-9)*A3276,-9*A3276))+L$129*EXP(IF(A3276&lt;0,(10-10)*A3276,-10*A3276)),0)</x:f>
        <x:v>-190077.71872937484</x:v>
      </x:c>
      <x:c r="C3276" s="256" t="n">
        <x:f>IF(B3276=0,IF(B3275=0,0,1),IF(B3275=0,0,IF(SIGN(B3276)&lt;&gt;SIGN(B3275),1,0)))</x:f>
        <x:v>0</x:v>
      </x:c>
      <x:c r="D3276" s="256" t="n">
        <x:f>EXP(A3276-0.005)-1</x:f>
        <x:v>104.10921999889966</x:v>
      </x:c>
    </x:row>
    <x:row r="3277" ht="20" customHeight="1">
      <x:c r="A3277" s="256" t="n">
        <x:f>-12+1667*0.01</x:f>
        <x:v>4.670000000000002</x:v>
      </x:c>
      <x:c r="B3277" s="256" t="n">
        <x:f>IF(COUNT($B$129:$L$129)=11,B$129*EXP(IF(A3277&lt;0,(10-0)*A3277,-0*A3277))+C$129*EXP(IF(A3277&lt;0,(10-1)*A3277,-1*A3277))+D$129*EXP(IF(A3277&lt;0,(10-2)*A3277,-2*A3277))+E$129*EXP(IF(A3277&lt;0,(10-3)*A3277,-3*A3277))+F$129*EXP(IF(A3277&lt;0,(10-4)*A3277,-4*A3277))+G$129*EXP(IF(A3277&lt;0,(10-5)*A3277,-5*A3277))+H$129*EXP(IF(A3277&lt;0,(10-6)*A3277,-6*A3277))+I$129*EXP(IF(A3277&lt;0,(10-7)*A3277,-7*A3277))+J$129*EXP(IF(A3277&lt;0,(10-8)*A3277,-8*A3277))+K$129*EXP(IF(A3277&lt;0,(10-9)*A3277,-9*A3277))+L$129*EXP(IF(A3277&lt;0,(10-10)*A3277,-10*A3277)),0)</x:f>
        <x:v>-190076.94011667007</x:v>
      </x:c>
      <x:c r="C3277" s="256" t="n">
        <x:f>IF(B3277=0,IF(B3276=0,0,1),IF(B3276=0,0,IF(SIGN(B3277)&lt;&gt;SIGN(B3276),1,0)))</x:f>
        <x:v>0</x:v>
      </x:c>
      <x:c r="D3277" s="256" t="n">
        <x:f>EXP(A3277-0.005)-1</x:f>
        <x:v>105.16558522197535</x:v>
      </x:c>
    </x:row>
    <x:row r="3278" ht="20" customHeight="1">
      <x:c r="A3278" s="256" t="n">
        <x:f>-12+1668*0.01</x:f>
        <x:v>4.68</x:v>
      </x:c>
      <x:c r="B3278" s="256" t="n">
        <x:f>IF(COUNT($B$129:$L$129)=11,B$129*EXP(IF(A3278&lt;0,(10-0)*A3278,-0*A3278))+C$129*EXP(IF(A3278&lt;0,(10-1)*A3278,-1*A3278))+D$129*EXP(IF(A3278&lt;0,(10-2)*A3278,-2*A3278))+E$129*EXP(IF(A3278&lt;0,(10-3)*A3278,-3*A3278))+F$129*EXP(IF(A3278&lt;0,(10-4)*A3278,-4*A3278))+G$129*EXP(IF(A3278&lt;0,(10-5)*A3278,-5*A3278))+H$129*EXP(IF(A3278&lt;0,(10-6)*A3278,-6*A3278))+I$129*EXP(IF(A3278&lt;0,(10-7)*A3278,-7*A3278))+J$129*EXP(IF(A3278&lt;0,(10-8)*A3278,-8*A3278))+K$129*EXP(IF(A3278&lt;0,(10-9)*A3278,-9*A3278))+L$129*EXP(IF(A3278&lt;0,(10-10)*A3278,-10*A3278)),0)</x:f>
        <x:v>-190076.16935679875</x:v>
      </x:c>
      <x:c r="C3278" s="256" t="n">
        <x:f>IF(B3278=0,IF(B3277=0,0,1),IF(B3277=0,0,IF(SIGN(B3278)&lt;&gt;SIGN(B3277),1,0)))</x:f>
        <x:v>0</x:v>
      </x:c>
      <x:c r="D3278" s="256" t="n">
        <x:f>EXP(A3278-0.005)-1</x:f>
        <x:v>106.23256709204448</x:v>
      </x:c>
    </x:row>
    <x:row r="3279" ht="20" customHeight="1">
      <x:c r="A3279" s="256" t="n">
        <x:f>-12+1669*0.01</x:f>
        <x:v>4.690000000000001</x:v>
      </x:c>
      <x:c r="B3279" s="256" t="n">
        <x:f>IF(COUNT($B$129:$L$129)=11,B$129*EXP(IF(A3279&lt;0,(10-0)*A3279,-0*A3279))+C$129*EXP(IF(A3279&lt;0,(10-1)*A3279,-1*A3279))+D$129*EXP(IF(A3279&lt;0,(10-2)*A3279,-2*A3279))+E$129*EXP(IF(A3279&lt;0,(10-3)*A3279,-3*A3279))+F$129*EXP(IF(A3279&lt;0,(10-4)*A3279,-4*A3279))+G$129*EXP(IF(A3279&lt;0,(10-5)*A3279,-5*A3279))+H$129*EXP(IF(A3279&lt;0,(10-6)*A3279,-6*A3279))+I$129*EXP(IF(A3279&lt;0,(10-7)*A3279,-7*A3279))+J$129*EXP(IF(A3279&lt;0,(10-8)*A3279,-8*A3279))+K$129*EXP(IF(A3279&lt;0,(10-9)*A3279,-9*A3279))+L$129*EXP(IF(A3279&lt;0,(10-10)*A3279,-10*A3279)),0)</x:f>
        <x:v>-190075.4063695172</x:v>
      </x:c>
      <x:c r="C3279" s="256" t="n">
        <x:f>IF(B3279=0,IF(B3278=0,0,1),IF(B3278=0,0,IF(SIGN(B3279)&lt;&gt;SIGN(B3278),1,0)))</x:f>
        <x:v>0</x:v>
      </x:c>
      <x:c r="D3279" s="256" t="n">
        <x:f>EXP(A3279-0.005)-1</x:f>
        <x:v>107.31027230818395</x:v>
      </x:c>
    </x:row>
    <x:row r="3280" ht="20" customHeight="1">
      <x:c r="A3280" s="256" t="n">
        <x:f>-12+1670*0.01</x:f>
        <x:v>4.699999999999999</x:v>
      </x:c>
      <x:c r="B3280" s="256" t="n">
        <x:f>IF(COUNT($B$129:$L$129)=11,B$129*EXP(IF(A3280&lt;0,(10-0)*A3280,-0*A3280))+C$129*EXP(IF(A3280&lt;0,(10-1)*A3280,-1*A3280))+D$129*EXP(IF(A3280&lt;0,(10-2)*A3280,-2*A3280))+E$129*EXP(IF(A3280&lt;0,(10-3)*A3280,-3*A3280))+F$129*EXP(IF(A3280&lt;0,(10-4)*A3280,-4*A3280))+G$129*EXP(IF(A3280&lt;0,(10-5)*A3280,-5*A3280))+H$129*EXP(IF(A3280&lt;0,(10-6)*A3280,-6*A3280))+I$129*EXP(IF(A3280&lt;0,(10-7)*A3280,-7*A3280))+J$129*EXP(IF(A3280&lt;0,(10-8)*A3280,-8*A3280))+K$129*EXP(IF(A3280&lt;0,(10-9)*A3280,-9*A3280))+L$129*EXP(IF(A3280&lt;0,(10-10)*A3280,-10*A3280)),0)</x:f>
        <x:v>-190074.65107542247</x:v>
      </x:c>
      <x:c r="C3280" s="256" t="n">
        <x:f>IF(B3280=0,IF(B3279=0,0,1),IF(B3279=0,0,IF(SIGN(B3280)&lt;&gt;SIGN(B3279),1,0)))</x:f>
        <x:v>0</x:v>
      </x:c>
      <x:c r="D3280" s="256" t="n">
        <x:f>EXP(A3280-0.005)-1</x:f>
        <x:v>108.39880864181272</x:v>
      </x:c>
    </x:row>
    <x:row r="3281" ht="20" customHeight="1">
      <x:c r="A3281" s="256" t="n">
        <x:f>-12+1671*0.01</x:f>
        <x:v>4.710000000000001</x:v>
      </x:c>
      <x:c r="B3281" s="256" t="n">
        <x:f>IF(COUNT($B$129:$L$129)=11,B$129*EXP(IF(A3281&lt;0,(10-0)*A3281,-0*A3281))+C$129*EXP(IF(A3281&lt;0,(10-1)*A3281,-1*A3281))+D$129*EXP(IF(A3281&lt;0,(10-2)*A3281,-2*A3281))+E$129*EXP(IF(A3281&lt;0,(10-3)*A3281,-3*A3281))+F$129*EXP(IF(A3281&lt;0,(10-4)*A3281,-4*A3281))+G$129*EXP(IF(A3281&lt;0,(10-5)*A3281,-5*A3281))+H$129*EXP(IF(A3281&lt;0,(10-6)*A3281,-6*A3281))+I$129*EXP(IF(A3281&lt;0,(10-7)*A3281,-7*A3281))+J$129*EXP(IF(A3281&lt;0,(10-8)*A3281,-8*A3281))+K$129*EXP(IF(A3281&lt;0,(10-9)*A3281,-9*A3281))+L$129*EXP(IF(A3281&lt;0,(10-10)*A3281,-10*A3281)),0)</x:f>
        <x:v>-190073.90339594288</x:v>
      </x:c>
      <x:c r="C3281" s="256" t="n">
        <x:f>IF(B3281=0,IF(B3280=0,0,1),IF(B3280=0,0,IF(SIGN(B3281)&lt;&gt;SIGN(B3280),1,0)))</x:f>
        <x:v>0</x:v>
      </x:c>
      <x:c r="D3281" s="256" t="n">
        <x:f>EXP(A3281-0.005)-1</x:f>
        <x:v>109.49828494747204</x:v>
      </x:c>
    </x:row>
    <x:row r="3282" ht="20" customHeight="1">
      <x:c r="A3282" s="256" t="n">
        <x:f>-12+1672*0.01</x:f>
        <x:v>4.719999999999999</x:v>
      </x:c>
      <x:c r="B3282" s="256" t="n">
        <x:f>IF(COUNT($B$129:$L$129)=11,B$129*EXP(IF(A3282&lt;0,(10-0)*A3282,-0*A3282))+C$129*EXP(IF(A3282&lt;0,(10-1)*A3282,-1*A3282))+D$129*EXP(IF(A3282&lt;0,(10-2)*A3282,-2*A3282))+E$129*EXP(IF(A3282&lt;0,(10-3)*A3282,-3*A3282))+F$129*EXP(IF(A3282&lt;0,(10-4)*A3282,-4*A3282))+G$129*EXP(IF(A3282&lt;0,(10-5)*A3282,-5*A3282))+H$129*EXP(IF(A3282&lt;0,(10-6)*A3282,-6*A3282))+I$129*EXP(IF(A3282&lt;0,(10-7)*A3282,-7*A3282))+J$129*EXP(IF(A3282&lt;0,(10-8)*A3282,-8*A3282))+K$129*EXP(IF(A3282&lt;0,(10-9)*A3282,-9*A3282))+L$129*EXP(IF(A3282&lt;0,(10-10)*A3282,-10*A3282)),0)</x:f>
        <x:v>-190073.1632533292</x:v>
      </x:c>
      <x:c r="C3282" s="256" t="n">
        <x:f>IF(B3282=0,IF(B3281=0,0,1),IF(B3281=0,0,IF(SIGN(B3282)&lt;&gt;SIGN(B3281),1,0)))</x:f>
        <x:v>0</x:v>
      </x:c>
      <x:c r="D3282" s="256" t="n">
        <x:f>EXP(A3282-0.005)-1</x:f>
        <x:v>110.60881117370792</x:v>
      </x:c>
    </x:row>
    <x:row r="3283" ht="20" customHeight="1">
      <x:c r="A3283" s="256" t="n">
        <x:f>-12+1673*0.01</x:f>
        <x:v>4.73</x:v>
      </x:c>
      <x:c r="B3283" s="256" t="n">
        <x:f>IF(COUNT($B$129:$L$129)=11,B$129*EXP(IF(A3283&lt;0,(10-0)*A3283,-0*A3283))+C$129*EXP(IF(A3283&lt;0,(10-1)*A3283,-1*A3283))+D$129*EXP(IF(A3283&lt;0,(10-2)*A3283,-2*A3283))+E$129*EXP(IF(A3283&lt;0,(10-3)*A3283,-3*A3283))+F$129*EXP(IF(A3283&lt;0,(10-4)*A3283,-4*A3283))+G$129*EXP(IF(A3283&lt;0,(10-5)*A3283,-5*A3283))+H$129*EXP(IF(A3283&lt;0,(10-6)*A3283,-6*A3283))+I$129*EXP(IF(A3283&lt;0,(10-7)*A3283,-7*A3283))+J$129*EXP(IF(A3283&lt;0,(10-8)*A3283,-8*A3283))+K$129*EXP(IF(A3283&lt;0,(10-9)*A3283,-9*A3283))+L$129*EXP(IF(A3283&lt;0,(10-10)*A3283,-10*A3283)),0)</x:f>
        <x:v>-190072.4305706455</x:v>
      </x:c>
      <x:c r="C3283" s="256" t="n">
        <x:f>IF(B3283=0,IF(B3282=0,0,1),IF(B3282=0,0,IF(SIGN(B3283)&lt;&gt;SIGN(B3282),1,0)))</x:f>
        <x:v>0</x:v>
      </x:c>
      <x:c r="D3283" s="256" t="n">
        <x:f>EXP(A3283-0.005)-1</x:f>
        <x:v>111.73049837406923</x:v>
      </x:c>
    </x:row>
    <x:row r="3284" ht="20" customHeight="1">
      <x:c r="A3284" s="256" t="n">
        <x:f>-12+1674*0.01</x:f>
        <x:v>4.740000000000002</x:v>
      </x:c>
      <x:c r="B3284" s="256" t="n">
        <x:f>IF(COUNT($B$129:$L$129)=11,B$129*EXP(IF(A3284&lt;0,(10-0)*A3284,-0*A3284))+C$129*EXP(IF(A3284&lt;0,(10-1)*A3284,-1*A3284))+D$129*EXP(IF(A3284&lt;0,(10-2)*A3284,-2*A3284))+E$129*EXP(IF(A3284&lt;0,(10-3)*A3284,-3*A3284))+F$129*EXP(IF(A3284&lt;0,(10-4)*A3284,-4*A3284))+G$129*EXP(IF(A3284&lt;0,(10-5)*A3284,-5*A3284))+H$129*EXP(IF(A3284&lt;0,(10-6)*A3284,-6*A3284))+I$129*EXP(IF(A3284&lt;0,(10-7)*A3284,-7*A3284))+J$129*EXP(IF(A3284&lt;0,(10-8)*A3284,-8*A3284))+K$129*EXP(IF(A3284&lt;0,(10-9)*A3284,-9*A3284))+L$129*EXP(IF(A3284&lt;0,(10-10)*A3284,-10*A3284)),0)</x:f>
        <x:v>-190071.70527176032</x:v>
      </x:c>
      <x:c r="C3284" s="256" t="n">
        <x:f>IF(B3284=0,IF(B3283=0,0,1),IF(B3283=0,0,IF(SIGN(B3284)&lt;&gt;SIGN(B3283),1,0)))</x:f>
        <x:v>0</x:v>
      </x:c>
      <x:c r="D3284" s="256" t="n">
        <x:f>EXP(A3284-0.005)-1</x:f>
        <x:v>112.86345871821034</x:v>
      </x:c>
    </x:row>
    <x:row r="3285" ht="20" customHeight="1">
      <x:c r="A3285" s="256" t="n">
        <x:f>-12+1675*0.01</x:f>
        <x:v>4.75</x:v>
      </x:c>
      <x:c r="B3285" s="256" t="n">
        <x:f>IF(COUNT($B$129:$L$129)=11,B$129*EXP(IF(A3285&lt;0,(10-0)*A3285,-0*A3285))+C$129*EXP(IF(A3285&lt;0,(10-1)*A3285,-1*A3285))+D$129*EXP(IF(A3285&lt;0,(10-2)*A3285,-2*A3285))+E$129*EXP(IF(A3285&lt;0,(10-3)*A3285,-3*A3285))+F$129*EXP(IF(A3285&lt;0,(10-4)*A3285,-4*A3285))+G$129*EXP(IF(A3285&lt;0,(10-5)*A3285,-5*A3285))+H$129*EXP(IF(A3285&lt;0,(10-6)*A3285,-6*A3285))+I$129*EXP(IF(A3285&lt;0,(10-7)*A3285,-7*A3285))+J$129*EXP(IF(A3285&lt;0,(10-8)*A3285,-8*A3285))+K$129*EXP(IF(A3285&lt;0,(10-9)*A3285,-9*A3285))+L$129*EXP(IF(A3285&lt;0,(10-10)*A3285,-10*A3285)),0)</x:f>
        <x:v>-190070.98728133796</x:v>
      </x:c>
      <x:c r="C3285" s="256" t="n">
        <x:f>IF(B3285=0,IF(B3284=0,0,1),IF(B3284=0,0,IF(SIGN(B3285)&lt;&gt;SIGN(B3284),1,0)))</x:f>
        <x:v>0</x:v>
      </x:c>
      <x:c r="D3285" s="256" t="n">
        <x:f>EXP(A3285-0.005)-1</x:f>
        <x:v>114.0078055031094</x:v>
      </x:c>
    </x:row>
    <x:row r="3286" ht="20" customHeight="1">
      <x:c r="A3286" s="256" t="n">
        <x:f>-12+1676*0.01</x:f>
        <x:v>4.760000000000002</x:v>
      </x:c>
      <x:c r="B3286" s="256" t="n">
        <x:f>IF(COUNT($B$129:$L$129)=11,B$129*EXP(IF(A3286&lt;0,(10-0)*A3286,-0*A3286))+C$129*EXP(IF(A3286&lt;0,(10-1)*A3286,-1*A3286))+D$129*EXP(IF(A3286&lt;0,(10-2)*A3286,-2*A3286))+E$129*EXP(IF(A3286&lt;0,(10-3)*A3286,-3*A3286))+F$129*EXP(IF(A3286&lt;0,(10-4)*A3286,-4*A3286))+G$129*EXP(IF(A3286&lt;0,(10-5)*A3286,-5*A3286))+H$129*EXP(IF(A3286&lt;0,(10-6)*A3286,-6*A3286))+I$129*EXP(IF(A3286&lt;0,(10-7)*A3286,-7*A3286))+J$129*EXP(IF(A3286&lt;0,(10-8)*A3286,-8*A3286))+K$129*EXP(IF(A3286&lt;0,(10-9)*A3286,-9*A3286))+L$129*EXP(IF(A3286&lt;0,(10-10)*A3286,-10*A3286)),0)</x:f>
        <x:v>-190070.27652482962</x:v>
      </x:c>
      <x:c r="C3286" s="256" t="n">
        <x:f>IF(B3286=0,IF(B3285=0,0,1),IF(B3285=0,0,IF(SIGN(B3286)&lt;&gt;SIGN(B3285),1,0)))</x:f>
        <x:v>0</x:v>
      </x:c>
      <x:c r="D3286" s="256" t="n">
        <x:f>EXP(A3286-0.005)-1</x:f>
        <x:v>115.16365316439934</x:v>
      </x:c>
    </x:row>
    <x:row r="3287" ht="20" customHeight="1">
      <x:c r="A3287" s="256" t="n">
        <x:f>-12+1677*0.01</x:f>
        <x:v>4.77</x:v>
      </x:c>
      <x:c r="B3287" s="256" t="n">
        <x:f>IF(COUNT($B$129:$L$129)=11,B$129*EXP(IF(A3287&lt;0,(10-0)*A3287,-0*A3287))+C$129*EXP(IF(A3287&lt;0,(10-1)*A3287,-1*A3287))+D$129*EXP(IF(A3287&lt;0,(10-2)*A3287,-2*A3287))+E$129*EXP(IF(A3287&lt;0,(10-3)*A3287,-3*A3287))+F$129*EXP(IF(A3287&lt;0,(10-4)*A3287,-4*A3287))+G$129*EXP(IF(A3287&lt;0,(10-5)*A3287,-5*A3287))+H$129*EXP(IF(A3287&lt;0,(10-6)*A3287,-6*A3287))+I$129*EXP(IF(A3287&lt;0,(10-7)*A3287,-7*A3287))+J$129*EXP(IF(A3287&lt;0,(10-8)*A3287,-8*A3287))+K$129*EXP(IF(A3287&lt;0,(10-9)*A3287,-9*A3287))+L$129*EXP(IF(A3287&lt;0,(10-10)*A3287,-10*A3287)),0)</x:f>
        <x:v>-190069.57292846486</x:v>
      </x:c>
      <x:c r="C3287" s="256" t="n">
        <x:f>IF(B3287=0,IF(B3286=0,0,1),IF(B3286=0,0,IF(SIGN(B3287)&lt;&gt;SIGN(B3286),1,0)))</x:f>
        <x:v>0</x:v>
      </x:c>
      <x:c r="D3287" s="256" t="n">
        <x:f>EXP(A3287-0.005)-1</x:f>
        <x:v>116.33111728780865</x:v>
      </x:c>
    </x:row>
    <x:row r="3288" ht="20" customHeight="1">
      <x:c r="A3288" s="256" t="n">
        <x:f>-12+1678*0.01</x:f>
        <x:v>4.780000000000001</x:v>
      </x:c>
      <x:c r="B3288" s="256" t="n">
        <x:f>IF(COUNT($B$129:$L$129)=11,B$129*EXP(IF(A3288&lt;0,(10-0)*A3288,-0*A3288))+C$129*EXP(IF(A3288&lt;0,(10-1)*A3288,-1*A3288))+D$129*EXP(IF(A3288&lt;0,(10-2)*A3288,-2*A3288))+E$129*EXP(IF(A3288&lt;0,(10-3)*A3288,-3*A3288))+F$129*EXP(IF(A3288&lt;0,(10-4)*A3288,-4*A3288))+G$129*EXP(IF(A3288&lt;0,(10-5)*A3288,-5*A3288))+H$129*EXP(IF(A3288&lt;0,(10-6)*A3288,-6*A3288))+I$129*EXP(IF(A3288&lt;0,(10-7)*A3288,-7*A3288))+J$129*EXP(IF(A3288&lt;0,(10-8)*A3288,-8*A3288))+K$129*EXP(IF(A3288&lt;0,(10-9)*A3288,-9*A3288))+L$129*EXP(IF(A3288&lt;0,(10-10)*A3288,-10*A3288)),0)</x:f>
        <x:v>-190068.87641924326</x:v>
      </x:c>
      <x:c r="C3288" s="256" t="n">
        <x:f>IF(B3288=0,IF(B3287=0,0,1),IF(B3287=0,0,IF(SIGN(B3288)&lt;&gt;SIGN(B3287),1,0)))</x:f>
        <x:v>0</x:v>
      </x:c>
      <x:c r="D3288" s="256" t="n">
        <x:f>EXP(A3288-0.005)-1</x:f>
        <x:v>117.51031462072343</x:v>
      </x:c>
    </x:row>
    <x:row r="3289" ht="20" customHeight="1">
      <x:c r="A3289" s="256" t="n">
        <x:f>-12+1679*0.01</x:f>
        <x:v>4.789999999999999</x:v>
      </x:c>
      <x:c r="B3289" s="256" t="n">
        <x:f>IF(COUNT($B$129:$L$129)=11,B$129*EXP(IF(A3289&lt;0,(10-0)*A3289,-0*A3289))+C$129*EXP(IF(A3289&lt;0,(10-1)*A3289,-1*A3289))+D$129*EXP(IF(A3289&lt;0,(10-2)*A3289,-2*A3289))+E$129*EXP(IF(A3289&lt;0,(10-3)*A3289,-3*A3289))+F$129*EXP(IF(A3289&lt;0,(10-4)*A3289,-4*A3289))+G$129*EXP(IF(A3289&lt;0,(10-5)*A3289,-5*A3289))+H$129*EXP(IF(A3289&lt;0,(10-6)*A3289,-6*A3289))+I$129*EXP(IF(A3289&lt;0,(10-7)*A3289,-7*A3289))+J$129*EXP(IF(A3289&lt;0,(10-8)*A3289,-8*A3289))+K$129*EXP(IF(A3289&lt;0,(10-9)*A3289,-9*A3289))+L$129*EXP(IF(A3289&lt;0,(10-10)*A3289,-10*A3289)),0)</x:f>
        <x:v>-190068.18692492583</x:v>
      </x:c>
      <x:c r="C3289" s="256" t="n">
        <x:f>IF(B3289=0,IF(B3288=0,0,1),IF(B3288=0,0,IF(SIGN(B3289)&lt;&gt;SIGN(B3288),1,0)))</x:f>
        <x:v>0</x:v>
      </x:c>
      <x:c r="D3289" s="256" t="n">
        <x:f>EXP(A3289-0.005)-1</x:f>
        <x:v>118.7013630838588</x:v>
      </x:c>
    </x:row>
    <x:row r="3290" ht="20" customHeight="1">
      <x:c r="A3290" s="256" t="n">
        <x:f>-12+1680*0.01</x:f>
        <x:v>4.800000000000001</x:v>
      </x:c>
      <x:c r="B3290" s="256" t="n">
        <x:f>IF(COUNT($B$129:$L$129)=11,B$129*EXP(IF(A3290&lt;0,(10-0)*A3290,-0*A3290))+C$129*EXP(IF(A3290&lt;0,(10-1)*A3290,-1*A3290))+D$129*EXP(IF(A3290&lt;0,(10-2)*A3290,-2*A3290))+E$129*EXP(IF(A3290&lt;0,(10-3)*A3290,-3*A3290))+F$129*EXP(IF(A3290&lt;0,(10-4)*A3290,-4*A3290))+G$129*EXP(IF(A3290&lt;0,(10-5)*A3290,-5*A3290))+H$129*EXP(IF(A3290&lt;0,(10-6)*A3290,-6*A3290))+I$129*EXP(IF(A3290&lt;0,(10-7)*A3290,-7*A3290))+J$129*EXP(IF(A3290&lt;0,(10-8)*A3290,-8*A3290))+K$129*EXP(IF(A3290&lt;0,(10-9)*A3290,-9*A3290))+L$129*EXP(IF(A3290&lt;0,(10-10)*A3290,-10*A3290)),0)</x:f>
        <x:v>-190067.50437402684</x:v>
      </x:c>
      <x:c r="C3290" s="256" t="n">
        <x:f>IF(B3290=0,IF(B3289=0,0,1),IF(B3289=0,0,IF(SIGN(B3290)&lt;&gt;SIGN(B3289),1,0)))</x:f>
        <x:v>0</x:v>
      </x:c>
      <x:c r="D3290" s="256" t="n">
        <x:f>EXP(A3290-0.005)-1</x:f>
        <x:v>119.90438178305443</x:v>
      </x:c>
    </x:row>
    <x:row r="3291" ht="20" customHeight="1">
      <x:c r="A3291" s="256" t="n">
        <x:f>-12+1681*0.01</x:f>
        <x:v>4.809999999999999</x:v>
      </x:c>
      <x:c r="B3291" s="256" t="n">
        <x:f>IF(COUNT($B$129:$L$129)=11,B$129*EXP(IF(A3291&lt;0,(10-0)*A3291,-0*A3291))+C$129*EXP(IF(A3291&lt;0,(10-1)*A3291,-1*A3291))+D$129*EXP(IF(A3291&lt;0,(10-2)*A3291,-2*A3291))+E$129*EXP(IF(A3291&lt;0,(10-3)*A3291,-3*A3291))+F$129*EXP(IF(A3291&lt;0,(10-4)*A3291,-4*A3291))+G$129*EXP(IF(A3291&lt;0,(10-5)*A3291,-5*A3291))+H$129*EXP(IF(A3291&lt;0,(10-6)*A3291,-6*A3291))+I$129*EXP(IF(A3291&lt;0,(10-7)*A3291,-7*A3291))+J$129*EXP(IF(A3291&lt;0,(10-8)*A3291,-8*A3291))+K$129*EXP(IF(A3291&lt;0,(10-9)*A3291,-9*A3291))+L$129*EXP(IF(A3291&lt;0,(10-10)*A3291,-10*A3291)),0)</x:f>
        <x:v>-190066.8286958058</x:v>
      </x:c>
      <x:c r="C3291" s="256" t="n">
        <x:f>IF(B3291=0,IF(B3290=0,0,1),IF(B3290=0,0,IF(SIGN(B3291)&lt;&gt;SIGN(B3290),1,0)))</x:f>
        <x:v>0</x:v>
      </x:c>
      <x:c r="D3291" s="256" t="n">
        <x:f>EXP(A3291-0.005)-1</x:f>
        <x:v>121.11949102118193</x:v>
      </x:c>
    </x:row>
    <x:row r="3292" ht="20" customHeight="1">
      <x:c r="A3292" s="256" t="n">
        <x:f>-12+1682*0.01</x:f>
        <x:v>4.82</x:v>
      </x:c>
      <x:c r="B3292" s="256" t="n">
        <x:f>IF(COUNT($B$129:$L$129)=11,B$129*EXP(IF(A3292&lt;0,(10-0)*A3292,-0*A3292))+C$129*EXP(IF(A3292&lt;0,(10-1)*A3292,-1*A3292))+D$129*EXP(IF(A3292&lt;0,(10-2)*A3292,-2*A3292))+E$129*EXP(IF(A3292&lt;0,(10-3)*A3292,-3*A3292))+F$129*EXP(IF(A3292&lt;0,(10-4)*A3292,-4*A3292))+G$129*EXP(IF(A3292&lt;0,(10-5)*A3292,-5*A3292))+H$129*EXP(IF(A3292&lt;0,(10-6)*A3292,-6*A3292))+I$129*EXP(IF(A3292&lt;0,(10-7)*A3292,-7*A3292))+J$129*EXP(IF(A3292&lt;0,(10-8)*A3292,-8*A3292))+K$129*EXP(IF(A3292&lt;0,(10-9)*A3292,-9*A3292))+L$129*EXP(IF(A3292&lt;0,(10-10)*A3292,-10*A3292)),0)</x:f>
        <x:v>-190066.15982025882</x:v>
      </x:c>
      <x:c r="C3292" s="256" t="n">
        <x:f>IF(B3292=0,IF(B3291=0,0,1),IF(B3291=0,0,IF(SIGN(B3292)&lt;&gt;SIGN(B3291),1,0)))</x:f>
        <x:v>0</x:v>
      </x:c>
      <x:c r="D3292" s="256" t="n">
        <x:f>EXP(A3292-0.005)-1</x:f>
        <x:v>122.34681231017856</x:v>
      </x:c>
    </x:row>
    <x:row r="3293" ht="20" customHeight="1">
      <x:c r="A3293" s="256" t="n">
        <x:f>-12+1683*0.01</x:f>
        <x:v>4.830000000000002</x:v>
      </x:c>
      <x:c r="B3293" s="256" t="n">
        <x:f>IF(COUNT($B$129:$L$129)=11,B$129*EXP(IF(A3293&lt;0,(10-0)*A3293,-0*A3293))+C$129*EXP(IF(A3293&lt;0,(10-1)*A3293,-1*A3293))+D$129*EXP(IF(A3293&lt;0,(10-2)*A3293,-2*A3293))+E$129*EXP(IF(A3293&lt;0,(10-3)*A3293,-3*A3293))+F$129*EXP(IF(A3293&lt;0,(10-4)*A3293,-4*A3293))+G$129*EXP(IF(A3293&lt;0,(10-5)*A3293,-5*A3293))+H$129*EXP(IF(A3293&lt;0,(10-6)*A3293,-6*A3293))+I$129*EXP(IF(A3293&lt;0,(10-7)*A3293,-7*A3293))+J$129*EXP(IF(A3293&lt;0,(10-8)*A3293,-8*A3293))+K$129*EXP(IF(A3293&lt;0,(10-9)*A3293,-9*A3293))+L$129*EXP(IF(A3293&lt;0,(10-10)*A3293,-10*A3293)),0)</x:f>
        <x:v>-190065.4976781114</x:v>
      </x:c>
      <x:c r="C3293" s="256" t="n">
        <x:f>IF(B3293=0,IF(B3292=0,0,1),IF(B3292=0,0,IF(SIGN(B3293)&lt;&gt;SIGN(B3292),1,0)))</x:f>
        <x:v>0</x:v>
      </x:c>
      <x:c r="D3293" s="256" t="n">
        <x:f>EXP(A3293-0.005)-1</x:f>
        <x:v>123.58646838319557</x:v>
      </x:c>
    </x:row>
    <x:row r="3294" ht="20" customHeight="1">
      <x:c r="A3294" s="256" t="n">
        <x:f>-12+1684*0.01</x:f>
        <x:v>4.84</x:v>
      </x:c>
      <x:c r="B3294" s="256" t="n">
        <x:f>IF(COUNT($B$129:$L$129)=11,B$129*EXP(IF(A3294&lt;0,(10-0)*A3294,-0*A3294))+C$129*EXP(IF(A3294&lt;0,(10-1)*A3294,-1*A3294))+D$129*EXP(IF(A3294&lt;0,(10-2)*A3294,-2*A3294))+E$129*EXP(IF(A3294&lt;0,(10-3)*A3294,-3*A3294))+F$129*EXP(IF(A3294&lt;0,(10-4)*A3294,-4*A3294))+G$129*EXP(IF(A3294&lt;0,(10-5)*A3294,-5*A3294))+H$129*EXP(IF(A3294&lt;0,(10-6)*A3294,-6*A3294))+I$129*EXP(IF(A3294&lt;0,(10-7)*A3294,-7*A3294))+J$129*EXP(IF(A3294&lt;0,(10-8)*A3294,-8*A3294))+K$129*EXP(IF(A3294&lt;0,(10-9)*A3294,-9*A3294))+L$129*EXP(IF(A3294&lt;0,(10-10)*A3294,-10*A3294)),0)</x:f>
        <x:v>-190064.84220080974</x:v>
      </x:c>
      <x:c r="C3294" s="256" t="n">
        <x:f>IF(B3294=0,IF(B3293=0,0,1),IF(B3293=0,0,IF(SIGN(B3294)&lt;&gt;SIGN(B3293),1,0)))</x:f>
        <x:v>0</x:v>
      </x:c>
      <x:c r="D3294" s="256" t="n">
        <x:f>EXP(A3294-0.005)-1</x:f>
        <x:v>124.83858320687285</x:v>
      </x:c>
    </x:row>
    <x:row r="3295" ht="20" customHeight="1">
      <x:c r="A3295" s="256" t="n">
        <x:f>-12+1685*0.01</x:f>
        <x:v>4.850000000000001</x:v>
      </x:c>
      <x:c r="B3295" s="256" t="n">
        <x:f>IF(COUNT($B$129:$L$129)=11,B$129*EXP(IF(A3295&lt;0,(10-0)*A3295,-0*A3295))+C$129*EXP(IF(A3295&lt;0,(10-1)*A3295,-1*A3295))+D$129*EXP(IF(A3295&lt;0,(10-2)*A3295,-2*A3295))+E$129*EXP(IF(A3295&lt;0,(10-3)*A3295,-3*A3295))+F$129*EXP(IF(A3295&lt;0,(10-4)*A3295,-4*A3295))+G$129*EXP(IF(A3295&lt;0,(10-5)*A3295,-5*A3295))+H$129*EXP(IF(A3295&lt;0,(10-6)*A3295,-6*A3295))+I$129*EXP(IF(A3295&lt;0,(10-7)*A3295,-7*A3295))+J$129*EXP(IF(A3295&lt;0,(10-8)*A3295,-8*A3295))+K$129*EXP(IF(A3295&lt;0,(10-9)*A3295,-9*A3295))+L$129*EXP(IF(A3295&lt;0,(10-10)*A3295,-10*A3295)),0)</x:f>
        <x:v>-190064.19332051347</x:v>
      </x:c>
      <x:c r="C3295" s="256" t="n">
        <x:f>IF(B3295=0,IF(B3294=0,0,1),IF(B3294=0,0,IF(SIGN(B3295)&lt;&gt;SIGN(B3294),1,0)))</x:f>
        <x:v>0</x:v>
      </x:c>
      <x:c r="D3295" s="256" t="n">
        <x:f>EXP(A3295-0.005)-1</x:f>
        <x:v>126.10328199373711</x:v>
      </x:c>
    </x:row>
    <x:row r="3296" ht="20" customHeight="1">
      <x:c r="A3296" s="256" t="n">
        <x:f>-12+1686*0.01</x:f>
        <x:v>4.859999999999999</x:v>
      </x:c>
      <x:c r="B3296" s="256" t="n">
        <x:f>IF(COUNT($B$129:$L$129)=11,B$129*EXP(IF(A3296&lt;0,(10-0)*A3296,-0*A3296))+C$129*EXP(IF(A3296&lt;0,(10-1)*A3296,-1*A3296))+D$129*EXP(IF(A3296&lt;0,(10-2)*A3296,-2*A3296))+E$129*EXP(IF(A3296&lt;0,(10-3)*A3296,-3*A3296))+F$129*EXP(IF(A3296&lt;0,(10-4)*A3296,-4*A3296))+G$129*EXP(IF(A3296&lt;0,(10-5)*A3296,-5*A3296))+H$129*EXP(IF(A3296&lt;0,(10-6)*A3296,-6*A3296))+I$129*EXP(IF(A3296&lt;0,(10-7)*A3296,-7*A3296))+J$129*EXP(IF(A3296&lt;0,(10-8)*A3296,-8*A3296))+K$129*EXP(IF(A3296&lt;0,(10-9)*A3296,-9*A3296))+L$129*EXP(IF(A3296&lt;0,(10-10)*A3296,-10*A3296)),0)</x:f>
        <x:v>-190063.55097008773</x:v>
      </x:c>
      <x:c r="C3296" s="256" t="n">
        <x:f>IF(B3296=0,IF(B3295=0,0,1),IF(B3295=0,0,IF(SIGN(B3296)&lt;&gt;SIGN(B3295),1,0)))</x:f>
        <x:v>0</x:v>
      </x:c>
      <x:c r="D3296" s="256" t="n">
        <x:f>EXP(A3296-0.005)-1</x:f>
        <x:v>127.38069121472003</x:v>
      </x:c>
    </x:row>
    <x:row r="3297" ht="20" customHeight="1">
      <x:c r="A3297" s="256" t="n">
        <x:f>-12+1687*0.01</x:f>
        <x:v>4.870000000000001</x:v>
      </x:c>
      <x:c r="B3297" s="256" t="n">
        <x:f>IF(COUNT($B$129:$L$129)=11,B$129*EXP(IF(A3297&lt;0,(10-0)*A3297,-0*A3297))+C$129*EXP(IF(A3297&lt;0,(10-1)*A3297,-1*A3297))+D$129*EXP(IF(A3297&lt;0,(10-2)*A3297,-2*A3297))+E$129*EXP(IF(A3297&lt;0,(10-3)*A3297,-3*A3297))+F$129*EXP(IF(A3297&lt;0,(10-4)*A3297,-4*A3297))+G$129*EXP(IF(A3297&lt;0,(10-5)*A3297,-5*A3297))+H$129*EXP(IF(A3297&lt;0,(10-6)*A3297,-6*A3297))+I$129*EXP(IF(A3297&lt;0,(10-7)*A3297,-7*A3297))+J$129*EXP(IF(A3297&lt;0,(10-8)*A3297,-8*A3297))+K$129*EXP(IF(A3297&lt;0,(10-9)*A3297,-9*A3297))+L$129*EXP(IF(A3297&lt;0,(10-10)*A3297,-10*A3297)),0)</x:f>
        <x:v>-190062.91508309555</x:v>
      </x:c>
      <x:c r="C3297" s="256" t="n">
        <x:f>IF(B3297=0,IF(B3296=0,0,1),IF(B3296=0,0,IF(SIGN(B3297)&lt;&gt;SIGN(B3296),1,0)))</x:f>
        <x:v>0</x:v>
      </x:c>
      <x:c r="D3297" s="256" t="n">
        <x:f>EXP(A3297-0.005)-1</x:f>
        <x:v>128.67093861180916</x:v>
      </x:c>
    </x:row>
    <x:row r="3298" ht="20" customHeight="1">
      <x:c r="A3298" s="256" t="n">
        <x:f>-12+1688*0.01</x:f>
        <x:v>4.879999999999999</x:v>
      </x:c>
      <x:c r="B3298" s="256" t="n">
        <x:f>IF(COUNT($B$129:$L$129)=11,B$129*EXP(IF(A3298&lt;0,(10-0)*A3298,-0*A3298))+C$129*EXP(IF(A3298&lt;0,(10-1)*A3298,-1*A3298))+D$129*EXP(IF(A3298&lt;0,(10-2)*A3298,-2*A3298))+E$129*EXP(IF(A3298&lt;0,(10-3)*A3298,-3*A3298))+F$129*EXP(IF(A3298&lt;0,(10-4)*A3298,-4*A3298))+G$129*EXP(IF(A3298&lt;0,(10-5)*A3298,-5*A3298))+H$129*EXP(IF(A3298&lt;0,(10-6)*A3298,-6*A3298))+I$129*EXP(IF(A3298&lt;0,(10-7)*A3298,-7*A3298))+J$129*EXP(IF(A3298&lt;0,(10-8)*A3298,-8*A3298))+K$129*EXP(IF(A3298&lt;0,(10-9)*A3298,-9*A3298))+L$129*EXP(IF(A3298&lt;0,(10-10)*A3298,-10*A3298)),0)</x:f>
        <x:v>-190062.28559379023</x:v>
      </x:c>
      <x:c r="C3298" s="256" t="n">
        <x:f>IF(B3298=0,IF(B3297=0,0,1),IF(B3297=0,0,IF(SIGN(B3298)&lt;&gt;SIGN(B3297),1,0)))</x:f>
        <x:v>0</x:v>
      </x:c>
      <x:c r="D3298" s="256" t="n">
        <x:f>EXP(A3298-0.005)-1</x:f>
        <x:v>129.97415321081849</x:v>
      </x:c>
    </x:row>
    <x:row r="3299" ht="20" customHeight="1">
      <x:c r="A3299" s="256" t="n">
        <x:f>-12+1689*0.01</x:f>
        <x:v>4.890000000000001</x:v>
      </x:c>
      <x:c r="B3299" s="256" t="n">
        <x:f>IF(COUNT($B$129:$L$129)=11,B$129*EXP(IF(A3299&lt;0,(10-0)*A3299,-0*A3299))+C$129*EXP(IF(A3299&lt;0,(10-1)*A3299,-1*A3299))+D$129*EXP(IF(A3299&lt;0,(10-2)*A3299,-2*A3299))+E$129*EXP(IF(A3299&lt;0,(10-3)*A3299,-3*A3299))+F$129*EXP(IF(A3299&lt;0,(10-4)*A3299,-4*A3299))+G$129*EXP(IF(A3299&lt;0,(10-5)*A3299,-5*A3299))+H$129*EXP(IF(A3299&lt;0,(10-6)*A3299,-6*A3299))+I$129*EXP(IF(A3299&lt;0,(10-7)*A3299,-7*A3299))+J$129*EXP(IF(A3299&lt;0,(10-8)*A3299,-8*A3299))+K$129*EXP(IF(A3299&lt;0,(10-9)*A3299,-9*A3299))+L$129*EXP(IF(A3299&lt;0,(10-10)*A3299,-10*A3299)),0)</x:f>
        <x:v>-190061.66243710805</x:v>
      </x:c>
      <x:c r="C3299" s="256" t="n">
        <x:f>IF(B3299=0,IF(B3298=0,0,1),IF(B3298=0,0,IF(SIGN(B3299)&lt;&gt;SIGN(B3298),1,0)))</x:f>
        <x:v>0</x:v>
      </x:c>
      <x:c r="D3299" s="256" t="n">
        <x:f>EXP(A3299-0.005)-1</x:f>
        <x:v>131.29046533429485</x:v>
      </x:c>
    </x:row>
    <x:row r="3300" ht="20" customHeight="1">
      <x:c r="A3300" s="256" t="n">
        <x:f>-12+1690*0.01</x:f>
        <x:v>4.899999999999999</x:v>
      </x:c>
      <x:c r="B3300" s="256" t="n">
        <x:f>IF(COUNT($B$129:$L$129)=11,B$129*EXP(IF(A3300&lt;0,(10-0)*A3300,-0*A3300))+C$129*EXP(IF(A3300&lt;0,(10-1)*A3300,-1*A3300))+D$129*EXP(IF(A3300&lt;0,(10-2)*A3300,-2*A3300))+E$129*EXP(IF(A3300&lt;0,(10-3)*A3300,-3*A3300))+F$129*EXP(IF(A3300&lt;0,(10-4)*A3300,-4*A3300))+G$129*EXP(IF(A3300&lt;0,(10-5)*A3300,-5*A3300))+H$129*EXP(IF(A3300&lt;0,(10-6)*A3300,-6*A3300))+I$129*EXP(IF(A3300&lt;0,(10-7)*A3300,-7*A3300))+J$129*EXP(IF(A3300&lt;0,(10-8)*A3300,-8*A3300))+K$129*EXP(IF(A3300&lt;0,(10-9)*A3300,-9*A3300))+L$129*EXP(IF(A3300&lt;0,(10-10)*A3300,-10*A3300)),0)</x:f>
        <x:v>-190061.04554866074</x:v>
      </x:c>
      <x:c r="C3300" s="256" t="n">
        <x:f>IF(B3300=0,IF(B3299=0,0,1),IF(B3299=0,0,IF(SIGN(B3300)&lt;&gt;SIGN(B3299),1,0)))</x:f>
        <x:v>0</x:v>
      </x:c>
      <x:c r="D3300" s="256" t="n">
        <x:f>EXP(A3300-0.005)-1</x:f>
        <x:v>132.62000661454658</x:v>
      </x:c>
    </x:row>
    <x:row r="3301" ht="20" customHeight="1">
      <x:c r="A3301" s="256" t="n">
        <x:f>-12+1691*0.01</x:f>
        <x:v>4.91</x:v>
      </x:c>
      <x:c r="B3301" s="256" t="n">
        <x:f>IF(COUNT($B$129:$L$129)=11,B$129*EXP(IF(A3301&lt;0,(10-0)*A3301,-0*A3301))+C$129*EXP(IF(A3301&lt;0,(10-1)*A3301,-1*A3301))+D$129*EXP(IF(A3301&lt;0,(10-2)*A3301,-2*A3301))+E$129*EXP(IF(A3301&lt;0,(10-3)*A3301,-3*A3301))+F$129*EXP(IF(A3301&lt;0,(10-4)*A3301,-4*A3301))+G$129*EXP(IF(A3301&lt;0,(10-5)*A3301,-5*A3301))+H$129*EXP(IF(A3301&lt;0,(10-6)*A3301,-6*A3301))+I$129*EXP(IF(A3301&lt;0,(10-7)*A3301,-7*A3301))+J$129*EXP(IF(A3301&lt;0,(10-8)*A3301,-8*A3301))+K$129*EXP(IF(A3301&lt;0,(10-9)*A3301,-9*A3301))+L$129*EXP(IF(A3301&lt;0,(10-10)*A3301,-10*A3301)),0)</x:f>
        <x:v>-190060.43486472833</x:v>
      </x:c>
      <x:c r="C3301" s="256" t="n">
        <x:f>IF(B3301=0,IF(B3300=0,0,1),IF(B3300=0,0,IF(SIGN(B3301)&lt;&gt;SIGN(B3300),1,0)))</x:f>
        <x:v>0</x:v>
      </x:c>
      <x:c r="D3301" s="256" t="n">
        <x:f>EXP(A3301-0.005)-1</x:f>
        <x:v>133.96291000681063</x:v>
      </x:c>
    </x:row>
    <x:row r="3302" ht="20" customHeight="1">
      <x:c r="A3302" s="256" t="n">
        <x:f>-12+1692*0.01</x:f>
        <x:v>4.920000000000002</x:v>
      </x:c>
      <x:c r="B3302" s="256" t="n">
        <x:f>IF(COUNT($B$129:$L$129)=11,B$129*EXP(IF(A3302&lt;0,(10-0)*A3302,-0*A3302))+C$129*EXP(IF(A3302&lt;0,(10-1)*A3302,-1*A3302))+D$129*EXP(IF(A3302&lt;0,(10-2)*A3302,-2*A3302))+E$129*EXP(IF(A3302&lt;0,(10-3)*A3302,-3*A3302))+F$129*EXP(IF(A3302&lt;0,(10-4)*A3302,-4*A3302))+G$129*EXP(IF(A3302&lt;0,(10-5)*A3302,-5*A3302))+H$129*EXP(IF(A3302&lt;0,(10-6)*A3302,-6*A3302))+I$129*EXP(IF(A3302&lt;0,(10-7)*A3302,-7*A3302))+J$129*EXP(IF(A3302&lt;0,(10-8)*A3302,-8*A3302))+K$129*EXP(IF(A3302&lt;0,(10-9)*A3302,-9*A3302))+L$129*EXP(IF(A3302&lt;0,(10-10)*A3302,-10*A3302)),0)</x:f>
        <x:v>-190059.83032225177</x:v>
      </x:c>
      <x:c r="C3302" s="256" t="n">
        <x:f>IF(B3302=0,IF(B3301=0,0,1),IF(B3301=0,0,IF(SIGN(B3302)&lt;&gt;SIGN(B3301),1,0)))</x:f>
        <x:v>0</x:v>
      </x:c>
      <x:c r="D3302" s="256" t="n">
        <x:f>EXP(A3302-0.005)-1</x:f>
        <x:v>135.31930980254484</x:v>
      </x:c>
    </x:row>
    <x:row r="3303" ht="20" customHeight="1">
      <x:c r="A3303" s="256" t="n">
        <x:f>-12+1693*0.01</x:f>
        <x:v>4.93</x:v>
      </x:c>
      <x:c r="B3303" s="256" t="n">
        <x:f>IF(COUNT($B$129:$L$129)=11,B$129*EXP(IF(A3303&lt;0,(10-0)*A3303,-0*A3303))+C$129*EXP(IF(A3303&lt;0,(10-1)*A3303,-1*A3303))+D$129*EXP(IF(A3303&lt;0,(10-2)*A3303,-2*A3303))+E$129*EXP(IF(A3303&lt;0,(10-3)*A3303,-3*A3303))+F$129*EXP(IF(A3303&lt;0,(10-4)*A3303,-4*A3303))+G$129*EXP(IF(A3303&lt;0,(10-5)*A3303,-5*A3303))+H$129*EXP(IF(A3303&lt;0,(10-6)*A3303,-6*A3303))+I$129*EXP(IF(A3303&lt;0,(10-7)*A3303,-7*A3303))+J$129*EXP(IF(A3303&lt;0,(10-8)*A3303,-8*A3303))+K$129*EXP(IF(A3303&lt;0,(10-9)*A3303,-9*A3303))+L$129*EXP(IF(A3303&lt;0,(10-10)*A3303,-10*A3303)),0)</x:f>
        <x:v>-190059.23185882607</x:v>
      </x:c>
      <x:c r="C3303" s="256" t="n">
        <x:f>IF(B3303=0,IF(B3302=0,0,1),IF(B3302=0,0,IF(SIGN(B3303)&lt;&gt;SIGN(B3302),1,0)))</x:f>
        <x:v>0</x:v>
      </x:c>
      <x:c r="D3303" s="256" t="n">
        <x:f>EXP(A3303-0.005)-1</x:f>
        <x:v>136.6893416428586</x:v>
      </x:c>
    </x:row>
    <x:row r="3304" ht="20" customHeight="1">
      <x:c r="A3304" s="256" t="n">
        <x:f>-12+1694*0.01</x:f>
        <x:v>4.940000000000001</x:v>
      </x:c>
      <x:c r="B3304" s="256" t="n">
        <x:f>IF(COUNT($B$129:$L$129)=11,B$129*EXP(IF(A3304&lt;0,(10-0)*A3304,-0*A3304))+C$129*EXP(IF(A3304&lt;0,(10-1)*A3304,-1*A3304))+D$129*EXP(IF(A3304&lt;0,(10-2)*A3304,-2*A3304))+E$129*EXP(IF(A3304&lt;0,(10-3)*A3304,-3*A3304))+F$129*EXP(IF(A3304&lt;0,(10-4)*A3304,-4*A3304))+G$129*EXP(IF(A3304&lt;0,(10-5)*A3304,-5*A3304))+H$129*EXP(IF(A3304&lt;0,(10-6)*A3304,-6*A3304))+I$129*EXP(IF(A3304&lt;0,(10-7)*A3304,-7*A3304))+J$129*EXP(IF(A3304&lt;0,(10-8)*A3304,-8*A3304))+K$129*EXP(IF(A3304&lt;0,(10-9)*A3304,-9*A3304))+L$129*EXP(IF(A3304&lt;0,(10-10)*A3304,-10*A3304)),0)</x:f>
        <x:v>-190058.63941269286</x:v>
      </x:c>
      <x:c r="C3304" s="256" t="n">
        <x:f>IF(B3304=0,IF(B3303=0,0,1),IF(B3303=0,0,IF(SIGN(B3304)&lt;&gt;SIGN(B3303),1,0)))</x:f>
        <x:v>0</x:v>
      </x:c>
      <x:c r="D3304" s="256" t="n">
        <x:f>EXP(A3304-0.005)-1</x:f>
        <x:v>138.07314253207863</x:v>
      </x:c>
    </x:row>
    <x:row r="3305" ht="20" customHeight="1">
      <x:c r="A3305" s="256" t="n">
        <x:f>-12+1695*0.01</x:f>
        <x:v>4.949999999999999</x:v>
      </x:c>
      <x:c r="B3305" s="256" t="n">
        <x:f>IF(COUNT($B$129:$L$129)=11,B$129*EXP(IF(A3305&lt;0,(10-0)*A3305,-0*A3305))+C$129*EXP(IF(A3305&lt;0,(10-1)*A3305,-1*A3305))+D$129*EXP(IF(A3305&lt;0,(10-2)*A3305,-2*A3305))+E$129*EXP(IF(A3305&lt;0,(10-3)*A3305,-3*A3305))+F$129*EXP(IF(A3305&lt;0,(10-4)*A3305,-4*A3305))+G$129*EXP(IF(A3305&lt;0,(10-5)*A3305,-5*A3305))+H$129*EXP(IF(A3305&lt;0,(10-6)*A3305,-6*A3305))+I$129*EXP(IF(A3305&lt;0,(10-7)*A3305,-7*A3305))+J$129*EXP(IF(A3305&lt;0,(10-8)*A3305,-8*A3305))+K$129*EXP(IF(A3305&lt;0,(10-9)*A3305,-9*A3305))+L$129*EXP(IF(A3305&lt;0,(10-10)*A3305,-10*A3305)),0)</x:f>
        <x:v>-190058.05292273397</x:v>
      </x:c>
      <x:c r="C3305" s="256" t="n">
        <x:f>IF(B3305=0,IF(B3304=0,0,1),IF(B3304=0,0,IF(SIGN(B3305)&lt;&gt;SIGN(B3304),1,0)))</x:f>
        <x:v>0</x:v>
      </x:c>
      <x:c r="D3305" s="256" t="n">
        <x:f>EXP(A3305-0.005)-1</x:f>
        <x:v>139.47085085144607</x:v>
      </x:c>
    </x:row>
    <x:row r="3306" ht="20" customHeight="1">
      <x:c r="A3306" s="256" t="n">
        <x:f>-12+1696*0.01</x:f>
        <x:v>4.960000000000001</x:v>
      </x:c>
      <x:c r="B3306" s="256" t="n">
        <x:f>IF(COUNT($B$129:$L$129)=11,B$129*EXP(IF(A3306&lt;0,(10-0)*A3306,-0*A3306))+C$129*EXP(IF(A3306&lt;0,(10-1)*A3306,-1*A3306))+D$129*EXP(IF(A3306&lt;0,(10-2)*A3306,-2*A3306))+E$129*EXP(IF(A3306&lt;0,(10-3)*A3306,-3*A3306))+F$129*EXP(IF(A3306&lt;0,(10-4)*A3306,-4*A3306))+G$129*EXP(IF(A3306&lt;0,(10-5)*A3306,-5*A3306))+H$129*EXP(IF(A3306&lt;0,(10-6)*A3306,-6*A3306))+I$129*EXP(IF(A3306&lt;0,(10-7)*A3306,-7*A3306))+J$129*EXP(IF(A3306&lt;0,(10-8)*A3306,-8*A3306))+K$129*EXP(IF(A3306&lt;0,(10-9)*A3306,-9*A3306))+L$129*EXP(IF(A3306&lt;0,(10-10)*A3306,-10*A3306)),0)</x:f>
        <x:v>-190057.47232846412</x:v>
      </x:c>
      <x:c r="C3306" s="256" t="n">
        <x:f>IF(B3306=0,IF(B3305=0,0,1),IF(B3305=0,0,IF(SIGN(B3306)&lt;&gt;SIGN(B3305),1,0)))</x:f>
        <x:v>0</x:v>
      </x:c>
      <x:c r="D3306" s="256" t="n">
        <x:f>EXP(A3306-0.005)-1</x:f>
        <x:v>140.88260637295858</x:v>
      </x:c>
    </x:row>
    <x:row r="3307" ht="20" customHeight="1">
      <x:c r="A3307" s="256" t="n">
        <x:f>-12+1697*0.01</x:f>
        <x:v>4.969999999999999</x:v>
      </x:c>
      <x:c r="B3307" s="256" t="n">
        <x:f>IF(COUNT($B$129:$L$129)=11,B$129*EXP(IF(A3307&lt;0,(10-0)*A3307,-0*A3307))+C$129*EXP(IF(A3307&lt;0,(10-1)*A3307,-1*A3307))+D$129*EXP(IF(A3307&lt;0,(10-2)*A3307,-2*A3307))+E$129*EXP(IF(A3307&lt;0,(10-3)*A3307,-3*A3307))+F$129*EXP(IF(A3307&lt;0,(10-4)*A3307,-4*A3307))+G$129*EXP(IF(A3307&lt;0,(10-5)*A3307,-5*A3307))+H$129*EXP(IF(A3307&lt;0,(10-6)*A3307,-6*A3307))+I$129*EXP(IF(A3307&lt;0,(10-7)*A3307,-7*A3307))+J$129*EXP(IF(A3307&lt;0,(10-8)*A3307,-8*A3307))+K$129*EXP(IF(A3307&lt;0,(10-9)*A3307,-9*A3307))+L$129*EXP(IF(A3307&lt;0,(10-10)*A3307,-10*A3307)),0)</x:f>
        <x:v>-190056.8975700241</x:v>
      </x:c>
      <x:c r="C3307" s="256" t="n">
        <x:f>IF(B3307=0,IF(B3306=0,0,1),IF(B3306=0,0,IF(SIGN(B3307)&lt;&gt;SIGN(B3306),1,0)))</x:f>
        <x:v>0</x:v>
      </x:c>
      <x:c r="D3307" s="256" t="n">
        <x:f>EXP(A3307-0.005)-1</x:f>
        <x:v>142.30855027334377</x:v>
      </x:c>
    </x:row>
    <x:row r="3308" ht="20" customHeight="1">
      <x:c r="A3308" s="256" t="n">
        <x:f>-12+1698*0.01</x:f>
        <x:v>4.98</x:v>
      </x:c>
      <x:c r="B3308" s="256" t="n">
        <x:f>IF(COUNT($B$129:$L$129)=11,B$129*EXP(IF(A3308&lt;0,(10-0)*A3308,-0*A3308))+C$129*EXP(IF(A3308&lt;0,(10-1)*A3308,-1*A3308))+D$129*EXP(IF(A3308&lt;0,(10-2)*A3308,-2*A3308))+E$129*EXP(IF(A3308&lt;0,(10-3)*A3308,-3*A3308))+F$129*EXP(IF(A3308&lt;0,(10-4)*A3308,-4*A3308))+G$129*EXP(IF(A3308&lt;0,(10-5)*A3308,-5*A3308))+H$129*EXP(IF(A3308&lt;0,(10-6)*A3308,-6*A3308))+I$129*EXP(IF(A3308&lt;0,(10-7)*A3308,-7*A3308))+J$129*EXP(IF(A3308&lt;0,(10-8)*A3308,-8*A3308))+K$129*EXP(IF(A3308&lt;0,(10-9)*A3308,-9*A3308))+L$129*EXP(IF(A3308&lt;0,(10-10)*A3308,-10*A3308)),0)</x:f>
        <x:v>-190056.3285881746</x:v>
      </x:c>
      <x:c r="C3308" s="256" t="n">
        <x:f>IF(B3308=0,IF(B3307=0,0,1),IF(B3307=0,0,IF(SIGN(B3308)&lt;&gt;SIGN(B3307),1,0)))</x:f>
        <x:v>0</x:v>
      </x:c>
      <x:c r="D3308" s="256" t="n">
        <x:f>EXP(A3308-0.005)-1</x:f>
        <x:v>143.748825148181</x:v>
      </x:c>
    </x:row>
    <x:row r="3309" ht="20" customHeight="1">
      <x:c r="A3309" s="256" t="n">
        <x:f>-12+1699*0.01</x:f>
        <x:v>4.990000000000002</x:v>
      </x:c>
      <x:c r="B3309" s="256" t="n">
        <x:f>IF(COUNT($B$129:$L$129)=11,B$129*EXP(IF(A3309&lt;0,(10-0)*A3309,-0*A3309))+C$129*EXP(IF(A3309&lt;0,(10-1)*A3309,-1*A3309))+D$129*EXP(IF(A3309&lt;0,(10-2)*A3309,-2*A3309))+E$129*EXP(IF(A3309&lt;0,(10-3)*A3309,-3*A3309))+F$129*EXP(IF(A3309&lt;0,(10-4)*A3309,-4*A3309))+G$129*EXP(IF(A3309&lt;0,(10-5)*A3309,-5*A3309))+H$129*EXP(IF(A3309&lt;0,(10-6)*A3309,-6*A3309))+I$129*EXP(IF(A3309&lt;0,(10-7)*A3309,-7*A3309))+J$129*EXP(IF(A3309&lt;0,(10-8)*A3309,-8*A3309))+K$129*EXP(IF(A3309&lt;0,(10-9)*A3309,-9*A3309))+L$129*EXP(IF(A3309&lt;0,(10-10)*A3309,-10*A3309)),0)</x:f>
        <x:v>-190055.76532428886</x:v>
      </x:c>
      <x:c r="C3309" s="256" t="n">
        <x:f>IF(B3309=0,IF(B3308=0,0,1),IF(B3308=0,0,IF(SIGN(B3309)&lt;&gt;SIGN(B3308),1,0)))</x:f>
        <x:v>0</x:v>
      </x:c>
      <x:c r="D3309" s="256" t="n">
        <x:f>EXP(A3309-0.005)-1</x:f>
        <x:v>145.20357502615747</x:v>
      </x:c>
    </x:row>
    <x:row r="3310" ht="20" customHeight="1">
      <x:c r="A3310" s="256" t="n">
        <x:f>-12+1700*0.01</x:f>
        <x:v>5</x:v>
      </x:c>
      <x:c r="B3310" s="256" t="n">
        <x:f>IF(COUNT($B$129:$L$129)=11,B$129*EXP(IF(A3310&lt;0,(10-0)*A3310,-0*A3310))+C$129*EXP(IF(A3310&lt;0,(10-1)*A3310,-1*A3310))+D$129*EXP(IF(A3310&lt;0,(10-2)*A3310,-2*A3310))+E$129*EXP(IF(A3310&lt;0,(10-3)*A3310,-3*A3310))+F$129*EXP(IF(A3310&lt;0,(10-4)*A3310,-4*A3310))+G$129*EXP(IF(A3310&lt;0,(10-5)*A3310,-5*A3310))+H$129*EXP(IF(A3310&lt;0,(10-6)*A3310,-6*A3310))+I$129*EXP(IF(A3310&lt;0,(10-7)*A3310,-7*A3310))+J$129*EXP(IF(A3310&lt;0,(10-8)*A3310,-8*A3310))+K$129*EXP(IF(A3310&lt;0,(10-9)*A3310,-9*A3310))+L$129*EXP(IF(A3310&lt;0,(10-10)*A3310,-10*A3310)),0)</x:f>
        <x:v>-190055.2077203465</x:v>
      </x:c>
      <x:c r="C3310" s="256" t="n">
        <x:f>IF(B3310=0,IF(B3309=0,0,1),IF(B3309=0,0,IF(SIGN(B3310)&lt;&gt;SIGN(B3309),1,0)))</x:f>
        <x:v>0</x:v>
      </x:c>
      <x:c r="D3310" s="256" t="n">
        <x:f>EXP(A3310-0.005)-1</x:f>
        <x:v>146.67294538347278</x:v>
      </x:c>
    </x:row>
    <x:row r="3311" ht="20" customHeight="1">
      <x:c r="A3311" s="256" t="n">
        <x:f>-12+1701*0.01</x:f>
        <x:v>5.010000000000002</x:v>
      </x:c>
      <x:c r="B3311" s="256" t="n">
        <x:f>IF(COUNT($B$129:$L$129)=11,B$129*EXP(IF(A3311&lt;0,(10-0)*A3311,-0*A3311))+C$129*EXP(IF(A3311&lt;0,(10-1)*A3311,-1*A3311))+D$129*EXP(IF(A3311&lt;0,(10-2)*A3311,-2*A3311))+E$129*EXP(IF(A3311&lt;0,(10-3)*A3311,-3*A3311))+F$129*EXP(IF(A3311&lt;0,(10-4)*A3311,-4*A3311))+G$129*EXP(IF(A3311&lt;0,(10-5)*A3311,-5*A3311))+H$129*EXP(IF(A3311&lt;0,(10-6)*A3311,-6*A3311))+I$129*EXP(IF(A3311&lt;0,(10-7)*A3311,-7*A3311))+J$129*EXP(IF(A3311&lt;0,(10-8)*A3311,-8*A3311))+K$129*EXP(IF(A3311&lt;0,(10-9)*A3311,-9*A3311))+L$129*EXP(IF(A3311&lt;0,(10-10)*A3311,-10*A3311)),0)</x:f>
        <x:v>-190054.655718927</x:v>
      </x:c>
      <x:c r="C3311" s="256" t="n">
        <x:f>IF(B3311=0,IF(B3310=0,0,1),IF(B3310=0,0,IF(SIGN(B3311)&lt;&gt;SIGN(B3310),1,0)))</x:f>
        <x:v>0</x:v>
      </x:c>
      <x:c r="D3311" s="256" t="n">
        <x:f>EXP(A3311-0.005)-1</x:f>
        <x:v>148.15708315838813</x:v>
      </x:c>
    </x:row>
    <x:row r="3312" ht="20" customHeight="1">
      <x:c r="A3312" s="256" t="n">
        <x:f>-12+1702*0.01</x:f>
        <x:v>5.02</x:v>
      </x:c>
      <x:c r="B3312" s="256" t="n">
        <x:f>IF(COUNT($B$129:$L$129)=11,B$129*EXP(IF(A3312&lt;0,(10-0)*A3312,-0*A3312))+C$129*EXP(IF(A3312&lt;0,(10-1)*A3312,-1*A3312))+D$129*EXP(IF(A3312&lt;0,(10-2)*A3312,-2*A3312))+E$129*EXP(IF(A3312&lt;0,(10-3)*A3312,-3*A3312))+F$129*EXP(IF(A3312&lt;0,(10-4)*A3312,-4*A3312))+G$129*EXP(IF(A3312&lt;0,(10-5)*A3312,-5*A3312))+H$129*EXP(IF(A3312&lt;0,(10-6)*A3312,-6*A3312))+I$129*EXP(IF(A3312&lt;0,(10-7)*A3312,-7*A3312))+J$129*EXP(IF(A3312&lt;0,(10-8)*A3312,-8*A3312))+K$129*EXP(IF(A3312&lt;0,(10-9)*A3312,-9*A3312))+L$129*EXP(IF(A3312&lt;0,(10-10)*A3312,-10*A3312)),0)</x:f>
        <x:v>-190054.10926320325</x:v>
      </x:c>
      <x:c r="C3312" s="256" t="n">
        <x:f>IF(B3312=0,IF(B3311=0,0,1),IF(B3311=0,0,IF(SIGN(B3312)&lt;&gt;SIGN(B3311),1,0)))</x:f>
        <x:v>0</x:v>
      </x:c>
      <x:c r="D3312" s="256" t="n">
        <x:f>EXP(A3312-0.005)-1</x:f>
        <x:v>149.65613676591678</x:v>
      </x:c>
    </x:row>
    <x:row r="3313" ht="20" customHeight="1">
      <x:c r="A3313" s="256" t="n">
        <x:f>-12+1703*0.01</x:f>
        <x:v>5.030000000000001</x:v>
      </x:c>
      <x:c r="B3313" s="256" t="n">
        <x:f>IF(COUNT($B$129:$L$129)=11,B$129*EXP(IF(A3313&lt;0,(10-0)*A3313,-0*A3313))+C$129*EXP(IF(A3313&lt;0,(10-1)*A3313,-1*A3313))+D$129*EXP(IF(A3313&lt;0,(10-2)*A3313,-2*A3313))+E$129*EXP(IF(A3313&lt;0,(10-3)*A3313,-3*A3313))+F$129*EXP(IF(A3313&lt;0,(10-4)*A3313,-4*A3313))+G$129*EXP(IF(A3313&lt;0,(10-5)*A3313,-5*A3313))+H$129*EXP(IF(A3313&lt;0,(10-6)*A3313,-6*A3313))+I$129*EXP(IF(A3313&lt;0,(10-7)*A3313,-7*A3313))+J$129*EXP(IF(A3313&lt;0,(10-8)*A3313,-8*A3313))+K$129*EXP(IF(A3313&lt;0,(10-9)*A3313,-9*A3313))+L$129*EXP(IF(A3313&lt;0,(10-10)*A3313,-10*A3313)),0)</x:f>
        <x:v>-190053.568296935</x:v>
      </x:c>
      <x:c r="C3313" s="256" t="n">
        <x:f>IF(B3313=0,IF(B3312=0,0,1),IF(B3312=0,0,IF(SIGN(B3313)&lt;&gt;SIGN(B3312),1,0)))</x:f>
        <x:v>0</x:v>
      </x:c>
      <x:c r="D3313" s="256" t="n">
        <x:f>EXP(A3313-0.005)-1</x:f>
        <x:v>151.17025611266976</x:v>
      </x:c>
    </x:row>
    <x:row r="3314" ht="20" customHeight="1">
      <x:c r="A3314" s="256" t="n">
        <x:f>-12+1704*0.01</x:f>
        <x:v>5.039999999999999</x:v>
      </x:c>
      <x:c r="B3314" s="256" t="n">
        <x:f>IF(COUNT($B$129:$L$129)=11,B$129*EXP(IF(A3314&lt;0,(10-0)*A3314,-0*A3314))+C$129*EXP(IF(A3314&lt;0,(10-1)*A3314,-1*A3314))+D$129*EXP(IF(A3314&lt;0,(10-2)*A3314,-2*A3314))+E$129*EXP(IF(A3314&lt;0,(10-3)*A3314,-3*A3314))+F$129*EXP(IF(A3314&lt;0,(10-4)*A3314,-4*A3314))+G$129*EXP(IF(A3314&lt;0,(10-5)*A3314,-5*A3314))+H$129*EXP(IF(A3314&lt;0,(10-6)*A3314,-6*A3314))+I$129*EXP(IF(A3314&lt;0,(10-7)*A3314,-7*A3314))+J$129*EXP(IF(A3314&lt;0,(10-8)*A3314,-8*A3314))+K$129*EXP(IF(A3314&lt;0,(10-9)*A3314,-9*A3314))+L$129*EXP(IF(A3314&lt;0,(10-10)*A3314,-10*A3314)),0)</x:f>
        <x:v>-190053.0327644629</x:v>
      </x:c>
      <x:c r="C3314" s="256" t="n">
        <x:f>IF(B3314=0,IF(B3313=0,0,1),IF(B3313=0,0,IF(SIGN(B3314)&lt;&gt;SIGN(B3313),1,0)))</x:f>
        <x:v>0</x:v>
      </x:c>
      <x:c r="D3314" s="256" t="n">
        <x:f>EXP(A3314-0.005)-1</x:f>
        <x:v>152.69959261184243</x:v>
      </x:c>
    </x:row>
    <x:row r="3315" ht="20" customHeight="1">
      <x:c r="A3315" s="256" t="n">
        <x:f>-12+1705*0.01</x:f>
        <x:v>5.050000000000001</x:v>
      </x:c>
      <x:c r="B3315" s="256" t="n">
        <x:f>IF(COUNT($B$129:$L$129)=11,B$129*EXP(IF(A3315&lt;0,(10-0)*A3315,-0*A3315))+C$129*EXP(IF(A3315&lt;0,(10-1)*A3315,-1*A3315))+D$129*EXP(IF(A3315&lt;0,(10-2)*A3315,-2*A3315))+E$129*EXP(IF(A3315&lt;0,(10-3)*A3315,-3*A3315))+F$129*EXP(IF(A3315&lt;0,(10-4)*A3315,-4*A3315))+G$129*EXP(IF(A3315&lt;0,(10-5)*A3315,-5*A3315))+H$129*EXP(IF(A3315&lt;0,(10-6)*A3315,-6*A3315))+I$129*EXP(IF(A3315&lt;0,(10-7)*A3315,-7*A3315))+J$129*EXP(IF(A3315&lt;0,(10-8)*A3315,-8*A3315))+K$129*EXP(IF(A3315&lt;0,(10-9)*A3315,-9*A3315))+L$129*EXP(IF(A3315&lt;0,(10-10)*A3315,-10*A3315)),0)</x:f>
        <x:v>-190052.50261070236</x:v>
      </x:c>
      <x:c r="C3315" s="256" t="n">
        <x:f>IF(B3315=0,IF(B3314=0,0,1),IF(B3314=0,0,IF(SIGN(B3315)&lt;&gt;SIGN(B3314),1,0)))</x:f>
        <x:v>0</x:v>
      </x:c>
      <x:c r="D3315" s="256" t="n">
        <x:f>EXP(A3315-0.005)-1</x:f>
        <x:v>154.24429919836024</x:v>
      </x:c>
    </x:row>
    <x:row r="3316" ht="20" customHeight="1">
      <x:c r="A3316" s="256" t="n">
        <x:f>-12+1706*0.01</x:f>
        <x:v>5.059999999999999</x:v>
      </x:c>
      <x:c r="B3316" s="256" t="n">
        <x:f>IF(COUNT($B$129:$L$129)=11,B$129*EXP(IF(A3316&lt;0,(10-0)*A3316,-0*A3316))+C$129*EXP(IF(A3316&lt;0,(10-1)*A3316,-1*A3316))+D$129*EXP(IF(A3316&lt;0,(10-2)*A3316,-2*A3316))+E$129*EXP(IF(A3316&lt;0,(10-3)*A3316,-3*A3316))+F$129*EXP(IF(A3316&lt;0,(10-4)*A3316,-4*A3316))+G$129*EXP(IF(A3316&lt;0,(10-5)*A3316,-5*A3316))+H$129*EXP(IF(A3316&lt;0,(10-6)*A3316,-6*A3316))+I$129*EXP(IF(A3316&lt;0,(10-7)*A3316,-7*A3316))+J$129*EXP(IF(A3316&lt;0,(10-8)*A3316,-8*A3316))+K$129*EXP(IF(A3316&lt;0,(10-9)*A3316,-9*A3316))+L$129*EXP(IF(A3316&lt;0,(10-10)*A3316,-10*A3316)),0)</x:f>
        <x:v>-190051.9777811367</x:v>
      </x:c>
      <x:c r="C3316" s="256" t="n">
        <x:f>IF(B3316=0,IF(B3315=0,0,1),IF(B3315=0,0,IF(SIGN(B3316)&lt;&gt;SIGN(B3315),1,0)))</x:f>
        <x:v>0</x:v>
      </x:c>
      <x:c r="D3316" s="256" t="n">
        <x:f>EXP(A3316-0.005)-1</x:f>
        <x:v>155.80453034416803</x:v>
      </x:c>
    </x:row>
    <x:row r="3317" ht="20" customHeight="1">
      <x:c r="A3317" s="256" t="n">
        <x:f>-12+1707*0.01</x:f>
        <x:v>5.07</x:v>
      </x:c>
      <x:c r="B3317" s="256" t="n">
        <x:f>IF(COUNT($B$129:$L$129)=11,B$129*EXP(IF(A3317&lt;0,(10-0)*A3317,-0*A3317))+C$129*EXP(IF(A3317&lt;0,(10-1)*A3317,-1*A3317))+D$129*EXP(IF(A3317&lt;0,(10-2)*A3317,-2*A3317))+E$129*EXP(IF(A3317&lt;0,(10-3)*A3317,-3*A3317))+F$129*EXP(IF(A3317&lt;0,(10-4)*A3317,-4*A3317))+G$129*EXP(IF(A3317&lt;0,(10-5)*A3317,-5*A3317))+H$129*EXP(IF(A3317&lt;0,(10-6)*A3317,-6*A3317))+I$129*EXP(IF(A3317&lt;0,(10-7)*A3317,-7*A3317))+J$129*EXP(IF(A3317&lt;0,(10-8)*A3317,-8*A3317))+K$129*EXP(IF(A3317&lt;0,(10-9)*A3317,-9*A3317))+L$129*EXP(IF(A3317&lt;0,(10-10)*A3317,-10*A3317)),0)</x:f>
        <x:v>-190051.45822181215</x:v>
      </x:c>
      <x:c r="C3317" s="256" t="n">
        <x:f>IF(B3317=0,IF(B3316=0,0,1),IF(B3316=0,0,IF(SIGN(B3317)&lt;&gt;SIGN(B3316),1,0)))</x:f>
        <x:v>0</x:v>
      </x:c>
      <x:c r="D3317" s="256" t="n">
        <x:f>EXP(A3317-0.005)-1</x:f>
        <x:v>157.38044207368168</x:v>
      </x:c>
    </x:row>
    <x:row r="3318" ht="20" customHeight="1">
      <x:c r="A3318" s="256" t="n">
        <x:f>-12+1708*0.01</x:f>
        <x:v>5.080000000000002</x:v>
      </x:c>
      <x:c r="B3318" s="256" t="n">
        <x:f>IF(COUNT($B$129:$L$129)=11,B$129*EXP(IF(A3318&lt;0,(10-0)*A3318,-0*A3318))+C$129*EXP(IF(A3318&lt;0,(10-1)*A3318,-1*A3318))+D$129*EXP(IF(A3318&lt;0,(10-2)*A3318,-2*A3318))+E$129*EXP(IF(A3318&lt;0,(10-3)*A3318,-3*A3318))+F$129*EXP(IF(A3318&lt;0,(10-4)*A3318,-4*A3318))+G$129*EXP(IF(A3318&lt;0,(10-5)*A3318,-5*A3318))+H$129*EXP(IF(A3318&lt;0,(10-6)*A3318,-6*A3318))+I$129*EXP(IF(A3318&lt;0,(10-7)*A3318,-7*A3318))+J$129*EXP(IF(A3318&lt;0,(10-8)*A3318,-8*A3318))+K$129*EXP(IF(A3318&lt;0,(10-9)*A3318,-9*A3318))+L$129*EXP(IF(A3318&lt;0,(10-10)*A3318,-10*A3318)),0)</x:f>
        <x:v>-190050.9438793309</x:v>
      </x:c>
      <x:c r="C3318" s="256" t="n">
        <x:f>IF(B3318=0,IF(B3317=0,0,1),IF(B3317=0,0,IF(SIGN(B3318)&lt;&gt;SIGN(B3317),1,0)))</x:f>
        <x:v>0</x:v>
      </x:c>
      <x:c r="D3318" s="256" t="n">
        <x:f>EXP(A3318-0.005)-1</x:f>
        <x:v>158.97219197938682</x:v>
      </x:c>
    </x:row>
    <x:row r="3319" ht="20" customHeight="1">
      <x:c r="A3319" s="256" t="n">
        <x:f>-12+1709*0.01</x:f>
        <x:v>5.09</x:v>
      </x:c>
      <x:c r="B3319" s="256" t="n">
        <x:f>IF(COUNT($B$129:$L$129)=11,B$129*EXP(IF(A3319&lt;0,(10-0)*A3319,-0*A3319))+C$129*EXP(IF(A3319&lt;0,(10-1)*A3319,-1*A3319))+D$129*EXP(IF(A3319&lt;0,(10-2)*A3319,-2*A3319))+E$129*EXP(IF(A3319&lt;0,(10-3)*A3319,-3*A3319))+F$129*EXP(IF(A3319&lt;0,(10-4)*A3319,-4*A3319))+G$129*EXP(IF(A3319&lt;0,(10-5)*A3319,-5*A3319))+H$129*EXP(IF(A3319&lt;0,(10-6)*A3319,-6*A3319))+I$129*EXP(IF(A3319&lt;0,(10-7)*A3319,-7*A3319))+J$129*EXP(IF(A3319&lt;0,(10-8)*A3319,-8*A3319))+K$129*EXP(IF(A3319&lt;0,(10-9)*A3319,-9*A3319))+L$129*EXP(IF(A3319&lt;0,(10-10)*A3319,-10*A3319)),0)</x:f>
        <x:v>-190050.43470084594</x:v>
      </x:c>
      <x:c r="C3319" s="256" t="n">
        <x:f>IF(B3319=0,IF(B3318=0,0,1),IF(B3318=0,0,IF(SIGN(B3319)&lt;&gt;SIGN(B3318),1,0)))</x:f>
        <x:v>0</x:v>
      </x:c>
      <x:c r="D3319" s="256" t="n">
        <x:f>EXP(A3319-0.005)-1</x:f>
        <x:v>160.57993923759994</x:v>
      </x:c>
    </x:row>
    <x:row r="3320" ht="20" customHeight="1">
      <x:c r="A3320" s="256" t="n">
        <x:f>-12+1710*0.01</x:f>
        <x:v>5.100000000000001</x:v>
      </x:c>
      <x:c r="B3320" s="256" t="n">
        <x:f>IF(COUNT($B$129:$L$129)=11,B$129*EXP(IF(A3320&lt;0,(10-0)*A3320,-0*A3320))+C$129*EXP(IF(A3320&lt;0,(10-1)*A3320,-1*A3320))+D$129*EXP(IF(A3320&lt;0,(10-2)*A3320,-2*A3320))+E$129*EXP(IF(A3320&lt;0,(10-3)*A3320,-3*A3320))+F$129*EXP(IF(A3320&lt;0,(10-4)*A3320,-4*A3320))+G$129*EXP(IF(A3320&lt;0,(10-5)*A3320,-5*A3320))+H$129*EXP(IF(A3320&lt;0,(10-6)*A3320,-6*A3320))+I$129*EXP(IF(A3320&lt;0,(10-7)*A3320,-7*A3320))+J$129*EXP(IF(A3320&lt;0,(10-8)*A3320,-8*A3320))+K$129*EXP(IF(A3320&lt;0,(10-9)*A3320,-9*A3320))+L$129*EXP(IF(A3320&lt;0,(10-10)*A3320,-10*A3320)),0)</x:f>
        <x:v>-190049.93063405456</x:v>
      </x:c>
      <x:c r="C3320" s="256" t="n">
        <x:f>IF(B3320=0,IF(B3319=0,0,1),IF(B3319=0,0,IF(SIGN(B3320)&lt;&gt;SIGN(B3319),1,0)))</x:f>
        <x:v>0</x:v>
      </x:c>
      <x:c r="D3320" s="256" t="n">
        <x:f>EXP(A3320-0.005)-1</x:f>
        <x:v>162.20384462438778</x:v>
      </x:c>
    </x:row>
    <x:row r="3321" ht="20" customHeight="1">
      <x:c r="A3321" s="256" t="n">
        <x:f>-12+1711*0.01</x:f>
        <x:v>5.109999999999999</x:v>
      </x:c>
      <x:c r="B3321" s="256" t="n">
        <x:f>IF(COUNT($B$129:$L$129)=11,B$129*EXP(IF(A3321&lt;0,(10-0)*A3321,-0*A3321))+C$129*EXP(IF(A3321&lt;0,(10-1)*A3321,-1*A3321))+D$129*EXP(IF(A3321&lt;0,(10-2)*A3321,-2*A3321))+E$129*EXP(IF(A3321&lt;0,(10-3)*A3321,-3*A3321))+F$129*EXP(IF(A3321&lt;0,(10-4)*A3321,-4*A3321))+G$129*EXP(IF(A3321&lt;0,(10-5)*A3321,-5*A3321))+H$129*EXP(IF(A3321&lt;0,(10-6)*A3321,-6*A3321))+I$129*EXP(IF(A3321&lt;0,(10-7)*A3321,-7*A3321))+J$129*EXP(IF(A3321&lt;0,(10-8)*A3321,-8*A3321))+K$129*EXP(IF(A3321&lt;0,(10-9)*A3321,-9*A3321))+L$129*EXP(IF(A3321&lt;0,(10-10)*A3321,-10*A3321)),0)</x:f>
        <x:v>-190049.43162719294</x:v>
      </x:c>
      <x:c r="C3321" s="256" t="n">
        <x:f>IF(B3321=0,IF(B3320=0,0,1),IF(B3320=0,0,IF(SIGN(B3321)&lt;&gt;SIGN(B3320),1,0)))</x:f>
        <x:v>0</x:v>
      </x:c>
      <x:c r="D3321" s="256" t="n">
        <x:f>EXP(A3321-0.005)-1</x:f>
        <x:v>163.84407053164117</x:v>
      </x:c>
    </x:row>
    <x:row r="3322" ht="20" customHeight="1">
      <x:c r="A3322" s="256" t="n">
        <x:f>-12+1712*0.01</x:f>
        <x:v>5.120000000000001</x:v>
      </x:c>
      <x:c r="B3322" s="256" t="n">
        <x:f>IF(COUNT($B$129:$L$129)=11,B$129*EXP(IF(A3322&lt;0,(10-0)*A3322,-0*A3322))+C$129*EXP(IF(A3322&lt;0,(10-1)*A3322,-1*A3322))+D$129*EXP(IF(A3322&lt;0,(10-2)*A3322,-2*A3322))+E$129*EXP(IF(A3322&lt;0,(10-3)*A3322,-3*A3322))+F$129*EXP(IF(A3322&lt;0,(10-4)*A3322,-4*A3322))+G$129*EXP(IF(A3322&lt;0,(10-5)*A3322,-5*A3322))+H$129*EXP(IF(A3322&lt;0,(10-6)*A3322,-6*A3322))+I$129*EXP(IF(A3322&lt;0,(10-7)*A3322,-7*A3322))+J$129*EXP(IF(A3322&lt;0,(10-8)*A3322,-8*A3322))+K$129*EXP(IF(A3322&lt;0,(10-9)*A3322,-9*A3322))+L$129*EXP(IF(A3322&lt;0,(10-10)*A3322,-10*A3322)),0)</x:f>
        <x:v>-190048.93762903035</x:v>
      </x:c>
      <x:c r="C3322" s="256" t="n">
        <x:f>IF(B3322=0,IF(B3321=0,0,1),IF(B3321=0,0,IF(SIGN(B3322)&lt;&gt;SIGN(B3321),1,0)))</x:f>
        <x:v>0</x:v>
      </x:c>
      <x:c r="D3322" s="256" t="n">
        <x:f>EXP(A3322-0.005)-1</x:f>
        <x:v>165.5007809833188</x:v>
      </x:c>
    </x:row>
    <x:row r="3323" ht="20" customHeight="1">
      <x:c r="A3323" s="256" t="n">
        <x:f>-12+1713*0.01</x:f>
        <x:v>5.129999999999999</x:v>
      </x:c>
      <x:c r="B3323" s="256" t="n">
        <x:f>IF(COUNT($B$129:$L$129)=11,B$129*EXP(IF(A3323&lt;0,(10-0)*A3323,-0*A3323))+C$129*EXP(IF(A3323&lt;0,(10-1)*A3323,-1*A3323))+D$129*EXP(IF(A3323&lt;0,(10-2)*A3323,-2*A3323))+E$129*EXP(IF(A3323&lt;0,(10-3)*A3323,-3*A3323))+F$129*EXP(IF(A3323&lt;0,(10-4)*A3323,-4*A3323))+G$129*EXP(IF(A3323&lt;0,(10-5)*A3323,-5*A3323))+H$129*EXP(IF(A3323&lt;0,(10-6)*A3323,-6*A3323))+I$129*EXP(IF(A3323&lt;0,(10-7)*A3323,-7*A3323))+J$129*EXP(IF(A3323&lt;0,(10-8)*A3323,-8*A3323))+K$129*EXP(IF(A3323&lt;0,(10-9)*A3323,-9*A3323))+L$129*EXP(IF(A3323&lt;0,(10-10)*A3323,-10*A3323)),0)</x:f>
        <x:v>-190048.44858886342</x:v>
      </x:c>
      <x:c r="C3323" s="256" t="n">
        <x:f>IF(B3323=0,IF(B3322=0,0,1),IF(B3322=0,0,IF(SIGN(B3323)&lt;&gt;SIGN(B3322),1,0)))</x:f>
        <x:v>0</x:v>
      </x:c>
      <x:c r="D3323" s="256" t="n">
        <x:f>EXP(A3323-0.005)-1</x:f>
        <x:v>167.1741416518453</x:v>
      </x:c>
    </x:row>
    <x:row r="3324" ht="20" customHeight="1">
      <x:c r="A3324" s="256" t="n">
        <x:f>-12+1714*0.01</x:f>
        <x:v>5.140000000000001</x:v>
      </x:c>
      <x:c r="B3324" s="256" t="n">
        <x:f>IF(COUNT($B$129:$L$129)=11,B$129*EXP(IF(A3324&lt;0,(10-0)*A3324,-0*A3324))+C$129*EXP(IF(A3324&lt;0,(10-1)*A3324,-1*A3324))+D$129*EXP(IF(A3324&lt;0,(10-2)*A3324,-2*A3324))+E$129*EXP(IF(A3324&lt;0,(10-3)*A3324,-3*A3324))+F$129*EXP(IF(A3324&lt;0,(10-4)*A3324,-4*A3324))+G$129*EXP(IF(A3324&lt;0,(10-5)*A3324,-5*A3324))+H$129*EXP(IF(A3324&lt;0,(10-6)*A3324,-6*A3324))+I$129*EXP(IF(A3324&lt;0,(10-7)*A3324,-7*A3324))+J$129*EXP(IF(A3324&lt;0,(10-8)*A3324,-8*A3324))+K$129*EXP(IF(A3324&lt;0,(10-9)*A3324,-9*A3324))+L$129*EXP(IF(A3324&lt;0,(10-10)*A3324,-10*A3324)),0)</x:f>
        <x:v>-190047.96445651047</x:v>
      </x:c>
      <x:c r="C3324" s="256" t="n">
        <x:f>IF(B3324=0,IF(B3323=0,0,1),IF(B3323=0,0,IF(SIGN(B3324)&lt;&gt;SIGN(B3323),1,0)))</x:f>
        <x:v>0</x:v>
      </x:c>
      <x:c r="D3324" s="256" t="n">
        <x:f>EXP(A3324-0.005)-1</x:f>
        <x:v>168.86431987468316</x:v>
      </x:c>
    </x:row>
    <x:row r="3325" ht="20" customHeight="1">
      <x:c r="A3325" s="256" t="n">
        <x:f>-12+1715*0.01</x:f>
        <x:v>5.150000000000002</x:v>
      </x:c>
      <x:c r="B3325" s="256" t="n">
        <x:f>IF(COUNT($B$129:$L$129)=11,B$129*EXP(IF(A3325&lt;0,(10-0)*A3325,-0*A3325))+C$129*EXP(IF(A3325&lt;0,(10-1)*A3325,-1*A3325))+D$129*EXP(IF(A3325&lt;0,(10-2)*A3325,-2*A3325))+E$129*EXP(IF(A3325&lt;0,(10-3)*A3325,-3*A3325))+F$129*EXP(IF(A3325&lt;0,(10-4)*A3325,-4*A3325))+G$129*EXP(IF(A3325&lt;0,(10-5)*A3325,-5*A3325))+H$129*EXP(IF(A3325&lt;0,(10-6)*A3325,-6*A3325))+I$129*EXP(IF(A3325&lt;0,(10-7)*A3325,-7*A3325))+J$129*EXP(IF(A3325&lt;0,(10-8)*A3325,-8*A3325))+K$129*EXP(IF(A3325&lt;0,(10-9)*A3325,-9*A3325))+L$129*EXP(IF(A3325&lt;0,(10-10)*A3325,-10*A3325)),0)</x:f>
        <x:v>-190047.48518230635</x:v>
      </x:c>
      <x:c r="C3325" s="256" t="n">
        <x:f>IF(B3325=0,IF(B3324=0,0,1),IF(B3324=0,0,IF(SIGN(B3325)&lt;&gt;SIGN(B3324),1,0)))</x:f>
        <x:v>0</x:v>
      </x:c>
      <x:c r="D3325" s="256" t="n">
        <x:f>EXP(A3325-0.005)-1</x:f>
        <x:v>170.57148467106256</x:v>
      </x:c>
    </x:row>
    <x:row r="3326" ht="20" customHeight="1">
      <x:c r="A3326" s="256" t="n">
        <x:f>-12+1716*0.01</x:f>
        <x:v>5.16</x:v>
      </x:c>
      <x:c r="B3326" s="256" t="n">
        <x:f>IF(COUNT($B$129:$L$129)=11,B$129*EXP(IF(A3326&lt;0,(10-0)*A3326,-0*A3326))+C$129*EXP(IF(A3326&lt;0,(10-1)*A3326,-1*A3326))+D$129*EXP(IF(A3326&lt;0,(10-2)*A3326,-2*A3326))+E$129*EXP(IF(A3326&lt;0,(10-3)*A3326,-3*A3326))+F$129*EXP(IF(A3326&lt;0,(10-4)*A3326,-4*A3326))+G$129*EXP(IF(A3326&lt;0,(10-5)*A3326,-5*A3326))+H$129*EXP(IF(A3326&lt;0,(10-6)*A3326,-6*A3326))+I$129*EXP(IF(A3326&lt;0,(10-7)*A3326,-7*A3326))+J$129*EXP(IF(A3326&lt;0,(10-8)*A3326,-8*A3326))+K$129*EXP(IF(A3326&lt;0,(10-9)*A3326,-9*A3326))+L$129*EXP(IF(A3326&lt;0,(10-10)*A3326,-10*A3326)),0)</x:f>
        <x:v>-190047.01071709645</x:v>
      </x:c>
      <x:c r="C3326" s="256" t="n">
        <x:f>IF(B3326=0,IF(B3325=0,0,1),IF(B3325=0,0,IF(SIGN(B3326)&lt;&gt;SIGN(B3325),1,0)))</x:f>
        <x:v>0</x:v>
      </x:c>
      <x:c r="D3326" s="256" t="n">
        <x:f>EXP(A3326-0.005)-1</x:f>
        <x:v>172.2958067588852</x:v>
      </x:c>
    </x:row>
    <x:row r="3327" ht="20" customHeight="1">
      <x:c r="A3327" s="256" t="n">
        <x:f>-12+1717*0.01</x:f>
        <x:v>5.170000000000002</x:v>
      </x:c>
      <x:c r="B3327" s="256" t="n">
        <x:f>IF(COUNT($B$129:$L$129)=11,B$129*EXP(IF(A3327&lt;0,(10-0)*A3327,-0*A3327))+C$129*EXP(IF(A3327&lt;0,(10-1)*A3327,-1*A3327))+D$129*EXP(IF(A3327&lt;0,(10-2)*A3327,-2*A3327))+E$129*EXP(IF(A3327&lt;0,(10-3)*A3327,-3*A3327))+F$129*EXP(IF(A3327&lt;0,(10-4)*A3327,-4*A3327))+G$129*EXP(IF(A3327&lt;0,(10-5)*A3327,-5*A3327))+H$129*EXP(IF(A3327&lt;0,(10-6)*A3327,-6*A3327))+I$129*EXP(IF(A3327&lt;0,(10-7)*A3327,-7*A3327))+J$129*EXP(IF(A3327&lt;0,(10-8)*A3327,-8*A3327))+K$129*EXP(IF(A3327&lt;0,(10-9)*A3327,-9*A3327))+L$129*EXP(IF(A3327&lt;0,(10-10)*A3327,-10*A3327)),0)</x:f>
        <x:v>-190046.54101223155</x:v>
      </x:c>
      <x:c r="C3327" s="256" t="n">
        <x:f>IF(B3327=0,IF(B3326=0,0,1),IF(B3326=0,0,IF(SIGN(B3327)&lt;&gt;SIGN(B3326),1,0)))</x:f>
        <x:v>0</x:v>
      </x:c>
      <x:c r="D3327" s="256" t="n">
        <x:f>EXP(A3327-0.005)-1</x:f>
        <x:v>174.03745857179794</x:v>
      </x:c>
    </x:row>
    <x:row r="3328" ht="20" customHeight="1">
      <x:c r="A3328" s="256" t="n">
        <x:f>-12+1718*0.01</x:f>
        <x:v>5.18</x:v>
      </x:c>
      <x:c r="B3328" s="256" t="n">
        <x:f>IF(COUNT($B$129:$L$129)=11,B$129*EXP(IF(A3328&lt;0,(10-0)*A3328,-0*A3328))+C$129*EXP(IF(A3328&lt;0,(10-1)*A3328,-1*A3328))+D$129*EXP(IF(A3328&lt;0,(10-2)*A3328,-2*A3328))+E$129*EXP(IF(A3328&lt;0,(10-3)*A3328,-3*A3328))+F$129*EXP(IF(A3328&lt;0,(10-4)*A3328,-4*A3328))+G$129*EXP(IF(A3328&lt;0,(10-5)*A3328,-5*A3328))+H$129*EXP(IF(A3328&lt;0,(10-6)*A3328,-6*A3328))+I$129*EXP(IF(A3328&lt;0,(10-7)*A3328,-7*A3328))+J$129*EXP(IF(A3328&lt;0,(10-8)*A3328,-8*A3328))+K$129*EXP(IF(A3328&lt;0,(10-9)*A3328,-9*A3328))+L$129*EXP(IF(A3328&lt;0,(10-10)*A3328,-10*A3328)),0)</x:f>
        <x:v>-190046.0760195625</x:v>
      </x:c>
      <x:c r="C3328" s="256" t="n">
        <x:f>IF(B3328=0,IF(B3327=0,0,1),IF(B3327=0,0,IF(SIGN(B3328)&lt;&gt;SIGN(B3327),1,0)))</x:f>
        <x:v>0</x:v>
      </x:c>
      <x:c r="D3328" s="256" t="n">
        <x:f>EXP(A3328-0.005)-1</x:f>
        <x:v>175.7966142764323</x:v>
      </x:c>
    </x:row>
    <x:row r="3329" ht="20" customHeight="1">
      <x:c r="A3329" s="256" t="n">
        <x:f>-12+1719*0.01</x:f>
        <x:v>5.190000000000001</x:v>
      </x:c>
      <x:c r="B3329" s="256" t="n">
        <x:f>IF(COUNT($B$129:$L$129)=11,B$129*EXP(IF(A3329&lt;0,(10-0)*A3329,-0*A3329))+C$129*EXP(IF(A3329&lt;0,(10-1)*A3329,-1*A3329))+D$129*EXP(IF(A3329&lt;0,(10-2)*A3329,-2*A3329))+E$129*EXP(IF(A3329&lt;0,(10-3)*A3329,-3*A3329))+F$129*EXP(IF(A3329&lt;0,(10-4)*A3329,-4*A3329))+G$129*EXP(IF(A3329&lt;0,(10-5)*A3329,-5*A3329))+H$129*EXP(IF(A3329&lt;0,(10-6)*A3329,-6*A3329))+I$129*EXP(IF(A3329&lt;0,(10-7)*A3329,-7*A3329))+J$129*EXP(IF(A3329&lt;0,(10-8)*A3329,-8*A3329))+K$129*EXP(IF(A3329&lt;0,(10-9)*A3329,-9*A3329))+L$129*EXP(IF(A3329&lt;0,(10-10)*A3329,-10*A3329)),0)</x:f>
        <x:v>-190045.61569143482</x:v>
      </x:c>
      <x:c r="C3329" s="256" t="n">
        <x:f>IF(B3329=0,IF(B3328=0,0,1),IF(B3328=0,0,IF(SIGN(B3329)&lt;&gt;SIGN(B3328),1,0)))</x:f>
        <x:v>0</x:v>
      </x:c>
      <x:c r="D3329" s="256" t="n">
        <x:f>EXP(A3329-0.005)-1</x:f>
        <x:v>177.57344978982593</x:v>
      </x:c>
    </x:row>
    <x:row r="3330" ht="20" customHeight="1">
      <x:c r="A3330" s="256" t="n">
        <x:f>-12+1720*0.01</x:f>
        <x:v>5.199999999999999</x:v>
      </x:c>
      <x:c r="B3330" s="256" t="n">
        <x:f>IF(COUNT($B$129:$L$129)=11,B$129*EXP(IF(A3330&lt;0,(10-0)*A3330,-0*A3330))+C$129*EXP(IF(A3330&lt;0,(10-1)*A3330,-1*A3330))+D$129*EXP(IF(A3330&lt;0,(10-2)*A3330,-2*A3330))+E$129*EXP(IF(A3330&lt;0,(10-3)*A3330,-3*A3330))+F$129*EXP(IF(A3330&lt;0,(10-4)*A3330,-4*A3330))+G$129*EXP(IF(A3330&lt;0,(10-5)*A3330,-5*A3330))+H$129*EXP(IF(A3330&lt;0,(10-6)*A3330,-6*A3330))+I$129*EXP(IF(A3330&lt;0,(10-7)*A3330,-7*A3330))+J$129*EXP(IF(A3330&lt;0,(10-8)*A3330,-8*A3330))+K$129*EXP(IF(A3330&lt;0,(10-9)*A3330,-9*A3330))+L$129*EXP(IF(A3330&lt;0,(10-10)*A3330,-10*A3330)),0)</x:f>
        <x:v>-190045.15998068356</x:v>
      </x:c>
      <x:c r="C3330" s="256" t="n">
        <x:f>IF(B3330=0,IF(B3329=0,0,1),IF(B3329=0,0,IF(SIGN(B3330)&lt;&gt;SIGN(B3329),1,0)))</x:f>
        <x:v>0</x:v>
      </x:c>
      <x:c r="D3330" s="256" t="n">
        <x:f>EXP(A3330-0.005)-1</x:f>
        <x:v>179.36814279700963</x:v>
      </x:c>
    </x:row>
    <x:row r="3331" ht="20" customHeight="1">
      <x:c r="A3331" s="256" t="n">
        <x:f>-12+1721*0.01</x:f>
        <x:v>5.210000000000001</x:v>
      </x:c>
      <x:c r="B3331" s="256" t="n">
        <x:f>IF(COUNT($B$129:$L$129)=11,B$129*EXP(IF(A3331&lt;0,(10-0)*A3331,-0*A3331))+C$129*EXP(IF(A3331&lt;0,(10-1)*A3331,-1*A3331))+D$129*EXP(IF(A3331&lt;0,(10-2)*A3331,-2*A3331))+E$129*EXP(IF(A3331&lt;0,(10-3)*A3331,-3*A3331))+F$129*EXP(IF(A3331&lt;0,(10-4)*A3331,-4*A3331))+G$129*EXP(IF(A3331&lt;0,(10-5)*A3331,-5*A3331))+H$129*EXP(IF(A3331&lt;0,(10-6)*A3331,-6*A3331))+I$129*EXP(IF(A3331&lt;0,(10-7)*A3331,-7*A3331))+J$129*EXP(IF(A3331&lt;0,(10-8)*A3331,-8*A3331))+K$129*EXP(IF(A3331&lt;0,(10-9)*A3331,-9*A3331))+L$129*EXP(IF(A3331&lt;0,(10-10)*A3331,-10*A3331)),0)</x:f>
        <x:v>-190044.70884062813</x:v>
      </x:c>
      <x:c r="C3331" s="256" t="n">
        <x:f>IF(B3331=0,IF(B3330=0,0,1),IF(B3330=0,0,IF(SIGN(B3331)&lt;&gt;SIGN(B3330),1,0)))</x:f>
        <x:v>0</x:v>
      </x:c>
      <x:c r="D3331" s="256" t="n">
        <x:f>EXP(A3331-0.005)-1</x:f>
        <x:v>181.18087276878094</x:v>
      </x:c>
    </x:row>
    <x:row r="3332" ht="20" customHeight="1">
      <x:c r="A3332" s="256" t="n">
        <x:f>-12+1722*0.01</x:f>
        <x:v>5.219999999999999</x:v>
      </x:c>
      <x:c r="B3332" s="256" t="n">
        <x:f>IF(COUNT($B$129:$L$129)=11,B$129*EXP(IF(A3332&lt;0,(10-0)*A3332,-0*A3332))+C$129*EXP(IF(A3332&lt;0,(10-1)*A3332,-1*A3332))+D$129*EXP(IF(A3332&lt;0,(10-2)*A3332,-2*A3332))+E$129*EXP(IF(A3332&lt;0,(10-3)*A3332,-3*A3332))+F$129*EXP(IF(A3332&lt;0,(10-4)*A3332,-4*A3332))+G$129*EXP(IF(A3332&lt;0,(10-5)*A3332,-5*A3332))+H$129*EXP(IF(A3332&lt;0,(10-6)*A3332,-6*A3332))+I$129*EXP(IF(A3332&lt;0,(10-7)*A3332,-7*A3332))+J$129*EXP(IF(A3332&lt;0,(10-8)*A3332,-8*A3332))+K$129*EXP(IF(A3332&lt;0,(10-9)*A3332,-9*A3332))+L$129*EXP(IF(A3332&lt;0,(10-10)*A3332,-10*A3332)),0)</x:f>
        <x:v>-190044.26222506695</x:v>
      </x:c>
      <x:c r="C3332" s="256" t="n">
        <x:f>IF(B3332=0,IF(B3331=0,0,1),IF(B3331=0,0,IF(SIGN(B3332)&lt;&gt;SIGN(B3331),1,0)))</x:f>
        <x:v>0</x:v>
      </x:c>
      <x:c r="D3332" s="256" t="n">
        <x:f>EXP(A3332-0.005)-1</x:f>
        <x:v>183.0118209796464</x:v>
      </x:c>
    </x:row>
    <x:row r="3333" ht="20" customHeight="1">
      <x:c r="A3333" s="256" t="n">
        <x:f>-12+1723*0.01</x:f>
        <x:v>5.23</x:v>
      </x:c>
      <x:c r="B3333" s="256" t="n">
        <x:f>IF(COUNT($B$129:$L$129)=11,B$129*EXP(IF(A3333&lt;0,(10-0)*A3333,-0*A3333))+C$129*EXP(IF(A3333&lt;0,(10-1)*A3333,-1*A3333))+D$129*EXP(IF(A3333&lt;0,(10-2)*A3333,-2*A3333))+E$129*EXP(IF(A3333&lt;0,(10-3)*A3333,-3*A3333))+F$129*EXP(IF(A3333&lt;0,(10-4)*A3333,-4*A3333))+G$129*EXP(IF(A3333&lt;0,(10-5)*A3333,-5*A3333))+H$129*EXP(IF(A3333&lt;0,(10-6)*A3333,-6*A3333))+I$129*EXP(IF(A3333&lt;0,(10-7)*A3333,-7*A3333))+J$129*EXP(IF(A3333&lt;0,(10-8)*A3333,-8*A3333))+K$129*EXP(IF(A3333&lt;0,(10-9)*A3333,-9*A3333))+L$129*EXP(IF(A3333&lt;0,(10-10)*A3333,-10*A3333)),0)</x:f>
        <x:v>-190043.8200882726</x:v>
      </x:c>
      <x:c r="C3333" s="256" t="n">
        <x:f>IF(B3333=0,IF(B3332=0,0,1),IF(B3332=0,0,IF(SIGN(B3333)&lt;&gt;SIGN(B3332),1,0)))</x:f>
        <x:v>0</x:v>
      </x:c>
      <x:c r="D3333" s="256" t="n">
        <x:f>EXP(A3333-0.005)-1</x:f>
        <x:v>184.86117052595415</x:v>
      </x:c>
    </x:row>
    <x:row r="3334" ht="20" customHeight="1">
      <x:c r="A3334" s="256" t="n">
        <x:f>-12+1724*0.01</x:f>
        <x:v>5.240000000000002</x:v>
      </x:c>
      <x:c r="B3334" s="256" t="n">
        <x:f>IF(COUNT($B$129:$L$129)=11,B$129*EXP(IF(A3334&lt;0,(10-0)*A3334,-0*A3334))+C$129*EXP(IF(A3334&lt;0,(10-1)*A3334,-1*A3334))+D$129*EXP(IF(A3334&lt;0,(10-2)*A3334,-2*A3334))+E$129*EXP(IF(A3334&lt;0,(10-3)*A3334,-3*A3334))+F$129*EXP(IF(A3334&lt;0,(10-4)*A3334,-4*A3334))+G$129*EXP(IF(A3334&lt;0,(10-5)*A3334,-5*A3334))+H$129*EXP(IF(A3334&lt;0,(10-6)*A3334,-6*A3334))+I$129*EXP(IF(A3334&lt;0,(10-7)*A3334,-7*A3334))+J$129*EXP(IF(A3334&lt;0,(10-8)*A3334,-8*A3334))+K$129*EXP(IF(A3334&lt;0,(10-9)*A3334,-9*A3334))+L$129*EXP(IF(A3334&lt;0,(10-10)*A3334,-10*A3334)),0)</x:f>
        <x:v>-190043.38238498688</x:v>
      </x:c>
      <x:c r="C3334" s="256" t="n">
        <x:f>IF(B3334=0,IF(B3333=0,0,1),IF(B3333=0,0,IF(SIGN(B3334)&lt;&gt;SIGN(B3333),1,0)))</x:f>
        <x:v>0</x:v>
      </x:c>
      <x:c r="D3334" s="256" t="n">
        <x:f>EXP(A3334-0.005)-1</x:f>
        <x:v>186.72910634419932</x:v>
      </x:c>
    </x:row>
    <x:row r="3335" ht="20" customHeight="1">
      <x:c r="A3335" s="256" t="n">
        <x:f>-12+1725*0.01</x:f>
        <x:v>5.25</x:v>
      </x:c>
      <x:c r="B3335" s="256" t="n">
        <x:f>IF(COUNT($B$129:$L$129)=11,B$129*EXP(IF(A3335&lt;0,(10-0)*A3335,-0*A3335))+C$129*EXP(IF(A3335&lt;0,(10-1)*A3335,-1*A3335))+D$129*EXP(IF(A3335&lt;0,(10-2)*A3335,-2*A3335))+E$129*EXP(IF(A3335&lt;0,(10-3)*A3335,-3*A3335))+F$129*EXP(IF(A3335&lt;0,(10-4)*A3335,-4*A3335))+G$129*EXP(IF(A3335&lt;0,(10-5)*A3335,-5*A3335))+H$129*EXP(IF(A3335&lt;0,(10-6)*A3335,-6*A3335))+I$129*EXP(IF(A3335&lt;0,(10-7)*A3335,-7*A3335))+J$129*EXP(IF(A3335&lt;0,(10-8)*A3335,-8*A3335))+K$129*EXP(IF(A3335&lt;0,(10-9)*A3335,-9*A3335))+L$129*EXP(IF(A3335&lt;0,(10-10)*A3335,-10*A3335)),0)</x:f>
        <x:v>-190042.94907041572</x:v>
      </x:c>
      <x:c r="C3335" s="256" t="n">
        <x:f>IF(B3335=0,IF(B3334=0,0,1),IF(B3334=0,0,IF(SIGN(B3335)&lt;&gt;SIGN(B3334),1,0)))</x:f>
        <x:v>0</x:v>
      </x:c>
      <x:c r="D3335" s="256" t="n">
        <x:f>EXP(A3335-0.005)-1</x:f>
        <x:v>188.6158152295197</x:v>
      </x:c>
    </x:row>
    <x:row r="3336" ht="20" customHeight="1">
      <x:c r="A3336" s="256" t="n">
        <x:f>-12+1726*0.01</x:f>
        <x:v>5.260000000000002</x:v>
      </x:c>
      <x:c r="B3336" s="256" t="n">
        <x:f>IF(COUNT($B$129:$L$129)=11,B$129*EXP(IF(A3336&lt;0,(10-0)*A3336,-0*A3336))+C$129*EXP(IF(A3336&lt;0,(10-1)*A3336,-1*A3336))+D$129*EXP(IF(A3336&lt;0,(10-2)*A3336,-2*A3336))+E$129*EXP(IF(A3336&lt;0,(10-3)*A3336,-3*A3336))+F$129*EXP(IF(A3336&lt;0,(10-4)*A3336,-4*A3336))+G$129*EXP(IF(A3336&lt;0,(10-5)*A3336,-5*A3336))+H$129*EXP(IF(A3336&lt;0,(10-6)*A3336,-6*A3336))+I$129*EXP(IF(A3336&lt;0,(10-7)*A3336,-7*A3336))+J$129*EXP(IF(A3336&lt;0,(10-8)*A3336,-8*A3336))+K$129*EXP(IF(A3336&lt;0,(10-9)*A3336,-9*A3336))+L$129*EXP(IF(A3336&lt;0,(10-10)*A3336,-10*A3336)),0)</x:f>
        <x:v>-190042.52010022433</x:v>
      </x:c>
      <x:c r="C3336" s="256" t="n">
        <x:f>IF(B3336=0,IF(B3335=0,0,1),IF(B3335=0,0,IF(SIGN(B3336)&lt;&gt;SIGN(B3335),1,0)))</x:f>
        <x:v>0</x:v>
      </x:c>
      <x:c r="D3336" s="256" t="n">
        <x:f>EXP(A3336-0.005)-1</x:f>
        <x:v>190.52148585437743</x:v>
      </x:c>
    </x:row>
    <x:row r="3337" ht="20" customHeight="1">
      <x:c r="A3337" s="256" t="n">
        <x:f>-12+1727*0.01</x:f>
        <x:v>5.27</x:v>
      </x:c>
      <x:c r="B3337" s="256" t="n">
        <x:f>IF(COUNT($B$129:$L$129)=11,B$129*EXP(IF(A3337&lt;0,(10-0)*A3337,-0*A3337))+C$129*EXP(IF(A3337&lt;0,(10-1)*A3337,-1*A3337))+D$129*EXP(IF(A3337&lt;0,(10-2)*A3337,-2*A3337))+E$129*EXP(IF(A3337&lt;0,(10-3)*A3337,-3*A3337))+F$129*EXP(IF(A3337&lt;0,(10-4)*A3337,-4*A3337))+G$129*EXP(IF(A3337&lt;0,(10-5)*A3337,-5*A3337))+H$129*EXP(IF(A3337&lt;0,(10-6)*A3337,-6*A3337))+I$129*EXP(IF(A3337&lt;0,(10-7)*A3337,-7*A3337))+J$129*EXP(IF(A3337&lt;0,(10-8)*A3337,-8*A3337))+K$129*EXP(IF(A3337&lt;0,(10-9)*A3337,-9*A3337))+L$129*EXP(IF(A3337&lt;0,(10-10)*A3337,-10*A3337)),0)</x:f>
        <x:v>-190042.09543053218</x:v>
      </x:c>
      <x:c r="C3337" s="256" t="n">
        <x:f>IF(B3337=0,IF(B3336=0,0,1),IF(B3336=0,0,IF(SIGN(B3337)&lt;&gt;SIGN(B3336),1,0)))</x:f>
        <x:v>0</x:v>
      </x:c>
      <x:c r="D3337" s="256" t="n">
        <x:f>EXP(A3337-0.005)-1</x:f>
        <x:v>192.44630878742166</x:v>
      </x:c>
    </x:row>
    <x:row r="3338" ht="20" customHeight="1">
      <x:c r="A3338" s="256" t="n">
        <x:f>-12+1728*0.01</x:f>
        <x:v>5.280000000000001</x:v>
      </x:c>
      <x:c r="B3338" s="256" t="n">
        <x:f>IF(COUNT($B$129:$L$129)=11,B$129*EXP(IF(A3338&lt;0,(10-0)*A3338,-0*A3338))+C$129*EXP(IF(A3338&lt;0,(10-1)*A3338,-1*A3338))+D$129*EXP(IF(A3338&lt;0,(10-2)*A3338,-2*A3338))+E$129*EXP(IF(A3338&lt;0,(10-3)*A3338,-3*A3338))+F$129*EXP(IF(A3338&lt;0,(10-4)*A3338,-4*A3338))+G$129*EXP(IF(A3338&lt;0,(10-5)*A3338,-5*A3338))+H$129*EXP(IF(A3338&lt;0,(10-6)*A3338,-6*A3338))+I$129*EXP(IF(A3338&lt;0,(10-7)*A3338,-7*A3338))+J$129*EXP(IF(A3338&lt;0,(10-8)*A3338,-8*A3338))+K$129*EXP(IF(A3338&lt;0,(10-9)*A3338,-9*A3338))+L$129*EXP(IF(A3338&lt;0,(10-10)*A3338,-10*A3338)),0)</x:f>
        <x:v>-190041.67501790862</x:v>
      </x:c>
      <x:c r="C3338" s="256" t="n">
        <x:f>IF(B3338=0,IF(B3337=0,0,1),IF(B3337=0,0,IF(SIGN(B3338)&lt;&gt;SIGN(B3337),1,0)))</x:f>
        <x:v>0</x:v>
      </x:c>
      <x:c r="D3338" s="256" t="n">
        <x:f>EXP(A3338-0.005)-1</x:f>
        <x:v>194.39047651255112</x:v>
      </x:c>
    </x:row>
    <x:row r="3339" ht="20" customHeight="1">
      <x:c r="A3339" s="256" t="n">
        <x:f>-12+1729*0.01</x:f>
        <x:v>5.289999999999999</x:v>
      </x:c>
      <x:c r="B3339" s="256" t="n">
        <x:f>IF(COUNT($B$129:$L$129)=11,B$129*EXP(IF(A3339&lt;0,(10-0)*A3339,-0*A3339))+C$129*EXP(IF(A3339&lt;0,(10-1)*A3339,-1*A3339))+D$129*EXP(IF(A3339&lt;0,(10-2)*A3339,-2*A3339))+E$129*EXP(IF(A3339&lt;0,(10-3)*A3339,-3*A3339))+F$129*EXP(IF(A3339&lt;0,(10-4)*A3339,-4*A3339))+G$129*EXP(IF(A3339&lt;0,(10-5)*A3339,-5*A3339))+H$129*EXP(IF(A3339&lt;0,(10-6)*A3339,-6*A3339))+I$129*EXP(IF(A3339&lt;0,(10-7)*A3339,-7*A3339))+J$129*EXP(IF(A3339&lt;0,(10-8)*A3339,-8*A3339))+K$129*EXP(IF(A3339&lt;0,(10-9)*A3339,-9*A3339))+L$129*EXP(IF(A3339&lt;0,(10-10)*A3339,-10*A3339)),0)</x:f>
        <x:v>-190041.25881936782</x:v>
      </x:c>
      <x:c r="C3339" s="256" t="n">
        <x:f>IF(B3339=0,IF(B3338=0,0,1),IF(B3338=0,0,IF(SIGN(B3339)&lt;&gt;SIGN(B3338),1,0)))</x:f>
        <x:v>0</x:v>
      </x:c>
      <x:c r="D3339" s="256" t="n">
        <x:f>EXP(A3339-0.005)-1</x:f>
        <x:v>196.35418344815707</x:v>
      </x:c>
    </x:row>
    <x:row r="3340" ht="20" customHeight="1">
      <x:c r="A3340" s="256" t="n">
        <x:f>-12+1730*0.01</x:f>
        <x:v>5.300000000000001</x:v>
      </x:c>
      <x:c r="B3340" s="256" t="n">
        <x:f>IF(COUNT($B$129:$L$129)=11,B$129*EXP(IF(A3340&lt;0,(10-0)*A3340,-0*A3340))+C$129*EXP(IF(A3340&lt;0,(10-1)*A3340,-1*A3340))+D$129*EXP(IF(A3340&lt;0,(10-2)*A3340,-2*A3340))+E$129*EXP(IF(A3340&lt;0,(10-3)*A3340,-3*A3340))+F$129*EXP(IF(A3340&lt;0,(10-4)*A3340,-4*A3340))+G$129*EXP(IF(A3340&lt;0,(10-5)*A3340,-5*A3340))+H$129*EXP(IF(A3340&lt;0,(10-6)*A3340,-6*A3340))+I$129*EXP(IF(A3340&lt;0,(10-7)*A3340,-7*A3340))+J$129*EXP(IF(A3340&lt;0,(10-8)*A3340,-8*A3340))+K$129*EXP(IF(A3340&lt;0,(10-9)*A3340,-9*A3340))+L$129*EXP(IF(A3340&lt;0,(10-10)*A3340,-10*A3340)),0)</x:f>
        <x:v>-190040.8467923641</x:v>
      </x:c>
      <x:c r="C3340" s="256" t="n">
        <x:f>IF(B3340=0,IF(B3339=0,0,1),IF(B3339=0,0,IF(SIGN(B3340)&lt;&gt;SIGN(B3339),1,0)))</x:f>
        <x:v>0</x:v>
      </x:c>
      <x:c r="D3340" s="256" t="n">
        <x:f>EXP(A3340-0.005)-1</x:f>
        <x:v>198.33762596657093</x:v>
      </x:c>
    </x:row>
    <x:row r="3341" ht="20" customHeight="1">
      <x:c r="A3341" s="256" t="n">
        <x:f>-12+1731*0.01</x:f>
        <x:v>5.309999999999999</x:v>
      </x:c>
      <x:c r="B3341" s="256" t="n">
        <x:f>IF(COUNT($B$129:$L$129)=11,B$129*EXP(IF(A3341&lt;0,(10-0)*A3341,-0*A3341))+C$129*EXP(IF(A3341&lt;0,(10-1)*A3341,-1*A3341))+D$129*EXP(IF(A3341&lt;0,(10-2)*A3341,-2*A3341))+E$129*EXP(IF(A3341&lt;0,(10-3)*A3341,-3*A3341))+F$129*EXP(IF(A3341&lt;0,(10-4)*A3341,-4*A3341))+G$129*EXP(IF(A3341&lt;0,(10-5)*A3341,-5*A3341))+H$129*EXP(IF(A3341&lt;0,(10-6)*A3341,-6*A3341))+I$129*EXP(IF(A3341&lt;0,(10-7)*A3341,-7*A3341))+J$129*EXP(IF(A3341&lt;0,(10-8)*A3341,-8*A3341))+K$129*EXP(IF(A3341&lt;0,(10-9)*A3341,-9*A3341))+L$129*EXP(IF(A3341&lt;0,(10-10)*A3341,-10*A3341)),0)</x:f>
        <x:v>-190040.43889478742</x:v>
      </x:c>
      <x:c r="C3341" s="256" t="n">
        <x:f>IF(B3341=0,IF(B3340=0,0,1),IF(B3340=0,0,IF(SIGN(B3341)&lt;&gt;SIGN(B3340),1,0)))</x:f>
        <x:v>0</x:v>
      </x:c>
      <x:c r="D3341" s="256" t="n">
        <x:f>EXP(A3341-0.005)-1</x:f>
        <x:v>200.34100241369595</x:v>
      </x:c>
    </x:row>
    <x:row r="3342" ht="20" customHeight="1">
      <x:c r="A3342" s="256" t="n">
        <x:f>-12+1732*0.01</x:f>
        <x:v>5.32</x:v>
      </x:c>
      <x:c r="B3342" s="256" t="n">
        <x:f>IF(COUNT($B$129:$L$129)=11,B$129*EXP(IF(A3342&lt;0,(10-0)*A3342,-0*A3342))+C$129*EXP(IF(A3342&lt;0,(10-1)*A3342,-1*A3342))+D$129*EXP(IF(A3342&lt;0,(10-2)*A3342,-2*A3342))+E$129*EXP(IF(A3342&lt;0,(10-3)*A3342,-3*A3342))+F$129*EXP(IF(A3342&lt;0,(10-4)*A3342,-4*A3342))+G$129*EXP(IF(A3342&lt;0,(10-5)*A3342,-5*A3342))+H$129*EXP(IF(A3342&lt;0,(10-6)*A3342,-6*A3342))+I$129*EXP(IF(A3342&lt;0,(10-7)*A3342,-7*A3342))+J$129*EXP(IF(A3342&lt;0,(10-8)*A3342,-8*A3342))+K$129*EXP(IF(A3342&lt;0,(10-9)*A3342,-9*A3342))+L$129*EXP(IF(A3342&lt;0,(10-10)*A3342,-10*A3342)),0)</x:f>
        <x:v>-190040.0350849588</x:v>
      </x:c>
      <x:c r="C3342" s="256" t="n">
        <x:f>IF(B3342=0,IF(B3341=0,0,1),IF(B3341=0,0,IF(SIGN(B3342)&lt;&gt;SIGN(B3341),1,0)))</x:f>
        <x:v>0</x:v>
      </x:c>
      <x:c r="D3342" s="256" t="n">
        <x:f>EXP(A3342-0.005)-1</x:f>
        <x:v>202.36451312884782</x:v>
      </x:c>
    </x:row>
    <x:row r="3343" ht="20" customHeight="1">
      <x:c r="A3343" s="256" t="n">
        <x:f>-12+1733*0.01</x:f>
        <x:v>5.330000000000002</x:v>
      </x:c>
      <x:c r="B3343" s="256" t="n">
        <x:f>IF(COUNT($B$129:$L$129)=11,B$129*EXP(IF(A3343&lt;0,(10-0)*A3343,-0*A3343))+C$129*EXP(IF(A3343&lt;0,(10-1)*A3343,-1*A3343))+D$129*EXP(IF(A3343&lt;0,(10-2)*A3343,-2*A3343))+E$129*EXP(IF(A3343&lt;0,(10-3)*A3343,-3*A3343))+F$129*EXP(IF(A3343&lt;0,(10-4)*A3343,-4*A3343))+G$129*EXP(IF(A3343&lt;0,(10-5)*A3343,-5*A3343))+H$129*EXP(IF(A3343&lt;0,(10-6)*A3343,-6*A3343))+I$129*EXP(IF(A3343&lt;0,(10-7)*A3343,-7*A3343))+J$129*EXP(IF(A3343&lt;0,(10-8)*A3343,-8*A3343))+K$129*EXP(IF(A3343&lt;0,(10-9)*A3343,-9*A3343))+L$129*EXP(IF(A3343&lt;0,(10-10)*A3343,-10*A3343)),0)</x:f>
        <x:v>-190039.6353216256</x:v>
      </x:c>
      <x:c r="C3343" s="256" t="n">
        <x:f>IF(B3343=0,IF(B3342=0,0,1),IF(B3342=0,0,IF(SIGN(B3343)&lt;&gt;SIGN(B3342),1,0)))</x:f>
        <x:v>0</x:v>
      </x:c>
      <x:c r="D3343" s="256" t="n">
        <x:f>EXP(A3343-0.005)-1</x:f>
        <x:v>204.40836046478353</x:v>
      </x:c>
    </x:row>
    <x:row r="3344" ht="20" customHeight="1">
      <x:c r="A3344" s="256" t="n">
        <x:f>-12+1734*0.01</x:f>
        <x:v>5.34</x:v>
      </x:c>
      <x:c r="B3344" s="256" t="n">
        <x:f>IF(COUNT($B$129:$L$129)=11,B$129*EXP(IF(A3344&lt;0,(10-0)*A3344,-0*A3344))+C$129*EXP(IF(A3344&lt;0,(10-1)*A3344,-1*A3344))+D$129*EXP(IF(A3344&lt;0,(10-2)*A3344,-2*A3344))+E$129*EXP(IF(A3344&lt;0,(10-3)*A3344,-3*A3344))+F$129*EXP(IF(A3344&lt;0,(10-4)*A3344,-4*A3344))+G$129*EXP(IF(A3344&lt;0,(10-5)*A3344,-5*A3344))+H$129*EXP(IF(A3344&lt;0,(10-6)*A3344,-6*A3344))+I$129*EXP(IF(A3344&lt;0,(10-7)*A3344,-7*A3344))+J$129*EXP(IF(A3344&lt;0,(10-8)*A3344,-8*A3344))+K$129*EXP(IF(A3344&lt;0,(10-9)*A3344,-9*A3344))+L$129*EXP(IF(A3344&lt;0,(10-10)*A3344,-10*A3344)),0)</x:f>
        <x:v>-190039.23956395744</x:v>
      </x:c>
      <x:c r="C3344" s="256" t="n">
        <x:f>IF(B3344=0,IF(B3343=0,0,1),IF(B3343=0,0,IF(SIGN(B3344)&lt;&gt;SIGN(B3343),1,0)))</x:f>
        <x:v>0</x:v>
      </x:c>
      <x:c r="D3344" s="256" t="n">
        <x:f>EXP(A3344-0.005)-1</x:f>
        <x:v>206.4727488079392</x:v>
      </x:c>
    </x:row>
    <x:row r="3345" ht="20" customHeight="1">
      <x:c r="A3345" s="256" t="n">
        <x:f>-12+1735*0.01</x:f>
        <x:v>5.350000000000001</x:v>
      </x:c>
      <x:c r="B3345" s="256" t="n">
        <x:f>IF(COUNT($B$129:$L$129)=11,B$129*EXP(IF(A3345&lt;0,(10-0)*A3345,-0*A3345))+C$129*EXP(IF(A3345&lt;0,(10-1)*A3345,-1*A3345))+D$129*EXP(IF(A3345&lt;0,(10-2)*A3345,-2*A3345))+E$129*EXP(IF(A3345&lt;0,(10-3)*A3345,-3*A3345))+F$129*EXP(IF(A3345&lt;0,(10-4)*A3345,-4*A3345))+G$129*EXP(IF(A3345&lt;0,(10-5)*A3345,-5*A3345))+H$129*EXP(IF(A3345&lt;0,(10-6)*A3345,-6*A3345))+I$129*EXP(IF(A3345&lt;0,(10-7)*A3345,-7*A3345))+J$129*EXP(IF(A3345&lt;0,(10-8)*A3345,-8*A3345))+K$129*EXP(IF(A3345&lt;0,(10-9)*A3345,-9*A3345))+L$129*EXP(IF(A3345&lt;0,(10-10)*A3345,-10*A3345)),0)</x:f>
        <x:v>-190038.84777154133</x:v>
      </x:c>
      <x:c r="C3345" s="256" t="n">
        <x:f>IF(B3345=0,IF(B3344=0,0,1),IF(B3344=0,0,IF(SIGN(B3345)&lt;&gt;SIGN(B3344),1,0)))</x:f>
        <x:v>0</x:v>
      </x:c>
      <x:c r="D3345" s="256" t="n">
        <x:f>EXP(A3345-0.005)-1</x:f>
        <x:v>208.55788459887097</x:v>
      </x:c>
    </x:row>
    <x:row r="3346" ht="20" customHeight="1">
      <x:c r="A3346" s="256" t="n">
        <x:f>-12+1736*0.01</x:f>
        <x:v>5.359999999999999</x:v>
      </x:c>
      <x:c r="B3346" s="256" t="n">
        <x:f>IF(COUNT($B$129:$L$129)=11,B$129*EXP(IF(A3346&lt;0,(10-0)*A3346,-0*A3346))+C$129*EXP(IF(A3346&lt;0,(10-1)*A3346,-1*A3346))+D$129*EXP(IF(A3346&lt;0,(10-2)*A3346,-2*A3346))+E$129*EXP(IF(A3346&lt;0,(10-3)*A3346,-3*A3346))+F$129*EXP(IF(A3346&lt;0,(10-4)*A3346,-4*A3346))+G$129*EXP(IF(A3346&lt;0,(10-5)*A3346,-5*A3346))+H$129*EXP(IF(A3346&lt;0,(10-6)*A3346,-6*A3346))+I$129*EXP(IF(A3346&lt;0,(10-7)*A3346,-7*A3346))+J$129*EXP(IF(A3346&lt;0,(10-8)*A3346,-8*A3346))+K$129*EXP(IF(A3346&lt;0,(10-9)*A3346,-9*A3346))+L$129*EXP(IF(A3346&lt;0,(10-10)*A3346,-10*A3346)),0)</x:f>
        <x:v>-190038.45990437747</x:v>
      </x:c>
      <x:c r="C3346" s="256" t="n">
        <x:f>IF(B3346=0,IF(B3345=0,0,1),IF(B3345=0,0,IF(SIGN(B3346)&lt;&gt;SIGN(B3345),1,0)))</x:f>
        <x:v>0</x:v>
      </x:c>
      <x:c r="D3346" s="256" t="n">
        <x:f>EXP(A3346-0.005)-1</x:f>
        <x:v>210.663976352894</x:v>
      </x:c>
    </x:row>
    <x:row r="3347" ht="20" customHeight="1">
      <x:c r="A3347" s="256" t="n">
        <x:f>-12+1737*0.01</x:f>
        <x:v>5.370000000000001</x:v>
      </x:c>
      <x:c r="B3347" s="256" t="n">
        <x:f>IF(COUNT($B$129:$L$129)=11,B$129*EXP(IF(A3347&lt;0,(10-0)*A3347,-0*A3347))+C$129*EXP(IF(A3347&lt;0,(10-1)*A3347,-1*A3347))+D$129*EXP(IF(A3347&lt;0,(10-2)*A3347,-2*A3347))+E$129*EXP(IF(A3347&lt;0,(10-3)*A3347,-3*A3347))+F$129*EXP(IF(A3347&lt;0,(10-4)*A3347,-4*A3347))+G$129*EXP(IF(A3347&lt;0,(10-5)*A3347,-5*A3347))+H$129*EXP(IF(A3347&lt;0,(10-6)*A3347,-6*A3347))+I$129*EXP(IF(A3347&lt;0,(10-7)*A3347,-7*A3347))+J$129*EXP(IF(A3347&lt;0,(10-8)*A3347,-8*A3347))+K$129*EXP(IF(A3347&lt;0,(10-9)*A3347,-9*A3347))+L$129*EXP(IF(A3347&lt;0,(10-10)*A3347,-10*A3347)),0)</x:f>
        <x:v>-190038.0759228749</x:v>
      </x:c>
      <x:c r="C3347" s="256" t="n">
        <x:f>IF(B3347=0,IF(B3346=0,0,1),IF(B3346=0,0,IF(SIGN(B3347)&lt;&gt;SIGN(B3346),1,0)))</x:f>
        <x:v>0</x:v>
      </x:c>
      <x:c r="D3347" s="256" t="n">
        <x:f>EXP(A3347-0.005)-1</x:f>
        <x:v>212.7912346809403</x:v>
      </x:c>
    </x:row>
    <x:row r="3348" ht="20" customHeight="1">
      <x:c r="A3348" s="256" t="n">
        <x:f>-12+1738*0.01</x:f>
        <x:v>5.379999999999999</x:v>
      </x:c>
      <x:c r="B3348" s="256" t="n">
        <x:f>IF(COUNT($B$129:$L$129)=11,B$129*EXP(IF(A3348&lt;0,(10-0)*A3348,-0*A3348))+C$129*EXP(IF(A3348&lt;0,(10-1)*A3348,-1*A3348))+D$129*EXP(IF(A3348&lt;0,(10-2)*A3348,-2*A3348))+E$129*EXP(IF(A3348&lt;0,(10-3)*A3348,-3*A3348))+F$129*EXP(IF(A3348&lt;0,(10-4)*A3348,-4*A3348))+G$129*EXP(IF(A3348&lt;0,(10-5)*A3348,-5*A3348))+H$129*EXP(IF(A3348&lt;0,(10-6)*A3348,-6*A3348))+I$129*EXP(IF(A3348&lt;0,(10-7)*A3348,-7*A3348))+J$129*EXP(IF(A3348&lt;0,(10-8)*A3348,-8*A3348))+K$129*EXP(IF(A3348&lt;0,(10-9)*A3348,-9*A3348))+L$129*EXP(IF(A3348&lt;0,(10-10)*A3348,-10*A3348)),0)</x:f>
        <x:v>-190037.69578784748</x:v>
      </x:c>
      <x:c r="C3348" s="256" t="n">
        <x:f>IF(B3348=0,IF(B3347=0,0,1),IF(B3347=0,0,IF(SIGN(B3348)&lt;&gt;SIGN(B3347),1,0)))</x:f>
        <x:v>0</x:v>
      </x:c>
      <x:c r="D3348" s="256" t="n">
        <x:f>EXP(A3348-0.005)-1</x:f>
        <x:v>214.9398723106139</x:v>
      </x:c>
    </x:row>
    <x:row r="3349" ht="20" customHeight="1">
      <x:c r="A3349" s="256" t="n">
        <x:f>-12+1739*0.01</x:f>
        <x:v>5.390000000000001</x:v>
      </x:c>
      <x:c r="B3349" s="256" t="n">
        <x:f>IF(COUNT($B$129:$L$129)=11,B$129*EXP(IF(A3349&lt;0,(10-0)*A3349,-0*A3349))+C$129*EXP(IF(A3349&lt;0,(10-1)*A3349,-1*A3349))+D$129*EXP(IF(A3349&lt;0,(10-2)*A3349,-2*A3349))+E$129*EXP(IF(A3349&lt;0,(10-3)*A3349,-3*A3349))+F$129*EXP(IF(A3349&lt;0,(10-4)*A3349,-4*A3349))+G$129*EXP(IF(A3349&lt;0,(10-5)*A3349,-5*A3349))+H$129*EXP(IF(A3349&lt;0,(10-6)*A3349,-6*A3349))+I$129*EXP(IF(A3349&lt;0,(10-7)*A3349,-7*A3349))+J$129*EXP(IF(A3349&lt;0,(10-8)*A3349,-8*A3349))+K$129*EXP(IF(A3349&lt;0,(10-9)*A3349,-9*A3349))+L$129*EXP(IF(A3349&lt;0,(10-10)*A3349,-10*A3349)),0)</x:f>
        <x:v>-190037.31946050905</x:v>
      </x:c>
      <x:c r="C3349" s="256" t="n">
        <x:f>IF(B3349=0,IF(B3348=0,0,1),IF(B3348=0,0,IF(SIGN(B3349)&lt;&gt;SIGN(B3348),1,0)))</x:f>
        <x:v>0</x:v>
      </x:c>
      <x:c r="D3349" s="256" t="n">
        <x:f>EXP(A3349-0.005)-1</x:f>
        <x:v>217.11010410746985</x:v>
      </x:c>
    </x:row>
    <x:row r="3350" ht="20" customHeight="1">
      <x:c r="A3350" s="256" t="n">
        <x:f>-12+1740*0.01</x:f>
        <x:v>5.400000000000002</x:v>
      </x:c>
      <x:c r="B3350" s="256" t="n">
        <x:f>IF(COUNT($B$129:$L$129)=11,B$129*EXP(IF(A3350&lt;0,(10-0)*A3350,-0*A3350))+C$129*EXP(IF(A3350&lt;0,(10-1)*A3350,-1*A3350))+D$129*EXP(IF(A3350&lt;0,(10-2)*A3350,-2*A3350))+E$129*EXP(IF(A3350&lt;0,(10-3)*A3350,-3*A3350))+F$129*EXP(IF(A3350&lt;0,(10-4)*A3350,-4*A3350))+G$129*EXP(IF(A3350&lt;0,(10-5)*A3350,-5*A3350))+H$129*EXP(IF(A3350&lt;0,(10-6)*A3350,-6*A3350))+I$129*EXP(IF(A3350&lt;0,(10-7)*A3350,-7*A3350))+J$129*EXP(IF(A3350&lt;0,(10-8)*A3350,-8*A3350))+K$129*EXP(IF(A3350&lt;0,(10-9)*A3350,-9*A3350))+L$129*EXP(IF(A3350&lt;0,(10-10)*A3350,-10*A3350)),0)</x:f>
        <x:v>-190036.94690246982</x:v>
      </x:c>
      <x:c r="C3350" s="256" t="n">
        <x:f>IF(B3350=0,IF(B3349=0,0,1),IF(B3349=0,0,IF(SIGN(B3350)&lt;&gt;SIGN(B3349),1,0)))</x:f>
        <x:v>0</x:v>
      </x:c>
      <x:c r="D3350" s="256" t="n">
        <x:f>EXP(A3350-0.005)-1</x:f>
        <x:v>219.30214709649556</x:v>
      </x:c>
    </x:row>
    <x:row r="3351" ht="20" customHeight="1">
      <x:c r="A3351" s="256" t="n">
        <x:f>-12+1741*0.01</x:f>
        <x:v>5.41</x:v>
      </x:c>
      <x:c r="B3351" s="256" t="n">
        <x:f>IF(COUNT($B$129:$L$129)=11,B$129*EXP(IF(A3351&lt;0,(10-0)*A3351,-0*A3351))+C$129*EXP(IF(A3351&lt;0,(10-1)*A3351,-1*A3351))+D$129*EXP(IF(A3351&lt;0,(10-2)*A3351,-2*A3351))+E$129*EXP(IF(A3351&lt;0,(10-3)*A3351,-3*A3351))+F$129*EXP(IF(A3351&lt;0,(10-4)*A3351,-4*A3351))+G$129*EXP(IF(A3351&lt;0,(10-5)*A3351,-5*A3351))+H$129*EXP(IF(A3351&lt;0,(10-6)*A3351,-6*A3351))+I$129*EXP(IF(A3351&lt;0,(10-7)*A3351,-7*A3351))+J$129*EXP(IF(A3351&lt;0,(10-8)*A3351,-8*A3351))+K$129*EXP(IF(A3351&lt;0,(10-9)*A3351,-9*A3351))+L$129*EXP(IF(A3351&lt;0,(10-10)*A3351,-10*A3351)),0)</x:f>
        <x:v>-190036.57807573202</x:v>
      </x:c>
      <x:c r="C3351" s="256" t="n">
        <x:f>IF(B3351=0,IF(B3350=0,0,1),IF(B3350=0,0,IF(SIGN(B3351)&lt;&gt;SIGN(B3350),1,0)))</x:f>
        <x:v>0</x:v>
      </x:c>
      <x:c r="D3351" s="256" t="n">
        <x:f>EXP(A3351-0.005)-1</x:f>
        <x:v>221.51622048381586</x:v>
      </x:c>
    </x:row>
    <x:row r="3352" ht="20" customHeight="1">
      <x:c r="A3352" s="256" t="n">
        <x:f>-12+1742*0.01</x:f>
        <x:v>5.420000000000002</x:v>
      </x:c>
      <x:c r="B3352" s="256" t="n">
        <x:f>IF(COUNT($B$129:$L$129)=11,B$129*EXP(IF(A3352&lt;0,(10-0)*A3352,-0*A3352))+C$129*EXP(IF(A3352&lt;0,(10-1)*A3352,-1*A3352))+D$129*EXP(IF(A3352&lt;0,(10-2)*A3352,-2*A3352))+E$129*EXP(IF(A3352&lt;0,(10-3)*A3352,-3*A3352))+F$129*EXP(IF(A3352&lt;0,(10-4)*A3352,-4*A3352))+G$129*EXP(IF(A3352&lt;0,(10-5)*A3352,-5*A3352))+H$129*EXP(IF(A3352&lt;0,(10-6)*A3352,-6*A3352))+I$129*EXP(IF(A3352&lt;0,(10-7)*A3352,-7*A3352))+J$129*EXP(IF(A3352&lt;0,(10-8)*A3352,-8*A3352))+K$129*EXP(IF(A3352&lt;0,(10-9)*A3352,-9*A3352))+L$129*EXP(IF(A3352&lt;0,(10-10)*A3352,-10*A3352)),0)</x:f>
        <x:v>-190036.21294268567</x:v>
      </x:c>
      <x:c r="C3352" s="256" t="n">
        <x:f>IF(B3352=0,IF(B3351=0,0,1),IF(B3351=0,0,IF(SIGN(B3352)&lt;&gt;SIGN(B3351),1,0)))</x:f>
        <x:v>0</x:v>
      </x:c>
      <x:c r="D3352" s="256" t="n">
        <x:f>EXP(A3352-0.005)-1</x:f>
        <x:v>223.75254567861614</x:v>
      </x:c>
    </x:row>
    <x:row r="3353" ht="20" customHeight="1">
      <x:c r="A3353" s="256" t="n">
        <x:f>-12+1743*0.01</x:f>
        <x:v>5.43</x:v>
      </x:c>
      <x:c r="B3353" s="256" t="n">
        <x:f>IF(COUNT($B$129:$L$129)=11,B$129*EXP(IF(A3353&lt;0,(10-0)*A3353,-0*A3353))+C$129*EXP(IF(A3353&lt;0,(10-1)*A3353,-1*A3353))+D$129*EXP(IF(A3353&lt;0,(10-2)*A3353,-2*A3353))+E$129*EXP(IF(A3353&lt;0,(10-3)*A3353,-3*A3353))+F$129*EXP(IF(A3353&lt;0,(10-4)*A3353,-4*A3353))+G$129*EXP(IF(A3353&lt;0,(10-5)*A3353,-5*A3353))+H$129*EXP(IF(A3353&lt;0,(10-6)*A3353,-6*A3353))+I$129*EXP(IF(A3353&lt;0,(10-7)*A3353,-7*A3353))+J$129*EXP(IF(A3353&lt;0,(10-8)*A3353,-8*A3353))+K$129*EXP(IF(A3353&lt;0,(10-9)*A3353,-9*A3353))+L$129*EXP(IF(A3353&lt;0,(10-10)*A3353,-10*A3353)),0)</x:f>
        <x:v>-190035.8514661047</x:v>
      </x:c>
      <x:c r="C3353" s="256" t="n">
        <x:f>IF(B3353=0,IF(B3352=0,0,1),IF(B3352=0,0,IF(SIGN(B3353)&lt;&gt;SIGN(B3352),1,0)))</x:f>
        <x:v>0</x:v>
      </x:c>
      <x:c r="D3353" s="256" t="n">
        <x:f>EXP(A3353-0.005)-1</x:f>
        <x:v>226.0113463152779</x:v>
      </x:c>
    </x:row>
    <x:row r="3354" ht="20" customHeight="1">
      <x:c r="A3354" s="256" t="n">
        <x:f>-12+1744*0.01</x:f>
        <x:v>5.440000000000001</x:v>
      </x:c>
      <x:c r="B3354" s="256" t="n">
        <x:f>IF(COUNT($B$129:$L$129)=11,B$129*EXP(IF(A3354&lt;0,(10-0)*A3354,-0*A3354))+C$129*EXP(IF(A3354&lt;0,(10-1)*A3354,-1*A3354))+D$129*EXP(IF(A3354&lt;0,(10-2)*A3354,-2*A3354))+E$129*EXP(IF(A3354&lt;0,(10-3)*A3354,-3*A3354))+F$129*EXP(IF(A3354&lt;0,(10-4)*A3354,-4*A3354))+G$129*EXP(IF(A3354&lt;0,(10-5)*A3354,-5*A3354))+H$129*EXP(IF(A3354&lt;0,(10-6)*A3354,-6*A3354))+I$129*EXP(IF(A3354&lt;0,(10-7)*A3354,-7*A3354))+J$129*EXP(IF(A3354&lt;0,(10-8)*A3354,-8*A3354))+K$129*EXP(IF(A3354&lt;0,(10-9)*A3354,-9*A3354))+L$129*EXP(IF(A3354&lt;0,(10-10)*A3354,-10*A3354)),0)</x:f>
        <x:v>-190035.4936091428</x:v>
      </x:c>
      <x:c r="C3354" s="256" t="n">
        <x:f>IF(B3354=0,IF(B3353=0,0,1),IF(B3353=0,0,IF(SIGN(B3354)&lt;&gt;SIGN(B3353),1,0)))</x:f>
        <x:v>0</x:v>
      </x:c>
      <x:c r="D3354" s="256" t="n">
        <x:f>EXP(A3354-0.005)-1</x:f>
        <x:v>228.29284827574872</x:v>
      </x:c>
    </x:row>
    <x:row r="3355" ht="20" customHeight="1">
      <x:c r="A3355" s="256" t="n">
        <x:f>-12+1745*0.01</x:f>
        <x:v>5.449999999999999</x:v>
      </x:c>
      <x:c r="B3355" s="256" t="n">
        <x:f>IF(COUNT($B$129:$L$129)=11,B$129*EXP(IF(A3355&lt;0,(10-0)*A3355,-0*A3355))+C$129*EXP(IF(A3355&lt;0,(10-1)*A3355,-1*A3355))+D$129*EXP(IF(A3355&lt;0,(10-2)*A3355,-2*A3355))+E$129*EXP(IF(A3355&lt;0,(10-3)*A3355,-3*A3355))+F$129*EXP(IF(A3355&lt;0,(10-4)*A3355,-4*A3355))+G$129*EXP(IF(A3355&lt;0,(10-5)*A3355,-5*A3355))+H$129*EXP(IF(A3355&lt;0,(10-6)*A3355,-6*A3355))+I$129*EXP(IF(A3355&lt;0,(10-7)*A3355,-7*A3355))+J$129*EXP(IF(A3355&lt;0,(10-8)*A3355,-8*A3355))+K$129*EXP(IF(A3355&lt;0,(10-9)*A3355,-9*A3355))+L$129*EXP(IF(A3355&lt;0,(10-10)*A3355,-10*A3355)),0)</x:f>
        <x:v>-190035.13933532964</x:v>
      </x:c>
      <x:c r="C3355" s="256" t="n">
        <x:f>IF(B3355=0,IF(B3354=0,0,1),IF(B3354=0,0,IF(SIGN(B3355)&lt;&gt;SIGN(B3354),1,0)))</x:f>
        <x:v>0</x:v>
      </x:c>
      <x:c r="D3355" s="256" t="n">
        <x:f>EXP(A3355-0.005)-1</x:f>
        <x:v>230.59727971212436</x:v>
      </x:c>
    </x:row>
    <x:row r="3356" ht="20" customHeight="1">
      <x:c r="A3356" s="256" t="n">
        <x:f>-12+1746*0.01</x:f>
        <x:v>5.460000000000001</x:v>
      </x:c>
      <x:c r="B3356" s="256" t="n">
        <x:f>IF(COUNT($B$129:$L$129)=11,B$129*EXP(IF(A3356&lt;0,(10-0)*A3356,-0*A3356))+C$129*EXP(IF(A3356&lt;0,(10-1)*A3356,-1*A3356))+D$129*EXP(IF(A3356&lt;0,(10-2)*A3356,-2*A3356))+E$129*EXP(IF(A3356&lt;0,(10-3)*A3356,-3*A3356))+F$129*EXP(IF(A3356&lt;0,(10-4)*A3356,-4*A3356))+G$129*EXP(IF(A3356&lt;0,(10-5)*A3356,-5*A3356))+H$129*EXP(IF(A3356&lt;0,(10-6)*A3356,-6*A3356))+I$129*EXP(IF(A3356&lt;0,(10-7)*A3356,-7*A3356))+J$129*EXP(IF(A3356&lt;0,(10-8)*A3356,-8*A3356))+K$129*EXP(IF(A3356&lt;0,(10-9)*A3356,-9*A3356))+L$129*EXP(IF(A3356&lt;0,(10-10)*A3356,-10*A3356)),0)</x:f>
        <x:v>-190034.78860856674</x:v>
      </x:c>
      <x:c r="C3356" s="256" t="n">
        <x:f>IF(B3356=0,IF(B3355=0,0,1),IF(B3355=0,0,IF(SIGN(B3356)&lt;&gt;SIGN(B3355),1,0)))</x:f>
        <x:v>0</x:v>
      </x:c>
      <x:c r="D3356" s="256" t="n">
        <x:f>EXP(A3356-0.005)-1</x:f>
        <x:v>232.92487106947036</x:v>
      </x:c>
    </x:row>
    <x:row r="3357" ht="20" customHeight="1">
      <x:c r="A3357" s="256" t="n">
        <x:f>-12+1747*0.01</x:f>
        <x:v>5.469999999999999</x:v>
      </x:c>
      <x:c r="B3357" s="256" t="n">
        <x:f>IF(COUNT($B$129:$L$129)=11,B$129*EXP(IF(A3357&lt;0,(10-0)*A3357,-0*A3357))+C$129*EXP(IF(A3357&lt;0,(10-1)*A3357,-1*A3357))+D$129*EXP(IF(A3357&lt;0,(10-2)*A3357,-2*A3357))+E$129*EXP(IF(A3357&lt;0,(10-3)*A3357,-3*A3357))+F$129*EXP(IF(A3357&lt;0,(10-4)*A3357,-4*A3357))+G$129*EXP(IF(A3357&lt;0,(10-5)*A3357,-5*A3357))+H$129*EXP(IF(A3357&lt;0,(10-6)*A3357,-6*A3357))+I$129*EXP(IF(A3357&lt;0,(10-7)*A3357,-7*A3357))+J$129*EXP(IF(A3357&lt;0,(10-8)*A3357,-8*A3357))+K$129*EXP(IF(A3357&lt;0,(10-9)*A3357,-9*A3357))+L$129*EXP(IF(A3357&lt;0,(10-10)*A3357,-10*A3357)),0)</x:f>
        <x:v>-190034.44139312377</x:v>
      </x:c>
      <x:c r="C3357" s="256" t="n">
        <x:f>IF(B3357=0,IF(B3356=0,0,1),IF(B3356=0,0,IF(SIGN(B3357)&lt;&gt;SIGN(B3356),1,0)))</x:f>
        <x:v>0</x:v>
      </x:c>
      <x:c r="D3357" s="256" t="n">
        <x:f>EXP(A3357-0.005)-1</x:f>
        <x:v>235.27585510886055</x:v>
      </x:c>
    </x:row>
    <x:row r="3358" ht="20" customHeight="1">
      <x:c r="A3358" s="256" t="n">
        <x:f>-12+1748*0.01</x:f>
        <x:v>5.48</x:v>
      </x:c>
      <x:c r="B3358" s="256" t="n">
        <x:f>IF(COUNT($B$129:$L$129)=11,B$129*EXP(IF(A3358&lt;0,(10-0)*A3358,-0*A3358))+C$129*EXP(IF(A3358&lt;0,(10-1)*A3358,-1*A3358))+D$129*EXP(IF(A3358&lt;0,(10-2)*A3358,-2*A3358))+E$129*EXP(IF(A3358&lt;0,(10-3)*A3358,-3*A3358))+F$129*EXP(IF(A3358&lt;0,(10-4)*A3358,-4*A3358))+G$129*EXP(IF(A3358&lt;0,(10-5)*A3358,-5*A3358))+H$129*EXP(IF(A3358&lt;0,(10-6)*A3358,-6*A3358))+I$129*EXP(IF(A3358&lt;0,(10-7)*A3358,-7*A3358))+J$129*EXP(IF(A3358&lt;0,(10-8)*A3358,-8*A3358))+K$129*EXP(IF(A3358&lt;0,(10-9)*A3358,-9*A3358))+L$129*EXP(IF(A3358&lt;0,(10-10)*A3358,-10*A3358)),0)</x:f>
        <x:v>-190034.09765363444</x:v>
      </x:c>
      <x:c r="C3358" s="256" t="n">
        <x:f>IF(B3358=0,IF(B3357=0,0,1),IF(B3357=0,0,IF(SIGN(B3358)&lt;&gt;SIGN(B3357),1,0)))</x:f>
        <x:v>0</x:v>
      </x:c>
      <x:c r="D3358" s="256" t="n">
        <x:f>EXP(A3358-0.005)-1</x:f>
        <x:v>237.65046693065966</x:v>
      </x:c>
    </x:row>
    <x:row r="3359" ht="20" customHeight="1">
      <x:c r="A3359" s="256" t="n">
        <x:f>-12+1749*0.01</x:f>
        <x:v>5.490000000000002</x:v>
      </x:c>
      <x:c r="B3359" s="256" t="n">
        <x:f>IF(COUNT($B$129:$L$129)=11,B$129*EXP(IF(A3359&lt;0,(10-0)*A3359,-0*A3359))+C$129*EXP(IF(A3359&lt;0,(10-1)*A3359,-1*A3359))+D$129*EXP(IF(A3359&lt;0,(10-2)*A3359,-2*A3359))+E$129*EXP(IF(A3359&lt;0,(10-3)*A3359,-3*A3359))+F$129*EXP(IF(A3359&lt;0,(10-4)*A3359,-4*A3359))+G$129*EXP(IF(A3359&lt;0,(10-5)*A3359,-5*A3359))+H$129*EXP(IF(A3359&lt;0,(10-6)*A3359,-6*A3359))+I$129*EXP(IF(A3359&lt;0,(10-7)*A3359,-7*A3359))+J$129*EXP(IF(A3359&lt;0,(10-8)*A3359,-8*A3359))+K$129*EXP(IF(A3359&lt;0,(10-9)*A3359,-9*A3359))+L$129*EXP(IF(A3359&lt;0,(10-10)*A3359,-10*A3359)),0)</x:f>
        <x:v>-190033.75735509308</x:v>
      </x:c>
      <x:c r="C3359" s="256" t="n">
        <x:f>IF(B3359=0,IF(B3358=0,0,1),IF(B3358=0,0,IF(SIGN(B3359)&lt;&gt;SIGN(B3358),1,0)))</x:f>
        <x:v>0</x:v>
      </x:c>
      <x:c r="D3359" s="256" t="n">
        <x:f>EXP(A3359-0.005)-1</x:f>
        <x:v>240.04894399802788</x:v>
      </x:c>
    </x:row>
    <x:row r="3360" ht="20" customHeight="1">
      <x:c r="A3360" s="256" t="n">
        <x:f>-12+1750*0.01</x:f>
        <x:v>5.5</x:v>
      </x:c>
      <x:c r="B3360" s="256" t="n">
        <x:f>IF(COUNT($B$129:$L$129)=11,B$129*EXP(IF(A3360&lt;0,(10-0)*A3360,-0*A3360))+C$129*EXP(IF(A3360&lt;0,(10-1)*A3360,-1*A3360))+D$129*EXP(IF(A3360&lt;0,(10-2)*A3360,-2*A3360))+E$129*EXP(IF(A3360&lt;0,(10-3)*A3360,-3*A3360))+F$129*EXP(IF(A3360&lt;0,(10-4)*A3360,-4*A3360))+G$129*EXP(IF(A3360&lt;0,(10-5)*A3360,-5*A3360))+H$129*EXP(IF(A3360&lt;0,(10-6)*A3360,-6*A3360))+I$129*EXP(IF(A3360&lt;0,(10-7)*A3360,-7*A3360))+J$129*EXP(IF(A3360&lt;0,(10-8)*A3360,-8*A3360))+K$129*EXP(IF(A3360&lt;0,(10-9)*A3360,-9*A3360))+L$129*EXP(IF(A3360&lt;0,(10-10)*A3360,-10*A3360)),0)</x:f>
        <x:v>-190033.42046285054</x:v>
      </x:c>
      <x:c r="C3360" s="256" t="n">
        <x:f>IF(B3360=0,IF(B3359=0,0,1),IF(B3359=0,0,IF(SIGN(B3360)&lt;&gt;SIGN(B3359),1,0)))</x:f>
        <x:v>0</x:v>
      </x:c>
      <x:c r="D3360" s="256" t="n">
        <x:f>EXP(A3360-0.005)-1</x:f>
        <x:v>242.47152616066984</x:v>
      </x:c>
    </x:row>
    <x:row r="3361" ht="20" customHeight="1">
      <x:c r="A3361" s="256" t="n">
        <x:f>-12+1751*0.01</x:f>
        <x:v>5.510000000000002</x:v>
      </x:c>
      <x:c r="B3361" s="256" t="n">
        <x:f>IF(COUNT($B$129:$L$129)=11,B$129*EXP(IF(A3361&lt;0,(10-0)*A3361,-0*A3361))+C$129*EXP(IF(A3361&lt;0,(10-1)*A3361,-1*A3361))+D$129*EXP(IF(A3361&lt;0,(10-2)*A3361,-2*A3361))+E$129*EXP(IF(A3361&lt;0,(10-3)*A3361,-3*A3361))+F$129*EXP(IF(A3361&lt;0,(10-4)*A3361,-4*A3361))+G$129*EXP(IF(A3361&lt;0,(10-5)*A3361,-5*A3361))+H$129*EXP(IF(A3361&lt;0,(10-6)*A3361,-6*A3361))+I$129*EXP(IF(A3361&lt;0,(10-7)*A3361,-7*A3361))+J$129*EXP(IF(A3361&lt;0,(10-8)*A3361,-8*A3361))+K$129*EXP(IF(A3361&lt;0,(10-9)*A3361,-9*A3361))+L$129*EXP(IF(A3361&lt;0,(10-10)*A3361,-10*A3361)),0)</x:f>
        <x:v>-190033.08694261077</x:v>
      </x:c>
      <x:c r="C3361" s="256" t="n">
        <x:f>IF(B3361=0,IF(B3360=0,0,1),IF(B3360=0,0,IF(SIGN(B3361)&lt;&gt;SIGN(B3360),1,0)))</x:f>
        <x:v>0</x:v>
      </x:c>
      <x:c r="D3361" s="256" t="n">
        <x:f>EXP(A3361-0.005)-1</x:f>
        <x:v>244.91845567882234</x:v>
      </x:c>
    </x:row>
    <x:row r="3362" ht="20" customHeight="1">
      <x:c r="A3362" s="256" t="n">
        <x:f>-12+1752*0.01</x:f>
        <x:v>5.52</x:v>
      </x:c>
      <x:c r="B3362" s="256" t="n">
        <x:f>IF(COUNT($B$129:$L$129)=11,B$129*EXP(IF(A3362&lt;0,(10-0)*A3362,-0*A3362))+C$129*EXP(IF(A3362&lt;0,(10-1)*A3362,-1*A3362))+D$129*EXP(IF(A3362&lt;0,(10-2)*A3362,-2*A3362))+E$129*EXP(IF(A3362&lt;0,(10-3)*A3362,-3*A3362))+F$129*EXP(IF(A3362&lt;0,(10-4)*A3362,-4*A3362))+G$129*EXP(IF(A3362&lt;0,(10-5)*A3362,-5*A3362))+H$129*EXP(IF(A3362&lt;0,(10-6)*A3362,-6*A3362))+I$129*EXP(IF(A3362&lt;0,(10-7)*A3362,-7*A3362))+J$129*EXP(IF(A3362&lt;0,(10-8)*A3362,-8*A3362))+K$129*EXP(IF(A3362&lt;0,(10-9)*A3362,-9*A3362))+L$129*EXP(IF(A3362&lt;0,(10-10)*A3362,-10*A3362)),0)</x:f>
        <x:v>-190032.7567604268</x:v>
      </x:c>
      <x:c r="C3362" s="256" t="n">
        <x:f>IF(B3362=0,IF(B3361=0,0,1),IF(B3361=0,0,IF(SIGN(B3362)&lt;&gt;SIGN(B3361),1,0)))</x:f>
        <x:v>0</x:v>
      </x:c>
      <x:c r="D3362" s="256" t="n">
        <x:f>EXP(A3362-0.005)-1</x:f>
        <x:v>247.3899772474746</x:v>
      </x:c>
    </x:row>
    <x:row r="3363" ht="20" customHeight="1">
      <x:c r="A3363" s="256" t="n">
        <x:f>-12+1753*0.01</x:f>
        <x:v>5.530000000000001</x:v>
      </x:c>
      <x:c r="B3363" s="256" t="n">
        <x:f>IF(COUNT($B$129:$L$129)=11,B$129*EXP(IF(A3363&lt;0,(10-0)*A3363,-0*A3363))+C$129*EXP(IF(A3363&lt;0,(10-1)*A3363,-1*A3363))+D$129*EXP(IF(A3363&lt;0,(10-2)*A3363,-2*A3363))+E$129*EXP(IF(A3363&lt;0,(10-3)*A3363,-3*A3363))+F$129*EXP(IF(A3363&lt;0,(10-4)*A3363,-4*A3363))+G$129*EXP(IF(A3363&lt;0,(10-5)*A3363,-5*A3363))+H$129*EXP(IF(A3363&lt;0,(10-6)*A3363,-6*A3363))+I$129*EXP(IF(A3363&lt;0,(10-7)*A3363,-7*A3363))+J$129*EXP(IF(A3363&lt;0,(10-8)*A3363,-8*A3363))+K$129*EXP(IF(A3363&lt;0,(10-9)*A3363,-9*A3363))+L$129*EXP(IF(A3363&lt;0,(10-10)*A3363,-10*A3363)),0)</x:f>
        <x:v>-190032.4298826975</x:v>
      </x:c>
      <x:c r="C3363" s="256" t="n">
        <x:f>IF(B3363=0,IF(B3362=0,0,1),IF(B3362=0,0,IF(SIGN(B3363)&lt;&gt;SIGN(B3362),1,0)))</x:f>
        <x:v>0</x:v>
      </x:c>
      <x:c r="D3363" s="256" t="n">
        <x:f>EXP(A3363-0.005)-1</x:f>
        <x:v>249.88633802084482</x:v>
      </x:c>
    </x:row>
    <x:row r="3364" ht="20" customHeight="1">
      <x:c r="A3364" s="256" t="n">
        <x:f>-12+1754*0.01</x:f>
        <x:v>5.539999999999999</x:v>
      </x:c>
      <x:c r="B3364" s="256" t="n">
        <x:f>IF(COUNT($B$129:$L$129)=11,B$129*EXP(IF(A3364&lt;0,(10-0)*A3364,-0*A3364))+C$129*EXP(IF(A3364&lt;0,(10-1)*A3364,-1*A3364))+D$129*EXP(IF(A3364&lt;0,(10-2)*A3364,-2*A3364))+E$129*EXP(IF(A3364&lt;0,(10-3)*A3364,-3*A3364))+F$129*EXP(IF(A3364&lt;0,(10-4)*A3364,-4*A3364))+G$129*EXP(IF(A3364&lt;0,(10-5)*A3364,-5*A3364))+H$129*EXP(IF(A3364&lt;0,(10-6)*A3364,-6*A3364))+I$129*EXP(IF(A3364&lt;0,(10-7)*A3364,-7*A3364))+J$129*EXP(IF(A3364&lt;0,(10-8)*A3364,-8*A3364))+K$129*EXP(IF(A3364&lt;0,(10-9)*A3364,-9*A3364))+L$129*EXP(IF(A3364&lt;0,(10-10)*A3364,-10*A3364)),0)</x:f>
        <x:v>-190032.10627616371</x:v>
      </x:c>
      <x:c r="C3364" s="256" t="n">
        <x:f>IF(B3364=0,IF(B3363=0,0,1),IF(B3363=0,0,IF(SIGN(B3364)&lt;&gt;SIGN(B3363),1,0)))</x:f>
        <x:v>0</x:v>
      </x:c>
      <x:c r="D3364" s="256" t="n">
        <x:f>EXP(A3364-0.005)-1</x:f>
        <x:v>252.40778763708886</x:v>
      </x:c>
    </x:row>
    <x:row r="3365" ht="20" customHeight="1">
      <x:c r="A3365" s="256" t="n">
        <x:f>-12+1755*0.01</x:f>
        <x:v>5.550000000000001</x:v>
      </x:c>
      <x:c r="B3365" s="256" t="n">
        <x:f>IF(COUNT($B$129:$L$129)=11,B$129*EXP(IF(A3365&lt;0,(10-0)*A3365,-0*A3365))+C$129*EXP(IF(A3365&lt;0,(10-1)*A3365,-1*A3365))+D$129*EXP(IF(A3365&lt;0,(10-2)*A3365,-2*A3365))+E$129*EXP(IF(A3365&lt;0,(10-3)*A3365,-3*A3365))+F$129*EXP(IF(A3365&lt;0,(10-4)*A3365,-4*A3365))+G$129*EXP(IF(A3365&lt;0,(10-5)*A3365,-5*A3365))+H$129*EXP(IF(A3365&lt;0,(10-6)*A3365,-6*A3365))+I$129*EXP(IF(A3365&lt;0,(10-7)*A3365,-7*A3365))+J$129*EXP(IF(A3365&lt;0,(10-8)*A3365,-8*A3365))+K$129*EXP(IF(A3365&lt;0,(10-9)*A3365,-9*A3365))+L$129*EXP(IF(A3365&lt;0,(10-10)*A3365,-10*A3365)),0)</x:f>
        <x:v>-190031.78590790462</x:v>
      </x:c>
      <x:c r="C3365" s="256" t="n">
        <x:f>IF(B3365=0,IF(B3364=0,0,1),IF(B3364=0,0,IF(SIGN(B3365)&lt;&gt;SIGN(B3364),1,0)))</x:f>
        <x:v>0</x:v>
      </x:c>
      <x:c r="D3365" s="256" t="n">
        <x:f>EXP(A3365-0.005)-1</x:f>
        <x:v>254.95457824327138</x:v>
      </x:c>
    </x:row>
    <x:row r="3366" ht="20" customHeight="1">
      <x:c r="A3366" s="256" t="n">
        <x:f>-12+1756*0.01</x:f>
        <x:v>5.559999999999999</x:v>
      </x:c>
      <x:c r="B3366" s="256" t="n">
        <x:f>IF(COUNT($B$129:$L$129)=11,B$129*EXP(IF(A3366&lt;0,(10-0)*A3366,-0*A3366))+C$129*EXP(IF(A3366&lt;0,(10-1)*A3366,-1*A3366))+D$129*EXP(IF(A3366&lt;0,(10-2)*A3366,-2*A3366))+E$129*EXP(IF(A3366&lt;0,(10-3)*A3366,-3*A3366))+F$129*EXP(IF(A3366&lt;0,(10-4)*A3366,-4*A3366))+G$129*EXP(IF(A3366&lt;0,(10-5)*A3366,-5*A3366))+H$129*EXP(IF(A3366&lt;0,(10-6)*A3366,-6*A3366))+I$129*EXP(IF(A3366&lt;0,(10-7)*A3366,-7*A3366))+J$129*EXP(IF(A3366&lt;0,(10-8)*A3366,-8*A3366))+K$129*EXP(IF(A3366&lt;0,(10-9)*A3366,-9*A3366))+L$129*EXP(IF(A3366&lt;0,(10-10)*A3366,-10*A3366)),0)</x:f>
        <x:v>-190031.46874533457</x:v>
      </x:c>
      <x:c r="C3366" s="256" t="n">
        <x:f>IF(B3366=0,IF(B3365=0,0,1),IF(B3365=0,0,IF(SIGN(B3366)&lt;&gt;SIGN(B3365),1,0)))</x:f>
        <x:v>0</x:v>
      </x:c>
      <x:c r="D3366" s="256" t="n">
        <x:f>EXP(A3366-0.005)-1</x:f>
        <x:v>257.52696452057353</x:v>
      </x:c>
    </x:row>
    <x:row r="3367" ht="20" customHeight="1">
      <x:c r="A3367" s="256" t="n">
        <x:f>-12+1757*0.01</x:f>
        <x:v>5.57</x:v>
      </x:c>
      <x:c r="B3367" s="256" t="n">
        <x:f>IF(COUNT($B$129:$L$129)=11,B$129*EXP(IF(A3367&lt;0,(10-0)*A3367,-0*A3367))+C$129*EXP(IF(A3367&lt;0,(10-1)*A3367,-1*A3367))+D$129*EXP(IF(A3367&lt;0,(10-2)*A3367,-2*A3367))+E$129*EXP(IF(A3367&lt;0,(10-3)*A3367,-3*A3367))+F$129*EXP(IF(A3367&lt;0,(10-4)*A3367,-4*A3367))+G$129*EXP(IF(A3367&lt;0,(10-5)*A3367,-5*A3367))+H$129*EXP(IF(A3367&lt;0,(10-6)*A3367,-6*A3367))+I$129*EXP(IF(A3367&lt;0,(10-7)*A3367,-7*A3367))+J$129*EXP(IF(A3367&lt;0,(10-8)*A3367,-8*A3367))+K$129*EXP(IF(A3367&lt;0,(10-9)*A3367,-9*A3367))+L$129*EXP(IF(A3367&lt;0,(10-10)*A3367,-10*A3367)),0)</x:f>
        <x:v>-190031.15475619928</x:v>
      </x:c>
      <x:c r="C3367" s="256" t="n">
        <x:f>IF(B3367=0,IF(B3366=0,0,1),IF(B3366=0,0,IF(SIGN(B3367)&lt;&gt;SIGN(B3366),1,0)))</x:f>
        <x:v>0</x:v>
      </x:c>
      <x:c r="D3367" s="256" t="n">
        <x:f>EXP(A3367-0.005)-1</x:f>
        <x:v>260.12520370976847</x:v>
      </x:c>
    </x:row>
    <x:row r="3368" ht="20" customHeight="1">
      <x:c r="A3368" s="256" t="n">
        <x:f>-12+1758*0.01</x:f>
        <x:v>5.580000000000002</x:v>
      </x:c>
      <x:c r="B3368" s="256" t="n">
        <x:f>IF(COUNT($B$129:$L$129)=11,B$129*EXP(IF(A3368&lt;0,(10-0)*A3368,-0*A3368))+C$129*EXP(IF(A3368&lt;0,(10-1)*A3368,-1*A3368))+D$129*EXP(IF(A3368&lt;0,(10-2)*A3368,-2*A3368))+E$129*EXP(IF(A3368&lt;0,(10-3)*A3368,-3*A3368))+F$129*EXP(IF(A3368&lt;0,(10-4)*A3368,-4*A3368))+G$129*EXP(IF(A3368&lt;0,(10-5)*A3368,-5*A3368))+H$129*EXP(IF(A3368&lt;0,(10-6)*A3368,-6*A3368))+I$129*EXP(IF(A3368&lt;0,(10-7)*A3368,-7*A3368))+J$129*EXP(IF(A3368&lt;0,(10-8)*A3368,-8*A3368))+K$129*EXP(IF(A3368&lt;0,(10-9)*A3368,-9*A3368))+L$129*EXP(IF(A3368&lt;0,(10-10)*A3368,-10*A3368)),0)</x:f>
        <x:v>-190030.8439085726</x:v>
      </x:c>
      <x:c r="C3368" s="256" t="n">
        <x:f>IF(B3368=0,IF(B3367=0,0,1),IF(B3367=0,0,IF(SIGN(B3368)&lt;&gt;SIGN(B3367),1,0)))</x:f>
        <x:v>0</x:v>
      </x:c>
      <x:c r="D3368" s="256" t="n">
        <x:f>EXP(A3368-0.005)-1</x:f>
        <x:v>262.7495556369395</x:v>
      </x:c>
    </x:row>
    <x:row r="3369" ht="20" customHeight="1">
      <x:c r="A3369" s="256" t="n">
        <x:f>-12+1759*0.01</x:f>
        <x:v>5.59</x:v>
      </x:c>
      <x:c r="B3369" s="256" t="n">
        <x:f>IF(COUNT($B$129:$L$129)=11,B$129*EXP(IF(A3369&lt;0,(10-0)*A3369,-0*A3369))+C$129*EXP(IF(A3369&lt;0,(10-1)*A3369,-1*A3369))+D$129*EXP(IF(A3369&lt;0,(10-2)*A3369,-2*A3369))+E$129*EXP(IF(A3369&lt;0,(10-3)*A3369,-3*A3369))+F$129*EXP(IF(A3369&lt;0,(10-4)*A3369,-4*A3369))+G$129*EXP(IF(A3369&lt;0,(10-5)*A3369,-5*A3369))+H$129*EXP(IF(A3369&lt;0,(10-6)*A3369,-6*A3369))+I$129*EXP(IF(A3369&lt;0,(10-7)*A3369,-7*A3369))+J$129*EXP(IF(A3369&lt;0,(10-8)*A3369,-8*A3369))+K$129*EXP(IF(A3369&lt;0,(10-9)*A3369,-9*A3369))+L$129*EXP(IF(A3369&lt;0,(10-10)*A3369,-10*A3369)),0)</x:f>
        <x:v>-190030.53617085292</x:v>
      </x:c>
      <x:c r="C3369" s="256" t="n">
        <x:f>IF(B3369=0,IF(B3368=0,0,1),IF(B3368=0,0,IF(SIGN(B3369)&lt;&gt;SIGN(B3368),1,0)))</x:f>
        <x:v>0</x:v>
      </x:c>
      <x:c r="D3369" s="256" t="n">
        <x:f>EXP(A3369-0.005)-1</x:f>
        <x:v>265.4002827394653</x:v>
      </x:c>
    </x:row>
    <x:row r="3370" ht="20" customHeight="1">
      <x:c r="A3370" s="256" t="n">
        <x:f>-12+1760*0.01</x:f>
        <x:v>5.600000000000001</x:v>
      </x:c>
      <x:c r="B3370" s="256" t="n">
        <x:f>IF(COUNT($B$129:$L$129)=11,B$129*EXP(IF(A3370&lt;0,(10-0)*A3370,-0*A3370))+C$129*EXP(IF(A3370&lt;0,(10-1)*A3370,-1*A3370))+D$129*EXP(IF(A3370&lt;0,(10-2)*A3370,-2*A3370))+E$129*EXP(IF(A3370&lt;0,(10-3)*A3370,-3*A3370))+F$129*EXP(IF(A3370&lt;0,(10-4)*A3370,-4*A3370))+G$129*EXP(IF(A3370&lt;0,(10-5)*A3370,-5*A3370))+H$129*EXP(IF(A3370&lt;0,(10-6)*A3370,-6*A3370))+I$129*EXP(IF(A3370&lt;0,(10-7)*A3370,-7*A3370))+J$129*EXP(IF(A3370&lt;0,(10-8)*A3370,-8*A3370))+K$129*EXP(IF(A3370&lt;0,(10-9)*A3370,-9*A3370))+L$129*EXP(IF(A3370&lt;0,(10-10)*A3370,-10*A3370)),0)</x:f>
        <x:v>-190030.23151175998</x:v>
      </x:c>
      <x:c r="C3370" s="256" t="n">
        <x:f>IF(B3370=0,IF(B3369=0,0,1),IF(B3369=0,0,IF(SIGN(B3370)&lt;&gt;SIGN(B3369),1,0)))</x:f>
        <x:v>0</x:v>
      </x:c>
      <x:c r="D3370" s="256" t="n">
        <x:f>EXP(A3370-0.005)-1</x:f>
        <x:v>268.07765009226694</x:v>
      </x:c>
    </x:row>
    <x:row r="3371" ht="20" customHeight="1">
      <x:c r="A3371" s="256" t="n">
        <x:f>-12+1761*0.01</x:f>
        <x:v>5.609999999999999</x:v>
      </x:c>
      <x:c r="B3371" s="256" t="n">
        <x:f>IF(COUNT($B$129:$L$129)=11,B$129*EXP(IF(A3371&lt;0,(10-0)*A3371,-0*A3371))+C$129*EXP(IF(A3371&lt;0,(10-1)*A3371,-1*A3371))+D$129*EXP(IF(A3371&lt;0,(10-2)*A3371,-2*A3371))+E$129*EXP(IF(A3371&lt;0,(10-3)*A3371,-3*A3371))+F$129*EXP(IF(A3371&lt;0,(10-4)*A3371,-4*A3371))+G$129*EXP(IF(A3371&lt;0,(10-5)*A3371,-5*A3371))+H$129*EXP(IF(A3371&lt;0,(10-6)*A3371,-6*A3371))+I$129*EXP(IF(A3371&lt;0,(10-7)*A3371,-7*A3371))+J$129*EXP(IF(A3371&lt;0,(10-8)*A3371,-8*A3371))+K$129*EXP(IF(A3371&lt;0,(10-9)*A3371,-9*A3371))+L$129*EXP(IF(A3371&lt;0,(10-10)*A3371,-10*A3371)),0)</x:f>
        <x:v>-190029.92990033142</x:v>
      </x:c>
      <x:c r="C3371" s="256" t="n">
        <x:f>IF(B3371=0,IF(B3370=0,0,1),IF(B3370=0,0,IF(SIGN(B3371)&lt;&gt;SIGN(B3370),1,0)))</x:f>
        <x:v>0</x:v>
      </x:c>
      <x:c r="D3371" s="256" t="n">
        <x:f>EXP(A3371-0.005)-1</x:f>
        <x:v>270.78192543430896</x:v>
      </x:c>
    </x:row>
    <x:row r="3372" ht="20" customHeight="1">
      <x:c r="A3372" s="256" t="n">
        <x:f>-12+1762*0.01</x:f>
        <x:v>5.620000000000001</x:v>
      </x:c>
      <x:c r="B3372" s="256" t="n">
        <x:f>IF(COUNT($B$129:$L$129)=11,B$129*EXP(IF(A3372&lt;0,(10-0)*A3372,-0*A3372))+C$129*EXP(IF(A3372&lt;0,(10-1)*A3372,-1*A3372))+D$129*EXP(IF(A3372&lt;0,(10-2)*A3372,-2*A3372))+E$129*EXP(IF(A3372&lt;0,(10-3)*A3372,-3*A3372))+F$129*EXP(IF(A3372&lt;0,(10-4)*A3372,-4*A3372))+G$129*EXP(IF(A3372&lt;0,(10-5)*A3372,-5*A3372))+H$129*EXP(IF(A3372&lt;0,(10-6)*A3372,-6*A3372))+I$129*EXP(IF(A3372&lt;0,(10-7)*A3372,-7*A3372))+J$129*EXP(IF(A3372&lt;0,(10-8)*A3372,-8*A3372))+K$129*EXP(IF(A3372&lt;0,(10-9)*A3372,-9*A3372))+L$129*EXP(IF(A3372&lt;0,(10-10)*A3372,-10*A3372)),0)</x:f>
        <x:v>-190029.63130591947</x:v>
      </x:c>
      <x:c r="C3372" s="256" t="n">
        <x:f>IF(B3372=0,IF(B3371=0,0,1),IF(B3371=0,0,IF(SIGN(B3372)&lt;&gt;SIGN(B3371),1,0)))</x:f>
        <x:v>0</x:v>
      </x:c>
      <x:c r="D3372" s="256" t="n">
        <x:f>EXP(A3372-0.005)-1</x:f>
        <x:v>273.5133791953811</x:v>
      </x:c>
    </x:row>
    <x:row r="3373" ht="20" customHeight="1">
      <x:c r="A3373" s="256" t="n">
        <x:f>-12+1763*0.01</x:f>
        <x:v>5.629999999999999</x:v>
      </x:c>
      <x:c r="B3373" s="256" t="n">
        <x:f>IF(COUNT($B$129:$L$129)=11,B$129*EXP(IF(A3373&lt;0,(10-0)*A3373,-0*A3373))+C$129*EXP(IF(A3373&lt;0,(10-1)*A3373,-1*A3373))+D$129*EXP(IF(A3373&lt;0,(10-2)*A3373,-2*A3373))+E$129*EXP(IF(A3373&lt;0,(10-3)*A3373,-3*A3373))+F$129*EXP(IF(A3373&lt;0,(10-4)*A3373,-4*A3373))+G$129*EXP(IF(A3373&lt;0,(10-5)*A3373,-5*A3373))+H$129*EXP(IF(A3373&lt;0,(10-6)*A3373,-6*A3373))+I$129*EXP(IF(A3373&lt;0,(10-7)*A3373,-7*A3373))+J$129*EXP(IF(A3373&lt;0,(10-8)*A3373,-8*A3373))+K$129*EXP(IF(A3373&lt;0,(10-9)*A3373,-9*A3373))+L$129*EXP(IF(A3373&lt;0,(10-10)*A3373,-10*A3373)),0)</x:f>
        <x:v>-190029.33569818785</x:v>
      </x:c>
      <x:c r="C3373" s="256" t="n">
        <x:f>IF(B3373=0,IF(B3372=0,0,1),IF(B3372=0,0,IF(SIGN(B3373)&lt;&gt;SIGN(B3372),1,0)))</x:f>
        <x:v>0</x:v>
      </x:c>
      <x:c r="D3373" s="256" t="n">
        <x:f>EXP(A3373-0.005)-1</x:f>
        <x:v>276.27228452313375</x:v>
      </x:c>
    </x:row>
    <x:row r="3374" ht="20" customHeight="1">
      <x:c r="A3374" s="256" t="n">
        <x:f>-12+1764*0.01</x:f>
        <x:v>5.640000000000001</x:v>
      </x:c>
      <x:c r="B3374" s="256" t="n">
        <x:f>IF(COUNT($B$129:$L$129)=11,B$129*EXP(IF(A3374&lt;0,(10-0)*A3374,-0*A3374))+C$129*EXP(IF(A3374&lt;0,(10-1)*A3374,-1*A3374))+D$129*EXP(IF(A3374&lt;0,(10-2)*A3374,-2*A3374))+E$129*EXP(IF(A3374&lt;0,(10-3)*A3374,-3*A3374))+F$129*EXP(IF(A3374&lt;0,(10-4)*A3374,-4*A3374))+G$129*EXP(IF(A3374&lt;0,(10-5)*A3374,-5*A3374))+H$129*EXP(IF(A3374&lt;0,(10-6)*A3374,-6*A3374))+I$129*EXP(IF(A3374&lt;0,(10-7)*A3374,-7*A3374))+J$129*EXP(IF(A3374&lt;0,(10-8)*A3374,-8*A3374))+K$129*EXP(IF(A3374&lt;0,(10-9)*A3374,-9*A3374))+L$129*EXP(IF(A3374&lt;0,(10-10)*A3374,-10*A3374)),0)</x:f>
        <x:v>-190029.0430471083</x:v>
      </x:c>
      <x:c r="C3374" s="256" t="n">
        <x:f>IF(B3374=0,IF(B3373=0,0,1),IF(B3373=0,0,IF(SIGN(B3374)&lt;&gt;SIGN(B3373),1,0)))</x:f>
        <x:v>0</x:v>
      </x:c>
      <x:c r="D3374" s="256" t="n">
        <x:f>EXP(A3374-0.005)-1</x:f>
        <x:v>279.05891731040066</x:v>
      </x:c>
    </x:row>
    <x:row r="3375" ht="20" customHeight="1">
      <x:c r="A3375" s="256" t="n">
        <x:f>-12+1765*0.01</x:f>
        <x:v>5.650000000000002</x:v>
      </x:c>
      <x:c r="B3375" s="256" t="n">
        <x:f>IF(COUNT($B$129:$L$129)=11,B$129*EXP(IF(A3375&lt;0,(10-0)*A3375,-0*A3375))+C$129*EXP(IF(A3375&lt;0,(10-1)*A3375,-1*A3375))+D$129*EXP(IF(A3375&lt;0,(10-2)*A3375,-2*A3375))+E$129*EXP(IF(A3375&lt;0,(10-3)*A3375,-3*A3375))+F$129*EXP(IF(A3375&lt;0,(10-4)*A3375,-4*A3375))+G$129*EXP(IF(A3375&lt;0,(10-5)*A3375,-5*A3375))+H$129*EXP(IF(A3375&lt;0,(10-6)*A3375,-6*A3375))+I$129*EXP(IF(A3375&lt;0,(10-7)*A3375,-7*A3375))+J$129*EXP(IF(A3375&lt;0,(10-8)*A3375,-8*A3375))+K$129*EXP(IF(A3375&lt;0,(10-9)*A3375,-9*A3375))+L$129*EXP(IF(A3375&lt;0,(10-10)*A3375,-10*A3375)),0)</x:f>
        <x:v>-190028.75332295764</x:v>
      </x:c>
      <x:c r="C3375" s="256" t="n">
        <x:f>IF(B3375=0,IF(B3374=0,0,1),IF(B3374=0,0,IF(SIGN(B3375)&lt;&gt;SIGN(B3374),1,0)))</x:f>
        <x:v>0</x:v>
      </x:c>
      <x:c r="D3375" s="256" t="n">
        <x:f>EXP(A3375-0.005)-1</x:f>
        <x:v>281.8735562227818</x:v>
      </x:c>
    </x:row>
    <x:row r="3376" ht="20" customHeight="1">
      <x:c r="A3376" s="256" t="n">
        <x:f>-12+1766*0.01</x:f>
        <x:v>5.66</x:v>
      </x:c>
      <x:c r="B3376" s="256" t="n">
        <x:f>IF(COUNT($B$129:$L$129)=11,B$129*EXP(IF(A3376&lt;0,(10-0)*A3376,-0*A3376))+C$129*EXP(IF(A3376&lt;0,(10-1)*A3376,-1*A3376))+D$129*EXP(IF(A3376&lt;0,(10-2)*A3376,-2*A3376))+E$129*EXP(IF(A3376&lt;0,(10-3)*A3376,-3*A3376))+F$129*EXP(IF(A3376&lt;0,(10-4)*A3376,-4*A3376))+G$129*EXP(IF(A3376&lt;0,(10-5)*A3376,-5*A3376))+H$129*EXP(IF(A3376&lt;0,(10-6)*A3376,-6*A3376))+I$129*EXP(IF(A3376&lt;0,(10-7)*A3376,-7*A3376))+J$129*EXP(IF(A3376&lt;0,(10-8)*A3376,-8*A3376))+K$129*EXP(IF(A3376&lt;0,(10-9)*A3376,-9*A3376))+L$129*EXP(IF(A3376&lt;0,(10-10)*A3376,-10*A3376)),0)</x:f>
        <x:v>-190028.46649631445</x:v>
      </x:c>
      <x:c r="C3376" s="256" t="n">
        <x:f>IF(B3376=0,IF(B3375=0,0,1),IF(B3375=0,0,IF(SIGN(B3376)&lt;&gt;SIGN(B3375),1,0)))</x:f>
        <x:v>0</x:v>
      </x:c>
      <x:c r="D3376" s="256" t="n">
        <x:f>EXP(A3376-0.005)-1</x:f>
        <x:v>284.71648272651305</x:v>
      </x:c>
    </x:row>
    <x:row r="3377" ht="20" customHeight="1">
      <x:c r="A3377" s="256" t="n">
        <x:f>-12+1767*0.01</x:f>
        <x:v>5.670000000000002</x:v>
      </x:c>
      <x:c r="B3377" s="256" t="n">
        <x:f>IF(COUNT($B$129:$L$129)=11,B$129*EXP(IF(A3377&lt;0,(10-0)*A3377,-0*A3377))+C$129*EXP(IF(A3377&lt;0,(10-1)*A3377,-1*A3377))+D$129*EXP(IF(A3377&lt;0,(10-2)*A3377,-2*A3377))+E$129*EXP(IF(A3377&lt;0,(10-3)*A3377,-3*A3377))+F$129*EXP(IF(A3377&lt;0,(10-4)*A3377,-4*A3377))+G$129*EXP(IF(A3377&lt;0,(10-5)*A3377,-5*A3377))+H$129*EXP(IF(A3377&lt;0,(10-6)*A3377,-6*A3377))+I$129*EXP(IF(A3377&lt;0,(10-7)*A3377,-7*A3377))+J$129*EXP(IF(A3377&lt;0,(10-8)*A3377,-8*A3377))+K$129*EXP(IF(A3377&lt;0,(10-9)*A3377,-9*A3377))+L$129*EXP(IF(A3377&lt;0,(10-10)*A3377,-10*A3377)),0)</x:f>
        <x:v>-190028.1825380559</x:v>
      </x:c>
      <x:c r="C3377" s="256" t="n">
        <x:f>IF(B3377=0,IF(B3376=0,0,1),IF(B3376=0,0,IF(SIGN(B3377)&lt;&gt;SIGN(B3376),1,0)))</x:f>
        <x:v>0</x:v>
      </x:c>
      <x:c r="D3377" s="256" t="n">
        <x:f>EXP(A3377-0.005)-1</x:f>
        <x:v>287.58798111661577</x:v>
      </x:c>
    </x:row>
    <x:row r="3378" ht="20" customHeight="1">
      <x:c r="A3378" s="256" t="n">
        <x:f>-12+1768*0.01</x:f>
        <x:v>5.68</x:v>
      </x:c>
      <x:c r="B3378" s="256" t="n">
        <x:f>IF(COUNT($B$129:$L$129)=11,B$129*EXP(IF(A3378&lt;0,(10-0)*A3378,-0*A3378))+C$129*EXP(IF(A3378&lt;0,(10-1)*A3378,-1*A3378))+D$129*EXP(IF(A3378&lt;0,(10-2)*A3378,-2*A3378))+E$129*EXP(IF(A3378&lt;0,(10-3)*A3378,-3*A3378))+F$129*EXP(IF(A3378&lt;0,(10-4)*A3378,-4*A3378))+G$129*EXP(IF(A3378&lt;0,(10-5)*A3378,-5*A3378))+H$129*EXP(IF(A3378&lt;0,(10-6)*A3378,-6*A3378))+I$129*EXP(IF(A3378&lt;0,(10-7)*A3378,-7*A3378))+J$129*EXP(IF(A3378&lt;0,(10-8)*A3378,-8*A3378))+K$129*EXP(IF(A3378&lt;0,(10-9)*A3378,-9*A3378))+L$129*EXP(IF(A3378&lt;0,(10-10)*A3378,-10*A3378)),0)</x:f>
        <x:v>-190027.90141935478</x:v>
      </x:c>
      <x:c r="C3378" s="256" t="n">
        <x:f>IF(B3378=0,IF(B3377=0,0,1),IF(B3377=0,0,IF(SIGN(B3378)&lt;&gt;SIGN(B3377),1,0)))</x:f>
        <x:v>0</x:v>
      </x:c>
      <x:c r="D3378" s="256" t="n">
        <x:f>EXP(A3378-0.005)-1</x:f>
        <x:v>290.4883385453199</x:v>
      </x:c>
    </x:row>
    <x:row r="3379" ht="20" customHeight="1">
      <x:c r="A3379" s="256" t="n">
        <x:f>-12+1769*0.01</x:f>
        <x:v>5.690000000000001</x:v>
      </x:c>
      <x:c r="B3379" s="256" t="n">
        <x:f>IF(COUNT($B$129:$L$129)=11,B$129*EXP(IF(A3379&lt;0,(10-0)*A3379,-0*A3379))+C$129*EXP(IF(A3379&lt;0,(10-1)*A3379,-1*A3379))+D$129*EXP(IF(A3379&lt;0,(10-2)*A3379,-2*A3379))+E$129*EXP(IF(A3379&lt;0,(10-3)*A3379,-3*A3379))+F$129*EXP(IF(A3379&lt;0,(10-4)*A3379,-4*A3379))+G$129*EXP(IF(A3379&lt;0,(10-5)*A3379,-5*A3379))+H$129*EXP(IF(A3379&lt;0,(10-6)*A3379,-6*A3379))+I$129*EXP(IF(A3379&lt;0,(10-7)*A3379,-7*A3379))+J$129*EXP(IF(A3379&lt;0,(10-8)*A3379,-8*A3379))+K$129*EXP(IF(A3379&lt;0,(10-9)*A3379,-9*A3379))+L$129*EXP(IF(A3379&lt;0,(10-10)*A3379,-10*A3379)),0)</x:f>
        <x:v>-190027.6231116766</x:v>
      </x:c>
      <x:c r="C3379" s="256" t="n">
        <x:f>IF(B3379=0,IF(B3378=0,0,1),IF(B3378=0,0,IF(SIGN(B3379)&lt;&gt;SIGN(B3378),1,0)))</x:f>
        <x:v>0</x:v>
      </x:c>
      <x:c r="D3379" s="256" t="n">
        <x:f>EXP(A3379-0.005)-1</x:f>
        <x:v>293.4178450507874</x:v>
      </x:c>
    </x:row>
    <x:row r="3380" ht="20" customHeight="1">
      <x:c r="A3380" s="256" t="n">
        <x:f>-12+1770*0.01</x:f>
        <x:v>5.699999999999999</x:v>
      </x:c>
      <x:c r="B3380" s="256" t="n">
        <x:f>IF(COUNT($B$129:$L$129)=11,B$129*EXP(IF(A3380&lt;0,(10-0)*A3380,-0*A3380))+C$129*EXP(IF(A3380&lt;0,(10-1)*A3380,-1*A3380))+D$129*EXP(IF(A3380&lt;0,(10-2)*A3380,-2*A3380))+E$129*EXP(IF(A3380&lt;0,(10-3)*A3380,-3*A3380))+F$129*EXP(IF(A3380&lt;0,(10-4)*A3380,-4*A3380))+G$129*EXP(IF(A3380&lt;0,(10-5)*A3380,-5*A3380))+H$129*EXP(IF(A3380&lt;0,(10-6)*A3380,-6*A3380))+I$129*EXP(IF(A3380&lt;0,(10-7)*A3380,-7*A3380))+J$129*EXP(IF(A3380&lt;0,(10-8)*A3380,-8*A3380))+K$129*EXP(IF(A3380&lt;0,(10-9)*A3380,-9*A3380))+L$129*EXP(IF(A3380&lt;0,(10-10)*A3380,-10*A3380)),0)</x:f>
        <x:v>-190027.34758677607</x:v>
      </x:c>
      <x:c r="C3380" s="256" t="n">
        <x:f>IF(B3380=0,IF(B3379=0,0,1),IF(B3379=0,0,IF(SIGN(B3380)&lt;&gt;SIGN(B3379),1,0)))</x:f>
        <x:v>0</x:v>
      </x:c>
      <x:c r="D3380" s="256" t="n">
        <x:f>EXP(A3380-0.005)-1</x:f>
        <x:v>296.37679358610785</x:v>
      </x:c>
    </x:row>
    <x:row r="3381" ht="20" customHeight="1">
      <x:c r="A3381" s="256" t="n">
        <x:f>-12+1771*0.01</x:f>
        <x:v>5.710000000000001</x:v>
      </x:c>
      <x:c r="B3381" s="256" t="n">
        <x:f>IF(COUNT($B$129:$L$129)=11,B$129*EXP(IF(A3381&lt;0,(10-0)*A3381,-0*A3381))+C$129*EXP(IF(A3381&lt;0,(10-1)*A3381,-1*A3381))+D$129*EXP(IF(A3381&lt;0,(10-2)*A3381,-2*A3381))+E$129*EXP(IF(A3381&lt;0,(10-3)*A3381,-3*A3381))+F$129*EXP(IF(A3381&lt;0,(10-4)*A3381,-4*A3381))+G$129*EXP(IF(A3381&lt;0,(10-5)*A3381,-5*A3381))+H$129*EXP(IF(A3381&lt;0,(10-6)*A3381,-6*A3381))+I$129*EXP(IF(A3381&lt;0,(10-7)*A3381,-7*A3381))+J$129*EXP(IF(A3381&lt;0,(10-8)*A3381,-8*A3381))+K$129*EXP(IF(A3381&lt;0,(10-9)*A3381,-9*A3381))+L$129*EXP(IF(A3381&lt;0,(10-10)*A3381,-10*A3381)),0)</x:f>
        <x:v>-190027.07481669472</x:v>
      </x:c>
      <x:c r="C3381" s="256" t="n">
        <x:f>IF(B3381=0,IF(B3380=0,0,1),IF(B3380=0,0,IF(SIGN(B3381)&lt;&gt;SIGN(B3380),1,0)))</x:f>
        <x:v>0</x:v>
      </x:c>
      <x:c r="D3381" s="256" t="n">
        <x:f>EXP(A3381-0.005)-1</x:f>
        <x:v>299.3654800486029</x:v>
      </x:c>
    </x:row>
    <x:row r="3382" ht="20" customHeight="1">
      <x:c r="A3382" s="256" t="n">
        <x:f>-12+1772*0.01</x:f>
        <x:v>5.719999999999999</x:v>
      </x:c>
      <x:c r="B3382" s="256" t="n">
        <x:f>IF(COUNT($B$129:$L$129)=11,B$129*EXP(IF(A3382&lt;0,(10-0)*A3382,-0*A3382))+C$129*EXP(IF(A3382&lt;0,(10-1)*A3382,-1*A3382))+D$129*EXP(IF(A3382&lt;0,(10-2)*A3382,-2*A3382))+E$129*EXP(IF(A3382&lt;0,(10-3)*A3382,-3*A3382))+F$129*EXP(IF(A3382&lt;0,(10-4)*A3382,-4*A3382))+G$129*EXP(IF(A3382&lt;0,(10-5)*A3382,-5*A3382))+H$129*EXP(IF(A3382&lt;0,(10-6)*A3382,-6*A3382))+I$129*EXP(IF(A3382&lt;0,(10-7)*A3382,-7*A3382))+J$129*EXP(IF(A3382&lt;0,(10-8)*A3382,-8*A3382))+K$129*EXP(IF(A3382&lt;0,(10-9)*A3382,-9*A3382))+L$129*EXP(IF(A3382&lt;0,(10-10)*A3382,-10*A3382)),0)</x:f>
        <x:v>-190026.80477375738</x:v>
      </x:c>
      <x:c r="C3382" s="256" t="n">
        <x:f>IF(B3382=0,IF(B3381=0,0,1),IF(B3381=0,0,IF(SIGN(B3382)&lt;&gt;SIGN(B3381),1,0)))</x:f>
        <x:v>0</x:v>
      </x:c>
      <x:c r="D3382" s="256" t="n">
        <x:f>EXP(A3382-0.005)-1</x:f>
        <x:v>302.3842033094071</x:v>
      </x:c>
    </x:row>
    <x:row r="3383" ht="20" customHeight="1">
      <x:c r="A3383" s="256" t="n">
        <x:f>-12+1773*0.01</x:f>
        <x:v>5.73</x:v>
      </x:c>
      <x:c r="B3383" s="256" t="n">
        <x:f>IF(COUNT($B$129:$L$129)=11,B$129*EXP(IF(A3383&lt;0,(10-0)*A3383,-0*A3383))+C$129*EXP(IF(A3383&lt;0,(10-1)*A3383,-1*A3383))+D$129*EXP(IF(A3383&lt;0,(10-2)*A3383,-2*A3383))+E$129*EXP(IF(A3383&lt;0,(10-3)*A3383,-3*A3383))+F$129*EXP(IF(A3383&lt;0,(10-4)*A3383,-4*A3383))+G$129*EXP(IF(A3383&lt;0,(10-5)*A3383,-5*A3383))+H$129*EXP(IF(A3383&lt;0,(10-6)*A3383,-6*A3383))+I$129*EXP(IF(A3383&lt;0,(10-7)*A3383,-7*A3383))+J$129*EXP(IF(A3383&lt;0,(10-8)*A3383,-8*A3383))+K$129*EXP(IF(A3383&lt;0,(10-9)*A3383,-9*A3383))+L$129*EXP(IF(A3383&lt;0,(10-10)*A3383,-10*A3383)),0)</x:f>
        <x:v>-190026.5374305696</x:v>
      </x:c>
      <x:c r="C3383" s="256" t="n">
        <x:f>IF(B3383=0,IF(B3382=0,0,1),IF(B3382=0,0,IF(SIGN(B3383)&lt;&gt;SIGN(B3382),1,0)))</x:f>
        <x:v>0</x:v>
      </x:c>
      <x:c r="D3383" s="256" t="n">
        <x:f>EXP(A3383-0.005)-1</x:f>
        <x:v>305.4332652433643</x:v>
      </x:c>
    </x:row>
    <x:row r="3384" ht="20" customHeight="1">
      <x:c r="A3384" s="256" t="n">
        <x:f>-12+1774*0.01</x:f>
        <x:v>5.740000000000002</x:v>
      </x:c>
      <x:c r="B3384" s="256" t="n">
        <x:f>IF(COUNT($B$129:$L$129)=11,B$129*EXP(IF(A3384&lt;0,(10-0)*A3384,-0*A3384))+C$129*EXP(IF(A3384&lt;0,(10-1)*A3384,-1*A3384))+D$129*EXP(IF(A3384&lt;0,(10-2)*A3384,-2*A3384))+E$129*EXP(IF(A3384&lt;0,(10-3)*A3384,-3*A3384))+F$129*EXP(IF(A3384&lt;0,(10-4)*A3384,-4*A3384))+G$129*EXP(IF(A3384&lt;0,(10-5)*A3384,-5*A3384))+H$129*EXP(IF(A3384&lt;0,(10-6)*A3384,-6*A3384))+I$129*EXP(IF(A3384&lt;0,(10-7)*A3384,-7*A3384))+J$129*EXP(IF(A3384&lt;0,(10-8)*A3384,-8*A3384))+K$129*EXP(IF(A3384&lt;0,(10-9)*A3384,-9*A3384))+L$129*EXP(IF(A3384&lt;0,(10-10)*A3384,-10*A3384)),0)</x:f>
        <x:v>-190026.27276001466</x:v>
      </x:c>
      <x:c r="C3384" s="256" t="n">
        <x:f>IF(B3384=0,IF(B3383=0,0,1),IF(B3383=0,0,IF(SIGN(B3384)&lt;&gt;SIGN(B3383),1,0)))</x:f>
        <x:v>0</x:v>
      </x:c>
      <x:c r="D3384" s="256" t="n">
        <x:f>EXP(A3384-0.005)-1</x:f>
        <x:v>308.5129707592078</x:v>
      </x:c>
    </x:row>
    <x:row r="3385" ht="20" customHeight="1">
      <x:c r="A3385" s="256" t="n">
        <x:f>-12+1775*0.01</x:f>
        <x:v>5.75</x:v>
      </x:c>
      <x:c r="B3385" s="256" t="n">
        <x:f>IF(COUNT($B$129:$L$129)=11,B$129*EXP(IF(A3385&lt;0,(10-0)*A3385,-0*A3385))+C$129*EXP(IF(A3385&lt;0,(10-1)*A3385,-1*A3385))+D$129*EXP(IF(A3385&lt;0,(10-2)*A3385,-2*A3385))+E$129*EXP(IF(A3385&lt;0,(10-3)*A3385,-3*A3385))+F$129*EXP(IF(A3385&lt;0,(10-4)*A3385,-4*A3385))+G$129*EXP(IF(A3385&lt;0,(10-5)*A3385,-5*A3385))+H$129*EXP(IF(A3385&lt;0,(10-6)*A3385,-6*A3385))+I$129*EXP(IF(A3385&lt;0,(10-7)*A3385,-7*A3385))+J$129*EXP(IF(A3385&lt;0,(10-8)*A3385,-8*A3385))+K$129*EXP(IF(A3385&lt;0,(10-9)*A3385,-9*A3385))+L$129*EXP(IF(A3385&lt;0,(10-10)*A3385,-10*A3385)),0)</x:f>
        <x:v>-190026.01073525075</x:v>
      </x:c>
      <x:c r="C3385" s="256" t="n">
        <x:f>IF(B3385=0,IF(B3384=0,0,1),IF(B3384=0,0,IF(SIGN(B3385)&lt;&gt;SIGN(B3384),1,0)))</x:f>
        <x:v>0</x:v>
      </x:c>
      <x:c r="D3385" s="256" t="n">
        <x:f>EXP(A3385-0.005)-1</x:f>
        <x:v>311.62362783005443</x:v>
      </x:c>
    </x:row>
    <x:row r="3386" ht="20" customHeight="1">
      <x:c r="A3386" s="256" t="n">
        <x:f>-12+1776*0.01</x:f>
        <x:v>5.760000000000002</x:v>
      </x:c>
      <x:c r="B3386" s="256" t="n">
        <x:f>IF(COUNT($B$129:$L$129)=11,B$129*EXP(IF(A3386&lt;0,(10-0)*A3386,-0*A3386))+C$129*EXP(IF(A3386&lt;0,(10-1)*A3386,-1*A3386))+D$129*EXP(IF(A3386&lt;0,(10-2)*A3386,-2*A3386))+E$129*EXP(IF(A3386&lt;0,(10-3)*A3386,-3*A3386))+F$129*EXP(IF(A3386&lt;0,(10-4)*A3386,-4*A3386))+G$129*EXP(IF(A3386&lt;0,(10-5)*A3386,-5*A3386))+H$129*EXP(IF(A3386&lt;0,(10-6)*A3386,-6*A3386))+I$129*EXP(IF(A3386&lt;0,(10-7)*A3386,-7*A3386))+J$129*EXP(IF(A3386&lt;0,(10-8)*A3386,-8*A3386))+K$129*EXP(IF(A3386&lt;0,(10-9)*A3386,-9*A3386))+L$129*EXP(IF(A3386&lt;0,(10-10)*A3386,-10*A3386)),0)</x:f>
        <x:v>-190025.7513297081</x:v>
      </x:c>
      <x:c r="C3386" s="256" t="n">
        <x:f>IF(B3386=0,IF(B3385=0,0,1),IF(B3385=0,0,IF(SIGN(B3386)&lt;&gt;SIGN(B3385),1,0)))</x:f>
        <x:v>0</x:v>
      </x:c>
      <x:c r="D3386" s="256" t="n">
        <x:f>EXP(A3386-0.005)-1</x:f>
        <x:v>314.7655475242058</x:v>
      </x:c>
    </x:row>
    <x:row r="3387" ht="20" customHeight="1">
      <x:c r="A3387" s="256" t="n">
        <x:f>-12+1777*0.01</x:f>
        <x:v>5.77</x:v>
      </x:c>
      <x:c r="B3387" s="256" t="n">
        <x:f>IF(COUNT($B$129:$L$129)=11,B$129*EXP(IF(A3387&lt;0,(10-0)*A3387,-0*A3387))+C$129*EXP(IF(A3387&lt;0,(10-1)*A3387,-1*A3387))+D$129*EXP(IF(A3387&lt;0,(10-2)*A3387,-2*A3387))+E$129*EXP(IF(A3387&lt;0,(10-3)*A3387,-3*A3387))+F$129*EXP(IF(A3387&lt;0,(10-4)*A3387,-4*A3387))+G$129*EXP(IF(A3387&lt;0,(10-5)*A3387,-5*A3387))+H$129*EXP(IF(A3387&lt;0,(10-6)*A3387,-6*A3387))+I$129*EXP(IF(A3387&lt;0,(10-7)*A3387,-7*A3387))+J$129*EXP(IF(A3387&lt;0,(10-8)*A3387,-8*A3387))+K$129*EXP(IF(A3387&lt;0,(10-9)*A3387,-9*A3387))+L$129*EXP(IF(A3387&lt;0,(10-10)*A3387,-10*A3387)),0)</x:f>
        <x:v>-190025.49451708602</x:v>
      </x:c>
      <x:c r="C3387" s="256" t="n">
        <x:f>IF(B3387=0,IF(B3386=0,0,1),IF(B3386=0,0,IF(SIGN(B3387)&lt;&gt;SIGN(B3386),1,0)))</x:f>
        <x:v>0</x:v>
      </x:c>
      <x:c r="D3387" s="256" t="n">
        <x:f>EXP(A3387-0.005)-1</x:f>
        <x:v>317.9390440362472</x:v>
      </x:c>
    </x:row>
    <x:row r="3388" ht="20" customHeight="1">
      <x:c r="A3388" s="256" t="n">
        <x:f>-12+1778*0.01</x:f>
        <x:v>5.780000000000001</x:v>
      </x:c>
      <x:c r="B3388" s="256" t="n">
        <x:f>IF(COUNT($B$129:$L$129)=11,B$129*EXP(IF(A3388&lt;0,(10-0)*A3388,-0*A3388))+C$129*EXP(IF(A3388&lt;0,(10-1)*A3388,-1*A3388))+D$129*EXP(IF(A3388&lt;0,(10-2)*A3388,-2*A3388))+E$129*EXP(IF(A3388&lt;0,(10-3)*A3388,-3*A3388))+F$129*EXP(IF(A3388&lt;0,(10-4)*A3388,-4*A3388))+G$129*EXP(IF(A3388&lt;0,(10-5)*A3388,-5*A3388))+H$129*EXP(IF(A3388&lt;0,(10-6)*A3388,-6*A3388))+I$129*EXP(IF(A3388&lt;0,(10-7)*A3388,-7*A3388))+J$129*EXP(IF(A3388&lt;0,(10-8)*A3388,-8*A3388))+K$129*EXP(IF(A3388&lt;0,(10-9)*A3388,-9*A3388))+L$129*EXP(IF(A3388&lt;0,(10-10)*A3388,-10*A3388)),0)</x:f>
        <x:v>-190025.24027135037</x:v>
      </x:c>
      <x:c r="C3388" s="256" t="n">
        <x:f>IF(B3388=0,IF(B3387=0,0,1),IF(B3387=0,0,IF(SIGN(B3388)&lt;&gt;SIGN(B3387),1,0)))</x:f>
        <x:v>0</x:v>
      </x:c>
      <x:c r="D3388" s="256" t="n">
        <x:f>EXP(A3388-0.005)-1</x:f>
        <x:v>321.1444347184768</x:v>
      </x:c>
    </x:row>
    <x:row r="3389" ht="20" customHeight="1">
      <x:c r="A3389" s="256" t="n">
        <x:f>-12+1779*0.01</x:f>
        <x:v>5.789999999999999</x:v>
      </x:c>
      <x:c r="B3389" s="256" t="n">
        <x:f>IF(COUNT($B$129:$L$129)=11,B$129*EXP(IF(A3389&lt;0,(10-0)*A3389,-0*A3389))+C$129*EXP(IF(A3389&lt;0,(10-1)*A3389,-1*A3389))+D$129*EXP(IF(A3389&lt;0,(10-2)*A3389,-2*A3389))+E$129*EXP(IF(A3389&lt;0,(10-3)*A3389,-3*A3389))+F$129*EXP(IF(A3389&lt;0,(10-4)*A3389,-4*A3389))+G$129*EXP(IF(A3389&lt;0,(10-5)*A3389,-5*A3389))+H$129*EXP(IF(A3389&lt;0,(10-6)*A3389,-6*A3389))+I$129*EXP(IF(A3389&lt;0,(10-7)*A3389,-7*A3389))+J$129*EXP(IF(A3389&lt;0,(10-8)*A3389,-8*A3389))+K$129*EXP(IF(A3389&lt;0,(10-9)*A3389,-9*A3389))+L$129*EXP(IF(A3389&lt;0,(10-10)*A3389,-10*A3389)),0)</x:f>
        <x:v>-190024.98856673075</x:v>
      </x:c>
      <x:c r="C3389" s="256" t="n">
        <x:f>IF(B3389=0,IF(B3388=0,0,1),IF(B3388=0,0,IF(SIGN(B3389)&lt;&gt;SIGN(B3388),1,0)))</x:f>
        <x:v>0</x:v>
      </x:c>
      <x:c r="D3389" s="256" t="n">
        <x:f>EXP(A3389-0.005)-1</x:f>
        <x:v>324.3820401126317</x:v>
      </x:c>
    </x:row>
    <x:row r="3390" ht="20" customHeight="1">
      <x:c r="A3390" s="256" t="n">
        <x:f>-12+1780*0.01</x:f>
        <x:v>5.800000000000001</x:v>
      </x:c>
      <x:c r="B3390" s="256" t="n">
        <x:f>IF(COUNT($B$129:$L$129)=11,B$129*EXP(IF(A3390&lt;0,(10-0)*A3390,-0*A3390))+C$129*EXP(IF(A3390&lt;0,(10-1)*A3390,-1*A3390))+D$129*EXP(IF(A3390&lt;0,(10-2)*A3390,-2*A3390))+E$129*EXP(IF(A3390&lt;0,(10-3)*A3390,-3*A3390))+F$129*EXP(IF(A3390&lt;0,(10-4)*A3390,-4*A3390))+G$129*EXP(IF(A3390&lt;0,(10-5)*A3390,-5*A3390))+H$129*EXP(IF(A3390&lt;0,(10-6)*A3390,-6*A3390))+I$129*EXP(IF(A3390&lt;0,(10-7)*A3390,-7*A3390))+J$129*EXP(IF(A3390&lt;0,(10-8)*A3390,-8*A3390))+K$129*EXP(IF(A3390&lt;0,(10-9)*A3390,-9*A3390))+L$129*EXP(IF(A3390&lt;0,(10-10)*A3390,-10*A3390)),0)</x:f>
        <x:v>-190024.73937771755</x:v>
      </x:c>
      <x:c r="C3390" s="256" t="n">
        <x:f>IF(B3390=0,IF(B3389=0,0,1),IF(B3389=0,0,IF(SIGN(B3390)&lt;&gt;SIGN(B3389),1,0)))</x:f>
        <x:v>0</x:v>
      </x:c>
      <x:c r="D3390" s="256" t="n">
        <x:f>EXP(A3390-0.005)-1</x:f>
        <x:v>327.6521839819517</x:v>
      </x:c>
    </x:row>
    <x:row r="3391" ht="20" customHeight="1">
      <x:c r="A3391" s="256" t="n">
        <x:f>-12+1781*0.01</x:f>
        <x:v>5.809999999999999</x:v>
      </x:c>
      <x:c r="B3391" s="256" t="n">
        <x:f>IF(COUNT($B$129:$L$129)=11,B$129*EXP(IF(A3391&lt;0,(10-0)*A3391,-0*A3391))+C$129*EXP(IF(A3391&lt;0,(10-1)*A3391,-1*A3391))+D$129*EXP(IF(A3391&lt;0,(10-2)*A3391,-2*A3391))+E$129*EXP(IF(A3391&lt;0,(10-3)*A3391,-3*A3391))+F$129*EXP(IF(A3391&lt;0,(10-4)*A3391,-4*A3391))+G$129*EXP(IF(A3391&lt;0,(10-5)*A3391,-5*A3391))+H$129*EXP(IF(A3391&lt;0,(10-6)*A3391,-6*A3391))+I$129*EXP(IF(A3391&lt;0,(10-7)*A3391,-7*A3391))+J$129*EXP(IF(A3391&lt;0,(10-8)*A3391,-8*A3391))+K$129*EXP(IF(A3391&lt;0,(10-9)*A3391,-9*A3391))+L$129*EXP(IF(A3391&lt;0,(10-10)*A3391,-10*A3391)),0)</x:f>
        <x:v>-190024.49267905974</x:v>
      </x:c>
      <x:c r="C3391" s="256" t="n">
        <x:f>IF(B3391=0,IF(B3390=0,0,1),IF(B3390=0,0,IF(SIGN(B3391)&lt;&gt;SIGN(B3390),1,0)))</x:f>
        <x:v>0</x:v>
      </x:c>
      <x:c r="D3391" s="256" t="n">
        <x:f>EXP(A3391-0.005)-1</x:f>
        <x:v>330.9551933435464</x:v>
      </x:c>
    </x:row>
    <x:row r="3392" ht="20" customHeight="1">
      <x:c r="A3392" s="256" t="n">
        <x:f>-12+1782*0.01</x:f>
        <x:v>5.82</x:v>
      </x:c>
      <x:c r="B3392" s="256" t="n">
        <x:f>IF(COUNT($B$129:$L$129)=11,B$129*EXP(IF(A3392&lt;0,(10-0)*A3392,-0*A3392))+C$129*EXP(IF(A3392&lt;0,(10-1)*A3392,-1*A3392))+D$129*EXP(IF(A3392&lt;0,(10-2)*A3392,-2*A3392))+E$129*EXP(IF(A3392&lt;0,(10-3)*A3392,-3*A3392))+F$129*EXP(IF(A3392&lt;0,(10-4)*A3392,-4*A3392))+G$129*EXP(IF(A3392&lt;0,(10-5)*A3392,-5*A3392))+H$129*EXP(IF(A3392&lt;0,(10-6)*A3392,-6*A3392))+I$129*EXP(IF(A3392&lt;0,(10-7)*A3392,-7*A3392))+J$129*EXP(IF(A3392&lt;0,(10-8)*A3392,-8*A3392))+K$129*EXP(IF(A3392&lt;0,(10-9)*A3392,-9*A3392))+L$129*EXP(IF(A3392&lt;0,(10-10)*A3392,-10*A3392)),0)</x:f>
        <x:v>-190024.24844576174</x:v>
      </x:c>
      <x:c r="C3392" s="256" t="n">
        <x:f>IF(B3392=0,IF(B3391=0,0,1),IF(B3391=0,0,IF(SIGN(B3392)&lt;&gt;SIGN(B3391),1,0)))</x:f>
        <x:v>0</x:v>
      </x:c>
      <x:c r="D3392" s="256" t="n">
        <x:f>EXP(A3392-0.005)-1</x:f>
        <x:v>334.29139850110687</x:v>
      </x:c>
    </x:row>
    <x:row r="3393" ht="20" customHeight="1">
      <x:c r="A3393" s="256" t="n">
        <x:f>-12+1783*0.01</x:f>
        <x:v>5.830000000000002</x:v>
      </x:c>
      <x:c r="B3393" s="256" t="n">
        <x:f>IF(COUNT($B$129:$L$129)=11,B$129*EXP(IF(A3393&lt;0,(10-0)*A3393,-0*A3393))+C$129*EXP(IF(A3393&lt;0,(10-1)*A3393,-1*A3393))+D$129*EXP(IF(A3393&lt;0,(10-2)*A3393,-2*A3393))+E$129*EXP(IF(A3393&lt;0,(10-3)*A3393,-3*A3393))+F$129*EXP(IF(A3393&lt;0,(10-4)*A3393,-4*A3393))+G$129*EXP(IF(A3393&lt;0,(10-5)*A3393,-5*A3393))+H$129*EXP(IF(A3393&lt;0,(10-6)*A3393,-6*A3393))+I$129*EXP(IF(A3393&lt;0,(10-7)*A3393,-7*A3393))+J$129*EXP(IF(A3393&lt;0,(10-8)*A3393,-8*A3393))+K$129*EXP(IF(A3393&lt;0,(10-9)*A3393,-9*A3393))+L$129*EXP(IF(A3393&lt;0,(10-10)*A3393,-10*A3393)),0)</x:f>
        <x:v>-190024.006653081</x:v>
      </x:c>
      <x:c r="C3393" s="256" t="n">
        <x:f>IF(B3393=0,IF(B3392=0,0,1),IF(B3392=0,0,IF(SIGN(B3393)&lt;&gt;SIGN(B3392),1,0)))</x:f>
        <x:v>0</x:v>
      </x:c>
      <x:c r="D3393" s="256" t="n">
        <x:f>EXP(A3393-0.005)-1</x:f>
        <x:v>337.66113307792784</x:v>
      </x:c>
    </x:row>
    <x:row r="3394" ht="20" customHeight="1">
      <x:c r="A3394" s="256" t="n">
        <x:f>-12+1784*0.01</x:f>
        <x:v>5.84</x:v>
      </x:c>
      <x:c r="B3394" s="256" t="n">
        <x:f>IF(COUNT($B$129:$L$129)=11,B$129*EXP(IF(A3394&lt;0,(10-0)*A3394,-0*A3394))+C$129*EXP(IF(A3394&lt;0,(10-1)*A3394,-1*A3394))+D$129*EXP(IF(A3394&lt;0,(10-2)*A3394,-2*A3394))+E$129*EXP(IF(A3394&lt;0,(10-3)*A3394,-3*A3394))+F$129*EXP(IF(A3394&lt;0,(10-4)*A3394,-4*A3394))+G$129*EXP(IF(A3394&lt;0,(10-5)*A3394,-5*A3394))+H$129*EXP(IF(A3394&lt;0,(10-6)*A3394,-6*A3394))+I$129*EXP(IF(A3394&lt;0,(10-7)*A3394,-7*A3394))+J$129*EXP(IF(A3394&lt;0,(10-8)*A3394,-8*A3394))+K$129*EXP(IF(A3394&lt;0,(10-9)*A3394,-9*A3394))+L$129*EXP(IF(A3394&lt;0,(10-10)*A3394,-10*A3394)),0)</x:f>
        <x:v>-190023.76727652535</x:v>
      </x:c>
      <x:c r="C3394" s="256" t="n">
        <x:f>IF(B3394=0,IF(B3393=0,0,1),IF(B3393=0,0,IF(SIGN(B3394)&lt;&gt;SIGN(B3393),1,0)))</x:f>
        <x:v>0</x:v>
      </x:c>
      <x:c r="D3394" s="256" t="n">
        <x:f>EXP(A3394-0.005)-1</x:f>
        <x:v>341.06473405027407</x:v>
      </x:c>
    </x:row>
    <x:row r="3395" ht="20" customHeight="1">
      <x:c r="A3395" s="256" t="n">
        <x:f>-12+1785*0.01</x:f>
        <x:v>5.850000000000001</x:v>
      </x:c>
      <x:c r="B3395" s="256" t="n">
        <x:f>IF(COUNT($B$129:$L$129)=11,B$129*EXP(IF(A3395&lt;0,(10-0)*A3395,-0*A3395))+C$129*EXP(IF(A3395&lt;0,(10-1)*A3395,-1*A3395))+D$129*EXP(IF(A3395&lt;0,(10-2)*A3395,-2*A3395))+E$129*EXP(IF(A3395&lt;0,(10-3)*A3395,-3*A3395))+F$129*EXP(IF(A3395&lt;0,(10-4)*A3395,-4*A3395))+G$129*EXP(IF(A3395&lt;0,(10-5)*A3395,-5*A3395))+H$129*EXP(IF(A3395&lt;0,(10-6)*A3395,-6*A3395))+I$129*EXP(IF(A3395&lt;0,(10-7)*A3395,-7*A3395))+J$129*EXP(IF(A3395&lt;0,(10-8)*A3395,-8*A3395))+K$129*EXP(IF(A3395&lt;0,(10-9)*A3395,-9*A3395))+L$129*EXP(IF(A3395&lt;0,(10-10)*A3395,-10*A3395)),0)</x:f>
        <x:v>-190023.5302918506</x:v>
      </x:c>
      <x:c r="C3395" s="256" t="n">
        <x:f>IF(B3395=0,IF(B3394=0,0,1),IF(B3394=0,0,IF(SIGN(B3395)&lt;&gt;SIGN(B3394),1,0)))</x:f>
        <x:v>0</x:v>
      </x:c>
      <x:c r="D3395" s="256" t="n">
        <x:f>EXP(A3395-0.005)-1</x:f>
        <x:v>344.50254178108133</x:v>
      </x:c>
    </x:row>
    <x:row r="3396" ht="20" customHeight="1">
      <x:c r="A3396" s="256" t="n">
        <x:f>-12+1786*0.01</x:f>
        <x:v>5.859999999999999</x:v>
      </x:c>
      <x:c r="B3396" s="256" t="n">
        <x:f>IF(COUNT($B$129:$L$129)=11,B$129*EXP(IF(A3396&lt;0,(10-0)*A3396,-0*A3396))+C$129*EXP(IF(A3396&lt;0,(10-1)*A3396,-1*A3396))+D$129*EXP(IF(A3396&lt;0,(10-2)*A3396,-2*A3396))+E$129*EXP(IF(A3396&lt;0,(10-3)*A3396,-3*A3396))+F$129*EXP(IF(A3396&lt;0,(10-4)*A3396,-4*A3396))+G$129*EXP(IF(A3396&lt;0,(10-5)*A3396,-5*A3396))+H$129*EXP(IF(A3396&lt;0,(10-6)*A3396,-6*A3396))+I$129*EXP(IF(A3396&lt;0,(10-7)*A3396,-7*A3396))+J$129*EXP(IF(A3396&lt;0,(10-8)*A3396,-8*A3396))+K$129*EXP(IF(A3396&lt;0,(10-9)*A3396,-9*A3396))+L$129*EXP(IF(A3396&lt;0,(10-10)*A3396,-10*A3396)),0)</x:f>
        <x:v>-190023.29567505763</x:v>
      </x:c>
      <x:c r="C3396" s="256" t="n">
        <x:f>IF(B3396=0,IF(B3395=0,0,1),IF(B3395=0,0,IF(SIGN(B3396)&lt;&gt;SIGN(B3395),1,0)))</x:f>
        <x:v>0</x:v>
      </x:c>
      <x:c r="D3396" s="256" t="n">
        <x:f>EXP(A3396-0.005)-1</x:f>
        <x:v>347.97490005398527</x:v>
      </x:c>
    </x:row>
    <x:row r="3397" ht="20" customHeight="1">
      <x:c r="A3397" s="256" t="n">
        <x:f>-12+1787*0.01</x:f>
        <x:v>5.870000000000001</x:v>
      </x:c>
      <x:c r="B3397" s="256" t="n">
        <x:f>IF(COUNT($B$129:$L$129)=11,B$129*EXP(IF(A3397&lt;0,(10-0)*A3397,-0*A3397))+C$129*EXP(IF(A3397&lt;0,(10-1)*A3397,-1*A3397))+D$129*EXP(IF(A3397&lt;0,(10-2)*A3397,-2*A3397))+E$129*EXP(IF(A3397&lt;0,(10-3)*A3397,-3*A3397))+F$129*EXP(IF(A3397&lt;0,(10-4)*A3397,-4*A3397))+G$129*EXP(IF(A3397&lt;0,(10-5)*A3397,-5*A3397))+H$129*EXP(IF(A3397&lt;0,(10-6)*A3397,-6*A3397))+I$129*EXP(IF(A3397&lt;0,(10-7)*A3397,-7*A3397))+J$129*EXP(IF(A3397&lt;0,(10-8)*A3397,-8*A3397))+K$129*EXP(IF(A3397&lt;0,(10-9)*A3397,-9*A3397))+L$129*EXP(IF(A3397&lt;0,(10-10)*A3397,-10*A3397)),0)</x:f>
        <x:v>-190023.06340239022</x:v>
      </x:c>
      <x:c r="C3397" s="256" t="n">
        <x:f>IF(B3397=0,IF(B3396=0,0,1),IF(B3396=0,0,IF(SIGN(B3397)&lt;&gt;SIGN(B3396),1,0)))</x:f>
        <x:v>0</x:v>
      </x:c>
      <x:c r="D3397" s="256" t="n">
        <x:f>EXP(A3397-0.005)-1</x:f>
        <x:v>351.4821561077092</x:v>
      </x:c>
    </x:row>
    <x:row r="3398" ht="20" customHeight="1">
      <x:c r="A3398" s="256" t="n">
        <x:f>-12+1788*0.01</x:f>
        <x:v>5.879999999999999</x:v>
      </x:c>
      <x:c r="B3398" s="256" t="n">
        <x:f>IF(COUNT($B$129:$L$129)=11,B$129*EXP(IF(A3398&lt;0,(10-0)*A3398,-0*A3398))+C$129*EXP(IF(A3398&lt;0,(10-1)*A3398,-1*A3398))+D$129*EXP(IF(A3398&lt;0,(10-2)*A3398,-2*A3398))+E$129*EXP(IF(A3398&lt;0,(10-3)*A3398,-3*A3398))+F$129*EXP(IF(A3398&lt;0,(10-4)*A3398,-4*A3398))+G$129*EXP(IF(A3398&lt;0,(10-5)*A3398,-5*A3398))+H$129*EXP(IF(A3398&lt;0,(10-6)*A3398,-6*A3398))+I$129*EXP(IF(A3398&lt;0,(10-7)*A3398,-7*A3398))+J$129*EXP(IF(A3398&lt;0,(10-8)*A3398,-8*A3398))+K$129*EXP(IF(A3398&lt;0,(10-9)*A3398,-9*A3398))+L$129*EXP(IF(A3398&lt;0,(10-10)*A3398,-10*A3398)),0)</x:f>
        <x:v>-190022.8334503323</x:v>
      </x:c>
      <x:c r="C3398" s="256" t="n">
        <x:f>IF(B3398=0,IF(B3397=0,0,1),IF(B3397=0,0,IF(SIGN(B3398)&lt;&gt;SIGN(B3397),1,0)))</x:f>
        <x:v>0</x:v>
      </x:c>
      <x:c r="D3398" s="256" t="n">
        <x:f>EXP(A3398-0.005)-1</x:f>
        <x:v>355.0246606707788</x:v>
      </x:c>
    </x:row>
    <x:row r="3399" ht="20" customHeight="1">
      <x:c r="A3399" s="256" t="n">
        <x:f>-12+1789*0.01</x:f>
        <x:v>5.890000000000001</x:v>
      </x:c>
      <x:c r="B3399" s="256" t="n">
        <x:f>IF(COUNT($B$129:$L$129)=11,B$129*EXP(IF(A3399&lt;0,(10-0)*A3399,-0*A3399))+C$129*EXP(IF(A3399&lt;0,(10-1)*A3399,-1*A3399))+D$129*EXP(IF(A3399&lt;0,(10-2)*A3399,-2*A3399))+E$129*EXP(IF(A3399&lt;0,(10-3)*A3399,-3*A3399))+F$129*EXP(IF(A3399&lt;0,(10-4)*A3399,-4*A3399))+G$129*EXP(IF(A3399&lt;0,(10-5)*A3399,-5*A3399))+H$129*EXP(IF(A3399&lt;0,(10-6)*A3399,-6*A3399))+I$129*EXP(IF(A3399&lt;0,(10-7)*A3399,-7*A3399))+J$129*EXP(IF(A3399&lt;0,(10-8)*A3399,-8*A3399))+K$129*EXP(IF(A3399&lt;0,(10-9)*A3399,-9*A3399))+L$129*EXP(IF(A3399&lt;0,(10-10)*A3399,-10*A3399)),0)</x:f>
        <x:v>-190022.60579560578</x:v>
      </x:c>
      <x:c r="C3399" s="256" t="n">
        <x:f>IF(B3399=0,IF(B3398=0,0,1),IF(B3398=0,0,IF(SIGN(B3399)&lt;&gt;SIGN(B3398),1,0)))</x:f>
        <x:v>0</x:v>
      </x:c>
      <x:c r="D3399" s="256" t="n">
        <x:f>EXP(A3399-0.005)-1</x:f>
        <x:v>358.60276799660494</x:v>
      </x:c>
    </x:row>
    <x:row r="3400" ht="20" customHeight="1">
      <x:c r="A3400" s="256" t="n">
        <x:f>-12+1790*0.01</x:f>
        <x:v>5.900000000000002</x:v>
      </x:c>
      <x:c r="B3400" s="256" t="n">
        <x:f>IF(COUNT($B$129:$L$129)=11,B$129*EXP(IF(A3400&lt;0,(10-0)*A3400,-0*A3400))+C$129*EXP(IF(A3400&lt;0,(10-1)*A3400,-1*A3400))+D$129*EXP(IF(A3400&lt;0,(10-2)*A3400,-2*A3400))+E$129*EXP(IF(A3400&lt;0,(10-3)*A3400,-3*A3400))+F$129*EXP(IF(A3400&lt;0,(10-4)*A3400,-4*A3400))+G$129*EXP(IF(A3400&lt;0,(10-5)*A3400,-5*A3400))+H$129*EXP(IF(A3400&lt;0,(10-6)*A3400,-6*A3400))+I$129*EXP(IF(A3400&lt;0,(10-7)*A3400,-7*A3400))+J$129*EXP(IF(A3400&lt;0,(10-8)*A3400,-8*A3400))+K$129*EXP(IF(A3400&lt;0,(10-9)*A3400,-9*A3400))+L$129*EXP(IF(A3400&lt;0,(10-10)*A3400,-10*A3400)),0)</x:f>
        <x:v>-190022.38041516775</x:v>
      </x:c>
      <x:c r="C3400" s="256" t="n">
        <x:f>IF(B3400=0,IF(B3399=0,0,1),IF(B3399=0,0,IF(SIGN(B3400)&lt;&gt;SIGN(B3399),1,0)))</x:f>
        <x:v>0</x:v>
      </x:c>
      <x:c r="D3400" s="256" t="n">
        <x:f>EXP(A3400-0.005)-1</x:f>
        <x:v>362.21683589890074</x:v>
      </x:c>
    </x:row>
    <x:row r="3401" ht="20" customHeight="1">
      <x:c r="A3401" s="256" t="n">
        <x:f>-12+1791*0.01</x:f>
        <x:v>5.91</x:v>
      </x:c>
      <x:c r="B3401" s="256" t="n">
        <x:f>IF(COUNT($B$129:$L$129)=11,B$129*EXP(IF(A3401&lt;0,(10-0)*A3401,-0*A3401))+C$129*EXP(IF(A3401&lt;0,(10-1)*A3401,-1*A3401))+D$129*EXP(IF(A3401&lt;0,(10-2)*A3401,-2*A3401))+E$129*EXP(IF(A3401&lt;0,(10-3)*A3401,-3*A3401))+F$129*EXP(IF(A3401&lt;0,(10-4)*A3401,-4*A3401))+G$129*EXP(IF(A3401&lt;0,(10-5)*A3401,-5*A3401))+H$129*EXP(IF(A3401&lt;0,(10-6)*A3401,-6*A3401))+I$129*EXP(IF(A3401&lt;0,(10-7)*A3401,-7*A3401))+J$129*EXP(IF(A3401&lt;0,(10-8)*A3401,-8*A3401))+K$129*EXP(IF(A3401&lt;0,(10-9)*A3401,-9*A3401))+L$129*EXP(IF(A3401&lt;0,(10-10)*A3401,-10*A3401)),0)</x:f>
        <x:v>-190022.15728620824</x:v>
      </x:c>
      <x:c r="C3401" s="256" t="n">
        <x:f>IF(B3401=0,IF(B3400=0,0,1),IF(B3400=0,0,IF(SIGN(B3401)&lt;&gt;SIGN(B3400),1,0)))</x:f>
        <x:v>0</x:v>
      </x:c>
      <x:c r="D3401" s="256" t="n">
        <x:f>EXP(A3401-0.005)-1</x:f>
        <x:v>365.86722578746674</x:v>
      </x:c>
    </x:row>
    <x:row r="3402" ht="20" customHeight="1">
      <x:c r="A3402" s="256" t="n">
        <x:f>-12+1792*0.01</x:f>
        <x:v>5.920000000000002</x:v>
      </x:c>
      <x:c r="B3402" s="256" t="n">
        <x:f>IF(COUNT($B$129:$L$129)=11,B$129*EXP(IF(A3402&lt;0,(10-0)*A3402,-0*A3402))+C$129*EXP(IF(A3402&lt;0,(10-1)*A3402,-1*A3402))+D$129*EXP(IF(A3402&lt;0,(10-2)*A3402,-2*A3402))+E$129*EXP(IF(A3402&lt;0,(10-3)*A3402,-3*A3402))+F$129*EXP(IF(A3402&lt;0,(10-4)*A3402,-4*A3402))+G$129*EXP(IF(A3402&lt;0,(10-5)*A3402,-5*A3402))+H$129*EXP(IF(A3402&lt;0,(10-6)*A3402,-6*A3402))+I$129*EXP(IF(A3402&lt;0,(10-7)*A3402,-7*A3402))+J$129*EXP(IF(A3402&lt;0,(10-8)*A3402,-8*A3402))+K$129*EXP(IF(A3402&lt;0,(10-9)*A3402,-9*A3402))+L$129*EXP(IF(A3402&lt;0,(10-10)*A3402,-10*A3402)),0)</x:f>
        <x:v>-190021.93638614804</x:v>
      </x:c>
      <x:c r="C3402" s="256" t="n">
        <x:f>IF(B3402=0,IF(B3401=0,0,1),IF(B3401=0,0,IF(SIGN(B3402)&lt;&gt;SIGN(B3401),1,0)))</x:f>
        <x:v>0</x:v>
      </x:c>
      <x:c r="D3402" s="256" t="n">
        <x:f>EXP(A3402-0.005)-1</x:f>
        <x:v>369.5543027043366</x:v>
      </x:c>
    </x:row>
    <x:row r="3403" ht="20" customHeight="1">
      <x:c r="A3403" s="256" t="n">
        <x:f>-12+1793*0.01</x:f>
        <x:v>5.93</x:v>
      </x:c>
      <x:c r="B3403" s="256" t="n">
        <x:f>IF(COUNT($B$129:$L$129)=11,B$129*EXP(IF(A3403&lt;0,(10-0)*A3403,-0*A3403))+C$129*EXP(IF(A3403&lt;0,(10-1)*A3403,-1*A3403))+D$129*EXP(IF(A3403&lt;0,(10-2)*A3403,-2*A3403))+E$129*EXP(IF(A3403&lt;0,(10-3)*A3403,-3*A3403))+F$129*EXP(IF(A3403&lt;0,(10-4)*A3403,-4*A3403))+G$129*EXP(IF(A3403&lt;0,(10-5)*A3403,-5*A3403))+H$129*EXP(IF(A3403&lt;0,(10-6)*A3403,-6*A3403))+I$129*EXP(IF(A3403&lt;0,(10-7)*A3403,-7*A3403))+J$129*EXP(IF(A3403&lt;0,(10-8)*A3403,-8*A3403))+K$129*EXP(IF(A3403&lt;0,(10-9)*A3403,-9*A3403))+L$129*EXP(IF(A3403&lt;0,(10-10)*A3403,-10*A3403)),0)</x:f>
        <x:v>-190021.71769263575</x:v>
      </x:c>
      <x:c r="C3403" s="256" t="n">
        <x:f>IF(B3403=0,IF(B3402=0,0,1),IF(B3402=0,0,IF(SIGN(B3403)&lt;&gt;SIGN(B3402),1,0)))</x:f>
        <x:v>0</x:v>
      </x:c>
      <x:c r="D3403" s="256" t="n">
        <x:f>EXP(A3403-0.005)-1</x:f>
        <x:v>373.2784353602718</x:v>
      </x:c>
    </x:row>
    <x:row r="3404" ht="20" customHeight="1">
      <x:c r="A3404" s="256" t="n">
        <x:f>-12+1794*0.01</x:f>
        <x:v>5.940000000000001</x:v>
      </x:c>
      <x:c r="B3404" s="256" t="n">
        <x:f>IF(COUNT($B$129:$L$129)=11,B$129*EXP(IF(A3404&lt;0,(10-0)*A3404,-0*A3404))+C$129*EXP(IF(A3404&lt;0,(10-1)*A3404,-1*A3404))+D$129*EXP(IF(A3404&lt;0,(10-2)*A3404,-2*A3404))+E$129*EXP(IF(A3404&lt;0,(10-3)*A3404,-3*A3404))+F$129*EXP(IF(A3404&lt;0,(10-4)*A3404,-4*A3404))+G$129*EXP(IF(A3404&lt;0,(10-5)*A3404,-5*A3404))+H$129*EXP(IF(A3404&lt;0,(10-6)*A3404,-6*A3404))+I$129*EXP(IF(A3404&lt;0,(10-7)*A3404,-7*A3404))+J$129*EXP(IF(A3404&lt;0,(10-8)*A3404,-8*A3404))+K$129*EXP(IF(A3404&lt;0,(10-9)*A3404,-9*A3404))+L$129*EXP(IF(A3404&lt;0,(10-10)*A3404,-10*A3404)),0)</x:f>
        <x:v>-190021.50118354624</x:v>
      </x:c>
      <x:c r="C3404" s="256" t="n">
        <x:f>IF(B3404=0,IF(B3403=0,0,1),IF(B3403=0,0,IF(SIGN(B3404)&lt;&gt;SIGN(B3403),1,0)))</x:f>
        <x:v>0</x:v>
      </x:c>
      <x:c r="D3404" s="256" t="n">
        <x:f>EXP(A3404-0.005)-1</x:f>
        <x:v>377.03999617164413</x:v>
      </x:c>
    </x:row>
    <x:row r="3405" ht="20" customHeight="1">
      <x:c r="A3405" s="256" t="n">
        <x:f>-12+1795*0.01</x:f>
        <x:v>5.949999999999999</x:v>
      </x:c>
      <x:c r="B3405" s="256" t="n">
        <x:f>IF(COUNT($B$129:$L$129)=11,B$129*EXP(IF(A3405&lt;0,(10-0)*A3405,-0*A3405))+C$129*EXP(IF(A3405&lt;0,(10-1)*A3405,-1*A3405))+D$129*EXP(IF(A3405&lt;0,(10-2)*A3405,-2*A3405))+E$129*EXP(IF(A3405&lt;0,(10-3)*A3405,-3*A3405))+F$129*EXP(IF(A3405&lt;0,(10-4)*A3405,-4*A3405))+G$129*EXP(IF(A3405&lt;0,(10-5)*A3405,-5*A3405))+H$129*EXP(IF(A3405&lt;0,(10-6)*A3405,-6*A3405))+I$129*EXP(IF(A3405&lt;0,(10-7)*A3405,-7*A3405))+J$129*EXP(IF(A3405&lt;0,(10-8)*A3405,-8*A3405))+K$129*EXP(IF(A3405&lt;0,(10-9)*A3405,-9*A3405))+L$129*EXP(IF(A3405&lt;0,(10-10)*A3405,-10*A3405)),0)</x:f>
        <x:v>-190021.28683697755</x:v>
      </x:c>
      <x:c r="C3405" s="256" t="n">
        <x:f>IF(B3405=0,IF(B3404=0,0,1),IF(B3404=0,0,IF(SIGN(B3405)&lt;&gt;SIGN(B3404),1,0)))</x:f>
        <x:v>0</x:v>
      </x:c>
      <x:c r="D3405" s="256" t="n">
        <x:f>EXP(A3405-0.005)-1</x:f>
        <x:v>380.83936129766664</x:v>
      </x:c>
    </x:row>
    <x:row r="3406" ht="20" customHeight="1">
      <x:c r="A3406" s="256" t="n">
        <x:f>-12+1796*0.01</x:f>
        <x:v>5.960000000000001</x:v>
      </x:c>
      <x:c r="B3406" s="256" t="n">
        <x:f>IF(COUNT($B$129:$L$129)=11,B$129*EXP(IF(A3406&lt;0,(10-0)*A3406,-0*A3406))+C$129*EXP(IF(A3406&lt;0,(10-1)*A3406,-1*A3406))+D$129*EXP(IF(A3406&lt;0,(10-2)*A3406,-2*A3406))+E$129*EXP(IF(A3406&lt;0,(10-3)*A3406,-3*A3406))+F$129*EXP(IF(A3406&lt;0,(10-4)*A3406,-4*A3406))+G$129*EXP(IF(A3406&lt;0,(10-5)*A3406,-5*A3406))+H$129*EXP(IF(A3406&lt;0,(10-6)*A3406,-6*A3406))+I$129*EXP(IF(A3406&lt;0,(10-7)*A3406,-7*A3406))+J$129*EXP(IF(A3406&lt;0,(10-8)*A3406,-8*A3406))+K$129*EXP(IF(A3406&lt;0,(10-9)*A3406,-9*A3406))+L$129*EXP(IF(A3406&lt;0,(10-10)*A3406,-10*A3406)),0)</x:f>
        <x:v>-190021.07463124912</x:v>
      </x:c>
      <x:c r="C3406" s="256" t="n">
        <x:f>IF(B3406=0,IF(B3405=0,0,1),IF(B3405=0,0,IF(SIGN(B3406)&lt;&gt;SIGN(B3405),1,0)))</x:f>
        <x:v>0</x:v>
      </x:c>
      <x:c r="D3406" s="256" t="n">
        <x:f>EXP(A3406-0.005)-1</x:f>
        <x:v>384.6769106780208</x:v>
      </x:c>
    </x:row>
    <x:row r="3407" ht="20" customHeight="1">
      <x:c r="A3407" s="256" t="n">
        <x:f>-12+1797*0.01</x:f>
        <x:v>5.969999999999999</x:v>
      </x:c>
      <x:c r="B3407" s="256" t="n">
        <x:f>IF(COUNT($B$129:$L$129)=11,B$129*EXP(IF(A3407&lt;0,(10-0)*A3407,-0*A3407))+C$129*EXP(IF(A3407&lt;0,(10-1)*A3407,-1*A3407))+D$129*EXP(IF(A3407&lt;0,(10-2)*A3407,-2*A3407))+E$129*EXP(IF(A3407&lt;0,(10-3)*A3407,-3*A3407))+F$129*EXP(IF(A3407&lt;0,(10-4)*A3407,-4*A3407))+G$129*EXP(IF(A3407&lt;0,(10-5)*A3407,-5*A3407))+H$129*EXP(IF(A3407&lt;0,(10-6)*A3407,-6*A3407))+I$129*EXP(IF(A3407&lt;0,(10-7)*A3407,-7*A3407))+J$129*EXP(IF(A3407&lt;0,(10-8)*A3407,-8*A3407))+K$129*EXP(IF(A3407&lt;0,(10-9)*A3407,-9*A3407))+L$129*EXP(IF(A3407&lt;0,(10-10)*A3407,-10*A3407)),0)</x:f>
        <x:v>-190020.8645448994</x:v>
      </x:c>
      <x:c r="C3407" s="256" t="n">
        <x:f>IF(B3407=0,IF(B3406=0,0,1),IF(B3406=0,0,IF(SIGN(B3407)&lt;&gt;SIGN(B3406),1,0)))</x:f>
        <x:v>0</x:v>
      </x:c>
      <x:c r="D3407" s="256" t="n">
        <x:f>EXP(A3407-0.005)-1</x:f>
        <x:v>388.5530280708399</x:v>
      </x:c>
    </x:row>
    <x:row r="3408" ht="20" customHeight="1">
      <x:c r="A3408" s="256" t="n">
        <x:f>-12+1798*0.01</x:f>
        <x:v>5.98</x:v>
      </x:c>
      <x:c r="B3408" s="256" t="n">
        <x:f>IF(COUNT($B$129:$L$129)=11,B$129*EXP(IF(A3408&lt;0,(10-0)*A3408,-0*A3408))+C$129*EXP(IF(A3408&lt;0,(10-1)*A3408,-1*A3408))+D$129*EXP(IF(A3408&lt;0,(10-2)*A3408,-2*A3408))+E$129*EXP(IF(A3408&lt;0,(10-3)*A3408,-3*A3408))+F$129*EXP(IF(A3408&lt;0,(10-4)*A3408,-4*A3408))+G$129*EXP(IF(A3408&lt;0,(10-5)*A3408,-5*A3408))+H$129*EXP(IF(A3408&lt;0,(10-6)*A3408,-6*A3408))+I$129*EXP(IF(A3408&lt;0,(10-7)*A3408,-7*A3408))+J$129*EXP(IF(A3408&lt;0,(10-8)*A3408,-8*A3408))+K$129*EXP(IF(A3408&lt;0,(10-9)*A3408,-9*A3408))+L$129*EXP(IF(A3408&lt;0,(10-10)*A3408,-10*A3408)),0)</x:f>
        <x:v>-190020.65655668345</x:v>
      </x:c>
      <x:c r="C3408" s="256" t="n">
        <x:f>IF(B3408=0,IF(B3407=0,0,1),IF(B3407=0,0,IF(SIGN(B3408)&lt;&gt;SIGN(B3407),1,0)))</x:f>
        <x:v>0</x:v>
      </x:c>
      <x:c r="D3408" s="256" t="n">
        <x:f>EXP(A3408-0.005)-1</x:f>
        <x:v>392.46810109109606</x:v>
      </x:c>
    </x:row>
    <x:row r="3409" ht="20" customHeight="1">
      <x:c r="A3409" s="256" t="n">
        <x:f>-12+1799*0.01</x:f>
        <x:v>5.990000000000002</x:v>
      </x:c>
      <x:c r="B3409" s="256" t="n">
        <x:f>IF(COUNT($B$129:$L$129)=11,B$129*EXP(IF(A3409&lt;0,(10-0)*A3409,-0*A3409))+C$129*EXP(IF(A3409&lt;0,(10-1)*A3409,-1*A3409))+D$129*EXP(IF(A3409&lt;0,(10-2)*A3409,-2*A3409))+E$129*EXP(IF(A3409&lt;0,(10-3)*A3409,-3*A3409))+F$129*EXP(IF(A3409&lt;0,(10-4)*A3409,-4*A3409))+G$129*EXP(IF(A3409&lt;0,(10-5)*A3409,-5*A3409))+H$129*EXP(IF(A3409&lt;0,(10-6)*A3409,-6*A3409))+I$129*EXP(IF(A3409&lt;0,(10-7)*A3409,-7*A3409))+J$129*EXP(IF(A3409&lt;0,(10-8)*A3409,-8*A3409))+K$129*EXP(IF(A3409&lt;0,(10-9)*A3409,-9*A3409))+L$129*EXP(IF(A3409&lt;0,(10-10)*A3409,-10*A3409)),0)</x:f>
        <x:v>-190020.45064557088</x:v>
      </x:c>
      <x:c r="C3409" s="256" t="n">
        <x:f>IF(B3409=0,IF(B3408=0,0,1),IF(B3408=0,0,IF(SIGN(B3409)&lt;&gt;SIGN(B3408),1,0)))</x:f>
        <x:v>0</x:v>
      </x:c>
      <x:c r="D3409" s="256" t="n">
        <x:f>EXP(A3409-0.005)-1</x:f>
        <x:v>396.42252124935254</x:v>
      </x:c>
    </x:row>
    <x:row r="3410" ht="20" customHeight="1">
      <x:c r="A3410" s="256" t="n">
        <x:f>-12+1800*0.01</x:f>
        <x:v>6</x:v>
      </x:c>
      <x:c r="B3410" s="256" t="n">
        <x:f>IF(COUNT($B$129:$L$129)=11,B$129*EXP(IF(A3410&lt;0,(10-0)*A3410,-0*A3410))+C$129*EXP(IF(A3410&lt;0,(10-1)*A3410,-1*A3410))+D$129*EXP(IF(A3410&lt;0,(10-2)*A3410,-2*A3410))+E$129*EXP(IF(A3410&lt;0,(10-3)*A3410,-3*A3410))+F$129*EXP(IF(A3410&lt;0,(10-4)*A3410,-4*A3410))+G$129*EXP(IF(A3410&lt;0,(10-5)*A3410,-5*A3410))+H$129*EXP(IF(A3410&lt;0,(10-6)*A3410,-6*A3410))+I$129*EXP(IF(A3410&lt;0,(10-7)*A3410,-7*A3410))+J$129*EXP(IF(A3410&lt;0,(10-8)*A3410,-8*A3410))+K$129*EXP(IF(A3410&lt;0,(10-9)*A3410,-9*A3410))+L$129*EXP(IF(A3410&lt;0,(10-10)*A3410,-10*A3410)),0)</x:f>
        <x:v>-190020.2467907436</x:v>
      </x:c>
      <x:c r="C3410" s="256" t="n">
        <x:f>IF(B3410=0,IF(B3409=0,0,1),IF(B3409=0,0,IF(SIGN(B3410)&lt;&gt;SIGN(B3409),1,0)))</x:f>
        <x:v>0</x:v>
      </x:c>
      <x:c r="D3410" s="256" t="n">
        <x:f>EXP(A3410-0.005)-1</x:f>
        <x:v>400.41668399091907</x:v>
      </x:c>
    </x:row>
    <x:row r="3411" ht="20" customHeight="1">
      <x:c r="A3411" s="256" t="n">
        <x:f>-12+1801*0.01</x:f>
        <x:v>6.010000000000002</x:v>
      </x:c>
      <x:c r="B3411" s="256" t="n">
        <x:f>IF(COUNT($B$129:$L$129)=11,B$129*EXP(IF(A3411&lt;0,(10-0)*A3411,-0*A3411))+C$129*EXP(IF(A3411&lt;0,(10-1)*A3411,-1*A3411))+D$129*EXP(IF(A3411&lt;0,(10-2)*A3411,-2*A3411))+E$129*EXP(IF(A3411&lt;0,(10-3)*A3411,-3*A3411))+F$129*EXP(IF(A3411&lt;0,(10-4)*A3411,-4*A3411))+G$129*EXP(IF(A3411&lt;0,(10-5)*A3411,-5*A3411))+H$129*EXP(IF(A3411&lt;0,(10-6)*A3411,-6*A3411))+I$129*EXP(IF(A3411&lt;0,(10-7)*A3411,-7*A3411))+J$129*EXP(IF(A3411&lt;0,(10-8)*A3411,-8*A3411))+K$129*EXP(IF(A3411&lt;0,(10-9)*A3411,-9*A3411))+L$129*EXP(IF(A3411&lt;0,(10-10)*A3411,-10*A3411)),0)</x:f>
        <x:v>-190020.0449715937</x:v>
      </x:c>
      <x:c r="C3411" s="256" t="n">
        <x:f>IF(B3411=0,IF(B3410=0,0,1),IF(B3410=0,0,IF(SIGN(B3411)&lt;&gt;SIGN(B3410),1,0)))</x:f>
        <x:v>0</x:v>
      </x:c>
      <x:c r="D3411" s="256" t="n">
        <x:f>EXP(A3411-0.005)-1</x:f>
        <x:v>404.45098873540115</x:v>
      </x:c>
    </x:row>
    <x:row r="3412" ht="20" customHeight="1">
      <x:c r="A3412" s="256" t="n">
        <x:f>-12+1802*0.01</x:f>
        <x:v>6.02</x:v>
      </x:c>
      <x:c r="B3412" s="256" t="n">
        <x:f>IF(COUNT($B$129:$L$129)=11,B$129*EXP(IF(A3412&lt;0,(10-0)*A3412,-0*A3412))+C$129*EXP(IF(A3412&lt;0,(10-1)*A3412,-1*A3412))+D$129*EXP(IF(A3412&lt;0,(10-2)*A3412,-2*A3412))+E$129*EXP(IF(A3412&lt;0,(10-3)*A3412,-3*A3412))+F$129*EXP(IF(A3412&lt;0,(10-4)*A3412,-4*A3412))+G$129*EXP(IF(A3412&lt;0,(10-5)*A3412,-5*A3412))+H$129*EXP(IF(A3412&lt;0,(10-6)*A3412,-6*A3412))+I$129*EXP(IF(A3412&lt;0,(10-7)*A3412,-7*A3412))+J$129*EXP(IF(A3412&lt;0,(10-8)*A3412,-8*A3412))+K$129*EXP(IF(A3412&lt;0,(10-9)*A3412,-9*A3412))+L$129*EXP(IF(A3412&lt;0,(10-10)*A3412,-10*A3412)),0)</x:f>
        <x:v>-190019.8451677212</x:v>
      </x:c>
      <x:c r="C3412" s="256" t="n">
        <x:f>IF(B3412=0,IF(B3411=0,0,1),IF(B3411=0,0,IF(SIGN(B3412)&lt;&gt;SIGN(B3411),1,0)))</x:f>
        <x:v>0</x:v>
      </x:c>
      <x:c r="D3412" s="256" t="n">
        <x:f>EXP(A3412-0.005)-1</x:f>
        <x:v>408.5258389166322</x:v>
      </x:c>
    </x:row>
    <x:row r="3413" ht="20" customHeight="1">
      <x:c r="A3413" s="256" t="n">
        <x:f>-12+1803*0.01</x:f>
        <x:v>6.030000000000001</x:v>
      </x:c>
      <x:c r="B3413" s="256" t="n">
        <x:f>IF(COUNT($B$129:$L$129)=11,B$129*EXP(IF(A3413&lt;0,(10-0)*A3413,-0*A3413))+C$129*EXP(IF(A3413&lt;0,(10-1)*A3413,-1*A3413))+D$129*EXP(IF(A3413&lt;0,(10-2)*A3413,-2*A3413))+E$129*EXP(IF(A3413&lt;0,(10-3)*A3413,-3*A3413))+F$129*EXP(IF(A3413&lt;0,(10-4)*A3413,-4*A3413))+G$129*EXP(IF(A3413&lt;0,(10-5)*A3413,-5*A3413))+H$129*EXP(IF(A3413&lt;0,(10-6)*A3413,-6*A3413))+I$129*EXP(IF(A3413&lt;0,(10-7)*A3413,-7*A3413))+J$129*EXP(IF(A3413&lt;0,(10-8)*A3413,-8*A3413))+K$129*EXP(IF(A3413&lt;0,(10-9)*A3413,-9*A3413))+L$129*EXP(IF(A3413&lt;0,(10-10)*A3413,-10*A3413)),0)</x:f>
        <x:v>-190019.64735893198</x:v>
      </x:c>
      <x:c r="C3413" s="256" t="n">
        <x:f>IF(B3413=0,IF(B3412=0,0,1),IF(B3412=0,0,IF(SIGN(B3413)&lt;&gt;SIGN(B3412),1,0)))</x:f>
        <x:v>0</x:v>
      </x:c>
      <x:c r="D3413" s="256" t="n">
        <x:f>EXP(A3413-0.005)-1</x:f>
        <x:v>412.64164202302914</x:v>
      </x:c>
    </x:row>
    <x:row r="3414" ht="20" customHeight="1">
      <x:c r="A3414" s="256" t="n">
        <x:f>-12+1804*0.01</x:f>
        <x:v>6.039999999999999</x:v>
      </x:c>
      <x:c r="B3414" s="256" t="n">
        <x:f>IF(COUNT($B$129:$L$129)=11,B$129*EXP(IF(A3414&lt;0,(10-0)*A3414,-0*A3414))+C$129*EXP(IF(A3414&lt;0,(10-1)*A3414,-1*A3414))+D$129*EXP(IF(A3414&lt;0,(10-2)*A3414,-2*A3414))+E$129*EXP(IF(A3414&lt;0,(10-3)*A3414,-3*A3414))+F$129*EXP(IF(A3414&lt;0,(10-4)*A3414,-4*A3414))+G$129*EXP(IF(A3414&lt;0,(10-5)*A3414,-5*A3414))+H$129*EXP(IF(A3414&lt;0,(10-6)*A3414,-6*A3414))+I$129*EXP(IF(A3414&lt;0,(10-7)*A3414,-7*A3414))+J$129*EXP(IF(A3414&lt;0,(10-8)*A3414,-8*A3414))+K$129*EXP(IF(A3414&lt;0,(10-9)*A3414,-9*A3414))+L$129*EXP(IF(A3414&lt;0,(10-10)*A3414,-10*A3414)),0)</x:f>
        <x:v>-190019.45152523575</x:v>
      </x:c>
      <x:c r="C3414" s="256" t="n">
        <x:f>IF(B3414=0,IF(B3413=0,0,1),IF(B3413=0,0,IF(SIGN(B3414)&lt;&gt;SIGN(B3413),1,0)))</x:f>
        <x:v>0</x:v>
      </x:c>
      <x:c r="D3414" s="256" t="n">
        <x:f>EXP(A3414-0.005)-1</x:f>
        <x:v>416.7988096383294</x:v>
      </x:c>
    </x:row>
    <x:row r="3415" ht="20" customHeight="1">
      <x:c r="A3415" s="256" t="n">
        <x:f>-12+1805*0.01</x:f>
        <x:v>6.050000000000001</x:v>
      </x:c>
      <x:c r="B3415" s="256" t="n">
        <x:f>IF(COUNT($B$129:$L$129)=11,B$129*EXP(IF(A3415&lt;0,(10-0)*A3415,-0*A3415))+C$129*EXP(IF(A3415&lt;0,(10-1)*A3415,-1*A3415))+D$129*EXP(IF(A3415&lt;0,(10-2)*A3415,-2*A3415))+E$129*EXP(IF(A3415&lt;0,(10-3)*A3415,-3*A3415))+F$129*EXP(IF(A3415&lt;0,(10-4)*A3415,-4*A3415))+G$129*EXP(IF(A3415&lt;0,(10-5)*A3415,-5*A3415))+H$129*EXP(IF(A3415&lt;0,(10-6)*A3415,-6*A3415))+I$129*EXP(IF(A3415&lt;0,(10-7)*A3415,-7*A3415))+J$129*EXP(IF(A3415&lt;0,(10-8)*A3415,-8*A3415))+K$129*EXP(IF(A3415&lt;0,(10-9)*A3415,-9*A3415))+L$129*EXP(IF(A3415&lt;0,(10-10)*A3415,-10*A3415)),0)</x:f>
        <x:v>-190019.2576468438</x:v>
      </x:c>
      <x:c r="C3415" s="256" t="n">
        <x:f>IF(B3415=0,IF(B3414=0,0,1),IF(B3414=0,0,IF(SIGN(B3415)&lt;&gt;SIGN(B3414),1,0)))</x:f>
        <x:v>0</x:v>
      </x:c>
      <x:c r="D3415" s="256" t="n">
        <x:f>EXP(A3415-0.005)-1</x:f>
        <x:v>420.9977574827618</x:v>
      </x:c>
    </x:row>
    <x:row r="3416" ht="20" customHeight="1">
      <x:c r="A3416" s="256" t="n">
        <x:f>-12+1806*0.01</x:f>
        <x:v>6.059999999999999</x:v>
      </x:c>
      <x:c r="B3416" s="256" t="n">
        <x:f>IF(COUNT($B$129:$L$129)=11,B$129*EXP(IF(A3416&lt;0,(10-0)*A3416,-0*A3416))+C$129*EXP(IF(A3416&lt;0,(10-1)*A3416,-1*A3416))+D$129*EXP(IF(A3416&lt;0,(10-2)*A3416,-2*A3416))+E$129*EXP(IF(A3416&lt;0,(10-3)*A3416,-3*A3416))+F$129*EXP(IF(A3416&lt;0,(10-4)*A3416,-4*A3416))+G$129*EXP(IF(A3416&lt;0,(10-5)*A3416,-5*A3416))+H$129*EXP(IF(A3416&lt;0,(10-6)*A3416,-6*A3416))+I$129*EXP(IF(A3416&lt;0,(10-7)*A3416,-7*A3416))+J$129*EXP(IF(A3416&lt;0,(10-8)*A3416,-8*A3416))+K$129*EXP(IF(A3416&lt;0,(10-9)*A3416,-9*A3416))+L$129*EXP(IF(A3416&lt;0,(10-10)*A3416,-10*A3416)),0)</x:f>
        <x:v>-190019.06570416698</x:v>
      </x:c>
      <x:c r="C3416" s="256" t="n">
        <x:f>IF(B3416=0,IF(B3415=0,0,1),IF(B3415=0,0,IF(SIGN(B3416)&lt;&gt;SIGN(B3415),1,0)))</x:f>
        <x:v>0</x:v>
      </x:c>
      <x:c r="D3416" s="256" t="n">
        <x:f>EXP(A3416-0.005)-1</x:f>
        <x:v>425.23890545460694</x:v>
      </x:c>
    </x:row>
    <x:row r="3417" ht="20" customHeight="1">
      <x:c r="A3417" s="256" t="n">
        <x:f>-12+1807*0.01</x:f>
        <x:v>6.07</x:v>
      </x:c>
      <x:c r="B3417" s="256" t="n">
        <x:f>IF(COUNT($B$129:$L$129)=11,B$129*EXP(IF(A3417&lt;0,(10-0)*A3417,-0*A3417))+C$129*EXP(IF(A3417&lt;0,(10-1)*A3417,-1*A3417))+D$129*EXP(IF(A3417&lt;0,(10-2)*A3417,-2*A3417))+E$129*EXP(IF(A3417&lt;0,(10-3)*A3417,-3*A3417))+F$129*EXP(IF(A3417&lt;0,(10-4)*A3417,-4*A3417))+G$129*EXP(IF(A3417&lt;0,(10-5)*A3417,-5*A3417))+H$129*EXP(IF(A3417&lt;0,(10-6)*A3417,-6*A3417))+I$129*EXP(IF(A3417&lt;0,(10-7)*A3417,-7*A3417))+J$129*EXP(IF(A3417&lt;0,(10-8)*A3417,-8*A3417))+K$129*EXP(IF(A3417&lt;0,(10-9)*A3417,-9*A3417))+L$129*EXP(IF(A3417&lt;0,(10-10)*A3417,-10*A3417)),0)</x:f>
        <x:v>-190018.87567781378</x:v>
      </x:c>
      <x:c r="C3417" s="256" t="n">
        <x:f>IF(B3417=0,IF(B3416=0,0,1),IF(B3416=0,0,IF(SIGN(B3417)&lt;&gt;SIGN(B3416),1,0)))</x:f>
        <x:v>0</x:v>
      </x:c>
      <x:c r="D3417" s="256" t="n">
        <x:f>EXP(A3417-0.005)-1</x:f>
        <x:v>429.5226776721993</x:v>
      </x:c>
    </x:row>
    <x:row r="3418" ht="20" customHeight="1">
      <x:c r="A3418" s="256" t="n">
        <x:f>-12+1808*0.01</x:f>
        <x:v>6.080000000000002</x:v>
      </x:c>
      <x:c r="B3418" s="256" t="n">
        <x:f>IF(COUNT($B$129:$L$129)=11,B$129*EXP(IF(A3418&lt;0,(10-0)*A3418,-0*A3418))+C$129*EXP(IF(A3418&lt;0,(10-1)*A3418,-1*A3418))+D$129*EXP(IF(A3418&lt;0,(10-2)*A3418,-2*A3418))+E$129*EXP(IF(A3418&lt;0,(10-3)*A3418,-3*A3418))+F$129*EXP(IF(A3418&lt;0,(10-4)*A3418,-4*A3418))+G$129*EXP(IF(A3418&lt;0,(10-5)*A3418,-5*A3418))+H$129*EXP(IF(A3418&lt;0,(10-6)*A3418,-6*A3418))+I$129*EXP(IF(A3418&lt;0,(10-7)*A3418,-7*A3418))+J$129*EXP(IF(A3418&lt;0,(10-8)*A3418,-8*A3418))+K$129*EXP(IF(A3418&lt;0,(10-9)*A3418,-9*A3418))+L$129*EXP(IF(A3418&lt;0,(10-10)*A3418,-10*A3418)),0)</x:f>
        <x:v>-190018.6875485883</x:v>
      </x:c>
      <x:c r="C3418" s="256" t="n">
        <x:f>IF(B3418=0,IF(B3417=0,0,1),IF(B3417=0,0,IF(SIGN(B3418)&lt;&gt;SIGN(B3417),1,0)))</x:f>
        <x:v>0</x:v>
      </x:c>
      <x:c r="D3418" s="256" t="n">
        <x:f>EXP(A3418-0.005)-1</x:f>
        <x:v>433.84950251632904</x:v>
      </x:c>
    </x:row>
    <x:row r="3419" ht="20" customHeight="1">
      <x:c r="A3419" s="256" t="n">
        <x:f>-12+1809*0.01</x:f>
        <x:v>6.09</x:v>
      </x:c>
      <x:c r="B3419" s="256" t="n">
        <x:f>IF(COUNT($B$129:$L$129)=11,B$129*EXP(IF(A3419&lt;0,(10-0)*A3419,-0*A3419))+C$129*EXP(IF(A3419&lt;0,(10-1)*A3419,-1*A3419))+D$129*EXP(IF(A3419&lt;0,(10-2)*A3419,-2*A3419))+E$129*EXP(IF(A3419&lt;0,(10-3)*A3419,-3*A3419))+F$129*EXP(IF(A3419&lt;0,(10-4)*A3419,-4*A3419))+G$129*EXP(IF(A3419&lt;0,(10-5)*A3419,-5*A3419))+H$129*EXP(IF(A3419&lt;0,(10-6)*A3419,-6*A3419))+I$129*EXP(IF(A3419&lt;0,(10-7)*A3419,-7*A3419))+J$129*EXP(IF(A3419&lt;0,(10-8)*A3419,-8*A3419))+K$129*EXP(IF(A3419&lt;0,(10-9)*A3419,-9*A3419))+L$129*EXP(IF(A3419&lt;0,(10-10)*A3419,-10*A3419)),0)</x:f>
        <x:v>-190018.5012974881</x:v>
      </x:c>
      <x:c r="C3419" s="256" t="n">
        <x:f>IF(B3419=0,IF(B3418=0,0,1),IF(B3418=0,0,IF(SIGN(B3419)&lt;&gt;SIGN(B3418),1,0)))</x:f>
        <x:v>0</x:v>
      </x:c>
      <x:c r="D3419" s="256" t="n">
        <x:f>EXP(A3419-0.005)-1</x:f>
        <x:v>438.2198126730846</x:v>
      </x:c>
    </x:row>
    <x:row r="3420" ht="20" customHeight="1">
      <x:c r="A3420" s="256" t="n">
        <x:f>-12+1810*0.01</x:f>
        <x:v>6.100000000000001</x:v>
      </x:c>
      <x:c r="B3420" s="256" t="n">
        <x:f>IF(COUNT($B$129:$L$129)=11,B$129*EXP(IF(A3420&lt;0,(10-0)*A3420,-0*A3420))+C$129*EXP(IF(A3420&lt;0,(10-1)*A3420,-1*A3420))+D$129*EXP(IF(A3420&lt;0,(10-2)*A3420,-2*A3420))+E$129*EXP(IF(A3420&lt;0,(10-3)*A3420,-3*A3420))+F$129*EXP(IF(A3420&lt;0,(10-4)*A3420,-4*A3420))+G$129*EXP(IF(A3420&lt;0,(10-5)*A3420,-5*A3420))+H$129*EXP(IF(A3420&lt;0,(10-6)*A3420,-6*A3420))+I$129*EXP(IF(A3420&lt;0,(10-7)*A3420,-7*A3420))+J$129*EXP(IF(A3420&lt;0,(10-8)*A3420,-8*A3420))+K$129*EXP(IF(A3420&lt;0,(10-9)*A3420,-9*A3420))+L$129*EXP(IF(A3420&lt;0,(10-10)*A3420,-10*A3420)),0)</x:f>
        <x:v>-190018.31690570244</x:v>
      </x:c>
      <x:c r="C3420" s="256" t="n">
        <x:f>IF(B3420=0,IF(B3419=0,0,1),IF(B3419=0,0,IF(SIGN(B3420)&lt;&gt;SIGN(B3419),1,0)))</x:f>
        <x:v>0</x:v>
      </x:c>
      <x:c r="D3420" s="256" t="n">
        <x:f>EXP(A3420-0.005)-1</x:f>
        <x:v>442.6340451771268</x:v>
      </x:c>
    </x:row>
    <x:row r="3421" ht="20" customHeight="1">
      <x:c r="A3421" s="256" t="n">
        <x:f>-12+1811*0.01</x:f>
        <x:v>6.109999999999999</x:v>
      </x:c>
      <x:c r="B3421" s="256" t="n">
        <x:f>IF(COUNT($B$129:$L$129)=11,B$129*EXP(IF(A3421&lt;0,(10-0)*A3421,-0*A3421))+C$129*EXP(IF(A3421&lt;0,(10-1)*A3421,-1*A3421))+D$129*EXP(IF(A3421&lt;0,(10-2)*A3421,-2*A3421))+E$129*EXP(IF(A3421&lt;0,(10-3)*A3421,-3*A3421))+F$129*EXP(IF(A3421&lt;0,(10-4)*A3421,-4*A3421))+G$129*EXP(IF(A3421&lt;0,(10-5)*A3421,-5*A3421))+H$129*EXP(IF(A3421&lt;0,(10-6)*A3421,-6*A3421))+I$129*EXP(IF(A3421&lt;0,(10-7)*A3421,-7*A3421))+J$129*EXP(IF(A3421&lt;0,(10-8)*A3421,-8*A3421))+K$129*EXP(IF(A3421&lt;0,(10-9)*A3421,-9*A3421))+L$129*EXP(IF(A3421&lt;0,(10-10)*A3421,-10*A3421)),0)</x:f>
        <x:v>-190018.13435460994</x:v>
      </x:c>
      <x:c r="C3421" s="256" t="n">
        <x:f>IF(B3421=0,IF(B3420=0,0,1),IF(B3420=0,0,IF(SIGN(B3421)&lt;&gt;SIGN(B3420),1,0)))</x:f>
        <x:v>0</x:v>
      </x:c>
      <x:c r="D3421" s="256" t="n">
        <x:f>EXP(A3421-0.005)-1</x:f>
        <x:v>447.0926414553814</x:v>
      </x:c>
    </x:row>
    <x:row r="3422" ht="20" customHeight="1">
      <x:c r="A3422" s="256" t="n">
        <x:f>-12+1812*0.01</x:f>
        <x:v>6.120000000000001</x:v>
      </x:c>
      <x:c r="B3422" s="256" t="n">
        <x:f>IF(COUNT($B$129:$L$129)=11,B$129*EXP(IF(A3422&lt;0,(10-0)*A3422,-0*A3422))+C$129*EXP(IF(A3422&lt;0,(10-1)*A3422,-1*A3422))+D$129*EXP(IF(A3422&lt;0,(10-2)*A3422,-2*A3422))+E$129*EXP(IF(A3422&lt;0,(10-3)*A3422,-3*A3422))+F$129*EXP(IF(A3422&lt;0,(10-4)*A3422,-4*A3422))+G$129*EXP(IF(A3422&lt;0,(10-5)*A3422,-5*A3422))+H$129*EXP(IF(A3422&lt;0,(10-6)*A3422,-6*A3422))+I$129*EXP(IF(A3422&lt;0,(10-7)*A3422,-7*A3422))+J$129*EXP(IF(A3422&lt;0,(10-8)*A3422,-8*A3422))+K$129*EXP(IF(A3422&lt;0,(10-9)*A3422,-9*A3422))+L$129*EXP(IF(A3422&lt;0,(10-10)*A3422,-10*A3422)),0)</x:f>
        <x:v>-190017.95362577707</x:v>
      </x:c>
      <x:c r="C3422" s="256" t="n">
        <x:f>IF(B3422=0,IF(B3421=0,0,1),IF(B3421=0,0,IF(SIGN(B3422)&lt;&gt;SIGN(B3421),1,0)))</x:f>
        <x:v>0</x:v>
      </x:c>
      <x:c r="D3422" s="256" t="n">
        <x:f>EXP(A3422-0.005)-1</x:f>
        <x:v>451.5960473711949</x:v>
      </x:c>
    </x:row>
    <x:row r="3423" ht="20" customHeight="1">
      <x:c r="A3423" s="256" t="n">
        <x:f>-12+1813*0.01</x:f>
        <x:v>6.129999999999999</x:v>
      </x:c>
      <x:c r="B3423" s="256" t="n">
        <x:f>IF(COUNT($B$129:$L$129)=11,B$129*EXP(IF(A3423&lt;0,(10-0)*A3423,-0*A3423))+C$129*EXP(IF(A3423&lt;0,(10-1)*A3423,-1*A3423))+D$129*EXP(IF(A3423&lt;0,(10-2)*A3423,-2*A3423))+E$129*EXP(IF(A3423&lt;0,(10-3)*A3423,-3*A3423))+F$129*EXP(IF(A3423&lt;0,(10-4)*A3423,-4*A3423))+G$129*EXP(IF(A3423&lt;0,(10-5)*A3423,-5*A3423))+H$129*EXP(IF(A3423&lt;0,(10-6)*A3423,-6*A3423))+I$129*EXP(IF(A3423&lt;0,(10-7)*A3423,-7*A3423))+J$129*EXP(IF(A3423&lt;0,(10-8)*A3423,-8*A3423))+K$129*EXP(IF(A3423&lt;0,(10-9)*A3423,-9*A3423))+L$129*EXP(IF(A3423&lt;0,(10-10)*A3423,-10*A3423)),0)</x:f>
        <x:v>-190017.77470095613</x:v>
      </x:c>
      <x:c r="C3423" s="256" t="n">
        <x:f>IF(B3423=0,IF(B3422=0,0,1),IF(B3422=0,0,IF(SIGN(B3423)&lt;&gt;SIGN(B3422),1,0)))</x:f>
        <x:v>0</x:v>
      </x:c>
      <x:c r="D3423" s="256" t="n">
        <x:f>EXP(A3423-0.005)-1</x:f>
        <x:v>456.1447132689085</x:v>
      </x:c>
    </x:row>
    <x:row r="3424" ht="20" customHeight="1">
      <x:c r="A3424" s="256" t="n">
        <x:f>-12+1814*0.01</x:f>
        <x:v>6.140000000000001</x:v>
      </x:c>
      <x:c r="B3424" s="256" t="n">
        <x:f>IF(COUNT($B$129:$L$129)=11,B$129*EXP(IF(A3424&lt;0,(10-0)*A3424,-0*A3424))+C$129*EXP(IF(A3424&lt;0,(10-1)*A3424,-1*A3424))+D$129*EXP(IF(A3424&lt;0,(10-2)*A3424,-2*A3424))+E$129*EXP(IF(A3424&lt;0,(10-3)*A3424,-3*A3424))+F$129*EXP(IF(A3424&lt;0,(10-4)*A3424,-4*A3424))+G$129*EXP(IF(A3424&lt;0,(10-5)*A3424,-5*A3424))+H$129*EXP(IF(A3424&lt;0,(10-6)*A3424,-6*A3424))+I$129*EXP(IF(A3424&lt;0,(10-7)*A3424,-7*A3424))+J$129*EXP(IF(A3424&lt;0,(10-8)*A3424,-8*A3424))+K$129*EXP(IF(A3424&lt;0,(10-9)*A3424,-9*A3424))+L$129*EXP(IF(A3424&lt;0,(10-10)*A3424,-10*A3424)),0)</x:f>
        <x:v>-190017.59756208316</x:v>
      </x:c>
      <x:c r="C3424" s="256" t="n">
        <x:f>IF(B3424=0,IF(B3423=0,0,1),IF(B3423=0,0,IF(SIGN(B3424)&lt;&gt;SIGN(B3423),1,0)))</x:f>
        <x:v>0</x:v>
      </x:c>
      <x:c r="D3424" s="256" t="n">
        <x:f>EXP(A3424-0.005)-1</x:f>
        <x:v>460.73909401890586</x:v>
      </x:c>
    </x:row>
    <x:row r="3425" ht="20" customHeight="1">
      <x:c r="A3425" s="256" t="n">
        <x:f>-12+1815*0.01</x:f>
        <x:v>6.150000000000002</x:v>
      </x:c>
      <x:c r="B3425" s="256" t="n">
        <x:f>IF(COUNT($B$129:$L$129)=11,B$129*EXP(IF(A3425&lt;0,(10-0)*A3425,-0*A3425))+C$129*EXP(IF(A3425&lt;0,(10-1)*A3425,-1*A3425))+D$129*EXP(IF(A3425&lt;0,(10-2)*A3425,-2*A3425))+E$129*EXP(IF(A3425&lt;0,(10-3)*A3425,-3*A3425))+F$129*EXP(IF(A3425&lt;0,(10-4)*A3425,-4*A3425))+G$129*EXP(IF(A3425&lt;0,(10-5)*A3425,-5*A3425))+H$129*EXP(IF(A3425&lt;0,(10-6)*A3425,-6*A3425))+I$129*EXP(IF(A3425&lt;0,(10-7)*A3425,-7*A3425))+J$129*EXP(IF(A3425&lt;0,(10-8)*A3425,-8*A3425))+K$129*EXP(IF(A3425&lt;0,(10-9)*A3425,-9*A3425))+L$129*EXP(IF(A3425&lt;0,(10-10)*A3425,-10*A3425)),0)</x:f>
        <x:v>-190017.4221912763</x:v>
      </x:c>
      <x:c r="C3425" s="256" t="n">
        <x:f>IF(B3425=0,IF(B3424=0,0,1),IF(B3424=0,0,IF(SIGN(B3425)&lt;&gt;SIGN(B3424),1,0)))</x:f>
        <x:v>0</x:v>
      </x:c>
      <x:c r="D3425" s="256" t="n">
        <x:f>EXP(A3425-0.005)-1</x:f>
        <x:v>465.379649063089</x:v>
      </x:c>
    </x:row>
    <x:row r="3426" ht="20" customHeight="1">
      <x:c r="A3426" s="256" t="n">
        <x:f>-12+1816*0.01</x:f>
        <x:v>6.16</x:v>
      </x:c>
      <x:c r="B3426" s="256" t="n">
        <x:f>IF(COUNT($B$129:$L$129)=11,B$129*EXP(IF(A3426&lt;0,(10-0)*A3426,-0*A3426))+C$129*EXP(IF(A3426&lt;0,(10-1)*A3426,-1*A3426))+D$129*EXP(IF(A3426&lt;0,(10-2)*A3426,-2*A3426))+E$129*EXP(IF(A3426&lt;0,(10-3)*A3426,-3*A3426))+F$129*EXP(IF(A3426&lt;0,(10-4)*A3426,-4*A3426))+G$129*EXP(IF(A3426&lt;0,(10-5)*A3426,-5*A3426))+H$129*EXP(IF(A3426&lt;0,(10-6)*A3426,-6*A3426))+I$129*EXP(IF(A3426&lt;0,(10-7)*A3426,-7*A3426))+J$129*EXP(IF(A3426&lt;0,(10-8)*A3426,-8*A3426))+K$129*EXP(IF(A3426&lt;0,(10-9)*A3426,-9*A3426))+L$129*EXP(IF(A3426&lt;0,(10-10)*A3426,-10*A3426)),0)</x:f>
        <x:v>-190017.24857083376</x:v>
      </x:c>
      <x:c r="C3426" s="256" t="n">
        <x:f>IF(B3426=0,IF(B3425=0,0,1),IF(B3425=0,0,IF(SIGN(B3426)&lt;&gt;SIGN(B3425),1,0)))</x:f>
        <x:v>0</x:v>
      </x:c>
      <x:c r="D3426" s="256" t="n">
        <x:f>EXP(A3426-0.005)-1</x:f>
        <x:v>470.0668424608278</x:v>
      </x:c>
    </x:row>
    <x:row r="3427" ht="20" customHeight="1">
      <x:c r="A3427" s="256" t="n">
        <x:f>-12+1817*0.01</x:f>
        <x:v>6.170000000000002</x:v>
      </x:c>
      <x:c r="B3427" s="256" t="n">
        <x:f>IF(COUNT($B$129:$L$129)=11,B$129*EXP(IF(A3427&lt;0,(10-0)*A3427,-0*A3427))+C$129*EXP(IF(A3427&lt;0,(10-1)*A3427,-1*A3427))+D$129*EXP(IF(A3427&lt;0,(10-2)*A3427,-2*A3427))+E$129*EXP(IF(A3427&lt;0,(10-3)*A3427,-3*A3427))+F$129*EXP(IF(A3427&lt;0,(10-4)*A3427,-4*A3427))+G$129*EXP(IF(A3427&lt;0,(10-5)*A3427,-5*A3427))+H$129*EXP(IF(A3427&lt;0,(10-6)*A3427,-6*A3427))+I$129*EXP(IF(A3427&lt;0,(10-7)*A3427,-7*A3427))+J$129*EXP(IF(A3427&lt;0,(10-8)*A3427,-8*A3427))+K$129*EXP(IF(A3427&lt;0,(10-9)*A3427,-9*A3427))+L$129*EXP(IF(A3427&lt;0,(10-10)*A3427,-10*A3427)),0)</x:f>
        <x:v>-190017.07668323207</x:v>
      </x:c>
      <x:c r="C3427" s="256" t="n">
        <x:f>IF(B3427=0,IF(B3426=0,0,1),IF(B3426=0,0,IF(SIGN(B3427)&lt;&gt;SIGN(B3426),1,0)))</x:f>
        <x:v>0</x:v>
      </x:c>
      <x:c r="D3427" s="256" t="n">
        <x:f>EXP(A3427-0.005)-1</x:f>
        <x:v>474.8011429353713</x:v>
      </x:c>
    </x:row>
    <x:row r="3428" ht="20" customHeight="1">
      <x:c r="A3428" s="256" t="n">
        <x:f>-12+1818*0.01</x:f>
        <x:v>6.18</x:v>
      </x:c>
      <x:c r="B3428" s="256" t="n">
        <x:f>IF(COUNT($B$129:$L$129)=11,B$129*EXP(IF(A3428&lt;0,(10-0)*A3428,-0*A3428))+C$129*EXP(IF(A3428&lt;0,(10-1)*A3428,-1*A3428))+D$129*EXP(IF(A3428&lt;0,(10-2)*A3428,-2*A3428))+E$129*EXP(IF(A3428&lt;0,(10-3)*A3428,-3*A3428))+F$129*EXP(IF(A3428&lt;0,(10-4)*A3428,-4*A3428))+G$129*EXP(IF(A3428&lt;0,(10-5)*A3428,-5*A3428))+H$129*EXP(IF(A3428&lt;0,(10-6)*A3428,-6*A3428))+I$129*EXP(IF(A3428&lt;0,(10-7)*A3428,-7*A3428))+J$129*EXP(IF(A3428&lt;0,(10-8)*A3428,-8*A3428))+K$129*EXP(IF(A3428&lt;0,(10-9)*A3428,-9*A3428))+L$129*EXP(IF(A3428&lt;0,(10-10)*A3428,-10*A3428)),0)</x:f>
        <x:v>-190016.90651112425</x:v>
      </x:c>
      <x:c r="C3428" s="256" t="n">
        <x:f>IF(B3428=0,IF(B3427=0,0,1),IF(B3427=0,0,IF(SIGN(B3428)&lt;&gt;SIGN(B3427),1,0)))</x:f>
        <x:v>0</x:v>
      </x:c>
      <x:c r="D3428" s="256" t="n">
        <x:f>EXP(A3428-0.005)-1</x:f>
        <x:v>479.58302392070897</x:v>
      </x:c>
    </x:row>
    <x:row r="3429" ht="20" customHeight="1">
      <x:c r="A3429" s="256" t="n">
        <x:f>-12+1819*0.01</x:f>
        <x:v>6.190000000000001</x:v>
      </x:c>
      <x:c r="B3429" s="256" t="n">
        <x:f>IF(COUNT($B$129:$L$129)=11,B$129*EXP(IF(A3429&lt;0,(10-0)*A3429,-0*A3429))+C$129*EXP(IF(A3429&lt;0,(10-1)*A3429,-1*A3429))+D$129*EXP(IF(A3429&lt;0,(10-2)*A3429,-2*A3429))+E$129*EXP(IF(A3429&lt;0,(10-3)*A3429,-3*A3429))+F$129*EXP(IF(A3429&lt;0,(10-4)*A3429,-4*A3429))+G$129*EXP(IF(A3429&lt;0,(10-5)*A3429,-5*A3429))+H$129*EXP(IF(A3429&lt;0,(10-6)*A3429,-6*A3429))+I$129*EXP(IF(A3429&lt;0,(10-7)*A3429,-7*A3429))+J$129*EXP(IF(A3429&lt;0,(10-8)*A3429,-8*A3429))+K$129*EXP(IF(A3429&lt;0,(10-9)*A3429,-9*A3429))+L$129*EXP(IF(A3429&lt;0,(10-10)*A3429,-10*A3429)),0)</x:f>
        <x:v>-190016.73803733801</x:v>
      </x:c>
      <x:c r="C3429" s="256" t="n">
        <x:f>IF(B3429=0,IF(B3428=0,0,1),IF(B3428=0,0,IF(SIGN(B3429)&lt;&gt;SIGN(B3428),1,0)))</x:f>
        <x:v>0</x:v>
      </x:c>
      <x:c r="D3429" s="256" t="n">
        <x:f>EXP(A3429-0.005)-1</x:f>
        <x:v>484.41296360892756</x:v>
      </x:c>
    </x:row>
    <x:row r="3430" ht="20" customHeight="1">
      <x:c r="A3430" s="256" t="n">
        <x:f>-12+1820*0.01</x:f>
        <x:v>6.199999999999999</x:v>
      </x:c>
      <x:c r="B3430" s="256" t="n">
        <x:f>IF(COUNT($B$129:$L$129)=11,B$129*EXP(IF(A3430&lt;0,(10-0)*A3430,-0*A3430))+C$129*EXP(IF(A3430&lt;0,(10-1)*A3430,-1*A3430))+D$129*EXP(IF(A3430&lt;0,(10-2)*A3430,-2*A3430))+E$129*EXP(IF(A3430&lt;0,(10-3)*A3430,-3*A3430))+F$129*EXP(IF(A3430&lt;0,(10-4)*A3430,-4*A3430))+G$129*EXP(IF(A3430&lt;0,(10-5)*A3430,-5*A3430))+H$129*EXP(IF(A3430&lt;0,(10-6)*A3430,-6*A3430))+I$129*EXP(IF(A3430&lt;0,(10-7)*A3430,-7*A3430))+J$129*EXP(IF(A3430&lt;0,(10-8)*A3430,-8*A3430))+K$129*EXP(IF(A3430&lt;0,(10-9)*A3430,-9*A3430))+L$129*EXP(IF(A3430&lt;0,(10-10)*A3430,-10*A3430)),0)</x:f>
        <x:v>-190016.57124487404</x:v>
      </x:c>
      <x:c r="C3430" s="256" t="n">
        <x:f>IF(B3430=0,IF(B3429=0,0,1),IF(B3429=0,0,IF(SIGN(B3430)&lt;&gt;SIGN(B3429),1,0)))</x:f>
        <x:v>0</x:v>
      </x:c>
      <x:c r="D3430" s="256" t="n">
        <x:f>EXP(A3430-0.005)-1</x:f>
        <x:v>489.2914449980175</x:v>
      </x:c>
    </x:row>
    <x:row r="3431" ht="20" customHeight="1">
      <x:c r="A3431" s="256" t="n">
        <x:f>-12+1821*0.01</x:f>
        <x:v>6.210000000000001</x:v>
      </x:c>
      <x:c r="B3431" s="256" t="n">
        <x:f>IF(COUNT($B$129:$L$129)=11,B$129*EXP(IF(A3431&lt;0,(10-0)*A3431,-0*A3431))+C$129*EXP(IF(A3431&lt;0,(10-1)*A3431,-1*A3431))+D$129*EXP(IF(A3431&lt;0,(10-2)*A3431,-2*A3431))+E$129*EXP(IF(A3431&lt;0,(10-3)*A3431,-3*A3431))+F$129*EXP(IF(A3431&lt;0,(10-4)*A3431,-4*A3431))+G$129*EXP(IF(A3431&lt;0,(10-5)*A3431,-5*A3431))+H$129*EXP(IF(A3431&lt;0,(10-6)*A3431,-6*A3431))+I$129*EXP(IF(A3431&lt;0,(10-7)*A3431,-7*A3431))+J$129*EXP(IF(A3431&lt;0,(10-8)*A3431,-8*A3431))+K$129*EXP(IF(A3431&lt;0,(10-9)*A3431,-9*A3431))+L$129*EXP(IF(A3431&lt;0,(10-10)*A3431,-10*A3431)),0)</x:f>
        <x:v>-190016.4061169041</x:v>
      </x:c>
      <x:c r="C3431" s="256" t="n">
        <x:f>IF(B3431=0,IF(B3430=0,0,1),IF(B3430=0,0,IF(SIGN(B3431)&lt;&gt;SIGN(B3430),1,0)))</x:f>
        <x:v>0</x:v>
      </x:c>
      <x:c r="D3431" s="256" t="n">
        <x:f>EXP(A3431-0.005)-1</x:f>
        <x:v>494.21895594018656</x:v>
      </x:c>
    </x:row>
    <x:row r="3432" ht="20" customHeight="1">
      <x:c r="A3432" s="256" t="n">
        <x:f>-12+1822*0.01</x:f>
        <x:v>6.219999999999999</x:v>
      </x:c>
      <x:c r="B3432" s="256" t="n">
        <x:f>IF(COUNT($B$129:$L$129)=11,B$129*EXP(IF(A3432&lt;0,(10-0)*A3432,-0*A3432))+C$129*EXP(IF(A3432&lt;0,(10-1)*A3432,-1*A3432))+D$129*EXP(IF(A3432&lt;0,(10-2)*A3432,-2*A3432))+E$129*EXP(IF(A3432&lt;0,(10-3)*A3432,-3*A3432))+F$129*EXP(IF(A3432&lt;0,(10-4)*A3432,-4*A3432))+G$129*EXP(IF(A3432&lt;0,(10-5)*A3432,-5*A3432))+H$129*EXP(IF(A3432&lt;0,(10-6)*A3432,-6*A3432))+I$129*EXP(IF(A3432&lt;0,(10-7)*A3432,-7*A3432))+J$129*EXP(IF(A3432&lt;0,(10-8)*A3432,-8*A3432))+K$129*EXP(IF(A3432&lt;0,(10-9)*A3432,-9*A3432))+L$129*EXP(IF(A3432&lt;0,(10-10)*A3432,-10*A3432)),0)</x:f>
        <x:v>-190016.24263676925</x:v>
      </x:c>
      <x:c r="C3432" s="256" t="n">
        <x:f>IF(B3432=0,IF(B3431=0,0,1),IF(B3431=0,0,IF(SIGN(B3432)&lt;&gt;SIGN(B3431),1,0)))</x:f>
        <x:v>0</x:v>
      </x:c>
      <x:c r="D3432" s="256" t="n">
        <x:f>EXP(A3432-0.005)-1</x:f>
        <x:v>499.1959891906317</x:v>
      </x:c>
    </x:row>
    <x:row r="3433" ht="20" customHeight="1">
      <x:c r="A3433" s="256" t="n">
        <x:f>-12+1823*0.01</x:f>
        <x:v>6.23</x:v>
      </x:c>
      <x:c r="B3433" s="256" t="n">
        <x:f>IF(COUNT($B$129:$L$129)=11,B$129*EXP(IF(A3433&lt;0,(10-0)*A3433,-0*A3433))+C$129*EXP(IF(A3433&lt;0,(10-1)*A3433,-1*A3433))+D$129*EXP(IF(A3433&lt;0,(10-2)*A3433,-2*A3433))+E$129*EXP(IF(A3433&lt;0,(10-3)*A3433,-3*A3433))+F$129*EXP(IF(A3433&lt;0,(10-4)*A3433,-4*A3433))+G$129*EXP(IF(A3433&lt;0,(10-5)*A3433,-5*A3433))+H$129*EXP(IF(A3433&lt;0,(10-6)*A3433,-6*A3433))+I$129*EXP(IF(A3433&lt;0,(10-7)*A3433,-7*A3433))+J$129*EXP(IF(A3433&lt;0,(10-8)*A3433,-8*A3433))+K$129*EXP(IF(A3433&lt;0,(10-9)*A3433,-9*A3433))+L$129*EXP(IF(A3433&lt;0,(10-10)*A3433,-10*A3433)),0)</x:f>
        <x:v>-190016.08078797846</x:v>
      </x:c>
      <x:c r="C3433" s="256" t="n">
        <x:f>IF(B3433=0,IF(B3432=0,0,1),IF(B3432=0,0,IF(SIGN(B3433)&lt;&gt;SIGN(B3432),1,0)))</x:f>
        <x:v>0</x:v>
      </x:c>
      <x:c r="D3433" s="256" t="n">
        <x:f>EXP(A3433-0.005)-1</x:f>
        <x:v>504.22304245682903</x:v>
      </x:c>
    </x:row>
    <x:row r="3434" ht="20" customHeight="1">
      <x:c r="A3434" s="256" t="n">
        <x:f>-12+1824*0.01</x:f>
        <x:v>6.240000000000002</x:v>
      </x:c>
      <x:c r="B3434" s="256" t="n">
        <x:f>IF(COUNT($B$129:$L$129)=11,B$129*EXP(IF(A3434&lt;0,(10-0)*A3434,-0*A3434))+C$129*EXP(IF(A3434&lt;0,(10-1)*A3434,-1*A3434))+D$129*EXP(IF(A3434&lt;0,(10-2)*A3434,-2*A3434))+E$129*EXP(IF(A3434&lt;0,(10-3)*A3434,-3*A3434))+F$129*EXP(IF(A3434&lt;0,(10-4)*A3434,-4*A3434))+G$129*EXP(IF(A3434&lt;0,(10-5)*A3434,-5*A3434))+H$129*EXP(IF(A3434&lt;0,(10-6)*A3434,-6*A3434))+I$129*EXP(IF(A3434&lt;0,(10-7)*A3434,-7*A3434))+J$129*EXP(IF(A3434&lt;0,(10-8)*A3434,-8*A3434))+K$129*EXP(IF(A3434&lt;0,(10-9)*A3434,-9*A3434))+L$129*EXP(IF(A3434&lt;0,(10-10)*A3434,-10*A3434)),0)</x:f>
        <x:v>-190015.9205542065</x:v>
      </x:c>
      <x:c r="C3434" s="256" t="n">
        <x:f>IF(B3434=0,IF(B3433=0,0,1),IF(B3433=0,0,IF(SIGN(B3434)&lt;&gt;SIGN(B3433),1,0)))</x:f>
        <x:v>0</x:v>
      </x:c>
      <x:c r="D3434" s="256" t="n">
        <x:f>EXP(A3434-0.005)-1</x:f>
        <x:v>509.3006184482927</x:v>
      </x:c>
    </x:row>
    <x:row r="3435" ht="20" customHeight="1">
      <x:c r="A3435" s="256" t="n">
        <x:f>-12+1825*0.01</x:f>
        <x:v>6.25</x:v>
      </x:c>
      <x:c r="B3435" s="256" t="n">
        <x:f>IF(COUNT($B$129:$L$129)=11,B$129*EXP(IF(A3435&lt;0,(10-0)*A3435,-0*A3435))+C$129*EXP(IF(A3435&lt;0,(10-1)*A3435,-1*A3435))+D$129*EXP(IF(A3435&lt;0,(10-2)*A3435,-2*A3435))+E$129*EXP(IF(A3435&lt;0,(10-3)*A3435,-3*A3435))+F$129*EXP(IF(A3435&lt;0,(10-4)*A3435,-4*A3435))+G$129*EXP(IF(A3435&lt;0,(10-5)*A3435,-5*A3435))+H$129*EXP(IF(A3435&lt;0,(10-6)*A3435,-6*A3435))+I$129*EXP(IF(A3435&lt;0,(10-7)*A3435,-7*A3435))+J$129*EXP(IF(A3435&lt;0,(10-8)*A3435,-8*A3435))+K$129*EXP(IF(A3435&lt;0,(10-9)*A3435,-9*A3435))+L$129*EXP(IF(A3435&lt;0,(10-10)*A3435,-10*A3435)),0)</x:f>
        <x:v>-190015.76191929253</x:v>
      </x:c>
      <x:c r="C3435" s="256" t="n">
        <x:f>IF(B3435=0,IF(B3434=0,0,1),IF(B3434=0,0,IF(SIGN(B3435)&lt;&gt;SIGN(B3434),1,0)))</x:f>
        <x:v>0</x:v>
      </x:c>
      <x:c r="D3435" s="256" t="n">
        <x:f>EXP(A3435-0.005)-1</x:f>
        <x:v>514.4292249268514</x:v>
      </x:c>
    </x:row>
    <x:row r="3436" ht="20" customHeight="1">
      <x:c r="A3436" s="256" t="n">
        <x:f>-12+1826*0.01</x:f>
        <x:v>6.260000000000002</x:v>
      </x:c>
      <x:c r="B3436" s="256" t="n">
        <x:f>IF(COUNT($B$129:$L$129)=11,B$129*EXP(IF(A3436&lt;0,(10-0)*A3436,-0*A3436))+C$129*EXP(IF(A3436&lt;0,(10-1)*A3436,-1*A3436))+D$129*EXP(IF(A3436&lt;0,(10-2)*A3436,-2*A3436))+E$129*EXP(IF(A3436&lt;0,(10-3)*A3436,-3*A3436))+F$129*EXP(IF(A3436&lt;0,(10-4)*A3436,-4*A3436))+G$129*EXP(IF(A3436&lt;0,(10-5)*A3436,-5*A3436))+H$129*EXP(IF(A3436&lt;0,(10-6)*A3436,-6*A3436))+I$129*EXP(IF(A3436&lt;0,(10-7)*A3436,-7*A3436))+J$129*EXP(IF(A3436&lt;0,(10-8)*A3436,-8*A3436))+K$129*EXP(IF(A3436&lt;0,(10-9)*A3436,-9*A3436))+L$129*EXP(IF(A3436&lt;0,(10-10)*A3436,-10*A3436)),0)</x:f>
        <x:v>-190015.60486723826</x:v>
      </x:c>
      <x:c r="C3436" s="256" t="n">
        <x:f>IF(B3436=0,IF(B3435=0,0,1),IF(B3435=0,0,IF(SIGN(B3436)&lt;&gt;SIGN(B3435),1,0)))</x:f>
        <x:v>0</x:v>
      </x:c>
      <x:c r="D3436" s="256" t="n">
        <x:f>EXP(A3436-0.005)-1</x:f>
        <x:v>519.6093747574303</x:v>
      </x:c>
    </x:row>
    <x:row r="3437" ht="20" customHeight="1">
      <x:c r="A3437" s="256" t="n">
        <x:f>-12+1827*0.01</x:f>
        <x:v>6.27</x:v>
      </x:c>
      <x:c r="B3437" s="256" t="n">
        <x:f>IF(COUNT($B$129:$L$129)=11,B$129*EXP(IF(A3437&lt;0,(10-0)*A3437,-0*A3437))+C$129*EXP(IF(A3437&lt;0,(10-1)*A3437,-1*A3437))+D$129*EXP(IF(A3437&lt;0,(10-2)*A3437,-2*A3437))+E$129*EXP(IF(A3437&lt;0,(10-3)*A3437,-3*A3437))+F$129*EXP(IF(A3437&lt;0,(10-4)*A3437,-4*A3437))+G$129*EXP(IF(A3437&lt;0,(10-5)*A3437,-5*A3437))+H$129*EXP(IF(A3437&lt;0,(10-6)*A3437,-6*A3437))+I$129*EXP(IF(A3437&lt;0,(10-7)*A3437,-7*A3437))+J$129*EXP(IF(A3437&lt;0,(10-8)*A3437,-8*A3437))+K$129*EXP(IF(A3437&lt;0,(10-9)*A3437,-9*A3437))+L$129*EXP(IF(A3437&lt;0,(10-10)*A3437,-10*A3437)),0)</x:f>
        <x:v>-190015.44938220643</x:v>
      </x:c>
      <x:c r="C3437" s="256" t="n">
        <x:f>IF(B3437=0,IF(B3436=0,0,1),IF(B3436=0,0,IF(SIGN(B3437)&lt;&gt;SIGN(B3436),1,0)))</x:f>
        <x:v>0</x:v>
      </x:c>
      <x:c r="D3437" s="256" t="n">
        <x:f>EXP(A3437-0.005)-1</x:f>
        <x:v>524.8415859593256</x:v>
      </x:c>
    </x:row>
    <x:row r="3438" ht="20" customHeight="1">
      <x:c r="A3438" s="256" t="n">
        <x:f>-12+1828*0.01</x:f>
        <x:v>6.280000000000001</x:v>
      </x:c>
      <x:c r="B3438" s="256" t="n">
        <x:f>IF(COUNT($B$129:$L$129)=11,B$129*EXP(IF(A3438&lt;0,(10-0)*A3438,-0*A3438))+C$129*EXP(IF(A3438&lt;0,(10-1)*A3438,-1*A3438))+D$129*EXP(IF(A3438&lt;0,(10-2)*A3438,-2*A3438))+E$129*EXP(IF(A3438&lt;0,(10-3)*A3438,-3*A3438))+F$129*EXP(IF(A3438&lt;0,(10-4)*A3438,-4*A3438))+G$129*EXP(IF(A3438&lt;0,(10-5)*A3438,-5*A3438))+H$129*EXP(IF(A3438&lt;0,(10-6)*A3438,-6*A3438))+I$129*EXP(IF(A3438&lt;0,(10-7)*A3438,-7*A3438))+J$129*EXP(IF(A3438&lt;0,(10-8)*A3438,-8*A3438))+K$129*EXP(IF(A3438&lt;0,(10-9)*A3438,-9*A3438))+L$129*EXP(IF(A3438&lt;0,(10-10)*A3438,-10*A3438)),0)</x:f>
        <x:v>-190015.29544851894</x:v>
      </x:c>
      <x:c r="C3438" s="256" t="n">
        <x:f>IF(B3438=0,IF(B3437=0,0,1),IF(B3437=0,0,IF(SIGN(B3438)&lt;&gt;SIGN(B3437),1,0)))</x:f>
        <x:v>0</x:v>
      </x:c>
      <x:c r="D3438" s="256" t="n">
        <x:f>EXP(A3438-0.005)-1</x:f>
        <x:v>530.1263817580216</x:v>
      </x:c>
    </x:row>
    <x:row r="3439" ht="20" customHeight="1">
      <x:c r="A3439" s="256" t="n">
        <x:f>-12+1829*0.01</x:f>
        <x:v>6.289999999999999</x:v>
      </x:c>
      <x:c r="B3439" s="256" t="n">
        <x:f>IF(COUNT($B$129:$L$129)=11,B$129*EXP(IF(A3439&lt;0,(10-0)*A3439,-0*A3439))+C$129*EXP(IF(A3439&lt;0,(10-1)*A3439,-1*A3439))+D$129*EXP(IF(A3439&lt;0,(10-2)*A3439,-2*A3439))+E$129*EXP(IF(A3439&lt;0,(10-3)*A3439,-3*A3439))+F$129*EXP(IF(A3439&lt;0,(10-4)*A3439,-4*A3439))+G$129*EXP(IF(A3439&lt;0,(10-5)*A3439,-5*A3439))+H$129*EXP(IF(A3439&lt;0,(10-6)*A3439,-6*A3439))+I$129*EXP(IF(A3439&lt;0,(10-7)*A3439,-7*A3439))+J$129*EXP(IF(A3439&lt;0,(10-8)*A3439,-8*A3439))+K$129*EXP(IF(A3439&lt;0,(10-9)*A3439,-9*A3439))+L$129*EXP(IF(A3439&lt;0,(10-10)*A3439,-10*A3439)),0)</x:f>
        <x:v>-190015.14305065558</x:v>
      </x:c>
      <x:c r="C3439" s="256" t="n">
        <x:f>IF(B3439=0,IF(B3438=0,0,1),IF(B3438=0,0,IF(SIGN(B3439)&lt;&gt;SIGN(B3438),1,0)))</x:f>
        <x:v>0</x:v>
      </x:c>
      <x:c r="D3439" s="256" t="n">
        <x:f>EXP(A3439-0.005)-1</x:f>
        <x:v>535.4642906374983</x:v>
      </x:c>
    </x:row>
    <x:row r="3440" ht="20" customHeight="1">
      <x:c r="A3440" s="256" t="n">
        <x:f>-12+1830*0.01</x:f>
        <x:v>6.300000000000001</x:v>
      </x:c>
      <x:c r="B3440" s="256" t="n">
        <x:f>IF(COUNT($B$129:$L$129)=11,B$129*EXP(IF(A3440&lt;0,(10-0)*A3440,-0*A3440))+C$129*EXP(IF(A3440&lt;0,(10-1)*A3440,-1*A3440))+D$129*EXP(IF(A3440&lt;0,(10-2)*A3440,-2*A3440))+E$129*EXP(IF(A3440&lt;0,(10-3)*A3440,-3*A3440))+F$129*EXP(IF(A3440&lt;0,(10-4)*A3440,-4*A3440))+G$129*EXP(IF(A3440&lt;0,(10-5)*A3440,-5*A3440))+H$129*EXP(IF(A3440&lt;0,(10-6)*A3440,-6*A3440))+I$129*EXP(IF(A3440&lt;0,(10-7)*A3440,-7*A3440))+J$129*EXP(IF(A3440&lt;0,(10-8)*A3440,-8*A3440))+K$129*EXP(IF(A3440&lt;0,(10-9)*A3440,-9*A3440))+L$129*EXP(IF(A3440&lt;0,(10-10)*A3440,-10*A3440)),0)</x:f>
        <x:v>-190014.99217325216</x:v>
      </x:c>
      <x:c r="C3440" s="256" t="n">
        <x:f>IF(B3440=0,IF(B3439=0,0,1),IF(B3439=0,0,IF(SIGN(B3440)&lt;&gt;SIGN(B3439),1,0)))</x:f>
        <x:v>0</x:v>
      </x:c>
      <x:c r="D3440" s="256" t="n">
        <x:f>EXP(A3440-0.005)-1</x:f>
        <x:v>540.8558463930957</x:v>
      </x:c>
    </x:row>
    <x:row r="3441" ht="20" customHeight="1">
      <x:c r="A3441" s="256" t="n">
        <x:f>-12+1831*0.01</x:f>
        <x:v>6.309999999999999</x:v>
      </x:c>
      <x:c r="B3441" s="256" t="n">
        <x:f>IF(COUNT($B$129:$L$129)=11,B$129*EXP(IF(A3441&lt;0,(10-0)*A3441,-0*A3441))+C$129*EXP(IF(A3441&lt;0,(10-1)*A3441,-1*A3441))+D$129*EXP(IF(A3441&lt;0,(10-2)*A3441,-2*A3441))+E$129*EXP(IF(A3441&lt;0,(10-3)*A3441,-3*A3441))+F$129*EXP(IF(A3441&lt;0,(10-4)*A3441,-4*A3441))+G$129*EXP(IF(A3441&lt;0,(10-5)*A3441,-5*A3441))+H$129*EXP(IF(A3441&lt;0,(10-6)*A3441,-6*A3441))+I$129*EXP(IF(A3441&lt;0,(10-7)*A3441,-7*A3441))+J$129*EXP(IF(A3441&lt;0,(10-8)*A3441,-8*A3441))+K$129*EXP(IF(A3441&lt;0,(10-9)*A3441,-9*A3441))+L$129*EXP(IF(A3441&lt;0,(10-10)*A3441,-10*A3441)),0)</x:f>
        <x:v>-190014.84280109903</x:v>
      </x:c>
      <x:c r="C3441" s="256" t="n">
        <x:f>IF(B3441=0,IF(B3440=0,0,1),IF(B3440=0,0,IF(SIGN(B3441)&lt;&gt;SIGN(B3440),1,0)))</x:f>
        <x:v>0</x:v>
      </x:c>
      <x:c r="D3441" s="256" t="n">
        <x:f>EXP(A3441-0.005)-1</x:f>
        <x:v>546.3015881848785</x:v>
      </x:c>
    </x:row>
    <x:row r="3442" ht="20" customHeight="1">
      <x:c r="A3442" s="256" t="n">
        <x:f>-12+1832*0.01</x:f>
        <x:v>6.32</x:v>
      </x:c>
      <x:c r="B3442" s="256" t="n">
        <x:f>IF(COUNT($B$129:$L$129)=11,B$129*EXP(IF(A3442&lt;0,(10-0)*A3442,-0*A3442))+C$129*EXP(IF(A3442&lt;0,(10-1)*A3442,-1*A3442))+D$129*EXP(IF(A3442&lt;0,(10-2)*A3442,-2*A3442))+E$129*EXP(IF(A3442&lt;0,(10-3)*A3442,-3*A3442))+F$129*EXP(IF(A3442&lt;0,(10-4)*A3442,-4*A3442))+G$129*EXP(IF(A3442&lt;0,(10-5)*A3442,-5*A3442))+H$129*EXP(IF(A3442&lt;0,(10-6)*A3442,-6*A3442))+I$129*EXP(IF(A3442&lt;0,(10-7)*A3442,-7*A3442))+J$129*EXP(IF(A3442&lt;0,(10-8)*A3442,-8*A3442))+K$129*EXP(IF(A3442&lt;0,(10-9)*A3442,-9*A3442))+L$129*EXP(IF(A3442&lt;0,(10-10)*A3442,-10*A3442)),0)</x:f>
        <x:v>-190014.69491913938</x:v>
      </x:c>
      <x:c r="C3442" s="256" t="n">
        <x:f>IF(B3442=0,IF(B3441=0,0,1),IF(B3441=0,0,IF(SIGN(B3442)&lt;&gt;SIGN(B3441),1,0)))</x:f>
        <x:v>0</x:v>
      </x:c>
      <x:c r="D3442" s="256" t="n">
        <x:f>EXP(A3442-0.005)-1</x:f>
        <x:v>551.802060591568</x:v>
      </x:c>
    </x:row>
    <x:row r="3443" ht="20" customHeight="1">
      <x:c r="A3443" s="256" t="n">
        <x:f>-12+1833*0.01</x:f>
        <x:v>6.330000000000002</x:v>
      </x:c>
      <x:c r="B3443" s="256" t="n">
        <x:f>IF(COUNT($B$129:$L$129)=11,B$129*EXP(IF(A3443&lt;0,(10-0)*A3443,-0*A3443))+C$129*EXP(IF(A3443&lt;0,(10-1)*A3443,-1*A3443))+D$129*EXP(IF(A3443&lt;0,(10-2)*A3443,-2*A3443))+E$129*EXP(IF(A3443&lt;0,(10-3)*A3443,-3*A3443))+F$129*EXP(IF(A3443&lt;0,(10-4)*A3443,-4*A3443))+G$129*EXP(IF(A3443&lt;0,(10-5)*A3443,-5*A3443))+H$129*EXP(IF(A3443&lt;0,(10-6)*A3443,-6*A3443))+I$129*EXP(IF(A3443&lt;0,(10-7)*A3443,-7*A3443))+J$129*EXP(IF(A3443&lt;0,(10-8)*A3443,-8*A3443))+K$129*EXP(IF(A3443&lt;0,(10-9)*A3443,-9*A3443))+L$129*EXP(IF(A3443&lt;0,(10-10)*A3443,-10*A3443)),0)</x:f>
        <x:v>-190014.54851246794</x:v>
      </x:c>
      <x:c r="C3443" s="256" t="n">
        <x:f>IF(B3443=0,IF(B3442=0,0,1),IF(B3442=0,0,IF(SIGN(B3443)&lt;&gt;SIGN(B3442),1,0)))</x:f>
        <x:v>0</x:v>
      </x:c>
      <x:c r="D3443" s="256" t="n">
        <x:f>EXP(A3443-0.005)-1</x:f>
        <x:v>557.3578136649865</x:v>
      </x:c>
    </x:row>
    <x:row r="3444" ht="20" customHeight="1">
      <x:c r="A3444" s="256" t="n">
        <x:f>-12+1834*0.01</x:f>
        <x:v>6.34</x:v>
      </x:c>
      <x:c r="B3444" s="256" t="n">
        <x:f>IF(COUNT($B$129:$L$129)=11,B$129*EXP(IF(A3444&lt;0,(10-0)*A3444,-0*A3444))+C$129*EXP(IF(A3444&lt;0,(10-1)*A3444,-1*A3444))+D$129*EXP(IF(A3444&lt;0,(10-2)*A3444,-2*A3444))+E$129*EXP(IF(A3444&lt;0,(10-3)*A3444,-3*A3444))+F$129*EXP(IF(A3444&lt;0,(10-4)*A3444,-4*A3444))+G$129*EXP(IF(A3444&lt;0,(10-5)*A3444,-5*A3444))+H$129*EXP(IF(A3444&lt;0,(10-6)*A3444,-6*A3444))+I$129*EXP(IF(A3444&lt;0,(10-7)*A3444,-7*A3444))+J$129*EXP(IF(A3444&lt;0,(10-8)*A3444,-8*A3444))+K$129*EXP(IF(A3444&lt;0,(10-9)*A3444,-9*A3444))+L$129*EXP(IF(A3444&lt;0,(10-10)*A3444,-10*A3444)),0)</x:f>
        <x:v>-190014.40356632925</x:v>
      </x:c>
      <x:c r="C3444" s="256" t="n">
        <x:f>IF(B3444=0,IF(B3443=0,0,1),IF(B3443=0,0,IF(SIGN(B3444)&lt;&gt;SIGN(B3443),1,0)))</x:f>
        <x:v>0</x:v>
      </x:c>
      <x:c r="D3444" s="256" t="n">
        <x:f>EXP(A3444-0.005)-1</x:f>
        <x:v>562.9694029850692</x:v>
      </x:c>
    </x:row>
    <x:row r="3445" ht="20" customHeight="1">
      <x:c r="A3445" s="256" t="n">
        <x:f>-12+1835*0.01</x:f>
        <x:v>6.350000000000001</x:v>
      </x:c>
      <x:c r="B3445" s="256" t="n">
        <x:f>IF(COUNT($B$129:$L$129)=11,B$129*EXP(IF(A3445&lt;0,(10-0)*A3445,-0*A3445))+C$129*EXP(IF(A3445&lt;0,(10-1)*A3445,-1*A3445))+D$129*EXP(IF(A3445&lt;0,(10-2)*A3445,-2*A3445))+E$129*EXP(IF(A3445&lt;0,(10-3)*A3445,-3*A3445))+F$129*EXP(IF(A3445&lt;0,(10-4)*A3445,-4*A3445))+G$129*EXP(IF(A3445&lt;0,(10-5)*A3445,-5*A3445))+H$129*EXP(IF(A3445&lt;0,(10-6)*A3445,-6*A3445))+I$129*EXP(IF(A3445&lt;0,(10-7)*A3445,-7*A3445))+J$129*EXP(IF(A3445&lt;0,(10-8)*A3445,-8*A3445))+K$129*EXP(IF(A3445&lt;0,(10-9)*A3445,-9*A3445))+L$129*EXP(IF(A3445&lt;0,(10-10)*A3445,-10*A3445)),0)</x:f>
        <x:v>-190014.26006611617</x:v>
      </x:c>
      <x:c r="C3445" s="256" t="n">
        <x:f>IF(B3445=0,IF(B3444=0,0,1),IF(B3444=0,0,IF(SIGN(B3445)&lt;&gt;SIGN(B3444),1,0)))</x:f>
        <x:v>0</x:v>
      </x:c>
      <x:c r="D3445" s="256" t="n">
        <x:f>EXP(A3445-0.005)-1</x:f>
        <x:v>568.6373897154285</x:v>
      </x:c>
    </x:row>
    <x:row r="3446" ht="20" customHeight="1">
      <x:c r="A3446" s="256" t="n">
        <x:f>-12+1836*0.01</x:f>
        <x:v>6.359999999999999</x:v>
      </x:c>
      <x:c r="B3446" s="256" t="n">
        <x:f>IF(COUNT($B$129:$L$129)=11,B$129*EXP(IF(A3446&lt;0,(10-0)*A3446,-0*A3446))+C$129*EXP(IF(A3446&lt;0,(10-1)*A3446,-1*A3446))+D$129*EXP(IF(A3446&lt;0,(10-2)*A3446,-2*A3446))+E$129*EXP(IF(A3446&lt;0,(10-3)*A3446,-3*A3446))+F$129*EXP(IF(A3446&lt;0,(10-4)*A3446,-4*A3446))+G$129*EXP(IF(A3446&lt;0,(10-5)*A3446,-5*A3446))+H$129*EXP(IF(A3446&lt;0,(10-6)*A3446,-6*A3446))+I$129*EXP(IF(A3446&lt;0,(10-7)*A3446,-7*A3446))+J$129*EXP(IF(A3446&lt;0,(10-8)*A3446,-8*A3446))+K$129*EXP(IF(A3446&lt;0,(10-9)*A3446,-9*A3446))+L$129*EXP(IF(A3446&lt;0,(10-10)*A3446,-10*A3446)),0)</x:f>
        <x:v>-190014.11799736824</x:v>
      </x:c>
      <x:c r="C3446" s="256" t="n">
        <x:f>IF(B3446=0,IF(B3445=0,0,1),IF(B3445=0,0,IF(SIGN(B3446)&lt;&gt;SIGN(B3445),1,0)))</x:f>
        <x:v>0</x:v>
      </x:c>
      <x:c r="D3446" s="256" t="n">
        <x:f>EXP(A3446-0.005)-1</x:f>
        <x:v>574.3623406594568</x:v>
      </x:c>
    </x:row>
    <x:row r="3447" ht="20" customHeight="1">
      <x:c r="A3447" s="256" t="n">
        <x:f>-12+1837*0.01</x:f>
        <x:v>6.370000000000001</x:v>
      </x:c>
      <x:c r="B3447" s="256" t="n">
        <x:f>IF(COUNT($B$129:$L$129)=11,B$129*EXP(IF(A3447&lt;0,(10-0)*A3447,-0*A3447))+C$129*EXP(IF(A3447&lt;0,(10-1)*A3447,-1*A3447))+D$129*EXP(IF(A3447&lt;0,(10-2)*A3447,-2*A3447))+E$129*EXP(IF(A3447&lt;0,(10-3)*A3447,-3*A3447))+F$129*EXP(IF(A3447&lt;0,(10-4)*A3447,-4*A3447))+G$129*EXP(IF(A3447&lt;0,(10-5)*A3447,-5*A3447))+H$129*EXP(IF(A3447&lt;0,(10-6)*A3447,-6*A3447))+I$129*EXP(IF(A3447&lt;0,(10-7)*A3447,-7*A3447))+J$129*EXP(IF(A3447&lt;0,(10-8)*A3447,-8*A3447))+K$129*EXP(IF(A3447&lt;0,(10-9)*A3447,-9*A3447))+L$129*EXP(IF(A3447&lt;0,(10-10)*A3447,-10*A3447)),0)</x:f>
        <x:v>-190013.97734577052</x:v>
      </x:c>
      <x:c r="C3447" s="256" t="n">
        <x:f>IF(B3447=0,IF(B3446=0,0,1),IF(B3446=0,0,IF(SIGN(B3447)&lt;&gt;SIGN(B3446),1,0)))</x:f>
        <x:v>0</x:v>
      </x:c>
      <x:c r="D3447" s="256" t="n">
        <x:f>EXP(A3447-0.005)-1</x:f>
        <x:v>580.1448283170233</x:v>
      </x:c>
    </x:row>
    <x:row r="3448" ht="20" customHeight="1">
      <x:c r="A3448" s="256" t="n">
        <x:f>-12+1838*0.01</x:f>
        <x:v>6.379999999999999</x:v>
      </x:c>
      <x:c r="B3448" s="256" t="n">
        <x:f>IF(COUNT($B$129:$L$129)=11,B$129*EXP(IF(A3448&lt;0,(10-0)*A3448,-0*A3448))+C$129*EXP(IF(A3448&lt;0,(10-1)*A3448,-1*A3448))+D$129*EXP(IF(A3448&lt;0,(10-2)*A3448,-2*A3448))+E$129*EXP(IF(A3448&lt;0,(10-3)*A3448,-3*A3448))+F$129*EXP(IF(A3448&lt;0,(10-4)*A3448,-4*A3448))+G$129*EXP(IF(A3448&lt;0,(10-5)*A3448,-5*A3448))+H$129*EXP(IF(A3448&lt;0,(10-6)*A3448,-6*A3448))+I$129*EXP(IF(A3448&lt;0,(10-7)*A3448,-7*A3448))+J$129*EXP(IF(A3448&lt;0,(10-8)*A3448,-8*A3448))+K$129*EXP(IF(A3448&lt;0,(10-9)*A3448,-9*A3448))+L$129*EXP(IF(A3448&lt;0,(10-10)*A3448,-10*A3448)),0)</x:f>
        <x:v>-190013.83809715192</x:v>
      </x:c>
      <x:c r="C3448" s="256" t="n">
        <x:f>IF(B3448=0,IF(B3447=0,0,1),IF(B3447=0,0,IF(SIGN(B3448)&lt;&gt;SIGN(B3447),1,0)))</x:f>
        <x:v>0</x:v>
      </x:c>
      <x:c r="D3448" s="256" t="n">
        <x:f>EXP(A3448-0.005)-1</x:f>
        <x:v>585.9854309417084</x:v>
      </x:c>
    </x:row>
    <x:row r="3449" ht="20" customHeight="1">
      <x:c r="A3449" s="256" t="n">
        <x:f>-12+1839*0.01</x:f>
        <x:v>6.390000000000001</x:v>
      </x:c>
      <x:c r="B3449" s="256" t="n">
        <x:f>IF(COUNT($B$129:$L$129)=11,B$129*EXP(IF(A3449&lt;0,(10-0)*A3449,-0*A3449))+C$129*EXP(IF(A3449&lt;0,(10-1)*A3449,-1*A3449))+D$129*EXP(IF(A3449&lt;0,(10-2)*A3449,-2*A3449))+E$129*EXP(IF(A3449&lt;0,(10-3)*A3449,-3*A3449))+F$129*EXP(IF(A3449&lt;0,(10-4)*A3449,-4*A3449))+G$129*EXP(IF(A3449&lt;0,(10-5)*A3449,-5*A3449))+H$129*EXP(IF(A3449&lt;0,(10-6)*A3449,-6*A3449))+I$129*EXP(IF(A3449&lt;0,(10-7)*A3449,-7*A3449))+J$129*EXP(IF(A3449&lt;0,(10-8)*A3449,-8*A3449))+K$129*EXP(IF(A3449&lt;0,(10-9)*A3449,-9*A3449))+L$129*EXP(IF(A3449&lt;0,(10-10)*A3449,-10*A3449)),0)</x:f>
        <x:v>-190013.70023748372</x:v>
      </x:c>
      <x:c r="C3449" s="256" t="n">
        <x:f>IF(B3449=0,IF(B3448=0,0,1),IF(B3448=0,0,IF(SIGN(B3449)&lt;&gt;SIGN(B3448),1,0)))</x:f>
        <x:v>0</x:v>
      </x:c>
      <x:c r="D3449" s="256" t="n">
        <x:f>EXP(A3449-0.005)-1</x:f>
        <x:v>591.8847325986459</x:v>
      </x:c>
    </x:row>
    <x:row r="3450" ht="20" customHeight="1">
      <x:c r="A3450" s="256" t="n">
        <x:f>-12+1840*0.01</x:f>
        <x:v>6.400000000000002</x:v>
      </x:c>
      <x:c r="B3450" s="256" t="n">
        <x:f>IF(COUNT($B$129:$L$129)=11,B$129*EXP(IF(A3450&lt;0,(10-0)*A3450,-0*A3450))+C$129*EXP(IF(A3450&lt;0,(10-1)*A3450,-1*A3450))+D$129*EXP(IF(A3450&lt;0,(10-2)*A3450,-2*A3450))+E$129*EXP(IF(A3450&lt;0,(10-3)*A3450,-3*A3450))+F$129*EXP(IF(A3450&lt;0,(10-4)*A3450,-4*A3450))+G$129*EXP(IF(A3450&lt;0,(10-5)*A3450,-5*A3450))+H$129*EXP(IF(A3450&lt;0,(10-6)*A3450,-6*A3450))+I$129*EXP(IF(A3450&lt;0,(10-7)*A3450,-7*A3450))+J$129*EXP(IF(A3450&lt;0,(10-8)*A3450,-8*A3450))+K$129*EXP(IF(A3450&lt;0,(10-9)*A3450,-9*A3450))+L$129*EXP(IF(A3450&lt;0,(10-10)*A3450,-10*A3450)),0)</x:f>
        <x:v>-190013.56375287802</x:v>
      </x:c>
      <x:c r="C3450" s="256" t="n">
        <x:f>IF(B3450=0,IF(B3449=0,0,1),IF(B3449=0,0,IF(SIGN(B3450)&lt;&gt;SIGN(B3449),1,0)))</x:f>
        <x:v>0</x:v>
      </x:c>
      <x:c r="D3450" s="256" t="n">
        <x:f>EXP(A3450-0.005)-1</x:f>
        <x:v>597.8433232229155</x:v>
      </x:c>
    </x:row>
    <x:row r="3451" ht="20" customHeight="1">
      <x:c r="A3451" s="256" t="n">
        <x:f>-12+1841*0.01</x:f>
        <x:v>6.41</x:v>
      </x:c>
      <x:c r="B3451" s="256" t="n">
        <x:f>IF(COUNT($B$129:$L$129)=11,B$129*EXP(IF(A3451&lt;0,(10-0)*A3451,-0*A3451))+C$129*EXP(IF(A3451&lt;0,(10-1)*A3451,-1*A3451))+D$129*EXP(IF(A3451&lt;0,(10-2)*A3451,-2*A3451))+E$129*EXP(IF(A3451&lt;0,(10-3)*A3451,-3*A3451))+F$129*EXP(IF(A3451&lt;0,(10-4)*A3451,-4*A3451))+G$129*EXP(IF(A3451&lt;0,(10-5)*A3451,-5*A3451))+H$129*EXP(IF(A3451&lt;0,(10-6)*A3451,-6*A3451))+I$129*EXP(IF(A3451&lt;0,(10-7)*A3451,-7*A3451))+J$129*EXP(IF(A3451&lt;0,(10-8)*A3451,-8*A3451))+K$129*EXP(IF(A3451&lt;0,(10-9)*A3451,-9*A3451))+L$129*EXP(IF(A3451&lt;0,(10-10)*A3451,-10*A3451)),0)</x:f>
        <x:v>-190013.4286295867</x:v>
      </x:c>
      <x:c r="C3451" s="256" t="n">
        <x:f>IF(B3451=0,IF(B3450=0,0,1),IF(B3450=0,0,IF(SIGN(B3451)&lt;&gt;SIGN(B3450),1,0)))</x:f>
        <x:v>0</x:v>
      </x:c>
      <x:c r="D3451" s="256" t="n">
        <x:f>EXP(A3451-0.005)-1</x:f>
        <x:v>603.861798678543</x:v>
      </x:c>
    </x:row>
    <x:row r="3452" ht="20" customHeight="1">
      <x:c r="A3452" s="256" t="n">
        <x:f>-12+1842*0.01</x:f>
        <x:v>6.420000000000002</x:v>
      </x:c>
      <x:c r="B3452" s="256" t="n">
        <x:f>IF(COUNT($B$129:$L$129)=11,B$129*EXP(IF(A3452&lt;0,(10-0)*A3452,-0*A3452))+C$129*EXP(IF(A3452&lt;0,(10-1)*A3452,-1*A3452))+D$129*EXP(IF(A3452&lt;0,(10-2)*A3452,-2*A3452))+E$129*EXP(IF(A3452&lt;0,(10-3)*A3452,-3*A3452))+F$129*EXP(IF(A3452&lt;0,(10-4)*A3452,-4*A3452))+G$129*EXP(IF(A3452&lt;0,(10-5)*A3452,-5*A3452))+H$129*EXP(IF(A3452&lt;0,(10-6)*A3452,-6*A3452))+I$129*EXP(IF(A3452&lt;0,(10-7)*A3452,-7*A3452))+J$129*EXP(IF(A3452&lt;0,(10-8)*A3452,-8*A3452))+K$129*EXP(IF(A3452&lt;0,(10-9)*A3452,-9*A3452))+L$129*EXP(IF(A3452&lt;0,(10-10)*A3452,-10*A3452)),0)</x:f>
        <x:v>-190013.2948539995</x:v>
      </x:c>
      <x:c r="C3452" s="256" t="n">
        <x:f>IF(B3452=0,IF(B3451=0,0,1),IF(B3451=0,0,IF(SIGN(B3452)&lt;&gt;SIGN(B3451),1,0)))</x:f>
        <x:v>0</x:v>
      </x:c>
      <x:c r="D3452" s="256" t="n">
        <x:f>EXP(A3452-0.005)-1</x:f>
        <x:v>609.9407608180937</x:v>
      </x:c>
    </x:row>
    <x:row r="3453" ht="20" customHeight="1">
      <x:c r="A3453" s="256" t="n">
        <x:f>-12+1843*0.01</x:f>
        <x:v>6.43</x:v>
      </x:c>
      <x:c r="B3453" s="256" t="n">
        <x:f>IF(COUNT($B$129:$L$129)=11,B$129*EXP(IF(A3453&lt;0,(10-0)*A3453,-0*A3453))+C$129*EXP(IF(A3453&lt;0,(10-1)*A3453,-1*A3453))+D$129*EXP(IF(A3453&lt;0,(10-2)*A3453,-2*A3453))+E$129*EXP(IF(A3453&lt;0,(10-3)*A3453,-3*A3453))+F$129*EXP(IF(A3453&lt;0,(10-4)*A3453,-4*A3453))+G$129*EXP(IF(A3453&lt;0,(10-5)*A3453,-5*A3453))+H$129*EXP(IF(A3453&lt;0,(10-6)*A3453,-6*A3453))+I$129*EXP(IF(A3453&lt;0,(10-7)*A3453,-7*A3453))+J$129*EXP(IF(A3453&lt;0,(10-8)*A3453,-8*A3453))+K$129*EXP(IF(A3453&lt;0,(10-9)*A3453,-9*A3453))+L$129*EXP(IF(A3453&lt;0,(10-10)*A3453,-10*A3453)),0)</x:f>
        <x:v>-190013.1624126431</x:v>
      </x:c>
      <x:c r="C3453" s="256" t="n">
        <x:f>IF(B3453=0,IF(B3452=0,0,1),IF(B3452=0,0,IF(SIGN(B3453)&lt;&gt;SIGN(B3452),1,0)))</x:f>
        <x:v>0</x:v>
      </x:c>
      <x:c r="D3453" s="256" t="n">
        <x:f>EXP(A3453-0.005)-1</x:f>
        <x:v>616.0808175428432</x:v>
      </x:c>
    </x:row>
    <x:row r="3454" ht="20" customHeight="1">
      <x:c r="A3454" s="256" t="n">
        <x:f>-12+1844*0.01</x:f>
        <x:v>6.440000000000001</x:v>
      </x:c>
      <x:c r="B3454" s="256" t="n">
        <x:f>IF(COUNT($B$129:$L$129)=11,B$129*EXP(IF(A3454&lt;0,(10-0)*A3454,-0*A3454))+C$129*EXP(IF(A3454&lt;0,(10-1)*A3454,-1*A3454))+D$129*EXP(IF(A3454&lt;0,(10-2)*A3454,-2*A3454))+E$129*EXP(IF(A3454&lt;0,(10-3)*A3454,-3*A3454))+F$129*EXP(IF(A3454&lt;0,(10-4)*A3454,-4*A3454))+G$129*EXP(IF(A3454&lt;0,(10-5)*A3454,-5*A3454))+H$129*EXP(IF(A3454&lt;0,(10-6)*A3454,-6*A3454))+I$129*EXP(IF(A3454&lt;0,(10-7)*A3454,-7*A3454))+J$129*EXP(IF(A3454&lt;0,(10-8)*A3454,-8*A3454))+K$129*EXP(IF(A3454&lt;0,(10-9)*A3454,-9*A3454))+L$129*EXP(IF(A3454&lt;0,(10-10)*A3454,-10*A3454)),0)</x:f>
        <x:v>-190013.0312921793</x:v>
      </x:c>
      <x:c r="C3454" s="256" t="n">
        <x:f>IF(B3454=0,IF(B3453=0,0,1),IF(B3453=0,0,IF(SIGN(B3454)&lt;&gt;SIGN(B3453),1,0)))</x:f>
        <x:v>0</x:v>
      </x:c>
      <x:c r="D3454" s="256" t="n">
        <x:f>EXP(A3454-0.005)-1</x:f>
        <x:v>622.2825828635847</x:v>
      </x:c>
    </x:row>
    <x:row r="3455" ht="20" customHeight="1">
      <x:c r="A3455" s="256" t="n">
        <x:f>-12+1845*0.01</x:f>
        <x:v>6.449999999999999</x:v>
      </x:c>
      <x:c r="B3455" s="256" t="n">
        <x:f>IF(COUNT($B$129:$L$129)=11,B$129*EXP(IF(A3455&lt;0,(10-0)*A3455,-0*A3455))+C$129*EXP(IF(A3455&lt;0,(10-1)*A3455,-1*A3455))+D$129*EXP(IF(A3455&lt;0,(10-2)*A3455,-2*A3455))+E$129*EXP(IF(A3455&lt;0,(10-3)*A3455,-3*A3455))+F$129*EXP(IF(A3455&lt;0,(10-4)*A3455,-4*A3455))+G$129*EXP(IF(A3455&lt;0,(10-5)*A3455,-5*A3455))+H$129*EXP(IF(A3455&lt;0,(10-6)*A3455,-6*A3455))+I$129*EXP(IF(A3455&lt;0,(10-7)*A3455,-7*A3455))+J$129*EXP(IF(A3455&lt;0,(10-8)*A3455,-8*A3455))+K$129*EXP(IF(A3455&lt;0,(10-9)*A3455,-9*A3455))+L$129*EXP(IF(A3455&lt;0,(10-10)*A3455,-10*A3455)),0)</x:f>
        <x:v>-190012.90147940392</x:v>
      </x:c>
      <x:c r="C3455" s="256" t="n">
        <x:f>IF(B3455=0,IF(B3454=0,0,1),IF(B3454=0,0,IF(SIGN(B3455)&lt;&gt;SIGN(B3454),1,0)))</x:f>
        <x:v>0</x:v>
      </x:c>
      <x:c r="D3455" s="256" t="n">
        <x:f>EXP(A3455-0.005)-1</x:f>
        <x:v>628.5466769620143</x:v>
      </x:c>
    </x:row>
    <x:row r="3456" ht="20" customHeight="1">
      <x:c r="A3456" s="256" t="n">
        <x:f>-12+1846*0.01</x:f>
        <x:v>6.460000000000001</x:v>
      </x:c>
      <x:c r="B3456" s="256" t="n">
        <x:f>IF(COUNT($B$129:$L$129)=11,B$129*EXP(IF(A3456&lt;0,(10-0)*A3456,-0*A3456))+C$129*EXP(IF(A3456&lt;0,(10-1)*A3456,-1*A3456))+D$129*EXP(IF(A3456&lt;0,(10-2)*A3456,-2*A3456))+E$129*EXP(IF(A3456&lt;0,(10-3)*A3456,-3*A3456))+F$129*EXP(IF(A3456&lt;0,(10-4)*A3456,-4*A3456))+G$129*EXP(IF(A3456&lt;0,(10-5)*A3456,-5*A3456))+H$129*EXP(IF(A3456&lt;0,(10-6)*A3456,-6*A3456))+I$129*EXP(IF(A3456&lt;0,(10-7)*A3456,-7*A3456))+J$129*EXP(IF(A3456&lt;0,(10-8)*A3456,-8*A3456))+K$129*EXP(IF(A3456&lt;0,(10-9)*A3456,-9*A3456))+L$129*EXP(IF(A3456&lt;0,(10-10)*A3456,-10*A3456)),0)</x:f>
        <x:v>-190012.77296124544</x:v>
      </x:c>
      <x:c r="C3456" s="256" t="n">
        <x:f>IF(B3456=0,IF(B3455=0,0,1),IF(B3455=0,0,IF(SIGN(B3456)&lt;&gt;SIGN(B3455),1,0)))</x:f>
        <x:v>0</x:v>
      </x:c>
      <x:c r="D3456" s="256" t="n">
        <x:f>EXP(A3456-0.005)-1</x:f>
        <x:v>634.8737262527663</x:v>
      </x:c>
    </x:row>
    <x:row r="3457" ht="20" customHeight="1">
      <x:c r="A3457" s="256" t="n">
        <x:f>-12+1847*0.01</x:f>
        <x:v>6.469999999999999</x:v>
      </x:c>
      <x:c r="B3457" s="256" t="n">
        <x:f>IF(COUNT($B$129:$L$129)=11,B$129*EXP(IF(A3457&lt;0,(10-0)*A3457,-0*A3457))+C$129*EXP(IF(A3457&lt;0,(10-1)*A3457,-1*A3457))+D$129*EXP(IF(A3457&lt;0,(10-2)*A3457,-2*A3457))+E$129*EXP(IF(A3457&lt;0,(10-3)*A3457,-3*A3457))+F$129*EXP(IF(A3457&lt;0,(10-4)*A3457,-4*A3457))+G$129*EXP(IF(A3457&lt;0,(10-5)*A3457,-5*A3457))+H$129*EXP(IF(A3457&lt;0,(10-6)*A3457,-6*A3457))+I$129*EXP(IF(A3457&lt;0,(10-7)*A3457,-7*A3457))+J$129*EXP(IF(A3457&lt;0,(10-8)*A3457,-8*A3457))+K$129*EXP(IF(A3457&lt;0,(10-9)*A3457,-9*A3457))+L$129*EXP(IF(A3457&lt;0,(10-10)*A3457,-10*A3457)),0)</x:f>
        <x:v>-190012.64572476357</x:v>
      </x:c>
      <x:c r="C3457" s="256" t="n">
        <x:f>IF(B3457=0,IF(B3456=0,0,1),IF(B3456=0,0,IF(SIGN(B3457)&lt;&gt;SIGN(B3456),1,0)))</x:f>
        <x:v>0</x:v>
      </x:c>
      <x:c r="D3457" s="256" t="n">
        <x:f>EXP(A3457-0.005)-1</x:f>
        <x:v>641.2643634460379</x:v>
      </x:c>
    </x:row>
    <x:row r="3458" ht="20" customHeight="1">
      <x:c r="A3458" s="256" t="n">
        <x:f>-12+1848*0.01</x:f>
        <x:v>6.48</x:v>
      </x:c>
      <x:c r="B3458" s="256" t="n">
        <x:f>IF(COUNT($B$129:$L$129)=11,B$129*EXP(IF(A3458&lt;0,(10-0)*A3458,-0*A3458))+C$129*EXP(IF(A3458&lt;0,(10-1)*A3458,-1*A3458))+D$129*EXP(IF(A3458&lt;0,(10-2)*A3458,-2*A3458))+E$129*EXP(IF(A3458&lt;0,(10-3)*A3458,-3*A3458))+F$129*EXP(IF(A3458&lt;0,(10-4)*A3458,-4*A3458))+G$129*EXP(IF(A3458&lt;0,(10-5)*A3458,-5*A3458))+H$129*EXP(IF(A3458&lt;0,(10-6)*A3458,-6*A3458))+I$129*EXP(IF(A3458&lt;0,(10-7)*A3458,-7*A3458))+J$129*EXP(IF(A3458&lt;0,(10-8)*A3458,-8*A3458))+K$129*EXP(IF(A3458&lt;0,(10-9)*A3458,-9*A3458))+L$129*EXP(IF(A3458&lt;0,(10-10)*A3458,-10*A3458)),0)</x:f>
        <x:v>-190012.51975714788</x:v>
      </x:c>
      <x:c r="C3458" s="256" t="n">
        <x:f>IF(B3458=0,IF(B3457=0,0,1),IF(B3457=0,0,IF(SIGN(B3458)&lt;&gt;SIGN(B3457),1,0)))</x:f>
        <x:v>0</x:v>
      </x:c>
      <x:c r="D3458" s="256" t="n">
        <x:f>EXP(A3458-0.005)-1</x:f>
        <x:v>647.7192276108784</x:v>
      </x:c>
    </x:row>
    <x:row r="3459" ht="20" customHeight="1">
      <x:c r="A3459" s="256" t="n">
        <x:f>-12+1849*0.01</x:f>
        <x:v>6.490000000000002</x:v>
      </x:c>
      <x:c r="B3459" s="256" t="n">
        <x:f>IF(COUNT($B$129:$L$129)=11,B$129*EXP(IF(A3459&lt;0,(10-0)*A3459,-0*A3459))+C$129*EXP(IF(A3459&lt;0,(10-1)*A3459,-1*A3459))+D$129*EXP(IF(A3459&lt;0,(10-2)*A3459,-2*A3459))+E$129*EXP(IF(A3459&lt;0,(10-3)*A3459,-3*A3459))+F$129*EXP(IF(A3459&lt;0,(10-4)*A3459,-4*A3459))+G$129*EXP(IF(A3459&lt;0,(10-5)*A3459,-5*A3459))+H$129*EXP(IF(A3459&lt;0,(10-6)*A3459,-6*A3459))+I$129*EXP(IF(A3459&lt;0,(10-7)*A3459,-7*A3459))+J$129*EXP(IF(A3459&lt;0,(10-8)*A3459,-8*A3459))+K$129*EXP(IF(A3459&lt;0,(10-9)*A3459,-9*A3459))+L$129*EXP(IF(A3459&lt;0,(10-10)*A3459,-10*A3459)),0)</x:f>
        <x:v>-190012.39504571655</x:v>
      </x:c>
      <x:c r="C3459" s="256" t="n">
        <x:f>IF(B3459=0,IF(B3458=0,0,1),IF(B3458=0,0,IF(SIGN(B3459)&lt;&gt;SIGN(B3458),1,0)))</x:f>
        <x:v>0</x:v>
      </x:c>
      <x:c r="D3459" s="256" t="n">
        <x:f>EXP(A3459-0.005)-1</x:f>
        <x:v>654.2389642390813</x:v>
      </x:c>
    </x:row>
    <x:row r="3460" ht="20" customHeight="1">
      <x:c r="A3460" s="256" t="n">
        <x:f>-12+1850*0.01</x:f>
        <x:v>6.5</x:v>
      </x:c>
      <x:c r="B3460" s="256" t="n">
        <x:f>IF(COUNT($B$129:$L$129)=11,B$129*EXP(IF(A3460&lt;0,(10-0)*A3460,-0*A3460))+C$129*EXP(IF(A3460&lt;0,(10-1)*A3460,-1*A3460))+D$129*EXP(IF(A3460&lt;0,(10-2)*A3460,-2*A3460))+E$129*EXP(IF(A3460&lt;0,(10-3)*A3460,-3*A3460))+F$129*EXP(IF(A3460&lt;0,(10-4)*A3460,-4*A3460))+G$129*EXP(IF(A3460&lt;0,(10-5)*A3460,-5*A3460))+H$129*EXP(IF(A3460&lt;0,(10-6)*A3460,-6*A3460))+I$129*EXP(IF(A3460&lt;0,(10-7)*A3460,-7*A3460))+J$129*EXP(IF(A3460&lt;0,(10-8)*A3460,-8*A3460))+K$129*EXP(IF(A3460&lt;0,(10-9)*A3460,-9*A3460))+L$129*EXP(IF(A3460&lt;0,(10-10)*A3460,-10*A3460)),0)</x:f>
        <x:v>-190012.27157791523</x:v>
      </x:c>
      <x:c r="C3460" s="256" t="n">
        <x:f>IF(B3460=0,IF(B3459=0,0,1),IF(B3459=0,0,IF(SIGN(B3460)&lt;&gt;SIGN(B3459),1,0)))</x:f>
        <x:v>0</x:v>
      </x:c>
      <x:c r="D3460" s="256" t="n">
        <x:f>EXP(A3460-0.005)-1</x:f>
        <x:v>660.8242253097399</x:v>
      </x:c>
    </x:row>
    <x:row r="3461" ht="20" customHeight="1">
      <x:c r="A3461" s="256" t="n">
        <x:f>-12+1851*0.01</x:f>
        <x:v>6.510000000000002</x:v>
      </x:c>
      <x:c r="B3461" s="256" t="n">
        <x:f>IF(COUNT($B$129:$L$129)=11,B$129*EXP(IF(A3461&lt;0,(10-0)*A3461,-0*A3461))+C$129*EXP(IF(A3461&lt;0,(10-1)*A3461,-1*A3461))+D$129*EXP(IF(A3461&lt;0,(10-2)*A3461,-2*A3461))+E$129*EXP(IF(A3461&lt;0,(10-3)*A3461,-3*A3461))+F$129*EXP(IF(A3461&lt;0,(10-4)*A3461,-4*A3461))+G$129*EXP(IF(A3461&lt;0,(10-5)*A3461,-5*A3461))+H$129*EXP(IF(A3461&lt;0,(10-6)*A3461,-6*A3461))+I$129*EXP(IF(A3461&lt;0,(10-7)*A3461,-7*A3461))+J$129*EXP(IF(A3461&lt;0,(10-8)*A3461,-8*A3461))+K$129*EXP(IF(A3461&lt;0,(10-9)*A3461,-9*A3461))+L$129*EXP(IF(A3461&lt;0,(10-10)*A3461,-10*A3461)),0)</x:f>
        <x:v>-190012.14934131535</x:v>
      </x:c>
      <x:c r="C3461" s="256" t="n">
        <x:f>IF(B3461=0,IF(B3460=0,0,1),IF(B3460=0,0,IF(SIGN(B3461)&lt;&gt;SIGN(B3460),1,0)))</x:f>
        <x:v>0</x:v>
      </x:c>
      <x:c r="D3461" s="256" t="n">
        <x:f>EXP(A3461-0.005)-1</x:f>
        <x:v>667.4756693544539</x:v>
      </x:c>
    </x:row>
    <x:row r="3462" ht="20" customHeight="1">
      <x:c r="A3462" s="256" t="n">
        <x:f>-12+1852*0.01</x:f>
        <x:v>6.52</x:v>
      </x:c>
      <x:c r="B3462" s="256" t="n">
        <x:f>IF(COUNT($B$129:$L$129)=11,B$129*EXP(IF(A3462&lt;0,(10-0)*A3462,-0*A3462))+C$129*EXP(IF(A3462&lt;0,(10-1)*A3462,-1*A3462))+D$129*EXP(IF(A3462&lt;0,(10-2)*A3462,-2*A3462))+E$129*EXP(IF(A3462&lt;0,(10-3)*A3462,-3*A3462))+F$129*EXP(IF(A3462&lt;0,(10-4)*A3462,-4*A3462))+G$129*EXP(IF(A3462&lt;0,(10-5)*A3462,-5*A3462))+H$129*EXP(IF(A3462&lt;0,(10-6)*A3462,-6*A3462))+I$129*EXP(IF(A3462&lt;0,(10-7)*A3462,-7*A3462))+J$129*EXP(IF(A3462&lt;0,(10-8)*A3462,-8*A3462))+K$129*EXP(IF(A3462&lt;0,(10-9)*A3462,-9*A3462))+L$129*EXP(IF(A3462&lt;0,(10-10)*A3462,-10*A3462)),0)</x:f>
        <x:v>-190012.0283236132</x:v>
      </x:c>
      <x:c r="C3462" s="256" t="n">
        <x:f>IF(B3462=0,IF(B3461=0,0,1),IF(B3461=0,0,IF(SIGN(B3462)&lt;&gt;SIGN(B3461),1,0)))</x:f>
        <x:v>0</x:v>
      </x:c>
      <x:c r="D3462" s="256" t="n">
        <x:f>EXP(A3462-0.005)-1</x:f>
        <x:v>674.1939615231659</x:v>
      </x:c>
    </x:row>
    <x:row r="3463" ht="20" customHeight="1">
      <x:c r="A3463" s="256" t="n">
        <x:f>-12+1853*0.01</x:f>
        <x:v>6.530000000000001</x:v>
      </x:c>
      <x:c r="B3463" s="256" t="n">
        <x:f>IF(COUNT($B$129:$L$129)=11,B$129*EXP(IF(A3463&lt;0,(10-0)*A3463,-0*A3463))+C$129*EXP(IF(A3463&lt;0,(10-1)*A3463,-1*A3463))+D$129*EXP(IF(A3463&lt;0,(10-2)*A3463,-2*A3463))+E$129*EXP(IF(A3463&lt;0,(10-3)*A3463,-3*A3463))+F$129*EXP(IF(A3463&lt;0,(10-4)*A3463,-4*A3463))+G$129*EXP(IF(A3463&lt;0,(10-5)*A3463,-5*A3463))+H$129*EXP(IF(A3463&lt;0,(10-6)*A3463,-6*A3463))+I$129*EXP(IF(A3463&lt;0,(10-7)*A3463,-7*A3463))+J$129*EXP(IF(A3463&lt;0,(10-8)*A3463,-8*A3463))+K$129*EXP(IF(A3463&lt;0,(10-9)*A3463,-9*A3463))+L$129*EXP(IF(A3463&lt;0,(10-10)*A3463,-10*A3463)),0)</x:f>
        <x:v>-190011.90851262852</x:v>
      </x:c>
      <x:c r="C3463" s="256" t="n">
        <x:f>IF(B3463=0,IF(B3462=0,0,1),IF(B3462=0,0,IF(SIGN(B3463)&lt;&gt;SIGN(B3462),1,0)))</x:f>
        <x:v>0</x:v>
      </x:c>
      <x:c r="D3463" s="256" t="n">
        <x:f>EXP(A3463-0.005)-1</x:f>
        <x:v>680.9797736506962</x:v>
      </x:c>
    </x:row>
    <x:row r="3464" ht="20" customHeight="1">
      <x:c r="A3464" s="256" t="n">
        <x:f>-12+1854*0.01</x:f>
        <x:v>6.539999999999999</x:v>
      </x:c>
      <x:c r="B3464" s="256" t="n">
        <x:f>IF(COUNT($B$129:$L$129)=11,B$129*EXP(IF(A3464&lt;0,(10-0)*A3464,-0*A3464))+C$129*EXP(IF(A3464&lt;0,(10-1)*A3464,-1*A3464))+D$129*EXP(IF(A3464&lt;0,(10-2)*A3464,-2*A3464))+E$129*EXP(IF(A3464&lt;0,(10-3)*A3464,-3*A3464))+F$129*EXP(IF(A3464&lt;0,(10-4)*A3464,-4*A3464))+G$129*EXP(IF(A3464&lt;0,(10-5)*A3464,-5*A3464))+H$129*EXP(IF(A3464&lt;0,(10-6)*A3464,-6*A3464))+I$129*EXP(IF(A3464&lt;0,(10-7)*A3464,-7*A3464))+J$129*EXP(IF(A3464&lt;0,(10-8)*A3464,-8*A3464))+K$129*EXP(IF(A3464&lt;0,(10-9)*A3464,-9*A3464))+L$129*EXP(IF(A3464&lt;0,(10-10)*A3464,-10*A3464)),0)</x:f>
        <x:v>-190011.7898963033</x:v>
      </x:c>
      <x:c r="C3464" s="256" t="n">
        <x:f>IF(B3464=0,IF(B3463=0,0,1),IF(B3463=0,0,IF(SIGN(B3464)&lt;&gt;SIGN(B3463),1,0)))</x:f>
        <x:v>0</x:v>
      </x:c>
      <x:c r="D3464" s="256" t="n">
        <x:f>EXP(A3464-0.005)-1</x:f>
        <x:v>687.8337843239074</x:v>
      </x:c>
    </x:row>
    <x:row r="3465" ht="20" customHeight="1">
      <x:c r="A3465" s="256" t="n">
        <x:f>-12+1855*0.01</x:f>
        <x:v>6.550000000000001</x:v>
      </x:c>
      <x:c r="B3465" s="256" t="n">
        <x:f>IF(COUNT($B$129:$L$129)=11,B$129*EXP(IF(A3465&lt;0,(10-0)*A3465,-0*A3465))+C$129*EXP(IF(A3465&lt;0,(10-1)*A3465,-1*A3465))+D$129*EXP(IF(A3465&lt;0,(10-2)*A3465,-2*A3465))+E$129*EXP(IF(A3465&lt;0,(10-3)*A3465,-3*A3465))+F$129*EXP(IF(A3465&lt;0,(10-4)*A3465,-4*A3465))+G$129*EXP(IF(A3465&lt;0,(10-5)*A3465,-5*A3465))+H$129*EXP(IF(A3465&lt;0,(10-6)*A3465,-6*A3465))+I$129*EXP(IF(A3465&lt;0,(10-7)*A3465,-7*A3465))+J$129*EXP(IF(A3465&lt;0,(10-8)*A3465,-8*A3465))+K$129*EXP(IF(A3465&lt;0,(10-9)*A3465,-9*A3465))+L$129*EXP(IF(A3465&lt;0,(10-10)*A3465,-10*A3465)),0)</x:f>
        <x:v>-190011.67246270055</x:v>
      </x:c>
      <x:c r="C3465" s="256" t="n">
        <x:f>IF(B3465=0,IF(B3464=0,0,1),IF(B3464=0,0,IF(SIGN(B3465)&lt;&gt;SIGN(B3464),1,0)))</x:f>
        <x:v>0</x:v>
      </x:c>
      <x:c r="D3465" s="256" t="n">
        <x:f>EXP(A3465-0.005)-1</x:f>
        <x:v>694.7566789495835</x:v>
      </x:c>
    </x:row>
    <x:row r="3466" ht="20" customHeight="1">
      <x:c r="A3466" s="256" t="n">
        <x:f>-12+1856*0.01</x:f>
        <x:v>6.559999999999999</x:v>
      </x:c>
      <x:c r="B3466" s="256" t="n">
        <x:f>IF(COUNT($B$129:$L$129)=11,B$129*EXP(IF(A3466&lt;0,(10-0)*A3466,-0*A3466))+C$129*EXP(IF(A3466&lt;0,(10-1)*A3466,-1*A3466))+D$129*EXP(IF(A3466&lt;0,(10-2)*A3466,-2*A3466))+E$129*EXP(IF(A3466&lt;0,(10-3)*A3466,-3*A3466))+F$129*EXP(IF(A3466&lt;0,(10-4)*A3466,-4*A3466))+G$129*EXP(IF(A3466&lt;0,(10-5)*A3466,-5*A3466))+H$129*EXP(IF(A3466&lt;0,(10-6)*A3466,-6*A3466))+I$129*EXP(IF(A3466&lt;0,(10-7)*A3466,-7*A3466))+J$129*EXP(IF(A3466&lt;0,(10-8)*A3466,-8*A3466))+K$129*EXP(IF(A3466&lt;0,(10-9)*A3466,-9*A3466))+L$129*EXP(IF(A3466&lt;0,(10-10)*A3466,-10*A3466)),0)</x:f>
        <x:v>-190011.55620000296</x:v>
      </x:c>
      <x:c r="C3466" s="256" t="n">
        <x:f>IF(B3466=0,IF(B3465=0,0,1),IF(B3465=0,0,IF(SIGN(B3466)&lt;&gt;SIGN(B3465),1,0)))</x:f>
        <x:v>0</x:v>
      </x:c>
      <x:c r="D3466" s="256" t="n">
        <x:f>EXP(A3466-0.005)-1</x:f>
        <x:v>701.7491498229513</x:v>
      </x:c>
    </x:row>
    <x:row r="3467" ht="20" customHeight="1">
      <x:c r="A3467" s="256" t="n">
        <x:f>-12+1857*0.01</x:f>
        <x:v>6.57</x:v>
      </x:c>
      <x:c r="B3467" s="256" t="n">
        <x:f>IF(COUNT($B$129:$L$129)=11,B$129*EXP(IF(A3467&lt;0,(10-0)*A3467,-0*A3467))+C$129*EXP(IF(A3467&lt;0,(10-1)*A3467,-1*A3467))+D$129*EXP(IF(A3467&lt;0,(10-2)*A3467,-2*A3467))+E$129*EXP(IF(A3467&lt;0,(10-3)*A3467,-3*A3467))+F$129*EXP(IF(A3467&lt;0,(10-4)*A3467,-4*A3467))+G$129*EXP(IF(A3467&lt;0,(10-5)*A3467,-5*A3467))+H$129*EXP(IF(A3467&lt;0,(10-6)*A3467,-6*A3467))+I$129*EXP(IF(A3467&lt;0,(10-7)*A3467,-7*A3467))+J$129*EXP(IF(A3467&lt;0,(10-8)*A3467,-8*A3467))+K$129*EXP(IF(A3467&lt;0,(10-9)*A3467,-9*A3467))+L$129*EXP(IF(A3467&lt;0,(10-10)*A3467,-10*A3467)),0)</x:f>
        <x:v>-190011.44109651184</x:v>
      </x:c>
      <x:c r="C3467" s="256" t="n">
        <x:f>IF(B3467=0,IF(B3466=0,0,1),IF(B3466=0,0,IF(SIGN(B3467)&lt;&gt;SIGN(B3466),1,0)))</x:f>
        <x:v>0</x:v>
      </x:c>
      <x:c r="D3467" s="256" t="n">
        <x:f>EXP(A3467-0.005)-1</x:f>
        <x:v>708.8118961969301</x:v>
      </x:c>
    </x:row>
    <x:row r="3468" ht="20" customHeight="1">
      <x:c r="A3468" s="256" t="n">
        <x:f>-12+1858*0.01</x:f>
        <x:v>6.580000000000002</x:v>
      </x:c>
      <x:c r="B3468" s="256" t="n">
        <x:f>IF(COUNT($B$129:$L$129)=11,B$129*EXP(IF(A3468&lt;0,(10-0)*A3468,-0*A3468))+C$129*EXP(IF(A3468&lt;0,(10-1)*A3468,-1*A3468))+D$129*EXP(IF(A3468&lt;0,(10-2)*A3468,-2*A3468))+E$129*EXP(IF(A3468&lt;0,(10-3)*A3468,-3*A3468))+F$129*EXP(IF(A3468&lt;0,(10-4)*A3468,-4*A3468))+G$129*EXP(IF(A3468&lt;0,(10-5)*A3468,-5*A3468))+H$129*EXP(IF(A3468&lt;0,(10-6)*A3468,-6*A3468))+I$129*EXP(IF(A3468&lt;0,(10-7)*A3468,-7*A3468))+J$129*EXP(IF(A3468&lt;0,(10-8)*A3468,-8*A3468))+K$129*EXP(IF(A3468&lt;0,(10-9)*A3468,-9*A3468))+L$129*EXP(IF(A3468&lt;0,(10-10)*A3468,-10*A3468)),0)</x:f>
        <x:v>-190011.32714064582</x:v>
      </x:c>
      <x:c r="C3468" s="256" t="n">
        <x:f>IF(B3468=0,IF(B3467=0,0,1),IF(B3467=0,0,IF(SIGN(B3468)&lt;&gt;SIGN(B3467),1,0)))</x:f>
        <x:v>0</x:v>
      </x:c>
      <x:c r="D3468" s="256" t="n">
        <x:f>EXP(A3468-0.005)-1</x:f>
        <x:v>715.9456243520406</x:v>
      </x:c>
    </x:row>
    <x:row r="3469" ht="20" customHeight="1">
      <x:c r="A3469" s="256" t="n">
        <x:f>-12+1859*0.01</x:f>
        <x:v>6.59</x:v>
      </x:c>
      <x:c r="B3469" s="256" t="n">
        <x:f>IF(COUNT($B$129:$L$129)=11,B$129*EXP(IF(A3469&lt;0,(10-0)*A3469,-0*A3469))+C$129*EXP(IF(A3469&lt;0,(10-1)*A3469,-1*A3469))+D$129*EXP(IF(A3469&lt;0,(10-2)*A3469,-2*A3469))+E$129*EXP(IF(A3469&lt;0,(10-3)*A3469,-3*A3469))+F$129*EXP(IF(A3469&lt;0,(10-4)*A3469,-4*A3469))+G$129*EXP(IF(A3469&lt;0,(10-5)*A3469,-5*A3469))+H$129*EXP(IF(A3469&lt;0,(10-6)*A3469,-6*A3469))+I$129*EXP(IF(A3469&lt;0,(10-7)*A3469,-7*A3469))+J$129*EXP(IF(A3469&lt;0,(10-8)*A3469,-8*A3469))+K$129*EXP(IF(A3469&lt;0,(10-9)*A3469,-9*A3469))+L$129*EXP(IF(A3469&lt;0,(10-10)*A3469,-10*A3469)),0)</x:f>
        <x:v>-190011.21432093973</x:v>
      </x:c>
      <x:c r="C3469" s="256" t="n">
        <x:f>IF(B3469=0,IF(B3468=0,0,1),IF(B3468=0,0,IF(SIGN(B3469)&lt;&gt;SIGN(B3468),1,0)))</x:f>
        <x:v>0</x:v>
      </x:c>
      <x:c r="D3469" s="256" t="n">
        <x:f>EXP(A3469-0.005)-1</x:f>
        <x:v>723.1510476670403</x:v>
      </x:c>
    </x:row>
    <x:row r="3470" ht="20" customHeight="1">
      <x:c r="A3470" s="256" t="n">
        <x:f>-12+1860*0.01</x:f>
        <x:v>6.600000000000001</x:v>
      </x:c>
      <x:c r="B3470" s="256" t="n">
        <x:f>IF(COUNT($B$129:$L$129)=11,B$129*EXP(IF(A3470&lt;0,(10-0)*A3470,-0*A3470))+C$129*EXP(IF(A3470&lt;0,(10-1)*A3470,-1*A3470))+D$129*EXP(IF(A3470&lt;0,(10-2)*A3470,-2*A3470))+E$129*EXP(IF(A3470&lt;0,(10-3)*A3470,-3*A3470))+F$129*EXP(IF(A3470&lt;0,(10-4)*A3470,-4*A3470))+G$129*EXP(IF(A3470&lt;0,(10-5)*A3470,-5*A3470))+H$129*EXP(IF(A3470&lt;0,(10-6)*A3470,-6*A3470))+I$129*EXP(IF(A3470&lt;0,(10-7)*A3470,-7*A3470))+J$129*EXP(IF(A3470&lt;0,(10-8)*A3470,-8*A3470))+K$129*EXP(IF(A3470&lt;0,(10-9)*A3470,-9*A3470))+L$129*EXP(IF(A3470&lt;0,(10-10)*A3470,-10*A3470)),0)</x:f>
        <x:v>-190011.10262604343</x:v>
      </x:c>
      <x:c r="C3470" s="256" t="n">
        <x:f>IF(B3470=0,IF(B3469=0,0,1),IF(B3469=0,0,IF(SIGN(B3470)&lt;&gt;SIGN(B3469),1,0)))</x:f>
        <x:v>0</x:v>
      </x:c>
      <x:c r="D3470" s="256" t="n">
        <x:f>EXP(A3470-0.005)-1</x:f>
        <x:v>730.4288866902705</x:v>
      </x:c>
    </x:row>
    <x:row r="3471" ht="20" customHeight="1">
      <x:c r="A3471" s="256" t="n">
        <x:f>-12+1861*0.01</x:f>
        <x:v>6.609999999999999</x:v>
      </x:c>
      <x:c r="B3471" s="256" t="n">
        <x:f>IF(COUNT($B$129:$L$129)=11,B$129*EXP(IF(A3471&lt;0,(10-0)*A3471,-0*A3471))+C$129*EXP(IF(A3471&lt;0,(10-1)*A3471,-1*A3471))+D$129*EXP(IF(A3471&lt;0,(10-2)*A3471,-2*A3471))+E$129*EXP(IF(A3471&lt;0,(10-3)*A3471,-3*A3471))+F$129*EXP(IF(A3471&lt;0,(10-4)*A3471,-4*A3471))+G$129*EXP(IF(A3471&lt;0,(10-5)*A3471,-5*A3471))+H$129*EXP(IF(A3471&lt;0,(10-6)*A3471,-6*A3471))+I$129*EXP(IF(A3471&lt;0,(10-7)*A3471,-7*A3471))+J$129*EXP(IF(A3471&lt;0,(10-8)*A3471,-8*A3471))+K$129*EXP(IF(A3471&lt;0,(10-9)*A3471,-9*A3471))+L$129*EXP(IF(A3471&lt;0,(10-10)*A3471,-10*A3471)),0)</x:f>
        <x:v>-190010.99204472048</x:v>
      </x:c>
      <x:c r="C3471" s="256" t="n">
        <x:f>IF(B3471=0,IF(B3470=0,0,1),IF(B3470=0,0,IF(SIGN(B3471)&lt;&gt;SIGN(B3470),1,0)))</x:f>
        <x:v>0</x:v>
      </x:c>
      <x:c r="D3471" s="256" t="n">
        <x:f>EXP(A3471-0.005)-1</x:f>
        <x:v>737.7798692116933</x:v>
      </x:c>
    </x:row>
    <x:row r="3472" ht="20" customHeight="1">
      <x:c r="A3472" s="256" t="n">
        <x:f>-12+1862*0.01</x:f>
        <x:v>6.620000000000001</x:v>
      </x:c>
      <x:c r="B3472" s="256" t="n">
        <x:f>IF(COUNT($B$129:$L$129)=11,B$129*EXP(IF(A3472&lt;0,(10-0)*A3472,-0*A3472))+C$129*EXP(IF(A3472&lt;0,(10-1)*A3472,-1*A3472))+D$129*EXP(IF(A3472&lt;0,(10-2)*A3472,-2*A3472))+E$129*EXP(IF(A3472&lt;0,(10-3)*A3472,-3*A3472))+F$129*EXP(IF(A3472&lt;0,(10-4)*A3472,-4*A3472))+G$129*EXP(IF(A3472&lt;0,(10-5)*A3472,-5*A3472))+H$129*EXP(IF(A3472&lt;0,(10-6)*A3472,-6*A3472))+I$129*EXP(IF(A3472&lt;0,(10-7)*A3472,-7*A3472))+J$129*EXP(IF(A3472&lt;0,(10-8)*A3472,-8*A3472))+K$129*EXP(IF(A3472&lt;0,(10-9)*A3472,-9*A3472))+L$129*EXP(IF(A3472&lt;0,(10-10)*A3472,-10*A3472)),0)</x:f>
        <x:v>-190010.88256584725</x:v>
      </x:c>
      <x:c r="C3472" s="256" t="n">
        <x:f>IF(B3472=0,IF(B3471=0,0,1),IF(B3471=0,0,IF(SIGN(B3472)&lt;&gt;SIGN(B3471),1,0)))</x:f>
        <x:v>0</x:v>
      </x:c>
      <x:c r="D3472" s="256" t="n">
        <x:f>EXP(A3472-0.005)-1</x:f>
        <x:v>745.2047303356918</x:v>
      </x:c>
    </x:row>
    <x:row r="3473" ht="20" customHeight="1">
      <x:c r="A3473" s="256" t="n">
        <x:f>-12+1863*0.01</x:f>
        <x:v>6.629999999999999</x:v>
      </x:c>
      <x:c r="B3473" s="256" t="n">
        <x:f>IF(COUNT($B$129:$L$129)=11,B$129*EXP(IF(A3473&lt;0,(10-0)*A3473,-0*A3473))+C$129*EXP(IF(A3473&lt;0,(10-1)*A3473,-1*A3473))+D$129*EXP(IF(A3473&lt;0,(10-2)*A3473,-2*A3473))+E$129*EXP(IF(A3473&lt;0,(10-3)*A3473,-3*A3473))+F$129*EXP(IF(A3473&lt;0,(10-4)*A3473,-4*A3473))+G$129*EXP(IF(A3473&lt;0,(10-5)*A3473,-5*A3473))+H$129*EXP(IF(A3473&lt;0,(10-6)*A3473,-6*A3473))+I$129*EXP(IF(A3473&lt;0,(10-7)*A3473,-7*A3473))+J$129*EXP(IF(A3473&lt;0,(10-8)*A3473,-8*A3473))+K$129*EXP(IF(A3473&lt;0,(10-9)*A3473,-9*A3473))+L$129*EXP(IF(A3473&lt;0,(10-10)*A3473,-10*A3473)),0)</x:f>
        <x:v>-190010.77417841167</x:v>
      </x:c>
      <x:c r="C3473" s="256" t="n">
        <x:f>IF(B3473=0,IF(B3472=0,0,1),IF(B3472=0,0,IF(SIGN(B3473)&lt;&gt;SIGN(B3472),1,0)))</x:f>
        <x:v>0</x:v>
      </x:c>
      <x:c r="D3473" s="256" t="n">
        <x:f>EXP(A3473-0.005)-1</x:f>
        <x:v>752.7042125545606</x:v>
      </x:c>
    </x:row>
    <x:row r="3474" ht="20" customHeight="1">
      <x:c r="A3474" s="256" t="n">
        <x:f>-12+1864*0.01</x:f>
        <x:v>6.640000000000001</x:v>
      </x:c>
      <x:c r="B3474" s="256" t="n">
        <x:f>IF(COUNT($B$129:$L$129)=11,B$129*EXP(IF(A3474&lt;0,(10-0)*A3474,-0*A3474))+C$129*EXP(IF(A3474&lt;0,(10-1)*A3474,-1*A3474))+D$129*EXP(IF(A3474&lt;0,(10-2)*A3474,-2*A3474))+E$129*EXP(IF(A3474&lt;0,(10-3)*A3474,-3*A3474))+F$129*EXP(IF(A3474&lt;0,(10-4)*A3474,-4*A3474))+G$129*EXP(IF(A3474&lt;0,(10-5)*A3474,-5*A3474))+H$129*EXP(IF(A3474&lt;0,(10-6)*A3474,-6*A3474))+I$129*EXP(IF(A3474&lt;0,(10-7)*A3474,-7*A3474))+J$129*EXP(IF(A3474&lt;0,(10-8)*A3474,-8*A3474))+K$129*EXP(IF(A3474&lt;0,(10-9)*A3474,-9*A3474))+L$129*EXP(IF(A3474&lt;0,(10-10)*A3474,-10*A3474)),0)</x:f>
        <x:v>-190010.6668715119</x:v>
      </x:c>
      <x:c r="C3474" s="256" t="n">
        <x:f>IF(B3474=0,IF(B3473=0,0,1),IF(B3473=0,0,IF(SIGN(B3474)&lt;&gt;SIGN(B3473),1,0)))</x:f>
        <x:v>0</x:v>
      </x:c>
      <x:c r="D3474" s="256" t="n">
        <x:f>EXP(A3474-0.005)-1</x:f>
        <x:v>760.2790658227764</x:v>
      </x:c>
    </x:row>
    <x:row r="3475" ht="20" customHeight="1">
      <x:c r="A3475" s="256" t="n">
        <x:f>-12+1865*0.01</x:f>
        <x:v>6.650000000000002</x:v>
      </x:c>
      <x:c r="B3475" s="256" t="n">
        <x:f>IF(COUNT($B$129:$L$129)=11,B$129*EXP(IF(A3475&lt;0,(10-0)*A3475,-0*A3475))+C$129*EXP(IF(A3475&lt;0,(10-1)*A3475,-1*A3475))+D$129*EXP(IF(A3475&lt;0,(10-2)*A3475,-2*A3475))+E$129*EXP(IF(A3475&lt;0,(10-3)*A3475,-3*A3475))+F$129*EXP(IF(A3475&lt;0,(10-4)*A3475,-4*A3475))+G$129*EXP(IF(A3475&lt;0,(10-5)*A3475,-5*A3475))+H$129*EXP(IF(A3475&lt;0,(10-6)*A3475,-6*A3475))+I$129*EXP(IF(A3475&lt;0,(10-7)*A3475,-7*A3475))+J$129*EXP(IF(A3475&lt;0,(10-8)*A3475,-8*A3475))+K$129*EXP(IF(A3475&lt;0,(10-9)*A3475,-9*A3475))+L$129*EXP(IF(A3475&lt;0,(10-10)*A3475,-10*A3475)),0)</x:f>
        <x:v>-190010.56063435567</x:v>
      </x:c>
      <x:c r="C3475" s="256" t="n">
        <x:f>IF(B3475=0,IF(B3474=0,0,1),IF(B3474=0,0,IF(SIGN(B3475)&lt;&gt;SIGN(B3474),1,0)))</x:f>
        <x:v>0</x:v>
      </x:c>
      <x:c r="D3475" s="256" t="n">
        <x:f>EXP(A3475-0.005)-1</x:f>
        <x:v>767.9300476319759</x:v>
      </x:c>
    </x:row>
    <x:row r="3476" ht="20" customHeight="1">
      <x:c r="A3476" s="256" t="n">
        <x:f>-12+1866*0.01</x:f>
        <x:v>6.66</x:v>
      </x:c>
      <x:c r="B3476" s="256" t="n">
        <x:f>IF(COUNT($B$129:$L$129)=11,B$129*EXP(IF(A3476&lt;0,(10-0)*A3476,-0*A3476))+C$129*EXP(IF(A3476&lt;0,(10-1)*A3476,-1*A3476))+D$129*EXP(IF(A3476&lt;0,(10-2)*A3476,-2*A3476))+E$129*EXP(IF(A3476&lt;0,(10-3)*A3476,-3*A3476))+F$129*EXP(IF(A3476&lt;0,(10-4)*A3476,-4*A3476))+G$129*EXP(IF(A3476&lt;0,(10-5)*A3476,-5*A3476))+H$129*EXP(IF(A3476&lt;0,(10-6)*A3476,-6*A3476))+I$129*EXP(IF(A3476&lt;0,(10-7)*A3476,-7*A3476))+J$129*EXP(IF(A3476&lt;0,(10-8)*A3476,-8*A3476))+K$129*EXP(IF(A3476&lt;0,(10-9)*A3476,-9*A3476))+L$129*EXP(IF(A3476&lt;0,(10-10)*A3476,-10*A3476)),0)</x:f>
        <x:v>-190010.45545625873</x:v>
      </x:c>
      <x:c r="C3476" s="256" t="n">
        <x:f>IF(B3476=0,IF(B3475=0,0,1),IF(B3475=0,0,IF(SIGN(B3476)&lt;&gt;SIGN(B3475),1,0)))</x:f>
        <x:v>0</x:v>
      </x:c>
      <x:c r="D3476" s="256" t="n">
        <x:f>EXP(A3476-0.005)-1</x:f>
        <x:v>775.657923086713</x:v>
      </x:c>
    </x:row>
    <x:row r="3477" ht="20" customHeight="1">
      <x:c r="A3477" s="256" t="n">
        <x:f>-12+1867*0.01</x:f>
        <x:v>6.670000000000002</x:v>
      </x:c>
      <x:c r="B3477" s="256" t="n">
        <x:f>IF(COUNT($B$129:$L$129)=11,B$129*EXP(IF(A3477&lt;0,(10-0)*A3477,-0*A3477))+C$129*EXP(IF(A3477&lt;0,(10-1)*A3477,-1*A3477))+D$129*EXP(IF(A3477&lt;0,(10-2)*A3477,-2*A3477))+E$129*EXP(IF(A3477&lt;0,(10-3)*A3477,-3*A3477))+F$129*EXP(IF(A3477&lt;0,(10-4)*A3477,-4*A3477))+G$129*EXP(IF(A3477&lt;0,(10-5)*A3477,-5*A3477))+H$129*EXP(IF(A3477&lt;0,(10-6)*A3477,-6*A3477))+I$129*EXP(IF(A3477&lt;0,(10-7)*A3477,-7*A3477))+J$129*EXP(IF(A3477&lt;0,(10-8)*A3477,-8*A3477))+K$129*EXP(IF(A3477&lt;0,(10-9)*A3477,-9*A3477))+L$129*EXP(IF(A3477&lt;0,(10-10)*A3477,-10*A3477)),0)</x:f>
        <x:v>-190010.35132664387</x:v>
      </x:c>
      <x:c r="C3477" s="256" t="n">
        <x:f>IF(B3477=0,IF(B3476=0,0,1),IF(B3476=0,0,IF(SIGN(B3477)&lt;&gt;SIGN(B3476),1,0)))</x:f>
        <x:v>0</x:v>
      </x:c>
      <x:c r="D3477" s="256" t="n">
        <x:f>EXP(A3477-0.005)-1</x:f>
        <x:v>783.4634649809786</x:v>
      </x:c>
    </x:row>
    <x:row r="3478" ht="20" customHeight="1">
      <x:c r="A3478" s="256" t="n">
        <x:f>-12+1868*0.01</x:f>
        <x:v>6.68</x:v>
      </x:c>
      <x:c r="B3478" s="256" t="n">
        <x:f>IF(COUNT($B$129:$L$129)=11,B$129*EXP(IF(A3478&lt;0,(10-0)*A3478,-0*A3478))+C$129*EXP(IF(A3478&lt;0,(10-1)*A3478,-1*A3478))+D$129*EXP(IF(A3478&lt;0,(10-2)*A3478,-2*A3478))+E$129*EXP(IF(A3478&lt;0,(10-3)*A3478,-3*A3478))+F$129*EXP(IF(A3478&lt;0,(10-4)*A3478,-4*A3478))+G$129*EXP(IF(A3478&lt;0,(10-5)*A3478,-5*A3478))+H$129*EXP(IF(A3478&lt;0,(10-6)*A3478,-6*A3478))+I$129*EXP(IF(A3478&lt;0,(10-7)*A3478,-7*A3478))+J$129*EXP(IF(A3478&lt;0,(10-8)*A3478,-8*A3478))+K$129*EXP(IF(A3478&lt;0,(10-9)*A3478,-9*A3478))+L$129*EXP(IF(A3478&lt;0,(10-10)*A3478,-10*A3478)),0)</x:f>
        <x:v>-190010.24823504017</x:v>
      </x:c>
      <x:c r="C3478" s="256" t="n">
        <x:f>IF(B3478=0,IF(B3477=0,0,1),IF(B3477=0,0,IF(SIGN(B3478)&lt;&gt;SIGN(B3477),1,0)))</x:f>
        <x:v>0</x:v>
      </x:c>
      <x:c r="D3478" s="256" t="n">
        <x:f>EXP(A3478-0.005)-1</x:f>
        <x:v>791.3474538754613</x:v>
      </x:c>
    </x:row>
    <x:row r="3479" ht="20" customHeight="1">
      <x:c r="A3479" s="256" t="n">
        <x:f>-12+1869*0.01</x:f>
        <x:v>6.690000000000001</x:v>
      </x:c>
      <x:c r="B3479" s="256" t="n">
        <x:f>IF(COUNT($B$129:$L$129)=11,B$129*EXP(IF(A3479&lt;0,(10-0)*A3479,-0*A3479))+C$129*EXP(IF(A3479&lt;0,(10-1)*A3479,-1*A3479))+D$129*EXP(IF(A3479&lt;0,(10-2)*A3479,-2*A3479))+E$129*EXP(IF(A3479&lt;0,(10-3)*A3479,-3*A3479))+F$129*EXP(IF(A3479&lt;0,(10-4)*A3479,-4*A3479))+G$129*EXP(IF(A3479&lt;0,(10-5)*A3479,-5*A3479))+H$129*EXP(IF(A3479&lt;0,(10-6)*A3479,-6*A3479))+I$129*EXP(IF(A3479&lt;0,(10-7)*A3479,-7*A3479))+J$129*EXP(IF(A3479&lt;0,(10-8)*A3479,-8*A3479))+K$129*EXP(IF(A3479&lt;0,(10-9)*A3479,-9*A3479))+L$129*EXP(IF(A3479&lt;0,(10-10)*A3479,-10*A3479)),0)</x:f>
        <x:v>-190010.1461710814</x:v>
      </x:c>
      <x:c r="C3479" s="256" t="n">
        <x:f>IF(B3479=0,IF(B3478=0,0,1),IF(B3478=0,0,IF(SIGN(B3479)&lt;&gt;SIGN(B3478),1,0)))</x:f>
        <x:v>0</x:v>
      </x:c>
      <x:c r="D3479" s="256" t="n">
        <x:f>EXP(A3479-0.005)-1</x:f>
        <x:v>799.3106781756261</x:v>
      </x:c>
    </x:row>
    <x:row r="3480" ht="20" customHeight="1">
      <x:c r="A3480" s="256" t="n">
        <x:f>-12+1870*0.01</x:f>
        <x:v>6.699999999999999</x:v>
      </x:c>
      <x:c r="B3480" s="256" t="n">
        <x:f>IF(COUNT($B$129:$L$129)=11,B$129*EXP(IF(A3480&lt;0,(10-0)*A3480,-0*A3480))+C$129*EXP(IF(A3480&lt;0,(10-1)*A3480,-1*A3480))+D$129*EXP(IF(A3480&lt;0,(10-2)*A3480,-2*A3480))+E$129*EXP(IF(A3480&lt;0,(10-3)*A3480,-3*A3480))+F$129*EXP(IF(A3480&lt;0,(10-4)*A3480,-4*A3480))+G$129*EXP(IF(A3480&lt;0,(10-5)*A3480,-5*A3480))+H$129*EXP(IF(A3480&lt;0,(10-6)*A3480,-6*A3480))+I$129*EXP(IF(A3480&lt;0,(10-7)*A3480,-7*A3480))+J$129*EXP(IF(A3480&lt;0,(10-8)*A3480,-8*A3480))+K$129*EXP(IF(A3480&lt;0,(10-9)*A3480,-9*A3480))+L$129*EXP(IF(A3480&lt;0,(10-10)*A3480,-10*A3480)),0)</x:f>
        <x:v>-190010.0451245053</x:v>
      </x:c>
      <x:c r="C3480" s="256" t="n">
        <x:f>IF(B3480=0,IF(B3479=0,0,1),IF(B3479=0,0,IF(SIGN(B3480)&lt;&gt;SIGN(B3479),1,0)))</x:f>
        <x:v>0</x:v>
      </x:c>
      <x:c r="D3480" s="256" t="n">
        <x:f>EXP(A3480-0.005)-1</x:f>
        <x:v>807.3539342105335</x:v>
      </x:c>
    </x:row>
    <x:row r="3481" ht="20" customHeight="1">
      <x:c r="A3481" s="256" t="n">
        <x:f>-12+1871*0.01</x:f>
        <x:v>6.710000000000001</x:v>
      </x:c>
      <x:c r="B3481" s="256" t="n">
        <x:f>IF(COUNT($B$129:$L$129)=11,B$129*EXP(IF(A3481&lt;0,(10-0)*A3481,-0*A3481))+C$129*EXP(IF(A3481&lt;0,(10-1)*A3481,-1*A3481))+D$129*EXP(IF(A3481&lt;0,(10-2)*A3481,-2*A3481))+E$129*EXP(IF(A3481&lt;0,(10-3)*A3481,-3*A3481))+F$129*EXP(IF(A3481&lt;0,(10-4)*A3481,-4*A3481))+G$129*EXP(IF(A3481&lt;0,(10-5)*A3481,-5*A3481))+H$129*EXP(IF(A3481&lt;0,(10-6)*A3481,-6*A3481))+I$129*EXP(IF(A3481&lt;0,(10-7)*A3481,-7*A3481))+J$129*EXP(IF(A3481&lt;0,(10-8)*A3481,-8*A3481))+K$129*EXP(IF(A3481&lt;0,(10-9)*A3481,-9*A3481))+L$129*EXP(IF(A3481&lt;0,(10-10)*A3481,-10*A3481)),0)</x:f>
        <x:v>-190009.94508515258</x:v>
      </x:c>
      <x:c r="C3481" s="256" t="n">
        <x:f>IF(B3481=0,IF(B3480=0,0,1),IF(B3480=0,0,IF(SIGN(B3481)&lt;&gt;SIGN(B3480),1,0)))</x:f>
        <x:v>0</x:v>
      </x:c>
      <x:c r="D3481" s="256" t="n">
        <x:f>EXP(A3481-0.005)-1</x:f>
        <x:v>815.4780263124951</x:v>
      </x:c>
    </x:row>
    <x:row r="3482" ht="20" customHeight="1">
      <x:c r="A3482" s="256" t="n">
        <x:f>-12+1872*0.01</x:f>
        <x:v>6.719999999999999</x:v>
      </x:c>
      <x:c r="B3482" s="256" t="n">
        <x:f>IF(COUNT($B$129:$L$129)=11,B$129*EXP(IF(A3482&lt;0,(10-0)*A3482,-0*A3482))+C$129*EXP(IF(A3482&lt;0,(10-1)*A3482,-1*A3482))+D$129*EXP(IF(A3482&lt;0,(10-2)*A3482,-2*A3482))+E$129*EXP(IF(A3482&lt;0,(10-3)*A3482,-3*A3482))+F$129*EXP(IF(A3482&lt;0,(10-4)*A3482,-4*A3482))+G$129*EXP(IF(A3482&lt;0,(10-5)*A3482,-5*A3482))+H$129*EXP(IF(A3482&lt;0,(10-6)*A3482,-6*A3482))+I$129*EXP(IF(A3482&lt;0,(10-7)*A3482,-7*A3482))+J$129*EXP(IF(A3482&lt;0,(10-8)*A3482,-8*A3482))+K$129*EXP(IF(A3482&lt;0,(10-9)*A3482,-9*A3482))+L$129*EXP(IF(A3482&lt;0,(10-10)*A3482,-10*A3482)),0)</x:f>
        <x:v>-190009.84604296557</x:v>
      </x:c>
      <x:c r="C3482" s="256" t="n">
        <x:f>IF(B3482=0,IF(B3481=0,0,1),IF(B3481=0,0,IF(SIGN(B3482)&lt;&gt;SIGN(B3481),1,0)))</x:f>
        <x:v>0</x:v>
      </x:c>
      <x:c r="D3482" s="256" t="n">
        <x:f>EXP(A3482-0.005)-1</x:f>
        <x:v>823.6837668974858</x:v>
      </x:c>
    </x:row>
    <x:row r="3483" ht="20" customHeight="1">
      <x:c r="A3483" s="256" t="n">
        <x:f>-12+1873*0.01</x:f>
        <x:v>6.73</x:v>
      </x:c>
      <x:c r="B3483" s="256" t="n">
        <x:f>IF(COUNT($B$129:$L$129)=11,B$129*EXP(IF(A3483&lt;0,(10-0)*A3483,-0*A3483))+C$129*EXP(IF(A3483&lt;0,(10-1)*A3483,-1*A3483))+D$129*EXP(IF(A3483&lt;0,(10-2)*A3483,-2*A3483))+E$129*EXP(IF(A3483&lt;0,(10-3)*A3483,-3*A3483))+F$129*EXP(IF(A3483&lt;0,(10-4)*A3483,-4*A3483))+G$129*EXP(IF(A3483&lt;0,(10-5)*A3483,-5*A3483))+H$129*EXP(IF(A3483&lt;0,(10-6)*A3483,-6*A3483))+I$129*EXP(IF(A3483&lt;0,(10-7)*A3483,-7*A3483))+J$129*EXP(IF(A3483&lt;0,(10-8)*A3483,-8*A3483))+K$129*EXP(IF(A3483&lt;0,(10-9)*A3483,-9*A3483))+L$129*EXP(IF(A3483&lt;0,(10-10)*A3483,-10*A3483)),0)</x:f>
        <x:v>-190009.7479879875</x:v>
      </x:c>
      <x:c r="C3483" s="256" t="n">
        <x:f>IF(B3483=0,IF(B3482=0,0,1),IF(B3482=0,0,IF(SIGN(B3483)&lt;&gt;SIGN(B3482),1,0)))</x:f>
        <x:v>0</x:v>
      </x:c>
      <x:c r="D3483" s="256" t="n">
        <x:f>EXP(A3483-0.005)-1</x:f>
        <x:v>831.971976546408</x:v>
      </x:c>
    </x:row>
    <x:row r="3484" ht="20" customHeight="1">
      <x:c r="A3484" s="256" t="n">
        <x:f>-12+1874*0.01</x:f>
        <x:v>6.740000000000002</x:v>
      </x:c>
      <x:c r="B3484" s="256" t="n">
        <x:f>IF(COUNT($B$129:$L$129)=11,B$129*EXP(IF(A3484&lt;0,(10-0)*A3484,-0*A3484))+C$129*EXP(IF(A3484&lt;0,(10-1)*A3484,-1*A3484))+D$129*EXP(IF(A3484&lt;0,(10-2)*A3484,-2*A3484))+E$129*EXP(IF(A3484&lt;0,(10-3)*A3484,-3*A3484))+F$129*EXP(IF(A3484&lt;0,(10-4)*A3484,-4*A3484))+G$129*EXP(IF(A3484&lt;0,(10-5)*A3484,-5*A3484))+H$129*EXP(IF(A3484&lt;0,(10-6)*A3484,-6*A3484))+I$129*EXP(IF(A3484&lt;0,(10-7)*A3484,-7*A3484))+J$129*EXP(IF(A3484&lt;0,(10-8)*A3484,-8*A3484))+K$129*EXP(IF(A3484&lt;0,(10-9)*A3484,-9*A3484))+L$129*EXP(IF(A3484&lt;0,(10-10)*A3484,-10*A3484)),0)</x:f>
        <x:v>-190009.65091036132</x:v>
      </x:c>
      <x:c r="C3484" s="256" t="n">
        <x:f>IF(B3484=0,IF(B3483=0,0,1),IF(B3483=0,0,IF(SIGN(B3484)&lt;&gt;SIGN(B3483),1,0)))</x:f>
        <x:v>0</x:v>
      </x:c>
      <x:c r="D3484" s="256" t="n">
        <x:f>EXP(A3484-0.005)-1</x:f>
        <x:v>840.3434840871304</x:v>
      </x:c>
    </x:row>
    <x:row r="3485" ht="20" customHeight="1">
      <x:c r="A3485" s="256" t="n">
        <x:f>-12+1875*0.01</x:f>
        <x:v>6.75</x:v>
      </x:c>
      <x:c r="B3485" s="256" t="n">
        <x:f>IF(COUNT($B$129:$L$129)=11,B$129*EXP(IF(A3485&lt;0,(10-0)*A3485,-0*A3485))+C$129*EXP(IF(A3485&lt;0,(10-1)*A3485,-1*A3485))+D$129*EXP(IF(A3485&lt;0,(10-2)*A3485,-2*A3485))+E$129*EXP(IF(A3485&lt;0,(10-3)*A3485,-3*A3485))+F$129*EXP(IF(A3485&lt;0,(10-4)*A3485,-4*A3485))+G$129*EXP(IF(A3485&lt;0,(10-5)*A3485,-5*A3485))+H$129*EXP(IF(A3485&lt;0,(10-6)*A3485,-6*A3485))+I$129*EXP(IF(A3485&lt;0,(10-7)*A3485,-7*A3485))+J$129*EXP(IF(A3485&lt;0,(10-8)*A3485,-8*A3485))+K$129*EXP(IF(A3485&lt;0,(10-9)*A3485,-9*A3485))+L$129*EXP(IF(A3485&lt;0,(10-10)*A3485,-10*A3485)),0)</x:f>
        <x:v>-190009.55480032877</x:v>
      </x:c>
      <x:c r="C3485" s="256" t="n">
        <x:f>IF(B3485=0,IF(B3484=0,0,1),IF(B3484=0,0,IF(SIGN(B3485)&lt;&gt;SIGN(B3484),1,0)))</x:f>
        <x:v>0</x:v>
      </x:c>
      <x:c r="D3485" s="256" t="n">
        <x:f>EXP(A3485-0.005)-1</x:f>
        <x:v>848.7991266773804</x:v>
      </x:c>
    </x:row>
    <x:row r="3486" ht="20" customHeight="1">
      <x:c r="A3486" s="256" t="n">
        <x:f>-12+1876*0.01</x:f>
        <x:v>6.760000000000002</x:v>
      </x:c>
      <x:c r="B3486" s="256" t="n">
        <x:f>IF(COUNT($B$129:$L$129)=11,B$129*EXP(IF(A3486&lt;0,(10-0)*A3486,-0*A3486))+C$129*EXP(IF(A3486&lt;0,(10-1)*A3486,-1*A3486))+D$129*EXP(IF(A3486&lt;0,(10-2)*A3486,-2*A3486))+E$129*EXP(IF(A3486&lt;0,(10-3)*A3486,-3*A3486))+F$129*EXP(IF(A3486&lt;0,(10-4)*A3486,-4*A3486))+G$129*EXP(IF(A3486&lt;0,(10-5)*A3486,-5*A3486))+H$129*EXP(IF(A3486&lt;0,(10-6)*A3486,-6*A3486))+I$129*EXP(IF(A3486&lt;0,(10-7)*A3486,-7*A3486))+J$129*EXP(IF(A3486&lt;0,(10-8)*A3486,-8*A3486))+K$129*EXP(IF(A3486&lt;0,(10-9)*A3486,-9*A3486))+L$129*EXP(IF(A3486&lt;0,(10-10)*A3486,-10*A3486)),0)</x:f>
        <x:v>-190009.45964822927</x:v>
      </x:c>
      <x:c r="C3486" s="256" t="n">
        <x:f>IF(B3486=0,IF(B3485=0,0,1),IF(B3485=0,0,IF(SIGN(B3486)&lt;&gt;SIGN(B3485),1,0)))</x:f>
        <x:v>0</x:v>
      </x:c>
      <x:c r="D3486" s="256" t="n">
        <x:f>EXP(A3486-0.005)-1</x:f>
        <x:v>857.3397498884696</x:v>
      </x:c>
    </x:row>
    <x:row r="3487" ht="20" customHeight="1">
      <x:c r="A3487" s="256" t="n">
        <x:f>-12+1877*0.01</x:f>
        <x:v>6.77</x:v>
      </x:c>
      <x:c r="B3487" s="256" t="n">
        <x:f>IF(COUNT($B$129:$L$129)=11,B$129*EXP(IF(A3487&lt;0,(10-0)*A3487,-0*A3487))+C$129*EXP(IF(A3487&lt;0,(10-1)*A3487,-1*A3487))+D$129*EXP(IF(A3487&lt;0,(10-2)*A3487,-2*A3487))+E$129*EXP(IF(A3487&lt;0,(10-3)*A3487,-3*A3487))+F$129*EXP(IF(A3487&lt;0,(10-4)*A3487,-4*A3487))+G$129*EXP(IF(A3487&lt;0,(10-5)*A3487,-5*A3487))+H$129*EXP(IF(A3487&lt;0,(10-6)*A3487,-6*A3487))+I$129*EXP(IF(A3487&lt;0,(10-7)*A3487,-7*A3487))+J$129*EXP(IF(A3487&lt;0,(10-8)*A3487,-8*A3487))+K$129*EXP(IF(A3487&lt;0,(10-9)*A3487,-9*A3487))+L$129*EXP(IF(A3487&lt;0,(10-10)*A3487,-10*A3487)),0)</x:f>
        <x:v>-190009.3654444991</x:v>
      </x:c>
      <x:c r="C3487" s="256" t="n">
        <x:f>IF(B3487=0,IF(B3486=0,0,1),IF(B3486=0,0,IF(SIGN(B3487)&lt;&gt;SIGN(B3486),1,0)))</x:f>
        <x:v>0</x:v>
      </x:c>
      <x:c r="D3487" s="256" t="n">
        <x:f>EXP(A3487-0.005)-1</x:f>
        <x:v>865.9662077898299</x:v>
      </x:c>
    </x:row>
    <x:row r="3488" ht="20" customHeight="1">
      <x:c r="A3488" s="256" t="n">
        <x:f>-12+1878*0.01</x:f>
        <x:v>6.780000000000001</x:v>
      </x:c>
      <x:c r="B3488" s="256" t="n">
        <x:f>IF(COUNT($B$129:$L$129)=11,B$129*EXP(IF(A3488&lt;0,(10-0)*A3488,-0*A3488))+C$129*EXP(IF(A3488&lt;0,(10-1)*A3488,-1*A3488))+D$129*EXP(IF(A3488&lt;0,(10-2)*A3488,-2*A3488))+E$129*EXP(IF(A3488&lt;0,(10-3)*A3488,-3*A3488))+F$129*EXP(IF(A3488&lt;0,(10-4)*A3488,-4*A3488))+G$129*EXP(IF(A3488&lt;0,(10-5)*A3488,-5*A3488))+H$129*EXP(IF(A3488&lt;0,(10-6)*A3488,-6*A3488))+I$129*EXP(IF(A3488&lt;0,(10-7)*A3488,-7*A3488))+J$129*EXP(IF(A3488&lt;0,(10-8)*A3488,-8*A3488))+K$129*EXP(IF(A3488&lt;0,(10-9)*A3488,-9*A3488))+L$129*EXP(IF(A3488&lt;0,(10-10)*A3488,-10*A3488)),0)</x:f>
        <x:v>-190009.2721796703</x:v>
      </x:c>
      <x:c r="C3488" s="256" t="n">
        <x:f>IF(B3488=0,IF(B3487=0,0,1),IF(B3487=0,0,IF(SIGN(B3488)&lt;&gt;SIGN(B3487),1,0)))</x:f>
        <x:v>0</x:v>
      </x:c>
      <x:c r="D3488" s="256" t="n">
        <x:f>EXP(A3488-0.005)-1</x:f>
        <x:v>874.6793630344467</x:v>
      </x:c>
    </x:row>
    <x:row r="3489" ht="20" customHeight="1">
      <x:c r="A3489" s="256" t="n">
        <x:f>-12+1879*0.01</x:f>
        <x:v>6.789999999999999</x:v>
      </x:c>
      <x:c r="B3489" s="256" t="n">
        <x:f>IF(COUNT($B$129:$L$129)=11,B$129*EXP(IF(A3489&lt;0,(10-0)*A3489,-0*A3489))+C$129*EXP(IF(A3489&lt;0,(10-1)*A3489,-1*A3489))+D$129*EXP(IF(A3489&lt;0,(10-2)*A3489,-2*A3489))+E$129*EXP(IF(A3489&lt;0,(10-3)*A3489,-3*A3489))+F$129*EXP(IF(A3489&lt;0,(10-4)*A3489,-4*A3489))+G$129*EXP(IF(A3489&lt;0,(10-5)*A3489,-5*A3489))+H$129*EXP(IF(A3489&lt;0,(10-6)*A3489,-6*A3489))+I$129*EXP(IF(A3489&lt;0,(10-7)*A3489,-7*A3489))+J$129*EXP(IF(A3489&lt;0,(10-8)*A3489,-8*A3489))+K$129*EXP(IF(A3489&lt;0,(10-9)*A3489,-9*A3489))+L$129*EXP(IF(A3489&lt;0,(10-10)*A3489,-10*A3489)),0)</x:f>
        <x:v>-190009.1798443698</x:v>
      </x:c>
      <x:c r="C3489" s="256" t="n">
        <x:f>IF(B3489=0,IF(B3488=0,0,1),IF(B3488=0,0,IF(SIGN(B3489)&lt;&gt;SIGN(B3488),1,0)))</x:f>
        <x:v>0</x:v>
      </x:c>
      <x:c r="D3489" s="256" t="n">
        <x:f>EXP(A3489-0.005)-1</x:f>
        <x:v>883.480086945099</x:v>
      </x:c>
    </x:row>
    <x:row r="3490" ht="20" customHeight="1">
      <x:c r="A3490" s="256" t="n">
        <x:f>-12+1880*0.01</x:f>
        <x:v>6.800000000000001</x:v>
      </x:c>
      <x:c r="B3490" s="256" t="n">
        <x:f>IF(COUNT($B$129:$L$129)=11,B$129*EXP(IF(A3490&lt;0,(10-0)*A3490,-0*A3490))+C$129*EXP(IF(A3490&lt;0,(10-1)*A3490,-1*A3490))+D$129*EXP(IF(A3490&lt;0,(10-2)*A3490,-2*A3490))+E$129*EXP(IF(A3490&lt;0,(10-3)*A3490,-3*A3490))+F$129*EXP(IF(A3490&lt;0,(10-4)*A3490,-4*A3490))+G$129*EXP(IF(A3490&lt;0,(10-5)*A3490,-5*A3490))+H$129*EXP(IF(A3490&lt;0,(10-6)*A3490,-6*A3490))+I$129*EXP(IF(A3490&lt;0,(10-7)*A3490,-7*A3490))+J$129*EXP(IF(A3490&lt;0,(10-8)*A3490,-8*A3490))+K$129*EXP(IF(A3490&lt;0,(10-9)*A3490,-9*A3490))+L$129*EXP(IF(A3490&lt;0,(10-10)*A3490,-10*A3490)),0)</x:f>
        <x:v>-190009.08842931833</x:v>
      </x:c>
      <x:c r="C3490" s="256" t="n">
        <x:f>IF(B3490=0,IF(B3489=0,0,1),IF(B3489=0,0,IF(SIGN(B3490)&lt;&gt;SIGN(B3489),1,0)))</x:f>
        <x:v>0</x:v>
      </x:c>
      <x:c r="D3490" s="256" t="n">
        <x:f>EXP(A3490-0.005)-1</x:f>
        <x:v>892.3692596015181</x:v>
      </x:c>
    </x:row>
    <x:row r="3491" ht="20" customHeight="1">
      <x:c r="A3491" s="256" t="n">
        <x:f>-12+1881*0.01</x:f>
        <x:v>6.809999999999999</x:v>
      </x:c>
      <x:c r="B3491" s="256" t="n">
        <x:f>IF(COUNT($B$129:$L$129)=11,B$129*EXP(IF(A3491&lt;0,(10-0)*A3491,-0*A3491))+C$129*EXP(IF(A3491&lt;0,(10-1)*A3491,-1*A3491))+D$129*EXP(IF(A3491&lt;0,(10-2)*A3491,-2*A3491))+E$129*EXP(IF(A3491&lt;0,(10-3)*A3491,-3*A3491))+F$129*EXP(IF(A3491&lt;0,(10-4)*A3491,-4*A3491))+G$129*EXP(IF(A3491&lt;0,(10-5)*A3491,-5*A3491))+H$129*EXP(IF(A3491&lt;0,(10-6)*A3491,-6*A3491))+I$129*EXP(IF(A3491&lt;0,(10-7)*A3491,-7*A3491))+J$129*EXP(IF(A3491&lt;0,(10-8)*A3491,-8*A3491))+K$129*EXP(IF(A3491&lt;0,(10-9)*A3491,-9*A3491))+L$129*EXP(IF(A3491&lt;0,(10-10)*A3491,-10*A3491)),0)</x:f>
        <x:v>-190008.99792532952</x:v>
      </x:c>
      <x:c r="C3491" s="256" t="n">
        <x:f>IF(B3491=0,IF(B3490=0,0,1),IF(B3490=0,0,IF(SIGN(B3491)&lt;&gt;SIGN(B3490),1,0)))</x:f>
        <x:v>0</x:v>
      </x:c>
      <x:c r="D3491" s="256" t="n">
        <x:f>EXP(A3491-0.005)-1</x:f>
        <x:v>901.3477699283711</x:v>
      </x:c>
    </x:row>
    <x:row r="3492" ht="20" customHeight="1">
      <x:c r="A3492" s="256" t="n">
        <x:f>-12+1882*0.01</x:f>
        <x:v>6.82</x:v>
      </x:c>
      <x:c r="B3492" s="256" t="n">
        <x:f>IF(COUNT($B$129:$L$129)=11,B$129*EXP(IF(A3492&lt;0,(10-0)*A3492,-0*A3492))+C$129*EXP(IF(A3492&lt;0,(10-1)*A3492,-1*A3492))+D$129*EXP(IF(A3492&lt;0,(10-2)*A3492,-2*A3492))+E$129*EXP(IF(A3492&lt;0,(10-3)*A3492,-3*A3492))+F$129*EXP(IF(A3492&lt;0,(10-4)*A3492,-4*A3492))+G$129*EXP(IF(A3492&lt;0,(10-5)*A3492,-5*A3492))+H$129*EXP(IF(A3492&lt;0,(10-6)*A3492,-6*A3492))+I$129*EXP(IF(A3492&lt;0,(10-7)*A3492,-7*A3492))+J$129*EXP(IF(A3492&lt;0,(10-8)*A3492,-8*A3492))+K$129*EXP(IF(A3492&lt;0,(10-9)*A3492,-9*A3492))+L$129*EXP(IF(A3492&lt;0,(10-10)*A3492,-10*A3492)),0)</x:f>
        <x:v>-190008.9083233091</x:v>
      </x:c>
      <x:c r="C3492" s="256" t="n">
        <x:f>IF(B3492=0,IF(B3491=0,0,1),IF(B3491=0,0,IF(SIGN(B3492)&lt;&gt;SIGN(B3491),1,0)))</x:f>
        <x:v>0</x:v>
      </x:c>
      <x:c r="D3492" s="256" t="n">
        <x:f>EXP(A3492-0.005)-1</x:f>
        <x:v>910.4165157841791</x:v>
      </x:c>
    </x:row>
    <x:row r="3493" ht="20" customHeight="1">
      <x:c r="A3493" s="256" t="n">
        <x:f>-12+1883*0.01</x:f>
        <x:v>6.830000000000002</x:v>
      </x:c>
      <x:c r="B3493" s="256" t="n">
        <x:f>IF(COUNT($B$129:$L$129)=11,B$129*EXP(IF(A3493&lt;0,(10-0)*A3493,-0*A3493))+C$129*EXP(IF(A3493&lt;0,(10-1)*A3493,-1*A3493))+D$129*EXP(IF(A3493&lt;0,(10-2)*A3493,-2*A3493))+E$129*EXP(IF(A3493&lt;0,(10-3)*A3493,-3*A3493))+F$129*EXP(IF(A3493&lt;0,(10-4)*A3493,-4*A3493))+G$129*EXP(IF(A3493&lt;0,(10-5)*A3493,-5*A3493))+H$129*EXP(IF(A3493&lt;0,(10-6)*A3493,-6*A3493))+I$129*EXP(IF(A3493&lt;0,(10-7)*A3493,-7*A3493))+J$129*EXP(IF(A3493&lt;0,(10-8)*A3493,-8*A3493))+K$129*EXP(IF(A3493&lt;0,(10-9)*A3493,-9*A3493))+L$129*EXP(IF(A3493&lt;0,(10-10)*A3493,-10*A3493)),0)</x:f>
        <x:v>-190008.81961425385</x:v>
      </x:c>
      <x:c r="C3493" s="256" t="n">
        <x:f>IF(B3493=0,IF(B3492=0,0,1),IF(B3492=0,0,IF(SIGN(B3493)&lt;&gt;SIGN(B3492),1,0)))</x:f>
        <x:v>0</x:v>
      </x:c>
      <x:c r="D3493" s="256" t="n">
        <x:f>EXP(A3493-0.005)-1</x:f>
        <x:v>919.5764040510818</x:v>
      </x:c>
    </x:row>
    <x:row r="3494" ht="20" customHeight="1">
      <x:c r="A3494" s="256" t="n">
        <x:f>-12+1884*0.01</x:f>
        <x:v>6.84</x:v>
      </x:c>
      <x:c r="B3494" s="256" t="n">
        <x:f>IF(COUNT($B$129:$L$129)=11,B$129*EXP(IF(A3494&lt;0,(10-0)*A3494,-0*A3494))+C$129*EXP(IF(A3494&lt;0,(10-1)*A3494,-1*A3494))+D$129*EXP(IF(A3494&lt;0,(10-2)*A3494,-2*A3494))+E$129*EXP(IF(A3494&lt;0,(10-3)*A3494,-3*A3494))+F$129*EXP(IF(A3494&lt;0,(10-4)*A3494,-4*A3494))+G$129*EXP(IF(A3494&lt;0,(10-5)*A3494,-5*A3494))+H$129*EXP(IF(A3494&lt;0,(10-6)*A3494,-6*A3494))+I$129*EXP(IF(A3494&lt;0,(10-7)*A3494,-7*A3494))+J$129*EXP(IF(A3494&lt;0,(10-8)*A3494,-8*A3494))+K$129*EXP(IF(A3494&lt;0,(10-9)*A3494,-9*A3494))+L$129*EXP(IF(A3494&lt;0,(10-10)*A3494,-10*A3494)),0)</x:f>
        <x:v>-190008.73178925063</x:v>
      </x:c>
      <x:c r="C3494" s="256" t="n">
        <x:f>IF(B3494=0,IF(B3493=0,0,1),IF(B3493=0,0,IF(SIGN(B3494)&lt;&gt;SIGN(B3493),1,0)))</x:f>
        <x:v>0</x:v>
      </x:c>
      <x:c r="D3494" s="256" t="n">
        <x:f>EXP(A3494-0.005)-1</x:f>
        <x:v>928.828350725536</x:v>
      </x:c>
    </x:row>
    <x:row r="3495" ht="20" customHeight="1">
      <x:c r="A3495" s="256" t="n">
        <x:f>-12+1885*0.01</x:f>
        <x:v>6.850000000000001</x:v>
      </x:c>
      <x:c r="B3495" s="256" t="n">
        <x:f>IF(COUNT($B$129:$L$129)=11,B$129*EXP(IF(A3495&lt;0,(10-0)*A3495,-0*A3495))+C$129*EXP(IF(A3495&lt;0,(10-1)*A3495,-1*A3495))+D$129*EXP(IF(A3495&lt;0,(10-2)*A3495,-2*A3495))+E$129*EXP(IF(A3495&lt;0,(10-3)*A3495,-3*A3495))+F$129*EXP(IF(A3495&lt;0,(10-4)*A3495,-4*A3495))+G$129*EXP(IF(A3495&lt;0,(10-5)*A3495,-5*A3495))+H$129*EXP(IF(A3495&lt;0,(10-6)*A3495,-6*A3495))+I$129*EXP(IF(A3495&lt;0,(10-7)*A3495,-7*A3495))+J$129*EXP(IF(A3495&lt;0,(10-8)*A3495,-8*A3495))+K$129*EXP(IF(A3495&lt;0,(10-9)*A3495,-9*A3495))+L$129*EXP(IF(A3495&lt;0,(10-10)*A3495,-10*A3495)),0)</x:f>
        <x:v>-190008.6448394756</x:v>
      </x:c>
      <x:c r="C3495" s="256" t="n">
        <x:f>IF(B3495=0,IF(B3494=0,0,1),IF(B3494=0,0,IF(SIGN(B3495)&lt;&gt;SIGN(B3494),1,0)))</x:f>
        <x:v>0</x:v>
      </x:c>
      <x:c r="D3495" s="256" t="n">
        <x:f>EXP(A3495-0.005)-1</x:f>
        <x:v>938.1732810099255</x:v>
      </x:c>
    </x:row>
    <x:row r="3496" ht="20" customHeight="1">
      <x:c r="A3496" s="256" t="n">
        <x:f>-12+1886*0.01</x:f>
        <x:v>6.859999999999999</x:v>
      </x:c>
      <x:c r="B3496" s="256" t="n">
        <x:f>IF(COUNT($B$129:$L$129)=11,B$129*EXP(IF(A3496&lt;0,(10-0)*A3496,-0*A3496))+C$129*EXP(IF(A3496&lt;0,(10-1)*A3496,-1*A3496))+D$129*EXP(IF(A3496&lt;0,(10-2)*A3496,-2*A3496))+E$129*EXP(IF(A3496&lt;0,(10-3)*A3496,-3*A3496))+F$129*EXP(IF(A3496&lt;0,(10-4)*A3496,-4*A3496))+G$129*EXP(IF(A3496&lt;0,(10-5)*A3496,-5*A3496))+H$129*EXP(IF(A3496&lt;0,(10-6)*A3496,-6*A3496))+I$129*EXP(IF(A3496&lt;0,(10-7)*A3496,-7*A3496))+J$129*EXP(IF(A3496&lt;0,(10-8)*A3496,-8*A3496))+K$129*EXP(IF(A3496&lt;0,(10-9)*A3496,-9*A3496))+L$129*EXP(IF(A3496&lt;0,(10-10)*A3496,-10*A3496)),0)</x:f>
        <x:v>-190008.5587561932</x:v>
      </x:c>
      <x:c r="C3496" s="256" t="n">
        <x:f>IF(B3496=0,IF(B3495=0,0,1),IF(B3495=0,0,IF(SIGN(B3496)&lt;&gt;SIGN(B3495),1,0)))</x:f>
        <x:v>0</x:v>
      </x:c>
      <x:c r="D3496" s="256" t="n">
        <x:f>EXP(A3496-0.005)-1</x:f>
        <x:v>947.6121294050597</x:v>
      </x:c>
    </x:row>
    <x:row r="3497" ht="20" customHeight="1">
      <x:c r="A3497" s="256" t="n">
        <x:f>-12+1887*0.01</x:f>
        <x:v>6.870000000000001</x:v>
      </x:c>
      <x:c r="B3497" s="256" t="n">
        <x:f>IF(COUNT($B$129:$L$129)=11,B$129*EXP(IF(A3497&lt;0,(10-0)*A3497,-0*A3497))+C$129*EXP(IF(A3497&lt;0,(10-1)*A3497,-1*A3497))+D$129*EXP(IF(A3497&lt;0,(10-2)*A3497,-2*A3497))+E$129*EXP(IF(A3497&lt;0,(10-3)*A3497,-3*A3497))+F$129*EXP(IF(A3497&lt;0,(10-4)*A3497,-4*A3497))+G$129*EXP(IF(A3497&lt;0,(10-5)*A3497,-5*A3497))+H$129*EXP(IF(A3497&lt;0,(10-6)*A3497,-6*A3497))+I$129*EXP(IF(A3497&lt;0,(10-7)*A3497,-7*A3497))+J$129*EXP(IF(A3497&lt;0,(10-8)*A3497,-8*A3497))+K$129*EXP(IF(A3497&lt;0,(10-9)*A3497,-9*A3497))+L$129*EXP(IF(A3497&lt;0,(10-10)*A3497,-10*A3497)),0)</x:f>
        <x:v>-190008.47353075538</x:v>
      </x:c>
      <x:c r="C3497" s="256" t="n">
        <x:f>IF(B3497=0,IF(B3496=0,0,1),IF(B3496=0,0,IF(SIGN(B3497)&lt;&gt;SIGN(B3496),1,0)))</x:f>
        <x:v>0</x:v>
      </x:c>
      <x:c r="D3497" s="256" t="n">
        <x:f>EXP(A3497-0.005)-1</x:f>
        <x:v>957.1458398036505</x:v>
      </x:c>
    </x:row>
    <x:row r="3498" ht="20" customHeight="1">
      <x:c r="A3498" s="256" t="n">
        <x:f>-12+1888*0.01</x:f>
        <x:v>6.879999999999999</x:v>
      </x:c>
      <x:c r="B3498" s="256" t="n">
        <x:f>IF(COUNT($B$129:$L$129)=11,B$129*EXP(IF(A3498&lt;0,(10-0)*A3498,-0*A3498))+C$129*EXP(IF(A3498&lt;0,(10-1)*A3498,-1*A3498))+D$129*EXP(IF(A3498&lt;0,(10-2)*A3498,-2*A3498))+E$129*EXP(IF(A3498&lt;0,(10-3)*A3498,-3*A3498))+F$129*EXP(IF(A3498&lt;0,(10-4)*A3498,-4*A3498))+G$129*EXP(IF(A3498&lt;0,(10-5)*A3498,-5*A3498))+H$129*EXP(IF(A3498&lt;0,(10-6)*A3498,-6*A3498))+I$129*EXP(IF(A3498&lt;0,(10-7)*A3498,-7*A3498))+J$129*EXP(IF(A3498&lt;0,(10-8)*A3498,-8*A3498))+K$129*EXP(IF(A3498&lt;0,(10-9)*A3498,-9*A3498))+L$129*EXP(IF(A3498&lt;0,(10-10)*A3498,-10*A3498)),0)</x:f>
        <x:v>-190008.38915460065</x:v>
      </x:c>
      <x:c r="C3498" s="256" t="n">
        <x:f>IF(B3498=0,IF(B3497=0,0,1),IF(B3497=0,0,IF(SIGN(B3498)&lt;&gt;SIGN(B3497),1,0)))</x:f>
        <x:v>0</x:v>
      </x:c>
      <x:c r="D3498" s="256" t="n">
        <x:f>EXP(A3498-0.005)-1</x:f>
        <x:v>966.7753655846758</x:v>
      </x:c>
    </x:row>
    <x:row r="3499" ht="20" customHeight="1">
      <x:c r="A3499" s="256" t="n">
        <x:f>-12+1889*0.01</x:f>
        <x:v>6.890000000000001</x:v>
      </x:c>
      <x:c r="B3499" s="256" t="n">
        <x:f>IF(COUNT($B$129:$L$129)=11,B$129*EXP(IF(A3499&lt;0,(10-0)*A3499,-0*A3499))+C$129*EXP(IF(A3499&lt;0,(10-1)*A3499,-1*A3499))+D$129*EXP(IF(A3499&lt;0,(10-2)*A3499,-2*A3499))+E$129*EXP(IF(A3499&lt;0,(10-3)*A3499,-3*A3499))+F$129*EXP(IF(A3499&lt;0,(10-4)*A3499,-4*A3499))+G$129*EXP(IF(A3499&lt;0,(10-5)*A3499,-5*A3499))+H$129*EXP(IF(A3499&lt;0,(10-6)*A3499,-6*A3499))+I$129*EXP(IF(A3499&lt;0,(10-7)*A3499,-7*A3499))+J$129*EXP(IF(A3499&lt;0,(10-8)*A3499,-8*A3499))+K$129*EXP(IF(A3499&lt;0,(10-9)*A3499,-9*A3499))+L$129*EXP(IF(A3499&lt;0,(10-10)*A3499,-10*A3499)),0)</x:f>
        <x:v>-190008.30561925325</x:v>
      </x:c>
      <x:c r="C3499" s="256" t="n">
        <x:f>IF(B3499=0,IF(B3498=0,0,1),IF(B3498=0,0,IF(SIGN(B3499)&lt;&gt;SIGN(B3498),1,0)))</x:f>
        <x:v>0</x:v>
      </x:c>
      <x:c r="D3499" s="256" t="n">
        <x:f>EXP(A3499-0.005)-1</x:f>
        <x:v>976.5016697087451</x:v>
      </x:c>
    </x:row>
    <x:row r="3500" ht="20" customHeight="1">
      <x:c r="A3500" s="256" t="n">
        <x:f>-12+1890*0.01</x:f>
        <x:v>6.900000000000002</x:v>
      </x:c>
      <x:c r="B3500" s="256" t="n">
        <x:f>IF(COUNT($B$129:$L$129)=11,B$129*EXP(IF(A3500&lt;0,(10-0)*A3500,-0*A3500))+C$129*EXP(IF(A3500&lt;0,(10-1)*A3500,-1*A3500))+D$129*EXP(IF(A3500&lt;0,(10-2)*A3500,-2*A3500))+E$129*EXP(IF(A3500&lt;0,(10-3)*A3500,-3*A3500))+F$129*EXP(IF(A3500&lt;0,(10-4)*A3500,-4*A3500))+G$129*EXP(IF(A3500&lt;0,(10-5)*A3500,-5*A3500))+H$129*EXP(IF(A3500&lt;0,(10-6)*A3500,-6*A3500))+I$129*EXP(IF(A3500&lt;0,(10-7)*A3500,-7*A3500))+J$129*EXP(IF(A3500&lt;0,(10-8)*A3500,-8*A3500))+K$129*EXP(IF(A3500&lt;0,(10-9)*A3500,-9*A3500))+L$129*EXP(IF(A3500&lt;0,(10-10)*A3500,-10*A3500)),0)</x:f>
        <x:v>-190008.2229163222</x:v>
      </x:c>
      <x:c r="C3500" s="256" t="n">
        <x:f>IF(B3500=0,IF(B3499=0,0,1),IF(B3499=0,0,IF(SIGN(B3500)&lt;&gt;SIGN(B3499),1,0)))</x:f>
        <x:v>0</x:v>
      </x:c>
      <x:c r="D3500" s="256" t="n">
        <x:f>EXP(A3500-0.005)-1</x:f>
        <x:v>986.3257248143727</x:v>
      </x:c>
    </x:row>
    <x:row r="3501" ht="20" customHeight="1">
      <x:c r="A3501" s="256" t="n">
        <x:f>-12+1891*0.01</x:f>
        <x:v>6.91</x:v>
      </x:c>
      <x:c r="B3501" s="256" t="n">
        <x:f>IF(COUNT($B$129:$L$129)=11,B$129*EXP(IF(A3501&lt;0,(10-0)*A3501,-0*A3501))+C$129*EXP(IF(A3501&lt;0,(10-1)*A3501,-1*A3501))+D$129*EXP(IF(A3501&lt;0,(10-2)*A3501,-2*A3501))+E$129*EXP(IF(A3501&lt;0,(10-3)*A3501,-3*A3501))+F$129*EXP(IF(A3501&lt;0,(10-4)*A3501,-4*A3501))+G$129*EXP(IF(A3501&lt;0,(10-5)*A3501,-5*A3501))+H$129*EXP(IF(A3501&lt;0,(10-6)*A3501,-6*A3501))+I$129*EXP(IF(A3501&lt;0,(10-7)*A3501,-7*A3501))+J$129*EXP(IF(A3501&lt;0,(10-8)*A3501,-8*A3501))+K$129*EXP(IF(A3501&lt;0,(10-9)*A3501,-9*A3501))+L$129*EXP(IF(A3501&lt;0,(10-10)*A3501,-10*A3501)),0)</x:f>
        <x:v>-190008.14103750052</x:v>
      </x:c>
      <x:c r="C3501" s="256" t="n">
        <x:f>IF(B3501=0,IF(B3500=0,0,1),IF(B3500=0,0,IF(SIGN(B3501)&lt;&gt;SIGN(B3500),1,0)))</x:f>
        <x:v>0</x:v>
      </x:c>
      <x:c r="D3501" s="256" t="n">
        <x:f>EXP(A3501-0.005)-1</x:f>
        <x:v>996.2485133152526</x:v>
      </x:c>
    </x:row>
    <x:row r="3502" ht="20" customHeight="1">
      <x:c r="A3502" s="256" t="n">
        <x:f>-12+1892*0.01</x:f>
        <x:v>6.920000000000002</x:v>
      </x:c>
      <x:c r="B3502" s="256" t="n">
        <x:f>IF(COUNT($B$129:$L$129)=11,B$129*EXP(IF(A3502&lt;0,(10-0)*A3502,-0*A3502))+C$129*EXP(IF(A3502&lt;0,(10-1)*A3502,-1*A3502))+D$129*EXP(IF(A3502&lt;0,(10-2)*A3502,-2*A3502))+E$129*EXP(IF(A3502&lt;0,(10-3)*A3502,-3*A3502))+F$129*EXP(IF(A3502&lt;0,(10-4)*A3502,-4*A3502))+G$129*EXP(IF(A3502&lt;0,(10-5)*A3502,-5*A3502))+H$129*EXP(IF(A3502&lt;0,(10-6)*A3502,-6*A3502))+I$129*EXP(IF(A3502&lt;0,(10-7)*A3502,-7*A3502))+J$129*EXP(IF(A3502&lt;0,(10-8)*A3502,-8*A3502))+K$129*EXP(IF(A3502&lt;0,(10-9)*A3502,-9*A3502))+L$129*EXP(IF(A3502&lt;0,(10-10)*A3502,-10*A3502)),0)</x:f>
        <x:v>-190008.05997456436</x:v>
      </x:c>
      <x:c r="C3502" s="256" t="n">
        <x:f>IF(B3502=0,IF(B3501=0,0,1),IF(B3501=0,0,IF(SIGN(B3502)&lt;&gt;SIGN(B3501),1,0)))</x:f>
        <x:v>0</x:v>
      </x:c>
      <x:c r="D3502" s="256" t="n">
        <x:f>EXP(A3502-0.005)-1</x:f>
        <x:v>1006.2710274985106</x:v>
      </x:c>
    </x:row>
    <x:row r="3503" ht="20" customHeight="1">
      <x:c r="A3503" s="256" t="n">
        <x:f>-12+1893*0.01</x:f>
        <x:v>6.93</x:v>
      </x:c>
      <x:c r="B3503" s="256" t="n">
        <x:f>IF(COUNT($B$129:$L$129)=11,B$129*EXP(IF(A3503&lt;0,(10-0)*A3503,-0*A3503))+C$129*EXP(IF(A3503&lt;0,(10-1)*A3503,-1*A3503))+D$129*EXP(IF(A3503&lt;0,(10-2)*A3503,-2*A3503))+E$129*EXP(IF(A3503&lt;0,(10-3)*A3503,-3*A3503))+F$129*EXP(IF(A3503&lt;0,(10-4)*A3503,-4*A3503))+G$129*EXP(IF(A3503&lt;0,(10-5)*A3503,-5*A3503))+H$129*EXP(IF(A3503&lt;0,(10-6)*A3503,-6*A3503))+I$129*EXP(IF(A3503&lt;0,(10-7)*A3503,-7*A3503))+J$129*EXP(IF(A3503&lt;0,(10-8)*A3503,-8*A3503))+K$129*EXP(IF(A3503&lt;0,(10-9)*A3503,-9*A3503))+L$129*EXP(IF(A3503&lt;0,(10-10)*A3503,-10*A3503)),0)</x:f>
        <x:v>-190007.97971937218</x:v>
      </x:c>
      <x:c r="C3503" s="256" t="n">
        <x:f>IF(B3503=0,IF(B3502=0,0,1),IF(B3502=0,0,IF(SIGN(B3503)&lt;&gt;SIGN(B3502),1,0)))</x:f>
        <x:v>0</x:v>
      </x:c>
      <x:c r="D3503" s="256" t="n">
        <x:f>EXP(A3503-0.005)-1</x:f>
        <x:v>1016.3942696239103</x:v>
      </x:c>
    </x:row>
    <x:row r="3504" ht="20" customHeight="1">
      <x:c r="A3504" s="256" t="n">
        <x:f>-12+1894*0.01</x:f>
        <x:v>6.940000000000001</x:v>
      </x:c>
      <x:c r="B3504" s="256" t="n">
        <x:f>IF(COUNT($B$129:$L$129)=11,B$129*EXP(IF(A3504&lt;0,(10-0)*A3504,-0*A3504))+C$129*EXP(IF(A3504&lt;0,(10-1)*A3504,-1*A3504))+D$129*EXP(IF(A3504&lt;0,(10-2)*A3504,-2*A3504))+E$129*EXP(IF(A3504&lt;0,(10-3)*A3504,-3*A3504))+F$129*EXP(IF(A3504&lt;0,(10-4)*A3504,-4*A3504))+G$129*EXP(IF(A3504&lt;0,(10-5)*A3504,-5*A3504))+H$129*EXP(IF(A3504&lt;0,(10-6)*A3504,-6*A3504))+I$129*EXP(IF(A3504&lt;0,(10-7)*A3504,-7*A3504))+J$129*EXP(IF(A3504&lt;0,(10-8)*A3504,-8*A3504))+K$129*EXP(IF(A3504&lt;0,(10-9)*A3504,-9*A3504))+L$129*EXP(IF(A3504&lt;0,(10-10)*A3504,-10*A3504)),0)</x:f>
        <x:v>-190007.90026386394</x:v>
      </x:c>
      <x:c r="C3504" s="256" t="n">
        <x:f>IF(B3504=0,IF(B3503=0,0,1),IF(B3503=0,0,IF(SIGN(B3504)&lt;&gt;SIGN(B3503),1,0)))</x:f>
        <x:v>0</x:v>
      </x:c>
      <x:c r="D3504" s="256" t="n">
        <x:f>EXP(A3504-0.005)-1</x:f>
        <x:v>1026.6192520241073</x:v>
      </x:c>
    </x:row>
    <x:row r="3505" ht="20" customHeight="1">
      <x:c r="A3505" s="256" t="n">
        <x:f>-12+1895*0.01</x:f>
        <x:v>6.949999999999999</x:v>
      </x:c>
      <x:c r="B3505" s="256" t="n">
        <x:f>IF(COUNT($B$129:$L$129)=11,B$129*EXP(IF(A3505&lt;0,(10-0)*A3505,-0*A3505))+C$129*EXP(IF(A3505&lt;0,(10-1)*A3505,-1*A3505))+D$129*EXP(IF(A3505&lt;0,(10-2)*A3505,-2*A3505))+E$129*EXP(IF(A3505&lt;0,(10-3)*A3505,-3*A3505))+F$129*EXP(IF(A3505&lt;0,(10-4)*A3505,-4*A3505))+G$129*EXP(IF(A3505&lt;0,(10-5)*A3505,-5*A3505))+H$129*EXP(IF(A3505&lt;0,(10-6)*A3505,-6*A3505))+I$129*EXP(IF(A3505&lt;0,(10-7)*A3505,-7*A3505))+J$129*EXP(IF(A3505&lt;0,(10-8)*A3505,-8*A3505))+K$129*EXP(IF(A3505&lt;0,(10-9)*A3505,-9*A3505))+L$129*EXP(IF(A3505&lt;0,(10-10)*A3505,-10*A3505)),0)</x:f>
        <x:v>-190007.82160006024</x:v>
      </x:c>
      <x:c r="C3505" s="256" t="n">
        <x:f>IF(B3505=0,IF(B3504=0,0,1),IF(B3504=0,0,IF(SIGN(B3505)&lt;&gt;SIGN(B3504),1,0)))</x:f>
        <x:v>0</x:v>
      </x:c>
      <x:c r="D3505" s="256" t="n">
        <x:f>EXP(A3505-0.005)-1</x:f>
        <x:v>1036.9469972058553</x:v>
      </x:c>
    </x:row>
    <x:row r="3506" ht="20" customHeight="1">
      <x:c r="A3506" s="256" t="n">
        <x:f>-12+1896*0.01</x:f>
        <x:v>6.960000000000001</x:v>
      </x:c>
      <x:c r="B3506" s="256" t="n">
        <x:f>IF(COUNT($B$129:$L$129)=11,B$129*EXP(IF(A3506&lt;0,(10-0)*A3506,-0*A3506))+C$129*EXP(IF(A3506&lt;0,(10-1)*A3506,-1*A3506))+D$129*EXP(IF(A3506&lt;0,(10-2)*A3506,-2*A3506))+E$129*EXP(IF(A3506&lt;0,(10-3)*A3506,-3*A3506))+F$129*EXP(IF(A3506&lt;0,(10-4)*A3506,-4*A3506))+G$129*EXP(IF(A3506&lt;0,(10-5)*A3506,-5*A3506))+H$129*EXP(IF(A3506&lt;0,(10-6)*A3506,-6*A3506))+I$129*EXP(IF(A3506&lt;0,(10-7)*A3506,-7*A3506))+J$129*EXP(IF(A3506&lt;0,(10-8)*A3506,-8*A3506))+K$129*EXP(IF(A3506&lt;0,(10-9)*A3506,-9*A3506))+L$129*EXP(IF(A3506&lt;0,(10-10)*A3506,-10*A3506)),0)</x:f>
        <x:v>-190007.74372006144</x:v>
      </x:c>
      <x:c r="C3506" s="256" t="n">
        <x:f>IF(B3506=0,IF(B3505=0,0,1),IF(B3505=0,0,IF(SIGN(B3506)&lt;&gt;SIGN(B3505),1,0)))</x:f>
        <x:v>0</x:v>
      </x:c>
      <x:c r="D3506" s="256" t="n">
        <x:f>EXP(A3506-0.005)-1</x:f>
        <x:v>1047.3785379522863</x:v>
      </x:c>
    </x:row>
    <x:row r="3507" ht="20" customHeight="1">
      <x:c r="A3507" s="256" t="n">
        <x:f>-12+1897*0.01</x:f>
        <x:v>6.969999999999999</x:v>
      </x:c>
      <x:c r="B3507" s="256" t="n">
        <x:f>IF(COUNT($B$129:$L$129)=11,B$129*EXP(IF(A3507&lt;0,(10-0)*A3507,-0*A3507))+C$129*EXP(IF(A3507&lt;0,(10-1)*A3507,-1*A3507))+D$129*EXP(IF(A3507&lt;0,(10-2)*A3507,-2*A3507))+E$129*EXP(IF(A3507&lt;0,(10-3)*A3507,-3*A3507))+F$129*EXP(IF(A3507&lt;0,(10-4)*A3507,-4*A3507))+G$129*EXP(IF(A3507&lt;0,(10-5)*A3507,-5*A3507))+H$129*EXP(IF(A3507&lt;0,(10-6)*A3507,-6*A3507))+I$129*EXP(IF(A3507&lt;0,(10-7)*A3507,-7*A3507))+J$129*EXP(IF(A3507&lt;0,(10-8)*A3507,-8*A3507))+K$129*EXP(IF(A3507&lt;0,(10-9)*A3507,-9*A3507))+L$129*EXP(IF(A3507&lt;0,(10-10)*A3507,-10*A3507)),0)</x:f>
        <x:v>-190007.6666160471</x:v>
      </x:c>
      <x:c r="C3507" s="256" t="n">
        <x:f>IF(B3507=0,IF(B3506=0,0,1),IF(B3506=0,0,IF(SIGN(B3507)&lt;&gt;SIGN(B3506),1,0)))</x:f>
        <x:v>0</x:v>
      </x:c>
      <x:c r="D3507" s="256" t="n">
        <x:f>EXP(A3507-0.005)-1</x:f>
        <x:v>1057.9149174261606</x:v>
      </x:c>
    </x:row>
    <x:row r="3508" ht="20" customHeight="1">
      <x:c r="A3508" s="256" t="n">
        <x:f>-12+1898*0.01</x:f>
        <x:v>6.98</x:v>
      </x:c>
      <x:c r="B3508" s="256" t="n">
        <x:f>IF(COUNT($B$129:$L$129)=11,B$129*EXP(IF(A3508&lt;0,(10-0)*A3508,-0*A3508))+C$129*EXP(IF(A3508&lt;0,(10-1)*A3508,-1*A3508))+D$129*EXP(IF(A3508&lt;0,(10-2)*A3508,-2*A3508))+E$129*EXP(IF(A3508&lt;0,(10-3)*A3508,-3*A3508))+F$129*EXP(IF(A3508&lt;0,(10-4)*A3508,-4*A3508))+G$129*EXP(IF(A3508&lt;0,(10-5)*A3508,-5*A3508))+H$129*EXP(IF(A3508&lt;0,(10-6)*A3508,-6*A3508))+I$129*EXP(IF(A3508&lt;0,(10-7)*A3508,-7*A3508))+J$129*EXP(IF(A3508&lt;0,(10-8)*A3508,-8*A3508))+K$129*EXP(IF(A3508&lt;0,(10-9)*A3508,-9*A3508))+L$129*EXP(IF(A3508&lt;0,(10-10)*A3508,-10*A3508)),0)</x:f>
        <x:v>-190007.5902802749</x:v>
      </x:c>
      <x:c r="C3508" s="256" t="n">
        <x:f>IF(B3508=0,IF(B3507=0,0,1),IF(B3507=0,0,IF(SIGN(B3508)&lt;&gt;SIGN(B3507),1,0)))</x:f>
        <x:v>0</x:v>
      </x:c>
      <x:c r="D3508" s="256" t="n">
        <x:f>EXP(A3508-0.005)-1</x:f>
        <x:v>1068.5571892742132</x:v>
      </x:c>
    </x:row>
    <x:row r="3509" ht="20" customHeight="1">
      <x:c r="A3509" s="256" t="n">
        <x:f>-12+1899*0.01</x:f>
        <x:v>6.990000000000002</x:v>
      </x:c>
      <x:c r="B3509" s="256" t="n">
        <x:f>IF(COUNT($B$129:$L$129)=11,B$129*EXP(IF(A3509&lt;0,(10-0)*A3509,-0*A3509))+C$129*EXP(IF(A3509&lt;0,(10-1)*A3509,-1*A3509))+D$129*EXP(IF(A3509&lt;0,(10-2)*A3509,-2*A3509))+E$129*EXP(IF(A3509&lt;0,(10-3)*A3509,-3*A3509))+F$129*EXP(IF(A3509&lt;0,(10-4)*A3509,-4*A3509))+G$129*EXP(IF(A3509&lt;0,(10-5)*A3509,-5*A3509))+H$129*EXP(IF(A3509&lt;0,(10-6)*A3509,-6*A3509))+I$129*EXP(IF(A3509&lt;0,(10-7)*A3509,-7*A3509))+J$129*EXP(IF(A3509&lt;0,(10-8)*A3509,-8*A3509))+K$129*EXP(IF(A3509&lt;0,(10-9)*A3509,-9*A3509))+L$129*EXP(IF(A3509&lt;0,(10-10)*A3509,-10*A3509)),0)</x:f>
        <x:v>-190007.51470508</x:v>
      </x:c>
      <x:c r="C3509" s="256" t="n">
        <x:f>IF(B3509=0,IF(B3508=0,0,1),IF(B3508=0,0,IF(SIGN(B3509)&lt;&gt;SIGN(B3508),1,0)))</x:f>
        <x:v>0</x:v>
      </x:c>
      <x:c r="D3509" s="256" t="n">
        <x:f>EXP(A3509-0.005)-1</x:f>
        <x:v>1079.3064177324939</x:v>
      </x:c>
    </x:row>
    <x:row r="3510" ht="20" customHeight="1">
      <x:c r="A3510" s="256" t="n">
        <x:f>-12+1900*0.01</x:f>
        <x:v>7</x:v>
      </x:c>
      <x:c r="B3510" s="256" t="n">
        <x:f>IF(COUNT($B$129:$L$129)=11,B$129*EXP(IF(A3510&lt;0,(10-0)*A3510,-0*A3510))+C$129*EXP(IF(A3510&lt;0,(10-1)*A3510,-1*A3510))+D$129*EXP(IF(A3510&lt;0,(10-2)*A3510,-2*A3510))+E$129*EXP(IF(A3510&lt;0,(10-3)*A3510,-3*A3510))+F$129*EXP(IF(A3510&lt;0,(10-4)*A3510,-4*A3510))+G$129*EXP(IF(A3510&lt;0,(10-5)*A3510,-5*A3510))+H$129*EXP(IF(A3510&lt;0,(10-6)*A3510,-6*A3510))+I$129*EXP(IF(A3510&lt;0,(10-7)*A3510,-7*A3510))+J$129*EXP(IF(A3510&lt;0,(10-8)*A3510,-8*A3510))+K$129*EXP(IF(A3510&lt;0,(10-9)*A3510,-9*A3510))+L$129*EXP(IF(A3510&lt;0,(10-10)*A3510,-10*A3510)),0)</x:f>
        <x:v>-190007.43988287414</x:v>
      </x:c>
      <x:c r="C3510" s="256" t="n">
        <x:f>IF(B3510=0,IF(B3509=0,0,1),IF(B3509=0,0,IF(SIGN(B3510)&lt;&gt;SIGN(B3509),1,0)))</x:f>
        <x:v>0</x:v>
      </x:c>
      <x:c r="D3510" s="256" t="n">
        <x:f>EXP(A3510-0.005)-1</x:f>
        <x:v>1090.1636777328022</x:v>
      </x:c>
    </x:row>
    <x:row r="3511" ht="20" customHeight="1">
      <x:c r="A3511" s="256" t="n">
        <x:f>-12+1901*0.01</x:f>
        <x:v>7.010000000000002</x:v>
      </x:c>
      <x:c r="B3511" s="256" t="n">
        <x:f>IF(COUNT($B$129:$L$129)=11,B$129*EXP(IF(A3511&lt;0,(10-0)*A3511,-0*A3511))+C$129*EXP(IF(A3511&lt;0,(10-1)*A3511,-1*A3511))+D$129*EXP(IF(A3511&lt;0,(10-2)*A3511,-2*A3511))+E$129*EXP(IF(A3511&lt;0,(10-3)*A3511,-3*A3511))+F$129*EXP(IF(A3511&lt;0,(10-4)*A3511,-4*A3511))+G$129*EXP(IF(A3511&lt;0,(10-5)*A3511,-5*A3511))+H$129*EXP(IF(A3511&lt;0,(10-6)*A3511,-6*A3511))+I$129*EXP(IF(A3511&lt;0,(10-7)*A3511,-7*A3511))+J$129*EXP(IF(A3511&lt;0,(10-8)*A3511,-8*A3511))+K$129*EXP(IF(A3511&lt;0,(10-9)*A3511,-9*A3511))+L$129*EXP(IF(A3511&lt;0,(10-10)*A3511,-10*A3511)),0)</x:f>
        <x:v>-190007.36580614524</x:v>
      </x:c>
      <x:c r="C3511" s="256" t="n">
        <x:f>IF(B3511=0,IF(B3510=0,0,1),IF(B3510=0,0,IF(SIGN(B3511)&lt;&gt;SIGN(B3510),1,0)))</x:f>
        <x:v>0</x:v>
      </x:c>
      <x:c r="D3511" s="256" t="n">
        <x:f>EXP(A3511-0.005)-1</x:f>
        <x:v>1101.130055010194</x:v>
      </x:c>
    </x:row>
    <x:row r="3512" ht="20" customHeight="1">
      <x:c r="A3512" s="256" t="n">
        <x:f>-12+1902*0.01</x:f>
        <x:v>7.02</x:v>
      </x:c>
      <x:c r="B3512" s="256" t="n">
        <x:f>IF(COUNT($B$129:$L$129)=11,B$129*EXP(IF(A3512&lt;0,(10-0)*A3512,-0*A3512))+C$129*EXP(IF(A3512&lt;0,(10-1)*A3512,-1*A3512))+D$129*EXP(IF(A3512&lt;0,(10-2)*A3512,-2*A3512))+E$129*EXP(IF(A3512&lt;0,(10-3)*A3512,-3*A3512))+F$129*EXP(IF(A3512&lt;0,(10-4)*A3512,-4*A3512))+G$129*EXP(IF(A3512&lt;0,(10-5)*A3512,-5*A3512))+H$129*EXP(IF(A3512&lt;0,(10-6)*A3512,-6*A3512))+I$129*EXP(IF(A3512&lt;0,(10-7)*A3512,-7*A3512))+J$129*EXP(IF(A3512&lt;0,(10-8)*A3512,-8*A3512))+K$129*EXP(IF(A3512&lt;0,(10-9)*A3512,-9*A3512))+L$129*EXP(IF(A3512&lt;0,(10-10)*A3512,-10*A3512)),0)</x:f>
        <x:v>-190007.29246745614</x:v>
      </x:c>
      <x:c r="C3512" s="256" t="n">
        <x:f>IF(B3512=0,IF(B3511=0,0,1),IF(B3511=0,0,IF(SIGN(B3512)&lt;&gt;SIGN(B3511),1,0)))</x:f>
        <x:v>0</x:v>
      </x:c>
      <x:c r="D3512" s="256" t="n">
        <x:f>EXP(A3512-0.005)-1</x:f>
        <x:v>1112.2066462115276</x:v>
      </x:c>
    </x:row>
    <x:row r="3513" ht="20" customHeight="1">
      <x:c r="A3513" s="256" t="n">
        <x:f>-12+1903*0.01</x:f>
        <x:v>7.030000000000001</x:v>
      </x:c>
      <x:c r="B3513" s="256" t="n">
        <x:f>IF(COUNT($B$129:$L$129)=11,B$129*EXP(IF(A3513&lt;0,(10-0)*A3513,-0*A3513))+C$129*EXP(IF(A3513&lt;0,(10-1)*A3513,-1*A3513))+D$129*EXP(IF(A3513&lt;0,(10-2)*A3513,-2*A3513))+E$129*EXP(IF(A3513&lt;0,(10-3)*A3513,-3*A3513))+F$129*EXP(IF(A3513&lt;0,(10-4)*A3513,-4*A3513))+G$129*EXP(IF(A3513&lt;0,(10-5)*A3513,-5*A3513))+H$129*EXP(IF(A3513&lt;0,(10-6)*A3513,-6*A3513))+I$129*EXP(IF(A3513&lt;0,(10-7)*A3513,-7*A3513))+J$129*EXP(IF(A3513&lt;0,(10-8)*A3513,-8*A3513))+K$129*EXP(IF(A3513&lt;0,(10-9)*A3513,-9*A3513))+L$129*EXP(IF(A3513&lt;0,(10-10)*A3513,-10*A3513)),0)</x:f>
        <x:v>-190007.21985944404</x:v>
      </x:c>
      <x:c r="C3513" s="256" t="n">
        <x:f>IF(B3513=0,IF(B3512=0,0,1),IF(B3512=0,0,IF(SIGN(B3513)&lt;&gt;SIGN(B3512),1,0)))</x:f>
        <x:v>0</x:v>
      </x:c>
      <x:c r="D3513" s="256" t="n">
        <x:f>EXP(A3513-0.005)-1</x:f>
        <x:v>1123.3945590051615</x:v>
      </x:c>
    </x:row>
    <x:row r="3514" ht="20" customHeight="1">
      <x:c r="A3514" s="256" t="n">
        <x:f>-12+1904*0.01</x:f>
        <x:v>7.039999999999999</x:v>
      </x:c>
      <x:c r="B3514" s="256" t="n">
        <x:f>IF(COUNT($B$129:$L$129)=11,B$129*EXP(IF(A3514&lt;0,(10-0)*A3514,-0*A3514))+C$129*EXP(IF(A3514&lt;0,(10-1)*A3514,-1*A3514))+D$129*EXP(IF(A3514&lt;0,(10-2)*A3514,-2*A3514))+E$129*EXP(IF(A3514&lt;0,(10-3)*A3514,-3*A3514))+F$129*EXP(IF(A3514&lt;0,(10-4)*A3514,-4*A3514))+G$129*EXP(IF(A3514&lt;0,(10-5)*A3514,-5*A3514))+H$129*EXP(IF(A3514&lt;0,(10-6)*A3514,-6*A3514))+I$129*EXP(IF(A3514&lt;0,(10-7)*A3514,-7*A3514))+J$129*EXP(IF(A3514&lt;0,(10-8)*A3514,-8*A3514))+K$129*EXP(IF(A3514&lt;0,(10-9)*A3514,-9*A3514))+L$129*EXP(IF(A3514&lt;0,(10-10)*A3514,-10*A3514)),0)</x:f>
        <x:v>-190007.14797481993</x:v>
      </x:c>
      <x:c r="C3514" s="256" t="n">
        <x:f>IF(B3514=0,IF(B3513=0,0,1),IF(B3513=0,0,IF(SIGN(B3514)&lt;&gt;SIGN(B3513),1,0)))</x:f>
        <x:v>0</x:v>
      </x:c>
      <x:c r="D3514" s="256" t="n">
        <x:f>EXP(A3514-0.005)-1</x:f>
        <x:v>1134.6949121916905</x:v>
      </x:c>
    </x:row>
    <x:row r="3515" ht="20" customHeight="1">
      <x:c r="A3515" s="256" t="n">
        <x:f>-12+1905*0.01</x:f>
        <x:v>7.050000000000001</x:v>
      </x:c>
      <x:c r="B3515" s="256" t="n">
        <x:f>IF(COUNT($B$129:$L$129)=11,B$129*EXP(IF(A3515&lt;0,(10-0)*A3515,-0*A3515))+C$129*EXP(IF(A3515&lt;0,(10-1)*A3515,-1*A3515))+D$129*EXP(IF(A3515&lt;0,(10-2)*A3515,-2*A3515))+E$129*EXP(IF(A3515&lt;0,(10-3)*A3515,-3*A3515))+F$129*EXP(IF(A3515&lt;0,(10-4)*A3515,-4*A3515))+G$129*EXP(IF(A3515&lt;0,(10-5)*A3515,-5*A3515))+H$129*EXP(IF(A3515&lt;0,(10-6)*A3515,-6*A3515))+I$129*EXP(IF(A3515&lt;0,(10-7)*A3515,-7*A3515))+J$129*EXP(IF(A3515&lt;0,(10-8)*A3515,-8*A3515))+K$129*EXP(IF(A3515&lt;0,(10-9)*A3515,-9*A3515))+L$129*EXP(IF(A3515&lt;0,(10-10)*A3515,-10*A3515)),0)</x:f>
        <x:v>-190007.0768063676</x:v>
      </x:c>
      <x:c r="C3515" s="256" t="n">
        <x:f>IF(B3515=0,IF(B3514=0,0,1),IF(B3514=0,0,IF(SIGN(B3515)&lt;&gt;SIGN(B3514),1,0)))</x:f>
        <x:v>0</x:v>
      </x:c>
      <x:c r="D3515" s="256" t="n">
        <x:f>EXP(A3515-0.005)-1</x:f>
        <x:v>1146.1088358158584</x:v>
      </x:c>
    </x:row>
    <x:row r="3516" ht="20" customHeight="1">
      <x:c r="A3516" s="256" t="n">
        <x:f>-12+1906*0.01</x:f>
        <x:v>7.059999999999999</x:v>
      </x:c>
      <x:c r="B3516" s="256" t="n">
        <x:f>IF(COUNT($B$129:$L$129)=11,B$129*EXP(IF(A3516&lt;0,(10-0)*A3516,-0*A3516))+C$129*EXP(IF(A3516&lt;0,(10-1)*A3516,-1*A3516))+D$129*EXP(IF(A3516&lt;0,(10-2)*A3516,-2*A3516))+E$129*EXP(IF(A3516&lt;0,(10-3)*A3516,-3*A3516))+F$129*EXP(IF(A3516&lt;0,(10-4)*A3516,-4*A3516))+G$129*EXP(IF(A3516&lt;0,(10-5)*A3516,-5*A3516))+H$129*EXP(IF(A3516&lt;0,(10-6)*A3516,-6*A3516))+I$129*EXP(IF(A3516&lt;0,(10-7)*A3516,-7*A3516))+J$129*EXP(IF(A3516&lt;0,(10-8)*A3516,-8*A3516))+K$129*EXP(IF(A3516&lt;0,(10-9)*A3516,-9*A3516))+L$129*EXP(IF(A3516&lt;0,(10-10)*A3516,-10*A3516)),0)</x:f>
        <x:v>-190007.00634694303</x:v>
      </x:c>
      <x:c r="C3516" s="256" t="n">
        <x:f>IF(B3516=0,IF(B3515=0,0,1),IF(B3515=0,0,IF(SIGN(B3516)&lt;&gt;SIGN(B3515),1,0)))</x:f>
        <x:v>0</x:v>
      </x:c>
      <x:c r="D3516" s="256" t="n">
        <x:f>EXP(A3516-0.005)-1</x:f>
        <x:v>1157.637471279531</x:v>
      </x:c>
    </x:row>
    <x:row r="3517" ht="20" customHeight="1">
      <x:c r="A3517" s="256" t="n">
        <x:f>-12+1907*0.01</x:f>
        <x:v>7.07</x:v>
      </x:c>
      <x:c r="B3517" s="256" t="n">
        <x:f>IF(COUNT($B$129:$L$129)=11,B$129*EXP(IF(A3517&lt;0,(10-0)*A3517,-0*A3517))+C$129*EXP(IF(A3517&lt;0,(10-1)*A3517,-1*A3517))+D$129*EXP(IF(A3517&lt;0,(10-2)*A3517,-2*A3517))+E$129*EXP(IF(A3517&lt;0,(10-3)*A3517,-3*A3517))+F$129*EXP(IF(A3517&lt;0,(10-4)*A3517,-4*A3517))+G$129*EXP(IF(A3517&lt;0,(10-5)*A3517,-5*A3517))+H$129*EXP(IF(A3517&lt;0,(10-6)*A3517,-6*A3517))+I$129*EXP(IF(A3517&lt;0,(10-7)*A3517,-7*A3517))+J$129*EXP(IF(A3517&lt;0,(10-8)*A3517,-8*A3517))+K$129*EXP(IF(A3517&lt;0,(10-9)*A3517,-9*A3517))+L$129*EXP(IF(A3517&lt;0,(10-10)*A3517,-10*A3517)),0)</x:f>
        <x:v>-190006.93658947363</x:v>
      </x:c>
      <x:c r="C3517" s="256" t="n">
        <x:f>IF(B3517=0,IF(B3516=0,0,1),IF(B3516=0,0,IF(SIGN(B3517)&lt;&gt;SIGN(B3516),1,0)))</x:f>
        <x:v>0</x:v>
      </x:c>
      <x:c r="D3517" s="256" t="n">
        <x:f>EXP(A3517-0.005)-1</x:f>
        <x:v>1169.28197145587</x:v>
      </x:c>
    </x:row>
    <x:row r="3518" ht="20" customHeight="1">
      <x:c r="A3518" s="256" t="n">
        <x:f>-12+1908*0.01</x:f>
        <x:v>7.080000000000002</x:v>
      </x:c>
      <x:c r="B3518" s="256" t="n">
        <x:f>IF(COUNT($B$129:$L$129)=11,B$129*EXP(IF(A3518&lt;0,(10-0)*A3518,-0*A3518))+C$129*EXP(IF(A3518&lt;0,(10-1)*A3518,-1*A3518))+D$129*EXP(IF(A3518&lt;0,(10-2)*A3518,-2*A3518))+E$129*EXP(IF(A3518&lt;0,(10-3)*A3518,-3*A3518))+F$129*EXP(IF(A3518&lt;0,(10-4)*A3518,-4*A3518))+G$129*EXP(IF(A3518&lt;0,(10-5)*A3518,-5*A3518))+H$129*EXP(IF(A3518&lt;0,(10-6)*A3518,-6*A3518))+I$129*EXP(IF(A3518&lt;0,(10-7)*A3518,-7*A3518))+J$129*EXP(IF(A3518&lt;0,(10-8)*A3518,-8*A3518))+K$129*EXP(IF(A3518&lt;0,(10-9)*A3518,-9*A3518))+L$129*EXP(IF(A3518&lt;0,(10-10)*A3518,-10*A3518)),0)</x:f>
        <x:v>-190006.86752695762</x:v>
      </x:c>
      <x:c r="C3518" s="256" t="n">
        <x:f>IF(B3518=0,IF(B3517=0,0,1),IF(B3517=0,0,IF(SIGN(B3518)&lt;&gt;SIGN(B3517),1,0)))</x:f>
        <x:v>0</x:v>
      </x:c>
      <x:c r="D3518" s="256" t="n">
        <x:f>EXP(A3518-0.005)-1</x:f>
        <x:v>1181.043500804593</x:v>
      </x:c>
    </x:row>
    <x:row r="3519" ht="20" customHeight="1">
      <x:c r="A3519" s="256" t="n">
        <x:f>-12+1909*0.01</x:f>
        <x:v>7.09</x:v>
      </x:c>
      <x:c r="B3519" s="256" t="n">
        <x:f>IF(COUNT($B$129:$L$129)=11,B$129*EXP(IF(A3519&lt;0,(10-0)*A3519,-0*A3519))+C$129*EXP(IF(A3519&lt;0,(10-1)*A3519,-1*A3519))+D$129*EXP(IF(A3519&lt;0,(10-2)*A3519,-2*A3519))+E$129*EXP(IF(A3519&lt;0,(10-3)*A3519,-3*A3519))+F$129*EXP(IF(A3519&lt;0,(10-4)*A3519,-4*A3519))+G$129*EXP(IF(A3519&lt;0,(10-5)*A3519,-5*A3519))+H$129*EXP(IF(A3519&lt;0,(10-6)*A3519,-6*A3519))+I$129*EXP(IF(A3519&lt;0,(10-7)*A3519,-7*A3519))+J$129*EXP(IF(A3519&lt;0,(10-8)*A3519,-8*A3519))+K$129*EXP(IF(A3519&lt;0,(10-9)*A3519,-9*A3519))+L$129*EXP(IF(A3519&lt;0,(10-10)*A3519,-10*A3519)),0)</x:f>
        <x:v>-190006.7991524631</x:v>
      </x:c>
      <x:c r="C3519" s="256" t="n">
        <x:f>IF(B3519=0,IF(B3518=0,0,1),IF(B3518=0,0,IF(SIGN(B3519)&lt;&gt;SIGN(B3518),1,0)))</x:f>
        <x:v>0</x:v>
      </x:c>
      <x:c r="D3519" s="256" t="n">
        <x:f>EXP(A3519-0.005)-1</x:f>
        <x:v>1192.9232354884318</x:v>
      </x:c>
    </x:row>
    <x:row r="3520" ht="20" customHeight="1">
      <x:c r="A3520" s="256" t="n">
        <x:f>-12+1910*0.01</x:f>
        <x:v>7.100000000000001</x:v>
      </x:c>
      <x:c r="B3520" s="256" t="n">
        <x:f>IF(COUNT($B$129:$L$129)=11,B$129*EXP(IF(A3520&lt;0,(10-0)*A3520,-0*A3520))+C$129*EXP(IF(A3520&lt;0,(10-1)*A3520,-1*A3520))+D$129*EXP(IF(A3520&lt;0,(10-2)*A3520,-2*A3520))+E$129*EXP(IF(A3520&lt;0,(10-3)*A3520,-3*A3520))+F$129*EXP(IF(A3520&lt;0,(10-4)*A3520,-4*A3520))+G$129*EXP(IF(A3520&lt;0,(10-5)*A3520,-5*A3520))+H$129*EXP(IF(A3520&lt;0,(10-6)*A3520,-6*A3520))+I$129*EXP(IF(A3520&lt;0,(10-7)*A3520,-7*A3520))+J$129*EXP(IF(A3520&lt;0,(10-8)*A3520,-8*A3520))+K$129*EXP(IF(A3520&lt;0,(10-9)*A3520,-9*A3520))+L$129*EXP(IF(A3520&lt;0,(10-10)*A3520,-10*A3520)),0)</x:f>
        <x:v>-190006.73145912742</x:v>
      </x:c>
      <x:c r="C3520" s="256" t="n">
        <x:f>IF(B3520=0,IF(B3519=0,0,1),IF(B3519=0,0,IF(SIGN(B3520)&lt;&gt;SIGN(B3519),1,0)))</x:f>
        <x:v>0</x:v>
      </x:c>
      <x:c r="D3520" s="256" t="n">
        <x:f>EXP(A3520-0.005)-1</x:f>
        <x:v>1204.922363490763</x:v>
      </x:c>
    </x:row>
    <x:row r="3521" ht="20" customHeight="1">
      <x:c r="A3521" s="256" t="n">
        <x:f>-12+1911*0.01</x:f>
        <x:v>7.109999999999999</x:v>
      </x:c>
      <x:c r="B3521" s="256" t="n">
        <x:f>IF(COUNT($B$129:$L$129)=11,B$129*EXP(IF(A3521&lt;0,(10-0)*A3521,-0*A3521))+C$129*EXP(IF(A3521&lt;0,(10-1)*A3521,-1*A3521))+D$129*EXP(IF(A3521&lt;0,(10-2)*A3521,-2*A3521))+E$129*EXP(IF(A3521&lt;0,(10-3)*A3521,-3*A3521))+F$129*EXP(IF(A3521&lt;0,(10-4)*A3521,-4*A3521))+G$129*EXP(IF(A3521&lt;0,(10-5)*A3521,-5*A3521))+H$129*EXP(IF(A3521&lt;0,(10-6)*A3521,-6*A3521))+I$129*EXP(IF(A3521&lt;0,(10-7)*A3521,-7*A3521))+J$129*EXP(IF(A3521&lt;0,(10-8)*A3521,-8*A3521))+K$129*EXP(IF(A3521&lt;0,(10-9)*A3521,-9*A3521))+L$129*EXP(IF(A3521&lt;0,(10-10)*A3521,-10*A3521)),0)</x:f>
        <x:v>-190006.6644401569</x:v>
      </x:c>
      <x:c r="C3521" s="256" t="n">
        <x:f>IF(B3521=0,IF(B3520=0,0,1),IF(B3520=0,0,IF(SIGN(B3521)&lt;&gt;SIGN(B3520),1,0)))</x:f>
        <x:v>0</x:v>
      </x:c>
      <x:c r="D3521" s="256" t="n">
        <x:f>EXP(A3521-0.005)-1</x:f>
        <x:v>1217.0420847343776</x:v>
      </x:c>
    </x:row>
    <x:row r="3522" ht="20" customHeight="1">
      <x:c r="A3522" s="256" t="n">
        <x:f>-12+1912*0.01</x:f>
        <x:v>7.120000000000001</x:v>
      </x:c>
      <x:c r="B3522" s="256" t="n">
        <x:f>IF(COUNT($B$129:$L$129)=11,B$129*EXP(IF(A3522&lt;0,(10-0)*A3522,-0*A3522))+C$129*EXP(IF(A3522&lt;0,(10-1)*A3522,-1*A3522))+D$129*EXP(IF(A3522&lt;0,(10-2)*A3522,-2*A3522))+E$129*EXP(IF(A3522&lt;0,(10-3)*A3522,-3*A3522))+F$129*EXP(IF(A3522&lt;0,(10-4)*A3522,-4*A3522))+G$129*EXP(IF(A3522&lt;0,(10-5)*A3522,-5*A3522))+H$129*EXP(IF(A3522&lt;0,(10-6)*A3522,-6*A3522))+I$129*EXP(IF(A3522&lt;0,(10-7)*A3522,-7*A3522))+J$129*EXP(IF(A3522&lt;0,(10-8)*A3522,-8*A3522))+K$129*EXP(IF(A3522&lt;0,(10-9)*A3522,-9*A3522))+L$129*EXP(IF(A3522&lt;0,(10-10)*A3522,-10*A3522)),0)</x:f>
        <x:v>-190006.5980888254</x:v>
      </x:c>
      <x:c r="C3522" s="256" t="n">
        <x:f>IF(B3522=0,IF(B3521=0,0,1),IF(B3521=0,0,IF(SIGN(B3522)&lt;&gt;SIGN(B3521),1,0)))</x:f>
        <x:v>0</x:v>
      </x:c>
      <x:c r="D3522" s="256" t="n">
        <x:f>EXP(A3522-0.005)-1</x:f>
        <x:v>1229.2836112015084</x:v>
      </x:c>
    </x:row>
    <x:row r="3523" ht="20" customHeight="1">
      <x:c r="A3523" s="256" t="n">
        <x:f>-12+1913*0.01</x:f>
        <x:v>7.129999999999999</x:v>
      </x:c>
      <x:c r="B3523" s="256" t="n">
        <x:f>IF(COUNT($B$129:$L$129)=11,B$129*EXP(IF(A3523&lt;0,(10-0)*A3523,-0*A3523))+C$129*EXP(IF(A3523&lt;0,(10-1)*A3523,-1*A3523))+D$129*EXP(IF(A3523&lt;0,(10-2)*A3523,-2*A3523))+E$129*EXP(IF(A3523&lt;0,(10-3)*A3523,-3*A3523))+F$129*EXP(IF(A3523&lt;0,(10-4)*A3523,-4*A3523))+G$129*EXP(IF(A3523&lt;0,(10-5)*A3523,-5*A3523))+H$129*EXP(IF(A3523&lt;0,(10-6)*A3523,-6*A3523))+I$129*EXP(IF(A3523&lt;0,(10-7)*A3523,-7*A3523))+J$129*EXP(IF(A3523&lt;0,(10-8)*A3523,-8*A3523))+K$129*EXP(IF(A3523&lt;0,(10-9)*A3523,-9*A3523))+L$129*EXP(IF(A3523&lt;0,(10-10)*A3523,-10*A3523)),0)</x:f>
        <x:v>-190006.5323984741</x:v>
      </x:c>
      <x:c r="C3523" s="256" t="n">
        <x:f>IF(B3523=0,IF(B3522=0,0,1),IF(B3522=0,0,IF(SIGN(B3523)&lt;&gt;SIGN(B3522),1,0)))</x:f>
        <x:v>0</x:v>
      </x:c>
      <x:c r="D3523" s="256" t="n">
        <x:f>EXP(A3523-0.005)-1</x:f>
        <x:v>1241.6481670549947</x:v>
      </x:c>
    </x:row>
    <x:row r="3524" ht="20" customHeight="1">
      <x:c r="A3524" s="256" t="n">
        <x:f>-12+1914*0.01</x:f>
        <x:v>7.140000000000001</x:v>
      </x:c>
      <x:c r="B3524" s="256" t="n">
        <x:f>IF(COUNT($B$129:$L$129)=11,B$129*EXP(IF(A3524&lt;0,(10-0)*A3524,-0*A3524))+C$129*EXP(IF(A3524&lt;0,(10-1)*A3524,-1*A3524))+D$129*EXP(IF(A3524&lt;0,(10-2)*A3524,-2*A3524))+E$129*EXP(IF(A3524&lt;0,(10-3)*A3524,-3*A3524))+F$129*EXP(IF(A3524&lt;0,(10-4)*A3524,-4*A3524))+G$129*EXP(IF(A3524&lt;0,(10-5)*A3524,-5*A3524))+H$129*EXP(IF(A3524&lt;0,(10-6)*A3524,-6*A3524))+I$129*EXP(IF(A3524&lt;0,(10-7)*A3524,-7*A3524))+J$129*EXP(IF(A3524&lt;0,(10-8)*A3524,-8*A3524))+K$129*EXP(IF(A3524&lt;0,(10-9)*A3524,-9*A3524))+L$129*EXP(IF(A3524&lt;0,(10-10)*A3524,-10*A3524)),0)</x:f>
        <x:v>-190006.46736251094</x:v>
      </x:c>
      <x:c r="C3524" s="256" t="n">
        <x:f>IF(B3524=0,IF(B3523=0,0,1),IF(B3523=0,0,IF(SIGN(B3524)&lt;&gt;SIGN(B3523),1,0)))</x:f>
        <x:v>0</x:v>
      </x:c>
      <x:c r="D3524" s="256" t="n">
        <x:f>EXP(A3524-0.005)-1</x:f>
        <x:v>1254.1369887607345</x:v>
      </x:c>
    </x:row>
    <x:row r="3525" ht="20" customHeight="1">
      <x:c r="A3525" s="256" t="n">
        <x:f>-12+1915*0.01</x:f>
        <x:v>7.150000000000002</x:v>
      </x:c>
      <x:c r="B3525" s="256" t="n">
        <x:f>IF(COUNT($B$129:$L$129)=11,B$129*EXP(IF(A3525&lt;0,(10-0)*A3525,-0*A3525))+C$129*EXP(IF(A3525&lt;0,(10-1)*A3525,-1*A3525))+D$129*EXP(IF(A3525&lt;0,(10-2)*A3525,-2*A3525))+E$129*EXP(IF(A3525&lt;0,(10-3)*A3525,-3*A3525))+F$129*EXP(IF(A3525&lt;0,(10-4)*A3525,-4*A3525))+G$129*EXP(IF(A3525&lt;0,(10-5)*A3525,-5*A3525))+H$129*EXP(IF(A3525&lt;0,(10-6)*A3525,-6*A3525))+I$129*EXP(IF(A3525&lt;0,(10-7)*A3525,-7*A3525))+J$129*EXP(IF(A3525&lt;0,(10-8)*A3525,-8*A3525))+K$129*EXP(IF(A3525&lt;0,(10-9)*A3525,-9*A3525))+L$129*EXP(IF(A3525&lt;0,(10-10)*A3525,-10*A3525)),0)</x:f>
        <x:v>-190006.4029744096</x:v>
      </x:c>
      <x:c r="C3525" s="256" t="n">
        <x:f>IF(B3525=0,IF(B3524=0,0,1),IF(B3524=0,0,IF(SIGN(B3525)&lt;&gt;SIGN(B3524),1,0)))</x:f>
        <x:v>0</x:v>
      </x:c>
      <x:c r="D3525" s="256" t="n">
        <x:f>EXP(A3525-0.005)-1</x:f>
        <x:v>1266.7513252113013</x:v>
      </x:c>
    </x:row>
    <x:row r="3526" ht="20" customHeight="1">
      <x:c r="A3526" s="256" t="n">
        <x:f>-12+1916*0.01</x:f>
        <x:v>7.16</x:v>
      </x:c>
      <x:c r="B3526" s="256" t="n">
        <x:f>IF(COUNT($B$129:$L$129)=11,B$129*EXP(IF(A3526&lt;0,(10-0)*A3526,-0*A3526))+C$129*EXP(IF(A3526&lt;0,(10-1)*A3526,-1*A3526))+D$129*EXP(IF(A3526&lt;0,(10-2)*A3526,-2*A3526))+E$129*EXP(IF(A3526&lt;0,(10-3)*A3526,-3*A3526))+F$129*EXP(IF(A3526&lt;0,(10-4)*A3526,-4*A3526))+G$129*EXP(IF(A3526&lt;0,(10-5)*A3526,-5*A3526))+H$129*EXP(IF(A3526&lt;0,(10-6)*A3526,-6*A3526))+I$129*EXP(IF(A3526&lt;0,(10-7)*A3526,-7*A3526))+J$129*EXP(IF(A3526&lt;0,(10-8)*A3526,-8*A3526))+K$129*EXP(IF(A3526&lt;0,(10-9)*A3526,-9*A3526))+L$129*EXP(IF(A3526&lt;0,(10-10)*A3526,-10*A3526)),0)</x:f>
        <x:v>-190006.33922770896</x:v>
      </x:c>
      <x:c r="C3526" s="256" t="n">
        <x:f>IF(B3526=0,IF(B3525=0,0,1),IF(B3525=0,0,IF(SIGN(B3526)&lt;&gt;SIGN(B3525),1,0)))</x:f>
        <x:v>0</x:v>
      </x:c>
      <x:c r="D3526" s="256" t="n">
        <x:f>EXP(A3526-0.005)-1</x:f>
        <x:v>1279.4924378508479</x:v>
      </x:c>
    </x:row>
    <x:row r="3527" ht="20" customHeight="1">
      <x:c r="A3527" s="256" t="n">
        <x:f>-12+1917*0.01</x:f>
        <x:v>7.170000000000002</x:v>
      </x:c>
      <x:c r="B3527" s="256" t="n">
        <x:f>IF(COUNT($B$129:$L$129)=11,B$129*EXP(IF(A3527&lt;0,(10-0)*A3527,-0*A3527))+C$129*EXP(IF(A3527&lt;0,(10-1)*A3527,-1*A3527))+D$129*EXP(IF(A3527&lt;0,(10-2)*A3527,-2*A3527))+E$129*EXP(IF(A3527&lt;0,(10-3)*A3527,-3*A3527))+F$129*EXP(IF(A3527&lt;0,(10-4)*A3527,-4*A3527))+G$129*EXP(IF(A3527&lt;0,(10-5)*A3527,-5*A3527))+H$129*EXP(IF(A3527&lt;0,(10-6)*A3527,-6*A3527))+I$129*EXP(IF(A3527&lt;0,(10-7)*A3527,-7*A3527))+J$129*EXP(IF(A3527&lt;0,(10-8)*A3527,-8*A3527))+K$129*EXP(IF(A3527&lt;0,(10-9)*A3527,-9*A3527))+L$129*EXP(IF(A3527&lt;0,(10-10)*A3527,-10*A3527)),0)</x:f>
        <x:v>-190006.27611601257</x:v>
      </x:c>
      <x:c r="C3527" s="256" t="n">
        <x:f>IF(B3527=0,IF(B3526=0,0,1),IF(B3526=0,0,IF(SIGN(B3527)&lt;&gt;SIGN(B3526),1,0)))</x:f>
        <x:v>0</x:v>
      </x:c>
      <x:c r="D3527" s="256" t="n">
        <x:f>EXP(A3527-0.005)-1</x:f>
        <x:v>1292.3616008012646</x:v>
      </x:c>
    </x:row>
    <x:row r="3528" ht="20" customHeight="1">
      <x:c r="A3528" s="256" t="n">
        <x:f>-12+1918*0.01</x:f>
        <x:v>7.18</x:v>
      </x:c>
      <x:c r="B3528" s="256" t="n">
        <x:f>IF(COUNT($B$129:$L$129)=11,B$129*EXP(IF(A3528&lt;0,(10-0)*A3528,-0*A3528))+C$129*EXP(IF(A3528&lt;0,(10-1)*A3528,-1*A3528))+D$129*EXP(IF(A3528&lt;0,(10-2)*A3528,-2*A3528))+E$129*EXP(IF(A3528&lt;0,(10-3)*A3528,-3*A3528))+F$129*EXP(IF(A3528&lt;0,(10-4)*A3528,-4*A3528))+G$129*EXP(IF(A3528&lt;0,(10-5)*A3528,-5*A3528))+H$129*EXP(IF(A3528&lt;0,(10-6)*A3528,-6*A3528))+I$129*EXP(IF(A3528&lt;0,(10-7)*A3528,-7*A3528))+J$129*EXP(IF(A3528&lt;0,(10-8)*A3528,-8*A3528))+K$129*EXP(IF(A3528&lt;0,(10-9)*A3528,-9*A3528))+L$129*EXP(IF(A3528&lt;0,(10-10)*A3528,-10*A3528)),0)</x:f>
        <x:v>-190006.21363298793</x:v>
      </x:c>
      <x:c r="C3528" s="256" t="n">
        <x:f>IF(B3528=0,IF(B3527=0,0,1),IF(B3527=0,0,IF(SIGN(B3528)&lt;&gt;SIGN(B3527),1,0)))</x:f>
        <x:v>0</x:v>
      </x:c>
      <x:c r="D3528" s="256" t="n">
        <x:f>EXP(A3528-0.005)-1</x:f>
        <x:v>1305.360100989562</x:v>
      </x:c>
    </x:row>
    <x:row r="3529" ht="20" customHeight="1">
      <x:c r="A3529" s="256" t="n">
        <x:f>-12+1919*0.01</x:f>
        <x:v>7.190000000000001</x:v>
      </x:c>
      <x:c r="B3529" s="256" t="n">
        <x:f>IF(COUNT($B$129:$L$129)=11,B$129*EXP(IF(A3529&lt;0,(10-0)*A3529,-0*A3529))+C$129*EXP(IF(A3529&lt;0,(10-1)*A3529,-1*A3529))+D$129*EXP(IF(A3529&lt;0,(10-2)*A3529,-2*A3529))+E$129*EXP(IF(A3529&lt;0,(10-3)*A3529,-3*A3529))+F$129*EXP(IF(A3529&lt;0,(10-4)*A3529,-4*A3529))+G$129*EXP(IF(A3529&lt;0,(10-5)*A3529,-5*A3529))+H$129*EXP(IF(A3529&lt;0,(10-6)*A3529,-6*A3529))+I$129*EXP(IF(A3529&lt;0,(10-7)*A3529,-7*A3529))+J$129*EXP(IF(A3529&lt;0,(10-8)*A3529,-8*A3529))+K$129*EXP(IF(A3529&lt;0,(10-9)*A3529,-9*A3529))+L$129*EXP(IF(A3529&lt;0,(10-10)*A3529,-10*A3529)),0)</x:f>
        <x:v>-190006.15177236573</x:v>
      </x:c>
      <x:c r="C3529" s="256" t="n">
        <x:f>IF(B3529=0,IF(B3528=0,0,1),IF(B3528=0,0,IF(SIGN(B3529)&lt;&gt;SIGN(B3528),1,0)))</x:f>
        <x:v>0</x:v>
      </x:c>
      <x:c r="D3529" s="256" t="n">
        <x:f>EXP(A3529-0.005)-1</x:f>
        <x:v>1318.4892382765997</x:v>
      </x:c>
    </x:row>
    <x:row r="3530" ht="20" customHeight="1">
      <x:c r="A3530" s="256" t="n">
        <x:f>-12+1920*0.01</x:f>
        <x:v>7.199999999999999</x:v>
      </x:c>
      <x:c r="B3530" s="256" t="n">
        <x:f>IF(COUNT($B$129:$L$129)=11,B$129*EXP(IF(A3530&lt;0,(10-0)*A3530,-0*A3530))+C$129*EXP(IF(A3530&lt;0,(10-1)*A3530,-1*A3530))+D$129*EXP(IF(A3530&lt;0,(10-2)*A3530,-2*A3530))+E$129*EXP(IF(A3530&lt;0,(10-3)*A3530,-3*A3530))+F$129*EXP(IF(A3530&lt;0,(10-4)*A3530,-4*A3530))+G$129*EXP(IF(A3530&lt;0,(10-5)*A3530,-5*A3530))+H$129*EXP(IF(A3530&lt;0,(10-6)*A3530,-6*A3530))+I$129*EXP(IF(A3530&lt;0,(10-7)*A3530,-7*A3530))+J$129*EXP(IF(A3530&lt;0,(10-8)*A3530,-8*A3530))+K$129*EXP(IF(A3530&lt;0,(10-9)*A3530,-9*A3530))+L$129*EXP(IF(A3530&lt;0,(10-10)*A3530,-10*A3530)),0)</x:f>
        <x:v>-190006.0905279394</x:v>
      </x:c>
      <x:c r="C3530" s="256" t="n">
        <x:f>IF(B3530=0,IF(B3529=0,0,1),IF(B3529=0,0,IF(SIGN(B3530)&lt;&gt;SIGN(B3529),1,0)))</x:f>
        <x:v>0</x:v>
      </x:c>
      <x:c r="D3530" s="256" t="n">
        <x:f>EXP(A3530-0.005)-1</x:f>
        <x:v>1331.7503255870383</x:v>
      </x:c>
    </x:row>
    <x:row r="3531" ht="20" customHeight="1">
      <x:c r="A3531" s="256" t="n">
        <x:f>-12+1921*0.01</x:f>
        <x:v>7.210000000000001</x:v>
      </x:c>
      <x:c r="B3531" s="256" t="n">
        <x:f>IF(COUNT($B$129:$L$129)=11,B$129*EXP(IF(A3531&lt;0,(10-0)*A3531,-0*A3531))+C$129*EXP(IF(A3531&lt;0,(10-1)*A3531,-1*A3531))+D$129*EXP(IF(A3531&lt;0,(10-2)*A3531,-2*A3531))+E$129*EXP(IF(A3531&lt;0,(10-3)*A3531,-3*A3531))+F$129*EXP(IF(A3531&lt;0,(10-4)*A3531,-4*A3531))+G$129*EXP(IF(A3531&lt;0,(10-5)*A3531,-5*A3531))+H$129*EXP(IF(A3531&lt;0,(10-6)*A3531,-6*A3531))+I$129*EXP(IF(A3531&lt;0,(10-7)*A3531,-7*A3531))+J$129*EXP(IF(A3531&lt;0,(10-8)*A3531,-8*A3531))+K$129*EXP(IF(A3531&lt;0,(10-9)*A3531,-9*A3531))+L$129*EXP(IF(A3531&lt;0,(10-10)*A3531,-10*A3531)),0)</x:f>
        <x:v>-190006.0298935643</x:v>
      </x:c>
      <x:c r="C3531" s="256" t="n">
        <x:f>IF(B3531=0,IF(B3530=0,0,1),IF(B3530=0,0,IF(SIGN(B3531)&lt;&gt;SIGN(B3530),1,0)))</x:f>
        <x:v>0</x:v>
      </x:c>
      <x:c r="D3531" s="256" t="n">
        <x:f>EXP(A3531-0.005)-1</x:f>
        <x:v>1345.1446890406696</x:v>
      </x:c>
    </x:row>
    <x:row r="3532" ht="20" customHeight="1">
      <x:c r="A3532" s="256" t="n">
        <x:f>-12+1922*0.01</x:f>
        <x:v>7.219999999999999</x:v>
      </x:c>
      <x:c r="B3532" s="256" t="n">
        <x:f>IF(COUNT($B$129:$L$129)=11,B$129*EXP(IF(A3532&lt;0,(10-0)*A3532,-0*A3532))+C$129*EXP(IF(A3532&lt;0,(10-1)*A3532,-1*A3532))+D$129*EXP(IF(A3532&lt;0,(10-2)*A3532,-2*A3532))+E$129*EXP(IF(A3532&lt;0,(10-3)*A3532,-3*A3532))+F$129*EXP(IF(A3532&lt;0,(10-4)*A3532,-4*A3532))+G$129*EXP(IF(A3532&lt;0,(10-5)*A3532,-5*A3532))+H$129*EXP(IF(A3532&lt;0,(10-6)*A3532,-6*A3532))+I$129*EXP(IF(A3532&lt;0,(10-7)*A3532,-7*A3532))+J$129*EXP(IF(A3532&lt;0,(10-8)*A3532,-8*A3532))+K$129*EXP(IF(A3532&lt;0,(10-9)*A3532,-9*A3532))+L$129*EXP(IF(A3532&lt;0,(10-10)*A3532,-10*A3532)),0)</x:f>
        <x:v>-190005.96986315737</x:v>
      </x:c>
      <x:c r="C3532" s="256" t="n">
        <x:f>IF(B3532=0,IF(B3531=0,0,1),IF(B3531=0,0,IF(SIGN(B3532)&lt;&gt;SIGN(B3531),1,0)))</x:f>
        <x:v>0</x:v>
      </x:c>
      <x:c r="D3532" s="256" t="n">
        <x:f>EXP(A3532-0.005)-1</x:f>
        <x:v>1358.6736680849913</x:v>
      </x:c>
    </x:row>
    <x:row r="3533" ht="20" customHeight="1">
      <x:c r="A3533" s="256" t="n">
        <x:f>-12+1923*0.01</x:f>
        <x:v>7.23</x:v>
      </x:c>
      <x:c r="B3533" s="256" t="n">
        <x:f>IF(COUNT($B$129:$L$129)=11,B$129*EXP(IF(A3533&lt;0,(10-0)*A3533,-0*A3533))+C$129*EXP(IF(A3533&lt;0,(10-1)*A3533,-1*A3533))+D$129*EXP(IF(A3533&lt;0,(10-2)*A3533,-2*A3533))+E$129*EXP(IF(A3533&lt;0,(10-3)*A3533,-3*A3533))+F$129*EXP(IF(A3533&lt;0,(10-4)*A3533,-4*A3533))+G$129*EXP(IF(A3533&lt;0,(10-5)*A3533,-5*A3533))+H$129*EXP(IF(A3533&lt;0,(10-6)*A3533,-6*A3533))+I$129*EXP(IF(A3533&lt;0,(10-7)*A3533,-7*A3533))+J$129*EXP(IF(A3533&lt;0,(10-8)*A3533,-8*A3533))+K$129*EXP(IF(A3533&lt;0,(10-9)*A3533,-9*A3533))+L$129*EXP(IF(A3533&lt;0,(10-10)*A3533,-10*A3533)),0)</x:f>
        <x:v>-190005.91043069612</x:v>
      </x:c>
      <x:c r="C3533" s="256" t="n">
        <x:f>IF(B3533=0,IF(B3532=0,0,1),IF(B3532=0,0,IF(SIGN(B3533)&lt;&gt;SIGN(B3532),1,0)))</x:f>
        <x:v>0</x:v>
      </x:c>
      <x:c r="D3533" s="256" t="n">
        <x:f>EXP(A3533-0.005)-1</x:f>
        <x:v>1372.338615629191</x:v>
      </x:c>
    </x:row>
    <x:row r="3534" ht="20" customHeight="1">
      <x:c r="A3534" s="256" t="n">
        <x:f>-12+1924*0.01</x:f>
        <x:v>7.240000000000002</x:v>
      </x:c>
      <x:c r="B3534" s="256" t="n">
        <x:f>IF(COUNT($B$129:$L$129)=11,B$129*EXP(IF(A3534&lt;0,(10-0)*A3534,-0*A3534))+C$129*EXP(IF(A3534&lt;0,(10-1)*A3534,-1*A3534))+D$129*EXP(IF(A3534&lt;0,(10-2)*A3534,-2*A3534))+E$129*EXP(IF(A3534&lt;0,(10-3)*A3534,-3*A3534))+F$129*EXP(IF(A3534&lt;0,(10-4)*A3534,-4*A3534))+G$129*EXP(IF(A3534&lt;0,(10-5)*A3534,-5*A3534))+H$129*EXP(IF(A3534&lt;0,(10-6)*A3534,-6*A3534))+I$129*EXP(IF(A3534&lt;0,(10-7)*A3534,-7*A3534))+J$129*EXP(IF(A3534&lt;0,(10-8)*A3534,-8*A3534))+K$129*EXP(IF(A3534&lt;0,(10-9)*A3534,-9*A3534))+L$129*EXP(IF(A3534&lt;0,(10-10)*A3534,-10*A3534)),0)</x:f>
        <x:v>-190005.85159021843</x:v>
      </x:c>
      <x:c r="C3534" s="256" t="n">
        <x:f>IF(B3534=0,IF(B3533=0,0,1),IF(B3533=0,0,IF(SIGN(B3534)&lt;&gt;SIGN(B3533),1,0)))</x:f>
        <x:v>0</x:v>
      </x:c>
      <x:c r="D3534" s="256" t="n">
        <x:f>EXP(A3534-0.005)-1</x:f>
        <x:v>1386.1408981794066</x:v>
      </x:c>
    </x:row>
    <x:row r="3535" ht="20" customHeight="1">
      <x:c r="A3535" s="256" t="n">
        <x:f>-12+1925*0.01</x:f>
        <x:v>7.25</x:v>
      </x:c>
      <x:c r="B3535" s="256" t="n">
        <x:f>IF(COUNT($B$129:$L$129)=11,B$129*EXP(IF(A3535&lt;0,(10-0)*A3535,-0*A3535))+C$129*EXP(IF(A3535&lt;0,(10-1)*A3535,-1*A3535))+D$129*EXP(IF(A3535&lt;0,(10-2)*A3535,-2*A3535))+E$129*EXP(IF(A3535&lt;0,(10-3)*A3535,-3*A3535))+F$129*EXP(IF(A3535&lt;0,(10-4)*A3535,-4*A3535))+G$129*EXP(IF(A3535&lt;0,(10-5)*A3535,-5*A3535))+H$129*EXP(IF(A3535&lt;0,(10-6)*A3535,-6*A3535))+I$129*EXP(IF(A3535&lt;0,(10-7)*A3535,-7*A3535))+J$129*EXP(IF(A3535&lt;0,(10-8)*A3535,-8*A3535))+K$129*EXP(IF(A3535&lt;0,(10-9)*A3535,-9*A3535))+L$129*EXP(IF(A3535&lt;0,(10-10)*A3535,-10*A3535)),0)</x:f>
        <x:v>-190005.79333582163</x:v>
      </x:c>
      <x:c r="C3535" s="256" t="n">
        <x:f>IF(B3535=0,IF(B3534=0,0,1),IF(B3534=0,0,IF(SIGN(B3535)&lt;&gt;SIGN(B3534),1,0)))</x:f>
        <x:v>0</x:v>
      </x:c>
      <x:c r="D3535" s="256" t="n">
        <x:f>EXP(A3535-0.005)-1</x:f>
        <x:v>1400.08189597539</x:v>
      </x:c>
    </x:row>
    <x:row r="3536" ht="20" customHeight="1">
      <x:c r="A3536" s="256" t="n">
        <x:f>-12+1926*0.01</x:f>
        <x:v>7.260000000000002</x:v>
      </x:c>
      <x:c r="B3536" s="256" t="n">
        <x:f>IF(COUNT($B$129:$L$129)=11,B$129*EXP(IF(A3536&lt;0,(10-0)*A3536,-0*A3536))+C$129*EXP(IF(A3536&lt;0,(10-1)*A3536,-1*A3536))+D$129*EXP(IF(A3536&lt;0,(10-2)*A3536,-2*A3536))+E$129*EXP(IF(A3536&lt;0,(10-3)*A3536,-3*A3536))+F$129*EXP(IF(A3536&lt;0,(10-4)*A3536,-4*A3536))+G$129*EXP(IF(A3536&lt;0,(10-5)*A3536,-5*A3536))+H$129*EXP(IF(A3536&lt;0,(10-6)*A3536,-6*A3536))+I$129*EXP(IF(A3536&lt;0,(10-7)*A3536,-7*A3536))+J$129*EXP(IF(A3536&lt;0,(10-8)*A3536,-8*A3536))+K$129*EXP(IF(A3536&lt;0,(10-9)*A3536,-9*A3536))+L$129*EXP(IF(A3536&lt;0,(10-10)*A3536,-10*A3536)),0)</x:f>
        <x:v>-190005.73566166207</x:v>
      </x:c>
      <x:c r="C3536" s="256" t="n">
        <x:f>IF(B3536=0,IF(B3535=0,0,1),IF(B3535=0,0,IF(SIGN(B3536)&lt;&gt;SIGN(B3535),1,0)))</x:f>
        <x:v>0</x:v>
      </x:c>
      <x:c r="D3536" s="256" t="n">
        <x:f>EXP(A3536-0.005)-1</x:f>
        <x:v>1414.1630031285476</x:v>
      </x:c>
    </x:row>
    <x:row r="3537" ht="20" customHeight="1">
      <x:c r="A3537" s="256" t="n">
        <x:f>-12+1927*0.01</x:f>
        <x:v>7.27</x:v>
      </x:c>
      <x:c r="B3537" s="256" t="n">
        <x:f>IF(COUNT($B$129:$L$129)=11,B$129*EXP(IF(A3537&lt;0,(10-0)*A3537,-0*A3537))+C$129*EXP(IF(A3537&lt;0,(10-1)*A3537,-1*A3537))+D$129*EXP(IF(A3537&lt;0,(10-2)*A3537,-2*A3537))+E$129*EXP(IF(A3537&lt;0,(10-3)*A3537,-3*A3537))+F$129*EXP(IF(A3537&lt;0,(10-4)*A3537,-4*A3537))+G$129*EXP(IF(A3537&lt;0,(10-5)*A3537,-5*A3537))+H$129*EXP(IF(A3537&lt;0,(10-6)*A3537,-6*A3537))+I$129*EXP(IF(A3537&lt;0,(10-7)*A3537,-7*A3537))+J$129*EXP(IF(A3537&lt;0,(10-8)*A3537,-8*A3537))+K$129*EXP(IF(A3537&lt;0,(10-9)*A3537,-9*A3537))+L$129*EXP(IF(A3537&lt;0,(10-10)*A3537,-10*A3537)),0)</x:f>
        <x:v>-190005.67856195444</x:v>
      </x:c>
      <x:c r="C3537" s="256" t="n">
        <x:f>IF(B3537=0,IF(B3536=0,0,1),IF(B3536=0,0,IF(SIGN(B3537)&lt;&gt;SIGN(B3536),1,0)))</x:f>
        <x:v>0</x:v>
      </x:c>
      <x:c r="D3537" s="256" t="n">
        <x:f>EXP(A3537-0.005)-1</x:f>
        <x:v>1428.38562776132</x:v>
      </x:c>
    </x:row>
    <x:row r="3538" ht="20" customHeight="1">
      <x:c r="A3538" s="256" t="n">
        <x:f>-12+1928*0.01</x:f>
        <x:v>7.280000000000001</x:v>
      </x:c>
      <x:c r="B3538" s="256" t="n">
        <x:f>IF(COUNT($B$129:$L$129)=11,B$129*EXP(IF(A3538&lt;0,(10-0)*A3538,-0*A3538))+C$129*EXP(IF(A3538&lt;0,(10-1)*A3538,-1*A3538))+D$129*EXP(IF(A3538&lt;0,(10-2)*A3538,-2*A3538))+E$129*EXP(IF(A3538&lt;0,(10-3)*A3538,-3*A3538))+F$129*EXP(IF(A3538&lt;0,(10-4)*A3538,-4*A3538))+G$129*EXP(IF(A3538&lt;0,(10-5)*A3538,-5*A3538))+H$129*EXP(IF(A3538&lt;0,(10-6)*A3538,-6*A3538))+I$129*EXP(IF(A3538&lt;0,(10-7)*A3538,-7*A3538))+J$129*EXP(IF(A3538&lt;0,(10-8)*A3538,-8*A3538))+K$129*EXP(IF(A3538&lt;0,(10-9)*A3538,-9*A3538))+L$129*EXP(IF(A3538&lt;0,(10-10)*A3538,-10*A3538)),0)</x:f>
        <x:v>-190005.62203097134</x:v>
      </x:c>
      <x:c r="C3538" s="256" t="n">
        <x:f>IF(B3538=0,IF(B3537=0,0,1),IF(B3537=0,0,IF(SIGN(B3538)&lt;&gt;SIGN(B3537),1,0)))</x:f>
        <x:v>0</x:v>
      </x:c>
      <x:c r="D3538" s="256" t="n">
        <x:f>EXP(A3538-0.005)-1</x:f>
        <x:v>1442.7511921480318</x:v>
      </x:c>
    </x:row>
    <x:row r="3539" ht="20" customHeight="1">
      <x:c r="A3539" s="256" t="n">
        <x:f>-12+1929*0.01</x:f>
        <x:v>7.289999999999999</x:v>
      </x:c>
      <x:c r="B3539" s="256" t="n">
        <x:f>IF(COUNT($B$129:$L$129)=11,B$129*EXP(IF(A3539&lt;0,(10-0)*A3539,-0*A3539))+C$129*EXP(IF(A3539&lt;0,(10-1)*A3539,-1*A3539))+D$129*EXP(IF(A3539&lt;0,(10-2)*A3539,-2*A3539))+E$129*EXP(IF(A3539&lt;0,(10-3)*A3539,-3*A3539))+F$129*EXP(IF(A3539&lt;0,(10-4)*A3539,-4*A3539))+G$129*EXP(IF(A3539&lt;0,(10-5)*A3539,-5*A3539))+H$129*EXP(IF(A3539&lt;0,(10-6)*A3539,-6*A3539))+I$129*EXP(IF(A3539&lt;0,(10-7)*A3539,-7*A3539))+J$129*EXP(IF(A3539&lt;0,(10-8)*A3539,-8*A3539))+K$129*EXP(IF(A3539&lt;0,(10-9)*A3539,-9*A3539))+L$129*EXP(IF(A3539&lt;0,(10-10)*A3539,-10*A3539)),0)</x:f>
        <x:v>-190005.56606304244</x:v>
      </x:c>
      <x:c r="C3539" s="256" t="n">
        <x:f>IF(B3539=0,IF(B3538=0,0,1),IF(B3538=0,0,IF(SIGN(B3539)&lt;&gt;SIGN(B3538),1,0)))</x:f>
        <x:v>0</x:v>
      </x:c>
      <x:c r="D3539" s="256" t="n">
        <x:f>EXP(A3539-0.005)-1</x:f>
        <x:v>1457.2611328570833</x:v>
      </x:c>
    </x:row>
    <x:row r="3540" ht="20" customHeight="1">
      <x:c r="A3540" s="256" t="n">
        <x:f>-12+1930*0.01</x:f>
        <x:v>7.300000000000001</x:v>
      </x:c>
      <x:c r="B3540" s="256" t="n">
        <x:f>IF(COUNT($B$129:$L$129)=11,B$129*EXP(IF(A3540&lt;0,(10-0)*A3540,-0*A3540))+C$129*EXP(IF(A3540&lt;0,(10-1)*A3540,-1*A3540))+D$129*EXP(IF(A3540&lt;0,(10-2)*A3540,-2*A3540))+E$129*EXP(IF(A3540&lt;0,(10-3)*A3540,-3*A3540))+F$129*EXP(IF(A3540&lt;0,(10-4)*A3540,-4*A3540))+G$129*EXP(IF(A3540&lt;0,(10-5)*A3540,-5*A3540))+H$129*EXP(IF(A3540&lt;0,(10-6)*A3540,-6*A3540))+I$129*EXP(IF(A3540&lt;0,(10-7)*A3540,-7*A3540))+J$129*EXP(IF(A3540&lt;0,(10-8)*A3540,-8*A3540))+K$129*EXP(IF(A3540&lt;0,(10-9)*A3540,-9*A3540))+L$129*EXP(IF(A3540&lt;0,(10-10)*A3540,-10*A3540)),0)</x:f>
        <x:v>-190005.5106525542</x:v>
      </x:c>
      <x:c r="C3540" s="256" t="n">
        <x:f>IF(B3540=0,IF(B3539=0,0,1),IF(B3539=0,0,IF(SIGN(B3540)&lt;&gt;SIGN(B3539),1,0)))</x:f>
        <x:v>0</x:v>
      </x:c>
      <x:c r="D3540" s="256" t="n">
        <x:f>EXP(A3540-0.005)-1</x:f>
        <x:v>1471.9169008946478</x:v>
      </x:c>
    </x:row>
    <x:row r="3541" ht="20" customHeight="1">
      <x:c r="A3541" s="256" t="n">
        <x:f>-12+1931*0.01</x:f>
        <x:v>7.309999999999999</x:v>
      </x:c>
      <x:c r="B3541" s="256" t="n">
        <x:f>IF(COUNT($B$129:$L$129)=11,B$129*EXP(IF(A3541&lt;0,(10-0)*A3541,-0*A3541))+C$129*EXP(IF(A3541&lt;0,(10-1)*A3541,-1*A3541))+D$129*EXP(IF(A3541&lt;0,(10-2)*A3541,-2*A3541))+E$129*EXP(IF(A3541&lt;0,(10-3)*A3541,-3*A3541))+F$129*EXP(IF(A3541&lt;0,(10-4)*A3541,-4*A3541))+G$129*EXP(IF(A3541&lt;0,(10-5)*A3541,-5*A3541))+H$129*EXP(IF(A3541&lt;0,(10-6)*A3541,-6*A3541))+I$129*EXP(IF(A3541&lt;0,(10-7)*A3541,-7*A3541))+J$129*EXP(IF(A3541&lt;0,(10-8)*A3541,-8*A3541))+K$129*EXP(IF(A3541&lt;0,(10-9)*A3541,-9*A3541))+L$129*EXP(IF(A3541&lt;0,(10-10)*A3541,-10*A3541)),0)</x:f>
        <x:v>-190005.455793949</x:v>
      </x:c>
      <x:c r="C3541" s="256" t="n">
        <x:f>IF(B3541=0,IF(B3540=0,0,1),IF(B3540=0,0,IF(SIGN(B3541)&lt;&gt;SIGN(B3540),1,0)))</x:f>
        <x:v>0</x:v>
      </x:c>
      <x:c r="D3541" s="256" t="n">
        <x:f>EXP(A3541-0.005)-1</x:f>
        <x:v>1486.719961849731</x:v>
      </x:c>
    </x:row>
    <x:row r="3542" ht="20" customHeight="1">
      <x:c r="A3542" s="256" t="n">
        <x:f>-12+1932*0.01</x:f>
        <x:v>7.32</x:v>
      </x:c>
      <x:c r="B3542" s="256" t="n">
        <x:f>IF(COUNT($B$129:$L$129)=11,B$129*EXP(IF(A3542&lt;0,(10-0)*A3542,-0*A3542))+C$129*EXP(IF(A3542&lt;0,(10-1)*A3542,-1*A3542))+D$129*EXP(IF(A3542&lt;0,(10-2)*A3542,-2*A3542))+E$129*EXP(IF(A3542&lt;0,(10-3)*A3542,-3*A3542))+F$129*EXP(IF(A3542&lt;0,(10-4)*A3542,-4*A3542))+G$129*EXP(IF(A3542&lt;0,(10-5)*A3542,-5*A3542))+H$129*EXP(IF(A3542&lt;0,(10-6)*A3542,-6*A3542))+I$129*EXP(IF(A3542&lt;0,(10-7)*A3542,-7*A3542))+J$129*EXP(IF(A3542&lt;0,(10-8)*A3542,-8*A3542))+K$129*EXP(IF(A3542&lt;0,(10-9)*A3542,-9*A3542))+L$129*EXP(IF(A3542&lt;0,(10-10)*A3542,-10*A3542)),0)</x:f>
        <x:v>-190005.40148172487</x:v>
      </x:c>
      <x:c r="C3542" s="256" t="n">
        <x:f>IF(B3542=0,IF(B3541=0,0,1),IF(B3541=0,0,IF(SIGN(B3542)&lt;&gt;SIGN(B3541),1,0)))</x:f>
        <x:v>0</x:v>
      </x:c>
      <x:c r="D3542" s="256" t="n">
        <x:f>EXP(A3542-0.005)-1</x:f>
        <x:v>1501.6717960407752</x:v>
      </x:c>
    </x:row>
    <x:row r="3543" ht="20" customHeight="1">
      <x:c r="A3543" s="256" t="n">
        <x:f>-12+1933*0.01</x:f>
        <x:v>7.330000000000002</x:v>
      </x:c>
      <x:c r="B3543" s="256" t="n">
        <x:f>IF(COUNT($B$129:$L$129)=11,B$129*EXP(IF(A3543&lt;0,(10-0)*A3543,-0*A3543))+C$129*EXP(IF(A3543&lt;0,(10-1)*A3543,-1*A3543))+D$129*EXP(IF(A3543&lt;0,(10-2)*A3543,-2*A3543))+E$129*EXP(IF(A3543&lt;0,(10-3)*A3543,-3*A3543))+F$129*EXP(IF(A3543&lt;0,(10-4)*A3543,-4*A3543))+G$129*EXP(IF(A3543&lt;0,(10-5)*A3543,-5*A3543))+H$129*EXP(IF(A3543&lt;0,(10-6)*A3543,-6*A3543))+I$129*EXP(IF(A3543&lt;0,(10-7)*A3543,-7*A3543))+J$129*EXP(IF(A3543&lt;0,(10-8)*A3543,-8*A3543))+K$129*EXP(IF(A3543&lt;0,(10-9)*A3543,-9*A3543))+L$129*EXP(IF(A3543&lt;0,(10-10)*A3543,-10*A3543)),0)</x:f>
        <x:v>-190005.34771043484</x:v>
      </x:c>
      <x:c r="C3543" s="256" t="n">
        <x:f>IF(B3543=0,IF(B3542=0,0,1),IF(B3542=0,0,IF(SIGN(B3543)&lt;&gt;SIGN(B3542),1,0)))</x:f>
        <x:v>0</x:v>
      </x:c>
      <x:c r="D3543" s="256" t="n">
        <x:f>EXP(A3543-0.005)-1</x:f>
        <x:v>1516.773898663654</x:v>
      </x:c>
    </x:row>
    <x:row r="3544" ht="20" customHeight="1">
      <x:c r="A3544" s="256" t="n">
        <x:f>-12+1934*0.01</x:f>
        <x:v>7.34</x:v>
      </x:c>
      <x:c r="B3544" s="256" t="n">
        <x:f>IF(COUNT($B$129:$L$129)=11,B$129*EXP(IF(A3544&lt;0,(10-0)*A3544,-0*A3544))+C$129*EXP(IF(A3544&lt;0,(10-1)*A3544,-1*A3544))+D$129*EXP(IF(A3544&lt;0,(10-2)*A3544,-2*A3544))+E$129*EXP(IF(A3544&lt;0,(10-3)*A3544,-3*A3544))+F$129*EXP(IF(A3544&lt;0,(10-4)*A3544,-4*A3544))+G$129*EXP(IF(A3544&lt;0,(10-5)*A3544,-5*A3544))+H$129*EXP(IF(A3544&lt;0,(10-6)*A3544,-6*A3544))+I$129*EXP(IF(A3544&lt;0,(10-7)*A3544,-7*A3544))+J$129*EXP(IF(A3544&lt;0,(10-8)*A3544,-8*A3544))+K$129*EXP(IF(A3544&lt;0,(10-9)*A3544,-9*A3544))+L$129*EXP(IF(A3544&lt;0,(10-10)*A3544,-10*A3544)),0)</x:f>
        <x:v>-190005.29447468606</x:v>
      </x:c>
      <x:c r="C3544" s="256" t="n">
        <x:f>IF(B3544=0,IF(B3543=0,0,1),IF(B3543=0,0,IF(SIGN(B3544)&lt;&gt;SIGN(B3543),1,0)))</x:f>
        <x:v>0</x:v>
      </x:c>
      <x:c r="D3544" s="256" t="n">
        <x:f>EXP(A3544-0.005)-1</x:f>
        <x:v>1532.0277799412102</x:v>
      </x:c>
    </x:row>
    <x:row r="3545" ht="20" customHeight="1">
      <x:c r="A3545" s="256" t="n">
        <x:f>-12+1935*0.01</x:f>
        <x:v>7.350000000000001</x:v>
      </x:c>
      <x:c r="B3545" s="256" t="n">
        <x:f>IF(COUNT($B$129:$L$129)=11,B$129*EXP(IF(A3545&lt;0,(10-0)*A3545,-0*A3545))+C$129*EXP(IF(A3545&lt;0,(10-1)*A3545,-1*A3545))+D$129*EXP(IF(A3545&lt;0,(10-2)*A3545,-2*A3545))+E$129*EXP(IF(A3545&lt;0,(10-3)*A3545,-3*A3545))+F$129*EXP(IF(A3545&lt;0,(10-4)*A3545,-4*A3545))+G$129*EXP(IF(A3545&lt;0,(10-5)*A3545,-5*A3545))+H$129*EXP(IF(A3545&lt;0,(10-6)*A3545,-6*A3545))+I$129*EXP(IF(A3545&lt;0,(10-7)*A3545,-7*A3545))+J$129*EXP(IF(A3545&lt;0,(10-8)*A3545,-8*A3545))+K$129*EXP(IF(A3545&lt;0,(10-9)*A3545,-9*A3545))+L$129*EXP(IF(A3545&lt;0,(10-10)*A3545,-10*A3545)),0)</x:f>
        <x:v>-190005.24176913995</x:v>
      </x:c>
      <x:c r="C3545" s="256" t="n">
        <x:f>IF(B3545=0,IF(B3544=0,0,1),IF(B3544=0,0,IF(SIGN(B3545)&lt;&gt;SIGN(B3544),1,0)))</x:f>
        <x:v>0</x:v>
      </x:c>
      <x:c r="D3545" s="256" t="n">
        <x:f>EXP(A3545-0.005)-1</x:f>
        <x:v>1547.4349652742928</x:v>
      </x:c>
    </x:row>
    <x:row r="3546" ht="20" customHeight="1">
      <x:c r="A3546" s="256" t="n">
        <x:f>-12+1936*0.01</x:f>
        <x:v>7.359999999999999</x:v>
      </x:c>
      <x:c r="B3546" s="256" t="n">
        <x:f>IF(COUNT($B$129:$L$129)=11,B$129*EXP(IF(A3546&lt;0,(10-0)*A3546,-0*A3546))+C$129*EXP(IF(A3546&lt;0,(10-1)*A3546,-1*A3546))+D$129*EXP(IF(A3546&lt;0,(10-2)*A3546,-2*A3546))+E$129*EXP(IF(A3546&lt;0,(10-3)*A3546,-3*A3546))+F$129*EXP(IF(A3546&lt;0,(10-4)*A3546,-4*A3546))+G$129*EXP(IF(A3546&lt;0,(10-5)*A3546,-5*A3546))+H$129*EXP(IF(A3546&lt;0,(10-6)*A3546,-6*A3546))+I$129*EXP(IF(A3546&lt;0,(10-7)*A3546,-7*A3546))+J$129*EXP(IF(A3546&lt;0,(10-8)*A3546,-8*A3546))+K$129*EXP(IF(A3546&lt;0,(10-9)*A3546,-9*A3546))+L$129*EXP(IF(A3546&lt;0,(10-10)*A3546,-10*A3546)),0)</x:f>
        <x:v>-190005.18958851087</x:v>
      </x:c>
      <x:c r="C3546" s="256" t="n">
        <x:f>IF(B3546=0,IF(B3545=0,0,1),IF(B3545=0,0,IF(SIGN(B3546)&lt;&gt;SIGN(B3545),1,0)))</x:f>
        <x:v>0</x:v>
      </x:c>
      <x:c r="D3546" s="256" t="n">
        <x:f>EXP(A3546-0.005)-1</x:f>
        <x:v>1562.9969953942643</x:v>
      </x:c>
    </x:row>
    <x:row r="3547" ht="20" customHeight="1">
      <x:c r="A3547" s="256" t="n">
        <x:f>-12+1937*0.01</x:f>
        <x:v>7.370000000000001</x:v>
      </x:c>
      <x:c r="B3547" s="256" t="n">
        <x:f>IF(COUNT($B$129:$L$129)=11,B$129*EXP(IF(A3547&lt;0,(10-0)*A3547,-0*A3547))+C$129*EXP(IF(A3547&lt;0,(10-1)*A3547,-1*A3547))+D$129*EXP(IF(A3547&lt;0,(10-2)*A3547,-2*A3547))+E$129*EXP(IF(A3547&lt;0,(10-3)*A3547,-3*A3547))+F$129*EXP(IF(A3547&lt;0,(10-4)*A3547,-4*A3547))+G$129*EXP(IF(A3547&lt;0,(10-5)*A3547,-5*A3547))+H$129*EXP(IF(A3547&lt;0,(10-6)*A3547,-6*A3547))+I$129*EXP(IF(A3547&lt;0,(10-7)*A3547,-7*A3547))+J$129*EXP(IF(A3547&lt;0,(10-8)*A3547,-8*A3547))+K$129*EXP(IF(A3547&lt;0,(10-9)*A3547,-9*A3547))+L$129*EXP(IF(A3547&lt;0,(10-10)*A3547,-10*A3547)),0)</x:f>
        <x:v>-190005.1379275662</x:v>
      </x:c>
      <x:c r="C3547" s="256" t="n">
        <x:f>IF(B3547=0,IF(B3546=0,0,1),IF(B3546=0,0,IF(SIGN(B3547)&lt;&gt;SIGN(B3546),1,0)))</x:f>
        <x:v>0</x:v>
      </x:c>
      <x:c r="D3547" s="256" t="n">
        <x:f>EXP(A3547-0.005)-1</x:f>
        <x:v>1578.7154265171162</x:v>
      </x:c>
    </x:row>
    <x:row r="3548" ht="20" customHeight="1">
      <x:c r="A3548" s="256" t="n">
        <x:f>-12+1938*0.01</x:f>
        <x:v>7.379999999999999</x:v>
      </x:c>
      <x:c r="B3548" s="256" t="n">
        <x:f>IF(COUNT($B$129:$L$129)=11,B$129*EXP(IF(A3548&lt;0,(10-0)*A3548,-0*A3548))+C$129*EXP(IF(A3548&lt;0,(10-1)*A3548,-1*A3548))+D$129*EXP(IF(A3548&lt;0,(10-2)*A3548,-2*A3548))+E$129*EXP(IF(A3548&lt;0,(10-3)*A3548,-3*A3548))+F$129*EXP(IF(A3548&lt;0,(10-4)*A3548,-4*A3548))+G$129*EXP(IF(A3548&lt;0,(10-5)*A3548,-5*A3548))+H$129*EXP(IF(A3548&lt;0,(10-6)*A3548,-6*A3548))+I$129*EXP(IF(A3548&lt;0,(10-7)*A3548,-7*A3548))+J$129*EXP(IF(A3548&lt;0,(10-8)*A3548,-8*A3548))+K$129*EXP(IF(A3548&lt;0,(10-9)*A3548,-9*A3548))+L$129*EXP(IF(A3548&lt;0,(10-10)*A3548,-10*A3548)),0)</x:f>
        <x:v>-190005.08678112554</x:v>
      </x:c>
      <x:c r="C3548" s="256" t="n">
        <x:f>IF(B3548=0,IF(B3547=0,0,1),IF(B3547=0,0,IF(SIGN(B3548)&lt;&gt;SIGN(B3547),1,0)))</x:f>
        <x:v>0</x:v>
      </x:c>
      <x:c r="D3548" s="256" t="n">
        <x:f>EXP(A3548-0.005)-1</x:f>
        <x:v>1594.5918304990478</x:v>
      </x:c>
    </x:row>
    <x:row r="3549" ht="20" customHeight="1">
      <x:c r="A3549" s="256" t="n">
        <x:f>-12+1939*0.01</x:f>
        <x:v>7.390000000000001</x:v>
      </x:c>
      <x:c r="B3549" s="256" t="n">
        <x:f>IF(COUNT($B$129:$L$129)=11,B$129*EXP(IF(A3549&lt;0,(10-0)*A3549,-0*A3549))+C$129*EXP(IF(A3549&lt;0,(10-1)*A3549,-1*A3549))+D$129*EXP(IF(A3549&lt;0,(10-2)*A3549,-2*A3549))+E$129*EXP(IF(A3549&lt;0,(10-3)*A3549,-3*A3549))+F$129*EXP(IF(A3549&lt;0,(10-4)*A3549,-4*A3549))+G$129*EXP(IF(A3549&lt;0,(10-5)*A3549,-5*A3549))+H$129*EXP(IF(A3549&lt;0,(10-6)*A3549,-6*A3549))+I$129*EXP(IF(A3549&lt;0,(10-7)*A3549,-7*A3549))+J$129*EXP(IF(A3549&lt;0,(10-8)*A3549,-8*A3549))+K$129*EXP(IF(A3549&lt;0,(10-9)*A3549,-9*A3549))+L$129*EXP(IF(A3549&lt;0,(10-10)*A3549,-10*A3549)),0)</x:f>
        <x:v>-190005.03614406017</x:v>
      </x:c>
      <x:c r="C3549" s="256" t="n">
        <x:f>IF(B3549=0,IF(B3548=0,0,1),IF(B3548=0,0,IF(SIGN(B3549)&lt;&gt;SIGN(B3548),1,0)))</x:f>
        <x:v>0</x:v>
      </x:c>
      <x:c r="D3549" s="256" t="n">
        <x:f>EXP(A3549-0.005)-1</x:f>
        <x:v>1610.6277949936991</x:v>
      </x:c>
    </x:row>
    <x:row r="3550" ht="20" customHeight="1">
      <x:c r="A3550" s="256" t="n">
        <x:f>-12+1940*0.01</x:f>
        <x:v>7.400000000000002</x:v>
      </x:c>
      <x:c r="B3550" s="256" t="n">
        <x:f>IF(COUNT($B$129:$L$129)=11,B$129*EXP(IF(A3550&lt;0,(10-0)*A3550,-0*A3550))+C$129*EXP(IF(A3550&lt;0,(10-1)*A3550,-1*A3550))+D$129*EXP(IF(A3550&lt;0,(10-2)*A3550,-2*A3550))+E$129*EXP(IF(A3550&lt;0,(10-3)*A3550,-3*A3550))+F$129*EXP(IF(A3550&lt;0,(10-4)*A3550,-4*A3550))+G$129*EXP(IF(A3550&lt;0,(10-5)*A3550,-5*A3550))+H$129*EXP(IF(A3550&lt;0,(10-6)*A3550,-6*A3550))+I$129*EXP(IF(A3550&lt;0,(10-7)*A3550,-7*A3550))+J$129*EXP(IF(A3550&lt;0,(10-8)*A3550,-8*A3550))+K$129*EXP(IF(A3550&lt;0,(10-9)*A3550,-9*A3550))+L$129*EXP(IF(A3550&lt;0,(10-10)*A3550,-10*A3550)),0)</x:f>
        <x:v>-190004.9860112926</x:v>
      </x:c>
      <x:c r="C3550" s="256" t="n">
        <x:f>IF(B3550=0,IF(B3549=0,0,1),IF(B3549=0,0,IF(SIGN(B3550)&lt;&gt;SIGN(B3549),1,0)))</x:f>
        <x:v>0</x:v>
      </x:c>
      <x:c r="D3550" s="256" t="n">
        <x:f>EXP(A3550-0.005)-1</x:f>
        <x:v>1626.8249236108777</x:v>
      </x:c>
    </x:row>
    <x:row r="3551" ht="20" customHeight="1">
      <x:c r="A3551" s="256" t="n">
        <x:f>-12+1941*0.01</x:f>
        <x:v>7.41</x:v>
      </x:c>
      <x:c r="B3551" s="256" t="n">
        <x:f>IF(COUNT($B$129:$L$129)=11,B$129*EXP(IF(A3551&lt;0,(10-0)*A3551,-0*A3551))+C$129*EXP(IF(A3551&lt;0,(10-1)*A3551,-1*A3551))+D$129*EXP(IF(A3551&lt;0,(10-2)*A3551,-2*A3551))+E$129*EXP(IF(A3551&lt;0,(10-3)*A3551,-3*A3551))+F$129*EXP(IF(A3551&lt;0,(10-4)*A3551,-4*A3551))+G$129*EXP(IF(A3551&lt;0,(10-5)*A3551,-5*A3551))+H$129*EXP(IF(A3551&lt;0,(10-6)*A3551,-6*A3551))+I$129*EXP(IF(A3551&lt;0,(10-7)*A3551,-7*A3551))+J$129*EXP(IF(A3551&lt;0,(10-8)*A3551,-8*A3551))+K$129*EXP(IF(A3551&lt;0,(10-9)*A3551,-9*A3551))+L$129*EXP(IF(A3551&lt;0,(10-10)*A3551,-10*A3551)),0)</x:f>
        <x:v>-190004.93637779614</x:v>
      </x:c>
      <x:c r="C3551" s="256" t="n">
        <x:f>IF(B3551=0,IF(B3550=0,0,1),IF(B3550=0,0,IF(SIGN(B3551)&lt;&gt;SIGN(B3550),1,0)))</x:f>
        <x:v>0</x:v>
      </x:c>
      <x:c r="D3551" s="256" t="n">
        <x:f>EXP(A3551-0.005)-1</x:f>
        <x:v>1643.1848360769368</x:v>
      </x:c>
    </x:row>
    <x:row r="3552" ht="20" customHeight="1">
      <x:c r="A3552" s="256" t="n">
        <x:f>-12+1942*0.01</x:f>
        <x:v>7.420000000000002</x:v>
      </x:c>
      <x:c r="B3552" s="256" t="n">
        <x:f>IF(COUNT($B$129:$L$129)=11,B$129*EXP(IF(A3552&lt;0,(10-0)*A3552,-0*A3552))+C$129*EXP(IF(A3552&lt;0,(10-1)*A3552,-1*A3552))+D$129*EXP(IF(A3552&lt;0,(10-2)*A3552,-2*A3552))+E$129*EXP(IF(A3552&lt;0,(10-3)*A3552,-3*A3552))+F$129*EXP(IF(A3552&lt;0,(10-4)*A3552,-4*A3552))+G$129*EXP(IF(A3552&lt;0,(10-5)*A3552,-5*A3552))+H$129*EXP(IF(A3552&lt;0,(10-6)*A3552,-6*A3552))+I$129*EXP(IF(A3552&lt;0,(10-7)*A3552,-7*A3552))+J$129*EXP(IF(A3552&lt;0,(10-8)*A3552,-8*A3552))+K$129*EXP(IF(A3552&lt;0,(10-9)*A3552,-9*A3552))+L$129*EXP(IF(A3552&lt;0,(10-10)*A3552,-10*A3552)),0)</x:f>
        <x:v>-190004.88723859403</x:v>
      </x:c>
      <x:c r="C3552" s="256" t="n">
        <x:f>IF(B3552=0,IF(B3551=0,0,1),IF(B3551=0,0,IF(SIGN(B3552)&lt;&gt;SIGN(B3551),1,0)))</x:f>
        <x:v>0</x:v>
      </x:c>
      <x:c r="D3552" s="256" t="n">
        <x:f>EXP(A3552-0.005)-1</x:f>
        <x:v>1659.7091683967683</x:v>
      </x:c>
    </x:row>
    <x:row r="3553" ht="20" customHeight="1">
      <x:c r="A3553" s="256" t="n">
        <x:f>-12+1943*0.01</x:f>
        <x:v>7.43</x:v>
      </x:c>
      <x:c r="B3553" s="256" t="n">
        <x:f>IF(COUNT($B$129:$L$129)=11,B$129*EXP(IF(A3553&lt;0,(10-0)*A3553,-0*A3553))+C$129*EXP(IF(A3553&lt;0,(10-1)*A3553,-1*A3553))+D$129*EXP(IF(A3553&lt;0,(10-2)*A3553,-2*A3553))+E$129*EXP(IF(A3553&lt;0,(10-3)*A3553,-3*A3553))+F$129*EXP(IF(A3553&lt;0,(10-4)*A3553,-4*A3553))+G$129*EXP(IF(A3553&lt;0,(10-5)*A3553,-5*A3553))+H$129*EXP(IF(A3553&lt;0,(10-6)*A3553,-6*A3553))+I$129*EXP(IF(A3553&lt;0,(10-7)*A3553,-7*A3553))+J$129*EXP(IF(A3553&lt;0,(10-8)*A3553,-8*A3553))+K$129*EXP(IF(A3553&lt;0,(10-9)*A3553,-9*A3553))+L$129*EXP(IF(A3553&lt;0,(10-10)*A3553,-10*A3553)),0)</x:f>
        <x:v>-190004.83858875957</x:v>
      </x:c>
      <x:c r="C3553" s="256" t="n">
        <x:f>IF(B3553=0,IF(B3552=0,0,1),IF(B3552=0,0,IF(SIGN(B3553)&lt;&gt;SIGN(B3552),1,0)))</x:f>
        <x:v>0</x:v>
      </x:c>
      <x:c r="D3553" s="256" t="n">
        <x:f>EXP(A3553-0.005)-1</x:f>
        <x:v>1676.3995730173622</x:v>
      </x:c>
    </x:row>
    <x:row r="3554" ht="20" customHeight="1">
      <x:c r="A3554" s="256" t="n">
        <x:f>-12+1944*0.01</x:f>
        <x:v>7.440000000000001</x:v>
      </x:c>
      <x:c r="B3554" s="256" t="n">
        <x:f>IF(COUNT($B$129:$L$129)=11,B$129*EXP(IF(A3554&lt;0,(10-0)*A3554,-0*A3554))+C$129*EXP(IF(A3554&lt;0,(10-1)*A3554,-1*A3554))+D$129*EXP(IF(A3554&lt;0,(10-2)*A3554,-2*A3554))+E$129*EXP(IF(A3554&lt;0,(10-3)*A3554,-3*A3554))+F$129*EXP(IF(A3554&lt;0,(10-4)*A3554,-4*A3554))+G$129*EXP(IF(A3554&lt;0,(10-5)*A3554,-5*A3554))+H$129*EXP(IF(A3554&lt;0,(10-6)*A3554,-6*A3554))+I$129*EXP(IF(A3554&lt;0,(10-7)*A3554,-7*A3554))+J$129*EXP(IF(A3554&lt;0,(10-8)*A3554,-8*A3554))+K$129*EXP(IF(A3554&lt;0,(10-9)*A3554,-9*A3554))+L$129*EXP(IF(A3554&lt;0,(10-10)*A3554,-10*A3554)),0)</x:f>
        <x:v>-190004.79042341496</x:v>
      </x:c>
      <x:c r="C3554" s="256" t="n">
        <x:f>IF(B3554=0,IF(B3553=0,0,1),IF(B3553=0,0,IF(SIGN(B3554)&lt;&gt;SIGN(B3553),1,0)))</x:f>
        <x:v>0</x:v>
      </x:c>
      <x:c r="D3554" s="256" t="n">
        <x:f>EXP(A3554-0.005)-1</x:f>
        <x:v>1693.2577189931014</x:v>
      </x:c>
    </x:row>
    <x:row r="3555" ht="20" customHeight="1">
      <x:c r="A3555" s="256" t="n">
        <x:f>-12+1945*0.01</x:f>
        <x:v>7.449999999999999</x:v>
      </x:c>
      <x:c r="B3555" s="256" t="n">
        <x:f>IF(COUNT($B$129:$L$129)=11,B$129*EXP(IF(A3555&lt;0,(10-0)*A3555,-0*A3555))+C$129*EXP(IF(A3555&lt;0,(10-1)*A3555,-1*A3555))+D$129*EXP(IF(A3555&lt;0,(10-2)*A3555,-2*A3555))+E$129*EXP(IF(A3555&lt;0,(10-3)*A3555,-3*A3555))+F$129*EXP(IF(A3555&lt;0,(10-4)*A3555,-4*A3555))+G$129*EXP(IF(A3555&lt;0,(10-5)*A3555,-5*A3555))+H$129*EXP(IF(A3555&lt;0,(10-6)*A3555,-6*A3555))+I$129*EXP(IF(A3555&lt;0,(10-7)*A3555,-7*A3555))+J$129*EXP(IF(A3555&lt;0,(10-8)*A3555,-8*A3555))+K$129*EXP(IF(A3555&lt;0,(10-9)*A3555,-9*A3555))+L$129*EXP(IF(A3555&lt;0,(10-10)*A3555,-10*A3555)),0)</x:f>
        <x:v>-190004.74273773126</x:v>
      </x:c>
      <x:c r="C3555" s="256" t="n">
        <x:f>IF(B3555=0,IF(B3554=0,0,1),IF(B3554=0,0,IF(SIGN(B3555)&lt;&gt;SIGN(B3554),1,0)))</x:f>
        <x:v>0</x:v>
      </x:c>
      <x:c r="D3555" s="256" t="n">
        <x:f>EXP(A3555-0.005)-1</x:f>
        <x:v>1710.28529215262</x:v>
      </x:c>
    </x:row>
    <x:row r="3556" ht="20" customHeight="1">
      <x:c r="A3556" s="256" t="n">
        <x:f>-12+1946*0.01</x:f>
        <x:v>7.460000000000001</x:v>
      </x:c>
      <x:c r="B3556" s="256" t="n">
        <x:f>IF(COUNT($B$129:$L$129)=11,B$129*EXP(IF(A3556&lt;0,(10-0)*A3556,-0*A3556))+C$129*EXP(IF(A3556&lt;0,(10-1)*A3556,-1*A3556))+D$129*EXP(IF(A3556&lt;0,(10-2)*A3556,-2*A3556))+E$129*EXP(IF(A3556&lt;0,(10-3)*A3556,-3*A3556))+F$129*EXP(IF(A3556&lt;0,(10-4)*A3556,-4*A3556))+G$129*EXP(IF(A3556&lt;0,(10-5)*A3556,-5*A3556))+H$129*EXP(IF(A3556&lt;0,(10-6)*A3556,-6*A3556))+I$129*EXP(IF(A3556&lt;0,(10-7)*A3556,-7*A3556))+J$129*EXP(IF(A3556&lt;0,(10-8)*A3556,-8*A3556))+K$129*EXP(IF(A3556&lt;0,(10-9)*A3556,-9*A3556))+L$129*EXP(IF(A3556&lt;0,(10-10)*A3556,-10*A3556)),0)</x:f>
        <x:v>-190004.69552692765</x:v>
      </x:c>
      <x:c r="C3556" s="256" t="n">
        <x:f>IF(B3556=0,IF(B3555=0,0,1),IF(B3555=0,0,IF(SIGN(B3556)&lt;&gt;SIGN(B3555),1,0)))</x:f>
        <x:v>0</x:v>
      </x:c>
      <x:c r="D3556" s="256" t="n">
        <x:f>EXP(A3556-0.005)-1</x:f>
        <x:v>1727.483995267436</x:v>
      </x:c>
    </x:row>
    <x:row r="3557" ht="20" customHeight="1">
      <x:c r="A3557" s="256" t="n">
        <x:f>-12+1947*0.01</x:f>
        <x:v>7.469999999999999</x:v>
      </x:c>
      <x:c r="B3557" s="256" t="n">
        <x:f>IF(COUNT($B$129:$L$129)=11,B$129*EXP(IF(A3557&lt;0,(10-0)*A3557,-0*A3557))+C$129*EXP(IF(A3557&lt;0,(10-1)*A3557,-1*A3557))+D$129*EXP(IF(A3557&lt;0,(10-2)*A3557,-2*A3557))+E$129*EXP(IF(A3557&lt;0,(10-3)*A3557,-3*A3557))+F$129*EXP(IF(A3557&lt;0,(10-4)*A3557,-4*A3557))+G$129*EXP(IF(A3557&lt;0,(10-5)*A3557,-5*A3557))+H$129*EXP(IF(A3557&lt;0,(10-6)*A3557,-6*A3557))+I$129*EXP(IF(A3557&lt;0,(10-7)*A3557,-7*A3557))+J$129*EXP(IF(A3557&lt;0,(10-8)*A3557,-8*A3557))+K$129*EXP(IF(A3557&lt;0,(10-9)*A3557,-9*A3557))+L$129*EXP(IF(A3557&lt;0,(10-10)*A3557,-10*A3557)),0)</x:f>
        <x:v>-190004.64878627108</x:v>
      </x:c>
      <x:c r="C3557" s="256" t="n">
        <x:f>IF(B3557=0,IF(B3556=0,0,1),IF(B3556=0,0,IF(SIGN(B3557)&lt;&gt;SIGN(B3556),1,0)))</x:f>
        <x:v>0</x:v>
      </x:c>
      <x:c r="D3557" s="256" t="n">
        <x:f>EXP(A3557-0.005)-1</x:f>
        <x:v>1744.8555482221807</x:v>
      </x:c>
    </x:row>
    <x:row r="3558" ht="20" customHeight="1">
      <x:c r="A3558" s="256" t="n">
        <x:f>-12+1948*0.01</x:f>
        <x:v>7.48</x:v>
      </x:c>
      <x:c r="B3558" s="256" t="n">
        <x:f>IF(COUNT($B$129:$L$129)=11,B$129*EXP(IF(A3558&lt;0,(10-0)*A3558,-0*A3558))+C$129*EXP(IF(A3558&lt;0,(10-1)*A3558,-1*A3558))+D$129*EXP(IF(A3558&lt;0,(10-2)*A3558,-2*A3558))+E$129*EXP(IF(A3558&lt;0,(10-3)*A3558,-3*A3558))+F$129*EXP(IF(A3558&lt;0,(10-4)*A3558,-4*A3558))+G$129*EXP(IF(A3558&lt;0,(10-5)*A3558,-5*A3558))+H$129*EXP(IF(A3558&lt;0,(10-6)*A3558,-6*A3558))+I$129*EXP(IF(A3558&lt;0,(10-7)*A3558,-7*A3558))+J$129*EXP(IF(A3558&lt;0,(10-8)*A3558,-8*A3558))+K$129*EXP(IF(A3558&lt;0,(10-9)*A3558,-9*A3558))+L$129*EXP(IF(A3558&lt;0,(10-10)*A3558,-10*A3558)),0)</x:f>
        <x:v>-190004.6025110757</x:v>
      </x:c>
      <x:c r="C3558" s="256" t="n">
        <x:f>IF(B3558=0,IF(B3557=0,0,1),IF(B3557=0,0,IF(SIGN(B3558)&lt;&gt;SIGN(B3557),1,0)))</x:f>
        <x:v>0</x:v>
      </x:c>
      <x:c r="D3558" s="256" t="n">
        <x:f>EXP(A3558-0.005)-1</x:f>
        <x:v>1762.4016881866382</x:v>
      </x:c>
    </x:row>
    <x:row r="3559" ht="20" customHeight="1">
      <x:c r="A3559" s="256" t="n">
        <x:f>-12+1949*0.01</x:f>
        <x:v>7.490000000000002</x:v>
      </x:c>
      <x:c r="B3559" s="256" t="n">
        <x:f>IF(COUNT($B$129:$L$129)=11,B$129*EXP(IF(A3559&lt;0,(10-0)*A3559,-0*A3559))+C$129*EXP(IF(A3559&lt;0,(10-1)*A3559,-1*A3559))+D$129*EXP(IF(A3559&lt;0,(10-2)*A3559,-2*A3559))+E$129*EXP(IF(A3559&lt;0,(10-3)*A3559,-3*A3559))+F$129*EXP(IF(A3559&lt;0,(10-4)*A3559,-4*A3559))+G$129*EXP(IF(A3559&lt;0,(10-5)*A3559,-5*A3559))+H$129*EXP(IF(A3559&lt;0,(10-6)*A3559,-6*A3559))+I$129*EXP(IF(A3559&lt;0,(10-7)*A3559,-7*A3559))+J$129*EXP(IF(A3559&lt;0,(10-8)*A3559,-8*A3559))+K$129*EXP(IF(A3559&lt;0,(10-9)*A3559,-9*A3559))+L$129*EXP(IF(A3559&lt;0,(10-10)*A3559,-10*A3559)),0)</x:f>
        <x:v>-190004.55669670264</x:v>
      </x:c>
      <x:c r="C3559" s="256" t="n">
        <x:f>IF(B3559=0,IF(B3558=0,0,1),IF(B3558=0,0,IF(SIGN(B3559)&lt;&gt;SIGN(B3558),1,0)))</x:f>
        <x:v>0</x:v>
      </x:c>
      <x:c r="D3559" s="256" t="n">
        <x:f>EXP(A3559-0.005)-1</x:f>
        <x:v>1780.1241697894206</x:v>
      </x:c>
    </x:row>
    <x:row r="3560" ht="20" customHeight="1">
      <x:c r="A3560" s="256" t="n">
        <x:f>-12+1950*0.01</x:f>
        <x:v>7.5</x:v>
      </x:c>
      <x:c r="B3560" s="256" t="n">
        <x:f>IF(COUNT($B$129:$L$129)=11,B$129*EXP(IF(A3560&lt;0,(10-0)*A3560,-0*A3560))+C$129*EXP(IF(A3560&lt;0,(10-1)*A3560,-1*A3560))+D$129*EXP(IF(A3560&lt;0,(10-2)*A3560,-2*A3560))+E$129*EXP(IF(A3560&lt;0,(10-3)*A3560,-3*A3560))+F$129*EXP(IF(A3560&lt;0,(10-4)*A3560,-4*A3560))+G$129*EXP(IF(A3560&lt;0,(10-5)*A3560,-5*A3560))+H$129*EXP(IF(A3560&lt;0,(10-6)*A3560,-6*A3560))+I$129*EXP(IF(A3560&lt;0,(10-7)*A3560,-7*A3560))+J$129*EXP(IF(A3560&lt;0,(10-8)*A3560,-8*A3560))+K$129*EXP(IF(A3560&lt;0,(10-9)*A3560,-9*A3560))+L$129*EXP(IF(A3560&lt;0,(10-10)*A3560,-10*A3560)),0)</x:f>
        <x:v>-190004.51133855904</x:v>
      </x:c>
      <x:c r="C3560" s="256" t="n">
        <x:f>IF(B3560=0,IF(B3559=0,0,1),IF(B3559=0,0,IF(SIGN(B3560)&lt;&gt;SIGN(B3559),1,0)))</x:f>
        <x:v>0</x:v>
      </x:c>
      <x:c r="D3560" s="256" t="n">
        <x:f>EXP(A3560-0.005)-1</x:f>
        <x:v>1798.0247652934509</x:v>
      </x:c>
    </x:row>
    <x:row r="3561" ht="20" customHeight="1">
      <x:c r="A3561" s="256" t="n">
        <x:f>-12+1951*0.01</x:f>
        <x:v>7.510000000000002</x:v>
      </x:c>
      <x:c r="B3561" s="256" t="n">
        <x:f>IF(COUNT($B$129:$L$129)=11,B$129*EXP(IF(A3561&lt;0,(10-0)*A3561,-0*A3561))+C$129*EXP(IF(A3561&lt;0,(10-1)*A3561,-1*A3561))+D$129*EXP(IF(A3561&lt;0,(10-2)*A3561,-2*A3561))+E$129*EXP(IF(A3561&lt;0,(10-3)*A3561,-3*A3561))+F$129*EXP(IF(A3561&lt;0,(10-4)*A3561,-4*A3561))+G$129*EXP(IF(A3561&lt;0,(10-5)*A3561,-5*A3561))+H$129*EXP(IF(A3561&lt;0,(10-6)*A3561,-6*A3561))+I$129*EXP(IF(A3561&lt;0,(10-7)*A3561,-7*A3561))+J$129*EXP(IF(A3561&lt;0,(10-8)*A3561,-8*A3561))+K$129*EXP(IF(A3561&lt;0,(10-9)*A3561,-9*A3561))+L$129*EXP(IF(A3561&lt;0,(10-10)*A3561,-10*A3561)),0)</x:f>
        <x:v>-190004.46643209807</x:v>
      </x:c>
      <x:c r="C3561" s="256" t="n">
        <x:f>IF(B3561=0,IF(B3560=0,0,1),IF(B3560=0,0,IF(SIGN(B3561)&lt;&gt;SIGN(B3560),1,0)))</x:f>
        <x:v>0</x:v>
      </x:c>
      <x:c r="D3561" s="256" t="n">
        <x:f>EXP(A3561-0.005)-1</x:f>
        <x:v>1816.105264773209</x:v>
      </x:c>
    </x:row>
    <x:row r="3562" ht="20" customHeight="1">
      <x:c r="A3562" s="256" t="n">
        <x:f>-12+1952*0.01</x:f>
        <x:v>7.52</x:v>
      </x:c>
      <x:c r="B3562" s="256" t="n">
        <x:f>IF(COUNT($B$129:$L$129)=11,B$129*EXP(IF(A3562&lt;0,(10-0)*A3562,-0*A3562))+C$129*EXP(IF(A3562&lt;0,(10-1)*A3562,-1*A3562))+D$129*EXP(IF(A3562&lt;0,(10-2)*A3562,-2*A3562))+E$129*EXP(IF(A3562&lt;0,(10-3)*A3562,-3*A3562))+F$129*EXP(IF(A3562&lt;0,(10-4)*A3562,-4*A3562))+G$129*EXP(IF(A3562&lt;0,(10-5)*A3562,-5*A3562))+H$129*EXP(IF(A3562&lt;0,(10-6)*A3562,-6*A3562))+I$129*EXP(IF(A3562&lt;0,(10-7)*A3562,-7*A3562))+J$129*EXP(IF(A3562&lt;0,(10-8)*A3562,-8*A3562))+K$129*EXP(IF(A3562&lt;0,(10-9)*A3562,-9*A3562))+L$129*EXP(IF(A3562&lt;0,(10-10)*A3562,-10*A3562)),0)</x:f>
        <x:v>-190004.4219728183</x:v>
      </x:c>
      <x:c r="C3562" s="256" t="n">
        <x:f>IF(B3562=0,IF(B3561=0,0,1),IF(B3561=0,0,IF(SIGN(B3562)&lt;&gt;SIGN(B3561),1,0)))</x:f>
        <x:v>0</x:v>
      </x:c>
      <x:c r="D3562" s="256" t="n">
        <x:f>EXP(A3562-0.005)-1</x:f>
        <x:v>1834.3674762936976</x:v>
      </x:c>
    </x:row>
    <x:row r="3563" ht="20" customHeight="1">
      <x:c r="A3563" s="256" t="n">
        <x:f>-12+1953*0.01</x:f>
        <x:v>7.530000000000001</x:v>
      </x:c>
      <x:c r="B3563" s="256" t="n">
        <x:f>IF(COUNT($B$129:$L$129)=11,B$129*EXP(IF(A3563&lt;0,(10-0)*A3563,-0*A3563))+C$129*EXP(IF(A3563&lt;0,(10-1)*A3563,-1*A3563))+D$129*EXP(IF(A3563&lt;0,(10-2)*A3563,-2*A3563))+E$129*EXP(IF(A3563&lt;0,(10-3)*A3563,-3*A3563))+F$129*EXP(IF(A3563&lt;0,(10-4)*A3563,-4*A3563))+G$129*EXP(IF(A3563&lt;0,(10-5)*A3563,-5*A3563))+H$129*EXP(IF(A3563&lt;0,(10-6)*A3563,-6*A3563))+I$129*EXP(IF(A3563&lt;0,(10-7)*A3563,-7*A3563))+J$129*EXP(IF(A3563&lt;0,(10-8)*A3563,-8*A3563))+K$129*EXP(IF(A3563&lt;0,(10-9)*A3563,-9*A3563))+L$129*EXP(IF(A3563&lt;0,(10-10)*A3563,-10*A3563)),0)</x:f>
        <x:v>-190004.3779562631</x:v>
      </x:c>
      <x:c r="C3563" s="256" t="n">
        <x:f>IF(B3563=0,IF(B3562=0,0,1),IF(B3562=0,0,IF(SIGN(B3563)&lt;&gt;SIGN(B3562),1,0)))</x:f>
        <x:v>0</x:v>
      </x:c>
      <x:c r="D3563" s="256" t="n">
        <x:f>EXP(A3563-0.005)-1</x:f>
        <x:v>1852.8132260913</x:v>
      </x:c>
    </x:row>
    <x:row r="3564" ht="20" customHeight="1">
      <x:c r="A3564" s="256" t="n">
        <x:f>-12+1954*0.01</x:f>
        <x:v>7.539999999999999</x:v>
      </x:c>
      <x:c r="B3564" s="256" t="n">
        <x:f>IF(COUNT($B$129:$L$129)=11,B$129*EXP(IF(A3564&lt;0,(10-0)*A3564,-0*A3564))+C$129*EXP(IF(A3564&lt;0,(10-1)*A3564,-1*A3564))+D$129*EXP(IF(A3564&lt;0,(10-2)*A3564,-2*A3564))+E$129*EXP(IF(A3564&lt;0,(10-3)*A3564,-3*A3564))+F$129*EXP(IF(A3564&lt;0,(10-4)*A3564,-4*A3564))+G$129*EXP(IF(A3564&lt;0,(10-5)*A3564,-5*A3564))+H$129*EXP(IF(A3564&lt;0,(10-6)*A3564,-6*A3564))+I$129*EXP(IF(A3564&lt;0,(10-7)*A3564,-7*A3564))+J$129*EXP(IF(A3564&lt;0,(10-8)*A3564,-8*A3564))+K$129*EXP(IF(A3564&lt;0,(10-9)*A3564,-9*A3564))+L$129*EXP(IF(A3564&lt;0,(10-10)*A3564,-10*A3564)),0)</x:f>
        <x:v>-190004.33437802046</x:v>
      </x:c>
      <x:c r="C3564" s="256" t="n">
        <x:f>IF(B3564=0,IF(B3563=0,0,1),IF(B3563=0,0,IF(SIGN(B3564)&lt;&gt;SIGN(B3563),1,0)))</x:f>
        <x:v>0</x:v>
      </x:c>
      <x:c r="D3564" s="256" t="n">
        <x:f>EXP(A3564-0.005)-1</x:f>
        <x:v>1871.4443587563546</x:v>
      </x:c>
    </x:row>
    <x:row r="3565" ht="20" customHeight="1">
      <x:c r="A3565" s="256" t="n">
        <x:f>-12+1955*0.01</x:f>
        <x:v>7.550000000000001</x:v>
      </x:c>
      <x:c r="B3565" s="256" t="n">
        <x:f>IF(COUNT($B$129:$L$129)=11,B$129*EXP(IF(A3565&lt;0,(10-0)*A3565,-0*A3565))+C$129*EXP(IF(A3565&lt;0,(10-1)*A3565,-1*A3565))+D$129*EXP(IF(A3565&lt;0,(10-2)*A3565,-2*A3565))+E$129*EXP(IF(A3565&lt;0,(10-3)*A3565,-3*A3565))+F$129*EXP(IF(A3565&lt;0,(10-4)*A3565,-4*A3565))+G$129*EXP(IF(A3565&lt;0,(10-5)*A3565,-5*A3565))+H$129*EXP(IF(A3565&lt;0,(10-6)*A3565,-6*A3565))+I$129*EXP(IF(A3565&lt;0,(10-7)*A3565,-7*A3565))+J$129*EXP(IF(A3565&lt;0,(10-8)*A3565,-8*A3565))+K$129*EXP(IF(A3565&lt;0,(10-9)*A3565,-9*A3565))+L$129*EXP(IF(A3565&lt;0,(10-10)*A3565,-10*A3565)),0)</x:f>
        <x:v>-190004.29123372235</x:v>
      </x:c>
      <x:c r="C3565" s="256" t="n">
        <x:f>IF(B3565=0,IF(B3564=0,0,1),IF(B3564=0,0,IF(SIGN(B3565)&lt;&gt;SIGN(B3564),1,0)))</x:f>
        <x:v>0</x:v>
      </x:c>
      <x:c r="D3565" s="256" t="n">
        <x:f>EXP(A3565-0.005)-1</x:f>
        <x:v>1890.2627374176668</x:v>
      </x:c>
    </x:row>
    <x:row r="3566" ht="20" customHeight="1">
      <x:c r="A3566" s="256" t="n">
        <x:f>-12+1956*0.01</x:f>
        <x:v>7.559999999999999</x:v>
      </x:c>
      <x:c r="B3566" s="256" t="n">
        <x:f>IF(COUNT($B$129:$L$129)=11,B$129*EXP(IF(A3566&lt;0,(10-0)*A3566,-0*A3566))+C$129*EXP(IF(A3566&lt;0,(10-1)*A3566,-1*A3566))+D$129*EXP(IF(A3566&lt;0,(10-2)*A3566,-2*A3566))+E$129*EXP(IF(A3566&lt;0,(10-3)*A3566,-3*A3566))+F$129*EXP(IF(A3566&lt;0,(10-4)*A3566,-4*A3566))+G$129*EXP(IF(A3566&lt;0,(10-5)*A3566,-5*A3566))+H$129*EXP(IF(A3566&lt;0,(10-6)*A3566,-6*A3566))+I$129*EXP(IF(A3566&lt;0,(10-7)*A3566,-7*A3566))+J$129*EXP(IF(A3566&lt;0,(10-8)*A3566,-8*A3566))+K$129*EXP(IF(A3566&lt;0,(10-9)*A3566,-9*A3566))+L$129*EXP(IF(A3566&lt;0,(10-10)*A3566,-10*A3566)),0)</x:f>
        <x:v>-190004.2485190443</x:v>
      </x:c>
      <x:c r="C3566" s="256" t="n">
        <x:f>IF(B3566=0,IF(B3565=0,0,1),IF(B3565=0,0,IF(SIGN(B3566)&lt;&gt;SIGN(B3565),1,0)))</x:f>
        <x:v>0</x:v>
      </x:c>
      <x:c r="D3566" s="256" t="n">
        <x:f>EXP(A3566-0.005)-1</x:f>
        <x:v>1909.2702439287716</x:v>
      </x:c>
    </x:row>
    <x:row r="3567" ht="20" customHeight="1">
      <x:c r="A3567" s="256" t="n">
        <x:f>-12+1957*0.01</x:f>
        <x:v>7.57</x:v>
      </x:c>
      <x:c r="B3567" s="256" t="n">
        <x:f>IF(COUNT($B$129:$L$129)=11,B$129*EXP(IF(A3567&lt;0,(10-0)*A3567,-0*A3567))+C$129*EXP(IF(A3567&lt;0,(10-1)*A3567,-1*A3567))+D$129*EXP(IF(A3567&lt;0,(10-2)*A3567,-2*A3567))+E$129*EXP(IF(A3567&lt;0,(10-3)*A3567,-3*A3567))+F$129*EXP(IF(A3567&lt;0,(10-4)*A3567,-4*A3567))+G$129*EXP(IF(A3567&lt;0,(10-5)*A3567,-5*A3567))+H$129*EXP(IF(A3567&lt;0,(10-6)*A3567,-6*A3567))+I$129*EXP(IF(A3567&lt;0,(10-7)*A3567,-7*A3567))+J$129*EXP(IF(A3567&lt;0,(10-8)*A3567,-8*A3567))+K$129*EXP(IF(A3567&lt;0,(10-9)*A3567,-9*A3567))+L$129*EXP(IF(A3567&lt;0,(10-10)*A3567,-10*A3567)),0)</x:f>
        <x:v>-190004.20622970507</x:v>
      </x:c>
      <x:c r="C3567" s="256" t="n">
        <x:f>IF(B3567=0,IF(B3566=0,0,1),IF(B3566=0,0,IF(SIGN(B3567)&lt;&gt;SIGN(B3566),1,0)))</x:f>
        <x:v>0</x:v>
      </x:c>
      <x:c r="D3567" s="256" t="n">
        <x:f>EXP(A3567-0.005)-1</x:f>
        <x:v>1928.4687790561732</x:v>
      </x:c>
    </x:row>
    <x:row r="3568" ht="20" customHeight="1">
      <x:c r="A3568" s="256" t="n">
        <x:f>-12+1958*0.01</x:f>
        <x:v>7.580000000000002</x:v>
      </x:c>
      <x:c r="B3568" s="256" t="n">
        <x:f>IF(COUNT($B$129:$L$129)=11,B$129*EXP(IF(A3568&lt;0,(10-0)*A3568,-0*A3568))+C$129*EXP(IF(A3568&lt;0,(10-1)*A3568,-1*A3568))+D$129*EXP(IF(A3568&lt;0,(10-2)*A3568,-2*A3568))+E$129*EXP(IF(A3568&lt;0,(10-3)*A3568,-3*A3568))+F$129*EXP(IF(A3568&lt;0,(10-4)*A3568,-4*A3568))+G$129*EXP(IF(A3568&lt;0,(10-5)*A3568,-5*A3568))+H$129*EXP(IF(A3568&lt;0,(10-6)*A3568,-6*A3568))+I$129*EXP(IF(A3568&lt;0,(10-7)*A3568,-7*A3568))+J$129*EXP(IF(A3568&lt;0,(10-8)*A3568,-8*A3568))+K$129*EXP(IF(A3568&lt;0,(10-9)*A3568,-9*A3568))+L$129*EXP(IF(A3568&lt;0,(10-10)*A3568,-10*A3568)),0)</x:f>
        <x:v>-190004.16436146613</x:v>
      </x:c>
      <x:c r="C3568" s="256" t="n">
        <x:f>IF(B3568=0,IF(B3567=0,0,1),IF(B3567=0,0,IF(SIGN(B3568)&lt;&gt;SIGN(B3567),1,0)))</x:f>
        <x:v>0</x:v>
      </x:c>
      <x:c r="D3568" s="256" t="n">
        <x:f>EXP(A3568-0.005)-1</x:f>
        <x:v>1947.8602626693767</x:v>
      </x:c>
    </x:row>
    <x:row r="3569" ht="20" customHeight="1">
      <x:c r="A3569" s="256" t="n">
        <x:f>-12+1959*0.01</x:f>
        <x:v>7.59</x:v>
      </x:c>
      <x:c r="B3569" s="256" t="n">
        <x:f>IF(COUNT($B$129:$L$129)=11,B$129*EXP(IF(A3569&lt;0,(10-0)*A3569,-0*A3569))+C$129*EXP(IF(A3569&lt;0,(10-1)*A3569,-1*A3569))+D$129*EXP(IF(A3569&lt;0,(10-2)*A3569,-2*A3569))+E$129*EXP(IF(A3569&lt;0,(10-3)*A3569,-3*A3569))+F$129*EXP(IF(A3569&lt;0,(10-4)*A3569,-4*A3569))+G$129*EXP(IF(A3569&lt;0,(10-5)*A3569,-5*A3569))+H$129*EXP(IF(A3569&lt;0,(10-6)*A3569,-6*A3569))+I$129*EXP(IF(A3569&lt;0,(10-7)*A3569,-7*A3569))+J$129*EXP(IF(A3569&lt;0,(10-8)*A3569,-8*A3569))+K$129*EXP(IF(A3569&lt;0,(10-9)*A3569,-9*A3569))+L$129*EXP(IF(A3569&lt;0,(10-10)*A3569,-10*A3569)),0)</x:f>
        <x:v>-190004.12291013123</x:v>
      </x:c>
      <x:c r="C3569" s="256" t="n">
        <x:f>IF(B3569=0,IF(B3568=0,0,1),IF(B3568=0,0,IF(SIGN(B3569)&lt;&gt;SIGN(B3568),1,0)))</x:f>
        <x:v>0</x:v>
      </x:c>
      <x:c r="D3569" s="256" t="n">
        <x:f>EXP(A3569-0.005)-1</x:f>
        <x:v>1967.4466339328956</x:v>
      </x:c>
    </x:row>
    <x:row r="3570" ht="20" customHeight="1">
      <x:c r="A3570" s="256" t="n">
        <x:f>-12+1960*0.01</x:f>
        <x:v>7.600000000000001</x:v>
      </x:c>
      <x:c r="B3570" s="256" t="n">
        <x:f>IF(COUNT($B$129:$L$129)=11,B$129*EXP(IF(A3570&lt;0,(10-0)*A3570,-0*A3570))+C$129*EXP(IF(A3570&lt;0,(10-1)*A3570,-1*A3570))+D$129*EXP(IF(A3570&lt;0,(10-2)*A3570,-2*A3570))+E$129*EXP(IF(A3570&lt;0,(10-3)*A3570,-3*A3570))+F$129*EXP(IF(A3570&lt;0,(10-4)*A3570,-4*A3570))+G$129*EXP(IF(A3570&lt;0,(10-5)*A3570,-5*A3570))+H$129*EXP(IF(A3570&lt;0,(10-6)*A3570,-6*A3570))+I$129*EXP(IF(A3570&lt;0,(10-7)*A3570,-7*A3570))+J$129*EXP(IF(A3570&lt;0,(10-8)*A3570,-8*A3570))+K$129*EXP(IF(A3570&lt;0,(10-9)*A3570,-9*A3570))+L$129*EXP(IF(A3570&lt;0,(10-10)*A3570,-10*A3570)),0)</x:f>
        <x:v>-190004.08187154596</x:v>
      </x:c>
      <x:c r="C3570" s="256" t="n">
        <x:f>IF(B3570=0,IF(B3569=0,0,1),IF(B3569=0,0,IF(SIGN(B3570)&lt;&gt;SIGN(B3569),1,0)))</x:f>
        <x:v>0</x:v>
      </x:c>
      <x:c r="D3570" s="256" t="n">
        <x:f>EXP(A3570-0.005)-1</x:f>
        <x:v>1987.2298515001924</x:v>
      </x:c>
    </x:row>
    <x:row r="3571" ht="20" customHeight="1">
      <x:c r="A3571" s="256" t="n">
        <x:f>-12+1961*0.01</x:f>
        <x:v>7.609999999999999</x:v>
      </x:c>
      <x:c r="B3571" s="256" t="n">
        <x:f>IF(COUNT($B$129:$L$129)=11,B$129*EXP(IF(A3571&lt;0,(10-0)*A3571,-0*A3571))+C$129*EXP(IF(A3571&lt;0,(10-1)*A3571,-1*A3571))+D$129*EXP(IF(A3571&lt;0,(10-2)*A3571,-2*A3571))+E$129*EXP(IF(A3571&lt;0,(10-3)*A3571,-3*A3571))+F$129*EXP(IF(A3571&lt;0,(10-4)*A3571,-4*A3571))+G$129*EXP(IF(A3571&lt;0,(10-5)*A3571,-5*A3571))+H$129*EXP(IF(A3571&lt;0,(10-6)*A3571,-6*A3571))+I$129*EXP(IF(A3571&lt;0,(10-7)*A3571,-7*A3571))+J$129*EXP(IF(A3571&lt;0,(10-8)*A3571,-8*A3571))+K$129*EXP(IF(A3571&lt;0,(10-9)*A3571,-9*A3571))+L$129*EXP(IF(A3571&lt;0,(10-10)*A3571,-10*A3571)),0)</x:f>
        <x:v>-190004.0412415974</x:v>
      </x:c>
      <x:c r="C3571" s="256" t="n">
        <x:f>IF(B3571=0,IF(B3570=0,0,1),IF(B3570=0,0,IF(SIGN(B3571)&lt;&gt;SIGN(B3570),1,0)))</x:f>
        <x:v>0</x:v>
      </x:c>
      <x:c r="D3571" s="256" t="n">
        <x:f>EXP(A3571-0.005)-1</x:f>
        <x:v>2007.211893709496</x:v>
      </x:c>
    </x:row>
    <x:row r="3572" ht="20" customHeight="1">
      <x:c r="A3572" s="256" t="n">
        <x:f>-12+1962*0.01</x:f>
        <x:v>7.620000000000001</x:v>
      </x:c>
      <x:c r="B3572" s="256" t="n">
        <x:f>IF(COUNT($B$129:$L$129)=11,B$129*EXP(IF(A3572&lt;0,(10-0)*A3572,-0*A3572))+C$129*EXP(IF(A3572&lt;0,(10-1)*A3572,-1*A3572))+D$129*EXP(IF(A3572&lt;0,(10-2)*A3572,-2*A3572))+E$129*EXP(IF(A3572&lt;0,(10-3)*A3572,-3*A3572))+F$129*EXP(IF(A3572&lt;0,(10-4)*A3572,-4*A3572))+G$129*EXP(IF(A3572&lt;0,(10-5)*A3572,-5*A3572))+H$129*EXP(IF(A3572&lt;0,(10-6)*A3572,-6*A3572))+I$129*EXP(IF(A3572&lt;0,(10-7)*A3572,-7*A3572))+J$129*EXP(IF(A3572&lt;0,(10-8)*A3572,-8*A3572))+K$129*EXP(IF(A3572&lt;0,(10-9)*A3572,-9*A3572))+L$129*EXP(IF(A3572&lt;0,(10-10)*A3572,-10*A3572)),0)</x:f>
        <x:v>-190004.00101621376</x:v>
      </x:c>
      <x:c r="C3572" s="256" t="n">
        <x:f>IF(B3572=0,IF(B3571=0,0,1),IF(B3571=0,0,IF(SIGN(B3572)&lt;&gt;SIGN(B3571),1,0)))</x:f>
        <x:v>0</x:v>
      </x:c>
      <x:c r="D3572" s="256" t="n">
        <x:f>EXP(A3572-0.005)-1</x:f>
        <x:v>2027.394758781693</x:v>
      </x:c>
    </x:row>
    <x:row r="3573" ht="20" customHeight="1">
      <x:c r="A3573" s="256" t="n">
        <x:f>-12+1963*0.01</x:f>
        <x:v>7.629999999999999</x:v>
      </x:c>
      <x:c r="B3573" s="256" t="n">
        <x:f>IF(COUNT($B$129:$L$129)=11,B$129*EXP(IF(A3573&lt;0,(10-0)*A3573,-0*A3573))+C$129*EXP(IF(A3573&lt;0,(10-1)*A3573,-1*A3573))+D$129*EXP(IF(A3573&lt;0,(10-2)*A3573,-2*A3573))+E$129*EXP(IF(A3573&lt;0,(10-3)*A3573,-3*A3573))+F$129*EXP(IF(A3573&lt;0,(10-4)*A3573,-4*A3573))+G$129*EXP(IF(A3573&lt;0,(10-5)*A3573,-5*A3573))+H$129*EXP(IF(A3573&lt;0,(10-6)*A3573,-6*A3573))+I$129*EXP(IF(A3573&lt;0,(10-7)*A3573,-7*A3573))+J$129*EXP(IF(A3573&lt;0,(10-8)*A3573,-8*A3573))+K$129*EXP(IF(A3573&lt;0,(10-9)*A3573,-9*A3573))+L$129*EXP(IF(A3573&lt;0,(10-10)*A3573,-10*A3573)),0)</x:f>
        <x:v>-190003.96119136378</x:v>
      </x:c>
      <x:c r="C3573" s="256" t="n">
        <x:f>IF(B3573=0,IF(B3572=0,0,1),IF(B3572=0,0,IF(SIGN(B3573)&lt;&gt;SIGN(B3572),1,0)))</x:f>
        <x:v>0</x:v>
      </x:c>
      <x:c r="D3573" s="256" t="n">
        <x:f>EXP(A3573-0.005)-1</x:f>
        <x:v>2047.780465020096</x:v>
      </x:c>
    </x:row>
    <x:row r="3574" ht="20" customHeight="1">
      <x:c r="A3574" s="256" t="n">
        <x:f>-12+1964*0.01</x:f>
        <x:v>7.640000000000001</x:v>
      </x:c>
      <x:c r="B3574" s="256" t="n">
        <x:f>IF(COUNT($B$129:$L$129)=11,B$129*EXP(IF(A3574&lt;0,(10-0)*A3574,-0*A3574))+C$129*EXP(IF(A3574&lt;0,(10-1)*A3574,-1*A3574))+D$129*EXP(IF(A3574&lt;0,(10-2)*A3574,-2*A3574))+E$129*EXP(IF(A3574&lt;0,(10-3)*A3574,-3*A3574))+F$129*EXP(IF(A3574&lt;0,(10-4)*A3574,-4*A3574))+G$129*EXP(IF(A3574&lt;0,(10-5)*A3574,-5*A3574))+H$129*EXP(IF(A3574&lt;0,(10-6)*A3574,-6*A3574))+I$129*EXP(IF(A3574&lt;0,(10-7)*A3574,-7*A3574))+J$129*EXP(IF(A3574&lt;0,(10-8)*A3574,-8*A3574))+K$129*EXP(IF(A3574&lt;0,(10-9)*A3574,-9*A3574))+L$129*EXP(IF(A3574&lt;0,(10-10)*A3574,-10*A3574)),0)</x:f>
        <x:v>-190003.9217630564</x:v>
      </x:c>
      <x:c r="C3574" s="256" t="n">
        <x:f>IF(B3574=0,IF(B3573=0,0,1),IF(B3573=0,0,IF(SIGN(B3574)&lt;&gt;SIGN(B3573),1,0)))</x:f>
        <x:v>0</x:v>
      </x:c>
      <x:c r="D3574" s="256" t="n">
        <x:f>EXP(A3574-0.005)-1</x:f>
        <x:v>2068.3710510123306</x:v>
      </x:c>
    </x:row>
    <x:row r="3575" ht="20" customHeight="1">
      <x:c r="A3575" s="256" t="n">
        <x:f>-12+1965*0.01</x:f>
        <x:v>7.650000000000002</x:v>
      </x:c>
      <x:c r="B3575" s="256" t="n">
        <x:f>IF(COUNT($B$129:$L$129)=11,B$129*EXP(IF(A3575&lt;0,(10-0)*A3575,-0*A3575))+C$129*EXP(IF(A3575&lt;0,(10-1)*A3575,-1*A3575))+D$129*EXP(IF(A3575&lt;0,(10-2)*A3575,-2*A3575))+E$129*EXP(IF(A3575&lt;0,(10-3)*A3575,-3*A3575))+F$129*EXP(IF(A3575&lt;0,(10-4)*A3575,-4*A3575))+G$129*EXP(IF(A3575&lt;0,(10-5)*A3575,-5*A3575))+H$129*EXP(IF(A3575&lt;0,(10-6)*A3575,-6*A3575))+I$129*EXP(IF(A3575&lt;0,(10-7)*A3575,-7*A3575))+J$129*EXP(IF(A3575&lt;0,(10-8)*A3575,-8*A3575))+K$129*EXP(IF(A3575&lt;0,(10-9)*A3575,-9*A3575))+L$129*EXP(IF(A3575&lt;0,(10-10)*A3575,-10*A3575)),0)</x:f>
        <x:v>-190003.8827273405</x:v>
      </x:c>
      <x:c r="C3575" s="256" t="n">
        <x:f>IF(B3575=0,IF(B3574=0,0,1),IF(B3574=0,0,IF(SIGN(B3575)&lt;&gt;SIGN(B3574),1,0)))</x:f>
        <x:v>0</x:v>
      </x:c>
      <x:c r="D3575" s="256" t="n">
        <x:f>EXP(A3575-0.005)-1</x:f>
        <x:v>2089.168575834148</x:v>
      </x:c>
    </x:row>
    <x:row r="3576" ht="20" customHeight="1">
      <x:c r="A3576" s="256" t="n">
        <x:f>-12+1966*0.01</x:f>
        <x:v>7.66</x:v>
      </x:c>
      <x:c r="B3576" s="256" t="n">
        <x:f>IF(COUNT($B$129:$L$129)=11,B$129*EXP(IF(A3576&lt;0,(10-0)*A3576,-0*A3576))+C$129*EXP(IF(A3576&lt;0,(10-1)*A3576,-1*A3576))+D$129*EXP(IF(A3576&lt;0,(10-2)*A3576,-2*A3576))+E$129*EXP(IF(A3576&lt;0,(10-3)*A3576,-3*A3576))+F$129*EXP(IF(A3576&lt;0,(10-4)*A3576,-4*A3576))+G$129*EXP(IF(A3576&lt;0,(10-5)*A3576,-5*A3576))+H$129*EXP(IF(A3576&lt;0,(10-6)*A3576,-6*A3576))+I$129*EXP(IF(A3576&lt;0,(10-7)*A3576,-7*A3576))+J$129*EXP(IF(A3576&lt;0,(10-8)*A3576,-8*A3576))+K$129*EXP(IF(A3576&lt;0,(10-9)*A3576,-9*A3576))+L$129*EXP(IF(A3576&lt;0,(10-10)*A3576,-10*A3576)),0)</x:f>
        <x:v>-190003.84408030426</x:v>
      </x:c>
      <x:c r="C3576" s="256" t="n">
        <x:f>IF(B3576=0,IF(B3575=0,0,1),IF(B3575=0,0,IF(SIGN(B3576)&lt;&gt;SIGN(B3575),1,0)))</x:f>
        <x:v>0</x:v>
      </x:c>
      <x:c r="D3576" s="256" t="n">
        <x:f>EXP(A3576-0.005)-1</x:f>
        <x:v>2110.1751192553547</x:v>
      </x:c>
    </x:row>
    <x:row r="3577" ht="20" customHeight="1">
      <x:c r="A3577" s="256" t="n">
        <x:f>-12+1967*0.01</x:f>
        <x:v>7.670000000000002</x:v>
      </x:c>
      <x:c r="B3577" s="256" t="n">
        <x:f>IF(COUNT($B$129:$L$129)=11,B$129*EXP(IF(A3577&lt;0,(10-0)*A3577,-0*A3577))+C$129*EXP(IF(A3577&lt;0,(10-1)*A3577,-1*A3577))+D$129*EXP(IF(A3577&lt;0,(10-2)*A3577,-2*A3577))+E$129*EXP(IF(A3577&lt;0,(10-3)*A3577,-3*A3577))+F$129*EXP(IF(A3577&lt;0,(10-4)*A3577,-4*A3577))+G$129*EXP(IF(A3577&lt;0,(10-5)*A3577,-5*A3577))+H$129*EXP(IF(A3577&lt;0,(10-6)*A3577,-6*A3577))+I$129*EXP(IF(A3577&lt;0,(10-7)*A3577,-7*A3577))+J$129*EXP(IF(A3577&lt;0,(10-8)*A3577,-8*A3577))+K$129*EXP(IF(A3577&lt;0,(10-9)*A3577,-9*A3577))+L$129*EXP(IF(A3577&lt;0,(10-10)*A3577,-10*A3577)),0)</x:f>
        <x:v>-190003.805818075</x:v>
      </x:c>
      <x:c r="C3577" s="256" t="n">
        <x:f>IF(B3577=0,IF(B3576=0,0,1),IF(B3576=0,0,IF(SIGN(B3577)&lt;&gt;SIGN(B3576),1,0)))</x:f>
        <x:v>0</x:v>
      </x:c>
      <x:c r="D3577" s="256" t="n">
        <x:f>EXP(A3577-0.005)-1</x:f>
        <x:v>2131.392781947813</x:v>
      </x:c>
    </x:row>
    <x:row r="3578" ht="20" customHeight="1">
      <x:c r="A3578" s="256" t="n">
        <x:f>-12+1968*0.01</x:f>
        <x:v>7.68</x:v>
      </x:c>
      <x:c r="B3578" s="256" t="n">
        <x:f>IF(COUNT($B$129:$L$129)=11,B$129*EXP(IF(A3578&lt;0,(10-0)*A3578,-0*A3578))+C$129*EXP(IF(A3578&lt;0,(10-1)*A3578,-1*A3578))+D$129*EXP(IF(A3578&lt;0,(10-2)*A3578,-2*A3578))+E$129*EXP(IF(A3578&lt;0,(10-3)*A3578,-3*A3578))+F$129*EXP(IF(A3578&lt;0,(10-4)*A3578,-4*A3578))+G$129*EXP(IF(A3578&lt;0,(10-5)*A3578,-5*A3578))+H$129*EXP(IF(A3578&lt;0,(10-6)*A3578,-6*A3578))+I$129*EXP(IF(A3578&lt;0,(10-7)*A3578,-7*A3578))+J$129*EXP(IF(A3578&lt;0,(10-8)*A3578,-8*A3578))+K$129*EXP(IF(A3578&lt;0,(10-9)*A3578,-9*A3578))+L$129*EXP(IF(A3578&lt;0,(10-10)*A3578,-10*A3578)),0)</x:f>
        <x:v>-190003.76793681856</x:v>
      </x:c>
      <x:c r="C3578" s="256" t="n">
        <x:f>IF(B3578=0,IF(B3577=0,0,1),IF(B3577=0,0,IF(SIGN(B3578)&lt;&gt;SIGN(B3577),1,0)))</x:f>
        <x:v>0</x:v>
      </x:c>
      <x:c r="D3578" s="256" t="n">
        <x:f>EXP(A3578-0.005)-1</x:f>
        <x:v>2152.823685695458</x:v>
      </x:c>
    </x:row>
    <x:row r="3579" ht="20" customHeight="1">
      <x:c r="A3579" s="256" t="n">
        <x:f>-12+1969*0.01</x:f>
        <x:v>7.690000000000001</x:v>
      </x:c>
      <x:c r="B3579" s="256" t="n">
        <x:f>IF(COUNT($B$129:$L$129)=11,B$129*EXP(IF(A3579&lt;0,(10-0)*A3579,-0*A3579))+C$129*EXP(IF(A3579&lt;0,(10-1)*A3579,-1*A3579))+D$129*EXP(IF(A3579&lt;0,(10-2)*A3579,-2*A3579))+E$129*EXP(IF(A3579&lt;0,(10-3)*A3579,-3*A3579))+F$129*EXP(IF(A3579&lt;0,(10-4)*A3579,-4*A3579))+G$129*EXP(IF(A3579&lt;0,(10-5)*A3579,-5*A3579))+H$129*EXP(IF(A3579&lt;0,(10-6)*A3579,-6*A3579))+I$129*EXP(IF(A3579&lt;0,(10-7)*A3579,-7*A3579))+J$129*EXP(IF(A3579&lt;0,(10-8)*A3579,-8*A3579))+K$129*EXP(IF(A3579&lt;0,(10-9)*A3579,-9*A3579))+L$129*EXP(IF(A3579&lt;0,(10-10)*A3579,-10*A3579)),0)</x:f>
        <x:v>-190003.7304327392</x:v>
      </x:c>
      <x:c r="C3579" s="256" t="n">
        <x:f>IF(B3579=0,IF(B3578=0,0,1),IF(B3578=0,0,IF(SIGN(B3579)&lt;&gt;SIGN(B3578),1,0)))</x:f>
        <x:v>0</x:v>
      </x:c>
      <x:c r="D3579" s="256" t="n">
        <x:f>EXP(A3579-0.005)-1</x:f>
        <x:v>2174.4699736065395</x:v>
      </x:c>
    </x:row>
    <x:row r="3580" ht="20" customHeight="1">
      <x:c r="A3580" s="256" t="n">
        <x:f>-12+1970*0.01</x:f>
        <x:v>7.699999999999999</x:v>
      </x:c>
      <x:c r="B3580" s="256" t="n">
        <x:f>IF(COUNT($B$129:$L$129)=11,B$129*EXP(IF(A3580&lt;0,(10-0)*A3580,-0*A3580))+C$129*EXP(IF(A3580&lt;0,(10-1)*A3580,-1*A3580))+D$129*EXP(IF(A3580&lt;0,(10-2)*A3580,-2*A3580))+E$129*EXP(IF(A3580&lt;0,(10-3)*A3580,-3*A3580))+F$129*EXP(IF(A3580&lt;0,(10-4)*A3580,-4*A3580))+G$129*EXP(IF(A3580&lt;0,(10-5)*A3580,-5*A3580))+H$129*EXP(IF(A3580&lt;0,(10-6)*A3580,-6*A3580))+I$129*EXP(IF(A3580&lt;0,(10-7)*A3580,-7*A3580))+J$129*EXP(IF(A3580&lt;0,(10-8)*A3580,-8*A3580))+K$129*EXP(IF(A3580&lt;0,(10-9)*A3580,-9*A3580))+L$129*EXP(IF(A3580&lt;0,(10-10)*A3580,-10*A3580)),0)</x:f>
        <x:v>-190003.69330207878</x:v>
      </x:c>
      <x:c r="C3580" s="256" t="n">
        <x:f>IF(B3580=0,IF(B3579=0,0,1),IF(B3579=0,0,IF(SIGN(B3580)&lt;&gt;SIGN(B3579),1,0)))</x:f>
        <x:v>0</x:v>
      </x:c>
      <x:c r="D3580" s="256" t="n">
        <x:f>EXP(A3580-0.005)-1</x:f>
        <x:v>2196.3338103278716</x:v>
      </x:c>
    </x:row>
    <x:row r="3581" ht="20" customHeight="1">
      <x:c r="A3581" s="256" t="n">
        <x:f>-12+1971*0.01</x:f>
        <x:v>7.710000000000001</x:v>
      </x:c>
      <x:c r="B3581" s="256" t="n">
        <x:f>IF(COUNT($B$129:$L$129)=11,B$129*EXP(IF(A3581&lt;0,(10-0)*A3581,-0*A3581))+C$129*EXP(IF(A3581&lt;0,(10-1)*A3581,-1*A3581))+D$129*EXP(IF(A3581&lt;0,(10-2)*A3581,-2*A3581))+E$129*EXP(IF(A3581&lt;0,(10-3)*A3581,-3*A3581))+F$129*EXP(IF(A3581&lt;0,(10-4)*A3581,-4*A3581))+G$129*EXP(IF(A3581&lt;0,(10-5)*A3581,-5*A3581))+H$129*EXP(IF(A3581&lt;0,(10-6)*A3581,-6*A3581))+I$129*EXP(IF(A3581&lt;0,(10-7)*A3581,-7*A3581))+J$129*EXP(IF(A3581&lt;0,(10-8)*A3581,-8*A3581))+K$129*EXP(IF(A3581&lt;0,(10-9)*A3581,-9*A3581))+L$129*EXP(IF(A3581&lt;0,(10-10)*A3581,-10*A3581)),0)</x:f>
        <x:v>-190003.65654111697</x:v>
      </x:c>
      <x:c r="C3581" s="256" t="n">
        <x:f>IF(B3581=0,IF(B3580=0,0,1),IF(B3580=0,0,IF(SIGN(B3581)&lt;&gt;SIGN(B3580),1,0)))</x:f>
        <x:v>0</x:v>
      </x:c>
      <x:c r="D3581" s="256" t="n">
        <x:f>EXP(A3581-0.005)-1</x:f>
        <x:v>2218.4173822613616</x:v>
      </x:c>
    </x:row>
    <x:row r="3582" ht="20" customHeight="1">
      <x:c r="A3582" s="256" t="n">
        <x:f>-12+1972*0.01</x:f>
        <x:v>7.719999999999999</x:v>
      </x:c>
      <x:c r="B3582" s="256" t="n">
        <x:f>IF(COUNT($B$129:$L$129)=11,B$129*EXP(IF(A3582&lt;0,(10-0)*A3582,-0*A3582))+C$129*EXP(IF(A3582&lt;0,(10-1)*A3582,-1*A3582))+D$129*EXP(IF(A3582&lt;0,(10-2)*A3582,-2*A3582))+E$129*EXP(IF(A3582&lt;0,(10-3)*A3582,-3*A3582))+F$129*EXP(IF(A3582&lt;0,(10-4)*A3582,-4*A3582))+G$129*EXP(IF(A3582&lt;0,(10-5)*A3582,-5*A3582))+H$129*EXP(IF(A3582&lt;0,(10-6)*A3582,-6*A3582))+I$129*EXP(IF(A3582&lt;0,(10-7)*A3582,-7*A3582))+J$129*EXP(IF(A3582&lt;0,(10-8)*A3582,-8*A3582))+K$129*EXP(IF(A3582&lt;0,(10-9)*A3582,-9*A3582))+L$129*EXP(IF(A3582&lt;0,(10-10)*A3582,-10*A3582)),0)</x:f>
        <x:v>-190003.62014617043</x:v>
      </x:c>
      <x:c r="C3582" s="256" t="n">
        <x:f>IF(B3582=0,IF(B3581=0,0,1),IF(B3581=0,0,IF(SIGN(B3582)&lt;&gt;SIGN(B3581),1,0)))</x:f>
        <x:v>0</x:v>
      </x:c>
      <x:c r="D3582" s="256" t="n">
        <x:f>EXP(A3582-0.005)-1</x:f>
        <x:v>2240.7228977825907</x:v>
      </x:c>
    </x:row>
    <x:row r="3583" ht="20" customHeight="1">
      <x:c r="A3583" s="256" t="n">
        <x:f>-12+1973*0.01</x:f>
        <x:v>7.73</x:v>
      </x:c>
      <x:c r="B3583" s="256" t="n">
        <x:f>IF(COUNT($B$129:$L$129)=11,B$129*EXP(IF(A3583&lt;0,(10-0)*A3583,-0*A3583))+C$129*EXP(IF(A3583&lt;0,(10-1)*A3583,-1*A3583))+D$129*EXP(IF(A3583&lt;0,(10-2)*A3583,-2*A3583))+E$129*EXP(IF(A3583&lt;0,(10-3)*A3583,-3*A3583))+F$129*EXP(IF(A3583&lt;0,(10-4)*A3583,-4*A3583))+G$129*EXP(IF(A3583&lt;0,(10-5)*A3583,-5*A3583))+H$129*EXP(IF(A3583&lt;0,(10-6)*A3583,-6*A3583))+I$129*EXP(IF(A3583&lt;0,(10-7)*A3583,-7*A3583))+J$129*EXP(IF(A3583&lt;0,(10-8)*A3583,-8*A3583))+K$129*EXP(IF(A3583&lt;0,(10-9)*A3583,-9*A3583))+L$129*EXP(IF(A3583&lt;0,(10-10)*A3583,-10*A3583)),0)</x:f>
        <x:v>-190003.5841135924</x:v>
      </x:c>
      <x:c r="C3583" s="256" t="n">
        <x:f>IF(B3583=0,IF(B3582=0,0,1),IF(B3582=0,0,IF(SIGN(B3583)&lt;&gt;SIGN(B3582),1,0)))</x:f>
        <x:v>0</x:v>
      </x:c>
      <x:c r="D3583" s="256" t="n">
        <x:f>EXP(A3583-0.005)-1</x:f>
        <x:v>2263.252587461715</x:v>
      </x:c>
    </x:row>
    <x:row r="3584" ht="20" customHeight="1">
      <x:c r="A3584" s="256" t="n">
        <x:f>-12+1974*0.01</x:f>
        <x:v>7.740000000000002</x:v>
      </x:c>
      <x:c r="B3584" s="256" t="n">
        <x:f>IF(COUNT($B$129:$L$129)=11,B$129*EXP(IF(A3584&lt;0,(10-0)*A3584,-0*A3584))+C$129*EXP(IF(A3584&lt;0,(10-1)*A3584,-1*A3584))+D$129*EXP(IF(A3584&lt;0,(10-2)*A3584,-2*A3584))+E$129*EXP(IF(A3584&lt;0,(10-3)*A3584,-3*A3584))+F$129*EXP(IF(A3584&lt;0,(10-4)*A3584,-4*A3584))+G$129*EXP(IF(A3584&lt;0,(10-5)*A3584,-5*A3584))+H$129*EXP(IF(A3584&lt;0,(10-6)*A3584,-6*A3584))+I$129*EXP(IF(A3584&lt;0,(10-7)*A3584,-7*A3584))+J$129*EXP(IF(A3584&lt;0,(10-8)*A3584,-8*A3584))+K$129*EXP(IF(A3584&lt;0,(10-9)*A3584,-9*A3584))+L$129*EXP(IF(A3584&lt;0,(10-10)*A3584,-10*A3584)),0)</x:f>
        <x:v>-190003.54843977274</x:v>
      </x:c>
      <x:c r="C3584" s="256" t="n">
        <x:f>IF(B3584=0,IF(B3583=0,0,1),IF(B3583=0,0,IF(SIGN(B3584)&lt;&gt;SIGN(B3583),1,0)))</x:f>
        <x:v>0</x:v>
      </x:c>
      <x:c r="D3584" s="256" t="n">
        <x:f>EXP(A3584-0.005)-1</x:f>
        <x:v>2286.0087042864684</x:v>
      </x:c>
    </x:row>
    <x:row r="3585" ht="20" customHeight="1">
      <x:c r="A3585" s="256" t="n">
        <x:f>-12+1975*0.01</x:f>
        <x:v>7.75</x:v>
      </x:c>
      <x:c r="B3585" s="256" t="n">
        <x:f>IF(COUNT($B$129:$L$129)=11,B$129*EXP(IF(A3585&lt;0,(10-0)*A3585,-0*A3585))+C$129*EXP(IF(A3585&lt;0,(10-1)*A3585,-1*A3585))+D$129*EXP(IF(A3585&lt;0,(10-2)*A3585,-2*A3585))+E$129*EXP(IF(A3585&lt;0,(10-3)*A3585,-3*A3585))+F$129*EXP(IF(A3585&lt;0,(10-4)*A3585,-4*A3585))+G$129*EXP(IF(A3585&lt;0,(10-5)*A3585,-5*A3585))+H$129*EXP(IF(A3585&lt;0,(10-6)*A3585,-6*A3585))+I$129*EXP(IF(A3585&lt;0,(10-7)*A3585,-7*A3585))+J$129*EXP(IF(A3585&lt;0,(10-8)*A3585,-8*A3585))+K$129*EXP(IF(A3585&lt;0,(10-9)*A3585,-9*A3585))+L$129*EXP(IF(A3585&lt;0,(10-10)*A3585,-10*A3585)),0)</x:f>
        <x:v>-190003.51312113722</x:v>
      </x:c>
      <x:c r="C3585" s="256" t="n">
        <x:f>IF(B3585=0,IF(B3584=0,0,1),IF(B3584=0,0,IF(SIGN(B3585)&lt;&gt;SIGN(B3584),1,0)))</x:f>
        <x:v>0</x:v>
      </x:c>
      <x:c r="D3585" s="256" t="n">
        <x:f>EXP(A3585-0.005)-1</x:f>
        <x:v>2308.9935238874896</x:v>
      </x:c>
    </x:row>
    <x:row r="3586" ht="20" customHeight="1">
      <x:c r="A3586" s="256" t="n">
        <x:f>-12+1976*0.01</x:f>
        <x:v>7.760000000000002</x:v>
      </x:c>
      <x:c r="B3586" s="256" t="n">
        <x:f>IF(COUNT($B$129:$L$129)=11,B$129*EXP(IF(A3586&lt;0,(10-0)*A3586,-0*A3586))+C$129*EXP(IF(A3586&lt;0,(10-1)*A3586,-1*A3586))+D$129*EXP(IF(A3586&lt;0,(10-2)*A3586,-2*A3586))+E$129*EXP(IF(A3586&lt;0,(10-3)*A3586,-3*A3586))+F$129*EXP(IF(A3586&lt;0,(10-4)*A3586,-4*A3586))+G$129*EXP(IF(A3586&lt;0,(10-5)*A3586,-5*A3586))+H$129*EXP(IF(A3586&lt;0,(10-6)*A3586,-6*A3586))+I$129*EXP(IF(A3586&lt;0,(10-7)*A3586,-7*A3586))+J$129*EXP(IF(A3586&lt;0,(10-8)*A3586,-8*A3586))+K$129*EXP(IF(A3586&lt;0,(10-9)*A3586,-9*A3586))+L$129*EXP(IF(A3586&lt;0,(10-10)*A3586,-10*A3586)),0)</x:f>
        <x:v>-190003.47815414722</x:v>
      </x:c>
      <x:c r="C3586" s="256" t="n">
        <x:f>IF(B3586=0,IF(B3585=0,0,1),IF(B3585=0,0,IF(SIGN(B3586)&lt;&gt;SIGN(B3585),1,0)))</x:f>
        <x:v>0</x:v>
      </x:c>
      <x:c r="D3586" s="256" t="n">
        <x:f>EXP(A3586-0.005)-1</x:f>
        <x:v>2332.2093447659086</x:v>
      </x:c>
    </x:row>
    <x:row r="3587" ht="20" customHeight="1">
      <x:c r="A3587" s="256" t="n">
        <x:f>-12+1977*0.01</x:f>
        <x:v>7.77</x:v>
      </x:c>
      <x:c r="B3587" s="256" t="n">
        <x:f>IF(COUNT($B$129:$L$129)=11,B$129*EXP(IF(A3587&lt;0,(10-0)*A3587,-0*A3587))+C$129*EXP(IF(A3587&lt;0,(10-1)*A3587,-1*A3587))+D$129*EXP(IF(A3587&lt;0,(10-2)*A3587,-2*A3587))+E$129*EXP(IF(A3587&lt;0,(10-3)*A3587,-3*A3587))+F$129*EXP(IF(A3587&lt;0,(10-4)*A3587,-4*A3587))+G$129*EXP(IF(A3587&lt;0,(10-5)*A3587,-5*A3587))+H$129*EXP(IF(A3587&lt;0,(10-6)*A3587,-6*A3587))+I$129*EXP(IF(A3587&lt;0,(10-7)*A3587,-7*A3587))+J$129*EXP(IF(A3587&lt;0,(10-8)*A3587,-8*A3587))+K$129*EXP(IF(A3587&lt;0,(10-9)*A3587,-9*A3587))+L$129*EXP(IF(A3587&lt;0,(10-10)*A3587,-10*A3587)),0)</x:f>
        <x:v>-190003.4435352995</x:v>
      </x:c>
      <x:c r="C3587" s="256" t="n">
        <x:f>IF(B3587=0,IF(B3586=0,0,1),IF(B3586=0,0,IF(SIGN(B3587)&lt;&gt;SIGN(B3586),1,0)))</x:f>
        <x:v>0</x:v>
      </x:c>
      <x:c r="D3587" s="256" t="n">
        <x:f>EXP(A3587-0.005)-1</x:f>
        <x:v>2355.6584885231437</x:v>
      </x:c>
    </x:row>
    <x:row r="3588" ht="20" customHeight="1">
      <x:c r="A3588" s="256" t="n">
        <x:f>-12+1978*0.01</x:f>
        <x:v>7.780000000000001</x:v>
      </x:c>
      <x:c r="B3588" s="256" t="n">
        <x:f>IF(COUNT($B$129:$L$129)=11,B$129*EXP(IF(A3588&lt;0,(10-0)*A3588,-0*A3588))+C$129*EXP(IF(A3588&lt;0,(10-1)*A3588,-1*A3588))+D$129*EXP(IF(A3588&lt;0,(10-2)*A3588,-2*A3588))+E$129*EXP(IF(A3588&lt;0,(10-3)*A3588,-3*A3588))+F$129*EXP(IF(A3588&lt;0,(10-4)*A3588,-4*A3588))+G$129*EXP(IF(A3588&lt;0,(10-5)*A3588,-5*A3588))+H$129*EXP(IF(A3588&lt;0,(10-6)*A3588,-6*A3588))+I$129*EXP(IF(A3588&lt;0,(10-7)*A3588,-7*A3588))+J$129*EXP(IF(A3588&lt;0,(10-8)*A3588,-8*A3588))+K$129*EXP(IF(A3588&lt;0,(10-9)*A3588,-9*A3588))+L$129*EXP(IF(A3588&lt;0,(10-10)*A3588,-10*A3588)),0)</x:f>
        <x:v>-190003.40926112578</x:v>
      </x:c>
      <x:c r="C3588" s="256" t="n">
        <x:f>IF(B3588=0,IF(B3587=0,0,1),IF(B3587=0,0,IF(SIGN(B3588)&lt;&gt;SIGN(B3587),1,0)))</x:f>
        <x:v>0</x:v>
      </x:c>
      <x:c r="D3588" s="256" t="n">
        <x:f>EXP(A3588-0.005)-1</x:f>
        <x:v>2379.3433000931277</x:v>
      </x:c>
    </x:row>
    <x:row r="3589" ht="20" customHeight="1">
      <x:c r="A3589" s="256" t="n">
        <x:f>-12+1979*0.01</x:f>
        <x:v>7.789999999999999</x:v>
      </x:c>
      <x:c r="B3589" s="256" t="n">
        <x:f>IF(COUNT($B$129:$L$129)=11,B$129*EXP(IF(A3589&lt;0,(10-0)*A3589,-0*A3589))+C$129*EXP(IF(A3589&lt;0,(10-1)*A3589,-1*A3589))+D$129*EXP(IF(A3589&lt;0,(10-2)*A3589,-2*A3589))+E$129*EXP(IF(A3589&lt;0,(10-3)*A3589,-3*A3589))+F$129*EXP(IF(A3589&lt;0,(10-4)*A3589,-4*A3589))+G$129*EXP(IF(A3589&lt;0,(10-5)*A3589,-5*A3589))+H$129*EXP(IF(A3589&lt;0,(10-6)*A3589,-6*A3589))+I$129*EXP(IF(A3589&lt;0,(10-7)*A3589,-7*A3589))+J$129*EXP(IF(A3589&lt;0,(10-8)*A3589,-8*A3589))+K$129*EXP(IF(A3589&lt;0,(10-9)*A3589,-9*A3589))+L$129*EXP(IF(A3589&lt;0,(10-10)*A3589,-10*A3589)),0)</x:f>
        <x:v>-190003.3753281922</x:v>
      </x:c>
      <x:c r="C3589" s="256" t="n">
        <x:f>IF(B3589=0,IF(B3588=0,0,1),IF(B3588=0,0,IF(SIGN(B3589)&lt;&gt;SIGN(B3588),1,0)))</x:f>
        <x:v>0</x:v>
      </x:c>
      <x:c r="D3589" s="256" t="n">
        <x:f>EXP(A3589-0.005)-1</x:f>
        <x:v>2403.266147976739</x:v>
      </x:c>
    </x:row>
    <x:row r="3590" ht="20" customHeight="1">
      <x:c r="A3590" s="256" t="n">
        <x:f>-12+1980*0.01</x:f>
        <x:v>7.800000000000001</x:v>
      </x:c>
      <x:c r="B3590" s="256" t="n">
        <x:f>IF(COUNT($B$129:$L$129)=11,B$129*EXP(IF(A3590&lt;0,(10-0)*A3590,-0*A3590))+C$129*EXP(IF(A3590&lt;0,(10-1)*A3590,-1*A3590))+D$129*EXP(IF(A3590&lt;0,(10-2)*A3590,-2*A3590))+E$129*EXP(IF(A3590&lt;0,(10-3)*A3590,-3*A3590))+F$129*EXP(IF(A3590&lt;0,(10-4)*A3590,-4*A3590))+G$129*EXP(IF(A3590&lt;0,(10-5)*A3590,-5*A3590))+H$129*EXP(IF(A3590&lt;0,(10-6)*A3590,-6*A3590))+I$129*EXP(IF(A3590&lt;0,(10-7)*A3590,-7*A3590))+J$129*EXP(IF(A3590&lt;0,(10-8)*A3590,-8*A3590))+K$129*EXP(IF(A3590&lt;0,(10-9)*A3590,-9*A3590))+L$129*EXP(IF(A3590&lt;0,(10-10)*A3590,-10*A3590)),0)</x:f>
        <x:v>-190003.3417330994</x:v>
      </x:c>
      <x:c r="C3590" s="256" t="n">
        <x:f>IF(B3590=0,IF(B3589=0,0,1),IF(B3589=0,0,IF(SIGN(B3590)&lt;&gt;SIGN(B3589),1,0)))</x:f>
        <x:v>0</x:v>
      </x:c>
      <x:c r="D3590" s="256" t="n">
        <x:f>EXP(A3590-0.005)-1</x:f>
        <x:v>2427.4294244787184</x:v>
      </x:c>
    </x:row>
    <x:row r="3591" ht="20" customHeight="1">
      <x:c r="A3591" s="256" t="n">
        <x:f>-12+1981*0.01</x:f>
        <x:v>7.809999999999999</x:v>
      </x:c>
      <x:c r="B3591" s="256" t="n">
        <x:f>IF(COUNT($B$129:$L$129)=11,B$129*EXP(IF(A3591&lt;0,(10-0)*A3591,-0*A3591))+C$129*EXP(IF(A3591&lt;0,(10-1)*A3591,-1*A3591))+D$129*EXP(IF(A3591&lt;0,(10-2)*A3591,-2*A3591))+E$129*EXP(IF(A3591&lt;0,(10-3)*A3591,-3*A3591))+F$129*EXP(IF(A3591&lt;0,(10-4)*A3591,-4*A3591))+G$129*EXP(IF(A3591&lt;0,(10-5)*A3591,-5*A3591))+H$129*EXP(IF(A3591&lt;0,(10-6)*A3591,-6*A3591))+I$129*EXP(IF(A3591&lt;0,(10-7)*A3591,-7*A3591))+J$129*EXP(IF(A3591&lt;0,(10-8)*A3591,-8*A3591))+K$129*EXP(IF(A3591&lt;0,(10-9)*A3591,-9*A3591))+L$129*EXP(IF(A3591&lt;0,(10-10)*A3591,-10*A3591)),0)</x:f>
        <x:v>-190003.30847248167</x:v>
      </x:c>
      <x:c r="C3591" s="256" t="n">
        <x:f>IF(B3591=0,IF(B3590=0,0,1),IF(B3590=0,0,IF(SIGN(B3591)&lt;&gt;SIGN(B3590),1,0)))</x:f>
        <x:v>0</x:v>
      </x:c>
      <x:c r="D3591" s="256" t="n">
        <x:f>EXP(A3591-0.005)-1</x:f>
        <x:v>2451.8355459468344</x:v>
      </x:c>
    </x:row>
    <x:row r="3592" ht="20" customHeight="1">
      <x:c r="A3592" s="256" t="n">
        <x:f>-12+1982*0.01</x:f>
        <x:v>7.82</x:v>
      </x:c>
      <x:c r="B3592" s="256" t="n">
        <x:f>IF(COUNT($B$129:$L$129)=11,B$129*EXP(IF(A3592&lt;0,(10-0)*A3592,-0*A3592))+C$129*EXP(IF(A3592&lt;0,(10-1)*A3592,-1*A3592))+D$129*EXP(IF(A3592&lt;0,(10-2)*A3592,-2*A3592))+E$129*EXP(IF(A3592&lt;0,(10-3)*A3592,-3*A3592))+F$129*EXP(IF(A3592&lt;0,(10-4)*A3592,-4*A3592))+G$129*EXP(IF(A3592&lt;0,(10-5)*A3592,-5*A3592))+H$129*EXP(IF(A3592&lt;0,(10-6)*A3592,-6*A3592))+I$129*EXP(IF(A3592&lt;0,(10-7)*A3592,-7*A3592))+J$129*EXP(IF(A3592&lt;0,(10-8)*A3592,-8*A3592))+K$129*EXP(IF(A3592&lt;0,(10-9)*A3592,-9*A3592))+L$129*EXP(IF(A3592&lt;0,(10-10)*A3592,-10*A3592)),0)</x:f>
        <x:v>-190003.27554300713</x:v>
      </x:c>
      <x:c r="C3592" s="256" t="n">
        <x:f>IF(B3592=0,IF(B3591=0,0,1),IF(B3591=0,0,IF(SIGN(B3592)&lt;&gt;SIGN(B3591),1,0)))</x:f>
        <x:v>0</x:v>
      </x:c>
      <x:c r="D3592" s="256" t="n">
        <x:f>EXP(A3592-0.005)-1</x:f>
        <x:v>2476.4869530135907</x:v>
      </x:c>
    </x:row>
    <x:row r="3593" ht="20" customHeight="1">
      <x:c r="A3593" s="256" t="n">
        <x:f>-12+1983*0.01</x:f>
        <x:v>7.830000000000002</x:v>
      </x:c>
      <x:c r="B3593" s="256" t="n">
        <x:f>IF(COUNT($B$129:$L$129)=11,B$129*EXP(IF(A3593&lt;0,(10-0)*A3593,-0*A3593))+C$129*EXP(IF(A3593&lt;0,(10-1)*A3593,-1*A3593))+D$129*EXP(IF(A3593&lt;0,(10-2)*A3593,-2*A3593))+E$129*EXP(IF(A3593&lt;0,(10-3)*A3593,-3*A3593))+F$129*EXP(IF(A3593&lt;0,(10-4)*A3593,-4*A3593))+G$129*EXP(IF(A3593&lt;0,(10-5)*A3593,-5*A3593))+H$129*EXP(IF(A3593&lt;0,(10-6)*A3593,-6*A3593))+I$129*EXP(IF(A3593&lt;0,(10-7)*A3593,-7*A3593))+J$129*EXP(IF(A3593&lt;0,(10-8)*A3593,-8*A3593))+K$129*EXP(IF(A3593&lt;0,(10-9)*A3593,-9*A3593))+L$129*EXP(IF(A3593&lt;0,(10-10)*A3593,-10*A3593)),0)</x:f>
        <x:v>-190003.2429413769</x:v>
      </x:c>
      <x:c r="C3593" s="256" t="n">
        <x:f>IF(B3593=0,IF(B3592=0,0,1),IF(B3592=0,0,IF(SIGN(B3593)&lt;&gt;SIGN(B3592),1,0)))</x:f>
        <x:v>0</x:v>
      </x:c>
      <x:c r="D3593" s="256" t="n">
        <x:f>EXP(A3593-0.005)-1</x:f>
        <x:v>2501.3861108402275</x:v>
      </x:c>
    </x:row>
    <x:row r="3594" ht="20" customHeight="1">
      <x:c r="A3594" s="256" t="n">
        <x:f>-12+1984*0.01</x:f>
        <x:v>7.84</x:v>
      </x:c>
      <x:c r="B3594" s="256" t="n">
        <x:f>IF(COUNT($B$129:$L$129)=11,B$129*EXP(IF(A3594&lt;0,(10-0)*A3594,-0*A3594))+C$129*EXP(IF(A3594&lt;0,(10-1)*A3594,-1*A3594))+D$129*EXP(IF(A3594&lt;0,(10-2)*A3594,-2*A3594))+E$129*EXP(IF(A3594&lt;0,(10-3)*A3594,-3*A3594))+F$129*EXP(IF(A3594&lt;0,(10-4)*A3594,-4*A3594))+G$129*EXP(IF(A3594&lt;0,(10-5)*A3594,-5*A3594))+H$129*EXP(IF(A3594&lt;0,(10-6)*A3594,-6*A3594))+I$129*EXP(IF(A3594&lt;0,(10-7)*A3594,-7*A3594))+J$129*EXP(IF(A3594&lt;0,(10-8)*A3594,-8*A3594))+K$129*EXP(IF(A3594&lt;0,(10-9)*A3594,-9*A3594))+L$129*EXP(IF(A3594&lt;0,(10-10)*A3594,-10*A3594)),0)</x:f>
        <x:v>-190003.21066432516</x:v>
      </x:c>
      <x:c r="C3594" s="256" t="n">
        <x:f>IF(B3594=0,IF(B3593=0,0,1),IF(B3593=0,0,IF(SIGN(B3594)&lt;&gt;SIGN(B3593),1,0)))</x:f>
        <x:v>0</x:v>
      </x:c>
      <x:c r="D3594" s="256" t="n">
        <x:f>EXP(A3594-0.005)-1</x:f>
        <x:v>2526.5355093632684</x:v>
      </x:c>
    </x:row>
    <x:row r="3595" ht="20" customHeight="1">
      <x:c r="A3595" s="256" t="n">
        <x:f>-12+1985*0.01</x:f>
        <x:v>7.850000000000001</x:v>
      </x:c>
      <x:c r="B3595" s="256" t="n">
        <x:f>IF(COUNT($B$129:$L$129)=11,B$129*EXP(IF(A3595&lt;0,(10-0)*A3595,-0*A3595))+C$129*EXP(IF(A3595&lt;0,(10-1)*A3595,-1*A3595))+D$129*EXP(IF(A3595&lt;0,(10-2)*A3595,-2*A3595))+E$129*EXP(IF(A3595&lt;0,(10-3)*A3595,-3*A3595))+F$129*EXP(IF(A3595&lt;0,(10-4)*A3595,-4*A3595))+G$129*EXP(IF(A3595&lt;0,(10-5)*A3595,-5*A3595))+H$129*EXP(IF(A3595&lt;0,(10-6)*A3595,-6*A3595))+I$129*EXP(IF(A3595&lt;0,(10-7)*A3595,-7*A3595))+J$129*EXP(IF(A3595&lt;0,(10-8)*A3595,-8*A3595))+K$129*EXP(IF(A3595&lt;0,(10-9)*A3595,-9*A3595))+L$129*EXP(IF(A3595&lt;0,(10-10)*A3595,-10*A3595)),0)</x:f>
        <x:v>-190003.17870861856</x:v>
      </x:c>
      <x:c r="C3595" s="256" t="n">
        <x:f>IF(B3595=0,IF(B3594=0,0,1),IF(B3594=0,0,IF(SIGN(B3595)&lt;&gt;SIGN(B3594),1,0)))</x:f>
        <x:v>0</x:v>
      </x:c>
      <x:c r="D3595" s="256" t="n">
        <x:f>EXP(A3595-0.005)-1</x:f>
        <x:v>2551.937663543541</x:v>
      </x:c>
    </x:row>
    <x:row r="3596" ht="20" customHeight="1">
      <x:c r="A3596" s="256" t="n">
        <x:f>-12+1986*0.01</x:f>
        <x:v>7.859999999999999</x:v>
      </x:c>
      <x:c r="B3596" s="256" t="n">
        <x:f>IF(COUNT($B$129:$L$129)=11,B$129*EXP(IF(A3596&lt;0,(10-0)*A3596,-0*A3596))+C$129*EXP(IF(A3596&lt;0,(10-1)*A3596,-1*A3596))+D$129*EXP(IF(A3596&lt;0,(10-2)*A3596,-2*A3596))+E$129*EXP(IF(A3596&lt;0,(10-3)*A3596,-3*A3596))+F$129*EXP(IF(A3596&lt;0,(10-4)*A3596,-4*A3596))+G$129*EXP(IF(A3596&lt;0,(10-5)*A3596,-5*A3596))+H$129*EXP(IF(A3596&lt;0,(10-6)*A3596,-6*A3596))+I$129*EXP(IF(A3596&lt;0,(10-7)*A3596,-7*A3596))+J$129*EXP(IF(A3596&lt;0,(10-8)*A3596,-8*A3596))+K$129*EXP(IF(A3596&lt;0,(10-9)*A3596,-9*A3596))+L$129*EXP(IF(A3596&lt;0,(10-10)*A3596,-10*A3596)),0)</x:f>
        <x:v>-190003.1470710561</x:v>
      </x:c>
      <x:c r="C3596" s="256" t="n">
        <x:f>IF(B3596=0,IF(B3595=0,0,1),IF(B3595=0,0,IF(SIGN(B3596)&lt;&gt;SIGN(B3595),1,0)))</x:f>
        <x:v>0</x:v>
      </x:c>
      <x:c r="D3596" s="256" t="n">
        <x:f>EXP(A3596-0.005)-1</x:f>
        <x:v>2577.595113617614</x:v>
      </x:c>
    </x:row>
    <x:row r="3597" ht="20" customHeight="1">
      <x:c r="A3597" s="256" t="n">
        <x:f>-12+1987*0.01</x:f>
        <x:v>7.870000000000001</x:v>
      </x:c>
      <x:c r="B3597" s="256" t="n">
        <x:f>IF(COUNT($B$129:$L$129)=11,B$129*EXP(IF(A3597&lt;0,(10-0)*A3597,-0*A3597))+C$129*EXP(IF(A3597&lt;0,(10-1)*A3597,-1*A3597))+D$129*EXP(IF(A3597&lt;0,(10-2)*A3597,-2*A3597))+E$129*EXP(IF(A3597&lt;0,(10-3)*A3597,-3*A3597))+F$129*EXP(IF(A3597&lt;0,(10-4)*A3597,-4*A3597))+G$129*EXP(IF(A3597&lt;0,(10-5)*A3597,-5*A3597))+H$129*EXP(IF(A3597&lt;0,(10-6)*A3597,-6*A3597))+I$129*EXP(IF(A3597&lt;0,(10-7)*A3597,-7*A3597))+J$129*EXP(IF(A3597&lt;0,(10-8)*A3597,-8*A3597))+K$129*EXP(IF(A3597&lt;0,(10-9)*A3597,-9*A3597))+L$129*EXP(IF(A3597&lt;0,(10-10)*A3597,-10*A3597)),0)</x:f>
        <x:v>-190003.11574846852</x:v>
      </x:c>
      <x:c r="C3597" s="256" t="n">
        <x:f>IF(B3597=0,IF(B3596=0,0,1),IF(B3596=0,0,IF(SIGN(B3597)&lt;&gt;SIGN(B3596),1,0)))</x:f>
        <x:v>0</x:v>
      </x:c>
      <x:c r="D3597" s="256" t="n">
        <x:f>EXP(A3597-0.005)-1</x:f>
        <x:v>2603.5104253518944</x:v>
      </x:c>
    </x:row>
    <x:row r="3598" ht="20" customHeight="1">
      <x:c r="A3598" s="256" t="n">
        <x:f>-12+1988*0.01</x:f>
        <x:v>7.879999999999999</x:v>
      </x:c>
      <x:c r="B3598" s="256" t="n">
        <x:f>IF(COUNT($B$129:$L$129)=11,B$129*EXP(IF(A3598&lt;0,(10-0)*A3598,-0*A3598))+C$129*EXP(IF(A3598&lt;0,(10-1)*A3598,-1*A3598))+D$129*EXP(IF(A3598&lt;0,(10-2)*A3598,-2*A3598))+E$129*EXP(IF(A3598&lt;0,(10-3)*A3598,-3*A3598))+F$129*EXP(IF(A3598&lt;0,(10-4)*A3598,-4*A3598))+G$129*EXP(IF(A3598&lt;0,(10-5)*A3598,-5*A3598))+H$129*EXP(IF(A3598&lt;0,(10-6)*A3598,-6*A3598))+I$129*EXP(IF(A3598&lt;0,(10-7)*A3598,-7*A3598))+J$129*EXP(IF(A3598&lt;0,(10-8)*A3598,-8*A3598))+K$129*EXP(IF(A3598&lt;0,(10-9)*A3598,-9*A3598))+L$129*EXP(IF(A3598&lt;0,(10-10)*A3598,-10*A3598)),0)</x:f>
        <x:v>-190003.08473771837</x:v>
      </x:c>
      <x:c r="C3598" s="256" t="n">
        <x:f>IF(B3598=0,IF(B3597=0,0,1),IF(B3597=0,0,IF(SIGN(B3598)&lt;&gt;SIGN(B3597),1,0)))</x:f>
        <x:v>0</x:v>
      </x:c>
      <x:c r="D3598" s="256" t="n">
        <x:f>EXP(A3598-0.005)-1</x:f>
        <x:v>2629.686190299133</x:v>
      </x:c>
    </x:row>
    <x:row r="3599" ht="20" customHeight="1">
      <x:c r="A3599" s="256" t="n">
        <x:f>-12+1989*0.01</x:f>
        <x:v>7.890000000000001</x:v>
      </x:c>
      <x:c r="B3599" s="256" t="n">
        <x:f>IF(COUNT($B$129:$L$129)=11,B$129*EXP(IF(A3599&lt;0,(10-0)*A3599,-0*A3599))+C$129*EXP(IF(A3599&lt;0,(10-1)*A3599,-1*A3599))+D$129*EXP(IF(A3599&lt;0,(10-2)*A3599,-2*A3599))+E$129*EXP(IF(A3599&lt;0,(10-3)*A3599,-3*A3599))+F$129*EXP(IF(A3599&lt;0,(10-4)*A3599,-4*A3599))+G$129*EXP(IF(A3599&lt;0,(10-5)*A3599,-5*A3599))+H$129*EXP(IF(A3599&lt;0,(10-6)*A3599,-6*A3599))+I$129*EXP(IF(A3599&lt;0,(10-7)*A3599,-7*A3599))+J$129*EXP(IF(A3599&lt;0,(10-8)*A3599,-8*A3599))+K$129*EXP(IF(A3599&lt;0,(10-9)*A3599,-9*A3599))+L$129*EXP(IF(A3599&lt;0,(10-10)*A3599,-10*A3599)),0)</x:f>
        <x:v>-190003.05403569943</x:v>
      </x:c>
      <x:c r="C3599" s="256" t="n">
        <x:f>IF(B3599=0,IF(B3598=0,0,1),IF(B3598=0,0,IF(SIGN(B3599)&lt;&gt;SIGN(B3598),1,0)))</x:f>
        <x:v>0</x:v>
      </x:c>
      <x:c r="D3599" s="256" t="n">
        <x:f>EXP(A3599-0.005)-1</x:f>
        <x:v>2656.125026057657</x:v>
      </x:c>
    </x:row>
    <x:row r="3600" ht="20" customHeight="1">
      <x:c r="A3600" s="256" t="n">
        <x:f>-12+1990*0.01</x:f>
        <x:v>7.900000000000002</x:v>
      </x:c>
      <x:c r="B3600" s="256" t="n">
        <x:f>IF(COUNT($B$129:$L$129)=11,B$129*EXP(IF(A3600&lt;0,(10-0)*A3600,-0*A3600))+C$129*EXP(IF(A3600&lt;0,(10-1)*A3600,-1*A3600))+D$129*EXP(IF(A3600&lt;0,(10-2)*A3600,-2*A3600))+E$129*EXP(IF(A3600&lt;0,(10-3)*A3600,-3*A3600))+F$129*EXP(IF(A3600&lt;0,(10-4)*A3600,-4*A3600))+G$129*EXP(IF(A3600&lt;0,(10-5)*A3600,-5*A3600))+H$129*EXP(IF(A3600&lt;0,(10-6)*A3600,-6*A3600))+I$129*EXP(IF(A3600&lt;0,(10-7)*A3600,-7*A3600))+J$129*EXP(IF(A3600&lt;0,(10-8)*A3600,-8*A3600))+K$129*EXP(IF(A3600&lt;0,(10-9)*A3600,-9*A3600))+L$129*EXP(IF(A3600&lt;0,(10-10)*A3600,-10*A3600)),0)</x:f>
        <x:v>-190003.02363933632</x:v>
      </x:c>
      <x:c r="C3600" s="256" t="n">
        <x:f>IF(B3600=0,IF(B3599=0,0,1),IF(B3599=0,0,IF(SIGN(B3600)&lt;&gt;SIGN(B3599),1,0)))</x:f>
        <x:v>0</x:v>
      </x:c>
      <x:c r="D3600" s="256" t="n">
        <x:f>EXP(A3600-0.005)-1</x:f>
        <x:v>2682.8295765330654</x:v>
      </x:c>
    </x:row>
    <x:row r="3601" ht="20" customHeight="1">
      <x:c r="A3601" s="256" t="n">
        <x:f>-12+1991*0.01</x:f>
        <x:v>7.91</x:v>
      </x:c>
      <x:c r="B3601" s="256" t="n">
        <x:f>IF(COUNT($B$129:$L$129)=11,B$129*EXP(IF(A3601&lt;0,(10-0)*A3601,-0*A3601))+C$129*EXP(IF(A3601&lt;0,(10-1)*A3601,-1*A3601))+D$129*EXP(IF(A3601&lt;0,(10-2)*A3601,-2*A3601))+E$129*EXP(IF(A3601&lt;0,(10-3)*A3601,-3*A3601))+F$129*EXP(IF(A3601&lt;0,(10-4)*A3601,-4*A3601))+G$129*EXP(IF(A3601&lt;0,(10-5)*A3601,-5*A3601))+H$129*EXP(IF(A3601&lt;0,(10-6)*A3601,-6*A3601))+I$129*EXP(IF(A3601&lt;0,(10-7)*A3601,-7*A3601))+J$129*EXP(IF(A3601&lt;0,(10-8)*A3601,-8*A3601))+K$129*EXP(IF(A3601&lt;0,(10-9)*A3601,-9*A3601))+L$129*EXP(IF(A3601&lt;0,(10-10)*A3601,-10*A3601)),0)</x:f>
        <x:v>-190002.9935455845</x:v>
      </x:c>
      <x:c r="C3601" s="256" t="n">
        <x:f>IF(B3601=0,IF(B3600=0,0,1),IF(B3600=0,0,IF(SIGN(B3601)&lt;&gt;SIGN(B3600),1,0)))</x:f>
        <x:v>0</x:v>
      </x:c>
      <x:c r="D3601" s="256" t="n">
        <x:f>EXP(A3601-0.005)-1</x:f>
        <x:v>2709.8025122026493</x:v>
      </x:c>
    </x:row>
    <x:row r="3602" ht="20" customHeight="1">
      <x:c r="A3602" s="256" t="n">
        <x:f>-12+1992*0.01</x:f>
        <x:v>7.920000000000002</x:v>
      </x:c>
      <x:c r="B3602" s="256" t="n">
        <x:f>IF(COUNT($B$129:$L$129)=11,B$129*EXP(IF(A3602&lt;0,(10-0)*A3602,-0*A3602))+C$129*EXP(IF(A3602&lt;0,(10-1)*A3602,-1*A3602))+D$129*EXP(IF(A3602&lt;0,(10-2)*A3602,-2*A3602))+E$129*EXP(IF(A3602&lt;0,(10-3)*A3602,-3*A3602))+F$129*EXP(IF(A3602&lt;0,(10-4)*A3602,-4*A3602))+G$129*EXP(IF(A3602&lt;0,(10-5)*A3602,-5*A3602))+H$129*EXP(IF(A3602&lt;0,(10-6)*A3602,-6*A3602))+I$129*EXP(IF(A3602&lt;0,(10-7)*A3602,-7*A3602))+J$129*EXP(IF(A3602&lt;0,(10-8)*A3602,-8*A3602))+K$129*EXP(IF(A3602&lt;0,(10-9)*A3602,-9*A3602))+L$129*EXP(IF(A3602&lt;0,(10-10)*A3602,-10*A3602)),0)</x:f>
        <x:v>-190002.9637514297</x:v>
      </x:c>
      <x:c r="C3602" s="256" t="n">
        <x:f>IF(B3602=0,IF(B3601=0,0,1),IF(B3601=0,0,IF(SIGN(B3602)&lt;&gt;SIGN(B3601),1,0)))</x:f>
        <x:v>0</x:v>
      </x:c>
      <x:c r="D3602" s="256" t="n">
        <x:f>EXP(A3602-0.005)-1</x:f>
        <x:v>2737.0465303824726</x:v>
      </x:c>
    </x:row>
    <x:row r="3603" ht="20" customHeight="1">
      <x:c r="A3603" s="256" t="n">
        <x:f>-12+1993*0.01</x:f>
        <x:v>7.93</x:v>
      </x:c>
      <x:c r="B3603" s="256" t="n">
        <x:f>IF(COUNT($B$129:$L$129)=11,B$129*EXP(IF(A3603&lt;0,(10-0)*A3603,-0*A3603))+C$129*EXP(IF(A3603&lt;0,(10-1)*A3603,-1*A3603))+D$129*EXP(IF(A3603&lt;0,(10-2)*A3603,-2*A3603))+E$129*EXP(IF(A3603&lt;0,(10-3)*A3603,-3*A3603))+F$129*EXP(IF(A3603&lt;0,(10-4)*A3603,-4*A3603))+G$129*EXP(IF(A3603&lt;0,(10-5)*A3603,-5*A3603))+H$129*EXP(IF(A3603&lt;0,(10-6)*A3603,-6*A3603))+I$129*EXP(IF(A3603&lt;0,(10-7)*A3603,-7*A3603))+J$129*EXP(IF(A3603&lt;0,(10-8)*A3603,-8*A3603))+K$129*EXP(IF(A3603&lt;0,(10-9)*A3603,-9*A3603))+L$129*EXP(IF(A3603&lt;0,(10-10)*A3603,-10*A3603)),0)</x:f>
        <x:v>-190002.9342538877</x:v>
      </x:c>
      <x:c r="C3603" s="256" t="n">
        <x:f>IF(B3603=0,IF(B3602=0,0,1),IF(B3602=0,0,IF(SIGN(B3603)&lt;&gt;SIGN(B3602),1,0)))</x:f>
        <x:v>0</x:v>
      </x:c>
      <x:c r="D3603" s="256" t="n">
        <x:f>EXP(A3603-0.005)-1</x:f>
        <x:v>2764.5643554970375</x:v>
      </x:c>
    </x:row>
    <x:row r="3604" ht="20" customHeight="1">
      <x:c r="A3604" s="256" t="n">
        <x:f>-12+1994*0.01</x:f>
        <x:v>7.940000000000001</x:v>
      </x:c>
      <x:c r="B3604" s="256" t="n">
        <x:f>IF(COUNT($B$129:$L$129)=11,B$129*EXP(IF(A3604&lt;0,(10-0)*A3604,-0*A3604))+C$129*EXP(IF(A3604&lt;0,(10-1)*A3604,-1*A3604))+D$129*EXP(IF(A3604&lt;0,(10-2)*A3604,-2*A3604))+E$129*EXP(IF(A3604&lt;0,(10-3)*A3604,-3*A3604))+F$129*EXP(IF(A3604&lt;0,(10-4)*A3604,-4*A3604))+G$129*EXP(IF(A3604&lt;0,(10-5)*A3604,-5*A3604))+H$129*EXP(IF(A3604&lt;0,(10-6)*A3604,-6*A3604))+I$129*EXP(IF(A3604&lt;0,(10-7)*A3604,-7*A3604))+J$129*EXP(IF(A3604&lt;0,(10-8)*A3604,-8*A3604))+K$129*EXP(IF(A3604&lt;0,(10-9)*A3604,-9*A3604))+L$129*EXP(IF(A3604&lt;0,(10-10)*A3604,-10*A3604)),0)</x:f>
        <x:v>-190002.90505000416</x:v>
      </x:c>
      <x:c r="C3604" s="256" t="n">
        <x:f>IF(B3604=0,IF(B3603=0,0,1),IF(B3603=0,0,IF(SIGN(B3604)&lt;&gt;SIGN(B3603),1,0)))</x:f>
        <x:v>0</x:v>
      </x:c>
      <x:c r="D3604" s="256" t="n">
        <x:f>EXP(A3604-0.005)-1</x:f>
        <x:v>2792.358739351807</x:v>
      </x:c>
    </x:row>
    <x:row r="3605" ht="20" customHeight="1">
      <x:c r="A3605" s="256" t="n">
        <x:f>-12+1995*0.01</x:f>
        <x:v>7.949999999999999</x:v>
      </x:c>
      <x:c r="B3605" s="256" t="n">
        <x:f>IF(COUNT($B$129:$L$129)=11,B$129*EXP(IF(A3605&lt;0,(10-0)*A3605,-0*A3605))+C$129*EXP(IF(A3605&lt;0,(10-1)*A3605,-1*A3605))+D$129*EXP(IF(A3605&lt;0,(10-2)*A3605,-2*A3605))+E$129*EXP(IF(A3605&lt;0,(10-3)*A3605,-3*A3605))+F$129*EXP(IF(A3605&lt;0,(10-4)*A3605,-4*A3605))+G$129*EXP(IF(A3605&lt;0,(10-5)*A3605,-5*A3605))+H$129*EXP(IF(A3605&lt;0,(10-6)*A3605,-6*A3605))+I$129*EXP(IF(A3605&lt;0,(10-7)*A3605,-7*A3605))+J$129*EXP(IF(A3605&lt;0,(10-8)*A3605,-8*A3605))+K$129*EXP(IF(A3605&lt;0,(10-9)*A3605,-9*A3605))+L$129*EXP(IF(A3605&lt;0,(10-10)*A3605,-10*A3605)),0)</x:f>
        <x:v>-190002.87613685403</x:v>
      </x:c>
      <x:c r="C3605" s="256" t="n">
        <x:f>IF(B3605=0,IF(B3604=0,0,1),IF(B3604=0,0,IF(SIGN(B3605)&lt;&gt;SIGN(B3604),1,0)))</x:f>
        <x:v>0</x:v>
      </x:c>
      <x:c r="D3605" s="256" t="n">
        <x:f>EXP(A3605-0.005)-1</x:f>
        <x:v>2820.432461408308</x:v>
      </x:c>
    </x:row>
    <x:row r="3606" ht="20" customHeight="1">
      <x:c r="A3606" s="256" t="n">
        <x:f>-12+1996*0.01</x:f>
        <x:v>7.960000000000001</x:v>
      </x:c>
      <x:c r="B3606" s="256" t="n">
        <x:f>IF(COUNT($B$129:$L$129)=11,B$129*EXP(IF(A3606&lt;0,(10-0)*A3606,-0*A3606))+C$129*EXP(IF(A3606&lt;0,(10-1)*A3606,-1*A3606))+D$129*EXP(IF(A3606&lt;0,(10-2)*A3606,-2*A3606))+E$129*EXP(IF(A3606&lt;0,(10-3)*A3606,-3*A3606))+F$129*EXP(IF(A3606&lt;0,(10-4)*A3606,-4*A3606))+G$129*EXP(IF(A3606&lt;0,(10-5)*A3606,-5*A3606))+H$129*EXP(IF(A3606&lt;0,(10-6)*A3606,-6*A3606))+I$129*EXP(IF(A3606&lt;0,(10-7)*A3606,-7*A3606))+J$129*EXP(IF(A3606&lt;0,(10-8)*A3606,-8*A3606))+K$129*EXP(IF(A3606&lt;0,(10-9)*A3606,-9*A3606))+L$129*EXP(IF(A3606&lt;0,(10-10)*A3606,-10*A3606)),0)</x:f>
        <x:v>-190002.84751154148</x:v>
      </x:c>
      <x:c r="C3606" s="256" t="n">
        <x:f>IF(B3606=0,IF(B3605=0,0,1),IF(B3605=0,0,IF(SIGN(B3606)&lt;&gt;SIGN(B3605),1,0)))</x:f>
        <x:v>0</x:v>
      </x:c>
      <x:c r="D3606" s="256" t="n">
        <x:f>EXP(A3606-0.005)-1</x:f>
        <x:v>2848.788329062161</x:v>
      </x:c>
    </x:row>
    <x:row r="3607" ht="20" customHeight="1">
      <x:c r="A3607" s="256" t="n">
        <x:f>-12+1997*0.01</x:f>
        <x:v>7.969999999999999</x:v>
      </x:c>
      <x:c r="B3607" s="256" t="n">
        <x:f>IF(COUNT($B$129:$L$129)=11,B$129*EXP(IF(A3607&lt;0,(10-0)*A3607,-0*A3607))+C$129*EXP(IF(A3607&lt;0,(10-1)*A3607,-1*A3607))+D$129*EXP(IF(A3607&lt;0,(10-2)*A3607,-2*A3607))+E$129*EXP(IF(A3607&lt;0,(10-3)*A3607,-3*A3607))+F$129*EXP(IF(A3607&lt;0,(10-4)*A3607,-4*A3607))+G$129*EXP(IF(A3607&lt;0,(10-5)*A3607,-5*A3607))+H$129*EXP(IF(A3607&lt;0,(10-6)*A3607,-6*A3607))+I$129*EXP(IF(A3607&lt;0,(10-7)*A3607,-7*A3607))+J$129*EXP(IF(A3607&lt;0,(10-8)*A3607,-8*A3607))+K$129*EXP(IF(A3607&lt;0,(10-9)*A3607,-9*A3607))+L$129*EXP(IF(A3607&lt;0,(10-10)*A3607,-10*A3607)),0)</x:f>
        <x:v>-190002.8191711996</x:v>
      </x:c>
      <x:c r="C3607" s="256" t="n">
        <x:f>IF(B3607=0,IF(B3606=0,0,1),IF(B3606=0,0,IF(SIGN(B3607)&lt;&gt;SIGN(B3606),1,0)))</x:f>
        <x:v>0</x:v>
      </x:c>
      <x:c r="D3607" s="256" t="n">
        <x:f>EXP(A3607-0.005)-1</x:f>
        <x:v>2877.4291779237424</x:v>
      </x:c>
    </x:row>
    <x:row r="3608" ht="20" customHeight="1">
      <x:c r="A3608" s="256" t="n">
        <x:f>-12+1998*0.01</x:f>
        <x:v>7.98</x:v>
      </x:c>
      <x:c r="B3608" s="256" t="n">
        <x:f>IF(COUNT($B$129:$L$129)=11,B$129*EXP(IF(A3608&lt;0,(10-0)*A3608,-0*A3608))+C$129*EXP(IF(A3608&lt;0,(10-1)*A3608,-1*A3608))+D$129*EXP(IF(A3608&lt;0,(10-2)*A3608,-2*A3608))+E$129*EXP(IF(A3608&lt;0,(10-3)*A3608,-3*A3608))+F$129*EXP(IF(A3608&lt;0,(10-4)*A3608,-4*A3608))+G$129*EXP(IF(A3608&lt;0,(10-5)*A3608,-5*A3608))+H$129*EXP(IF(A3608&lt;0,(10-6)*A3608,-6*A3608))+I$129*EXP(IF(A3608&lt;0,(10-7)*A3608,-7*A3608))+J$129*EXP(IF(A3608&lt;0,(10-8)*A3608,-8*A3608))+K$129*EXP(IF(A3608&lt;0,(10-9)*A3608,-9*A3608))+L$129*EXP(IF(A3608&lt;0,(10-10)*A3608,-10*A3608)),0)</x:f>
        <x:v>-190002.79111298997</x:v>
      </x:c>
      <x:c r="C3608" s="256" t="n">
        <x:f>IF(B3608=0,IF(B3607=0,0,1),IF(B3607=0,0,IF(SIGN(B3608)&lt;&gt;SIGN(B3607),1,0)))</x:f>
        <x:v>0</x:v>
      </x:c>
      <x:c r="D3608" s="256" t="n">
        <x:f>EXP(A3608-0.005)-1</x:f>
        <x:v>2906.3578721018253</x:v>
      </x:c>
    </x:row>
    <x:row r="3609" ht="20" customHeight="1">
      <x:c r="A3609" s="256" t="n">
        <x:f>-12+1999*0.01</x:f>
        <x:v>7.990000000000002</x:v>
      </x:c>
      <x:c r="B3609" s="256" t="n">
        <x:f>IF(COUNT($B$129:$L$129)=11,B$129*EXP(IF(A3609&lt;0,(10-0)*A3609,-0*A3609))+C$129*EXP(IF(A3609&lt;0,(10-1)*A3609,-1*A3609))+D$129*EXP(IF(A3609&lt;0,(10-2)*A3609,-2*A3609))+E$129*EXP(IF(A3609&lt;0,(10-3)*A3609,-3*A3609))+F$129*EXP(IF(A3609&lt;0,(10-4)*A3609,-4*A3609))+G$129*EXP(IF(A3609&lt;0,(10-5)*A3609,-5*A3609))+H$129*EXP(IF(A3609&lt;0,(10-6)*A3609,-6*A3609))+I$129*EXP(IF(A3609&lt;0,(10-7)*A3609,-7*A3609))+J$129*EXP(IF(A3609&lt;0,(10-8)*A3609,-8*A3609))+K$129*EXP(IF(A3609&lt;0,(10-9)*A3609,-9*A3609))+L$129*EXP(IF(A3609&lt;0,(10-10)*A3609,-10*A3609)),0)</x:f>
        <x:v>-190002.76333410267</x:v>
      </x:c>
      <x:c r="C3609" s="256" t="n">
        <x:f>IF(B3609=0,IF(B3608=0,0,1),IF(B3608=0,0,IF(SIGN(B3609)&lt;&gt;SIGN(B3608),1,0)))</x:f>
        <x:v>0</x:v>
      </x:c>
      <x:c r="D3609" s="256" t="n">
        <x:f>EXP(A3609-0.005)-1</x:f>
        <x:v>2935.5773044899242</x:v>
      </x:c>
    </x:row>
    <x:row r="3610" ht="20" customHeight="1">
      <x:c r="A3610" s="256" t="n">
        <x:f>-12+2000*0.01</x:f>
        <x:v>8</x:v>
      </x:c>
      <x:c r="B3610" s="256" t="n">
        <x:f>IF(COUNT($B$129:$L$129)=11,B$129*EXP(IF(A3610&lt;0,(10-0)*A3610,-0*A3610))+C$129*EXP(IF(A3610&lt;0,(10-1)*A3610,-1*A3610))+D$129*EXP(IF(A3610&lt;0,(10-2)*A3610,-2*A3610))+E$129*EXP(IF(A3610&lt;0,(10-3)*A3610,-3*A3610))+F$129*EXP(IF(A3610&lt;0,(10-4)*A3610,-4*A3610))+G$129*EXP(IF(A3610&lt;0,(10-5)*A3610,-5*A3610))+H$129*EXP(IF(A3610&lt;0,(10-6)*A3610,-6*A3610))+I$129*EXP(IF(A3610&lt;0,(10-7)*A3610,-7*A3610))+J$129*EXP(IF(A3610&lt;0,(10-8)*A3610,-8*A3610))+K$129*EXP(IF(A3610&lt;0,(10-9)*A3610,-9*A3610))+L$129*EXP(IF(A3610&lt;0,(10-10)*A3610,-10*A3610)),0)</x:f>
        <x:v>-190002.7358317555</x:v>
      </x:c>
      <x:c r="C3610" s="256" t="n">
        <x:f>IF(B3610=0,IF(B3609=0,0,1),IF(B3609=0,0,IF(SIGN(B3610)&lt;&gt;SIGN(B3609),1,0)))</x:f>
        <x:v>0</x:v>
      </x:c>
      <x:c r="D3610" s="256" t="n">
        <x:f>EXP(A3610-0.005)-1</x:f>
        <x:v>2965.0903970556183</x:v>
      </x:c>
    </x:row>
    <x:row r="3611" ht="20" customHeight="1">
      <x:c r="A3611" s="256" t="n">
        <x:f>-12+2001*0.01</x:f>
        <x:v>8.010000000000002</x:v>
      </x:c>
      <x:c r="B3611" s="256" t="n">
        <x:f>IF(COUNT($B$129:$L$129)=11,B$129*EXP(IF(A3611&lt;0,(10-0)*A3611,-0*A3611))+C$129*EXP(IF(A3611&lt;0,(10-1)*A3611,-1*A3611))+D$129*EXP(IF(A3611&lt;0,(10-2)*A3611,-2*A3611))+E$129*EXP(IF(A3611&lt;0,(10-3)*A3611,-3*A3611))+F$129*EXP(IF(A3611&lt;0,(10-4)*A3611,-4*A3611))+G$129*EXP(IF(A3611&lt;0,(10-5)*A3611,-5*A3611))+H$129*EXP(IF(A3611&lt;0,(10-6)*A3611,-6*A3611))+I$129*EXP(IF(A3611&lt;0,(10-7)*A3611,-7*A3611))+J$129*EXP(IF(A3611&lt;0,(10-8)*A3611,-8*A3611))+K$129*EXP(IF(A3611&lt;0,(10-9)*A3611,-9*A3611))+L$129*EXP(IF(A3611&lt;0,(10-10)*A3611,-10*A3611)),0)</x:f>
        <x:v>-190002.7086031942</x:v>
      </x:c>
      <x:c r="C3611" s="256" t="n">
        <x:f>IF(B3611=0,IF(B3610=0,0,1),IF(B3610=0,0,IF(SIGN(B3611)&lt;&gt;SIGN(B3610),1,0)))</x:f>
        <x:v>0</x:v>
      </x:c>
      <x:c r="D3611" s="256" t="n">
        <x:f>EXP(A3611-0.005)-1</x:f>
        <x:v>2994.9001011327755</x:v>
      </x:c>
    </x:row>
    <x:row r="3612" ht="20" customHeight="1">
      <x:c r="A3612" s="256" t="n">
        <x:f>-12+2002*0.01</x:f>
        <x:v>8.02</x:v>
      </x:c>
      <x:c r="B3612" s="256" t="n">
        <x:f>IF(COUNT($B$129:$L$129)=11,B$129*EXP(IF(A3612&lt;0,(10-0)*A3612,-0*A3612))+C$129*EXP(IF(A3612&lt;0,(10-1)*A3612,-1*A3612))+D$129*EXP(IF(A3612&lt;0,(10-2)*A3612,-2*A3612))+E$129*EXP(IF(A3612&lt;0,(10-3)*A3612,-3*A3612))+F$129*EXP(IF(A3612&lt;0,(10-4)*A3612,-4*A3612))+G$129*EXP(IF(A3612&lt;0,(10-5)*A3612,-5*A3612))+H$129*EXP(IF(A3612&lt;0,(10-6)*A3612,-6*A3612))+I$129*EXP(IF(A3612&lt;0,(10-7)*A3612,-7*A3612))+J$129*EXP(IF(A3612&lt;0,(10-8)*A3612,-8*A3612))+K$129*EXP(IF(A3612&lt;0,(10-9)*A3612,-9*A3612))+L$129*EXP(IF(A3612&lt;0,(10-10)*A3612,-10*A3612)),0)</x:f>
        <x:v>-190002.68164569198</x:v>
      </x:c>
      <x:c r="C3612" s="256" t="n">
        <x:f>IF(B3612=0,IF(B3611=0,0,1),IF(B3611=0,0,IF(SIGN(B3612)&lt;&gt;SIGN(B3611),1,0)))</x:f>
        <x:v>0</x:v>
      </x:c>
      <x:c r="D3612" s="256" t="n">
        <x:f>EXP(A3612-0.005)-1</x:f>
        <x:v>3025.00939771663</x:v>
      </x:c>
    </x:row>
    <x:row r="3613" ht="20" customHeight="1">
      <x:c r="A3613" s="256" t="n">
        <x:f>-12+2003*0.01</x:f>
        <x:v>8.030000000000001</x:v>
      </x:c>
      <x:c r="B3613" s="256" t="n">
        <x:f>IF(COUNT($B$129:$L$129)=11,B$129*EXP(IF(A3613&lt;0,(10-0)*A3613,-0*A3613))+C$129*EXP(IF(A3613&lt;0,(10-1)*A3613,-1*A3613))+D$129*EXP(IF(A3613&lt;0,(10-2)*A3613,-2*A3613))+E$129*EXP(IF(A3613&lt;0,(10-3)*A3613,-3*A3613))+F$129*EXP(IF(A3613&lt;0,(10-4)*A3613,-4*A3613))+G$129*EXP(IF(A3613&lt;0,(10-5)*A3613,-5*A3613))+H$129*EXP(IF(A3613&lt;0,(10-6)*A3613,-6*A3613))+I$129*EXP(IF(A3613&lt;0,(10-7)*A3613,-7*A3613))+J$129*EXP(IF(A3613&lt;0,(10-8)*A3613,-8*A3613))+K$129*EXP(IF(A3613&lt;0,(10-9)*A3613,-9*A3613))+L$129*EXP(IF(A3613&lt;0,(10-10)*A3613,-10*A3613)),0)</x:f>
        <x:v>-190002.6549565491</x:v>
      </x:c>
      <x:c r="C3613" s="256" t="n">
        <x:f>IF(B3613=0,IF(B3612=0,0,1),IF(B3612=0,0,IF(SIGN(B3613)&lt;&gt;SIGN(B3612),1,0)))</x:f>
        <x:v>0</x:v>
      </x:c>
      <x:c r="D3613" s="256" t="n">
        <x:f>EXP(A3613-0.005)-1</x:f>
        <x:v>3055.4212977619495</x:v>
      </x:c>
    </x:row>
    <x:row r="3614" ht="20" customHeight="1">
      <x:c r="A3614" s="256" t="n">
        <x:f>-12+2004*0.01</x:f>
        <x:v>8.04</x:v>
      </x:c>
      <x:c r="B3614" s="256" t="n">
        <x:f>IF(COUNT($B$129:$L$129)=11,B$129*EXP(IF(A3614&lt;0,(10-0)*A3614,-0*A3614))+C$129*EXP(IF(A3614&lt;0,(10-1)*A3614,-1*A3614))+D$129*EXP(IF(A3614&lt;0,(10-2)*A3614,-2*A3614))+E$129*EXP(IF(A3614&lt;0,(10-3)*A3614,-3*A3614))+F$129*EXP(IF(A3614&lt;0,(10-4)*A3614,-4*A3614))+G$129*EXP(IF(A3614&lt;0,(10-5)*A3614,-5*A3614))+H$129*EXP(IF(A3614&lt;0,(10-6)*A3614,-6*A3614))+I$129*EXP(IF(A3614&lt;0,(10-7)*A3614,-7*A3614))+J$129*EXP(IF(A3614&lt;0,(10-8)*A3614,-8*A3614))+K$129*EXP(IF(A3614&lt;0,(10-9)*A3614,-9*A3614))+L$129*EXP(IF(A3614&lt;0,(10-10)*A3614,-10*A3614)),0)</x:f>
        <x:v>-190002.6285330929</x:v>
      </x:c>
      <x:c r="C3614" s="256" t="n">
        <x:f>IF(B3614=0,IF(B3613=0,0,1),IF(B3613=0,0,IF(SIGN(B3614)&lt;&gt;SIGN(B3613),1,0)))</x:f>
        <x:v>0</x:v>
      </x:c>
      <x:c r="D3614" s="256" t="n">
        <x:f>EXP(A3614-0.005)-1</x:f>
        <x:v>3086.1388424840607</x:v>
      </x:c>
    </x:row>
    <x:row r="3615" ht="20" customHeight="1">
      <x:c r="A3615" s="256" t="n">
        <x:f>-12+2005*0.01</x:f>
        <x:v>8.05</x:v>
      </x:c>
      <x:c r="B3615" s="256" t="n">
        <x:f>IF(COUNT($B$129:$L$129)=11,B$129*EXP(IF(A3615&lt;0,(10-0)*A3615,-0*A3615))+C$129*EXP(IF(A3615&lt;0,(10-1)*A3615,-1*A3615))+D$129*EXP(IF(A3615&lt;0,(10-2)*A3615,-2*A3615))+E$129*EXP(IF(A3615&lt;0,(10-3)*A3615,-3*A3615))+F$129*EXP(IF(A3615&lt;0,(10-4)*A3615,-4*A3615))+G$129*EXP(IF(A3615&lt;0,(10-5)*A3615,-5*A3615))+H$129*EXP(IF(A3615&lt;0,(10-6)*A3615,-6*A3615))+I$129*EXP(IF(A3615&lt;0,(10-7)*A3615,-7*A3615))+J$129*EXP(IF(A3615&lt;0,(10-8)*A3615,-8*A3615))+K$129*EXP(IF(A3615&lt;0,(10-9)*A3615,-9*A3615))+L$129*EXP(IF(A3615&lt;0,(10-10)*A3615,-10*A3615)),0)</x:f>
        <x:v>-190002.6023726772</x:v>
      </x:c>
      <x:c r="C3615" s="256" t="n">
        <x:f>IF(B3615=0,IF(B3614=0,0,1),IF(B3614=0,0,IF(SIGN(B3615)&lt;&gt;SIGN(B3614),1,0)))</x:f>
        <x:v>0</x:v>
      </x:c>
      <x:c r="D3615" s="256" t="n">
        <x:f>EXP(A3615-0.005)-1</x:f>
        <x:v>3117.1651036630556</x:v>
      </x:c>
    </x:row>
    <x:row r="3616" ht="20" customHeight="1">
      <x:c r="A3616" s="256" t="n">
        <x:f>-12+2006*0.01</x:f>
        <x:v>8.059999999999999</x:v>
      </x:c>
      <x:c r="B3616" s="256" t="n">
        <x:f>IF(COUNT($B$129:$L$129)=11,B$129*EXP(IF(A3616&lt;0,(10-0)*A3616,-0*A3616))+C$129*EXP(IF(A3616&lt;0,(10-1)*A3616,-1*A3616))+D$129*EXP(IF(A3616&lt;0,(10-2)*A3616,-2*A3616))+E$129*EXP(IF(A3616&lt;0,(10-3)*A3616,-3*A3616))+F$129*EXP(IF(A3616&lt;0,(10-4)*A3616,-4*A3616))+G$129*EXP(IF(A3616&lt;0,(10-5)*A3616,-5*A3616))+H$129*EXP(IF(A3616&lt;0,(10-6)*A3616,-6*A3616))+I$129*EXP(IF(A3616&lt;0,(10-7)*A3616,-7*A3616))+J$129*EXP(IF(A3616&lt;0,(10-8)*A3616,-8*A3616))+K$129*EXP(IF(A3616&lt;0,(10-9)*A3616,-9*A3616))+L$129*EXP(IF(A3616&lt;0,(10-10)*A3616,-10*A3616)),0)</x:f>
        <x:v>-190002.57647268227</x:v>
      </x:c>
      <x:c r="C3616" s="256" t="n">
        <x:f>IF(B3616=0,IF(B3615=0,0,1),IF(B3615=0,0,IF(SIGN(B3616)&lt;&gt;SIGN(B3615),1,0)))</x:f>
        <x:v>0</x:v>
      </x:c>
      <x:c r="D3616" s="256" t="n">
        <x:f>EXP(A3616-0.005)-1</x:f>
        <x:v>3148.503183950885</x:v>
      </x:c>
    </x:row>
    <x:row r="3617" ht="20" customHeight="1">
      <x:c r="A3617" s="256" t="n">
        <x:f>-12+2007*0.01</x:f>
        <x:v>8.07</x:v>
      </x:c>
      <x:c r="B3617" s="256" t="n">
        <x:f>IF(COUNT($B$129:$L$129)=11,B$129*EXP(IF(A3617&lt;0,(10-0)*A3617,-0*A3617))+C$129*EXP(IF(A3617&lt;0,(10-1)*A3617,-1*A3617))+D$129*EXP(IF(A3617&lt;0,(10-2)*A3617,-2*A3617))+E$129*EXP(IF(A3617&lt;0,(10-3)*A3617,-3*A3617))+F$129*EXP(IF(A3617&lt;0,(10-4)*A3617,-4*A3617))+G$129*EXP(IF(A3617&lt;0,(10-5)*A3617,-5*A3617))+H$129*EXP(IF(A3617&lt;0,(10-6)*A3617,-6*A3617))+I$129*EXP(IF(A3617&lt;0,(10-7)*A3617,-7*A3617))+J$129*EXP(IF(A3617&lt;0,(10-8)*A3617,-8*A3617))+K$129*EXP(IF(A3617&lt;0,(10-9)*A3617,-9*A3617))+L$129*EXP(IF(A3617&lt;0,(10-10)*A3617,-10*A3617)),0)</x:f>
        <x:v>-190002.55083051455</x:v>
      </x:c>
      <x:c r="C3617" s="256" t="n">
        <x:f>IF(B3617=0,IF(B3616=0,0,1),IF(B3616=0,0,IF(SIGN(B3617)&lt;&gt;SIGN(B3616),1,0)))</x:f>
        <x:v>0</x:v>
      </x:c>
      <x:c r="D3617" s="256" t="n">
        <x:f>EXP(A3617-0.005)-1</x:f>
        <x:v>3180.156217181716</x:v>
      </x:c>
    </x:row>
    <x:row r="3618" ht="20" customHeight="1">
      <x:c r="A3618" s="256" t="n">
        <x:f>-12+2008*0.01</x:f>
        <x:v>8.080000000000002</x:v>
      </x:c>
      <x:c r="B3618" s="256" t="n">
        <x:f>IF(COUNT($B$129:$L$129)=11,B$129*EXP(IF(A3618&lt;0,(10-0)*A3618,-0*A3618))+C$129*EXP(IF(A3618&lt;0,(10-1)*A3618,-1*A3618))+D$129*EXP(IF(A3618&lt;0,(10-2)*A3618,-2*A3618))+E$129*EXP(IF(A3618&lt;0,(10-3)*A3618,-3*A3618))+F$129*EXP(IF(A3618&lt;0,(10-4)*A3618,-4*A3618))+G$129*EXP(IF(A3618&lt;0,(10-5)*A3618,-5*A3618))+H$129*EXP(IF(A3618&lt;0,(10-6)*A3618,-6*A3618))+I$129*EXP(IF(A3618&lt;0,(10-7)*A3618,-7*A3618))+J$129*EXP(IF(A3618&lt;0,(10-8)*A3618,-8*A3618))+K$129*EXP(IF(A3618&lt;0,(10-9)*A3618,-9*A3618))+L$129*EXP(IF(A3618&lt;0,(10-10)*A3618,-10*A3618)),0)</x:f>
        <x:v>-190002.5254436062</x:v>
      </x:c>
      <x:c r="C3618" s="256" t="n">
        <x:f>IF(B3618=0,IF(B3617=0,0,1),IF(B3617=0,0,IF(SIGN(B3618)&lt;&gt;SIGN(B3617),1,0)))</x:f>
        <x:v>0</x:v>
      </x:c>
      <x:c r="D3618" s="256" t="n">
        <x:f>EXP(A3618-0.005)-1</x:f>
        <x:v>3212.1273686852373</x:v>
      </x:c>
    </x:row>
    <x:row r="3619" ht="20" customHeight="1">
      <x:c r="A3619" s="256" t="n">
        <x:f>-12+2009*0.01</x:f>
        <x:v>8.09</x:v>
      </x:c>
      <x:c r="B3619" s="256" t="n">
        <x:f>IF(COUNT($B$129:$L$129)=11,B$129*EXP(IF(A3619&lt;0,(10-0)*A3619,-0*A3619))+C$129*EXP(IF(A3619&lt;0,(10-1)*A3619,-1*A3619))+D$129*EXP(IF(A3619&lt;0,(10-2)*A3619,-2*A3619))+E$129*EXP(IF(A3619&lt;0,(10-3)*A3619,-3*A3619))+F$129*EXP(IF(A3619&lt;0,(10-4)*A3619,-4*A3619))+G$129*EXP(IF(A3619&lt;0,(10-5)*A3619,-5*A3619))+H$129*EXP(IF(A3619&lt;0,(10-6)*A3619,-6*A3619))+I$129*EXP(IF(A3619&lt;0,(10-7)*A3619,-7*A3619))+J$129*EXP(IF(A3619&lt;0,(10-8)*A3619,-8*A3619))+K$129*EXP(IF(A3619&lt;0,(10-9)*A3619,-9*A3619))+L$129*EXP(IF(A3619&lt;0,(10-10)*A3619,-10*A3619)),0)</x:f>
        <x:v>-190002.50030941513</x:v>
      </x:c>
      <x:c r="C3619" s="256" t="n">
        <x:f>IF(B3619=0,IF(B3618=0,0,1),IF(B3618=0,0,IF(SIGN(B3619)&lt;&gt;SIGN(B3618),1,0)))</x:f>
        <x:v>0</x:v>
      </x:c>
      <x:c r="D3619" s="256" t="n">
        <x:f>EXP(A3619-0.005)-1</x:f>
        <x:v>3244.4198356032307</x:v>
      </x:c>
    </x:row>
    <x:row r="3620" ht="20" customHeight="1">
      <x:c r="A3620" s="256" t="n">
        <x:f>-12+2010*0.01</x:f>
        <x:v>8.100000000000001</x:v>
      </x:c>
      <x:c r="B3620" s="256" t="n">
        <x:f>IF(COUNT($B$129:$L$129)=11,B$129*EXP(IF(A3620&lt;0,(10-0)*A3620,-0*A3620))+C$129*EXP(IF(A3620&lt;0,(10-1)*A3620,-1*A3620))+D$129*EXP(IF(A3620&lt;0,(10-2)*A3620,-2*A3620))+E$129*EXP(IF(A3620&lt;0,(10-3)*A3620,-3*A3620))+F$129*EXP(IF(A3620&lt;0,(10-4)*A3620,-4*A3620))+G$129*EXP(IF(A3620&lt;0,(10-5)*A3620,-5*A3620))+H$129*EXP(IF(A3620&lt;0,(10-6)*A3620,-6*A3620))+I$129*EXP(IF(A3620&lt;0,(10-7)*A3620,-7*A3620))+J$129*EXP(IF(A3620&lt;0,(10-8)*A3620,-8*A3620))+K$129*EXP(IF(A3620&lt;0,(10-9)*A3620,-9*A3620))+L$129*EXP(IF(A3620&lt;0,(10-10)*A3620,-10*A3620)),0)</x:f>
        <x:v>-190002.4754254245</x:v>
      </x:c>
      <x:c r="C3620" s="256" t="n">
        <x:f>IF(B3620=0,IF(B3619=0,0,1),IF(B3619=0,0,IF(SIGN(B3620)&lt;&gt;SIGN(B3619),1,0)))</x:f>
        <x:v>0</x:v>
      </x:c>
      <x:c r="D3620" s="256" t="n">
        <x:f>EXP(A3620-0.005)-1</x:f>
        <x:v>3277.0368472093214</x:v>
      </x:c>
    </x:row>
    <x:row r="3621" ht="20" customHeight="1">
      <x:c r="A3621" s="256" t="n">
        <x:f>-12+2011*0.01</x:f>
        <x:v>8.11</x:v>
      </x:c>
      <x:c r="B3621" s="256" t="n">
        <x:f>IF(COUNT($B$129:$L$129)=11,B$129*EXP(IF(A3621&lt;0,(10-0)*A3621,-0*A3621))+C$129*EXP(IF(A3621&lt;0,(10-1)*A3621,-1*A3621))+D$129*EXP(IF(A3621&lt;0,(10-2)*A3621,-2*A3621))+E$129*EXP(IF(A3621&lt;0,(10-3)*A3621,-3*A3621))+F$129*EXP(IF(A3621&lt;0,(10-4)*A3621,-4*A3621))+G$129*EXP(IF(A3621&lt;0,(10-5)*A3621,-5*A3621))+H$129*EXP(IF(A3621&lt;0,(10-6)*A3621,-6*A3621))+I$129*EXP(IF(A3621&lt;0,(10-7)*A3621,-7*A3621))+J$129*EXP(IF(A3621&lt;0,(10-8)*A3621,-8*A3621))+K$129*EXP(IF(A3621&lt;0,(10-9)*A3621,-9*A3621))+L$129*EXP(IF(A3621&lt;0,(10-10)*A3621,-10*A3621)),0)</x:f>
        <x:v>-190002.45078914257</x:v>
      </x:c>
      <x:c r="C3621" s="256" t="n">
        <x:f>IF(B3621=0,IF(B3620=0,0,1),IF(B3620=0,0,IF(SIGN(B3621)&lt;&gt;SIGN(B3620),1,0)))</x:f>
        <x:v>0</x:v>
      </x:c>
      <x:c r="D3621" s="256" t="n">
        <x:f>EXP(A3621-0.005)-1</x:f>
        <x:v>3309.9816652318277</x:v>
      </x:c>
    </x:row>
    <x:row r="3622" ht="20" customHeight="1">
      <x:c r="A3622" s="256" t="n">
        <x:f>-12+2012*0.01</x:f>
        <x:v>8.120000000000001</x:v>
      </x:c>
      <x:c r="B3622" s="256" t="n">
        <x:f>IF(COUNT($B$129:$L$129)=11,B$129*EXP(IF(A3622&lt;0,(10-0)*A3622,-0*A3622))+C$129*EXP(IF(A3622&lt;0,(10-1)*A3622,-1*A3622))+D$129*EXP(IF(A3622&lt;0,(10-2)*A3622,-2*A3622))+E$129*EXP(IF(A3622&lt;0,(10-3)*A3622,-3*A3622))+F$129*EXP(IF(A3622&lt;0,(10-4)*A3622,-4*A3622))+G$129*EXP(IF(A3622&lt;0,(10-5)*A3622,-5*A3622))+H$129*EXP(IF(A3622&lt;0,(10-6)*A3622,-6*A3622))+I$129*EXP(IF(A3622&lt;0,(10-7)*A3622,-7*A3622))+J$129*EXP(IF(A3622&lt;0,(10-8)*A3622,-8*A3622))+K$129*EXP(IF(A3622&lt;0,(10-9)*A3622,-9*A3622))+L$129*EXP(IF(A3622&lt;0,(10-10)*A3622,-10*A3622)),0)</x:f>
        <x:v>-190002.42639810243</x:v>
      </x:c>
      <x:c r="C3622" s="256" t="n">
        <x:f>IF(B3622=0,IF(B3621=0,0,1),IF(B3621=0,0,IF(SIGN(B3622)&lt;&gt;SIGN(B3621),1,0)))</x:f>
        <x:v>0</x:v>
      </x:c>
      <x:c r="D3622" s="256" t="n">
        <x:f>EXP(A3622-0.005)-1</x:f>
        <x:v>3343.25758418003</x:v>
      </x:c>
    </x:row>
    <x:row r="3623" ht="20" customHeight="1">
      <x:c r="A3623" s="256" t="n">
        <x:f>-12+2013*0.01</x:f>
        <x:v>8.129999999999999</x:v>
      </x:c>
      <x:c r="B3623" s="256" t="n">
        <x:f>IF(COUNT($B$129:$L$129)=11,B$129*EXP(IF(A3623&lt;0,(10-0)*A3623,-0*A3623))+C$129*EXP(IF(A3623&lt;0,(10-1)*A3623,-1*A3623))+D$129*EXP(IF(A3623&lt;0,(10-2)*A3623,-2*A3623))+E$129*EXP(IF(A3623&lt;0,(10-3)*A3623,-3*A3623))+F$129*EXP(IF(A3623&lt;0,(10-4)*A3623,-4*A3623))+G$129*EXP(IF(A3623&lt;0,(10-5)*A3623,-5*A3623))+H$129*EXP(IF(A3623&lt;0,(10-6)*A3623,-6*A3623))+I$129*EXP(IF(A3623&lt;0,(10-7)*A3623,-7*A3623))+J$129*EXP(IF(A3623&lt;0,(10-8)*A3623,-8*A3623))+K$129*EXP(IF(A3623&lt;0,(10-9)*A3623,-9*A3623))+L$129*EXP(IF(A3623&lt;0,(10-10)*A3623,-10*A3623)),0)</x:f>
        <x:v>-190002.40224986177</x:v>
      </x:c>
      <x:c r="C3623" s="256" t="n">
        <x:f>IF(B3623=0,IF(B3622=0,0,1),IF(B3622=0,0,IF(SIGN(B3623)&lt;&gt;SIGN(B3622),1,0)))</x:f>
        <x:v>0</x:v>
      </x:c>
      <x:c r="D3623" s="256" t="n">
        <x:f>EXP(A3623-0.005)-1</x:f>
        <x:v>3376.867931673529</x:v>
      </x:c>
    </x:row>
    <x:row r="3624" ht="20" customHeight="1">
      <x:c r="A3624" s="256" t="n">
        <x:f>-12+2014*0.01</x:f>
        <x:v>8.14</x:v>
      </x:c>
      <x:c r="B3624" s="256" t="n">
        <x:f>IF(COUNT($B$129:$L$129)=11,B$129*EXP(IF(A3624&lt;0,(10-0)*A3624,-0*A3624))+C$129*EXP(IF(A3624&lt;0,(10-1)*A3624,-1*A3624))+D$129*EXP(IF(A3624&lt;0,(10-2)*A3624,-2*A3624))+E$129*EXP(IF(A3624&lt;0,(10-3)*A3624,-3*A3624))+F$129*EXP(IF(A3624&lt;0,(10-4)*A3624,-4*A3624))+G$129*EXP(IF(A3624&lt;0,(10-5)*A3624,-5*A3624))+H$129*EXP(IF(A3624&lt;0,(10-6)*A3624,-6*A3624))+I$129*EXP(IF(A3624&lt;0,(10-7)*A3624,-7*A3624))+J$129*EXP(IF(A3624&lt;0,(10-8)*A3624,-8*A3624))+K$129*EXP(IF(A3624&lt;0,(10-9)*A3624,-9*A3624))+L$129*EXP(IF(A3624&lt;0,(10-10)*A3624,-10*A3624)),0)</x:f>
        <x:v>-190002.37834200266</x:v>
      </x:c>
      <x:c r="C3624" s="256" t="n">
        <x:f>IF(B3624=0,IF(B3623=0,0,1),IF(B3623=0,0,IF(SIGN(B3624)&lt;&gt;SIGN(B3623),1,0)))</x:f>
        <x:v>0</x:v>
      </x:c>
      <x:c r="D3624" s="256" t="n">
        <x:f>EXP(A3624-0.005)-1</x:f>
        <x:v>3410.8160687751065</x:v>
      </x:c>
    </x:row>
    <x:row r="3625" ht="20" customHeight="1">
      <x:c r="A3625" s="256" t="n">
        <x:f>-12+2015*0.01</x:f>
        <x:v>8.150000000000002</x:v>
      </x:c>
      <x:c r="B3625" s="256" t="n">
        <x:f>IF(COUNT($B$129:$L$129)=11,B$129*EXP(IF(A3625&lt;0,(10-0)*A3625,-0*A3625))+C$129*EXP(IF(A3625&lt;0,(10-1)*A3625,-1*A3625))+D$129*EXP(IF(A3625&lt;0,(10-2)*A3625,-2*A3625))+E$129*EXP(IF(A3625&lt;0,(10-3)*A3625,-3*A3625))+F$129*EXP(IF(A3625&lt;0,(10-4)*A3625,-4*A3625))+G$129*EXP(IF(A3625&lt;0,(10-5)*A3625,-5*A3625))+H$129*EXP(IF(A3625&lt;0,(10-6)*A3625,-6*A3625))+I$129*EXP(IF(A3625&lt;0,(10-7)*A3625,-7*A3625))+J$129*EXP(IF(A3625&lt;0,(10-8)*A3625,-8*A3625))+K$129*EXP(IF(A3625&lt;0,(10-9)*A3625,-9*A3625))+L$129*EXP(IF(A3625&lt;0,(10-10)*A3625,-10*A3625)),0)</x:f>
        <x:v>-190002.35467213116</x:v>
      </x:c>
      <x:c r="C3625" s="256" t="n">
        <x:f>IF(B3625=0,IF(B3624=0,0,1),IF(B3624=0,0,IF(SIGN(B3625)&lt;&gt;SIGN(B3624),1,0)))</x:f>
        <x:v>0</x:v>
      </x:c>
      <x:c r="D3625" s="256" t="n">
        <x:f>EXP(A3625-0.005)-1</x:f>
        <x:v>3445.105390326751</x:v>
      </x:c>
    </x:row>
    <x:row r="3626" ht="20" customHeight="1">
      <x:c r="A3626" s="256" t="n">
        <x:f>-12+2016*0.01</x:f>
        <x:v>8.16</x:v>
      </x:c>
      <x:c r="B3626" s="256" t="n">
        <x:f>IF(COUNT($B$129:$L$129)=11,B$129*EXP(IF(A3626&lt;0,(10-0)*A3626,-0*A3626))+C$129*EXP(IF(A3626&lt;0,(10-1)*A3626,-1*A3626))+D$129*EXP(IF(A3626&lt;0,(10-2)*A3626,-2*A3626))+E$129*EXP(IF(A3626&lt;0,(10-3)*A3626,-3*A3626))+F$129*EXP(IF(A3626&lt;0,(10-4)*A3626,-4*A3626))+G$129*EXP(IF(A3626&lt;0,(10-5)*A3626,-5*A3626))+H$129*EXP(IF(A3626&lt;0,(10-6)*A3626,-6*A3626))+I$129*EXP(IF(A3626&lt;0,(10-7)*A3626,-7*A3626))+J$129*EXP(IF(A3626&lt;0,(10-8)*A3626,-8*A3626))+K$129*EXP(IF(A3626&lt;0,(10-9)*A3626,-9*A3626))+L$129*EXP(IF(A3626&lt;0,(10-10)*A3626,-10*A3626)),0)</x:f>
        <x:v>-190002.33123787737</x:v>
      </x:c>
      <x:c r="C3626" s="256" t="n">
        <x:f>IF(B3626=0,IF(B3625=0,0,1),IF(B3625=0,0,IF(SIGN(B3626)&lt;&gt;SIGN(B3625),1,0)))</x:f>
        <x:v>0</x:v>
      </x:c>
      <x:c r="D3626" s="256" t="n">
        <x:f>EXP(A3626-0.005)-1</x:f>
        <x:v>3479.73932528918</x:v>
      </x:c>
    </x:row>
    <x:row r="3627" ht="20" customHeight="1">
      <x:c r="A3627" s="256" t="n">
        <x:f>-12+2017*0.01</x:f>
        <x:v>8.170000000000002</x:v>
      </x:c>
      <x:c r="B3627" s="256" t="n">
        <x:f>IF(COUNT($B$129:$L$129)=11,B$129*EXP(IF(A3627&lt;0,(10-0)*A3627,-0*A3627))+C$129*EXP(IF(A3627&lt;0,(10-1)*A3627,-1*A3627))+D$129*EXP(IF(A3627&lt;0,(10-2)*A3627,-2*A3627))+E$129*EXP(IF(A3627&lt;0,(10-3)*A3627,-3*A3627))+F$129*EXP(IF(A3627&lt;0,(10-4)*A3627,-4*A3627))+G$129*EXP(IF(A3627&lt;0,(10-5)*A3627,-5*A3627))+H$129*EXP(IF(A3627&lt;0,(10-6)*A3627,-6*A3627))+I$129*EXP(IF(A3627&lt;0,(10-7)*A3627,-7*A3627))+J$129*EXP(IF(A3627&lt;0,(10-8)*A3627,-8*A3627))+K$129*EXP(IF(A3627&lt;0,(10-9)*A3627,-9*A3627))+L$129*EXP(IF(A3627&lt;0,(10-10)*A3627,-10*A3627)),0)</x:f>
        <x:v>-190002.3080368948</x:v>
      </x:c>
      <x:c r="C3627" s="256" t="n">
        <x:f>IF(B3627=0,IF(B3626=0,0,1),IF(B3626=0,0,IF(SIGN(B3627)&lt;&gt;SIGN(B3626),1,0)))</x:f>
        <x:v>0</x:v>
      </x:c>
      <x:c r="D3627" s="256" t="n">
        <x:f>EXP(A3627-0.005)-1</x:f>
        <x:v>3514.721337084776</x:v>
      </x:c>
    </x:row>
    <x:row r="3628" ht="20" customHeight="1">
      <x:c r="A3628" s="256" t="n">
        <x:f>-12+2018*0.01</x:f>
        <x:v>8.18</x:v>
      </x:c>
      <x:c r="B3628" s="256" t="n">
        <x:f>IF(COUNT($B$129:$L$129)=11,B$129*EXP(IF(A3628&lt;0,(10-0)*A3628,-0*A3628))+C$129*EXP(IF(A3628&lt;0,(10-1)*A3628,-1*A3628))+D$129*EXP(IF(A3628&lt;0,(10-2)*A3628,-2*A3628))+E$129*EXP(IF(A3628&lt;0,(10-3)*A3628,-3*A3628))+F$129*EXP(IF(A3628&lt;0,(10-4)*A3628,-4*A3628))+G$129*EXP(IF(A3628&lt;0,(10-5)*A3628,-5*A3628))+H$129*EXP(IF(A3628&lt;0,(10-6)*A3628,-6*A3628))+I$129*EXP(IF(A3628&lt;0,(10-7)*A3628,-7*A3628))+J$129*EXP(IF(A3628&lt;0,(10-8)*A3628,-8*A3628))+K$129*EXP(IF(A3628&lt;0,(10-9)*A3628,-9*A3628))+L$129*EXP(IF(A3628&lt;0,(10-10)*A3628,-10*A3628)),0)</x:f>
        <x:v>-190002.2850668605</x:v>
      </x:c>
      <x:c r="C3628" s="256" t="n">
        <x:f>IF(B3628=0,IF(B3627=0,0,1),IF(B3627=0,0,IF(SIGN(B3628)&lt;&gt;SIGN(B3627),1,0)))</x:f>
        <x:v>0</x:v>
      </x:c>
      <x:c r="D3628" s="256" t="n">
        <x:f>EXP(A3628-0.005)-1</x:f>
        <x:v>3550.054923943846</x:v>
      </x:c>
    </x:row>
    <x:row r="3629" ht="20" customHeight="1">
      <x:c r="A3629" s="256" t="n">
        <x:f>-12+2019*0.01</x:f>
        <x:v>8.190000000000001</x:v>
      </x:c>
      <x:c r="B3629" s="256" t="n">
        <x:f>IF(COUNT($B$129:$L$129)=11,B$129*EXP(IF(A3629&lt;0,(10-0)*A3629,-0*A3629))+C$129*EXP(IF(A3629&lt;0,(10-1)*A3629,-1*A3629))+D$129*EXP(IF(A3629&lt;0,(10-2)*A3629,-2*A3629))+E$129*EXP(IF(A3629&lt;0,(10-3)*A3629,-3*A3629))+F$129*EXP(IF(A3629&lt;0,(10-4)*A3629,-4*A3629))+G$129*EXP(IF(A3629&lt;0,(10-5)*A3629,-5*A3629))+H$129*EXP(IF(A3629&lt;0,(10-6)*A3629,-6*A3629))+I$129*EXP(IF(A3629&lt;0,(10-7)*A3629,-7*A3629))+J$129*EXP(IF(A3629&lt;0,(10-8)*A3629,-8*A3629))+K$129*EXP(IF(A3629&lt;0,(10-9)*A3629,-9*A3629))+L$129*EXP(IF(A3629&lt;0,(10-10)*A3629,-10*A3629)),0)</x:f>
        <x:v>-190002.26232547458</x:v>
      </x:c>
      <x:c r="C3629" s="256" t="n">
        <x:f>IF(B3629=0,IF(B3628=0,0,1),IF(B3628=0,0,IF(SIGN(B3629)&lt;&gt;SIGN(B3628),1,0)))</x:f>
        <x:v>0</x:v>
      </x:c>
      <x:c r="D3629" s="256" t="n">
        <x:f>EXP(A3629-0.005)-1</x:f>
        <x:v>3585.7436192545447</x:v>
      </x:c>
    </x:row>
    <x:row r="3630" ht="20" customHeight="1">
      <x:c r="A3630" s="256" t="n">
        <x:f>-12+2020*0.01</x:f>
        <x:v>8.2</x:v>
      </x:c>
      <x:c r="B3630" s="256" t="n">
        <x:f>IF(COUNT($B$129:$L$129)=11,B$129*EXP(IF(A3630&lt;0,(10-0)*A3630,-0*A3630))+C$129*EXP(IF(A3630&lt;0,(10-1)*A3630,-1*A3630))+D$129*EXP(IF(A3630&lt;0,(10-2)*A3630,-2*A3630))+E$129*EXP(IF(A3630&lt;0,(10-3)*A3630,-3*A3630))+F$129*EXP(IF(A3630&lt;0,(10-4)*A3630,-4*A3630))+G$129*EXP(IF(A3630&lt;0,(10-5)*A3630,-5*A3630))+H$129*EXP(IF(A3630&lt;0,(10-6)*A3630,-6*A3630))+I$129*EXP(IF(A3630&lt;0,(10-7)*A3630,-7*A3630))+J$129*EXP(IF(A3630&lt;0,(10-8)*A3630,-8*A3630))+K$129*EXP(IF(A3630&lt;0,(10-9)*A3630,-9*A3630))+L$129*EXP(IF(A3630&lt;0,(10-10)*A3630,-10*A3630)),0)</x:f>
        <x:v>-190002.23981046022</x:v>
      </x:c>
      <x:c r="C3630" s="256" t="n">
        <x:f>IF(B3630=0,IF(B3629=0,0,1),IF(B3629=0,0,IF(SIGN(B3630)&lt;&gt;SIGN(B3629),1,0)))</x:f>
        <x:v>0</x:v>
      </x:c>
      <x:c r="D3630" s="256" t="n">
        <x:f>EXP(A3630-0.005)-1</x:f>
        <x:v>3621.7909919161193</x:v>
      </x:c>
    </x:row>
    <x:row r="3631" ht="20" customHeight="1">
      <x:c r="A3631" s="256" t="n">
        <x:f>-12+2021*0.01</x:f>
        <x:v>8.21</x:v>
      </x:c>
      <x:c r="B3631" s="256" t="n">
        <x:f>IF(COUNT($B$129:$L$129)=11,B$129*EXP(IF(A3631&lt;0,(10-0)*A3631,-0*A3631))+C$129*EXP(IF(A3631&lt;0,(10-1)*A3631,-1*A3631))+D$129*EXP(IF(A3631&lt;0,(10-2)*A3631,-2*A3631))+E$129*EXP(IF(A3631&lt;0,(10-3)*A3631,-3*A3631))+F$129*EXP(IF(A3631&lt;0,(10-4)*A3631,-4*A3631))+G$129*EXP(IF(A3631&lt;0,(10-5)*A3631,-5*A3631))+H$129*EXP(IF(A3631&lt;0,(10-6)*A3631,-6*A3631))+I$129*EXP(IF(A3631&lt;0,(10-7)*A3631,-7*A3631))+J$129*EXP(IF(A3631&lt;0,(10-8)*A3631,-8*A3631))+K$129*EXP(IF(A3631&lt;0,(10-9)*A3631,-9*A3631))+L$129*EXP(IF(A3631&lt;0,(10-10)*A3631,-10*A3631)),0)</x:f>
        <x:v>-190002.21751956307</x:v>
      </x:c>
      <x:c r="C3631" s="256" t="n">
        <x:f>IF(B3631=0,IF(B3630=0,0,1),IF(B3630=0,0,IF(SIGN(B3631)&lt;&gt;SIGN(B3630),1,0)))</x:f>
        <x:v>0</x:v>
      </x:c>
      <x:c r="D3631" s="256" t="n">
        <x:f>EXP(A3631-0.005)-1</x:f>
        <x:v>3658.200646695901</x:v>
      </x:c>
    </x:row>
    <x:row r="3632" ht="20" customHeight="1">
      <x:c r="A3632" s="256" t="n">
        <x:f>-12+2022*0.01</x:f>
        <x:v>8.219999999999999</x:v>
      </x:c>
      <x:c r="B3632" s="256" t="n">
        <x:f>IF(COUNT($B$129:$L$129)=11,B$129*EXP(IF(A3632&lt;0,(10-0)*A3632,-0*A3632))+C$129*EXP(IF(A3632&lt;0,(10-1)*A3632,-1*A3632))+D$129*EXP(IF(A3632&lt;0,(10-2)*A3632,-2*A3632))+E$129*EXP(IF(A3632&lt;0,(10-3)*A3632,-3*A3632))+F$129*EXP(IF(A3632&lt;0,(10-4)*A3632,-4*A3632))+G$129*EXP(IF(A3632&lt;0,(10-5)*A3632,-5*A3632))+H$129*EXP(IF(A3632&lt;0,(10-6)*A3632,-6*A3632))+I$129*EXP(IF(A3632&lt;0,(10-7)*A3632,-7*A3632))+J$129*EXP(IF(A3632&lt;0,(10-8)*A3632,-8*A3632))+K$129*EXP(IF(A3632&lt;0,(10-9)*A3632,-9*A3632))+L$129*EXP(IF(A3632&lt;0,(10-10)*A3632,-10*A3632)),0)</x:f>
        <x:v>-190002.19545055143</x:v>
      </x:c>
      <x:c r="C3632" s="256" t="n">
        <x:f>IF(B3632=0,IF(B3631=0,0,1),IF(B3631=0,0,IF(SIGN(B3632)&lt;&gt;SIGN(B3631),1,0)))</x:f>
        <x:v>0</x:v>
      </x:c>
      <x:c r="D3632" s="256" t="n">
        <x:f>EXP(A3632-0.005)-1</x:f>
        <x:v>3694.9762245896836</x:v>
      </x:c>
    </x:row>
    <x:row r="3633" ht="20" customHeight="1">
      <x:c r="A3633" s="256" t="n">
        <x:f>-12+2023*0.01</x:f>
        <x:v>8.23</x:v>
      </x:c>
      <x:c r="B3633" s="256" t="n">
        <x:f>IF(COUNT($B$129:$L$129)=11,B$129*EXP(IF(A3633&lt;0,(10-0)*A3633,-0*A3633))+C$129*EXP(IF(A3633&lt;0,(10-1)*A3633,-1*A3633))+D$129*EXP(IF(A3633&lt;0,(10-2)*A3633,-2*A3633))+E$129*EXP(IF(A3633&lt;0,(10-3)*A3633,-3*A3633))+F$129*EXP(IF(A3633&lt;0,(10-4)*A3633,-4*A3633))+G$129*EXP(IF(A3633&lt;0,(10-5)*A3633,-5*A3633))+H$129*EXP(IF(A3633&lt;0,(10-6)*A3633,-6*A3633))+I$129*EXP(IF(A3633&lt;0,(10-7)*A3633,-7*A3633))+J$129*EXP(IF(A3633&lt;0,(10-8)*A3633,-8*A3633))+K$129*EXP(IF(A3633&lt;0,(10-9)*A3633,-9*A3633))+L$129*EXP(IF(A3633&lt;0,(10-10)*A3633,-10*A3633)),0)</x:f>
        <x:v>-190002.1736012157</x:v>
      </x:c>
      <x:c r="C3633" s="256" t="n">
        <x:f>IF(B3633=0,IF(B3632=0,0,1),IF(B3632=0,0,IF(SIGN(B3633)&lt;&gt;SIGN(B3632),1,0)))</x:f>
        <x:v>0</x:v>
      </x:c>
      <x:c r="D3633" s="256" t="n">
        <x:f>EXP(A3633-0.005)-1</x:f>
        <x:v>3732.121403185928</x:v>
      </x:c>
    </x:row>
    <x:row r="3634" ht="20" customHeight="1">
      <x:c r="A3634" s="256" t="n">
        <x:f>-12+2024*0.01</x:f>
        <x:v>8.240000000000002</x:v>
      </x:c>
      <x:c r="B3634" s="256" t="n">
        <x:f>IF(COUNT($B$129:$L$129)=11,B$129*EXP(IF(A3634&lt;0,(10-0)*A3634,-0*A3634))+C$129*EXP(IF(A3634&lt;0,(10-1)*A3634,-1*A3634))+D$129*EXP(IF(A3634&lt;0,(10-2)*A3634,-2*A3634))+E$129*EXP(IF(A3634&lt;0,(10-3)*A3634,-3*A3634))+F$129*EXP(IF(A3634&lt;0,(10-4)*A3634,-4*A3634))+G$129*EXP(IF(A3634&lt;0,(10-5)*A3634,-5*A3634))+H$129*EXP(IF(A3634&lt;0,(10-6)*A3634,-6*A3634))+I$129*EXP(IF(A3634&lt;0,(10-7)*A3634,-7*A3634))+J$129*EXP(IF(A3634&lt;0,(10-8)*A3634,-8*A3634))+K$129*EXP(IF(A3634&lt;0,(10-9)*A3634,-9*A3634))+L$129*EXP(IF(A3634&lt;0,(10-10)*A3634,-10*A3634)),0)</x:f>
        <x:v>-190002.15196936845</x:v>
      </x:c>
      <x:c r="C3634" s="256" t="n">
        <x:f>IF(B3634=0,IF(B3633=0,0,1),IF(B3633=0,0,IF(SIGN(B3634)&lt;&gt;SIGN(B3633),1,0)))</x:f>
        <x:v>0</x:v>
      </x:c>
      <x:c r="D3634" s="256" t="n">
        <x:f>EXP(A3634-0.005)-1</x:f>
        <x:v>3769.6398970334367</x:v>
      </x:c>
    </x:row>
    <x:row r="3635" ht="20" customHeight="1">
      <x:c r="A3635" s="256" t="n">
        <x:f>-12+2025*0.01</x:f>
        <x:v>8.25</x:v>
      </x:c>
      <x:c r="B3635" s="256" t="n">
        <x:f>IF(COUNT($B$129:$L$129)=11,B$129*EXP(IF(A3635&lt;0,(10-0)*A3635,-0*A3635))+C$129*EXP(IF(A3635&lt;0,(10-1)*A3635,-1*A3635))+D$129*EXP(IF(A3635&lt;0,(10-2)*A3635,-2*A3635))+E$129*EXP(IF(A3635&lt;0,(10-3)*A3635,-3*A3635))+F$129*EXP(IF(A3635&lt;0,(10-4)*A3635,-4*A3635))+G$129*EXP(IF(A3635&lt;0,(10-5)*A3635,-5*A3635))+H$129*EXP(IF(A3635&lt;0,(10-6)*A3635,-6*A3635))+I$129*EXP(IF(A3635&lt;0,(10-7)*A3635,-7*A3635))+J$129*EXP(IF(A3635&lt;0,(10-8)*A3635,-8*A3635))+K$129*EXP(IF(A3635&lt;0,(10-9)*A3635,-9*A3635))+L$129*EXP(IF(A3635&lt;0,(10-10)*A3635,-10*A3635)),0)</x:f>
        <x:v>-190002.13055284394</x:v>
      </x:c>
      <x:c r="C3635" s="256" t="n">
        <x:f>IF(B3635=0,IF(B3634=0,0,1),IF(B3634=0,0,IF(SIGN(B3635)&lt;&gt;SIGN(B3634),1,0)))</x:f>
        <x:v>0</x:v>
      </x:c>
      <x:c r="D3635" s="256" t="n">
        <x:f>EXP(A3635-0.005)-1</x:f>
        <x:v>3807.535458012845</x:v>
      </x:c>
    </x:row>
    <x:row r="3636" ht="20" customHeight="1">
      <x:c r="A3636" s="256" t="n">
        <x:f>-12+2026*0.01</x:f>
        <x:v>8.260000000000002</x:v>
      </x:c>
      <x:c r="B3636" s="256" t="n">
        <x:f>IF(COUNT($B$129:$L$129)=11,B$129*EXP(IF(A3636&lt;0,(10-0)*A3636,-0*A3636))+C$129*EXP(IF(A3636&lt;0,(10-1)*A3636,-1*A3636))+D$129*EXP(IF(A3636&lt;0,(10-2)*A3636,-2*A3636))+E$129*EXP(IF(A3636&lt;0,(10-3)*A3636,-3*A3636))+F$129*EXP(IF(A3636&lt;0,(10-4)*A3636,-4*A3636))+G$129*EXP(IF(A3636&lt;0,(10-5)*A3636,-5*A3636))+H$129*EXP(IF(A3636&lt;0,(10-6)*A3636,-6*A3636))+I$129*EXP(IF(A3636&lt;0,(10-7)*A3636,-7*A3636))+J$129*EXP(IF(A3636&lt;0,(10-8)*A3636,-8*A3636))+K$129*EXP(IF(A3636&lt;0,(10-9)*A3636,-9*A3636))+L$129*EXP(IF(A3636&lt;0,(10-10)*A3636,-10*A3636)),0)</x:f>
        <x:v>-190002.10934949806</x:v>
      </x:c>
      <x:c r="C3636" s="256" t="n">
        <x:f>IF(B3636=0,IF(B3635=0,0,1),IF(B3635=0,0,IF(SIGN(B3636)&lt;&gt;SIGN(B3635),1,0)))</x:f>
        <x:v>0</x:v>
      </x:c>
      <x:c r="D3636" s="256" t="n">
        <x:f>EXP(A3636-0.005)-1</x:f>
        <x:v>3845.811875711859</x:v>
      </x:c>
    </x:row>
    <x:row r="3637" ht="20" customHeight="1">
      <x:c r="A3637" s="256" t="n">
        <x:f>-12+2027*0.01</x:f>
        <x:v>8.27</x:v>
      </x:c>
      <x:c r="B3637" s="256" t="n">
        <x:f>IF(COUNT($B$129:$L$129)=11,B$129*EXP(IF(A3637&lt;0,(10-0)*A3637,-0*A3637))+C$129*EXP(IF(A3637&lt;0,(10-1)*A3637,-1*A3637))+D$129*EXP(IF(A3637&lt;0,(10-2)*A3637,-2*A3637))+E$129*EXP(IF(A3637&lt;0,(10-3)*A3637,-3*A3637))+F$129*EXP(IF(A3637&lt;0,(10-4)*A3637,-4*A3637))+G$129*EXP(IF(A3637&lt;0,(10-5)*A3637,-5*A3637))+H$129*EXP(IF(A3637&lt;0,(10-6)*A3637,-6*A3637))+I$129*EXP(IF(A3637&lt;0,(10-7)*A3637,-7*A3637))+J$129*EXP(IF(A3637&lt;0,(10-8)*A3637,-8*A3637))+K$129*EXP(IF(A3637&lt;0,(10-9)*A3637,-9*A3637))+L$129*EXP(IF(A3637&lt;0,(10-10)*A3637,-10*A3637)),0)</x:f>
        <x:v>-190002.088357208</x:v>
      </x:c>
      <x:c r="C3637" s="256" t="n">
        <x:f>IF(B3637=0,IF(B3636=0,0,1),IF(B3636=0,0,IF(SIGN(B3637)&lt;&gt;SIGN(B3636),1,0)))</x:f>
        <x:v>0</x:v>
      </x:c>
      <x:c r="D3637" s="256" t="n">
        <x:f>EXP(A3637-0.005)-1</x:f>
        <x:v>3884.4729778041174</x:v>
      </x:c>
    </x:row>
    <x:row r="3638" ht="20" customHeight="1">
      <x:c r="A3638" s="256" t="n">
        <x:f>-12+2028*0.01</x:f>
        <x:v>8.280000000000001</x:v>
      </x:c>
      <x:c r="B3638" s="256" t="n">
        <x:f>IF(COUNT($B$129:$L$129)=11,B$129*EXP(IF(A3638&lt;0,(10-0)*A3638,-0*A3638))+C$129*EXP(IF(A3638&lt;0,(10-1)*A3638,-1*A3638))+D$129*EXP(IF(A3638&lt;0,(10-2)*A3638,-2*A3638))+E$129*EXP(IF(A3638&lt;0,(10-3)*A3638,-3*A3638))+F$129*EXP(IF(A3638&lt;0,(10-4)*A3638,-4*A3638))+G$129*EXP(IF(A3638&lt;0,(10-5)*A3638,-5*A3638))+H$129*EXP(IF(A3638&lt;0,(10-6)*A3638,-6*A3638))+I$129*EXP(IF(A3638&lt;0,(10-7)*A3638,-7*A3638))+J$129*EXP(IF(A3638&lt;0,(10-8)*A3638,-8*A3638))+K$129*EXP(IF(A3638&lt;0,(10-9)*A3638,-9*A3638))+L$129*EXP(IF(A3638&lt;0,(10-10)*A3638,-10*A3638)),0)</x:f>
        <x:v>-190002.06757387222</x:v>
      </x:c>
      <x:c r="C3638" s="256" t="n">
        <x:f>IF(B3638=0,IF(B3637=0,0,1),IF(B3637=0,0,IF(SIGN(B3638)&lt;&gt;SIGN(B3637),1,0)))</x:f>
        <x:v>0</x:v>
      </x:c>
      <x:c r="D3638" s="256" t="n">
        <x:f>EXP(A3638-0.005)-1</x:f>
        <x:v>3923.522630432075</x:v>
      </x:c>
    </x:row>
    <x:row r="3639" ht="20" customHeight="1">
      <x:c r="A3639" s="256" t="n">
        <x:f>-12+2029*0.01</x:f>
        <x:v>8.29</x:v>
      </x:c>
      <x:c r="B3639" s="256" t="n">
        <x:f>IF(COUNT($B$129:$L$129)=11,B$129*EXP(IF(A3639&lt;0,(10-0)*A3639,-0*A3639))+C$129*EXP(IF(A3639&lt;0,(10-1)*A3639,-1*A3639))+D$129*EXP(IF(A3639&lt;0,(10-2)*A3639,-2*A3639))+E$129*EXP(IF(A3639&lt;0,(10-3)*A3639,-3*A3639))+F$129*EXP(IF(A3639&lt;0,(10-4)*A3639,-4*A3639))+G$129*EXP(IF(A3639&lt;0,(10-5)*A3639,-5*A3639))+H$129*EXP(IF(A3639&lt;0,(10-6)*A3639,-6*A3639))+I$129*EXP(IF(A3639&lt;0,(10-7)*A3639,-7*A3639))+J$129*EXP(IF(A3639&lt;0,(10-8)*A3639,-8*A3639))+K$129*EXP(IF(A3639&lt;0,(10-9)*A3639,-9*A3639))+L$129*EXP(IF(A3639&lt;0,(10-10)*A3639,-10*A3639)),0)</x:f>
        <x:v>-190002.04699741</x:v>
      </x:c>
      <x:c r="C3639" s="256" t="n">
        <x:f>IF(B3639=0,IF(B3638=0,0,1),IF(B3638=0,0,IF(SIGN(B3639)&lt;&gt;SIGN(B3638),1,0)))</x:f>
        <x:v>0</x:v>
      </x:c>
      <x:c r="D3639" s="256" t="n">
        <x:f>EXP(A3639-0.005)-1</x:f>
        <x:v>3962.964738593508</x:v>
      </x:c>
    </x:row>
    <x:row r="3640" ht="20" customHeight="1">
      <x:c r="A3640" s="256" t="n">
        <x:f>-12+2030*0.01</x:f>
        <x:v>8.3</x:v>
      </x:c>
      <x:c r="B3640" s="256" t="n">
        <x:f>IF(COUNT($B$129:$L$129)=11,B$129*EXP(IF(A3640&lt;0,(10-0)*A3640,-0*A3640))+C$129*EXP(IF(A3640&lt;0,(10-1)*A3640,-1*A3640))+D$129*EXP(IF(A3640&lt;0,(10-2)*A3640,-2*A3640))+E$129*EXP(IF(A3640&lt;0,(10-3)*A3640,-3*A3640))+F$129*EXP(IF(A3640&lt;0,(10-4)*A3640,-4*A3640))+G$129*EXP(IF(A3640&lt;0,(10-5)*A3640,-5*A3640))+H$129*EXP(IF(A3640&lt;0,(10-6)*A3640,-6*A3640))+I$129*EXP(IF(A3640&lt;0,(10-7)*A3640,-7*A3640))+J$129*EXP(IF(A3640&lt;0,(10-8)*A3640,-8*A3640))+K$129*EXP(IF(A3640&lt;0,(10-9)*A3640,-9*A3640))+L$129*EXP(IF(A3640&lt;0,(10-10)*A3640,-10*A3640)),0)</x:f>
        <x:v>-190002.02662576144</x:v>
      </x:c>
      <x:c r="C3640" s="256" t="n">
        <x:f>IF(B3640=0,IF(B3639=0,0,1),IF(B3639=0,0,IF(SIGN(B3640)&lt;&gt;SIGN(B3639),1,0)))</x:f>
        <x:v>0</x:v>
      </x:c>
      <x:c r="D3640" s="256" t="n">
        <x:f>EXP(A3640-0.005)-1</x:f>
        <x:v>4002.8032465321294</x:v>
      </x:c>
    </x:row>
    <x:row r="3641" ht="20" customHeight="1">
      <x:c r="A3641" s="256" t="n">
        <x:f>-12+2031*0.01</x:f>
        <x:v>8.309999999999999</x:v>
      </x:c>
      <x:c r="B3641" s="256" t="n">
        <x:f>IF(COUNT($B$129:$L$129)=11,B$129*EXP(IF(A3641&lt;0,(10-0)*A3641,-0*A3641))+C$129*EXP(IF(A3641&lt;0,(10-1)*A3641,-1*A3641))+D$129*EXP(IF(A3641&lt;0,(10-2)*A3641,-2*A3641))+E$129*EXP(IF(A3641&lt;0,(10-3)*A3641,-3*A3641))+F$129*EXP(IF(A3641&lt;0,(10-4)*A3641,-4*A3641))+G$129*EXP(IF(A3641&lt;0,(10-5)*A3641,-5*A3641))+H$129*EXP(IF(A3641&lt;0,(10-6)*A3641,-6*A3641))+I$129*EXP(IF(A3641&lt;0,(10-7)*A3641,-7*A3641))+J$129*EXP(IF(A3641&lt;0,(10-8)*A3641,-8*A3641))+K$129*EXP(IF(A3641&lt;0,(10-9)*A3641,-9*A3641))+L$129*EXP(IF(A3641&lt;0,(10-10)*A3641,-10*A3641)),0)</x:f>
        <x:v>-190002.00645688712</x:v>
      </x:c>
      <x:c r="C3641" s="256" t="n">
        <x:f>IF(B3641=0,IF(B3640=0,0,1),IF(B3640=0,0,IF(SIGN(B3641)&lt;&gt;SIGN(B3640),1,0)))</x:f>
        <x:v>0</x:v>
      </x:c>
      <x:c r="D3641" s="256" t="n">
        <x:f>EXP(A3641-0.005)-1</x:f>
        <x:v>4043.042138131904</x:v>
      </x:c>
    </x:row>
    <x:row r="3642" ht="20" customHeight="1">
      <x:c r="A3642" s="256" t="n">
        <x:f>-12+2032*0.01</x:f>
        <x:v>8.32</x:v>
      </x:c>
      <x:c r="B3642" s="256" t="n">
        <x:f>IF(COUNT($B$129:$L$129)=11,B$129*EXP(IF(A3642&lt;0,(10-0)*A3642,-0*A3642))+C$129*EXP(IF(A3642&lt;0,(10-1)*A3642,-1*A3642))+D$129*EXP(IF(A3642&lt;0,(10-2)*A3642,-2*A3642))+E$129*EXP(IF(A3642&lt;0,(10-3)*A3642,-3*A3642))+F$129*EXP(IF(A3642&lt;0,(10-4)*A3642,-4*A3642))+G$129*EXP(IF(A3642&lt;0,(10-5)*A3642,-5*A3642))+H$129*EXP(IF(A3642&lt;0,(10-6)*A3642,-6*A3642))+I$129*EXP(IF(A3642&lt;0,(10-7)*A3642,-7*A3642))+J$129*EXP(IF(A3642&lt;0,(10-8)*A3642,-8*A3642))+K$129*EXP(IF(A3642&lt;0,(10-9)*A3642,-9*A3642))+L$129*EXP(IF(A3642&lt;0,(10-10)*A3642,-10*A3642)),0)</x:f>
        <x:v>-190001.98648876802</x:v>
      </x:c>
      <x:c r="C3642" s="256" t="n">
        <x:f>IF(B3642=0,IF(B3641=0,0,1),IF(B3641=0,0,IF(SIGN(B3642)&lt;&gt;SIGN(B3641),1,0)))</x:f>
        <x:v>0</x:v>
      </x:c>
      <x:c r="D3642" s="256" t="n">
        <x:f>EXP(A3642-0.005)-1</x:f>
        <x:v>4083.685437315552</x:v>
      </x:c>
    </x:row>
    <x:row r="3643" ht="20" customHeight="1">
      <x:c r="A3643" s="256" t="n">
        <x:f>-12+2033*0.01</x:f>
        <x:v>8.330000000000002</x:v>
      </x:c>
      <x:c r="B3643" s="256" t="n">
        <x:f>IF(COUNT($B$129:$L$129)=11,B$129*EXP(IF(A3643&lt;0,(10-0)*A3643,-0*A3643))+C$129*EXP(IF(A3643&lt;0,(10-1)*A3643,-1*A3643))+D$129*EXP(IF(A3643&lt;0,(10-2)*A3643,-2*A3643))+E$129*EXP(IF(A3643&lt;0,(10-3)*A3643,-3*A3643))+F$129*EXP(IF(A3643&lt;0,(10-4)*A3643,-4*A3643))+G$129*EXP(IF(A3643&lt;0,(10-5)*A3643,-5*A3643))+H$129*EXP(IF(A3643&lt;0,(10-6)*A3643,-6*A3643))+I$129*EXP(IF(A3643&lt;0,(10-7)*A3643,-7*A3643))+J$129*EXP(IF(A3643&lt;0,(10-8)*A3643,-8*A3643))+K$129*EXP(IF(A3643&lt;0,(10-9)*A3643,-9*A3643))+L$129*EXP(IF(A3643&lt;0,(10-10)*A3643,-10*A3643)),0)</x:f>
        <x:v>-190001.96671940506</x:v>
      </x:c>
      <x:c r="C3643" s="256" t="n">
        <x:f>IF(B3643=0,IF(B3642=0,0,1),IF(B3642=0,0,IF(SIGN(B3643)&lt;&gt;SIGN(B3642),1,0)))</x:f>
        <x:v>0</x:v>
      </x:c>
      <x:c r="D3643" s="256" t="n">
        <x:f>EXP(A3643-0.005)-1</x:f>
        <x:v>4124.737208446848</x:v>
      </x:c>
    </x:row>
    <x:row r="3644" ht="20" customHeight="1">
      <x:c r="A3644" s="256" t="n">
        <x:f>-12+2034*0.01</x:f>
        <x:v>8.34</x:v>
      </x:c>
      <x:c r="B3644" s="256" t="n">
        <x:f>IF(COUNT($B$129:$L$129)=11,B$129*EXP(IF(A3644&lt;0,(10-0)*A3644,-0*A3644))+C$129*EXP(IF(A3644&lt;0,(10-1)*A3644,-1*A3644))+D$129*EXP(IF(A3644&lt;0,(10-2)*A3644,-2*A3644))+E$129*EXP(IF(A3644&lt;0,(10-3)*A3644,-3*A3644))+F$129*EXP(IF(A3644&lt;0,(10-4)*A3644,-4*A3644))+G$129*EXP(IF(A3644&lt;0,(10-5)*A3644,-5*A3644))+H$129*EXP(IF(A3644&lt;0,(10-6)*A3644,-6*A3644))+I$129*EXP(IF(A3644&lt;0,(10-7)*A3644,-7*A3644))+J$129*EXP(IF(A3644&lt;0,(10-8)*A3644,-8*A3644))+K$129*EXP(IF(A3644&lt;0,(10-9)*A3644,-9*A3644))+L$129*EXP(IF(A3644&lt;0,(10-10)*A3644,-10*A3644)),0)</x:f>
        <x:v>-190001.94714681926</x:v>
      </x:c>
      <x:c r="C3644" s="256" t="n">
        <x:f>IF(B3644=0,IF(B3643=0,0,1),IF(B3643=0,0,IF(SIGN(B3644)&lt;&gt;SIGN(B3643),1,0)))</x:f>
        <x:v>0</x:v>
      </x:c>
      <x:c r="D3644" s="256" t="n">
        <x:f>EXP(A3644-0.005)-1</x:f>
        <x:v>4166.2015567371</x:v>
      </x:c>
    </x:row>
    <x:row r="3645" ht="20" customHeight="1">
      <x:c r="A3645" s="256" t="n">
        <x:f>-12+2035*0.01</x:f>
        <x:v>8.350000000000001</x:v>
      </x:c>
      <x:c r="B3645" s="256" t="n">
        <x:f>IF(COUNT($B$129:$L$129)=11,B$129*EXP(IF(A3645&lt;0,(10-0)*A3645,-0*A3645))+C$129*EXP(IF(A3645&lt;0,(10-1)*A3645,-1*A3645))+D$129*EXP(IF(A3645&lt;0,(10-2)*A3645,-2*A3645))+E$129*EXP(IF(A3645&lt;0,(10-3)*A3645,-3*A3645))+F$129*EXP(IF(A3645&lt;0,(10-4)*A3645,-4*A3645))+G$129*EXP(IF(A3645&lt;0,(10-5)*A3645,-5*A3645))+H$129*EXP(IF(A3645&lt;0,(10-6)*A3645,-6*A3645))+I$129*EXP(IF(A3645&lt;0,(10-7)*A3645,-7*A3645))+J$129*EXP(IF(A3645&lt;0,(10-8)*A3645,-8*A3645))+K$129*EXP(IF(A3645&lt;0,(10-9)*A3645,-9*A3645))+L$129*EXP(IF(A3645&lt;0,(10-10)*A3645,-10*A3645)),0)</x:f>
        <x:v>-190001.9277690513</x:v>
      </x:c>
      <x:c r="C3645" s="256" t="n">
        <x:f>IF(B3645=0,IF(B3644=0,0,1),IF(B3644=0,0,IF(SIGN(B3645)&lt;&gt;SIGN(B3644),1,0)))</x:f>
        <x:v>0</x:v>
      </x:c>
      <x:c r="D3645" s="256" t="n">
        <x:f>EXP(A3645-0.005)-1</x:f>
        <x:v>4208.082628655719</x:v>
      </x:c>
    </x:row>
    <x:row r="3646" ht="20" customHeight="1">
      <x:c r="A3646" s="256" t="n">
        <x:f>-12+2036*0.01</x:f>
        <x:v>8.36</x:v>
      </x:c>
      <x:c r="B3646" s="256" t="n">
        <x:f>IF(COUNT($B$129:$L$129)=11,B$129*EXP(IF(A3646&lt;0,(10-0)*A3646,-0*A3646))+C$129*EXP(IF(A3646&lt;0,(10-1)*A3646,-1*A3646))+D$129*EXP(IF(A3646&lt;0,(10-2)*A3646,-2*A3646))+E$129*EXP(IF(A3646&lt;0,(10-3)*A3646,-3*A3646))+F$129*EXP(IF(A3646&lt;0,(10-4)*A3646,-4*A3646))+G$129*EXP(IF(A3646&lt;0,(10-5)*A3646,-5*A3646))+H$129*EXP(IF(A3646&lt;0,(10-6)*A3646,-6*A3646))+I$129*EXP(IF(A3646&lt;0,(10-7)*A3646,-7*A3646))+J$129*EXP(IF(A3646&lt;0,(10-8)*A3646,-8*A3646))+K$129*EXP(IF(A3646&lt;0,(10-9)*A3646,-9*A3646))+L$129*EXP(IF(A3646&lt;0,(10-10)*A3646,-10*A3646)),0)</x:f>
        <x:v>-190001.9085841614</x:v>
      </x:c>
      <x:c r="C3646" s="256" t="n">
        <x:f>IF(B3646=0,IF(B3645=0,0,1),IF(B3645=0,0,IF(SIGN(B3646)&lt;&gt;SIGN(B3645),1,0)))</x:f>
        <x:v>0</x:v>
      </x:c>
      <x:c r="D3646" s="256" t="n">
        <x:f>EXP(A3646-0.005)-1</x:f>
        <x:v>4250.38461234477</x:v>
      </x:c>
    </x:row>
    <x:row r="3647" ht="20" customHeight="1">
      <x:c r="A3647" s="256" t="n">
        <x:f>-12+2037*0.01</x:f>
        <x:v>8.370000000000001</x:v>
      </x:c>
      <x:c r="B3647" s="256" t="n">
        <x:f>IF(COUNT($B$129:$L$129)=11,B$129*EXP(IF(A3647&lt;0,(10-0)*A3647,-0*A3647))+C$129*EXP(IF(A3647&lt;0,(10-1)*A3647,-1*A3647))+D$129*EXP(IF(A3647&lt;0,(10-2)*A3647,-2*A3647))+E$129*EXP(IF(A3647&lt;0,(10-3)*A3647,-3*A3647))+F$129*EXP(IF(A3647&lt;0,(10-4)*A3647,-4*A3647))+G$129*EXP(IF(A3647&lt;0,(10-5)*A3647,-5*A3647))+H$129*EXP(IF(A3647&lt;0,(10-6)*A3647,-6*A3647))+I$129*EXP(IF(A3647&lt;0,(10-7)*A3647,-7*A3647))+J$129*EXP(IF(A3647&lt;0,(10-8)*A3647,-8*A3647))+K$129*EXP(IF(A3647&lt;0,(10-9)*A3647,-9*A3647))+L$129*EXP(IF(A3647&lt;0,(10-10)*A3647,-10*A3647)),0)</x:f>
        <x:v>-190001.88959022905</x:v>
      </x:c>
      <x:c r="C3647" s="256" t="n">
        <x:f>IF(B3647=0,IF(B3646=0,0,1),IF(B3646=0,0,IF(SIGN(B3647)&lt;&gt;SIGN(B3646),1,0)))</x:f>
        <x:v>0</x:v>
      </x:c>
      <x:c r="D3647" s="256" t="n">
        <x:f>EXP(A3647-0.005)-1</x:f>
        <x:v>4293.111738037903</x:v>
      </x:c>
    </x:row>
    <x:row r="3648" ht="20" customHeight="1">
      <x:c r="A3648" s="256" t="n">
        <x:f>-12+2038*0.01</x:f>
        <x:v>8.379999999999999</x:v>
      </x:c>
      <x:c r="B3648" s="256" t="n">
        <x:f>IF(COUNT($B$129:$L$129)=11,B$129*EXP(IF(A3648&lt;0,(10-0)*A3648,-0*A3648))+C$129*EXP(IF(A3648&lt;0,(10-1)*A3648,-1*A3648))+D$129*EXP(IF(A3648&lt;0,(10-2)*A3648,-2*A3648))+E$129*EXP(IF(A3648&lt;0,(10-3)*A3648,-3*A3648))+F$129*EXP(IF(A3648&lt;0,(10-4)*A3648,-4*A3648))+G$129*EXP(IF(A3648&lt;0,(10-5)*A3648,-5*A3648))+H$129*EXP(IF(A3648&lt;0,(10-6)*A3648,-6*A3648))+I$129*EXP(IF(A3648&lt;0,(10-7)*A3648,-7*A3648))+J$129*EXP(IF(A3648&lt;0,(10-8)*A3648,-8*A3648))+K$129*EXP(IF(A3648&lt;0,(10-9)*A3648,-9*A3648))+L$129*EXP(IF(A3648&lt;0,(10-10)*A3648,-10*A3648)),0)</x:f>
        <x:v>-190001.87078535286</x:v>
      </x:c>
      <x:c r="C3648" s="256" t="n">
        <x:f>IF(B3648=0,IF(B3647=0,0,1),IF(B3647=0,0,IF(SIGN(B3648)&lt;&gt;SIGN(B3647),1,0)))</x:f>
        <x:v>0</x:v>
      </x:c>
      <x:c r="D3648" s="256" t="n">
        <x:f>EXP(A3648-0.005)-1</x:f>
        <x:v>4336.268278483262</x:v>
      </x:c>
    </x:row>
    <x:row r="3649" ht="20" customHeight="1">
      <x:c r="A3649" s="256" t="n">
        <x:f>-12+2039*0.01</x:f>
        <x:v>8.39</x:v>
      </x:c>
      <x:c r="B3649" s="256" t="n">
        <x:f>IF(COUNT($B$129:$L$129)=11,B$129*EXP(IF(A3649&lt;0,(10-0)*A3649,-0*A3649))+C$129*EXP(IF(A3649&lt;0,(10-1)*A3649,-1*A3649))+D$129*EXP(IF(A3649&lt;0,(10-2)*A3649,-2*A3649))+E$129*EXP(IF(A3649&lt;0,(10-3)*A3649,-3*A3649))+F$129*EXP(IF(A3649&lt;0,(10-4)*A3649,-4*A3649))+G$129*EXP(IF(A3649&lt;0,(10-5)*A3649,-5*A3649))+H$129*EXP(IF(A3649&lt;0,(10-6)*A3649,-6*A3649))+I$129*EXP(IF(A3649&lt;0,(10-7)*A3649,-7*A3649))+J$129*EXP(IF(A3649&lt;0,(10-8)*A3649,-8*A3649))+K$129*EXP(IF(A3649&lt;0,(10-9)*A3649,-9*A3649))+L$129*EXP(IF(A3649&lt;0,(10-10)*A3649,-10*A3649)),0)</x:f>
        <x:v>-190001.85216765053</x:v>
      </x:c>
      <x:c r="C3649" s="256" t="n">
        <x:f>IF(B3649=0,IF(B3648=0,0,1),IF(B3648=0,0,IF(SIGN(B3649)&lt;&gt;SIGN(B3648),1,0)))</x:f>
        <x:v>0</x:v>
      </x:c>
      <x:c r="D3649" s="256" t="n">
        <x:f>EXP(A3649-0.005)-1</x:f>
        <x:v>4379.858549370888</x:v>
      </x:c>
    </x:row>
    <x:row r="3650" ht="20" customHeight="1">
      <x:c r="A3650" s="256" t="n">
        <x:f>-12+2040*0.01</x:f>
        <x:v>8.400000000000002</x:v>
      </x:c>
      <x:c r="B3650" s="256" t="n">
        <x:f>IF(COUNT($B$129:$L$129)=11,B$129*EXP(IF(A3650&lt;0,(10-0)*A3650,-0*A3650))+C$129*EXP(IF(A3650&lt;0,(10-1)*A3650,-1*A3650))+D$129*EXP(IF(A3650&lt;0,(10-2)*A3650,-2*A3650))+E$129*EXP(IF(A3650&lt;0,(10-3)*A3650,-3*A3650))+F$129*EXP(IF(A3650&lt;0,(10-4)*A3650,-4*A3650))+G$129*EXP(IF(A3650&lt;0,(10-5)*A3650,-5*A3650))+H$129*EXP(IF(A3650&lt;0,(10-6)*A3650,-6*A3650))+I$129*EXP(IF(A3650&lt;0,(10-7)*A3650,-7*A3650))+J$129*EXP(IF(A3650&lt;0,(10-8)*A3650,-8*A3650))+K$129*EXP(IF(A3650&lt;0,(10-9)*A3650,-9*A3650))+L$129*EXP(IF(A3650&lt;0,(10-10)*A3650,-10*A3650)),0)</x:f>
        <x:v>-190001.83373525835</x:v>
      </x:c>
      <x:c r="C3650" s="256" t="n">
        <x:f>IF(B3650=0,IF(B3649=0,0,1),IF(B3649=0,0,IF(SIGN(B3650)&lt;&gt;SIGN(B3649),1,0)))</x:f>
        <x:v>0</x:v>
      </x:c>
      <x:c r="D3650" s="256" t="n">
        <x:f>EXP(A3650-0.005)-1</x:f>
        <x:v>4423.886909764178</x:v>
      </x:c>
    </x:row>
    <x:row r="3651" ht="20" customHeight="1">
      <x:c r="A3651" s="256" t="n">
        <x:f>-12+2041*0.01</x:f>
        <x:v>8.41</x:v>
      </x:c>
      <x:c r="B3651" s="256" t="n">
        <x:f>IF(COUNT($B$129:$L$129)=11,B$129*EXP(IF(A3651&lt;0,(10-0)*A3651,-0*A3651))+C$129*EXP(IF(A3651&lt;0,(10-1)*A3651,-1*A3651))+D$129*EXP(IF(A3651&lt;0,(10-2)*A3651,-2*A3651))+E$129*EXP(IF(A3651&lt;0,(10-3)*A3651,-3*A3651))+F$129*EXP(IF(A3651&lt;0,(10-4)*A3651,-4*A3651))+G$129*EXP(IF(A3651&lt;0,(10-5)*A3651,-5*A3651))+H$129*EXP(IF(A3651&lt;0,(10-6)*A3651,-6*A3651))+I$129*EXP(IF(A3651&lt;0,(10-7)*A3651,-7*A3651))+J$129*EXP(IF(A3651&lt;0,(10-8)*A3651,-8*A3651))+K$129*EXP(IF(A3651&lt;0,(10-9)*A3651,-9*A3651))+L$129*EXP(IF(A3651&lt;0,(10-10)*A3651,-10*A3651)),0)</x:f>
        <x:v>-190001.81548633127</x:v>
      </x:c>
      <x:c r="C3651" s="256" t="n">
        <x:f>IF(B3651=0,IF(B3650=0,0,1),IF(B3650=0,0,IF(SIGN(B3651)&lt;&gt;SIGN(B3650),1,0)))</x:f>
        <x:v>0</x:v>
      </x:c>
      <x:c r="D3651" s="256" t="n">
        <x:f>EXP(A3651-0.005)-1</x:f>
        <x:v>4468.3577625358475</x:v>
      </x:c>
    </x:row>
    <x:row r="3652" ht="20" customHeight="1">
      <x:c r="A3652" s="256" t="n">
        <x:f>-12+2042*0.01</x:f>
        <x:v>8.420000000000002</x:v>
      </x:c>
      <x:c r="B3652" s="256" t="n">
        <x:f>IF(COUNT($B$129:$L$129)=11,B$129*EXP(IF(A3652&lt;0,(10-0)*A3652,-0*A3652))+C$129*EXP(IF(A3652&lt;0,(10-1)*A3652,-1*A3652))+D$129*EXP(IF(A3652&lt;0,(10-2)*A3652,-2*A3652))+E$129*EXP(IF(A3652&lt;0,(10-3)*A3652,-3*A3652))+F$129*EXP(IF(A3652&lt;0,(10-4)*A3652,-4*A3652))+G$129*EXP(IF(A3652&lt;0,(10-5)*A3652,-5*A3652))+H$129*EXP(IF(A3652&lt;0,(10-6)*A3652,-6*A3652))+I$129*EXP(IF(A3652&lt;0,(10-7)*A3652,-7*A3652))+J$129*EXP(IF(A3652&lt;0,(10-8)*A3652,-8*A3652))+K$129*EXP(IF(A3652&lt;0,(10-9)*A3652,-9*A3652))+L$129*EXP(IF(A3652&lt;0,(10-10)*A3652,-10*A3652)),0)</x:f>
        <x:v>-190001.7974190426</x:v>
      </x:c>
      <x:c r="C3652" s="256" t="n">
        <x:f>IF(B3652=0,IF(B3651=0,0,1),IF(B3651=0,0,IF(SIGN(B3652)&lt;&gt;SIGN(B3651),1,0)))</x:f>
        <x:v>0</x:v>
      </x:c>
      <x:c r="D3652" s="256" t="n">
        <x:f>EXP(A3652-0.005)-1</x:f>
        <x:v>4513.275554808263</x:v>
      </x:c>
    </x:row>
    <x:row r="3653" ht="20" customHeight="1">
      <x:c r="A3653" s="256" t="n">
        <x:f>-12+2043*0.01</x:f>
        <x:v>8.43</x:v>
      </x:c>
      <x:c r="B3653" s="256" t="n">
        <x:f>IF(COUNT($B$129:$L$129)=11,B$129*EXP(IF(A3653&lt;0,(10-0)*A3653,-0*A3653))+C$129*EXP(IF(A3653&lt;0,(10-1)*A3653,-1*A3653))+D$129*EXP(IF(A3653&lt;0,(10-2)*A3653,-2*A3653))+E$129*EXP(IF(A3653&lt;0,(10-3)*A3653,-3*A3653))+F$129*EXP(IF(A3653&lt;0,(10-4)*A3653,-4*A3653))+G$129*EXP(IF(A3653&lt;0,(10-5)*A3653,-5*A3653))+H$129*EXP(IF(A3653&lt;0,(10-6)*A3653,-6*A3653))+I$129*EXP(IF(A3653&lt;0,(10-7)*A3653,-7*A3653))+J$129*EXP(IF(A3653&lt;0,(10-8)*A3653,-8*A3653))+K$129*EXP(IF(A3653&lt;0,(10-9)*A3653,-9*A3653))+L$129*EXP(IF(A3653&lt;0,(10-10)*A3653,-10*A3653)),0)</x:f>
        <x:v>-190001.77953158383</x:v>
      </x:c>
      <x:c r="C3653" s="256" t="n">
        <x:f>IF(B3653=0,IF(B3652=0,0,1),IF(B3652=0,0,IF(SIGN(B3653)&lt;&gt;SIGN(B3652),1,0)))</x:f>
        <x:v>0</x:v>
      </x:c>
      <x:c r="D3653" s="256" t="n">
        <x:f>EXP(A3653-0.005)-1</x:f>
        <x:v>4558.644778398053</x:v>
      </x:c>
    </x:row>
    <x:row r="3654" ht="20" customHeight="1">
      <x:c r="A3654" s="256" t="n">
        <x:f>-12+2044*0.01</x:f>
        <x:v>8.440000000000001</x:v>
      </x:c>
      <x:c r="B3654" s="256" t="n">
        <x:f>IF(COUNT($B$129:$L$129)=11,B$129*EXP(IF(A3654&lt;0,(10-0)*A3654,-0*A3654))+C$129*EXP(IF(A3654&lt;0,(10-1)*A3654,-1*A3654))+D$129*EXP(IF(A3654&lt;0,(10-2)*A3654,-2*A3654))+E$129*EXP(IF(A3654&lt;0,(10-3)*A3654,-3*A3654))+F$129*EXP(IF(A3654&lt;0,(10-4)*A3654,-4*A3654))+G$129*EXP(IF(A3654&lt;0,(10-5)*A3654,-5*A3654))+H$129*EXP(IF(A3654&lt;0,(10-6)*A3654,-6*A3654))+I$129*EXP(IF(A3654&lt;0,(10-7)*A3654,-7*A3654))+J$129*EXP(IF(A3654&lt;0,(10-8)*A3654,-8*A3654))+K$129*EXP(IF(A3654&lt;0,(10-9)*A3654,-9*A3654))+L$129*EXP(IF(A3654&lt;0,(10-10)*A3654,-10*A3654)),0)</x:f>
        <x:v>-190001.76182216452</x:v>
      </x:c>
      <x:c r="C3654" s="256" t="n">
        <x:f>IF(B3654=0,IF(B3653=0,0,1),IF(B3653=0,0,IF(SIGN(B3654)&lt;&gt;SIGN(B3653),1,0)))</x:f>
        <x:v>0</x:v>
      </x:c>
      <x:c r="D3654" s="256" t="n">
        <x:f>EXP(A3654-0.005)-1</x:f>
        <x:v>4604.469970265415</x:v>
      </x:c>
    </x:row>
    <x:row r="3655" ht="20" customHeight="1">
      <x:c r="A3655" s="256" t="n">
        <x:f>-12+2045*0.01</x:f>
        <x:v>8.45</x:v>
      </x:c>
      <x:c r="B3655" s="256" t="n">
        <x:f>IF(COUNT($B$129:$L$129)=11,B$129*EXP(IF(A3655&lt;0,(10-0)*A3655,-0*A3655))+C$129*EXP(IF(A3655&lt;0,(10-1)*A3655,-1*A3655))+D$129*EXP(IF(A3655&lt;0,(10-2)*A3655,-2*A3655))+E$129*EXP(IF(A3655&lt;0,(10-3)*A3655,-3*A3655))+F$129*EXP(IF(A3655&lt;0,(10-4)*A3655,-4*A3655))+G$129*EXP(IF(A3655&lt;0,(10-5)*A3655,-5*A3655))+H$129*EXP(IF(A3655&lt;0,(10-6)*A3655,-6*A3655))+I$129*EXP(IF(A3655&lt;0,(10-7)*A3655,-7*A3655))+J$129*EXP(IF(A3655&lt;0,(10-8)*A3655,-8*A3655))+K$129*EXP(IF(A3655&lt;0,(10-9)*A3655,-9*A3655))+L$129*EXP(IF(A3655&lt;0,(10-10)*A3655,-10*A3655)),0)</x:f>
        <x:v>-190001.74428901201</x:v>
      </x:c>
      <x:c r="C3655" s="256" t="n">
        <x:f>IF(B3655=0,IF(B3654=0,0,1),IF(B3654=0,0,IF(SIGN(B3655)&lt;&gt;SIGN(B3654),1,0)))</x:f>
        <x:v>0</x:v>
      </x:c>
      <x:c r="D3655" s="256" t="n">
        <x:f>EXP(A3655-0.005)-1</x:f>
        <x:v>4650.755712967692</x:v>
      </x:c>
    </x:row>
    <x:row r="3656" ht="20" customHeight="1">
      <x:c r="A3656" s="256" t="n">
        <x:f>-12+2046*0.01</x:f>
        <x:v>8.46</x:v>
      </x:c>
      <x:c r="B3656" s="256" t="n">
        <x:f>IF(COUNT($B$129:$L$129)=11,B$129*EXP(IF(A3656&lt;0,(10-0)*A3656,-0*A3656))+C$129*EXP(IF(A3656&lt;0,(10-1)*A3656,-1*A3656))+D$129*EXP(IF(A3656&lt;0,(10-2)*A3656,-2*A3656))+E$129*EXP(IF(A3656&lt;0,(10-3)*A3656,-3*A3656))+F$129*EXP(IF(A3656&lt;0,(10-4)*A3656,-4*A3656))+G$129*EXP(IF(A3656&lt;0,(10-5)*A3656,-5*A3656))+H$129*EXP(IF(A3656&lt;0,(10-6)*A3656,-6*A3656))+I$129*EXP(IF(A3656&lt;0,(10-7)*A3656,-7*A3656))+J$129*EXP(IF(A3656&lt;0,(10-8)*A3656,-8*A3656))+K$129*EXP(IF(A3656&lt;0,(10-9)*A3656,-9*A3656))+L$129*EXP(IF(A3656&lt;0,(10-10)*A3656,-10*A3656)),0)</x:f>
        <x:v>-190001.72693037134</x:v>
      </x:c>
      <x:c r="C3656" s="256" t="n">
        <x:f>IF(B3656=0,IF(B3655=0,0,1),IF(B3655=0,0,IF(SIGN(B3656)&lt;&gt;SIGN(B3655),1,0)))</x:f>
        <x:v>0</x:v>
      </x:c>
      <x:c r="D3656" s="256" t="n">
        <x:f>EXP(A3656-0.005)-1</x:f>
        <x:v>4697.5066351177575</x:v>
      </x:c>
    </x:row>
    <x:row r="3657" ht="20" customHeight="1">
      <x:c r="A3657" s="256" t="n">
        <x:f>-12+2047*0.01</x:f>
        <x:v>8.469999999999999</x:v>
      </x:c>
      <x:c r="B3657" s="256" t="n">
        <x:f>IF(COUNT($B$129:$L$129)=11,B$129*EXP(IF(A3657&lt;0,(10-0)*A3657,-0*A3657))+C$129*EXP(IF(A3657&lt;0,(10-1)*A3657,-1*A3657))+D$129*EXP(IF(A3657&lt;0,(10-2)*A3657,-2*A3657))+E$129*EXP(IF(A3657&lt;0,(10-3)*A3657,-3*A3657))+F$129*EXP(IF(A3657&lt;0,(10-4)*A3657,-4*A3657))+G$129*EXP(IF(A3657&lt;0,(10-5)*A3657,-5*A3657))+H$129*EXP(IF(A3657&lt;0,(10-6)*A3657,-6*A3657))+I$129*EXP(IF(A3657&lt;0,(10-7)*A3657,-7*A3657))+J$129*EXP(IF(A3657&lt;0,(10-8)*A3657,-8*A3657))+K$129*EXP(IF(A3657&lt;0,(10-9)*A3657,-9*A3657))+L$129*EXP(IF(A3657&lt;0,(10-10)*A3657,-10*A3657)),0)</x:f>
        <x:v>-190001.70974450497</x:v>
      </x:c>
      <x:c r="C3657" s="256" t="n">
        <x:f>IF(B3657=0,IF(B3656=0,0,1),IF(B3656=0,0,IF(SIGN(B3657)&lt;&gt;SIGN(B3656),1,0)))</x:f>
        <x:v>0</x:v>
      </x:c>
      <x:c r="D3657" s="256" t="n">
        <x:f>EXP(A3657-0.005)-1</x:f>
        <x:v>4744.727411846754</x:v>
      </x:c>
    </x:row>
    <x:row r="3658" ht="20" customHeight="1">
      <x:c r="A3658" s="256" t="n">
        <x:f>-12+2048*0.01</x:f>
        <x:v>8.48</x:v>
      </x:c>
      <x:c r="B3658" s="256" t="n">
        <x:f>IF(COUNT($B$129:$L$129)=11,B$129*EXP(IF(A3658&lt;0,(10-0)*A3658,-0*A3658))+C$129*EXP(IF(A3658&lt;0,(10-1)*A3658,-1*A3658))+D$129*EXP(IF(A3658&lt;0,(10-2)*A3658,-2*A3658))+E$129*EXP(IF(A3658&lt;0,(10-3)*A3658,-3*A3658))+F$129*EXP(IF(A3658&lt;0,(10-4)*A3658,-4*A3658))+G$129*EXP(IF(A3658&lt;0,(10-5)*A3658,-5*A3658))+H$129*EXP(IF(A3658&lt;0,(10-6)*A3658,-6*A3658))+I$129*EXP(IF(A3658&lt;0,(10-7)*A3658,-7*A3658))+J$129*EXP(IF(A3658&lt;0,(10-8)*A3658,-8*A3658))+K$129*EXP(IF(A3658&lt;0,(10-9)*A3658,-9*A3658))+L$129*EXP(IF(A3658&lt;0,(10-10)*A3658,-10*A3658)),0)</x:f>
        <x:v>-190001.6927296928</x:v>
      </x:c>
      <x:c r="C3658" s="256" t="n">
        <x:f>IF(B3658=0,IF(B3657=0,0,1),IF(B3657=0,0,IF(SIGN(B3658)&lt;&gt;SIGN(B3657),1,0)))</x:f>
        <x:v>0</x:v>
      </x:c>
      <x:c r="D3658" s="256" t="n">
        <x:f>EXP(A3658-0.005)-1</x:f>
        <x:v>4792.422765271737</x:v>
      </x:c>
    </x:row>
    <x:row r="3659" ht="20" customHeight="1">
      <x:c r="A3659" s="256" t="n">
        <x:f>-12+2049*0.01</x:f>
        <x:v>8.490000000000002</x:v>
      </x:c>
      <x:c r="B3659" s="256" t="n">
        <x:f>IF(COUNT($B$129:$L$129)=11,B$129*EXP(IF(A3659&lt;0,(10-0)*A3659,-0*A3659))+C$129*EXP(IF(A3659&lt;0,(10-1)*A3659,-1*A3659))+D$129*EXP(IF(A3659&lt;0,(10-2)*A3659,-2*A3659))+E$129*EXP(IF(A3659&lt;0,(10-3)*A3659,-3*A3659))+F$129*EXP(IF(A3659&lt;0,(10-4)*A3659,-4*A3659))+G$129*EXP(IF(A3659&lt;0,(10-5)*A3659,-5*A3659))+H$129*EXP(IF(A3659&lt;0,(10-6)*A3659,-6*A3659))+I$129*EXP(IF(A3659&lt;0,(10-7)*A3659,-7*A3659))+J$129*EXP(IF(A3659&lt;0,(10-8)*A3659,-8*A3659))+K$129*EXP(IF(A3659&lt;0,(10-9)*A3659,-9*A3659))+L$129*EXP(IF(A3659&lt;0,(10-10)*A3659,-10*A3659)),0)</x:f>
        <x:v>-190001.6758842317</x:v>
      </x:c>
      <x:c r="C3659" s="256" t="n">
        <x:f>IF(B3659=0,IF(B3658=0,0,1),IF(B3658=0,0,IF(SIGN(B3659)&lt;&gt;SIGN(B3658),1,0)))</x:f>
        <x:v>0</x:v>
      </x:c>
      <x:c r="D3659" s="256" t="n">
        <x:f>EXP(A3659-0.005)-1</x:f>
        <x:v>4840.597464967781</x:v>
      </x:c>
    </x:row>
    <x:row r="3660" ht="20" customHeight="1">
      <x:c r="A3660" s="256" t="n">
        <x:f>-12+2050*0.01</x:f>
        <x:v>8.5</x:v>
      </x:c>
      <x:c r="B3660" s="256" t="n">
        <x:f>IF(COUNT($B$129:$L$129)=11,B$129*EXP(IF(A3660&lt;0,(10-0)*A3660,-0*A3660))+C$129*EXP(IF(A3660&lt;0,(10-1)*A3660,-1*A3660))+D$129*EXP(IF(A3660&lt;0,(10-2)*A3660,-2*A3660))+E$129*EXP(IF(A3660&lt;0,(10-3)*A3660,-3*A3660))+F$129*EXP(IF(A3660&lt;0,(10-4)*A3660,-4*A3660))+G$129*EXP(IF(A3660&lt;0,(10-5)*A3660,-5*A3660))+H$129*EXP(IF(A3660&lt;0,(10-6)*A3660,-6*A3660))+I$129*EXP(IF(A3660&lt;0,(10-7)*A3660,-7*A3660))+J$129*EXP(IF(A3660&lt;0,(10-8)*A3660,-8*A3660))+K$129*EXP(IF(A3660&lt;0,(10-9)*A3660,-9*A3660))+L$129*EXP(IF(A3660&lt;0,(10-10)*A3660,-10*A3660)),0)</x:f>
        <x:v>-190001.65920643564</x:v>
      </x:c>
      <x:c r="C3660" s="256" t="n">
        <x:f>IF(B3660=0,IF(B3659=0,0,1),IF(B3659=0,0,IF(SIGN(B3660)&lt;&gt;SIGN(B3659),1,0)))</x:f>
        <x:v>0</x:v>
      </x:c>
      <x:c r="D3660" s="256" t="n">
        <x:f>EXP(A3660-0.005)-1</x:f>
        <x:v>4889.2563284449825</x:v>
      </x:c>
    </x:row>
    <x:row r="3661" ht="20" customHeight="1">
      <x:c r="A3661" s="256" t="n">
        <x:f>-12+2051*0.01</x:f>
        <x:v>8.510000000000002</x:v>
      </x:c>
      <x:c r="B3661" s="256" t="n">
        <x:f>IF(COUNT($B$129:$L$129)=11,B$129*EXP(IF(A3661&lt;0,(10-0)*A3661,-0*A3661))+C$129*EXP(IF(A3661&lt;0,(10-1)*A3661,-1*A3661))+D$129*EXP(IF(A3661&lt;0,(10-2)*A3661,-2*A3661))+E$129*EXP(IF(A3661&lt;0,(10-3)*A3661,-3*A3661))+F$129*EXP(IF(A3661&lt;0,(10-4)*A3661,-4*A3661))+G$129*EXP(IF(A3661&lt;0,(10-5)*A3661,-5*A3661))+H$129*EXP(IF(A3661&lt;0,(10-6)*A3661,-6*A3661))+I$129*EXP(IF(A3661&lt;0,(10-7)*A3661,-7*A3661))+J$129*EXP(IF(A3661&lt;0,(10-8)*A3661,-8*A3661))+K$129*EXP(IF(A3661&lt;0,(10-9)*A3661,-9*A3661))+L$129*EXP(IF(A3661&lt;0,(10-10)*A3661,-10*A3661)),0)</x:f>
        <x:v>-190001.64269463535</x:v>
      </x:c>
      <x:c r="C3661" s="256" t="n">
        <x:f>IF(B3661=0,IF(B3660=0,0,1),IF(B3660=0,0,IF(SIGN(B3661)&lt;&gt;SIGN(B3660),1,0)))</x:f>
        <x:v>0</x:v>
      </x:c>
      <x:c r="D3661" s="256" t="n">
        <x:f>EXP(A3661-0.005)-1</x:f>
        <x:v>4938.404221630272</x:v>
      </x:c>
    </x:row>
    <x:row r="3662" ht="20" customHeight="1">
      <x:c r="A3662" s="256" t="n">
        <x:f>-12+2052*0.01</x:f>
        <x:v>8.52</x:v>
      </x:c>
      <x:c r="B3662" s="256" t="n">
        <x:f>IF(COUNT($B$129:$L$129)=11,B$129*EXP(IF(A3662&lt;0,(10-0)*A3662,-0*A3662))+C$129*EXP(IF(A3662&lt;0,(10-1)*A3662,-1*A3662))+D$129*EXP(IF(A3662&lt;0,(10-2)*A3662,-2*A3662))+E$129*EXP(IF(A3662&lt;0,(10-3)*A3662,-3*A3662))+F$129*EXP(IF(A3662&lt;0,(10-4)*A3662,-4*A3662))+G$129*EXP(IF(A3662&lt;0,(10-5)*A3662,-5*A3662))+H$129*EXP(IF(A3662&lt;0,(10-6)*A3662,-6*A3662))+I$129*EXP(IF(A3662&lt;0,(10-7)*A3662,-7*A3662))+J$129*EXP(IF(A3662&lt;0,(10-8)*A3662,-8*A3662))+K$129*EXP(IF(A3662&lt;0,(10-9)*A3662,-9*A3662))+L$129*EXP(IF(A3662&lt;0,(10-10)*A3662,-10*A3662)),0)</x:f>
        <x:v>-190001.62634717813</x:v>
      </x:c>
      <x:c r="C3662" s="256" t="n">
        <x:f>IF(B3662=0,IF(B3661=0,0,1),IF(B3661=0,0,IF(SIGN(B3662)&lt;&gt;SIGN(B3661),1,0)))</x:f>
        <x:v>0</x:v>
      </x:c>
      <x:c r="D3662" s="256" t="n">
        <x:f>EXP(A3662-0.005)-1</x:f>
        <x:v>4988.046059353892</x:v>
      </x:c>
    </x:row>
    <x:row r="3663" ht="20" customHeight="1">
      <x:c r="A3663" s="256" t="n">
        <x:f>-12+2053*0.01</x:f>
        <x:v>8.530000000000001</x:v>
      </x:c>
      <x:c r="B3663" s="256" t="n">
        <x:f>IF(COUNT($B$129:$L$129)=11,B$129*EXP(IF(A3663&lt;0,(10-0)*A3663,-0*A3663))+C$129*EXP(IF(A3663&lt;0,(10-1)*A3663,-1*A3663))+D$129*EXP(IF(A3663&lt;0,(10-2)*A3663,-2*A3663))+E$129*EXP(IF(A3663&lt;0,(10-3)*A3663,-3*A3663))+F$129*EXP(IF(A3663&lt;0,(10-4)*A3663,-4*A3663))+G$129*EXP(IF(A3663&lt;0,(10-5)*A3663,-5*A3663))+H$129*EXP(IF(A3663&lt;0,(10-6)*A3663,-6*A3663))+I$129*EXP(IF(A3663&lt;0,(10-7)*A3663,-7*A3663))+J$129*EXP(IF(A3663&lt;0,(10-8)*A3663,-8*A3663))+K$129*EXP(IF(A3663&lt;0,(10-9)*A3663,-9*A3663))+L$129*EXP(IF(A3663&lt;0,(10-10)*A3663,-10*A3663)),0)</x:f>
        <x:v>-190001.6101624278</x:v>
      </x:c>
      <x:c r="C3663" s="256" t="n">
        <x:f>IF(B3663=0,IF(B3662=0,0,1),IF(B3662=0,0,IF(SIGN(B3663)&lt;&gt;SIGN(B3662),1,0)))</x:f>
        <x:v>0</x:v>
      </x:c>
      <x:c r="D3663" s="256" t="n">
        <x:f>EXP(A3663-0.005)-1</x:f>
        <x:v>5038.186805841016</x:v>
      </x:c>
    </x:row>
    <x:row r="3664" ht="20" customHeight="1">
      <x:c r="A3664" s="256" t="n">
        <x:f>-12+2054*0.01</x:f>
        <x:v>8.54</x:v>
      </x:c>
      <x:c r="B3664" s="256" t="n">
        <x:f>IF(COUNT($B$129:$L$129)=11,B$129*EXP(IF(A3664&lt;0,(10-0)*A3664,-0*A3664))+C$129*EXP(IF(A3664&lt;0,(10-1)*A3664,-1*A3664))+D$129*EXP(IF(A3664&lt;0,(10-2)*A3664,-2*A3664))+E$129*EXP(IF(A3664&lt;0,(10-3)*A3664,-3*A3664))+F$129*EXP(IF(A3664&lt;0,(10-4)*A3664,-4*A3664))+G$129*EXP(IF(A3664&lt;0,(10-5)*A3664,-5*A3664))+H$129*EXP(IF(A3664&lt;0,(10-6)*A3664,-6*A3664))+I$129*EXP(IF(A3664&lt;0,(10-7)*A3664,-7*A3664))+J$129*EXP(IF(A3664&lt;0,(10-8)*A3664,-8*A3664))+K$129*EXP(IF(A3664&lt;0,(10-9)*A3664,-9*A3664))+L$129*EXP(IF(A3664&lt;0,(10-10)*A3664,-10*A3664)),0)</x:f>
        <x:v>-190001.59413876449</x:v>
      </x:c>
      <x:c r="C3664" s="256" t="n">
        <x:f>IF(B3664=0,IF(B3663=0,0,1),IF(B3663=0,0,IF(SIGN(B3664)&lt;&gt;SIGN(B3663),1,0)))</x:f>
        <x:v>0</x:v>
      </x:c>
      <x:c r="D3664" s="256" t="n">
        <x:f>EXP(A3664-0.005)-1</x:f>
        <x:v>5088.831475208043</x:v>
      </x:c>
    </x:row>
    <x:row r="3665" ht="20" customHeight="1">
      <x:c r="A3665" s="256" t="n">
        <x:f>-12+2055*0.01</x:f>
        <x:v>8.55</x:v>
      </x:c>
      <x:c r="B3665" s="256" t="n">
        <x:f>IF(COUNT($B$129:$L$129)=11,B$129*EXP(IF(A3665&lt;0,(10-0)*A3665,-0*A3665))+C$129*EXP(IF(A3665&lt;0,(10-1)*A3665,-1*A3665))+D$129*EXP(IF(A3665&lt;0,(10-2)*A3665,-2*A3665))+E$129*EXP(IF(A3665&lt;0,(10-3)*A3665,-3*A3665))+F$129*EXP(IF(A3665&lt;0,(10-4)*A3665,-4*A3665))+G$129*EXP(IF(A3665&lt;0,(10-5)*A3665,-5*A3665))+H$129*EXP(IF(A3665&lt;0,(10-6)*A3665,-6*A3665))+I$129*EXP(IF(A3665&lt;0,(10-7)*A3665,-7*A3665))+J$129*EXP(IF(A3665&lt;0,(10-8)*A3665,-8*A3665))+K$129*EXP(IF(A3665&lt;0,(10-9)*A3665,-9*A3665))+L$129*EXP(IF(A3665&lt;0,(10-10)*A3665,-10*A3665)),0)</x:f>
        <x:v>-190001.57827458446</x:v>
      </x:c>
      <x:c r="C3665" s="256" t="n">
        <x:f>IF(B3665=0,IF(B3664=0,0,1),IF(B3664=0,0,IF(SIGN(B3665)&lt;&gt;SIGN(B3664),1,0)))</x:f>
        <x:v>0</x:v>
      </x:c>
      <x:c r="D3665" s="256" t="n">
        <x:f>EXP(A3665-0.005)-1</x:f>
        <x:v>5139.985131964149</x:v>
      </x:c>
    </x:row>
    <x:row r="3666" ht="20" customHeight="1">
      <x:c r="A3666" s="256" t="n">
        <x:f>-12+2056*0.01</x:f>
        <x:v>8.559999999999999</x:v>
      </x:c>
      <x:c r="B3666" s="256" t="n">
        <x:f>IF(COUNT($B$129:$L$129)=11,B$129*EXP(IF(A3666&lt;0,(10-0)*A3666,-0*A3666))+C$129*EXP(IF(A3666&lt;0,(10-1)*A3666,-1*A3666))+D$129*EXP(IF(A3666&lt;0,(10-2)*A3666,-2*A3666))+E$129*EXP(IF(A3666&lt;0,(10-3)*A3666,-3*A3666))+F$129*EXP(IF(A3666&lt;0,(10-4)*A3666,-4*A3666))+G$129*EXP(IF(A3666&lt;0,(10-5)*A3666,-5*A3666))+H$129*EXP(IF(A3666&lt;0,(10-6)*A3666,-6*A3666))+I$129*EXP(IF(A3666&lt;0,(10-7)*A3666,-7*A3666))+J$129*EXP(IF(A3666&lt;0,(10-8)*A3666,-8*A3666))+K$129*EXP(IF(A3666&lt;0,(10-9)*A3666,-9*A3666))+L$129*EXP(IF(A3666&lt;0,(10-10)*A3666,-10*A3666)),0)</x:f>
        <x:v>-190001.56256829988</x:v>
      </x:c>
      <x:c r="C3666" s="256" t="n">
        <x:f>IF(B3666=0,IF(B3665=0,0,1),IF(B3665=0,0,IF(SIGN(B3666)&lt;&gt;SIGN(B3665),1,0)))</x:f>
        <x:v>0</x:v>
      </x:c>
      <x:c r="D3666" s="256" t="n">
        <x:f>EXP(A3666-0.005)-1</x:f>
        <x:v>5191.652891517603</x:v>
      </x:c>
    </x:row>
    <x:row r="3667" ht="20" customHeight="1">
      <x:c r="A3667" s="256" t="n">
        <x:f>-12+2057*0.01</x:f>
        <x:v>8.57</x:v>
      </x:c>
      <x:c r="B3667" s="256" t="n">
        <x:f>IF(COUNT($B$129:$L$129)=11,B$129*EXP(IF(A3667&lt;0,(10-0)*A3667,-0*A3667))+C$129*EXP(IF(A3667&lt;0,(10-1)*A3667,-1*A3667))+D$129*EXP(IF(A3667&lt;0,(10-2)*A3667,-2*A3667))+E$129*EXP(IF(A3667&lt;0,(10-3)*A3667,-3*A3667))+F$129*EXP(IF(A3667&lt;0,(10-4)*A3667,-4*A3667))+G$129*EXP(IF(A3667&lt;0,(10-5)*A3667,-5*A3667))+H$129*EXP(IF(A3667&lt;0,(10-6)*A3667,-6*A3667))+I$129*EXP(IF(A3667&lt;0,(10-7)*A3667,-7*A3667))+J$129*EXP(IF(A3667&lt;0,(10-8)*A3667,-8*A3667))+K$129*EXP(IF(A3667&lt;0,(10-9)*A3667,-9*A3667))+L$129*EXP(IF(A3667&lt;0,(10-10)*A3667,-10*A3667)),0)</x:f>
        <x:v>-190001.5470183388</x:v>
      </x:c>
      <x:c r="C3667" s="256" t="n">
        <x:f>IF(B3667=0,IF(B3666=0,0,1),IF(B3666=0,0,IF(SIGN(B3667)&lt;&gt;SIGN(B3666),1,0)))</x:f>
        <x:v>0</x:v>
      </x:c>
      <x:c r="D3667" s="256" t="n">
        <x:f>EXP(A3667-0.005)-1</x:f>
        <x:v>5243.839920687451</x:v>
      </x:c>
    </x:row>
    <x:row r="3668" ht="20" customHeight="1">
      <x:c r="A3668" s="256" t="n">
        <x:f>-12+2058*0.01</x:f>
        <x:v>8.580000000000002</x:v>
      </x:c>
      <x:c r="B3668" s="256" t="n">
        <x:f>IF(COUNT($B$129:$L$129)=11,B$129*EXP(IF(A3668&lt;0,(10-0)*A3668,-0*A3668))+C$129*EXP(IF(A3668&lt;0,(10-1)*A3668,-1*A3668))+D$129*EXP(IF(A3668&lt;0,(10-2)*A3668,-2*A3668))+E$129*EXP(IF(A3668&lt;0,(10-3)*A3668,-3*A3668))+F$129*EXP(IF(A3668&lt;0,(10-4)*A3668,-4*A3668))+G$129*EXP(IF(A3668&lt;0,(10-5)*A3668,-5*A3668))+H$129*EXP(IF(A3668&lt;0,(10-6)*A3668,-6*A3668))+I$129*EXP(IF(A3668&lt;0,(10-7)*A3668,-7*A3668))+J$129*EXP(IF(A3668&lt;0,(10-8)*A3668,-8*A3668))+K$129*EXP(IF(A3668&lt;0,(10-9)*A3668,-9*A3668))+L$129*EXP(IF(A3668&lt;0,(10-10)*A3668,-10*A3668)),0)</x:f>
        <x:v>-190001.53162314495</x:v>
      </x:c>
      <x:c r="C3668" s="256" t="n">
        <x:f>IF(B3668=0,IF(B3667=0,0,1),IF(B3667=0,0,IF(SIGN(B3668)&lt;&gt;SIGN(B3667),1,0)))</x:f>
        <x:v>0</x:v>
      </x:c>
      <x:c r="D3668" s="256" t="n">
        <x:f>EXP(A3668-0.005)-1</x:f>
        <x:v>5296.551438220084</x:v>
      </x:c>
    </x:row>
    <x:row r="3669" ht="20" customHeight="1">
      <x:c r="A3669" s="256" t="n">
        <x:f>-12+2059*0.01</x:f>
        <x:v>8.59</x:v>
      </x:c>
      <x:c r="B3669" s="256" t="n">
        <x:f>IF(COUNT($B$129:$L$129)=11,B$129*EXP(IF(A3669&lt;0,(10-0)*A3669,-0*A3669))+C$129*EXP(IF(A3669&lt;0,(10-1)*A3669,-1*A3669))+D$129*EXP(IF(A3669&lt;0,(10-2)*A3669,-2*A3669))+E$129*EXP(IF(A3669&lt;0,(10-3)*A3669,-3*A3669))+F$129*EXP(IF(A3669&lt;0,(10-4)*A3669,-4*A3669))+G$129*EXP(IF(A3669&lt;0,(10-5)*A3669,-5*A3669))+H$129*EXP(IF(A3669&lt;0,(10-6)*A3669,-6*A3669))+I$129*EXP(IF(A3669&lt;0,(10-7)*A3669,-7*A3669))+J$129*EXP(IF(A3669&lt;0,(10-8)*A3669,-8*A3669))+K$129*EXP(IF(A3669&lt;0,(10-9)*A3669,-9*A3669))+L$129*EXP(IF(A3669&lt;0,(10-10)*A3669,-10*A3669)),0)</x:f>
        <x:v>-190001.51638117753</x:v>
      </x:c>
      <x:c r="C3669" s="256" t="n">
        <x:f>IF(B3669=0,IF(B3668=0,0,1),IF(B3668=0,0,IF(SIGN(B3669)&lt;&gt;SIGN(B3668),1,0)))</x:f>
        <x:v>0</x:v>
      </x:c>
      <x:c r="D3669" s="256" t="n">
        <x:f>EXP(A3669-0.005)-1</x:f>
        <x:v>5349.79271531116</x:v>
      </x:c>
    </x:row>
    <x:row r="3670" ht="20" customHeight="1">
      <x:c r="A3670" s="256" t="n">
        <x:f>-12+2060*0.01</x:f>
        <x:v>8.600000000000001</x:v>
      </x:c>
      <x:c r="B3670" s="256" t="n">
        <x:f>IF(COUNT($B$129:$L$129)=11,B$129*EXP(IF(A3670&lt;0,(10-0)*A3670,-0*A3670))+C$129*EXP(IF(A3670&lt;0,(10-1)*A3670,-1*A3670))+D$129*EXP(IF(A3670&lt;0,(10-2)*A3670,-2*A3670))+E$129*EXP(IF(A3670&lt;0,(10-3)*A3670,-3*A3670))+F$129*EXP(IF(A3670&lt;0,(10-4)*A3670,-4*A3670))+G$129*EXP(IF(A3670&lt;0,(10-5)*A3670,-5*A3670))+H$129*EXP(IF(A3670&lt;0,(10-6)*A3670,-6*A3670))+I$129*EXP(IF(A3670&lt;0,(10-7)*A3670,-7*A3670))+J$129*EXP(IF(A3670&lt;0,(10-8)*A3670,-8*A3670))+K$129*EXP(IF(A3670&lt;0,(10-9)*A3670,-9*A3670))+L$129*EXP(IF(A3670&lt;0,(10-10)*A3670,-10*A3670)),0)</x:f>
        <x:v>-190001.50129091105</x:v>
      </x:c>
      <x:c r="C3670" s="256" t="n">
        <x:f>IF(B3670=0,IF(B3669=0,0,1),IF(B3669=0,0,IF(SIGN(B3670)&lt;&gt;SIGN(B3669),1,0)))</x:f>
        <x:v>0</x:v>
      </x:c>
      <x:c r="D3670" s="256" t="n">
        <x:f>EXP(A3670-0.005)-1</x:f>
        <x:v>5403.569076132794</x:v>
      </x:c>
    </x:row>
    <x:row r="3671" ht="20" customHeight="1">
      <x:c r="A3671" s="256" t="n">
        <x:f>-12+2061*0.01</x:f>
        <x:v>8.61</x:v>
      </x:c>
      <x:c r="B3671" s="256" t="n">
        <x:f>IF(COUNT($B$129:$L$129)=11,B$129*EXP(IF(A3671&lt;0,(10-0)*A3671,-0*A3671))+C$129*EXP(IF(A3671&lt;0,(10-1)*A3671,-1*A3671))+D$129*EXP(IF(A3671&lt;0,(10-2)*A3671,-2*A3671))+E$129*EXP(IF(A3671&lt;0,(10-3)*A3671,-3*A3671))+F$129*EXP(IF(A3671&lt;0,(10-4)*A3671,-4*A3671))+G$129*EXP(IF(A3671&lt;0,(10-5)*A3671,-5*A3671))+H$129*EXP(IF(A3671&lt;0,(10-6)*A3671,-6*A3671))+I$129*EXP(IF(A3671&lt;0,(10-7)*A3671,-7*A3671))+J$129*EXP(IF(A3671&lt;0,(10-8)*A3671,-8*A3671))+K$129*EXP(IF(A3671&lt;0,(10-9)*A3671,-9*A3671))+L$129*EXP(IF(A3671&lt;0,(10-10)*A3671,-10*A3671)),0)</x:f>
        <x:v>-190001.48635083524</x:v>
      </x:c>
      <x:c r="C3671" s="256" t="n">
        <x:f>IF(B3671=0,IF(B3670=0,0,1),IF(B3670=0,0,IF(SIGN(B3671)&lt;&gt;SIGN(B3670),1,0)))</x:f>
        <x:v>0</x:v>
      </x:c>
      <x:c r="D3671" s="256" t="n">
        <x:f>EXP(A3671-0.005)-1</x:f>
        <x:v>5457.885898365846</x:v>
      </x:c>
    </x:row>
    <x:row r="3672" ht="20" customHeight="1">
      <x:c r="A3672" s="256" t="n">
        <x:f>-12+2062*0.01</x:f>
        <x:v>8.620000000000001</x:v>
      </x:c>
      <x:c r="B3672" s="256" t="n">
        <x:f>IF(COUNT($B$129:$L$129)=11,B$129*EXP(IF(A3672&lt;0,(10-0)*A3672,-0*A3672))+C$129*EXP(IF(A3672&lt;0,(10-1)*A3672,-1*A3672))+D$129*EXP(IF(A3672&lt;0,(10-2)*A3672,-2*A3672))+E$129*EXP(IF(A3672&lt;0,(10-3)*A3672,-3*A3672))+F$129*EXP(IF(A3672&lt;0,(10-4)*A3672,-4*A3672))+G$129*EXP(IF(A3672&lt;0,(10-5)*A3672,-5*A3672))+H$129*EXP(IF(A3672&lt;0,(10-6)*A3672,-6*A3672))+I$129*EXP(IF(A3672&lt;0,(10-7)*A3672,-7*A3672))+J$129*EXP(IF(A3672&lt;0,(10-8)*A3672,-8*A3672))+K$129*EXP(IF(A3672&lt;0,(10-9)*A3672,-9*A3672))+L$129*EXP(IF(A3672&lt;0,(10-10)*A3672,-10*A3672)),0)</x:f>
        <x:v>-190001.47155945495</x:v>
      </x:c>
      <x:c r="C3672" s="256" t="n">
        <x:f>IF(B3672=0,IF(B3671=0,0,1),IF(B3671=0,0,IF(SIGN(B3672)&lt;&gt;SIGN(B3671),1,0)))</x:f>
        <x:v>0</x:v>
      </x:c>
      <x:c r="D3672" s="256" t="n">
        <x:f>EXP(A3672-0.005)-1</x:f>
        <x:v>5512.74861373784</x:v>
      </x:c>
    </x:row>
    <x:row r="3673" ht="20" customHeight="1">
      <x:c r="A3673" s="256" t="n">
        <x:f>-12+2063*0.01</x:f>
        <x:v>8.629999999999999</x:v>
      </x:c>
      <x:c r="B3673" s="256" t="n">
        <x:f>IF(COUNT($B$129:$L$129)=11,B$129*EXP(IF(A3673&lt;0,(10-0)*A3673,-0*A3673))+C$129*EXP(IF(A3673&lt;0,(10-1)*A3673,-1*A3673))+D$129*EXP(IF(A3673&lt;0,(10-2)*A3673,-2*A3673))+E$129*EXP(IF(A3673&lt;0,(10-3)*A3673,-3*A3673))+F$129*EXP(IF(A3673&lt;0,(10-4)*A3673,-4*A3673))+G$129*EXP(IF(A3673&lt;0,(10-5)*A3673,-5*A3673))+H$129*EXP(IF(A3673&lt;0,(10-6)*A3673,-6*A3673))+I$129*EXP(IF(A3673&lt;0,(10-7)*A3673,-7*A3673))+J$129*EXP(IF(A3673&lt;0,(10-8)*A3673,-8*A3673))+K$129*EXP(IF(A3673&lt;0,(10-9)*A3673,-9*A3673))+L$129*EXP(IF(A3673&lt;0,(10-10)*A3673,-10*A3673)),0)</x:f>
        <x:v>-190001.4569152898</x:v>
      </x:c>
      <x:c r="C3673" s="256" t="n">
        <x:f>IF(B3673=0,IF(B3672=0,0,1),IF(B3672=0,0,IF(SIGN(B3673)&lt;&gt;SIGN(B3672),1,0)))</x:f>
        <x:v>0</x:v>
      </x:c>
      <x:c r="D3673" s="256" t="n">
        <x:f>EXP(A3673-0.005)-1</x:f>
        <x:v>5568.162708565994</x:v>
      </x:c>
    </x:row>
    <x:row r="3674" ht="20" customHeight="1">
      <x:c r="A3674" s="256" t="n">
        <x:f>-12+2064*0.01</x:f>
        <x:v>8.64</x:v>
      </x:c>
      <x:c r="B3674" s="256" t="n">
        <x:f>IF(COUNT($B$129:$L$129)=11,B$129*EXP(IF(A3674&lt;0,(10-0)*A3674,-0*A3674))+C$129*EXP(IF(A3674&lt;0,(10-1)*A3674,-1*A3674))+D$129*EXP(IF(A3674&lt;0,(10-2)*A3674,-2*A3674))+E$129*EXP(IF(A3674&lt;0,(10-3)*A3674,-3*A3674))+F$129*EXP(IF(A3674&lt;0,(10-4)*A3674,-4*A3674))+G$129*EXP(IF(A3674&lt;0,(10-5)*A3674,-5*A3674))+H$129*EXP(IF(A3674&lt;0,(10-6)*A3674,-6*A3674))+I$129*EXP(IF(A3674&lt;0,(10-7)*A3674,-7*A3674))+J$129*EXP(IF(A3674&lt;0,(10-8)*A3674,-8*A3674))+K$129*EXP(IF(A3674&lt;0,(10-9)*A3674,-9*A3674))+L$129*EXP(IF(A3674&lt;0,(10-10)*A3674,-10*A3674)),0)</x:f>
        <x:v>-190001.44241687423</x:v>
      </x:c>
      <x:c r="C3674" s="256" t="n">
        <x:f>IF(B3674=0,IF(B3673=0,0,1),IF(B3673=0,0,IF(SIGN(B3674)&lt;&gt;SIGN(B3673),1,0)))</x:f>
        <x:v>0</x:v>
      </x:c>
      <x:c r="D3674" s="256" t="n">
        <x:f>EXP(A3674-0.005)-1</x:f>
        <x:v>5624.13372430601</x:v>
      </x:c>
    </x:row>
    <x:row r="3675" ht="20" customHeight="1">
      <x:c r="A3675" s="256" t="n">
        <x:f>-12+2065*0.01</x:f>
        <x:v>8.650000000000002</x:v>
      </x:c>
      <x:c r="B3675" s="256" t="n">
        <x:f>IF(COUNT($B$129:$L$129)=11,B$129*EXP(IF(A3675&lt;0,(10-0)*A3675,-0*A3675))+C$129*EXP(IF(A3675&lt;0,(10-1)*A3675,-1*A3675))+D$129*EXP(IF(A3675&lt;0,(10-2)*A3675,-2*A3675))+E$129*EXP(IF(A3675&lt;0,(10-3)*A3675,-3*A3675))+F$129*EXP(IF(A3675&lt;0,(10-4)*A3675,-4*A3675))+G$129*EXP(IF(A3675&lt;0,(10-5)*A3675,-5*A3675))+H$129*EXP(IF(A3675&lt;0,(10-6)*A3675,-6*A3675))+I$129*EXP(IF(A3675&lt;0,(10-7)*A3675,-7*A3675))+J$129*EXP(IF(A3675&lt;0,(10-8)*A3675,-8*A3675))+K$129*EXP(IF(A3675&lt;0,(10-9)*A3675,-9*A3675))+L$129*EXP(IF(A3675&lt;0,(10-10)*A3675,-10*A3675)),0)</x:f>
        <x:v>-190001.42806275727</x:v>
      </x:c>
      <x:c r="C3675" s="256" t="n">
        <x:f>IF(B3675=0,IF(B3674=0,0,1),IF(B3674=0,0,IF(SIGN(B3675)&lt;&gt;SIGN(B3674),1,0)))</x:f>
        <x:v>0</x:v>
      </x:c>
      <x:c r="D3675" s="256" t="n">
        <x:f>EXP(A3675-0.005)-1</x:f>
        <x:v>5680.667258106082</x:v>
      </x:c>
    </x:row>
    <x:row r="3676" ht="20" customHeight="1">
      <x:c r="A3676" s="256" t="n">
        <x:f>-12+2066*0.01</x:f>
        <x:v>8.66</x:v>
      </x:c>
      <x:c r="B3676" s="256" t="n">
        <x:f>IF(COUNT($B$129:$L$129)=11,B$129*EXP(IF(A3676&lt;0,(10-0)*A3676,-0*A3676))+C$129*EXP(IF(A3676&lt;0,(10-1)*A3676,-1*A3676))+D$129*EXP(IF(A3676&lt;0,(10-2)*A3676,-2*A3676))+E$129*EXP(IF(A3676&lt;0,(10-3)*A3676,-3*A3676))+F$129*EXP(IF(A3676&lt;0,(10-4)*A3676,-4*A3676))+G$129*EXP(IF(A3676&lt;0,(10-5)*A3676,-5*A3676))+H$129*EXP(IF(A3676&lt;0,(10-6)*A3676,-6*A3676))+I$129*EXP(IF(A3676&lt;0,(10-7)*A3676,-7*A3676))+J$129*EXP(IF(A3676&lt;0,(10-8)*A3676,-8*A3676))+K$129*EXP(IF(A3676&lt;0,(10-9)*A3676,-9*A3676))+L$129*EXP(IF(A3676&lt;0,(10-10)*A3676,-10*A3676)),0)</x:f>
        <x:v>-190001.41385150238</x:v>
      </x:c>
      <x:c r="C3676" s="256" t="n">
        <x:f>IF(B3676=0,IF(B3675=0,0,1),IF(B3675=0,0,IF(SIGN(B3676)&lt;&gt;SIGN(B3675),1,0)))</x:f>
        <x:v>0</x:v>
      </x:c>
      <x:c r="D3676" s="256" t="n">
        <x:f>EXP(A3676-0.005)-1</x:f>
        <x:v>5737.768963366683</x:v>
      </x:c>
    </x:row>
    <x:row r="3677" ht="20" customHeight="1">
      <x:c r="A3677" s="256" t="n">
        <x:f>-12+2067*0.01</x:f>
        <x:v>8.670000000000002</x:v>
      </x:c>
      <x:c r="B3677" s="256" t="n">
        <x:f>IF(COUNT($B$129:$L$129)=11,B$129*EXP(IF(A3677&lt;0,(10-0)*A3677,-0*A3677))+C$129*EXP(IF(A3677&lt;0,(10-1)*A3677,-1*A3677))+D$129*EXP(IF(A3677&lt;0,(10-2)*A3677,-2*A3677))+E$129*EXP(IF(A3677&lt;0,(10-3)*A3677,-3*A3677))+F$129*EXP(IF(A3677&lt;0,(10-4)*A3677,-4*A3677))+G$129*EXP(IF(A3677&lt;0,(10-5)*A3677,-5*A3677))+H$129*EXP(IF(A3677&lt;0,(10-6)*A3677,-6*A3677))+I$129*EXP(IF(A3677&lt;0,(10-7)*A3677,-7*A3677))+J$129*EXP(IF(A3677&lt;0,(10-8)*A3677,-8*A3677))+K$129*EXP(IF(A3677&lt;0,(10-9)*A3677,-9*A3677))+L$129*EXP(IF(A3677&lt;0,(10-10)*A3677,-10*A3677)),0)</x:f>
        <x:v>-190001.39978168733</x:v>
      </x:c>
      <x:c r="C3677" s="256" t="n">
        <x:f>IF(B3677=0,IF(B3676=0,0,1),IF(B3676=0,0,IF(SIGN(B3677)&lt;&gt;SIGN(B3676),1,0)))</x:f>
        <x:v>0</x:v>
      </x:c>
      <x:c r="D3677" s="256" t="n">
        <x:f>EXP(A3677-0.005)-1</x:f>
        <x:v>5795.444550305966</x:v>
      </x:c>
    </x:row>
    <x:row r="3678" ht="20" customHeight="1">
      <x:c r="A3678" s="256" t="n">
        <x:f>-12+2068*0.01</x:f>
        <x:v>8.68</x:v>
      </x:c>
      <x:c r="B3678" s="256" t="n">
        <x:f>IF(COUNT($B$129:$L$129)=11,B$129*EXP(IF(A3678&lt;0,(10-0)*A3678,-0*A3678))+C$129*EXP(IF(A3678&lt;0,(10-1)*A3678,-1*A3678))+D$129*EXP(IF(A3678&lt;0,(10-2)*A3678,-2*A3678))+E$129*EXP(IF(A3678&lt;0,(10-3)*A3678,-3*A3678))+F$129*EXP(IF(A3678&lt;0,(10-4)*A3678,-4*A3678))+G$129*EXP(IF(A3678&lt;0,(10-5)*A3678,-5*A3678))+H$129*EXP(IF(A3678&lt;0,(10-6)*A3678,-6*A3678))+I$129*EXP(IF(A3678&lt;0,(10-7)*A3678,-7*A3678))+J$129*EXP(IF(A3678&lt;0,(10-8)*A3678,-8*A3678))+K$129*EXP(IF(A3678&lt;0,(10-9)*A3678,-9*A3678))+L$129*EXP(IF(A3678&lt;0,(10-10)*A3678,-10*A3678)),0)</x:f>
        <x:v>-190001.3858519041</x:v>
      </x:c>
      <x:c r="C3678" s="256" t="n">
        <x:f>IF(B3678=0,IF(B3677=0,0,1),IF(B3677=0,0,IF(SIGN(B3678)&lt;&gt;SIGN(B3677),1,0)))</x:f>
        <x:v>0</x:v>
      </x:c>
      <x:c r="D3678" s="256" t="n">
        <x:f>EXP(A3678-0.005)-1</x:f>
        <x:v>5853.699786530644</x:v>
      </x:c>
    </x:row>
    <x:row r="3679" ht="20" customHeight="1">
      <x:c r="A3679" s="256" t="n">
        <x:f>-12+2069*0.01</x:f>
        <x:v>8.690000000000001</x:v>
      </x:c>
      <x:c r="B3679" s="256" t="n">
        <x:f>IF(COUNT($B$129:$L$129)=11,B$129*EXP(IF(A3679&lt;0,(10-0)*A3679,-0*A3679))+C$129*EXP(IF(A3679&lt;0,(10-1)*A3679,-1*A3679))+D$129*EXP(IF(A3679&lt;0,(10-2)*A3679,-2*A3679))+E$129*EXP(IF(A3679&lt;0,(10-3)*A3679,-3*A3679))+F$129*EXP(IF(A3679&lt;0,(10-4)*A3679,-4*A3679))+G$129*EXP(IF(A3679&lt;0,(10-5)*A3679,-5*A3679))+H$129*EXP(IF(A3679&lt;0,(10-6)*A3679,-6*A3679))+I$129*EXP(IF(A3679&lt;0,(10-7)*A3679,-7*A3679))+J$129*EXP(IF(A3679&lt;0,(10-8)*A3679,-8*A3679))+K$129*EXP(IF(A3679&lt;0,(10-9)*A3679,-9*A3679))+L$129*EXP(IF(A3679&lt;0,(10-10)*A3679,-10*A3679)),0)</x:f>
        <x:v>-190001.37206075867</x:v>
      </x:c>
      <x:c r="C3679" s="256" t="n">
        <x:f>IF(B3679=0,IF(B3678=0,0,1),IF(B3678=0,0,IF(SIGN(B3679)&lt;&gt;SIGN(B3678),1,0)))</x:f>
        <x:v>0</x:v>
      </x:c>
      <x:c r="D3679" s="256" t="n">
        <x:f>EXP(A3679-0.005)-1</x:f>
        <x:v>5912.54049761293</x:v>
      </x:c>
    </x:row>
    <x:row r="3680" ht="20" customHeight="1">
      <x:c r="A3680" s="256" t="n">
        <x:f>-12+2070*0.01</x:f>
        <x:v>8.7</x:v>
      </x:c>
      <x:c r="B3680" s="256" t="n">
        <x:f>IF(COUNT($B$129:$L$129)=11,B$129*EXP(IF(A3680&lt;0,(10-0)*A3680,-0*A3680))+C$129*EXP(IF(A3680&lt;0,(10-1)*A3680,-1*A3680))+D$129*EXP(IF(A3680&lt;0,(10-2)*A3680,-2*A3680))+E$129*EXP(IF(A3680&lt;0,(10-3)*A3680,-3*A3680))+F$129*EXP(IF(A3680&lt;0,(10-4)*A3680,-4*A3680))+G$129*EXP(IF(A3680&lt;0,(10-5)*A3680,-5*A3680))+H$129*EXP(IF(A3680&lt;0,(10-6)*A3680,-6*A3680))+I$129*EXP(IF(A3680&lt;0,(10-7)*A3680,-7*A3680))+J$129*EXP(IF(A3680&lt;0,(10-8)*A3680,-8*A3680))+K$129*EXP(IF(A3680&lt;0,(10-9)*A3680,-9*A3680))+L$129*EXP(IF(A3680&lt;0,(10-10)*A3680,-10*A3680)),0)</x:f>
        <x:v>-190001.3584068708</x:v>
      </x:c>
      <x:c r="C3680" s="256" t="n">
        <x:f>IF(B3680=0,IF(B3679=0,0,1),IF(B3679=0,0,IF(SIGN(B3680)&lt;&gt;SIGN(B3679),1,0)))</x:f>
        <x:v>0</x:v>
      </x:c>
      <x:c r="D3680" s="256" t="n">
        <x:f>EXP(A3680-0.005)-1</x:f>
        <x:v>5971.972567672922</x:v>
      </x:c>
    </x:row>
    <x:row r="3681" ht="20" customHeight="1">
      <x:c r="A3681" s="256" t="n">
        <x:f>-12+2071*0.01</x:f>
        <x:v>8.71</x:v>
      </x:c>
      <x:c r="B3681" s="256" t="n">
        <x:f>IF(COUNT($B$129:$L$129)=11,B$129*EXP(IF(A3681&lt;0,(10-0)*A3681,-0*A3681))+C$129*EXP(IF(A3681&lt;0,(10-1)*A3681,-1*A3681))+D$129*EXP(IF(A3681&lt;0,(10-2)*A3681,-2*A3681))+E$129*EXP(IF(A3681&lt;0,(10-3)*A3681,-3*A3681))+F$129*EXP(IF(A3681&lt;0,(10-4)*A3681,-4*A3681))+G$129*EXP(IF(A3681&lt;0,(10-5)*A3681,-5*A3681))+H$129*EXP(IF(A3681&lt;0,(10-6)*A3681,-6*A3681))+I$129*EXP(IF(A3681&lt;0,(10-7)*A3681,-7*A3681))+J$129*EXP(IF(A3681&lt;0,(10-8)*A3681,-8*A3681))+K$129*EXP(IF(A3681&lt;0,(10-9)*A3681,-9*A3681))+L$129*EXP(IF(A3681&lt;0,(10-10)*A3681,-10*A3681)),0)</x:f>
        <x:v>-190001.34488887424</x:v>
      </x:c>
      <x:c r="C3681" s="256" t="n">
        <x:f>IF(B3681=0,IF(B3680=0,0,1),IF(B3680=0,0,IF(SIGN(B3681)&lt;&gt;SIGN(B3680),1,0)))</x:f>
        <x:v>0</x:v>
      </x:c>
      <x:c r="D3681" s="256" t="n">
        <x:f>EXP(A3681-0.005)-1</x:f>
        <x:v>6032.001939967196</x:v>
      </x:c>
    </x:row>
    <x:row r="3682" ht="20" customHeight="1">
      <x:c r="A3682" s="256" t="n">
        <x:f>-12+2072*0.01</x:f>
        <x:v>8.719999999999999</x:v>
      </x:c>
      <x:c r="B3682" s="256" t="n">
        <x:f>IF(COUNT($B$129:$L$129)=11,B$129*EXP(IF(A3682&lt;0,(10-0)*A3682,-0*A3682))+C$129*EXP(IF(A3682&lt;0,(10-1)*A3682,-1*A3682))+D$129*EXP(IF(A3682&lt;0,(10-2)*A3682,-2*A3682))+E$129*EXP(IF(A3682&lt;0,(10-3)*A3682,-3*A3682))+F$129*EXP(IF(A3682&lt;0,(10-4)*A3682,-4*A3682))+G$129*EXP(IF(A3682&lt;0,(10-5)*A3682,-5*A3682))+H$129*EXP(IF(A3682&lt;0,(10-6)*A3682,-6*A3682))+I$129*EXP(IF(A3682&lt;0,(10-7)*A3682,-7*A3682))+J$129*EXP(IF(A3682&lt;0,(10-8)*A3682,-8*A3682))+K$129*EXP(IF(A3682&lt;0,(10-9)*A3682,-9*A3682))+L$129*EXP(IF(A3682&lt;0,(10-10)*A3682,-10*A3682)),0)</x:f>
        <x:v>-190001.3315054161</x:v>
      </x:c>
      <x:c r="C3682" s="256" t="n">
        <x:f>IF(B3682=0,IF(B3681=0,0,1),IF(B3681=0,0,IF(SIGN(B3682)&lt;&gt;SIGN(B3681),1,0)))</x:f>
        <x:v>0</x:v>
      </x:c>
      <x:c r="D3682" s="256" t="n">
        <x:f>EXP(A3682-0.005)-1</x:f>
        <x:v>6092.634617482965</x:v>
      </x:c>
    </x:row>
    <x:row r="3683" ht="20" customHeight="1">
      <x:c r="A3683" s="256" t="n">
        <x:f>-12+2073*0.01</x:f>
        <x:v>8.73</x:v>
      </x:c>
      <x:c r="B3683" s="256" t="n">
        <x:f>IF(COUNT($B$129:$L$129)=11,B$129*EXP(IF(A3683&lt;0,(10-0)*A3683,-0*A3683))+C$129*EXP(IF(A3683&lt;0,(10-1)*A3683,-1*A3683))+D$129*EXP(IF(A3683&lt;0,(10-2)*A3683,-2*A3683))+E$129*EXP(IF(A3683&lt;0,(10-3)*A3683,-3*A3683))+F$129*EXP(IF(A3683&lt;0,(10-4)*A3683,-4*A3683))+G$129*EXP(IF(A3683&lt;0,(10-5)*A3683,-5*A3683))+H$129*EXP(IF(A3683&lt;0,(10-6)*A3683,-6*A3683))+I$129*EXP(IF(A3683&lt;0,(10-7)*A3683,-7*A3683))+J$129*EXP(IF(A3683&lt;0,(10-8)*A3683,-8*A3683))+K$129*EXP(IF(A3683&lt;0,(10-9)*A3683,-9*A3683))+L$129*EXP(IF(A3683&lt;0,(10-10)*A3683,-10*A3683)),0)</x:f>
        <x:v>-190001.31825515706</x:v>
      </x:c>
      <x:c r="C3683" s="256" t="n">
        <x:f>IF(B3683=0,IF(B3682=0,0,1),IF(B3682=0,0,IF(SIGN(B3683)&lt;&gt;SIGN(B3682),1,0)))</x:f>
        <x:v>0</x:v>
      </x:c>
      <x:c r="D3683" s="256" t="n">
        <x:f>EXP(A3683-0.005)-1</x:f>
        <x:v>6153.876663538549</x:v>
      </x:c>
    </x:row>
    <x:row r="3684" ht="20" customHeight="1">
      <x:c r="A3684" s="256" t="n">
        <x:f>-12+2074*0.01</x:f>
        <x:v>8.740000000000002</x:v>
      </x:c>
      <x:c r="B3684" s="256" t="n">
        <x:f>IF(COUNT($B$129:$L$129)=11,B$129*EXP(IF(A3684&lt;0,(10-0)*A3684,-0*A3684))+C$129*EXP(IF(A3684&lt;0,(10-1)*A3684,-1*A3684))+D$129*EXP(IF(A3684&lt;0,(10-2)*A3684,-2*A3684))+E$129*EXP(IF(A3684&lt;0,(10-3)*A3684,-3*A3684))+F$129*EXP(IF(A3684&lt;0,(10-4)*A3684,-4*A3684))+G$129*EXP(IF(A3684&lt;0,(10-5)*A3684,-5*A3684))+H$129*EXP(IF(A3684&lt;0,(10-6)*A3684,-6*A3684))+I$129*EXP(IF(A3684&lt;0,(10-7)*A3684,-7*A3684))+J$129*EXP(IF(A3684&lt;0,(10-8)*A3684,-8*A3684))+K$129*EXP(IF(A3684&lt;0,(10-9)*A3684,-9*A3684))+L$129*EXP(IF(A3684&lt;0,(10-10)*A3684,-10*A3684)),0)</x:f>
        <x:v>-190001.3051367712</x:v>
      </x:c>
      <x:c r="C3684" s="256" t="n">
        <x:f>IF(B3684=0,IF(B3683=0,0,1),IF(B3683=0,0,IF(SIGN(B3684)&lt;&gt;SIGN(B3683),1,0)))</x:f>
        <x:v>0</x:v>
      </x:c>
      <x:c r="D3684" s="256" t="n">
        <x:f>EXP(A3684-0.005)-1</x:f>
        <x:v>6215.734202389568</x:v>
      </x:c>
    </x:row>
    <x:row r="3685" ht="20" customHeight="1">
      <x:c r="A3685" s="256" t="n">
        <x:f>-12+2075*0.01</x:f>
        <x:v>8.75</x:v>
      </x:c>
      <x:c r="B3685" s="256" t="n">
        <x:f>IF(COUNT($B$129:$L$129)=11,B$129*EXP(IF(A3685&lt;0,(10-0)*A3685,-0*A3685))+C$129*EXP(IF(A3685&lt;0,(10-1)*A3685,-1*A3685))+D$129*EXP(IF(A3685&lt;0,(10-2)*A3685,-2*A3685))+E$129*EXP(IF(A3685&lt;0,(10-3)*A3685,-3*A3685))+F$129*EXP(IF(A3685&lt;0,(10-4)*A3685,-4*A3685))+G$129*EXP(IF(A3685&lt;0,(10-5)*A3685,-5*A3685))+H$129*EXP(IF(A3685&lt;0,(10-6)*A3685,-6*A3685))+I$129*EXP(IF(A3685&lt;0,(10-7)*A3685,-7*A3685))+J$129*EXP(IF(A3685&lt;0,(10-8)*A3685,-8*A3685))+K$129*EXP(IF(A3685&lt;0,(10-9)*A3685,-9*A3685))+L$129*EXP(IF(A3685&lt;0,(10-10)*A3685,-10*A3685)),0)</x:f>
        <x:v>-190001.29214894568</x:v>
      </x:c>
      <x:c r="C3685" s="256" t="n">
        <x:f>IF(B3685=0,IF(B3684=0,0,1),IF(B3684=0,0,IF(SIGN(B3685)&lt;&gt;SIGN(B3684),1,0)))</x:f>
        <x:v>0</x:v>
      </x:c>
      <x:c r="D3685" s="256" t="n">
        <x:f>EXP(A3685-0.005)-1</x:f>
        <x:v>6278.213419841433</x:v>
      </x:c>
    </x:row>
    <x:row r="3686" ht="20" customHeight="1">
      <x:c r="A3686" s="256" t="n">
        <x:f>-12+2076*0.01</x:f>
        <x:v>8.760000000000002</x:v>
      </x:c>
      <x:c r="B3686" s="256" t="n">
        <x:f>IF(COUNT($B$129:$L$129)=11,B$129*EXP(IF(A3686&lt;0,(10-0)*A3686,-0*A3686))+C$129*EXP(IF(A3686&lt;0,(10-1)*A3686,-1*A3686))+D$129*EXP(IF(A3686&lt;0,(10-2)*A3686,-2*A3686))+E$129*EXP(IF(A3686&lt;0,(10-3)*A3686,-3*A3686))+F$129*EXP(IF(A3686&lt;0,(10-4)*A3686,-4*A3686))+G$129*EXP(IF(A3686&lt;0,(10-5)*A3686,-5*A3686))+H$129*EXP(IF(A3686&lt;0,(10-6)*A3686,-6*A3686))+I$129*EXP(IF(A3686&lt;0,(10-7)*A3686,-7*A3686))+J$129*EXP(IF(A3686&lt;0,(10-8)*A3686,-8*A3686))+K$129*EXP(IF(A3686&lt;0,(10-9)*A3686,-9*A3686))+L$129*EXP(IF(A3686&lt;0,(10-10)*A3686,-10*A3686)),0)</x:f>
        <x:v>-190001.2792903809</x:v>
      </x:c>
      <x:c r="C3686" s="256" t="n">
        <x:f>IF(B3686=0,IF(B3685=0,0,1),IF(B3685=0,0,IF(SIGN(B3686)&lt;&gt;SIGN(B3685),1,0)))</x:f>
        <x:v>0</x:v>
      </x:c>
      <x:c r="D3686" s="256" t="n">
        <x:f>EXP(A3686-0.005)-1</x:f>
        <x:v>6341.320563867999</x:v>
      </x:c>
    </x:row>
    <x:row r="3687" ht="20" customHeight="1">
      <x:c r="A3687" s="256" t="n">
        <x:f>-12+2077*0.01</x:f>
        <x:v>8.77</x:v>
      </x:c>
      <x:c r="B3687" s="256" t="n">
        <x:f>IF(COUNT($B$129:$L$129)=11,B$129*EXP(IF(A3687&lt;0,(10-0)*A3687,-0*A3687))+C$129*EXP(IF(A3687&lt;0,(10-1)*A3687,-1*A3687))+D$129*EXP(IF(A3687&lt;0,(10-2)*A3687,-2*A3687))+E$129*EXP(IF(A3687&lt;0,(10-3)*A3687,-3*A3687))+F$129*EXP(IF(A3687&lt;0,(10-4)*A3687,-4*A3687))+G$129*EXP(IF(A3687&lt;0,(10-5)*A3687,-5*A3687))+H$129*EXP(IF(A3687&lt;0,(10-6)*A3687,-6*A3687))+I$129*EXP(IF(A3687&lt;0,(10-7)*A3687,-7*A3687))+J$129*EXP(IF(A3687&lt;0,(10-8)*A3687,-8*A3687))+K$129*EXP(IF(A3687&lt;0,(10-9)*A3687,-9*A3687))+L$129*EXP(IF(A3687&lt;0,(10-10)*A3687,-10*A3687)),0)</x:f>
        <x:v>-190001.26655979</x:v>
      </x:c>
      <x:c r="C3687" s="256" t="n">
        <x:f>IF(B3687=0,IF(B3686=0,0,1),IF(B3686=0,0,IF(SIGN(B3687)&lt;&gt;SIGN(B3686),1,0)))</x:f>
        <x:v>0</x:v>
      </x:c>
      <x:c r="D3687" s="256" t="n">
        <x:f>EXP(A3687-0.005)-1</x:f>
        <x:v>6405.061945236215</x:v>
      </x:c>
    </x:row>
    <x:row r="3688" ht="20" customHeight="1">
      <x:c r="A3688" s="256" t="n">
        <x:f>-12+2078*0.01</x:f>
        <x:v>8.780000000000001</x:v>
      </x:c>
      <x:c r="B3688" s="256" t="n">
        <x:f>IF(COUNT($B$129:$L$129)=11,B$129*EXP(IF(A3688&lt;0,(10-0)*A3688,-0*A3688))+C$129*EXP(IF(A3688&lt;0,(10-1)*A3688,-1*A3688))+D$129*EXP(IF(A3688&lt;0,(10-2)*A3688,-2*A3688))+E$129*EXP(IF(A3688&lt;0,(10-3)*A3688,-3*A3688))+F$129*EXP(IF(A3688&lt;0,(10-4)*A3688,-4*A3688))+G$129*EXP(IF(A3688&lt;0,(10-5)*A3688,-5*A3688))+H$129*EXP(IF(A3688&lt;0,(10-6)*A3688,-6*A3688))+I$129*EXP(IF(A3688&lt;0,(10-7)*A3688,-7*A3688))+J$129*EXP(IF(A3688&lt;0,(10-8)*A3688,-8*A3688))+K$129*EXP(IF(A3688&lt;0,(10-9)*A3688,-9*A3688))+L$129*EXP(IF(A3688&lt;0,(10-10)*A3688,-10*A3688)),0)</x:f>
        <x:v>-190001.2539558991</x:v>
      </x:c>
      <x:c r="C3688" s="256" t="n">
        <x:f>IF(B3688=0,IF(B3687=0,0,1),IF(B3687=0,0,IF(SIGN(B3688)&lt;&gt;SIGN(B3687),1,0)))</x:f>
        <x:v>0</x:v>
      </x:c>
      <x:c r="D3688" s="256" t="n">
        <x:f>EXP(A3688-0.005)-1</x:f>
        <x:v>6469.4439381373795</x:v>
      </x:c>
    </x:row>
    <x:row r="3689" ht="20" customHeight="1">
      <x:c r="A3689" s="256" t="n">
        <x:f>-12+2079*0.01</x:f>
        <x:v>8.79</x:v>
      </x:c>
      <x:c r="B3689" s="256" t="n">
        <x:f>IF(COUNT($B$129:$L$129)=11,B$129*EXP(IF(A3689&lt;0,(10-0)*A3689,-0*A3689))+C$129*EXP(IF(A3689&lt;0,(10-1)*A3689,-1*A3689))+D$129*EXP(IF(A3689&lt;0,(10-2)*A3689,-2*A3689))+E$129*EXP(IF(A3689&lt;0,(10-3)*A3689,-3*A3689))+F$129*EXP(IF(A3689&lt;0,(10-4)*A3689,-4*A3689))+G$129*EXP(IF(A3689&lt;0,(10-5)*A3689,-5*A3689))+H$129*EXP(IF(A3689&lt;0,(10-6)*A3689,-6*A3689))+I$129*EXP(IF(A3689&lt;0,(10-7)*A3689,-7*A3689))+J$129*EXP(IF(A3689&lt;0,(10-8)*A3689,-8*A3689))+K$129*EXP(IF(A3689&lt;0,(10-9)*A3689,-9*A3689))+L$129*EXP(IF(A3689&lt;0,(10-10)*A3689,-10*A3689)),0)</x:f>
        <x:v>-190001.24147744692</x:v>
      </x:c>
      <x:c r="C3689" s="256" t="n">
        <x:f>IF(B3689=0,IF(B3688=0,0,1),IF(B3688=0,0,IF(SIGN(B3689)&lt;&gt;SIGN(B3688),1,0)))</x:f>
        <x:v>0</x:v>
      </x:c>
      <x:c r="D3689" s="256" t="n">
        <x:f>EXP(A3689-0.005)-1</x:f>
        <x:v>6534.47298082439</x:v>
      </x:c>
    </x:row>
    <x:row r="3690" ht="20" customHeight="1">
      <x:c r="A3690" s="256" t="n">
        <x:f>-12+2080*0.01</x:f>
        <x:v>8.8</x:v>
      </x:c>
      <x:c r="B3690" s="256" t="n">
        <x:f>IF(COUNT($B$129:$L$129)=11,B$129*EXP(IF(A3690&lt;0,(10-0)*A3690,-0*A3690))+C$129*EXP(IF(A3690&lt;0,(10-1)*A3690,-1*A3690))+D$129*EXP(IF(A3690&lt;0,(10-2)*A3690,-2*A3690))+E$129*EXP(IF(A3690&lt;0,(10-3)*A3690,-3*A3690))+F$129*EXP(IF(A3690&lt;0,(10-4)*A3690,-4*A3690))+G$129*EXP(IF(A3690&lt;0,(10-5)*A3690,-5*A3690))+H$129*EXP(IF(A3690&lt;0,(10-6)*A3690,-6*A3690))+I$129*EXP(IF(A3690&lt;0,(10-7)*A3690,-7*A3690))+J$129*EXP(IF(A3690&lt;0,(10-8)*A3690,-8*A3690))+K$129*EXP(IF(A3690&lt;0,(10-9)*A3690,-9*A3690))+L$129*EXP(IF(A3690&lt;0,(10-10)*A3690,-10*A3690)),0)</x:f>
        <x:v>-190001.22912318484</x:v>
      </x:c>
      <x:c r="C3690" s="256" t="n">
        <x:f>IF(B3690=0,IF(B3689=0,0,1),IF(B3689=0,0,IF(SIGN(B3690)&lt;&gt;SIGN(B3689),1,0)))</x:f>
        <x:v>0</x:v>
      </x:c>
      <x:c r="D3690" s="256" t="n">
        <x:f>EXP(A3690-0.005)-1</x:f>
        <x:v>6600.155576255751</x:v>
      </x:c>
    </x:row>
    <x:row r="3691" ht="20" customHeight="1">
      <x:c r="A3691" s="256" t="n">
        <x:f>-12+2081*0.01</x:f>
        <x:v>8.809999999999999</x:v>
      </x:c>
      <x:c r="B3691" s="256" t="n">
        <x:f>IF(COUNT($B$129:$L$129)=11,B$129*EXP(IF(A3691&lt;0,(10-0)*A3691,-0*A3691))+C$129*EXP(IF(A3691&lt;0,(10-1)*A3691,-1*A3691))+D$129*EXP(IF(A3691&lt;0,(10-2)*A3691,-2*A3691))+E$129*EXP(IF(A3691&lt;0,(10-3)*A3691,-3*A3691))+F$129*EXP(IF(A3691&lt;0,(10-4)*A3691,-4*A3691))+G$129*EXP(IF(A3691&lt;0,(10-5)*A3691,-5*A3691))+H$129*EXP(IF(A3691&lt;0,(10-6)*A3691,-6*A3691))+I$129*EXP(IF(A3691&lt;0,(10-7)*A3691,-7*A3691))+J$129*EXP(IF(A3691&lt;0,(10-8)*A3691,-8*A3691))+K$129*EXP(IF(A3691&lt;0,(10-9)*A3691,-9*A3691))+L$129*EXP(IF(A3691&lt;0,(10-10)*A3691,-10*A3691)),0)</x:f>
        <x:v>-190001.21689187654</x:v>
      </x:c>
      <x:c r="C3691" s="256" t="n">
        <x:f>IF(B3691=0,IF(B3690=0,0,1),IF(B3690=0,0,IF(SIGN(B3691)&lt;&gt;SIGN(B3690),1,0)))</x:f>
        <x:v>0</x:v>
      </x:c>
      <x:c r="D3691" s="256" t="n">
        <x:f>EXP(A3691-0.005)-1</x:f>
        <x:v>6666.498292745696</x:v>
      </x:c>
    </x:row>
    <x:row r="3692" ht="20" customHeight="1">
      <x:c r="A3692" s="256" t="n">
        <x:f>-12+2082*0.01</x:f>
        <x:v>8.82</x:v>
      </x:c>
      <x:c r="B3692" s="256" t="n">
        <x:f>IF(COUNT($B$129:$L$129)=11,B$129*EXP(IF(A3692&lt;0,(10-0)*A3692,-0*A3692))+C$129*EXP(IF(A3692&lt;0,(10-1)*A3692,-1*A3692))+D$129*EXP(IF(A3692&lt;0,(10-2)*A3692,-2*A3692))+E$129*EXP(IF(A3692&lt;0,(10-3)*A3692,-3*A3692))+F$129*EXP(IF(A3692&lt;0,(10-4)*A3692,-4*A3692))+G$129*EXP(IF(A3692&lt;0,(10-5)*A3692,-5*A3692))+H$129*EXP(IF(A3692&lt;0,(10-6)*A3692,-6*A3692))+I$129*EXP(IF(A3692&lt;0,(10-7)*A3692,-7*A3692))+J$129*EXP(IF(A3692&lt;0,(10-8)*A3692,-8*A3692))+K$129*EXP(IF(A3692&lt;0,(10-9)*A3692,-9*A3692))+L$129*EXP(IF(A3692&lt;0,(10-10)*A3692,-10*A3692)),0)</x:f>
        <x:v>-190001.20478229807</x:v>
      </x:c>
      <x:c r="C3692" s="256" t="n">
        <x:f>IF(B3692=0,IF(B3691=0,0,1),IF(B3691=0,0,IF(SIGN(B3692)&lt;&gt;SIGN(B3691),1,0)))</x:f>
        <x:v>0</x:v>
      </x:c>
      <x:c r="D3692" s="256" t="n">
        <x:f>EXP(A3692-0.005)-1</x:f>
        <x:v>6733.507764621206</x:v>
      </x:c>
    </x:row>
    <x:row r="3693" ht="20" customHeight="1">
      <x:c r="A3693" s="256" t="n">
        <x:f>-12+2083*0.01</x:f>
        <x:v>8.830000000000002</x:v>
      </x:c>
      <x:c r="B3693" s="256" t="n">
        <x:f>IF(COUNT($B$129:$L$129)=11,B$129*EXP(IF(A3693&lt;0,(10-0)*A3693,-0*A3693))+C$129*EXP(IF(A3693&lt;0,(10-1)*A3693,-1*A3693))+D$129*EXP(IF(A3693&lt;0,(10-2)*A3693,-2*A3693))+E$129*EXP(IF(A3693&lt;0,(10-3)*A3693,-3*A3693))+F$129*EXP(IF(A3693&lt;0,(10-4)*A3693,-4*A3693))+G$129*EXP(IF(A3693&lt;0,(10-5)*A3693,-5*A3693))+H$129*EXP(IF(A3693&lt;0,(10-6)*A3693,-6*A3693))+I$129*EXP(IF(A3693&lt;0,(10-7)*A3693,-7*A3693))+J$129*EXP(IF(A3693&lt;0,(10-8)*A3693,-8*A3693))+K$129*EXP(IF(A3693&lt;0,(10-9)*A3693,-9*A3693))+L$129*EXP(IF(A3693&lt;0,(10-10)*A3693,-10*A3693)),0)</x:f>
        <x:v>-190001.19279323771</x:v>
      </x:c>
      <x:c r="C3693" s="256" t="n">
        <x:f>IF(B3693=0,IF(B3692=0,0,1),IF(B3692=0,0,IF(SIGN(B3693)&lt;&gt;SIGN(B3692),1,0)))</x:f>
        <x:v>0</x:v>
      </x:c>
      <x:c r="D3693" s="256" t="n">
        <x:f>EXP(A3693-0.005)-1</x:f>
        <x:v>6801.190692885287</x:v>
      </x:c>
    </x:row>
    <x:row r="3694" ht="20" customHeight="1">
      <x:c r="A3694" s="256" t="n">
        <x:f>-12+2084*0.01</x:f>
        <x:v>8.84</x:v>
      </x:c>
      <x:c r="B3694" s="256" t="n">
        <x:f>IF(COUNT($B$129:$L$129)=11,B$129*EXP(IF(A3694&lt;0,(10-0)*A3694,-0*A3694))+C$129*EXP(IF(A3694&lt;0,(10-1)*A3694,-1*A3694))+D$129*EXP(IF(A3694&lt;0,(10-2)*A3694,-2*A3694))+E$129*EXP(IF(A3694&lt;0,(10-3)*A3694,-3*A3694))+F$129*EXP(IF(A3694&lt;0,(10-4)*A3694,-4*A3694))+G$129*EXP(IF(A3694&lt;0,(10-5)*A3694,-5*A3694))+H$129*EXP(IF(A3694&lt;0,(10-6)*A3694,-6*A3694))+I$129*EXP(IF(A3694&lt;0,(10-7)*A3694,-7*A3694))+J$129*EXP(IF(A3694&lt;0,(10-8)*A3694,-8*A3694))+K$129*EXP(IF(A3694&lt;0,(10-9)*A3694,-9*A3694))+L$129*EXP(IF(A3694&lt;0,(10-10)*A3694,-10*A3694)),0)</x:f>
        <x:v>-190001.18092349576</x:v>
      </x:c>
      <x:c r="C3694" s="256" t="n">
        <x:f>IF(B3694=0,IF(B3693=0,0,1),IF(B3693=0,0,IF(SIGN(B3694)&lt;&gt;SIGN(B3693),1,0)))</x:f>
        <x:v>0</x:v>
      </x:c>
      <x:c r="D3694" s="256" t="n">
        <x:f>EXP(A3694-0.005)-1</x:f>
        <x:v>6869.553845887143</x:v>
      </x:c>
    </x:row>
    <x:row r="3695" ht="20" customHeight="1">
      <x:c r="A3695" s="256" t="n">
        <x:f>-12+2085*0.01</x:f>
        <x:v>8.850000000000001</x:v>
      </x:c>
      <x:c r="B3695" s="256" t="n">
        <x:f>IF(COUNT($B$129:$L$129)=11,B$129*EXP(IF(A3695&lt;0,(10-0)*A3695,-0*A3695))+C$129*EXP(IF(A3695&lt;0,(10-1)*A3695,-1*A3695))+D$129*EXP(IF(A3695&lt;0,(10-2)*A3695,-2*A3695))+E$129*EXP(IF(A3695&lt;0,(10-3)*A3695,-3*A3695))+F$129*EXP(IF(A3695&lt;0,(10-4)*A3695,-4*A3695))+G$129*EXP(IF(A3695&lt;0,(10-5)*A3695,-5*A3695))+H$129*EXP(IF(A3695&lt;0,(10-6)*A3695,-6*A3695))+I$129*EXP(IF(A3695&lt;0,(10-7)*A3695,-7*A3695))+J$129*EXP(IF(A3695&lt;0,(10-8)*A3695,-8*A3695))+K$129*EXP(IF(A3695&lt;0,(10-9)*A3695,-9*A3695))+L$129*EXP(IF(A3695&lt;0,(10-10)*A3695,-10*A3695)),0)</x:f>
        <x:v>-190001.16917188454</x:v>
      </x:c>
      <x:c r="C3695" s="256" t="n">
        <x:f>IF(B3695=0,IF(B3694=0,0,1),IF(B3694=0,0,IF(SIGN(B3695)&lt;&gt;SIGN(B3694),1,0)))</x:f>
        <x:v>0</x:v>
      </x:c>
      <x:c r="D3695" s="256" t="n">
        <x:f>EXP(A3695-0.005)-1</x:f>
        <x:v>6938.604059999093</x:v>
      </x:c>
    </x:row>
    <x:row r="3696" ht="20" customHeight="1">
      <x:c r="A3696" s="256" t="n">
        <x:f>-12+2086*0.01</x:f>
        <x:v>8.86</x:v>
      </x:c>
      <x:c r="B3696" s="256" t="n">
        <x:f>IF(COUNT($B$129:$L$129)=11,B$129*EXP(IF(A3696&lt;0,(10-0)*A3696,-0*A3696))+C$129*EXP(IF(A3696&lt;0,(10-1)*A3696,-1*A3696))+D$129*EXP(IF(A3696&lt;0,(10-2)*A3696,-2*A3696))+E$129*EXP(IF(A3696&lt;0,(10-3)*A3696,-3*A3696))+F$129*EXP(IF(A3696&lt;0,(10-4)*A3696,-4*A3696))+G$129*EXP(IF(A3696&lt;0,(10-5)*A3696,-5*A3696))+H$129*EXP(IF(A3696&lt;0,(10-6)*A3696,-6*A3696))+I$129*EXP(IF(A3696&lt;0,(10-7)*A3696,-7*A3696))+J$129*EXP(IF(A3696&lt;0,(10-8)*A3696,-8*A3696))+K$129*EXP(IF(A3696&lt;0,(10-9)*A3696,-9*A3696))+L$129*EXP(IF(A3696&lt;0,(10-10)*A3696,-10*A3696)),0)</x:f>
        <x:v>-190001.15753722805</x:v>
      </x:c>
      <x:c r="C3696" s="256" t="n">
        <x:f>IF(B3696=0,IF(B3695=0,0,1),IF(B3695=0,0,IF(SIGN(B3696)&lt;&gt;SIGN(B3695),1,0)))</x:f>
        <x:v>0</x:v>
      </x:c>
      <x:c r="D3696" s="256" t="n">
        <x:f>EXP(A3696-0.005)-1</x:f>
        <x:v>7008.348240300042</x:v>
      </x:c>
    </x:row>
    <x:row r="3697" ht="20" customHeight="1">
      <x:c r="A3697" s="256" t="n">
        <x:f>-12+2087*0.01</x:f>
        <x:v>8.870000000000001</x:v>
      </x:c>
      <x:c r="B3697" s="256" t="n">
        <x:f>IF(COUNT($B$129:$L$129)=11,B$129*EXP(IF(A3697&lt;0,(10-0)*A3697,-0*A3697))+C$129*EXP(IF(A3697&lt;0,(10-1)*A3697,-1*A3697))+D$129*EXP(IF(A3697&lt;0,(10-2)*A3697,-2*A3697))+E$129*EXP(IF(A3697&lt;0,(10-3)*A3697,-3*A3697))+F$129*EXP(IF(A3697&lt;0,(10-4)*A3697,-4*A3697))+G$129*EXP(IF(A3697&lt;0,(10-5)*A3697,-5*A3697))+H$129*EXP(IF(A3697&lt;0,(10-6)*A3697,-6*A3697))+I$129*EXP(IF(A3697&lt;0,(10-7)*A3697,-7*A3697))+J$129*EXP(IF(A3697&lt;0,(10-8)*A3697,-8*A3697))+K$129*EXP(IF(A3697&lt;0,(10-9)*A3697,-9*A3697))+L$129*EXP(IF(A3697&lt;0,(10-10)*A3697,-10*A3697)),0)</x:f>
        <x:v>-190001.1460183621</x:v>
      </x:c>
      <x:c r="C3697" s="256" t="n">
        <x:f>IF(B3697=0,IF(B3696=0,0,1),IF(B3696=0,0,IF(SIGN(B3697)&lt;&gt;SIGN(B3696),1,0)))</x:f>
        <x:v>0</x:v>
      </x:c>
      <x:c r="D3697" s="256" t="n">
        <x:f>EXP(A3697-0.005)-1</x:f>
        <x:v>7078.793361266187</x:v>
      </x:c>
    </x:row>
    <x:row r="3698" ht="20" customHeight="1">
      <x:c r="A3698" s="256" t="n">
        <x:f>-12+2088*0.01</x:f>
        <x:v>8.879999999999999</x:v>
      </x:c>
      <x:c r="B3698" s="256" t="n">
        <x:f>IF(COUNT($B$129:$L$129)=11,B$129*EXP(IF(A3698&lt;0,(10-0)*A3698,-0*A3698))+C$129*EXP(IF(A3698&lt;0,(10-1)*A3698,-1*A3698))+D$129*EXP(IF(A3698&lt;0,(10-2)*A3698,-2*A3698))+E$129*EXP(IF(A3698&lt;0,(10-3)*A3698,-3*A3698))+F$129*EXP(IF(A3698&lt;0,(10-4)*A3698,-4*A3698))+G$129*EXP(IF(A3698&lt;0,(10-5)*A3698,-5*A3698))+H$129*EXP(IF(A3698&lt;0,(10-6)*A3698,-6*A3698))+I$129*EXP(IF(A3698&lt;0,(10-7)*A3698,-7*A3698))+J$129*EXP(IF(A3698&lt;0,(10-8)*A3698,-8*A3698))+K$129*EXP(IF(A3698&lt;0,(10-9)*A3698,-9*A3698))+L$129*EXP(IF(A3698&lt;0,(10-10)*A3698,-10*A3698)),0)</x:f>
        <x:v>-190001.13461413415</x:v>
      </x:c>
      <x:c r="C3698" s="256" t="n">
        <x:f>IF(B3698=0,IF(B3697=0,0,1),IF(B3697=0,0,IF(SIGN(B3698)&lt;&gt;SIGN(B3697),1,0)))</x:f>
        <x:v>0</x:v>
      </x:c>
      <x:c r="D3698" s="256" t="n">
        <x:f>EXP(A3698-0.005)-1</x:f>
        <x:v>7149.946467468282</x:v>
      </x:c>
    </x:row>
    <x:row r="3699" ht="20" customHeight="1">
      <x:c r="A3699" s="256" t="n">
        <x:f>-12+2089*0.01</x:f>
        <x:v>8.89</x:v>
      </x:c>
      <x:c r="B3699" s="256" t="n">
        <x:f>IF(COUNT($B$129:$L$129)=11,B$129*EXP(IF(A3699&lt;0,(10-0)*A3699,-0*A3699))+C$129*EXP(IF(A3699&lt;0,(10-1)*A3699,-1*A3699))+D$129*EXP(IF(A3699&lt;0,(10-2)*A3699,-2*A3699))+E$129*EXP(IF(A3699&lt;0,(10-3)*A3699,-3*A3699))+F$129*EXP(IF(A3699&lt;0,(10-4)*A3699,-4*A3699))+G$129*EXP(IF(A3699&lt;0,(10-5)*A3699,-5*A3699))+H$129*EXP(IF(A3699&lt;0,(10-6)*A3699,-6*A3699))+I$129*EXP(IF(A3699&lt;0,(10-7)*A3699,-7*A3699))+J$129*EXP(IF(A3699&lt;0,(10-8)*A3699,-8*A3699))+K$129*EXP(IF(A3699&lt;0,(10-9)*A3699,-9*A3699))+L$129*EXP(IF(A3699&lt;0,(10-10)*A3699,-10*A3699)),0)</x:f>
        <x:v>-190001.123323403</x:v>
      </x:c>
      <x:c r="C3699" s="256" t="n">
        <x:f>IF(B3699=0,IF(B3698=0,0,1),IF(B3698=0,0,IF(SIGN(B3699)&lt;&gt;SIGN(B3698),1,0)))</x:f>
        <x:v>0</x:v>
      </x:c>
      <x:c r="D3699" s="256" t="n">
        <x:f>EXP(A3699-0.005)-1</x:f>
        <x:v>7221.814674276291</x:v>
      </x:c>
    </x:row>
    <x:row r="3700" ht="20" customHeight="1">
      <x:c r="A3700" s="256" t="n">
        <x:f>-12+2090*0.01</x:f>
        <x:v>8.900000000000002</x:v>
      </x:c>
      <x:c r="B3700" s="256" t="n">
        <x:f>IF(COUNT($B$129:$L$129)=11,B$129*EXP(IF(A3700&lt;0,(10-0)*A3700,-0*A3700))+C$129*EXP(IF(A3700&lt;0,(10-1)*A3700,-1*A3700))+D$129*EXP(IF(A3700&lt;0,(10-2)*A3700,-2*A3700))+E$129*EXP(IF(A3700&lt;0,(10-3)*A3700,-3*A3700))+F$129*EXP(IF(A3700&lt;0,(10-4)*A3700,-4*A3700))+G$129*EXP(IF(A3700&lt;0,(10-5)*A3700,-5*A3700))+H$129*EXP(IF(A3700&lt;0,(10-6)*A3700,-6*A3700))+I$129*EXP(IF(A3700&lt;0,(10-7)*A3700,-7*A3700))+J$129*EXP(IF(A3700&lt;0,(10-8)*A3700,-8*A3700))+K$129*EXP(IF(A3700&lt;0,(10-9)*A3700,-9*A3700))+L$129*EXP(IF(A3700&lt;0,(10-10)*A3700,-10*A3700)),0)</x:f>
        <x:v>-190001.11214503896</x:v>
      </x:c>
      <x:c r="C3700" s="256" t="n">
        <x:f>IF(B3700=0,IF(B3699=0,0,1),IF(B3699=0,0,IF(SIGN(B3700)&lt;&gt;SIGN(B3699),1,0)))</x:f>
        <x:v>0</x:v>
      </x:c>
      <x:c r="D3700" s="256" t="n">
        <x:f>EXP(A3700-0.005)-1</x:f>
        <x:v>7294.40516857076</x:v>
      </x:c>
    </x:row>
    <x:row r="3701" ht="20" customHeight="1">
      <x:c r="A3701" s="256" t="n">
        <x:f>-12+2091*0.01</x:f>
        <x:v>8.91</x:v>
      </x:c>
      <x:c r="B3701" s="256" t="n">
        <x:f>IF(COUNT($B$129:$L$129)=11,B$129*EXP(IF(A3701&lt;0,(10-0)*A3701,-0*A3701))+C$129*EXP(IF(A3701&lt;0,(10-1)*A3701,-1*A3701))+D$129*EXP(IF(A3701&lt;0,(10-2)*A3701,-2*A3701))+E$129*EXP(IF(A3701&lt;0,(10-3)*A3701,-3*A3701))+F$129*EXP(IF(A3701&lt;0,(10-4)*A3701,-4*A3701))+G$129*EXP(IF(A3701&lt;0,(10-5)*A3701,-5*A3701))+H$129*EXP(IF(A3701&lt;0,(10-6)*A3701,-6*A3701))+I$129*EXP(IF(A3701&lt;0,(10-7)*A3701,-7*A3701))+J$129*EXP(IF(A3701&lt;0,(10-8)*A3701,-8*A3701))+K$129*EXP(IF(A3701&lt;0,(10-9)*A3701,-9*A3701))+L$129*EXP(IF(A3701&lt;0,(10-10)*A3701,-10*A3701)),0)</x:f>
        <x:v>-190001.10107792346</x:v>
      </x:c>
      <x:c r="C3701" s="256" t="n">
        <x:f>IF(B3701=0,IF(B3700=0,0,1),IF(B3700=0,0,IF(SIGN(B3701)&lt;&gt;SIGN(B3700),1,0)))</x:f>
        <x:v>0</x:v>
      </x:c>
      <x:c r="D3701" s="256" t="n">
        <x:f>EXP(A3701-0.005)-1</x:f>
        <x:v>7367.725209461584</x:v>
      </x:c>
    </x:row>
    <x:row r="3702" ht="20" customHeight="1">
      <x:c r="A3702" s="256" t="n">
        <x:f>-12+2092*0.01</x:f>
        <x:v>8.920000000000002</x:v>
      </x:c>
      <x:c r="B3702" s="256" t="n">
        <x:f>IF(COUNT($B$129:$L$129)=11,B$129*EXP(IF(A3702&lt;0,(10-0)*A3702,-0*A3702))+C$129*EXP(IF(A3702&lt;0,(10-1)*A3702,-1*A3702))+D$129*EXP(IF(A3702&lt;0,(10-2)*A3702,-2*A3702))+E$129*EXP(IF(A3702&lt;0,(10-3)*A3702,-3*A3702))+F$129*EXP(IF(A3702&lt;0,(10-4)*A3702,-4*A3702))+G$129*EXP(IF(A3702&lt;0,(10-5)*A3702,-5*A3702))+H$129*EXP(IF(A3702&lt;0,(10-6)*A3702,-6*A3702))+I$129*EXP(IF(A3702&lt;0,(10-7)*A3702,-7*A3702))+J$129*EXP(IF(A3702&lt;0,(10-8)*A3702,-8*A3702))+K$129*EXP(IF(A3702&lt;0,(10-9)*A3702,-9*A3702))+L$129*EXP(IF(A3702&lt;0,(10-10)*A3702,-10*A3702)),0)</x:f>
        <x:v>-190001.0901209491</x:v>
      </x:c>
      <x:c r="C3702" s="256" t="n">
        <x:f>IF(B3702=0,IF(B3701=0,0,1),IF(B3701=0,0,IF(SIGN(B3702)&lt;&gt;SIGN(B3701),1,0)))</x:f>
        <x:v>0</x:v>
      </x:c>
      <x:c r="D3702" s="256" t="n">
        <x:f>EXP(A3702-0.005)-1</x:f>
        <x:v>7441.782129014006</x:v>
      </x:c>
    </x:row>
    <x:row r="3703" ht="20" customHeight="1">
      <x:c r="A3703" s="256" t="n">
        <x:f>-12+2093*0.01</x:f>
        <x:v>8.93</x:v>
      </x:c>
      <x:c r="B3703" s="256" t="n">
        <x:f>IF(COUNT($B$129:$L$129)=11,B$129*EXP(IF(A3703&lt;0,(10-0)*A3703,-0*A3703))+C$129*EXP(IF(A3703&lt;0,(10-1)*A3703,-1*A3703))+D$129*EXP(IF(A3703&lt;0,(10-2)*A3703,-2*A3703))+E$129*EXP(IF(A3703&lt;0,(10-3)*A3703,-3*A3703))+F$129*EXP(IF(A3703&lt;0,(10-4)*A3703,-4*A3703))+G$129*EXP(IF(A3703&lt;0,(10-5)*A3703,-5*A3703))+H$129*EXP(IF(A3703&lt;0,(10-6)*A3703,-6*A3703))+I$129*EXP(IF(A3703&lt;0,(10-7)*A3703,-7*A3703))+J$129*EXP(IF(A3703&lt;0,(10-8)*A3703,-8*A3703))+K$129*EXP(IF(A3703&lt;0,(10-9)*A3703,-9*A3703))+L$129*EXP(IF(A3703&lt;0,(10-10)*A3703,-10*A3703)),0)</x:f>
        <x:v>-190001.0792730196</x:v>
      </x:c>
      <x:c r="C3703" s="256" t="n">
        <x:f>IF(B3703=0,IF(B3702=0,0,1),IF(B3702=0,0,IF(SIGN(B3703)&lt;&gt;SIGN(B3702),1,0)))</x:f>
        <x:v>0</x:v>
      </x:c>
      <x:c r="D3703" s="256" t="n">
        <x:f>EXP(A3703-0.005)-1</x:f>
        <x:v>7516.583332981641</x:v>
      </x:c>
    </x:row>
    <x:row r="3704" ht="20" customHeight="1">
      <x:c r="A3704" s="256" t="n">
        <x:f>-12+2094*0.01</x:f>
        <x:v>8.940000000000001</x:v>
      </x:c>
      <x:c r="B3704" s="256" t="n">
        <x:f>IF(COUNT($B$129:$L$129)=11,B$129*EXP(IF(A3704&lt;0,(10-0)*A3704,-0*A3704))+C$129*EXP(IF(A3704&lt;0,(10-1)*A3704,-1*A3704))+D$129*EXP(IF(A3704&lt;0,(10-2)*A3704,-2*A3704))+E$129*EXP(IF(A3704&lt;0,(10-3)*A3704,-3*A3704))+F$129*EXP(IF(A3704&lt;0,(10-4)*A3704,-4*A3704))+G$129*EXP(IF(A3704&lt;0,(10-5)*A3704,-5*A3704))+H$129*EXP(IF(A3704&lt;0,(10-6)*A3704,-6*A3704))+I$129*EXP(IF(A3704&lt;0,(10-7)*A3704,-7*A3704))+J$129*EXP(IF(A3704&lt;0,(10-8)*A3704,-8*A3704))+K$129*EXP(IF(A3704&lt;0,(10-9)*A3704,-9*A3704))+L$129*EXP(IF(A3704&lt;0,(10-10)*A3704,-10*A3704)),0)</x:f>
        <x:v>-190001.0685330495</x:v>
      </x:c>
      <x:c r="C3704" s="256" t="n">
        <x:f>IF(B3704=0,IF(B3703=0,0,1),IF(B3703=0,0,IF(SIGN(B3704)&lt;&gt;SIGN(B3703),1,0)))</x:f>
        <x:v>0</x:v>
      </x:c>
      <x:c r="D3704" s="256" t="n">
        <x:f>EXP(A3704-0.005)-1</x:f>
        <x:v>7592.136301547276</x:v>
      </x:c>
    </x:row>
    <x:row r="3705" ht="20" customHeight="1">
      <x:c r="A3705" s="256" t="n">
        <x:f>-12+2095*0.01</x:f>
        <x:v>8.95</x:v>
      </x:c>
      <x:c r="B3705" s="256" t="n">
        <x:f>IF(COUNT($B$129:$L$129)=11,B$129*EXP(IF(A3705&lt;0,(10-0)*A3705,-0*A3705))+C$129*EXP(IF(A3705&lt;0,(10-1)*A3705,-1*A3705))+D$129*EXP(IF(A3705&lt;0,(10-2)*A3705,-2*A3705))+E$129*EXP(IF(A3705&lt;0,(10-3)*A3705,-3*A3705))+F$129*EXP(IF(A3705&lt;0,(10-4)*A3705,-4*A3705))+G$129*EXP(IF(A3705&lt;0,(10-5)*A3705,-5*A3705))+H$129*EXP(IF(A3705&lt;0,(10-6)*A3705,-6*A3705))+I$129*EXP(IF(A3705&lt;0,(10-7)*A3705,-7*A3705))+J$129*EXP(IF(A3705&lt;0,(10-8)*A3705,-8*A3705))+K$129*EXP(IF(A3705&lt;0,(10-9)*A3705,-9*A3705))+L$129*EXP(IF(A3705&lt;0,(10-10)*A3705,-10*A3705)),0)</x:f>
        <x:v>-190001.0578999641</x:v>
      </x:c>
      <x:c r="C3705" s="256" t="n">
        <x:f>IF(B3705=0,IF(B3704=0,0,1),IF(B3704=0,0,IF(SIGN(B3705)&lt;&gt;SIGN(B3704),1,0)))</x:f>
        <x:v>0</x:v>
      </x:c>
      <x:c r="D3705" s="256" t="n">
        <x:f>EXP(A3705-0.005)-1</x:f>
        <x:v>7668.448590070673</x:v>
      </x:c>
    </x:row>
    <x:row r="3706" ht="20" customHeight="1">
      <x:c r="A3706" s="256" t="n">
        <x:f>-12+2096*0.01</x:f>
        <x:v>8.96</x:v>
      </x:c>
      <x:c r="B3706" s="256" t="n">
        <x:f>IF(COUNT($B$129:$L$129)=11,B$129*EXP(IF(A3706&lt;0,(10-0)*A3706,-0*A3706))+C$129*EXP(IF(A3706&lt;0,(10-1)*A3706,-1*A3706))+D$129*EXP(IF(A3706&lt;0,(10-2)*A3706,-2*A3706))+E$129*EXP(IF(A3706&lt;0,(10-3)*A3706,-3*A3706))+F$129*EXP(IF(A3706&lt;0,(10-4)*A3706,-4*A3706))+G$129*EXP(IF(A3706&lt;0,(10-5)*A3706,-5*A3706))+H$129*EXP(IF(A3706&lt;0,(10-6)*A3706,-6*A3706))+I$129*EXP(IF(A3706&lt;0,(10-7)*A3706,-7*A3706))+J$129*EXP(IF(A3706&lt;0,(10-8)*A3706,-8*A3706))+K$129*EXP(IF(A3706&lt;0,(10-9)*A3706,-9*A3706))+L$129*EXP(IF(A3706&lt;0,(10-10)*A3706,-10*A3706)),0)</x:f>
        <x:v>-190001.0473726996</x:v>
      </x:c>
      <x:c r="C3706" s="256" t="n">
        <x:f>IF(B3706=0,IF(B3705=0,0,1),IF(B3705=0,0,IF(SIGN(B3706)&lt;&gt;SIGN(B3705),1,0)))</x:f>
        <x:v>0</x:v>
      </x:c>
      <x:c r="D3706" s="256" t="n">
        <x:f>EXP(A3706-0.005)-1</x:f>
        <x:v>7745.527829844333</x:v>
      </x:c>
    </x:row>
    <x:row r="3707" ht="20" customHeight="1">
      <x:c r="A3707" s="256" t="n">
        <x:f>-12+2097*0.01</x:f>
        <x:v>8.969999999999999</x:v>
      </x:c>
      <x:c r="B3707" s="256" t="n">
        <x:f>IF(COUNT($B$129:$L$129)=11,B$129*EXP(IF(A3707&lt;0,(10-0)*A3707,-0*A3707))+C$129*EXP(IF(A3707&lt;0,(10-1)*A3707,-1*A3707))+D$129*EXP(IF(A3707&lt;0,(10-2)*A3707,-2*A3707))+E$129*EXP(IF(A3707&lt;0,(10-3)*A3707,-3*A3707))+F$129*EXP(IF(A3707&lt;0,(10-4)*A3707,-4*A3707))+G$129*EXP(IF(A3707&lt;0,(10-5)*A3707,-5*A3707))+H$129*EXP(IF(A3707&lt;0,(10-6)*A3707,-6*A3707))+I$129*EXP(IF(A3707&lt;0,(10-7)*A3707,-7*A3707))+J$129*EXP(IF(A3707&lt;0,(10-8)*A3707,-8*A3707))+K$129*EXP(IF(A3707&lt;0,(10-9)*A3707,-9*A3707))+L$129*EXP(IF(A3707&lt;0,(10-10)*A3707,-10*A3707)),0)</x:f>
        <x:v>-190001.0369502026</x:v>
      </x:c>
      <x:c r="C3707" s="256" t="n">
        <x:f>IF(B3707=0,IF(B3706=0,0,1),IF(B3706=0,0,IF(SIGN(B3707)&lt;&gt;SIGN(B3706),1,0)))</x:f>
        <x:v>0</x:v>
      </x:c>
      <x:c r="D3707" s="256" t="n">
        <x:f>EXP(A3707-0.005)-1</x:f>
        <x:v>7823.3817288564105</x:v>
      </x:c>
    </x:row>
    <x:row r="3708" ht="20" customHeight="1">
      <x:c r="A3708" s="256" t="n">
        <x:f>-12+2098*0.01</x:f>
        <x:v>8.98</x:v>
      </x:c>
      <x:c r="B3708" s="256" t="n">
        <x:f>IF(COUNT($B$129:$L$129)=11,B$129*EXP(IF(A3708&lt;0,(10-0)*A3708,-0*A3708))+C$129*EXP(IF(A3708&lt;0,(10-1)*A3708,-1*A3708))+D$129*EXP(IF(A3708&lt;0,(10-2)*A3708,-2*A3708))+E$129*EXP(IF(A3708&lt;0,(10-3)*A3708,-3*A3708))+F$129*EXP(IF(A3708&lt;0,(10-4)*A3708,-4*A3708))+G$129*EXP(IF(A3708&lt;0,(10-5)*A3708,-5*A3708))+H$129*EXP(IF(A3708&lt;0,(10-6)*A3708,-6*A3708))+I$129*EXP(IF(A3708&lt;0,(10-7)*A3708,-7*A3708))+J$129*EXP(IF(A3708&lt;0,(10-8)*A3708,-8*A3708))+K$129*EXP(IF(A3708&lt;0,(10-9)*A3708,-9*A3708))+L$129*EXP(IF(A3708&lt;0,(10-10)*A3708,-10*A3708)),0)</x:f>
        <x:v>-190001.02663143034</x:v>
      </x:c>
      <x:c r="C3708" s="256" t="n">
        <x:f>IF(B3708=0,IF(B3707=0,0,1),IF(B3707=0,0,IF(SIGN(B3708)&lt;&gt;SIGN(B3707),1,0)))</x:f>
        <x:v>0</x:v>
      </x:c>
      <x:c r="D3708" s="256" t="n">
        <x:f>EXP(A3708-0.005)-1</x:f>
        <x:v>7902.018072561741</x:v>
      </x:c>
    </x:row>
    <x:row r="3709" ht="20" customHeight="1">
      <x:c r="A3709" s="256" t="n">
        <x:f>-12+2099*0.01</x:f>
        <x:v>8.990000000000002</x:v>
      </x:c>
      <x:c r="B3709" s="256" t="n">
        <x:f>IF(COUNT($B$129:$L$129)=11,B$129*EXP(IF(A3709&lt;0,(10-0)*A3709,-0*A3709))+C$129*EXP(IF(A3709&lt;0,(10-1)*A3709,-1*A3709))+D$129*EXP(IF(A3709&lt;0,(10-2)*A3709,-2*A3709))+E$129*EXP(IF(A3709&lt;0,(10-3)*A3709,-3*A3709))+F$129*EXP(IF(A3709&lt;0,(10-4)*A3709,-4*A3709))+G$129*EXP(IF(A3709&lt;0,(10-5)*A3709,-5*A3709))+H$129*EXP(IF(A3709&lt;0,(10-6)*A3709,-6*A3709))+I$129*EXP(IF(A3709&lt;0,(10-7)*A3709,-7*A3709))+J$129*EXP(IF(A3709&lt;0,(10-8)*A3709,-8*A3709))+K$129*EXP(IF(A3709&lt;0,(10-9)*A3709,-9*A3709))+L$129*EXP(IF(A3709&lt;0,(10-10)*A3709,-10*A3709)),0)</x:f>
        <x:v>-190001.01641535026</x:v>
      </x:c>
      <x:c r="C3709" s="256" t="n">
        <x:f>IF(B3709=0,IF(B3708=0,0,1),IF(B3708=0,0,IF(SIGN(B3709)&lt;&gt;SIGN(B3708),1,0)))</x:f>
        <x:v>0</x:v>
      </x:c>
      <x:c r="D3709" s="256" t="n">
        <x:f>EXP(A3709-0.005)-1</x:f>
        <x:v>7981.444724660199</x:v>
      </x:c>
    </x:row>
    <x:row r="3710" ht="20" customHeight="1">
      <x:c r="A3710" s="256" t="n">
        <x:f>-12+2100*0.01</x:f>
        <x:v>9</x:v>
      </x:c>
      <x:c r="B3710" s="256" t="n">
        <x:f>IF(COUNT($B$129:$L$129)=11,B$129*EXP(IF(A3710&lt;0,(10-0)*A3710,-0*A3710))+C$129*EXP(IF(A3710&lt;0,(10-1)*A3710,-1*A3710))+D$129*EXP(IF(A3710&lt;0,(10-2)*A3710,-2*A3710))+E$129*EXP(IF(A3710&lt;0,(10-3)*A3710,-3*A3710))+F$129*EXP(IF(A3710&lt;0,(10-4)*A3710,-4*A3710))+G$129*EXP(IF(A3710&lt;0,(10-5)*A3710,-5*A3710))+H$129*EXP(IF(A3710&lt;0,(10-6)*A3710,-6*A3710))+I$129*EXP(IF(A3710&lt;0,(10-7)*A3710,-7*A3710))+J$129*EXP(IF(A3710&lt;0,(10-8)*A3710,-8*A3710))+K$129*EXP(IF(A3710&lt;0,(10-9)*A3710,-9*A3710))+L$129*EXP(IF(A3710&lt;0,(10-10)*A3710,-10*A3710)),0)</x:f>
        <x:v>-190001.00630094018</x:v>
      </x:c>
      <x:c r="C3710" s="256" t="n">
        <x:f>IF(B3710=0,IF(B3709=0,0,1),IF(B3709=0,0,IF(SIGN(B3710)&lt;&gt;SIGN(B3709),1,0)))</x:f>
        <x:v>0</x:v>
      </x:c>
      <x:c r="D3710" s="256" t="n">
        <x:f>EXP(A3710-0.005)-1</x:f>
        <x:v>8061.669627883154</x:v>
      </x:c>
    </x:row>
    <x:row r="3711" ht="20" customHeight="1">
      <x:c r="A3711" s="256" t="n">
        <x:f>-12+2101*0.01</x:f>
        <x:v>9.010000000000002</x:v>
      </x:c>
      <x:c r="B3711" s="256" t="n">
        <x:f>IF(COUNT($B$129:$L$129)=11,B$129*EXP(IF(A3711&lt;0,(10-0)*A3711,-0*A3711))+C$129*EXP(IF(A3711&lt;0,(10-1)*A3711,-1*A3711))+D$129*EXP(IF(A3711&lt;0,(10-2)*A3711,-2*A3711))+E$129*EXP(IF(A3711&lt;0,(10-3)*A3711,-3*A3711))+F$129*EXP(IF(A3711&lt;0,(10-4)*A3711,-4*A3711))+G$129*EXP(IF(A3711&lt;0,(10-5)*A3711,-5*A3711))+H$129*EXP(IF(A3711&lt;0,(10-6)*A3711,-6*A3711))+I$129*EXP(IF(A3711&lt;0,(10-7)*A3711,-7*A3711))+J$129*EXP(IF(A3711&lt;0,(10-8)*A3711,-8*A3711))+K$129*EXP(IF(A3711&lt;0,(10-9)*A3711,-9*A3711))+L$129*EXP(IF(A3711&lt;0,(10-10)*A3711,-10*A3711)),0)</x:f>
        <x:v>-190000.99628718823</x:v>
      </x:c>
      <x:c r="C3711" s="256" t="n">
        <x:f>IF(B3711=0,IF(B3710=0,0,1),IF(B3710=0,0,IF(SIGN(B3711)&lt;&gt;SIGN(B3710),1,0)))</x:f>
        <x:v>0</x:v>
      </x:c>
      <x:c r="D3711" s="256" t="n">
        <x:f>EXP(A3711-0.005)-1</x:f>
        <x:v>8142.70080478784</x:v>
      </x:c>
    </x:row>
    <x:row r="3712" ht="20" customHeight="1">
      <x:c r="A3712" s="256" t="n">
        <x:f>-12+2102*0.01</x:f>
        <x:v>9.02</x:v>
      </x:c>
      <x:c r="B3712" s="256" t="n">
        <x:f>IF(COUNT($B$129:$L$129)=11,B$129*EXP(IF(A3712&lt;0,(10-0)*A3712,-0*A3712))+C$129*EXP(IF(A3712&lt;0,(10-1)*A3712,-1*A3712))+D$129*EXP(IF(A3712&lt;0,(10-2)*A3712,-2*A3712))+E$129*EXP(IF(A3712&lt;0,(10-3)*A3712,-3*A3712))+F$129*EXP(IF(A3712&lt;0,(10-4)*A3712,-4*A3712))+G$129*EXP(IF(A3712&lt;0,(10-5)*A3712,-5*A3712))+H$129*EXP(IF(A3712&lt;0,(10-6)*A3712,-6*A3712))+I$129*EXP(IF(A3712&lt;0,(10-7)*A3712,-7*A3712))+J$129*EXP(IF(A3712&lt;0,(10-8)*A3712,-8*A3712))+K$129*EXP(IF(A3712&lt;0,(10-9)*A3712,-9*A3712))+L$129*EXP(IF(A3712&lt;0,(10-10)*A3712,-10*A3712)),0)</x:f>
        <x:v>-190000.98637309234</x:v>
      </x:c>
      <x:c r="C3712" s="256" t="n">
        <x:f>IF(B3712=0,IF(B3711=0,0,1),IF(B3711=0,0,IF(SIGN(B3712)&lt;&gt;SIGN(B3711),1,0)))</x:f>
        <x:v>0</x:v>
      </x:c>
      <x:c r="D3712" s="256" t="n">
        <x:f>EXP(A3712-0.005)-1</x:f>
        <x:v>8224.546358559415</x:v>
      </x:c>
    </x:row>
    <x:row r="3713" ht="20" customHeight="1">
      <x:c r="A3713" s="256" t="n">
        <x:f>-12+2103*0.01</x:f>
        <x:v>9.030000000000001</x:v>
      </x:c>
      <x:c r="B3713" s="256" t="n">
        <x:f>IF(COUNT($B$129:$L$129)=11,B$129*EXP(IF(A3713&lt;0,(10-0)*A3713,-0*A3713))+C$129*EXP(IF(A3713&lt;0,(10-1)*A3713,-1*A3713))+D$129*EXP(IF(A3713&lt;0,(10-2)*A3713,-2*A3713))+E$129*EXP(IF(A3713&lt;0,(10-3)*A3713,-3*A3713))+F$129*EXP(IF(A3713&lt;0,(10-4)*A3713,-4*A3713))+G$129*EXP(IF(A3713&lt;0,(10-5)*A3713,-5*A3713))+H$129*EXP(IF(A3713&lt;0,(10-6)*A3713,-6*A3713))+I$129*EXP(IF(A3713&lt;0,(10-7)*A3713,-7*A3713))+J$129*EXP(IF(A3713&lt;0,(10-8)*A3713,-8*A3713))+K$129*EXP(IF(A3713&lt;0,(10-9)*A3713,-9*A3713))+L$129*EXP(IF(A3713&lt;0,(10-10)*A3713,-10*A3713)),0)</x:f>
        <x:v>-190000.97655766064</x:v>
      </x:c>
      <x:c r="C3713" s="256" t="n">
        <x:f>IF(B3713=0,IF(B3712=0,0,1),IF(B3712=0,0,IF(SIGN(B3713)&lt;&gt;SIGN(B3712),1,0)))</x:f>
        <x:v>0</x:v>
      </x:c>
      <x:c r="D3713" s="256" t="n">
        <x:f>EXP(A3713-0.005)-1</x:f>
        <x:v>8307.21447382152</x:v>
      </x:c>
    </x:row>
    <x:row r="3714" ht="20" customHeight="1">
      <x:c r="A3714" s="256" t="n">
        <x:f>-12+2104*0.01</x:f>
        <x:v>9.04</x:v>
      </x:c>
      <x:c r="B3714" s="256" t="n">
        <x:f>IF(COUNT($B$129:$L$129)=11,B$129*EXP(IF(A3714&lt;0,(10-0)*A3714,-0*A3714))+C$129*EXP(IF(A3714&lt;0,(10-1)*A3714,-1*A3714))+D$129*EXP(IF(A3714&lt;0,(10-2)*A3714,-2*A3714))+E$129*EXP(IF(A3714&lt;0,(10-3)*A3714,-3*A3714))+F$129*EXP(IF(A3714&lt;0,(10-4)*A3714,-4*A3714))+G$129*EXP(IF(A3714&lt;0,(10-5)*A3714,-5*A3714))+H$129*EXP(IF(A3714&lt;0,(10-6)*A3714,-6*A3714))+I$129*EXP(IF(A3714&lt;0,(10-7)*A3714,-7*A3714))+J$129*EXP(IF(A3714&lt;0,(10-8)*A3714,-8*A3714))+K$129*EXP(IF(A3714&lt;0,(10-9)*A3714,-9*A3714))+L$129*EXP(IF(A3714&lt;0,(10-10)*A3714,-10*A3714)),0)</x:f>
        <x:v>-190000.96683991107</x:v>
      </x:c>
      <x:c r="C3714" s="256" t="n">
        <x:f>IF(B3714=0,IF(B3713=0,0,1),IF(B3713=0,0,IF(SIGN(B3714)&lt;&gt;SIGN(B3713),1,0)))</x:f>
        <x:v>0</x:v>
      </x:c>
      <x:c r="D3714" s="256" t="n">
        <x:f>EXP(A3714-0.005)-1</x:f>
        <x:v>8390.713417454514</x:v>
      </x:c>
    </x:row>
    <x:row r="3715" ht="20" customHeight="1">
      <x:c r="A3715" s="256" t="n">
        <x:f>-12+2105*0.01</x:f>
        <x:v>9.05</x:v>
      </x:c>
      <x:c r="B3715" s="256" t="n">
        <x:f>IF(COUNT($B$129:$L$129)=11,B$129*EXP(IF(A3715&lt;0,(10-0)*A3715,-0*A3715))+C$129*EXP(IF(A3715&lt;0,(10-1)*A3715,-1*A3715))+D$129*EXP(IF(A3715&lt;0,(10-2)*A3715,-2*A3715))+E$129*EXP(IF(A3715&lt;0,(10-3)*A3715,-3*A3715))+F$129*EXP(IF(A3715&lt;0,(10-4)*A3715,-4*A3715))+G$129*EXP(IF(A3715&lt;0,(10-5)*A3715,-5*A3715))+H$129*EXP(IF(A3715&lt;0,(10-6)*A3715,-6*A3715))+I$129*EXP(IF(A3715&lt;0,(10-7)*A3715,-7*A3715))+J$129*EXP(IF(A3715&lt;0,(10-8)*A3715,-8*A3715))+K$129*EXP(IF(A3715&lt;0,(10-9)*A3715,-9*A3715))+L$129*EXP(IF(A3715&lt;0,(10-10)*A3715,-10*A3715)),0)</x:f>
        <x:v>-190000.95721887134</x:v>
      </x:c>
      <x:c r="C3715" s="256" t="n">
        <x:f>IF(B3715=0,IF(B3714=0,0,1),IF(B3714=0,0,IF(SIGN(B3715)&lt;&gt;SIGN(B3714),1,0)))</x:f>
        <x:v>0</x:v>
      </x:c>
      <x:c r="D3715" s="256" t="n">
        <x:f>EXP(A3715-0.005)-1</x:f>
        <x:v>8475.051539422398</x:v>
      </x:c>
    </x:row>
    <x:row r="3716" ht="20" customHeight="1">
      <x:c r="A3716" s="256" t="n">
        <x:f>-12+2106*0.01</x:f>
        <x:v>9.059999999999999</x:v>
      </x:c>
      <x:c r="B3716" s="256" t="n">
        <x:f>IF(COUNT($B$129:$L$129)=11,B$129*EXP(IF(A3716&lt;0,(10-0)*A3716,-0*A3716))+C$129*EXP(IF(A3716&lt;0,(10-1)*A3716,-1*A3716))+D$129*EXP(IF(A3716&lt;0,(10-2)*A3716,-2*A3716))+E$129*EXP(IF(A3716&lt;0,(10-3)*A3716,-3*A3716))+F$129*EXP(IF(A3716&lt;0,(10-4)*A3716,-4*A3716))+G$129*EXP(IF(A3716&lt;0,(10-5)*A3716,-5*A3716))+H$129*EXP(IF(A3716&lt;0,(10-6)*A3716,-6*A3716))+I$129*EXP(IF(A3716&lt;0,(10-7)*A3716,-7*A3716))+J$129*EXP(IF(A3716&lt;0,(10-8)*A3716,-8*A3716))+K$129*EXP(IF(A3716&lt;0,(10-9)*A3716,-9*A3716))+L$129*EXP(IF(A3716&lt;0,(10-10)*A3716,-10*A3716)),0)</x:f>
        <x:v>-190000.94769357884</x:v>
      </x:c>
      <x:c r="C3716" s="256" t="n">
        <x:f>IF(B3716=0,IF(B3715=0,0,1),IF(B3715=0,0,IF(SIGN(B3716)&lt;&gt;SIGN(B3715),1,0)))</x:f>
        <x:v>0</x:v>
      </x:c>
      <x:c r="D3716" s="256" t="n">
        <x:f>EXP(A3716-0.005)-1</x:f>
        <x:v>8560.237273607598</x:v>
      </x:c>
    </x:row>
    <x:row r="3717" ht="20" customHeight="1">
      <x:c r="A3717" s="256" t="n">
        <x:f>-12+2107*0.01</x:f>
        <x:v>9.07</x:v>
      </x:c>
      <x:c r="B3717" s="256" t="n">
        <x:f>IF(COUNT($B$129:$L$129)=11,B$129*EXP(IF(A3717&lt;0,(10-0)*A3717,-0*A3717))+C$129*EXP(IF(A3717&lt;0,(10-1)*A3717,-1*A3717))+D$129*EXP(IF(A3717&lt;0,(10-2)*A3717,-2*A3717))+E$129*EXP(IF(A3717&lt;0,(10-3)*A3717,-3*A3717))+F$129*EXP(IF(A3717&lt;0,(10-4)*A3717,-4*A3717))+G$129*EXP(IF(A3717&lt;0,(10-5)*A3717,-5*A3717))+H$129*EXP(IF(A3717&lt;0,(10-6)*A3717,-6*A3717))+I$129*EXP(IF(A3717&lt;0,(10-7)*A3717,-7*A3717))+J$129*EXP(IF(A3717&lt;0,(10-8)*A3717,-8*A3717))+K$129*EXP(IF(A3717&lt;0,(10-9)*A3717,-9*A3717))+L$129*EXP(IF(A3717&lt;0,(10-10)*A3717,-10*A3717)),0)</x:f>
        <x:v>-190000.93826308052</x:v>
      </x:c>
      <x:c r="C3717" s="256" t="n">
        <x:f>IF(B3717=0,IF(B3716=0,0,1),IF(B3716=0,0,IF(SIGN(B3717)&lt;&gt;SIGN(B3716),1,0)))</x:f>
        <x:v>0</x:v>
      </x:c>
      <x:c r="D3717" s="256" t="n">
        <x:f>EXP(A3717-0.005)-1</x:f>
        <x:v>8646.279138654574</x:v>
      </x:c>
    </x:row>
    <x:row r="3718" ht="20" customHeight="1">
      <x:c r="A3718" s="256" t="n">
        <x:f>-12+2108*0.01</x:f>
        <x:v>9.080000000000002</x:v>
      </x:c>
      <x:c r="B3718" s="256" t="n">
        <x:f>IF(COUNT($B$129:$L$129)=11,B$129*EXP(IF(A3718&lt;0,(10-0)*A3718,-0*A3718))+C$129*EXP(IF(A3718&lt;0,(10-1)*A3718,-1*A3718))+D$129*EXP(IF(A3718&lt;0,(10-2)*A3718,-2*A3718))+E$129*EXP(IF(A3718&lt;0,(10-3)*A3718,-3*A3718))+F$129*EXP(IF(A3718&lt;0,(10-4)*A3718,-4*A3718))+G$129*EXP(IF(A3718&lt;0,(10-5)*A3718,-5*A3718))+H$129*EXP(IF(A3718&lt;0,(10-6)*A3718,-6*A3718))+I$129*EXP(IF(A3718&lt;0,(10-7)*A3718,-7*A3718))+J$129*EXP(IF(A3718&lt;0,(10-8)*A3718,-8*A3718))+K$129*EXP(IF(A3718&lt;0,(10-9)*A3718,-9*A3718))+L$129*EXP(IF(A3718&lt;0,(10-10)*A3718,-10*A3718)),0)</x:f>
        <x:v>-190000.92892643288</x:v>
      </x:c>
      <x:c r="C3718" s="256" t="n">
        <x:f>IF(B3718=0,IF(B3717=0,0,1),IF(B3717=0,0,IF(SIGN(B3718)&lt;&gt;SIGN(B3717),1,0)))</x:f>
        <x:v>0</x:v>
      </x:c>
      <x:c r="D3718" s="256" t="n">
        <x:f>EXP(A3718-0.005)-1</x:f>
        <x:v>8733.185738821507</x:v>
      </x:c>
    </x:row>
    <x:row r="3719" ht="20" customHeight="1">
      <x:c r="A3719" s="256" t="n">
        <x:f>-12+2109*0.01</x:f>
        <x:v>9.09</x:v>
      </x:c>
      <x:c r="B3719" s="256" t="n">
        <x:f>IF(COUNT($B$129:$L$129)=11,B$129*EXP(IF(A3719&lt;0,(10-0)*A3719,-0*A3719))+C$129*EXP(IF(A3719&lt;0,(10-1)*A3719,-1*A3719))+D$129*EXP(IF(A3719&lt;0,(10-2)*A3719,-2*A3719))+E$129*EXP(IF(A3719&lt;0,(10-3)*A3719,-3*A3719))+F$129*EXP(IF(A3719&lt;0,(10-4)*A3719,-4*A3719))+G$129*EXP(IF(A3719&lt;0,(10-5)*A3719,-5*A3719))+H$129*EXP(IF(A3719&lt;0,(10-6)*A3719,-6*A3719))+I$129*EXP(IF(A3719&lt;0,(10-7)*A3719,-7*A3719))+J$129*EXP(IF(A3719&lt;0,(10-8)*A3719,-8*A3719))+K$129*EXP(IF(A3719&lt;0,(10-9)*A3719,-9*A3719))+L$129*EXP(IF(A3719&lt;0,(10-10)*A3719,-10*A3719)),0)</x:f>
        <x:v>-190000.91968270173</x:v>
      </x:c>
      <x:c r="C3719" s="256" t="n">
        <x:f>IF(B3719=0,IF(B3718=0,0,1),IF(B3718=0,0,IF(SIGN(B3719)&lt;&gt;SIGN(B3718),1,0)))</x:f>
        <x:v>0</x:v>
      </x:c>
      <x:c r="D3719" s="256" t="n">
        <x:f>EXP(A3719-0.005)-1</x:f>
        <x:v>8820.965764840803</x:v>
      </x:c>
    </x:row>
    <x:row r="3720" ht="20" customHeight="1">
      <x:c r="A3720" s="256" t="n">
        <x:f>-12+2110*0.01</x:f>
        <x:v>9.100000000000001</x:v>
      </x:c>
      <x:c r="B3720" s="256" t="n">
        <x:f>IF(COUNT($B$129:$L$129)=11,B$129*EXP(IF(A3720&lt;0,(10-0)*A3720,-0*A3720))+C$129*EXP(IF(A3720&lt;0,(10-1)*A3720,-1*A3720))+D$129*EXP(IF(A3720&lt;0,(10-2)*A3720,-2*A3720))+E$129*EXP(IF(A3720&lt;0,(10-3)*A3720,-3*A3720))+F$129*EXP(IF(A3720&lt;0,(10-4)*A3720,-4*A3720))+G$129*EXP(IF(A3720&lt;0,(10-5)*A3720,-5*A3720))+H$129*EXP(IF(A3720&lt;0,(10-6)*A3720,-6*A3720))+I$129*EXP(IF(A3720&lt;0,(10-7)*A3720,-7*A3720))+J$129*EXP(IF(A3720&lt;0,(10-8)*A3720,-8*A3720))+K$129*EXP(IF(A3720&lt;0,(10-9)*A3720,-9*A3720))+L$129*EXP(IF(A3720&lt;0,(10-10)*A3720,-10*A3720)),0)</x:f>
        <x:v>-190000.91053096228</x:v>
      </x:c>
      <x:c r="C3720" s="256" t="n">
        <x:f>IF(B3720=0,IF(B3719=0,0,1),IF(B3719=0,0,IF(SIGN(B3720)&lt;&gt;SIGN(B3719),1,0)))</x:f>
        <x:v>0</x:v>
      </x:c>
      <x:c r="D3720" s="256" t="n">
        <x:f>EXP(A3720-0.005)-1</x:f>
        <x:v>8909.627994788278</x:v>
      </x:c>
    </x:row>
    <x:row r="3721" ht="20" customHeight="1">
      <x:c r="A3721" s="256" t="n">
        <x:f>-12+2111*0.01</x:f>
        <x:v>9.11</x:v>
      </x:c>
      <x:c r="B3721" s="256" t="n">
        <x:f>IF(COUNT($B$129:$L$129)=11,B$129*EXP(IF(A3721&lt;0,(10-0)*A3721,-0*A3721))+C$129*EXP(IF(A3721&lt;0,(10-1)*A3721,-1*A3721))+D$129*EXP(IF(A3721&lt;0,(10-2)*A3721,-2*A3721))+E$129*EXP(IF(A3721&lt;0,(10-3)*A3721,-3*A3721))+F$129*EXP(IF(A3721&lt;0,(10-4)*A3721,-4*A3721))+G$129*EXP(IF(A3721&lt;0,(10-5)*A3721,-5*A3721))+H$129*EXP(IF(A3721&lt;0,(10-6)*A3721,-6*A3721))+I$129*EXP(IF(A3721&lt;0,(10-7)*A3721,-7*A3721))+J$129*EXP(IF(A3721&lt;0,(10-8)*A3721,-8*A3721))+K$129*EXP(IF(A3721&lt;0,(10-9)*A3721,-9*A3721))+L$129*EXP(IF(A3721&lt;0,(10-10)*A3721,-10*A3721)),0)</x:f>
        <x:v>-190000.9014702989</x:v>
      </x:c>
      <x:c r="C3721" s="256" t="n">
        <x:f>IF(B3721=0,IF(B3720=0,0,1),IF(B3720=0,0,IF(SIGN(B3721)&lt;&gt;SIGN(B3720),1,0)))</x:f>
        <x:v>0</x:v>
      </x:c>
      <x:c r="D3721" s="256" t="n">
        <x:f>EXP(A3721-0.005)-1</x:f>
        <x:v>8999.181294960748</x:v>
      </x:c>
    </x:row>
    <x:row r="3722" ht="20" customHeight="1">
      <x:c r="A3722" s="256" t="n">
        <x:f>-12+2112*0.01</x:f>
        <x:v>9.120000000000001</x:v>
      </x:c>
      <x:c r="B3722" s="256" t="n">
        <x:f>IF(COUNT($B$129:$L$129)=11,B$129*EXP(IF(A3722&lt;0,(10-0)*A3722,-0*A3722))+C$129*EXP(IF(A3722&lt;0,(10-1)*A3722,-1*A3722))+D$129*EXP(IF(A3722&lt;0,(10-2)*A3722,-2*A3722))+E$129*EXP(IF(A3722&lt;0,(10-3)*A3722,-3*A3722))+F$129*EXP(IF(A3722&lt;0,(10-4)*A3722,-4*A3722))+G$129*EXP(IF(A3722&lt;0,(10-5)*A3722,-5*A3722))+H$129*EXP(IF(A3722&lt;0,(10-6)*A3722,-6*A3722))+I$129*EXP(IF(A3722&lt;0,(10-7)*A3722,-7*A3722))+J$129*EXP(IF(A3722&lt;0,(10-8)*A3722,-8*A3722))+K$129*EXP(IF(A3722&lt;0,(10-9)*A3722,-9*A3722))+L$129*EXP(IF(A3722&lt;0,(10-10)*A3722,-10*A3722)),0)</x:f>
        <x:v>-190000.89249980505</x:v>
      </x:c>
      <x:c r="C3722" s="256" t="n">
        <x:f>IF(B3722=0,IF(B3721=0,0,1),IF(B3721=0,0,IF(SIGN(B3722)&lt;&gt;SIGN(B3721),1,0)))</x:f>
        <x:v>0</x:v>
      </x:c>
      <x:c r="D3722" s="256" t="n">
        <x:f>EXP(A3722-0.005)-1</x:f>
        <x:v>9089.634620762921</x:v>
      </x:c>
    </x:row>
    <x:row r="3723" ht="20" customHeight="1">
      <x:c r="A3723" s="256" t="n">
        <x:f>-12+2113*0.01</x:f>
        <x:v>9.129999999999999</x:v>
      </x:c>
      <x:c r="B3723" s="256" t="n">
        <x:f>IF(COUNT($B$129:$L$129)=11,B$129*EXP(IF(A3723&lt;0,(10-0)*A3723,-0*A3723))+C$129*EXP(IF(A3723&lt;0,(10-1)*A3723,-1*A3723))+D$129*EXP(IF(A3723&lt;0,(10-2)*A3723,-2*A3723))+E$129*EXP(IF(A3723&lt;0,(10-3)*A3723,-3*A3723))+F$129*EXP(IF(A3723&lt;0,(10-4)*A3723,-4*A3723))+G$129*EXP(IF(A3723&lt;0,(10-5)*A3723,-5*A3723))+H$129*EXP(IF(A3723&lt;0,(10-6)*A3723,-6*A3723))+I$129*EXP(IF(A3723&lt;0,(10-7)*A3723,-7*A3723))+J$129*EXP(IF(A3723&lt;0,(10-8)*A3723,-8*A3723))+K$129*EXP(IF(A3723&lt;0,(10-9)*A3723,-9*A3723))+L$129*EXP(IF(A3723&lt;0,(10-10)*A3723,-10*A3723)),0)</x:f>
        <x:v>-190000.88361858323</x:v>
      </x:c>
      <x:c r="C3723" s="256" t="n">
        <x:f>IF(B3723=0,IF(B3722=0,0,1),IF(B3722=0,0,IF(SIGN(B3723)&lt;&gt;SIGN(B3722),1,0)))</x:f>
        <x:v>0</x:v>
      </x:c>
      <x:c r="D3723" s="256" t="n">
        <x:f>EXP(A3723-0.005)-1</x:f>
        <x:v>9180.997017602693</x:v>
      </x:c>
    </x:row>
    <x:row r="3724" ht="20" customHeight="1">
      <x:c r="A3724" s="256" t="n">
        <x:f>-12+2114*0.01</x:f>
        <x:v>9.14</x:v>
      </x:c>
      <x:c r="B3724" s="256" t="n">
        <x:f>IF(COUNT($B$129:$L$129)=11,B$129*EXP(IF(A3724&lt;0,(10-0)*A3724,-0*A3724))+C$129*EXP(IF(A3724&lt;0,(10-1)*A3724,-1*A3724))+D$129*EXP(IF(A3724&lt;0,(10-2)*A3724,-2*A3724))+E$129*EXP(IF(A3724&lt;0,(10-3)*A3724,-3*A3724))+F$129*EXP(IF(A3724&lt;0,(10-4)*A3724,-4*A3724))+G$129*EXP(IF(A3724&lt;0,(10-5)*A3724,-5*A3724))+H$129*EXP(IF(A3724&lt;0,(10-6)*A3724,-6*A3724))+I$129*EXP(IF(A3724&lt;0,(10-7)*A3724,-7*A3724))+J$129*EXP(IF(A3724&lt;0,(10-8)*A3724,-8*A3724))+K$129*EXP(IF(A3724&lt;0,(10-9)*A3724,-9*A3724))+L$129*EXP(IF(A3724&lt;0,(10-10)*A3724,-10*A3724)),0)</x:f>
        <x:v>-190000.87482574495</x:v>
      </x:c>
      <x:c r="C3724" s="256" t="n">
        <x:f>IF(B3724=0,IF(B3723=0,0,1),IF(B3723=0,0,IF(SIGN(B3724)&lt;&gt;SIGN(B3723),1,0)))</x:f>
        <x:v>0</x:v>
      </x:c>
      <x:c r="D3724" s="256" t="n">
        <x:f>EXP(A3724-0.005)-1</x:f>
        <x:v>9273.277621795947</x:v>
      </x:c>
    </x:row>
    <x:row r="3725" ht="20" customHeight="1">
      <x:c r="A3725" s="256" t="n">
        <x:f>-12+2115*0.01</x:f>
        <x:v>9.150000000000002</x:v>
      </x:c>
      <x:c r="B3725" s="256" t="n">
        <x:f>IF(COUNT($B$129:$L$129)=11,B$129*EXP(IF(A3725&lt;0,(10-0)*A3725,-0*A3725))+C$129*EXP(IF(A3725&lt;0,(10-1)*A3725,-1*A3725))+D$129*EXP(IF(A3725&lt;0,(10-2)*A3725,-2*A3725))+E$129*EXP(IF(A3725&lt;0,(10-3)*A3725,-3*A3725))+F$129*EXP(IF(A3725&lt;0,(10-4)*A3725,-4*A3725))+G$129*EXP(IF(A3725&lt;0,(10-5)*A3725,-5*A3725))+H$129*EXP(IF(A3725&lt;0,(10-6)*A3725,-6*A3725))+I$129*EXP(IF(A3725&lt;0,(10-7)*A3725,-7*A3725))+J$129*EXP(IF(A3725&lt;0,(10-8)*A3725,-8*A3725))+K$129*EXP(IF(A3725&lt;0,(10-9)*A3725,-9*A3725))+L$129*EXP(IF(A3725&lt;0,(10-10)*A3725,-10*A3725)),0)</x:f>
        <x:v>-190000.86612041047</x:v>
      </x:c>
      <x:c r="C3725" s="256" t="n">
        <x:f>IF(B3725=0,IF(B3724=0,0,1),IF(B3724=0,0,IF(SIGN(B3725)&lt;&gt;SIGN(B3724),1,0)))</x:f>
        <x:v>0</x:v>
      </x:c>
      <x:c r="D3725" s="256" t="n">
        <x:f>EXP(A3725-0.005)-1</x:f>
        <x:v>9366.485661479972</x:v>
      </x:c>
    </x:row>
    <x:row r="3726" ht="20" customHeight="1">
      <x:c r="A3726" s="256" t="n">
        <x:f>-12+2116*0.01</x:f>
        <x:v>9.16</x:v>
      </x:c>
      <x:c r="B3726" s="256" t="n">
        <x:f>IF(COUNT($B$129:$L$129)=11,B$129*EXP(IF(A3726&lt;0,(10-0)*A3726,-0*A3726))+C$129*EXP(IF(A3726&lt;0,(10-1)*A3726,-1*A3726))+D$129*EXP(IF(A3726&lt;0,(10-2)*A3726,-2*A3726))+E$129*EXP(IF(A3726&lt;0,(10-3)*A3726,-3*A3726))+F$129*EXP(IF(A3726&lt;0,(10-4)*A3726,-4*A3726))+G$129*EXP(IF(A3726&lt;0,(10-5)*A3726,-5*A3726))+H$129*EXP(IF(A3726&lt;0,(10-6)*A3726,-6*A3726))+I$129*EXP(IF(A3726&lt;0,(10-7)*A3726,-7*A3726))+J$129*EXP(IF(A3726&lt;0,(10-8)*A3726,-8*A3726))+K$129*EXP(IF(A3726&lt;0,(10-9)*A3726,-9*A3726))+L$129*EXP(IF(A3726&lt;0,(10-10)*A3726,-10*A3726)),0)</x:f>
        <x:v>-190000.8575017088</x:v>
      </x:c>
      <x:c r="C3726" s="256" t="n">
        <x:f>IF(B3726=0,IF(B3725=0,0,1),IF(B3725=0,0,IF(SIGN(B3726)&lt;&gt;SIGN(B3725),1,0)))</x:f>
        <x:v>0</x:v>
      </x:c>
      <x:c r="D3726" s="256" t="n">
        <x:f>EXP(A3726-0.005)-1</x:f>
        <x:v>9460.630457536376</x:v>
      </x:c>
    </x:row>
    <x:row r="3727" ht="20" customHeight="1">
      <x:c r="A3727" s="256" t="n">
        <x:f>-12+2117*0.01</x:f>
        <x:v>9.170000000000002</x:v>
      </x:c>
      <x:c r="B3727" s="256" t="n">
        <x:f>IF(COUNT($B$129:$L$129)=11,B$129*EXP(IF(A3727&lt;0,(10-0)*A3727,-0*A3727))+C$129*EXP(IF(A3727&lt;0,(10-1)*A3727,-1*A3727))+D$129*EXP(IF(A3727&lt;0,(10-2)*A3727,-2*A3727))+E$129*EXP(IF(A3727&lt;0,(10-3)*A3727,-3*A3727))+F$129*EXP(IF(A3727&lt;0,(10-4)*A3727,-4*A3727))+G$129*EXP(IF(A3727&lt;0,(10-5)*A3727,-5*A3727))+H$129*EXP(IF(A3727&lt;0,(10-6)*A3727,-6*A3727))+I$129*EXP(IF(A3727&lt;0,(10-7)*A3727,-7*A3727))+J$129*EXP(IF(A3727&lt;0,(10-8)*A3727,-8*A3727))+K$129*EXP(IF(A3727&lt;0,(10-9)*A3727,-9*A3727))+L$129*EXP(IF(A3727&lt;0,(10-10)*A3727,-10*A3727)),0)</x:f>
        <x:v>-190000.84896877775</x:v>
      </x:c>
      <x:c r="C3727" s="256" t="n">
        <x:f>IF(B3727=0,IF(B3726=0,0,1),IF(B3726=0,0,IF(SIGN(B3727)&lt;&gt;SIGN(B3726),1,0)))</x:f>
        <x:v>0</x:v>
      </x:c>
      <x:c r="D3727" s="256" t="n">
        <x:f>EXP(A3727-0.005)-1</x:f>
        <x:v>9555.721424523284</x:v>
      </x:c>
    </x:row>
    <x:row r="3728" ht="20" customHeight="1">
      <x:c r="A3728" s="256" t="n">
        <x:f>-12+2118*0.01</x:f>
        <x:v>9.18</x:v>
      </x:c>
      <x:c r="B3728" s="256" t="n">
        <x:f>IF(COUNT($B$129:$L$129)=11,B$129*EXP(IF(A3728&lt;0,(10-0)*A3728,-0*A3728))+C$129*EXP(IF(A3728&lt;0,(10-1)*A3728,-1*A3728))+D$129*EXP(IF(A3728&lt;0,(10-2)*A3728,-2*A3728))+E$129*EXP(IF(A3728&lt;0,(10-3)*A3728,-3*A3728))+F$129*EXP(IF(A3728&lt;0,(10-4)*A3728,-4*A3728))+G$129*EXP(IF(A3728&lt;0,(10-5)*A3728,-5*A3728))+H$129*EXP(IF(A3728&lt;0,(10-6)*A3728,-6*A3728))+I$129*EXP(IF(A3728&lt;0,(10-7)*A3728,-7*A3728))+J$129*EXP(IF(A3728&lt;0,(10-8)*A3728,-8*A3728))+K$129*EXP(IF(A3728&lt;0,(10-9)*A3728,-9*A3728))+L$129*EXP(IF(A3728&lt;0,(10-10)*A3728,-10*A3728)),0)</x:f>
        <x:v>-190000.84052076357</x:v>
      </x:c>
      <x:c r="C3728" s="256" t="n">
        <x:f>IF(B3728=0,IF(B3727=0,0,1),IF(B3727=0,0,IF(SIGN(B3728)&lt;&gt;SIGN(B3727),1,0)))</x:f>
        <x:v>0</x:v>
      </x:c>
      <x:c r="D3728" s="256" t="n">
        <x:f>EXP(A3728-0.005)-1</x:f>
        <x:v>9651.768071616574</x:v>
      </x:c>
    </x:row>
    <x:row r="3729" ht="20" customHeight="1">
      <x:c r="A3729" s="256" t="n">
        <x:f>-12+2119*0.01</x:f>
        <x:v>9.190000000000001</x:v>
      </x:c>
      <x:c r="B3729" s="256" t="n">
        <x:f>IF(COUNT($B$129:$L$129)=11,B$129*EXP(IF(A3729&lt;0,(10-0)*A3729,-0*A3729))+C$129*EXP(IF(A3729&lt;0,(10-1)*A3729,-1*A3729))+D$129*EXP(IF(A3729&lt;0,(10-2)*A3729,-2*A3729))+E$129*EXP(IF(A3729&lt;0,(10-3)*A3729,-3*A3729))+F$129*EXP(IF(A3729&lt;0,(10-4)*A3729,-4*A3729))+G$129*EXP(IF(A3729&lt;0,(10-5)*A3729,-5*A3729))+H$129*EXP(IF(A3729&lt;0,(10-6)*A3729,-6*A3729))+I$129*EXP(IF(A3729&lt;0,(10-7)*A3729,-7*A3729))+J$129*EXP(IF(A3729&lt;0,(10-8)*A3729,-8*A3729))+K$129*EXP(IF(A3729&lt;0,(10-9)*A3729,-9*A3729))+L$129*EXP(IF(A3729&lt;0,(10-10)*A3729,-10*A3729)),0)</x:f>
        <x:v>-190000.8321568211</x:v>
      </x:c>
      <x:c r="C3729" s="256" t="n">
        <x:f>IF(B3729=0,IF(B3728=0,0,1),IF(B3728=0,0,IF(SIGN(B3729)&lt;&gt;SIGN(B3728),1,0)))</x:f>
        <x:v>0</x:v>
      </x:c>
      <x:c r="D3729" s="256" t="n">
        <x:f>EXP(A3729-0.005)-1</x:f>
        <x:v>9748.780003561058</x:v>
      </x:c>
    </x:row>
    <x:row r="3730" ht="20" customHeight="1">
      <x:c r="A3730" s="256" t="n">
        <x:f>-12+2120*0.01</x:f>
        <x:v>9.2</x:v>
      </x:c>
      <x:c r="B3730" s="256" t="n">
        <x:f>IF(COUNT($B$129:$L$129)=11,B$129*EXP(IF(A3730&lt;0,(10-0)*A3730,-0*A3730))+C$129*EXP(IF(A3730&lt;0,(10-1)*A3730,-1*A3730))+D$129*EXP(IF(A3730&lt;0,(10-2)*A3730,-2*A3730))+E$129*EXP(IF(A3730&lt;0,(10-3)*A3730,-3*A3730))+F$129*EXP(IF(A3730&lt;0,(10-4)*A3730,-4*A3730))+G$129*EXP(IF(A3730&lt;0,(10-5)*A3730,-5*A3730))+H$129*EXP(IF(A3730&lt;0,(10-6)*A3730,-6*A3730))+I$129*EXP(IF(A3730&lt;0,(10-7)*A3730,-7*A3730))+J$129*EXP(IF(A3730&lt;0,(10-8)*A3730,-8*A3730))+K$129*EXP(IF(A3730&lt;0,(10-9)*A3730,-9*A3730))+L$129*EXP(IF(A3730&lt;0,(10-10)*A3730,-10*A3730)),0)</x:f>
        <x:v>-190000.8238761135</x:v>
      </x:c>
      <x:c r="C3730" s="256" t="n">
        <x:f>IF(B3730=0,IF(B3729=0,0,1),IF(B3729=0,0,IF(SIGN(B3730)&lt;&gt;SIGN(B3729),1,0)))</x:f>
        <x:v>0</x:v>
      </x:c>
      <x:c r="D3730" s="256" t="n">
        <x:f>EXP(A3730-0.005)-1</x:f>
        <x:v>9846.766921630708</x:v>
      </x:c>
    </x:row>
    <x:row r="3731" ht="20" customHeight="1">
      <x:c r="A3731" s="256" t="n">
        <x:f>-12+2121*0.01</x:f>
        <x:v>9.21</x:v>
      </x:c>
      <x:c r="B3731" s="256" t="n">
        <x:f>IF(COUNT($B$129:$L$129)=11,B$129*EXP(IF(A3731&lt;0,(10-0)*A3731,-0*A3731))+C$129*EXP(IF(A3731&lt;0,(10-1)*A3731,-1*A3731))+D$129*EXP(IF(A3731&lt;0,(10-2)*A3731,-2*A3731))+E$129*EXP(IF(A3731&lt;0,(10-3)*A3731,-3*A3731))+F$129*EXP(IF(A3731&lt;0,(10-4)*A3731,-4*A3731))+G$129*EXP(IF(A3731&lt;0,(10-5)*A3731,-5*A3731))+H$129*EXP(IF(A3731&lt;0,(10-6)*A3731,-6*A3731))+I$129*EXP(IF(A3731&lt;0,(10-7)*A3731,-7*A3731))+J$129*EXP(IF(A3731&lt;0,(10-8)*A3731,-8*A3731))+K$129*EXP(IF(A3731&lt;0,(10-9)*A3731,-9*A3731))+L$129*EXP(IF(A3731&lt;0,(10-10)*A3731,-10*A3731)),0)</x:f>
        <x:v>-190000.8156778124</x:v>
      </x:c>
      <x:c r="C3731" s="256" t="n">
        <x:f>IF(B3731=0,IF(B3730=0,0,1),IF(B3730=0,0,IF(SIGN(B3731)&lt;&gt;SIGN(B3730),1,0)))</x:f>
        <x:v>0</x:v>
      </x:c>
      <x:c r="D3731" s="256" t="n">
        <x:f>EXP(A3731-0.005)-1</x:f>
        <x:v>9945.738624599055</x:v>
      </x:c>
    </x:row>
    <x:row r="3732" ht="20" customHeight="1">
      <x:c r="A3732" s="256" t="n">
        <x:f>-12+2122*0.01</x:f>
        <x:v>9.219999999999999</x:v>
      </x:c>
      <x:c r="B3732" s="256" t="n">
        <x:f>IF(COUNT($B$129:$L$129)=11,B$129*EXP(IF(A3732&lt;0,(10-0)*A3732,-0*A3732))+C$129*EXP(IF(A3732&lt;0,(10-1)*A3732,-1*A3732))+D$129*EXP(IF(A3732&lt;0,(10-2)*A3732,-2*A3732))+E$129*EXP(IF(A3732&lt;0,(10-3)*A3732,-3*A3732))+F$129*EXP(IF(A3732&lt;0,(10-4)*A3732,-4*A3732))+G$129*EXP(IF(A3732&lt;0,(10-5)*A3732,-5*A3732))+H$129*EXP(IF(A3732&lt;0,(10-6)*A3732,-6*A3732))+I$129*EXP(IF(A3732&lt;0,(10-7)*A3732,-7*A3732))+J$129*EXP(IF(A3732&lt;0,(10-8)*A3732,-8*A3732))+K$129*EXP(IF(A3732&lt;0,(10-9)*A3732,-9*A3732))+L$129*EXP(IF(A3732&lt;0,(10-10)*A3732,-10*A3732)),0)</x:f>
        <x:v>-190000.80756109758</x:v>
      </x:c>
      <x:c r="C3732" s="256" t="n">
        <x:f>IF(B3732=0,IF(B3731=0,0,1),IF(B3731=0,0,IF(SIGN(B3732)&lt;&gt;SIGN(B3731),1,0)))</x:f>
        <x:v>0</x:v>
      </x:c>
      <x:c r="D3732" s="256" t="n">
        <x:f>EXP(A3732-0.005)-1</x:f>
        <x:v>10045.705009718804</x:v>
      </x:c>
    </x:row>
    <x:row r="3733" ht="20" customHeight="1">
      <x:c r="A3733" s="256" t="n">
        <x:f>-12+2123*0.01</x:f>
        <x:v>9.23</x:v>
      </x:c>
      <x:c r="B3733" s="256" t="n">
        <x:f>IF(COUNT($B$129:$L$129)=11,B$129*EXP(IF(A3733&lt;0,(10-0)*A3733,-0*A3733))+C$129*EXP(IF(A3733&lt;0,(10-1)*A3733,-1*A3733))+D$129*EXP(IF(A3733&lt;0,(10-2)*A3733,-2*A3733))+E$129*EXP(IF(A3733&lt;0,(10-3)*A3733,-3*A3733))+F$129*EXP(IF(A3733&lt;0,(10-4)*A3733,-4*A3733))+G$129*EXP(IF(A3733&lt;0,(10-5)*A3733,-5*A3733))+H$129*EXP(IF(A3733&lt;0,(10-6)*A3733,-6*A3733))+I$129*EXP(IF(A3733&lt;0,(10-7)*A3733,-7*A3733))+J$129*EXP(IF(A3733&lt;0,(10-8)*A3733,-8*A3733))+K$129*EXP(IF(A3733&lt;0,(10-9)*A3733,-9*A3733))+L$129*EXP(IF(A3733&lt;0,(10-10)*A3733,-10*A3733)),0)</x:f>
        <x:v>-190000.79952515702</x:v>
      </x:c>
      <x:c r="C3733" s="256" t="n">
        <x:f>IF(B3733=0,IF(B3732=0,0,1),IF(B3732=0,0,IF(SIGN(B3733)&lt;&gt;SIGN(B3732),1,0)))</x:f>
        <x:v>0</x:v>
      </x:c>
      <x:c r="D3733" s="256" t="n">
        <x:f>EXP(A3733-0.005)-1</x:f>
        <x:v>10146.676073711842</x:v>
      </x:c>
    </x:row>
    <x:row r="3734" ht="20" customHeight="1">
      <x:c r="A3734" s="256" t="n">
        <x:f>-12+2124*0.01</x:f>
        <x:v>9.240000000000002</x:v>
      </x:c>
      <x:c r="B3734" s="256" t="n">
        <x:f>IF(COUNT($B$129:$L$129)=11,B$129*EXP(IF(A3734&lt;0,(10-0)*A3734,-0*A3734))+C$129*EXP(IF(A3734&lt;0,(10-1)*A3734,-1*A3734))+D$129*EXP(IF(A3734&lt;0,(10-2)*A3734,-2*A3734))+E$129*EXP(IF(A3734&lt;0,(10-3)*A3734,-3*A3734))+F$129*EXP(IF(A3734&lt;0,(10-4)*A3734,-4*A3734))+G$129*EXP(IF(A3734&lt;0,(10-5)*A3734,-5*A3734))+H$129*EXP(IF(A3734&lt;0,(10-6)*A3734,-6*A3734))+I$129*EXP(IF(A3734&lt;0,(10-7)*A3734,-7*A3734))+J$129*EXP(IF(A3734&lt;0,(10-8)*A3734,-8*A3734))+K$129*EXP(IF(A3734&lt;0,(10-9)*A3734,-9*A3734))+L$129*EXP(IF(A3734&lt;0,(10-10)*A3734,-10*A3734)),0)</x:f>
        <x:v>-190000.79156918675</x:v>
      </x:c>
      <x:c r="C3734" s="256" t="n">
        <x:f>IF(B3734=0,IF(B3733=0,0,1),IF(B3733=0,0,IF(SIGN(B3734)&lt;&gt;SIGN(B3733),1,0)))</x:f>
        <x:v>0</x:v>
      </x:c>
      <x:c r="D3734" s="256" t="n">
        <x:f>EXP(A3734-0.005)-1</x:f>
        <x:v>10248.661913768676</x:v>
      </x:c>
    </x:row>
    <x:row r="3735" ht="20" customHeight="1">
      <x:c r="A3735" s="256" t="n">
        <x:f>-12+2125*0.01</x:f>
        <x:v>9.25</x:v>
      </x:c>
      <x:c r="B3735" s="256" t="n">
        <x:f>IF(COUNT($B$129:$L$129)=11,B$129*EXP(IF(A3735&lt;0,(10-0)*A3735,-0*A3735))+C$129*EXP(IF(A3735&lt;0,(10-1)*A3735,-1*A3735))+D$129*EXP(IF(A3735&lt;0,(10-2)*A3735,-2*A3735))+E$129*EXP(IF(A3735&lt;0,(10-3)*A3735,-3*A3735))+F$129*EXP(IF(A3735&lt;0,(10-4)*A3735,-4*A3735))+G$129*EXP(IF(A3735&lt;0,(10-5)*A3735,-5*A3735))+H$129*EXP(IF(A3735&lt;0,(10-6)*A3735,-6*A3735))+I$129*EXP(IF(A3735&lt;0,(10-7)*A3735,-7*A3735))+J$129*EXP(IF(A3735&lt;0,(10-8)*A3735,-8*A3735))+K$129*EXP(IF(A3735&lt;0,(10-9)*A3735,-9*A3735))+L$129*EXP(IF(A3735&lt;0,(10-10)*A3735,-10*A3735)),0)</x:f>
        <x:v>-190000.7836923908</x:v>
      </x:c>
      <x:c r="C3735" s="256" t="n">
        <x:f>IF(B3735=0,IF(B3734=0,0,1),IF(B3734=0,0,IF(SIGN(B3735)&lt;&gt;SIGN(B3734),1,0)))</x:f>
        <x:v>0</x:v>
      </x:c>
      <x:c r="D3735" s="256" t="n">
        <x:f>EXP(A3735-0.005)-1</x:f>
        <x:v>10351.672728558264</x:v>
      </x:c>
    </x:row>
    <x:row r="3736" ht="20" customHeight="1">
      <x:c r="A3736" s="256" t="n">
        <x:f>-12+2126*0.01</x:f>
        <x:v>9.260000000000002</x:v>
      </x:c>
      <x:c r="B3736" s="256" t="n">
        <x:f>IF(COUNT($B$129:$L$129)=11,B$129*EXP(IF(A3736&lt;0,(10-0)*A3736,-0*A3736))+C$129*EXP(IF(A3736&lt;0,(10-1)*A3736,-1*A3736))+D$129*EXP(IF(A3736&lt;0,(10-2)*A3736,-2*A3736))+E$129*EXP(IF(A3736&lt;0,(10-3)*A3736,-3*A3736))+F$129*EXP(IF(A3736&lt;0,(10-4)*A3736,-4*A3736))+G$129*EXP(IF(A3736&lt;0,(10-5)*A3736,-5*A3736))+H$129*EXP(IF(A3736&lt;0,(10-6)*A3736,-6*A3736))+I$129*EXP(IF(A3736&lt;0,(10-7)*A3736,-7*A3736))+J$129*EXP(IF(A3736&lt;0,(10-8)*A3736,-8*A3736))+K$129*EXP(IF(A3736&lt;0,(10-9)*A3736,-9*A3736))+L$129*EXP(IF(A3736&lt;0,(10-10)*A3736,-10*A3736)),0)</x:f>
        <x:v>-190000.77589398128</x:v>
      </x:c>
      <x:c r="C3736" s="256" t="n">
        <x:f>IF(B3736=0,IF(B3735=0,0,1),IF(B3735=0,0,IF(SIGN(B3736)&lt;&gt;SIGN(B3735),1,0)))</x:f>
        <x:v>0</x:v>
      </x:c>
      <x:c r="D3736" s="256" t="n">
        <x:f>EXP(A3736-0.005)-1</x:f>
        <x:v>10455.718819248</x:v>
      </x:c>
    </x:row>
    <x:row r="3737" ht="20" customHeight="1">
      <x:c r="A3737" s="256" t="n">
        <x:f>-12+2127*0.01</x:f>
        <x:v>9.27</x:v>
      </x:c>
      <x:c r="B3737" s="256" t="n">
        <x:f>IF(COUNT($B$129:$L$129)=11,B$129*EXP(IF(A3737&lt;0,(10-0)*A3737,-0*A3737))+C$129*EXP(IF(A3737&lt;0,(10-1)*A3737,-1*A3737))+D$129*EXP(IF(A3737&lt;0,(10-2)*A3737,-2*A3737))+E$129*EXP(IF(A3737&lt;0,(10-3)*A3737,-3*A3737))+F$129*EXP(IF(A3737&lt;0,(10-4)*A3737,-4*A3737))+G$129*EXP(IF(A3737&lt;0,(10-5)*A3737,-5*A3737))+H$129*EXP(IF(A3737&lt;0,(10-6)*A3737,-6*A3737))+I$129*EXP(IF(A3737&lt;0,(10-7)*A3737,-7*A3737))+J$129*EXP(IF(A3737&lt;0,(10-8)*A3737,-8*A3737))+K$129*EXP(IF(A3737&lt;0,(10-9)*A3737,-9*A3737))+L$129*EXP(IF(A3737&lt;0,(10-10)*A3737,-10*A3737)),0)</x:f>
        <x:v>-190000.76817317784</x:v>
      </x:c>
      <x:c r="C3737" s="256" t="n">
        <x:f>IF(B3737=0,IF(B3736=0,0,1),IF(B3736=0,0,IF(SIGN(B3737)&lt;&gt;SIGN(B3736),1,0)))</x:f>
        <x:v>0</x:v>
      </x:c>
      <x:c r="D3737" s="256" t="n">
        <x:f>EXP(A3737-0.005)-1</x:f>
        <x:v>10560.810590533587</x:v>
      </x:c>
    </x:row>
    <x:row r="3738" ht="20" customHeight="1">
      <x:c r="A3738" s="256" t="n">
        <x:f>-12+2128*0.01</x:f>
        <x:v>9.280000000000001</x:v>
      </x:c>
      <x:c r="B3738" s="256" t="n">
        <x:f>IF(COUNT($B$129:$L$129)=11,B$129*EXP(IF(A3738&lt;0,(10-0)*A3738,-0*A3738))+C$129*EXP(IF(A3738&lt;0,(10-1)*A3738,-1*A3738))+D$129*EXP(IF(A3738&lt;0,(10-2)*A3738,-2*A3738))+E$129*EXP(IF(A3738&lt;0,(10-3)*A3738,-3*A3738))+F$129*EXP(IF(A3738&lt;0,(10-4)*A3738,-4*A3738))+G$129*EXP(IF(A3738&lt;0,(10-5)*A3738,-5*A3738))+H$129*EXP(IF(A3738&lt;0,(10-6)*A3738,-6*A3738))+I$129*EXP(IF(A3738&lt;0,(10-7)*A3738,-7*A3738))+J$129*EXP(IF(A3738&lt;0,(10-8)*A3738,-8*A3738))+K$129*EXP(IF(A3738&lt;0,(10-9)*A3738,-9*A3738))+L$129*EXP(IF(A3738&lt;0,(10-10)*A3738,-10*A3738)),0)</x:f>
        <x:v>-190000.7605292082</x:v>
      </x:c>
      <x:c r="C3738" s="256" t="n">
        <x:f>IF(B3738=0,IF(B3737=0,0,1),IF(B3737=0,0,IF(SIGN(B3738)&lt;&gt;SIGN(B3737),1,0)))</x:f>
        <x:v>0</x:v>
      </x:c>
      <x:c r="D3738" s="256" t="n">
        <x:f>EXP(A3738-0.005)-1</x:f>
        <x:v>10666.958551679803</x:v>
      </x:c>
    </x:row>
    <x:row r="3739" ht="20" customHeight="1">
      <x:c r="A3739" s="256" t="n">
        <x:f>-12+2129*0.01</x:f>
        <x:v>9.29</x:v>
      </x:c>
      <x:c r="B3739" s="256" t="n">
        <x:f>IF(COUNT($B$129:$L$129)=11,B$129*EXP(IF(A3739&lt;0,(10-0)*A3739,-0*A3739))+C$129*EXP(IF(A3739&lt;0,(10-1)*A3739,-1*A3739))+D$129*EXP(IF(A3739&lt;0,(10-2)*A3739,-2*A3739))+E$129*EXP(IF(A3739&lt;0,(10-3)*A3739,-3*A3739))+F$129*EXP(IF(A3739&lt;0,(10-4)*A3739,-4*A3739))+G$129*EXP(IF(A3739&lt;0,(10-5)*A3739,-5*A3739))+H$129*EXP(IF(A3739&lt;0,(10-6)*A3739,-6*A3739))+I$129*EXP(IF(A3739&lt;0,(10-7)*A3739,-7*A3739))+J$129*EXP(IF(A3739&lt;0,(10-8)*A3739,-8*A3739))+K$129*EXP(IF(A3739&lt;0,(10-9)*A3739,-9*A3739))+L$129*EXP(IF(A3739&lt;0,(10-10)*A3739,-10*A3739)),0)</x:f>
        <x:v>-190000.7529613076</x:v>
      </x:c>
      <x:c r="C3739" s="256" t="n">
        <x:f>IF(B3739=0,IF(B3738=0,0,1),IF(B3738=0,0,IF(SIGN(B3739)&lt;&gt;SIGN(B3738),1,0)))</x:f>
        <x:v>0</x:v>
      </x:c>
      <x:c r="D3739" s="256" t="n">
        <x:f>EXP(A3739-0.005)-1</x:f>
        <x:v>10774.173317571142</x:v>
      </x:c>
    </x:row>
    <x:row r="3740" ht="20" customHeight="1">
      <x:c r="A3740" s="256" t="n">
        <x:f>-12+2130*0.01</x:f>
        <x:v>9.3</x:v>
      </x:c>
      <x:c r="B3740" s="256" t="n">
        <x:f>IF(COUNT($B$129:$L$129)=11,B$129*EXP(IF(A3740&lt;0,(10-0)*A3740,-0*A3740))+C$129*EXP(IF(A3740&lt;0,(10-1)*A3740,-1*A3740))+D$129*EXP(IF(A3740&lt;0,(10-2)*A3740,-2*A3740))+E$129*EXP(IF(A3740&lt;0,(10-3)*A3740,-3*A3740))+F$129*EXP(IF(A3740&lt;0,(10-4)*A3740,-4*A3740))+G$129*EXP(IF(A3740&lt;0,(10-5)*A3740,-5*A3740))+H$129*EXP(IF(A3740&lt;0,(10-6)*A3740,-6*A3740))+I$129*EXP(IF(A3740&lt;0,(10-7)*A3740,-7*A3740))+J$129*EXP(IF(A3740&lt;0,(10-8)*A3740,-8*A3740))+K$129*EXP(IF(A3740&lt;0,(10-9)*A3740,-9*A3740))+L$129*EXP(IF(A3740&lt;0,(10-10)*A3740,-10*A3740)),0)</x:f>
        <x:v>-190000.7454687189</x:v>
      </x:c>
      <x:c r="C3740" s="256" t="n">
        <x:f>IF(B3740=0,IF(B3739=0,0,1),IF(B3739=0,0,IF(SIGN(B3740)&lt;&gt;SIGN(B3739),1,0)))</x:f>
        <x:v>0</x:v>
      </x:c>
      <x:c r="D3740" s="256" t="n">
        <x:f>EXP(A3740-0.005)-1</x:f>
        <x:v>10882.465609773619</x:v>
      </x:c>
    </x:row>
    <x:row r="3741" ht="20" customHeight="1">
      <x:c r="A3741" s="256" t="n">
        <x:f>-12+2131*0.01</x:f>
        <x:v>9.309999999999999</x:v>
      </x:c>
      <x:c r="B3741" s="256" t="n">
        <x:f>IF(COUNT($B$129:$L$129)=11,B$129*EXP(IF(A3741&lt;0,(10-0)*A3741,-0*A3741))+C$129*EXP(IF(A3741&lt;0,(10-1)*A3741,-1*A3741))+D$129*EXP(IF(A3741&lt;0,(10-2)*A3741,-2*A3741))+E$129*EXP(IF(A3741&lt;0,(10-3)*A3741,-3*A3741))+F$129*EXP(IF(A3741&lt;0,(10-4)*A3741,-4*A3741))+G$129*EXP(IF(A3741&lt;0,(10-5)*A3741,-5*A3741))+H$129*EXP(IF(A3741&lt;0,(10-6)*A3741,-6*A3741))+I$129*EXP(IF(A3741&lt;0,(10-7)*A3741,-7*A3741))+J$129*EXP(IF(A3741&lt;0,(10-8)*A3741,-8*A3741))+K$129*EXP(IF(A3741&lt;0,(10-9)*A3741,-9*A3741))+L$129*EXP(IF(A3741&lt;0,(10-10)*A3741,-10*A3741)),0)</x:f>
        <x:v>-190000.7380506926</x:v>
      </x:c>
      <x:c r="C3741" s="256" t="n">
        <x:f>IF(B3741=0,IF(B3740=0,0,1),IF(B3740=0,0,IF(SIGN(B3741)&lt;&gt;SIGN(B3740),1,0)))</x:f>
        <x:v>0</x:v>
      </x:c>
      <x:c r="D3741" s="256" t="n">
        <x:f>EXP(A3741-0.005)-1</x:f>
        <x:v>10991.84625760662</x:v>
      </x:c>
    </x:row>
    <x:row r="3742" ht="20" customHeight="1">
      <x:c r="A3742" s="256" t="n">
        <x:f>-12+2132*0.01</x:f>
        <x:v>9.32</x:v>
      </x:c>
      <x:c r="B3742" s="256" t="n">
        <x:f>IF(COUNT($B$129:$L$129)=11,B$129*EXP(IF(A3742&lt;0,(10-0)*A3742,-0*A3742))+C$129*EXP(IF(A3742&lt;0,(10-1)*A3742,-1*A3742))+D$129*EXP(IF(A3742&lt;0,(10-2)*A3742,-2*A3742))+E$129*EXP(IF(A3742&lt;0,(10-3)*A3742,-3*A3742))+F$129*EXP(IF(A3742&lt;0,(10-4)*A3742,-4*A3742))+G$129*EXP(IF(A3742&lt;0,(10-5)*A3742,-5*A3742))+H$129*EXP(IF(A3742&lt;0,(10-6)*A3742,-6*A3742))+I$129*EXP(IF(A3742&lt;0,(10-7)*A3742,-7*A3742))+J$129*EXP(IF(A3742&lt;0,(10-8)*A3742,-8*A3742))+K$129*EXP(IF(A3742&lt;0,(10-9)*A3742,-9*A3742))+L$129*EXP(IF(A3742&lt;0,(10-10)*A3742,-10*A3742)),0)</x:f>
        <x:v>-190000.73070648656</x:v>
      </x:c>
      <x:c r="C3742" s="256" t="n">
        <x:f>IF(B3742=0,IF(B3741=0,0,1),IF(B3741=0,0,IF(SIGN(B3742)&lt;&gt;SIGN(B3741),1,0)))</x:f>
        <x:v>0</x:v>
      </x:c>
      <x:c r="D3742" s="256" t="n">
        <x:f>EXP(A3742-0.005)-1</x:f>
        <x:v>11102.326199226154</x:v>
      </x:c>
    </x:row>
    <x:row r="3743" ht="20" customHeight="1">
      <x:c r="A3743" s="256" t="n">
        <x:f>-12+2133*0.01</x:f>
        <x:v>9.330000000000002</x:v>
      </x:c>
      <x:c r="B3743" s="256" t="n">
        <x:f>IF(COUNT($B$129:$L$129)=11,B$129*EXP(IF(A3743&lt;0,(10-0)*A3743,-0*A3743))+C$129*EXP(IF(A3743&lt;0,(10-1)*A3743,-1*A3743))+D$129*EXP(IF(A3743&lt;0,(10-2)*A3743,-2*A3743))+E$129*EXP(IF(A3743&lt;0,(10-3)*A3743,-3*A3743))+F$129*EXP(IF(A3743&lt;0,(10-4)*A3743,-4*A3743))+G$129*EXP(IF(A3743&lt;0,(10-5)*A3743,-5*A3743))+H$129*EXP(IF(A3743&lt;0,(10-6)*A3743,-6*A3743))+I$129*EXP(IF(A3743&lt;0,(10-7)*A3743,-7*A3743))+J$129*EXP(IF(A3743&lt;0,(10-8)*A3743,-8*A3743))+K$129*EXP(IF(A3743&lt;0,(10-9)*A3743,-9*A3743))+L$129*EXP(IF(A3743&lt;0,(10-10)*A3743,-10*A3743)),0)</x:f>
        <x:v>-190000.72343536612</x:v>
      </x:c>
      <x:c r="C3743" s="256" t="n">
        <x:f>IF(B3743=0,IF(B3742=0,0,1),IF(B3742=0,0,IF(SIGN(B3743)&lt;&gt;SIGN(B3742),1,0)))</x:f>
        <x:v>0</x:v>
      </x:c>
      <x:c r="D3743" s="256" t="n">
        <x:f>EXP(A3743-0.005)-1</x:f>
        <x:v>11213.916482718414</x:v>
      </x:c>
    </x:row>
    <x:row r="3744" ht="20" customHeight="1">
      <x:c r="A3744" s="256" t="n">
        <x:f>-12+2134*0.01</x:f>
        <x:v>9.34</x:v>
      </x:c>
      <x:c r="B3744" s="256" t="n">
        <x:f>IF(COUNT($B$129:$L$129)=11,B$129*EXP(IF(A3744&lt;0,(10-0)*A3744,-0*A3744))+C$129*EXP(IF(A3744&lt;0,(10-1)*A3744,-1*A3744))+D$129*EXP(IF(A3744&lt;0,(10-2)*A3744,-2*A3744))+E$129*EXP(IF(A3744&lt;0,(10-3)*A3744,-3*A3744))+F$129*EXP(IF(A3744&lt;0,(10-4)*A3744,-4*A3744))+G$129*EXP(IF(A3744&lt;0,(10-5)*A3744,-5*A3744))+H$129*EXP(IF(A3744&lt;0,(10-6)*A3744,-6*A3744))+I$129*EXP(IF(A3744&lt;0,(10-7)*A3744,-7*A3744))+J$129*EXP(IF(A3744&lt;0,(10-8)*A3744,-8*A3744))+K$129*EXP(IF(A3744&lt;0,(10-9)*A3744,-9*A3744))+L$129*EXP(IF(A3744&lt;0,(10-10)*A3744,-10*A3744)),0)</x:f>
        <x:v>-190000.71623660377</x:v>
      </x:c>
      <x:c r="C3744" s="256" t="n">
        <x:f>IF(B3744=0,IF(B3743=0,0,1),IF(B3743=0,0,IF(SIGN(B3744)&lt;&gt;SIGN(B3743),1,0)))</x:f>
        <x:v>0</x:v>
      </x:c>
      <x:c r="D3744" s="256" t="n">
        <x:f>EXP(A3744-0.005)-1</x:f>
        <x:v>11326.628267204702</x:v>
      </x:c>
    </x:row>
    <x:row r="3745" ht="20" customHeight="1">
      <x:c r="A3745" s="256" t="n">
        <x:f>-12+2135*0.01</x:f>
        <x:v>9.350000000000001</x:v>
      </x:c>
      <x:c r="B3745" s="256" t="n">
        <x:f>IF(COUNT($B$129:$L$129)=11,B$129*EXP(IF(A3745&lt;0,(10-0)*A3745,-0*A3745))+C$129*EXP(IF(A3745&lt;0,(10-1)*A3745,-1*A3745))+D$129*EXP(IF(A3745&lt;0,(10-2)*A3745,-2*A3745))+E$129*EXP(IF(A3745&lt;0,(10-3)*A3745,-3*A3745))+F$129*EXP(IF(A3745&lt;0,(10-4)*A3745,-4*A3745))+G$129*EXP(IF(A3745&lt;0,(10-5)*A3745,-5*A3745))+H$129*EXP(IF(A3745&lt;0,(10-6)*A3745,-6*A3745))+I$129*EXP(IF(A3745&lt;0,(10-7)*A3745,-7*A3745))+J$129*EXP(IF(A3745&lt;0,(10-8)*A3745,-8*A3745))+K$129*EXP(IF(A3745&lt;0,(10-9)*A3745,-9*A3745))+L$129*EXP(IF(A3745&lt;0,(10-10)*A3745,-10*A3745)),0)</x:f>
        <x:v>-190000.70910947945</x:v>
      </x:c>
      <x:c r="C3745" s="256" t="n">
        <x:f>IF(B3745=0,IF(B3744=0,0,1),IF(B3744=0,0,IF(SIGN(B3745)&lt;&gt;SIGN(B3744),1,0)))</x:f>
        <x:v>0</x:v>
      </x:c>
      <x:c r="D3745" s="256" t="n">
        <x:f>EXP(A3745-0.005)-1</x:f>
        <x:v>11440.472823957472</x:v>
      </x:c>
    </x:row>
    <x:row r="3746" ht="20" customHeight="1">
      <x:c r="A3746" s="256" t="n">
        <x:f>-12+2136*0.01</x:f>
        <x:v>9.36</x:v>
      </x:c>
      <x:c r="B3746" s="256" t="n">
        <x:f>IF(COUNT($B$129:$L$129)=11,B$129*EXP(IF(A3746&lt;0,(10-0)*A3746,-0*A3746))+C$129*EXP(IF(A3746&lt;0,(10-1)*A3746,-1*A3746))+D$129*EXP(IF(A3746&lt;0,(10-2)*A3746,-2*A3746))+E$129*EXP(IF(A3746&lt;0,(10-3)*A3746,-3*A3746))+F$129*EXP(IF(A3746&lt;0,(10-4)*A3746,-4*A3746))+G$129*EXP(IF(A3746&lt;0,(10-5)*A3746,-5*A3746))+H$129*EXP(IF(A3746&lt;0,(10-6)*A3746,-6*A3746))+I$129*EXP(IF(A3746&lt;0,(10-7)*A3746,-7*A3746))+J$129*EXP(IF(A3746&lt;0,(10-8)*A3746,-8*A3746))+K$129*EXP(IF(A3746&lt;0,(10-9)*A3746,-9*A3746))+L$129*EXP(IF(A3746&lt;0,(10-10)*A3746,-10*A3746)),0)</x:f>
        <x:v>-190000.7020532801</x:v>
      </x:c>
      <x:c r="C3746" s="256" t="n">
        <x:f>IF(B3746=0,IF(B3745=0,0,1),IF(B3745=0,0,IF(SIGN(B3746)&lt;&gt;SIGN(B3745),1,0)))</x:f>
        <x:v>0</x:v>
      </x:c>
      <x:c r="D3746" s="256" t="n">
        <x:f>EXP(A3746-0.005)-1</x:f>
        <x:v>11555.461537527191</x:v>
      </x:c>
    </x:row>
    <x:row r="3747" ht="20" customHeight="1">
      <x:c r="A3747" s="256" t="n">
        <x:f>-12+2137*0.01</x:f>
        <x:v>9.370000000000001</x:v>
      </x:c>
      <x:c r="B3747" s="256" t="n">
        <x:f>IF(COUNT($B$129:$L$129)=11,B$129*EXP(IF(A3747&lt;0,(10-0)*A3747,-0*A3747))+C$129*EXP(IF(A3747&lt;0,(10-1)*A3747,-1*A3747))+D$129*EXP(IF(A3747&lt;0,(10-2)*A3747,-2*A3747))+E$129*EXP(IF(A3747&lt;0,(10-3)*A3747,-3*A3747))+F$129*EXP(IF(A3747&lt;0,(10-4)*A3747,-4*A3747))+G$129*EXP(IF(A3747&lt;0,(10-5)*A3747,-5*A3747))+H$129*EXP(IF(A3747&lt;0,(10-6)*A3747,-6*A3747))+I$129*EXP(IF(A3747&lt;0,(10-7)*A3747,-7*A3747))+J$129*EXP(IF(A3747&lt;0,(10-8)*A3747,-8*A3747))+K$129*EXP(IF(A3747&lt;0,(10-9)*A3747,-9*A3747))+L$129*EXP(IF(A3747&lt;0,(10-10)*A3747,-10*A3747)),0)</x:f>
        <x:v>-190000.69506729994</x:v>
      </x:c>
      <x:c r="C3747" s="256" t="n">
        <x:f>IF(B3747=0,IF(B3746=0,0,1),IF(B3746=0,0,IF(SIGN(B3747)&lt;&gt;SIGN(B3746),1,0)))</x:f>
        <x:v>0</x:v>
      </x:c>
      <x:c r="D3747" s="256" t="n">
        <x:f>EXP(A3747-0.005)-1</x:f>
        <x:v>11671.60590688112</x:v>
      </x:c>
    </x:row>
    <x:row r="3748" ht="20" customHeight="1">
      <x:c r="A3748" s="256" t="n">
        <x:f>-12+2138*0.01</x:f>
        <x:v>9.379999999999999</x:v>
      </x:c>
      <x:c r="B3748" s="256" t="n">
        <x:f>IF(COUNT($B$129:$L$129)=11,B$129*EXP(IF(A3748&lt;0,(10-0)*A3748,-0*A3748))+C$129*EXP(IF(A3748&lt;0,(10-1)*A3748,-1*A3748))+D$129*EXP(IF(A3748&lt;0,(10-2)*A3748,-2*A3748))+E$129*EXP(IF(A3748&lt;0,(10-3)*A3748,-3*A3748))+F$129*EXP(IF(A3748&lt;0,(10-4)*A3748,-4*A3748))+G$129*EXP(IF(A3748&lt;0,(10-5)*A3748,-5*A3748))+H$129*EXP(IF(A3748&lt;0,(10-6)*A3748,-6*A3748))+I$129*EXP(IF(A3748&lt;0,(10-7)*A3748,-7*A3748))+J$129*EXP(IF(A3748&lt;0,(10-8)*A3748,-8*A3748))+K$129*EXP(IF(A3748&lt;0,(10-9)*A3748,-9*A3748))+L$129*EXP(IF(A3748&lt;0,(10-10)*A3748,-10*A3748)),0)</x:f>
        <x:v>-190000.68815083997</x:v>
      </x:c>
      <x:c r="C3748" s="256" t="n">
        <x:f>IF(B3748=0,IF(B3747=0,0,1),IF(B3747=0,0,IF(SIGN(B3748)&lt;&gt;SIGN(B3747),1,0)))</x:f>
        <x:v>0</x:v>
      </x:c>
      <x:c r="D3748" s="256" t="n">
        <x:f>EXP(A3748-0.005)-1</x:f>
        <x:v>11788.917546552897</x:v>
      </x:c>
    </x:row>
    <x:row r="3749" ht="20" customHeight="1">
      <x:c r="A3749" s="256" t="n">
        <x:f>-12+2139*0.01</x:f>
        <x:v>9.39</x:v>
      </x:c>
      <x:c r="B3749" s="256" t="n">
        <x:f>IF(COUNT($B$129:$L$129)=11,B$129*EXP(IF(A3749&lt;0,(10-0)*A3749,-0*A3749))+C$129*EXP(IF(A3749&lt;0,(10-1)*A3749,-1*A3749))+D$129*EXP(IF(A3749&lt;0,(10-2)*A3749,-2*A3749))+E$129*EXP(IF(A3749&lt;0,(10-3)*A3749,-3*A3749))+F$129*EXP(IF(A3749&lt;0,(10-4)*A3749,-4*A3749))+G$129*EXP(IF(A3749&lt;0,(10-5)*A3749,-5*A3749))+H$129*EXP(IF(A3749&lt;0,(10-6)*A3749,-6*A3749))+I$129*EXP(IF(A3749&lt;0,(10-7)*A3749,-7*A3749))+J$129*EXP(IF(A3749&lt;0,(10-8)*A3749,-8*A3749))+K$129*EXP(IF(A3749&lt;0,(10-9)*A3749,-9*A3749))+L$129*EXP(IF(A3749&lt;0,(10-10)*A3749,-10*A3749)),0)</x:f>
        <x:v>-190000.68130320832</x:v>
      </x:c>
      <x:c r="C3749" s="256" t="n">
        <x:f>IF(B3749=0,IF(B3748=0,0,1),IF(B3748=0,0,IF(SIGN(B3749)&lt;&gt;SIGN(B3748),1,0)))</x:f>
        <x:v>0</x:v>
      </x:c>
      <x:c r="D3749" s="256" t="n">
        <x:f>EXP(A3749-0.005)-1</x:f>
        <x:v>11907.408187804338</x:v>
      </x:c>
    </x:row>
    <x:row r="3750" ht="20" customHeight="1">
      <x:c r="A3750" s="256" t="n">
        <x:f>-12+2140*0.01</x:f>
        <x:v>9.400000000000002</x:v>
      </x:c>
      <x:c r="B3750" s="256" t="n">
        <x:f>IF(COUNT($B$129:$L$129)=11,B$129*EXP(IF(A3750&lt;0,(10-0)*A3750,-0*A3750))+C$129*EXP(IF(A3750&lt;0,(10-1)*A3750,-1*A3750))+D$129*EXP(IF(A3750&lt;0,(10-2)*A3750,-2*A3750))+E$129*EXP(IF(A3750&lt;0,(10-3)*A3750,-3*A3750))+F$129*EXP(IF(A3750&lt;0,(10-4)*A3750,-4*A3750))+G$129*EXP(IF(A3750&lt;0,(10-5)*A3750,-5*A3750))+H$129*EXP(IF(A3750&lt;0,(10-6)*A3750,-6*A3750))+I$129*EXP(IF(A3750&lt;0,(10-7)*A3750,-7*A3750))+J$129*EXP(IF(A3750&lt;0,(10-8)*A3750,-8*A3750))+K$129*EXP(IF(A3750&lt;0,(10-9)*A3750,-9*A3750))+L$129*EXP(IF(A3750&lt;0,(10-10)*A3750,-10*A3750)),0)</x:f>
        <x:v>-190000.67452372002</x:v>
      </x:c>
      <x:c r="C3750" s="256" t="n">
        <x:f>IF(B3750=0,IF(B3749=0,0,1),IF(B3749=0,0,IF(SIGN(B3750)&lt;&gt;SIGN(B3749),1,0)))</x:f>
        <x:v>0</x:v>
      </x:c>
      <x:c r="D3750" s="256" t="n">
        <x:f>EXP(A3750-0.005)-1</x:f>
        <x:v>12027.089679798264</x:v>
      </x:c>
    </x:row>
    <x:row r="3751" ht="20" customHeight="1">
      <x:c r="A3751" s="256" t="n">
        <x:f>-12+2141*0.01</x:f>
        <x:v>9.41</x:v>
      </x:c>
      <x:c r="B3751" s="256" t="n">
        <x:f>IF(COUNT($B$129:$L$129)=11,B$129*EXP(IF(A3751&lt;0,(10-0)*A3751,-0*A3751))+C$129*EXP(IF(A3751&lt;0,(10-1)*A3751,-1*A3751))+D$129*EXP(IF(A3751&lt;0,(10-2)*A3751,-2*A3751))+E$129*EXP(IF(A3751&lt;0,(10-3)*A3751,-3*A3751))+F$129*EXP(IF(A3751&lt;0,(10-4)*A3751,-4*A3751))+G$129*EXP(IF(A3751&lt;0,(10-5)*A3751,-5*A3751))+H$129*EXP(IF(A3751&lt;0,(10-6)*A3751,-6*A3751))+I$129*EXP(IF(A3751&lt;0,(10-7)*A3751,-7*A3751))+J$129*EXP(IF(A3751&lt;0,(10-8)*A3751,-8*A3751))+K$129*EXP(IF(A3751&lt;0,(10-9)*A3751,-9*A3751))+L$129*EXP(IF(A3751&lt;0,(10-10)*A3751,-10*A3751)),0)</x:f>
        <x:v>-190000.66781169685</x:v>
      </x:c>
      <x:c r="C3751" s="256" t="n">
        <x:f>IF(B3751=0,IF(B3750=0,0,1),IF(B3750=0,0,IF(SIGN(B3751)&lt;&gt;SIGN(B3750),1,0)))</x:f>
        <x:v>0</x:v>
      </x:c>
      <x:c r="D3751" s="256" t="n">
        <x:f>EXP(A3751-0.005)-1</x:f>
        <x:v>12147.973990783572</x:v>
      </x:c>
    </x:row>
    <x:row r="3752" ht="20" customHeight="1">
      <x:c r="A3752" s="256" t="n">
        <x:f>-12+2142*0.01</x:f>
        <x:v>9.420000000000002</x:v>
      </x:c>
      <x:c r="B3752" s="256" t="n">
        <x:f>IF(COUNT($B$129:$L$129)=11,B$129*EXP(IF(A3752&lt;0,(10-0)*A3752,-0*A3752))+C$129*EXP(IF(A3752&lt;0,(10-1)*A3752,-1*A3752))+D$129*EXP(IF(A3752&lt;0,(10-2)*A3752,-2*A3752))+E$129*EXP(IF(A3752&lt;0,(10-3)*A3752,-3*A3752))+F$129*EXP(IF(A3752&lt;0,(10-4)*A3752,-4*A3752))+G$129*EXP(IF(A3752&lt;0,(10-5)*A3752,-5*A3752))+H$129*EXP(IF(A3752&lt;0,(10-6)*A3752,-6*A3752))+I$129*EXP(IF(A3752&lt;0,(10-7)*A3752,-7*A3752))+J$129*EXP(IF(A3752&lt;0,(10-8)*A3752,-8*A3752))+K$129*EXP(IF(A3752&lt;0,(10-9)*A3752,-9*A3752))+L$129*EXP(IF(A3752&lt;0,(10-10)*A3752,-10*A3752)),0)</x:f>
        <x:v>-190000.66116646733</x:v>
      </x:c>
      <x:c r="C3752" s="256" t="n">
        <x:f>IF(B3752=0,IF(B3751=0,0,1),IF(B3751=0,0,IF(SIGN(B3752)&lt;&gt;SIGN(B3751),1,0)))</x:f>
        <x:v>0</x:v>
      </x:c>
      <x:c r="D3752" s="256" t="n">
        <x:f>EXP(A3752-0.005)-1</x:f>
        <x:v>12270.073209292177</x:v>
      </x:c>
    </x:row>
    <x:row r="3753" ht="20" customHeight="1">
      <x:c r="A3753" s="256" t="n">
        <x:f>-12+2143*0.01</x:f>
        <x:v>9.43</x:v>
      </x:c>
      <x:c r="B3753" s="256" t="n">
        <x:f>IF(COUNT($B$129:$L$129)=11,B$129*EXP(IF(A3753&lt;0,(10-0)*A3753,-0*A3753))+C$129*EXP(IF(A3753&lt;0,(10-1)*A3753,-1*A3753))+D$129*EXP(IF(A3753&lt;0,(10-2)*A3753,-2*A3753))+E$129*EXP(IF(A3753&lt;0,(10-3)*A3753,-3*A3753))+F$129*EXP(IF(A3753&lt;0,(10-4)*A3753,-4*A3753))+G$129*EXP(IF(A3753&lt;0,(10-5)*A3753,-5*A3753))+H$129*EXP(IF(A3753&lt;0,(10-6)*A3753,-6*A3753))+I$129*EXP(IF(A3753&lt;0,(10-7)*A3753,-7*A3753))+J$129*EXP(IF(A3753&lt;0,(10-8)*A3753,-8*A3753))+K$129*EXP(IF(A3753&lt;0,(10-9)*A3753,-9*A3753))+L$129*EXP(IF(A3753&lt;0,(10-10)*A3753,-10*A3753)),0)</x:f>
        <x:v>-190000.6545873667</x:v>
      </x:c>
      <x:c r="C3753" s="256" t="n">
        <x:f>IF(B3753=0,IF(B3752=0,0,1),IF(B3752=0,0,IF(SIGN(B3753)&lt;&gt;SIGN(B3752),1,0)))</x:f>
        <x:v>0</x:v>
      </x:c>
      <x:c r="D3753" s="256" t="n">
        <x:f>EXP(A3753-0.005)-1</x:f>
        <x:v>12393.399545347598</x:v>
      </x:c>
    </x:row>
    <x:row r="3754" ht="20" customHeight="1">
      <x:c r="A3754" s="256" t="n">
        <x:f>-12+2144*0.01</x:f>
        <x:v>9.440000000000001</x:v>
      </x:c>
      <x:c r="B3754" s="256" t="n">
        <x:f>IF(COUNT($B$129:$L$129)=11,B$129*EXP(IF(A3754&lt;0,(10-0)*A3754,-0*A3754))+C$129*EXP(IF(A3754&lt;0,(10-1)*A3754,-1*A3754))+D$129*EXP(IF(A3754&lt;0,(10-2)*A3754,-2*A3754))+E$129*EXP(IF(A3754&lt;0,(10-3)*A3754,-3*A3754))+F$129*EXP(IF(A3754&lt;0,(10-4)*A3754,-4*A3754))+G$129*EXP(IF(A3754&lt;0,(10-5)*A3754,-5*A3754))+H$129*EXP(IF(A3754&lt;0,(10-6)*A3754,-6*A3754))+I$129*EXP(IF(A3754&lt;0,(10-7)*A3754,-7*A3754))+J$129*EXP(IF(A3754&lt;0,(10-8)*A3754,-8*A3754))+K$129*EXP(IF(A3754&lt;0,(10-9)*A3754,-9*A3754))+L$129*EXP(IF(A3754&lt;0,(10-10)*A3754,-10*A3754)),0)</x:f>
        <x:v>-190000.64807373684</x:v>
      </x:c>
      <x:c r="C3754" s="256" t="n">
        <x:f>IF(B3754=0,IF(B3753=0,0,1),IF(B3753=0,0,IF(SIGN(B3754)&lt;&gt;SIGN(B3753),1,0)))</x:f>
        <x:v>0</x:v>
      </x:c>
      <x:c r="D3754" s="256" t="n">
        <x:f>EXP(A3754-0.005)-1</x:f>
        <x:v>12517.965331686297</x:v>
      </x:c>
    </x:row>
    <x:row r="3755" ht="20" customHeight="1">
      <x:c r="A3755" s="256" t="n">
        <x:f>-12+2145*0.01</x:f>
        <x:v>9.45</x:v>
      </x:c>
      <x:c r="B3755" s="256" t="n">
        <x:f>IF(COUNT($B$129:$L$129)=11,B$129*EXP(IF(A3755&lt;0,(10-0)*A3755,-0*A3755))+C$129*EXP(IF(A3755&lt;0,(10-1)*A3755,-1*A3755))+D$129*EXP(IF(A3755&lt;0,(10-2)*A3755,-2*A3755))+E$129*EXP(IF(A3755&lt;0,(10-3)*A3755,-3*A3755))+F$129*EXP(IF(A3755&lt;0,(10-4)*A3755,-4*A3755))+G$129*EXP(IF(A3755&lt;0,(10-5)*A3755,-5*A3755))+H$129*EXP(IF(A3755&lt;0,(10-6)*A3755,-6*A3755))+I$129*EXP(IF(A3755&lt;0,(10-7)*A3755,-7*A3755))+J$129*EXP(IF(A3755&lt;0,(10-8)*A3755,-8*A3755))+K$129*EXP(IF(A3755&lt;0,(10-9)*A3755,-9*A3755))+L$129*EXP(IF(A3755&lt;0,(10-10)*A3755,-10*A3755)),0)</x:f>
        <x:v>-190000.64162492615</x:v>
      </x:c>
      <x:c r="C3755" s="256" t="n">
        <x:f>IF(B3755=0,IF(B3754=0,0,1),IF(B3754=0,0,IF(SIGN(B3755)&lt;&gt;SIGN(B3754),1,0)))</x:f>
        <x:v>0</x:v>
      </x:c>
      <x:c r="D3755" s="256" t="n">
        <x:f>EXP(A3755-0.005)-1</x:f>
        <x:v>12643.783024990626</x:v>
      </x:c>
    </x:row>
    <x:row r="3756" ht="20" customHeight="1">
      <x:c r="A3756" s="256" t="n">
        <x:f>-12+2146*0.01</x:f>
        <x:v>9.46</x:v>
      </x:c>
      <x:c r="B3756" s="256" t="n">
        <x:f>IF(COUNT($B$129:$L$129)=11,B$129*EXP(IF(A3756&lt;0,(10-0)*A3756,-0*A3756))+C$129*EXP(IF(A3756&lt;0,(10-1)*A3756,-1*A3756))+D$129*EXP(IF(A3756&lt;0,(10-2)*A3756,-2*A3756))+E$129*EXP(IF(A3756&lt;0,(10-3)*A3756,-3*A3756))+F$129*EXP(IF(A3756&lt;0,(10-4)*A3756,-4*A3756))+G$129*EXP(IF(A3756&lt;0,(10-5)*A3756,-5*A3756))+H$129*EXP(IF(A3756&lt;0,(10-6)*A3756,-6*A3756))+I$129*EXP(IF(A3756&lt;0,(10-7)*A3756,-7*A3756))+J$129*EXP(IF(A3756&lt;0,(10-8)*A3756,-8*A3756))+K$129*EXP(IF(A3756&lt;0,(10-9)*A3756,-9*A3756))+L$129*EXP(IF(A3756&lt;0,(10-10)*A3756,-10*A3756)),0)</x:f>
        <x:v>-190000.63524028947</x:v>
      </x:c>
      <x:c r="C3756" s="256" t="n">
        <x:f>IF(B3756=0,IF(B3755=0,0,1),IF(B3755=0,0,IF(SIGN(B3756)&lt;&gt;SIGN(B3755),1,0)))</x:f>
        <x:v>0</x:v>
      </x:c>
      <x:c r="D3756" s="256" t="n">
        <x:f>EXP(A3756-0.005)-1</x:f>
        <x:v>12770.865207134855</x:v>
      </x:c>
    </x:row>
    <x:row r="3757" ht="20" customHeight="1">
      <x:c r="A3757" s="256" t="n">
        <x:f>-12+2147*0.01</x:f>
        <x:v>9.469999999999999</x:v>
      </x:c>
      <x:c r="B3757" s="256" t="n">
        <x:f>IF(COUNT($B$129:$L$129)=11,B$129*EXP(IF(A3757&lt;0,(10-0)*A3757,-0*A3757))+C$129*EXP(IF(A3757&lt;0,(10-1)*A3757,-1*A3757))+D$129*EXP(IF(A3757&lt;0,(10-2)*A3757,-2*A3757))+E$129*EXP(IF(A3757&lt;0,(10-3)*A3757,-3*A3757))+F$129*EXP(IF(A3757&lt;0,(10-4)*A3757,-4*A3757))+G$129*EXP(IF(A3757&lt;0,(10-5)*A3757,-5*A3757))+H$129*EXP(IF(A3757&lt;0,(10-6)*A3757,-6*A3757))+I$129*EXP(IF(A3757&lt;0,(10-7)*A3757,-7*A3757))+J$129*EXP(IF(A3757&lt;0,(10-8)*A3757,-8*A3757))+K$129*EXP(IF(A3757&lt;0,(10-9)*A3757,-9*A3757))+L$129*EXP(IF(A3757&lt;0,(10-10)*A3757,-10*A3757)),0)</x:f>
        <x:v>-190000.6289191882</x:v>
      </x:c>
      <x:c r="C3757" s="256" t="n">
        <x:f>IF(B3757=0,IF(B3756=0,0,1),IF(B3756=0,0,IF(SIGN(B3757)&lt;&gt;SIGN(B3756),1,0)))</x:f>
        <x:v>0</x:v>
      </x:c>
      <x:c r="D3757" s="256" t="n">
        <x:f>EXP(A3757-0.005)-1</x:f>
        <x:v>12899.224586443006</x:v>
      </x:c>
    </x:row>
    <x:row r="3758" ht="20" customHeight="1">
      <x:c r="A3758" s="256" t="n">
        <x:f>-12+2148*0.01</x:f>
        <x:v>9.48</x:v>
      </x:c>
      <x:c r="B3758" s="256" t="n">
        <x:f>IF(COUNT($B$129:$L$129)=11,B$129*EXP(IF(A3758&lt;0,(10-0)*A3758,-0*A3758))+C$129*EXP(IF(A3758&lt;0,(10-1)*A3758,-1*A3758))+D$129*EXP(IF(A3758&lt;0,(10-2)*A3758,-2*A3758))+E$129*EXP(IF(A3758&lt;0,(10-3)*A3758,-3*A3758))+F$129*EXP(IF(A3758&lt;0,(10-4)*A3758,-4*A3758))+G$129*EXP(IF(A3758&lt;0,(10-5)*A3758,-5*A3758))+H$129*EXP(IF(A3758&lt;0,(10-6)*A3758,-6*A3758))+I$129*EXP(IF(A3758&lt;0,(10-7)*A3758,-7*A3758))+J$129*EXP(IF(A3758&lt;0,(10-8)*A3758,-8*A3758))+K$129*EXP(IF(A3758&lt;0,(10-9)*A3758,-9*A3758))+L$129*EXP(IF(A3758&lt;0,(10-10)*A3758,-10*A3758)),0)</x:f>
        <x:v>-190000.62266098993</x:v>
      </x:c>
      <x:c r="C3758" s="256" t="n">
        <x:f>IF(B3758=0,IF(B3757=0,0,1),IF(B3757=0,0,IF(SIGN(B3758)&lt;&gt;SIGN(B3757),1,0)))</x:f>
        <x:v>0</x:v>
      </x:c>
      <x:c r="D3758" s="256" t="n">
        <x:f>EXP(A3758-0.005)-1</x:f>
        <x:v>13028.873998960073</x:v>
      </x:c>
    </x:row>
    <x:row r="3759" ht="20" customHeight="1">
      <x:c r="A3759" s="256" t="n">
        <x:f>-12+2149*0.01</x:f>
        <x:v>9.490000000000002</x:v>
      </x:c>
      <x:c r="B3759" s="256" t="n">
        <x:f>IF(COUNT($B$129:$L$129)=11,B$129*EXP(IF(A3759&lt;0,(10-0)*A3759,-0*A3759))+C$129*EXP(IF(A3759&lt;0,(10-1)*A3759,-1*A3759))+D$129*EXP(IF(A3759&lt;0,(10-2)*A3759,-2*A3759))+E$129*EXP(IF(A3759&lt;0,(10-3)*A3759,-3*A3759))+F$129*EXP(IF(A3759&lt;0,(10-4)*A3759,-4*A3759))+G$129*EXP(IF(A3759&lt;0,(10-5)*A3759,-5*A3759))+H$129*EXP(IF(A3759&lt;0,(10-6)*A3759,-6*A3759))+I$129*EXP(IF(A3759&lt;0,(10-7)*A3759,-7*A3759))+J$129*EXP(IF(A3759&lt;0,(10-8)*A3759,-8*A3759))+K$129*EXP(IF(A3759&lt;0,(10-9)*A3759,-9*A3759))+L$129*EXP(IF(A3759&lt;0,(10-10)*A3759,-10*A3759)),0)</x:f>
        <x:v>-190000.61646506868</x:v>
      </x:c>
      <x:c r="C3759" s="256" t="n">
        <x:f>IF(B3759=0,IF(B3758=0,0,1),IF(B3758=0,0,IF(SIGN(B3759)&lt;&gt;SIGN(B3758),1,0)))</x:f>
        <x:v>0</x:v>
      </x:c>
      <x:c r="D3759" s="256" t="n">
        <x:f>EXP(A3759-0.005)-1</x:f>
        <x:v>13159.826409735299</x:v>
      </x:c>
    </x:row>
    <x:row r="3760" ht="20" customHeight="1">
      <x:c r="A3760" s="256" t="n">
        <x:f>-12+2150*0.01</x:f>
        <x:v>9.5</x:v>
      </x:c>
      <x:c r="B3760" s="256" t="n">
        <x:f>IF(COUNT($B$129:$L$129)=11,B$129*EXP(IF(A3760&lt;0,(10-0)*A3760,-0*A3760))+C$129*EXP(IF(A3760&lt;0,(10-1)*A3760,-1*A3760))+D$129*EXP(IF(A3760&lt;0,(10-2)*A3760,-2*A3760))+E$129*EXP(IF(A3760&lt;0,(10-3)*A3760,-3*A3760))+F$129*EXP(IF(A3760&lt;0,(10-4)*A3760,-4*A3760))+G$129*EXP(IF(A3760&lt;0,(10-5)*A3760,-5*A3760))+H$129*EXP(IF(A3760&lt;0,(10-6)*A3760,-6*A3760))+I$129*EXP(IF(A3760&lt;0,(10-7)*A3760,-7*A3760))+J$129*EXP(IF(A3760&lt;0,(10-8)*A3760,-8*A3760))+K$129*EXP(IF(A3760&lt;0,(10-9)*A3760,-9*A3760))+L$129*EXP(IF(A3760&lt;0,(10-10)*A3760,-10*A3760)),0)</x:f>
        <x:v>-190000.61033080463</x:v>
      </x:c>
      <x:c r="C3760" s="256" t="n">
        <x:f>IF(B3760=0,IF(B3759=0,0,1),IF(B3759=0,0,IF(SIGN(B3760)&lt;&gt;SIGN(B3759),1,0)))</x:f>
        <x:v>0</x:v>
      </x:c>
      <x:c r="D3760" s="256" t="n">
        <x:f>EXP(A3760-0.005)-1</x:f>
        <x:v>13292.094914118843</x:v>
      </x:c>
    </x:row>
    <x:row r="3761" ht="20" customHeight="1">
      <x:c r="A3761" s="256" t="n">
        <x:f>-12+2151*0.01</x:f>
        <x:v>9.510000000000002</x:v>
      </x:c>
      <x:c r="B3761" s="256" t="n">
        <x:f>IF(COUNT($B$129:$L$129)=11,B$129*EXP(IF(A3761&lt;0,(10-0)*A3761,-0*A3761))+C$129*EXP(IF(A3761&lt;0,(10-1)*A3761,-1*A3761))+D$129*EXP(IF(A3761&lt;0,(10-2)*A3761,-2*A3761))+E$129*EXP(IF(A3761&lt;0,(10-3)*A3761,-3*A3761))+F$129*EXP(IF(A3761&lt;0,(10-4)*A3761,-4*A3761))+G$129*EXP(IF(A3761&lt;0,(10-5)*A3761,-5*A3761))+H$129*EXP(IF(A3761&lt;0,(10-6)*A3761,-6*A3761))+I$129*EXP(IF(A3761&lt;0,(10-7)*A3761,-7*A3761))+J$129*EXP(IF(A3761&lt;0,(10-8)*A3761,-8*A3761))+K$129*EXP(IF(A3761&lt;0,(10-9)*A3761,-9*A3761))+L$129*EXP(IF(A3761&lt;0,(10-10)*A3761,-10*A3761)),0)</x:f>
        <x:v>-190000.60425758414</x:v>
      </x:c>
      <x:c r="C3761" s="256" t="n">
        <x:f>IF(B3761=0,IF(B3760=0,0,1),IF(B3760=0,0,IF(SIGN(B3761)&lt;&gt;SIGN(B3760),1,0)))</x:f>
        <x:v>0</x:v>
      </x:c>
      <x:c r="D3761" s="256" t="n">
        <x:f>EXP(A3761-0.005)-1</x:f>
        <x:v>13425.692739071463</x:v>
      </x:c>
    </x:row>
    <x:row r="3762" ht="20" customHeight="1">
      <x:c r="A3762" s="256" t="n">
        <x:f>-12+2152*0.01</x:f>
        <x:v>9.52</x:v>
      </x:c>
      <x:c r="B3762" s="256" t="n">
        <x:f>IF(COUNT($B$129:$L$129)=11,B$129*EXP(IF(A3762&lt;0,(10-0)*A3762,-0*A3762))+C$129*EXP(IF(A3762&lt;0,(10-1)*A3762,-1*A3762))+D$129*EXP(IF(A3762&lt;0,(10-2)*A3762,-2*A3762))+E$129*EXP(IF(A3762&lt;0,(10-3)*A3762,-3*A3762))+F$129*EXP(IF(A3762&lt;0,(10-4)*A3762,-4*A3762))+G$129*EXP(IF(A3762&lt;0,(10-5)*A3762,-5*A3762))+H$129*EXP(IF(A3762&lt;0,(10-6)*A3762,-6*A3762))+I$129*EXP(IF(A3762&lt;0,(10-7)*A3762,-7*A3762))+J$129*EXP(IF(A3762&lt;0,(10-8)*A3762,-8*A3762))+K$129*EXP(IF(A3762&lt;0,(10-9)*A3762,-9*A3762))+L$129*EXP(IF(A3762&lt;0,(10-10)*A3762,-10*A3762)),0)</x:f>
        <x:v>-190000.59824479968</x:v>
      </x:c>
      <x:c r="C3762" s="256" t="n">
        <x:f>IF(B3762=0,IF(B3761=0,0,1),IF(B3761=0,0,IF(SIGN(B3762)&lt;&gt;SIGN(B3761),1,0)))</x:f>
        <x:v>0</x:v>
      </x:c>
      <x:c r="D3762" s="256" t="n">
        <x:f>EXP(A3762-0.005)-1</x:f>
        <x:v>13560.63324448689</x:v>
      </x:c>
    </x:row>
    <x:row r="3763" ht="20" customHeight="1">
      <x:c r="A3763" s="256" t="n">
        <x:f>-12+2153*0.01</x:f>
        <x:v>9.530000000000001</x:v>
      </x:c>
      <x:c r="B3763" s="256" t="n">
        <x:f>IF(COUNT($B$129:$L$129)=11,B$129*EXP(IF(A3763&lt;0,(10-0)*A3763,-0*A3763))+C$129*EXP(IF(A3763&lt;0,(10-1)*A3763,-1*A3763))+D$129*EXP(IF(A3763&lt;0,(10-2)*A3763,-2*A3763))+E$129*EXP(IF(A3763&lt;0,(10-3)*A3763,-3*A3763))+F$129*EXP(IF(A3763&lt;0,(10-4)*A3763,-4*A3763))+G$129*EXP(IF(A3763&lt;0,(10-5)*A3763,-5*A3763))+H$129*EXP(IF(A3763&lt;0,(10-6)*A3763,-6*A3763))+I$129*EXP(IF(A3763&lt;0,(10-7)*A3763,-7*A3763))+J$129*EXP(IF(A3763&lt;0,(10-8)*A3763,-8*A3763))+K$129*EXP(IF(A3763&lt;0,(10-9)*A3763,-9*A3763))+L$129*EXP(IF(A3763&lt;0,(10-10)*A3763,-10*A3763)),0)</x:f>
        <x:v>-190000.5922918498</x:v>
      </x:c>
      <x:c r="C3763" s="256" t="n">
        <x:f>IF(B3763=0,IF(B3762=0,0,1),IF(B3762=0,0,IF(SIGN(B3763)&lt;&gt;SIGN(B3762),1,0)))</x:f>
        <x:v>0</x:v>
      </x:c>
      <x:c r="D3763" s="256" t="n">
        <x:f>EXP(A3763-0.005)-1</x:f>
        <x:v>13696.929924528213</x:v>
      </x:c>
    </x:row>
    <x:row r="3764" ht="20" customHeight="1">
      <x:c r="A3764" s="256" t="n">
        <x:f>-12+2154*0.01</x:f>
        <x:v>9.54</x:v>
      </x:c>
      <x:c r="B3764" s="256" t="n">
        <x:f>IF(COUNT($B$129:$L$129)=11,B$129*EXP(IF(A3764&lt;0,(10-0)*A3764,-0*A3764))+C$129*EXP(IF(A3764&lt;0,(10-1)*A3764,-1*A3764))+D$129*EXP(IF(A3764&lt;0,(10-2)*A3764,-2*A3764))+E$129*EXP(IF(A3764&lt;0,(10-3)*A3764,-3*A3764))+F$129*EXP(IF(A3764&lt;0,(10-4)*A3764,-4*A3764))+G$129*EXP(IF(A3764&lt;0,(10-5)*A3764,-5*A3764))+H$129*EXP(IF(A3764&lt;0,(10-6)*A3764,-6*A3764))+I$129*EXP(IF(A3764&lt;0,(10-7)*A3764,-7*A3764))+J$129*EXP(IF(A3764&lt;0,(10-8)*A3764,-8*A3764))+K$129*EXP(IF(A3764&lt;0,(10-9)*A3764,-9*A3764))+L$129*EXP(IF(A3764&lt;0,(10-10)*A3764,-10*A3764)),0)</x:f>
        <x:v>-190000.58639813896</x:v>
      </x:c>
      <x:c r="C3764" s="256" t="n">
        <x:f>IF(B3764=0,IF(B3763=0,0,1),IF(B3763=0,0,IF(SIGN(B3764)&lt;&gt;SIGN(B3763),1,0)))</x:f>
        <x:v>0</x:v>
      </x:c>
      <x:c r="D3764" s="256" t="n">
        <x:f>EXP(A3764-0.005)-1</x:f>
        <x:v>13834.596408976919</x:v>
      </x:c>
    </x:row>
    <x:row r="3765" ht="20" customHeight="1">
      <x:c r="A3765" s="256" t="n">
        <x:f>-12+2155*0.01</x:f>
        <x:v>9.55</x:v>
      </x:c>
      <x:c r="B3765" s="256" t="n">
        <x:f>IF(COUNT($B$129:$L$129)=11,B$129*EXP(IF(A3765&lt;0,(10-0)*A3765,-0*A3765))+C$129*EXP(IF(A3765&lt;0,(10-1)*A3765,-1*A3765))+D$129*EXP(IF(A3765&lt;0,(10-2)*A3765,-2*A3765))+E$129*EXP(IF(A3765&lt;0,(10-3)*A3765,-3*A3765))+F$129*EXP(IF(A3765&lt;0,(10-4)*A3765,-4*A3765))+G$129*EXP(IF(A3765&lt;0,(10-5)*A3765,-5*A3765))+H$129*EXP(IF(A3765&lt;0,(10-6)*A3765,-6*A3765))+I$129*EXP(IF(A3765&lt;0,(10-7)*A3765,-7*A3765))+J$129*EXP(IF(A3765&lt;0,(10-8)*A3765,-8*A3765))+K$129*EXP(IF(A3765&lt;0,(10-9)*A3765,-9*A3765))+L$129*EXP(IF(A3765&lt;0,(10-10)*A3765,-10*A3765)),0)</x:f>
        <x:v>-190000.58056307767</x:v>
      </x:c>
      <x:c r="C3765" s="256" t="n">
        <x:f>IF(B3765=0,IF(B3764=0,0,1),IF(B3764=0,0,IF(SIGN(B3765)&lt;&gt;SIGN(B3764),1,0)))</x:f>
        <x:v>0</x:v>
      </x:c>
      <x:c r="D3765" s="256" t="n">
        <x:f>EXP(A3765-0.005)-1</x:f>
        <x:v>13973.646464596275</x:v>
      </x:c>
    </x:row>
    <x:row r="3766" ht="20" customHeight="1">
      <x:c r="A3766" s="256" t="n">
        <x:f>-12+2156*0.01</x:f>
        <x:v>9.559999999999999</x:v>
      </x:c>
      <x:c r="B3766" s="256" t="n">
        <x:f>IF(COUNT($B$129:$L$129)=11,B$129*EXP(IF(A3766&lt;0,(10-0)*A3766,-0*A3766))+C$129*EXP(IF(A3766&lt;0,(10-1)*A3766,-1*A3766))+D$129*EXP(IF(A3766&lt;0,(10-2)*A3766,-2*A3766))+E$129*EXP(IF(A3766&lt;0,(10-3)*A3766,-3*A3766))+F$129*EXP(IF(A3766&lt;0,(10-4)*A3766,-4*A3766))+G$129*EXP(IF(A3766&lt;0,(10-5)*A3766,-5*A3766))+H$129*EXP(IF(A3766&lt;0,(10-6)*A3766,-6*A3766))+I$129*EXP(IF(A3766&lt;0,(10-7)*A3766,-7*A3766))+J$129*EXP(IF(A3766&lt;0,(10-8)*A3766,-8*A3766))+K$129*EXP(IF(A3766&lt;0,(10-9)*A3766,-9*A3766))+L$129*EXP(IF(A3766&lt;0,(10-10)*A3766,-10*A3766)),0)</x:f>
        <x:v>-190000.5747860822</x:v>
      </x:c>
      <x:c r="C3766" s="256" t="n">
        <x:f>IF(B3766=0,IF(B3765=0,0,1),IF(B3765=0,0,IF(SIGN(B3766)&lt;&gt;SIGN(B3765),1,0)))</x:f>
        <x:v>0</x:v>
      </x:c>
      <x:c r="D3766" s="256" t="n">
        <x:f>EXP(A3766-0.005)-1</x:f>
        <x:v>14114.093996507618</x:v>
      </x:c>
    </x:row>
    <x:row r="3767" ht="20" customHeight="1">
      <x:c r="A3767" s="256" t="n">
        <x:f>-12+2157*0.01</x:f>
        <x:v>9.57</x:v>
      </x:c>
      <x:c r="B3767" s="256" t="n">
        <x:f>IF(COUNT($B$129:$L$129)=11,B$129*EXP(IF(A3767&lt;0,(10-0)*A3767,-0*A3767))+C$129*EXP(IF(A3767&lt;0,(10-1)*A3767,-1*A3767))+D$129*EXP(IF(A3767&lt;0,(10-2)*A3767,-2*A3767))+E$129*EXP(IF(A3767&lt;0,(10-3)*A3767,-3*A3767))+F$129*EXP(IF(A3767&lt;0,(10-4)*A3767,-4*A3767))+G$129*EXP(IF(A3767&lt;0,(10-5)*A3767,-5*A3767))+H$129*EXP(IF(A3767&lt;0,(10-6)*A3767,-6*A3767))+I$129*EXP(IF(A3767&lt;0,(10-7)*A3767,-7*A3767))+J$129*EXP(IF(A3767&lt;0,(10-8)*A3767,-8*A3767))+K$129*EXP(IF(A3767&lt;0,(10-9)*A3767,-9*A3767))+L$129*EXP(IF(A3767&lt;0,(10-10)*A3767,-10*A3767)),0)</x:f>
        <x:v>-190000.5690665746</x:v>
      </x:c>
      <x:c r="C3767" s="256" t="n">
        <x:f>IF(B3767=0,IF(B3766=0,0,1),IF(B3766=0,0,IF(SIGN(B3767)&lt;&gt;SIGN(B3766),1,0)))</x:f>
        <x:v>0</x:v>
      </x:c>
      <x:c r="D3767" s="256" t="n">
        <x:f>EXP(A3767-0.005)-1</x:f>
        <x:v>14255.95304958128</x:v>
      </x:c>
    </x:row>
    <x:row r="3768" ht="20" customHeight="1">
      <x:c r="A3768" s="256" t="n">
        <x:f>-12+2158*0.01</x:f>
        <x:v>9.580000000000002</x:v>
      </x:c>
      <x:c r="B3768" s="256" t="n">
        <x:f>IF(COUNT($B$129:$L$129)=11,B$129*EXP(IF(A3768&lt;0,(10-0)*A3768,-0*A3768))+C$129*EXP(IF(A3768&lt;0,(10-1)*A3768,-1*A3768))+D$129*EXP(IF(A3768&lt;0,(10-2)*A3768,-2*A3768))+E$129*EXP(IF(A3768&lt;0,(10-3)*A3768,-3*A3768))+F$129*EXP(IF(A3768&lt;0,(10-4)*A3768,-4*A3768))+G$129*EXP(IF(A3768&lt;0,(10-5)*A3768,-5*A3768))+H$129*EXP(IF(A3768&lt;0,(10-6)*A3768,-6*A3768))+I$129*EXP(IF(A3768&lt;0,(10-7)*A3768,-7*A3768))+J$129*EXP(IF(A3768&lt;0,(10-8)*A3768,-8*A3768))+K$129*EXP(IF(A3768&lt;0,(10-9)*A3768,-9*A3768))+L$129*EXP(IF(A3768&lt;0,(10-10)*A3768,-10*A3768)),0)</x:f>
        <x:v>-190000.56340398284</x:v>
      </x:c>
      <x:c r="C3768" s="256" t="n">
        <x:f>IF(B3768=0,IF(B3767=0,0,1),IF(B3767=0,0,IF(SIGN(B3768)&lt;&gt;SIGN(B3767),1,0)))</x:f>
        <x:v>0</x:v>
      </x:c>
      <x:c r="D3768" s="256" t="n">
        <x:f>EXP(A3768-0.005)-1</x:f>
        <x:v>14399.237809840733</x:v>
      </x:c>
    </x:row>
    <x:row r="3769" ht="20" customHeight="1">
      <x:c r="A3769" s="256" t="n">
        <x:f>-12+2159*0.01</x:f>
        <x:v>9.59</x:v>
      </x:c>
      <x:c r="B3769" s="256" t="n">
        <x:f>IF(COUNT($B$129:$L$129)=11,B$129*EXP(IF(A3769&lt;0,(10-0)*A3769,-0*A3769))+C$129*EXP(IF(A3769&lt;0,(10-1)*A3769,-1*A3769))+D$129*EXP(IF(A3769&lt;0,(10-2)*A3769,-2*A3769))+E$129*EXP(IF(A3769&lt;0,(10-3)*A3769,-3*A3769))+F$129*EXP(IF(A3769&lt;0,(10-4)*A3769,-4*A3769))+G$129*EXP(IF(A3769&lt;0,(10-5)*A3769,-5*A3769))+H$129*EXP(IF(A3769&lt;0,(10-6)*A3769,-6*A3769))+I$129*EXP(IF(A3769&lt;0,(10-7)*A3769,-7*A3769))+J$129*EXP(IF(A3769&lt;0,(10-8)*A3769,-8*A3769))+K$129*EXP(IF(A3769&lt;0,(10-9)*A3769,-9*A3769))+L$129*EXP(IF(A3769&lt;0,(10-10)*A3769,-10*A3769)),0)</x:f>
        <x:v>-190000.5577977405</x:v>
      </x:c>
      <x:c r="C3769" s="256" t="n">
        <x:f>IF(B3769=0,IF(B3768=0,0,1),IF(B3768=0,0,IF(SIGN(B3769)&lt;&gt;SIGN(B3768),1,0)))</x:f>
        <x:v>0</x:v>
      </x:c>
      <x:c r="D3769" s="256" t="n">
        <x:f>EXP(A3769-0.005)-1</x:f>
        <x:v>14543.962605881357</x:v>
      </x:c>
    </x:row>
    <x:row r="3770" ht="20" customHeight="1">
      <x:c r="A3770" s="256" t="n">
        <x:f>-12+2160*0.01</x:f>
        <x:v>9.600000000000001</x:v>
      </x:c>
      <x:c r="B3770" s="256" t="n">
        <x:f>IF(COUNT($B$129:$L$129)=11,B$129*EXP(IF(A3770&lt;0,(10-0)*A3770,-0*A3770))+C$129*EXP(IF(A3770&lt;0,(10-1)*A3770,-1*A3770))+D$129*EXP(IF(A3770&lt;0,(10-2)*A3770,-2*A3770))+E$129*EXP(IF(A3770&lt;0,(10-3)*A3770,-3*A3770))+F$129*EXP(IF(A3770&lt;0,(10-4)*A3770,-4*A3770))+G$129*EXP(IF(A3770&lt;0,(10-5)*A3770,-5*A3770))+H$129*EXP(IF(A3770&lt;0,(10-6)*A3770,-6*A3770))+I$129*EXP(IF(A3770&lt;0,(10-7)*A3770,-7*A3770))+J$129*EXP(IF(A3770&lt;0,(10-8)*A3770,-8*A3770))+K$129*EXP(IF(A3770&lt;0,(10-9)*A3770,-9*A3770))+L$129*EXP(IF(A3770&lt;0,(10-10)*A3770,-10*A3770)),0)</x:f>
        <x:v>-190000.55224728666</x:v>
      </x:c>
      <x:c r="C3770" s="256" t="n">
        <x:f>IF(B3770=0,IF(B3769=0,0,1),IF(B3769=0,0,IF(SIGN(B3770)&lt;&gt;SIGN(B3769),1,0)))</x:f>
        <x:v>0</x:v>
      </x:c>
      <x:c r="D3770" s="256" t="n">
        <x:f>EXP(A3770-0.005)-1</x:f>
        <x:v>14690.141910303464</x:v>
      </x:c>
    </x:row>
    <x:row r="3771" ht="20" customHeight="1">
      <x:c r="A3771" s="256" t="n">
        <x:f>-12+2161*0.01</x:f>
        <x:v>9.61</x:v>
      </x:c>
      <x:c r="B3771" s="256" t="n">
        <x:f>IF(COUNT($B$129:$L$129)=11,B$129*EXP(IF(A3771&lt;0,(10-0)*A3771,-0*A3771))+C$129*EXP(IF(A3771&lt;0,(10-1)*A3771,-1*A3771))+D$129*EXP(IF(A3771&lt;0,(10-2)*A3771,-2*A3771))+E$129*EXP(IF(A3771&lt;0,(10-3)*A3771,-3*A3771))+F$129*EXP(IF(A3771&lt;0,(10-4)*A3771,-4*A3771))+G$129*EXP(IF(A3771&lt;0,(10-5)*A3771,-5*A3771))+H$129*EXP(IF(A3771&lt;0,(10-6)*A3771,-6*A3771))+I$129*EXP(IF(A3771&lt;0,(10-7)*A3771,-7*A3771))+J$129*EXP(IF(A3771&lt;0,(10-8)*A3771,-8*A3771))+K$129*EXP(IF(A3771&lt;0,(10-9)*A3771,-9*A3771))+L$129*EXP(IF(A3771&lt;0,(10-10)*A3771,-10*A3771)),0)</x:f>
        <x:v>-190000.54675206618</x:v>
      </x:c>
      <x:c r="C3771" s="256" t="n">
        <x:f>IF(B3771=0,IF(B3770=0,0,1),IF(B3770=0,0,IF(SIGN(B3771)&lt;&gt;SIGN(B3770),1,0)))</x:f>
        <x:v>0</x:v>
      </x:c>
      <x:c r="D3771" s="256" t="n">
        <x:f>EXP(A3771-0.005)-1</x:f>
        <x:v>14837.790341159209</x:v>
      </x:c>
    </x:row>
    <x:row r="3772" ht="20" customHeight="1">
      <x:c r="A3772" s="256" t="n">
        <x:f>-12+2162*0.01</x:f>
        <x:v>9.620000000000001</x:v>
      </x:c>
      <x:c r="B3772" s="256" t="n">
        <x:f>IF(COUNT($B$129:$L$129)=11,B$129*EXP(IF(A3772&lt;0,(10-0)*A3772,-0*A3772))+C$129*EXP(IF(A3772&lt;0,(10-1)*A3772,-1*A3772))+D$129*EXP(IF(A3772&lt;0,(10-2)*A3772,-2*A3772))+E$129*EXP(IF(A3772&lt;0,(10-3)*A3772,-3*A3772))+F$129*EXP(IF(A3772&lt;0,(10-4)*A3772,-4*A3772))+G$129*EXP(IF(A3772&lt;0,(10-5)*A3772,-5*A3772))+H$129*EXP(IF(A3772&lt;0,(10-6)*A3772,-6*A3772))+I$129*EXP(IF(A3772&lt;0,(10-7)*A3772,-7*A3772))+J$129*EXP(IF(A3772&lt;0,(10-8)*A3772,-8*A3772))+K$129*EXP(IF(A3772&lt;0,(10-9)*A3772,-9*A3772))+L$129*EXP(IF(A3772&lt;0,(10-10)*A3772,-10*A3772)),0)</x:f>
        <x:v>-190000.5413115294</x:v>
      </x:c>
      <x:c r="C3772" s="256" t="n">
        <x:f>IF(B3772=0,IF(B3771=0,0,1),IF(B3771=0,0,IF(SIGN(B3772)&lt;&gt;SIGN(B3771),1,0)))</x:f>
        <x:v>0</x:v>
      </x:c>
      <x:c r="D3772" s="256" t="n">
        <x:f>EXP(A3772-0.005)-1</x:f>
        <x:v>14986.922663414822</x:v>
      </x:c>
    </x:row>
    <x:row r="3773" ht="20" customHeight="1">
      <x:c r="A3773" s="256" t="n">
        <x:f>-12+2163*0.01</x:f>
        <x:v>9.629999999999999</x:v>
      </x:c>
      <x:c r="B3773" s="256" t="n">
        <x:f>IF(COUNT($B$129:$L$129)=11,B$129*EXP(IF(A3773&lt;0,(10-0)*A3773,-0*A3773))+C$129*EXP(IF(A3773&lt;0,(10-1)*A3773,-1*A3773))+D$129*EXP(IF(A3773&lt;0,(10-2)*A3773,-2*A3773))+E$129*EXP(IF(A3773&lt;0,(10-3)*A3773,-3*A3773))+F$129*EXP(IF(A3773&lt;0,(10-4)*A3773,-4*A3773))+G$129*EXP(IF(A3773&lt;0,(10-5)*A3773,-5*A3773))+H$129*EXP(IF(A3773&lt;0,(10-6)*A3773,-6*A3773))+I$129*EXP(IF(A3773&lt;0,(10-7)*A3773,-7*A3773))+J$129*EXP(IF(A3773&lt;0,(10-8)*A3773,-8*A3773))+K$129*EXP(IF(A3773&lt;0,(10-9)*A3773,-9*A3773))+L$129*EXP(IF(A3773&lt;0,(10-10)*A3773,-10*A3773)),0)</x:f>
        <x:v>-190000.53592513205</x:v>
      </x:c>
      <x:c r="C3773" s="256" t="n">
        <x:f>IF(B3773=0,IF(B3772=0,0,1),IF(B3772=0,0,IF(SIGN(B3773)&lt;&gt;SIGN(B3772),1,0)))</x:f>
        <x:v>0</x:v>
      </x:c>
      <x:c r="D3773" s="256" t="n">
        <x:f>EXP(A3773-0.005)-1</x:f>
        <x:v>15137.5537904267</x:v>
      </x:c>
    </x:row>
    <x:row r="3774" ht="20" customHeight="1">
      <x:c r="A3774" s="256" t="n">
        <x:f>-12+2164*0.01</x:f>
        <x:v>9.64</x:v>
      </x:c>
      <x:c r="B3774" s="256" t="n">
        <x:f>IF(COUNT($B$129:$L$129)=11,B$129*EXP(IF(A3774&lt;0,(10-0)*A3774,-0*A3774))+C$129*EXP(IF(A3774&lt;0,(10-1)*A3774,-1*A3774))+D$129*EXP(IF(A3774&lt;0,(10-2)*A3774,-2*A3774))+E$129*EXP(IF(A3774&lt;0,(10-3)*A3774,-3*A3774))+F$129*EXP(IF(A3774&lt;0,(10-4)*A3774,-4*A3774))+G$129*EXP(IF(A3774&lt;0,(10-5)*A3774,-5*A3774))+H$129*EXP(IF(A3774&lt;0,(10-6)*A3774,-6*A3774))+I$129*EXP(IF(A3774&lt;0,(10-7)*A3774,-7*A3774))+J$129*EXP(IF(A3774&lt;0,(10-8)*A3774,-8*A3774))+K$129*EXP(IF(A3774&lt;0,(10-9)*A3774,-9*A3774))+L$129*EXP(IF(A3774&lt;0,(10-10)*A3774,-10*A3774)),0)</x:f>
        <x:v>-190000.5305923354</x:v>
      </x:c>
      <x:c r="C3774" s="256" t="n">
        <x:f>IF(B3774=0,IF(B3773=0,0,1),IF(B3773=0,0,IF(SIGN(B3774)&lt;&gt;SIGN(B3773),1,0)))</x:f>
        <x:v>0</x:v>
      </x:c>
      <x:c r="D3774" s="256" t="n">
        <x:f>EXP(A3774-0.005)-1</x:f>
        <x:v>15289.698785433178</x:v>
      </x:c>
    </x:row>
    <x:row r="3775" ht="20" customHeight="1">
      <x:c r="A3775" s="256" t="n">
        <x:f>-12+2165*0.01</x:f>
        <x:v>9.650000000000002</x:v>
      </x:c>
      <x:c r="B3775" s="256" t="n">
        <x:f>IF(COUNT($B$129:$L$129)=11,B$129*EXP(IF(A3775&lt;0,(10-0)*A3775,-0*A3775))+C$129*EXP(IF(A3775&lt;0,(10-1)*A3775,-1*A3775))+D$129*EXP(IF(A3775&lt;0,(10-2)*A3775,-2*A3775))+E$129*EXP(IF(A3775&lt;0,(10-3)*A3775,-3*A3775))+F$129*EXP(IF(A3775&lt;0,(10-4)*A3775,-4*A3775))+G$129*EXP(IF(A3775&lt;0,(10-5)*A3775,-5*A3775))+H$129*EXP(IF(A3775&lt;0,(10-6)*A3775,-6*A3775))+I$129*EXP(IF(A3775&lt;0,(10-7)*A3775,-7*A3775))+J$129*EXP(IF(A3775&lt;0,(10-8)*A3775,-8*A3775))+K$129*EXP(IF(A3775&lt;0,(10-9)*A3775,-9*A3775))+L$129*EXP(IF(A3775&lt;0,(10-10)*A3775,-10*A3775)),0)</x:f>
        <x:v>-190000.52531260587</x:v>
      </x:c>
      <x:c r="C3775" s="256" t="n">
        <x:f>IF(B3775=0,IF(B3774=0,0,1),IF(B3774=0,0,IF(SIGN(B3775)&lt;&gt;SIGN(B3774),1,0)))</x:f>
        <x:v>0</x:v>
      </x:c>
      <x:c r="D3775" s="256" t="n">
        <x:f>EXP(A3775-0.005)-1</x:f>
        <x:v>15443.372863060491</x:v>
      </x:c>
    </x:row>
    <x:row r="3776" ht="20" customHeight="1">
      <x:c r="A3776" s="256" t="n">
        <x:f>-12+2166*0.01</x:f>
        <x:v>9.66</x:v>
      </x:c>
      <x:c r="B3776" s="256" t="n">
        <x:f>IF(COUNT($B$129:$L$129)=11,B$129*EXP(IF(A3776&lt;0,(10-0)*A3776,-0*A3776))+C$129*EXP(IF(A3776&lt;0,(10-1)*A3776,-1*A3776))+D$129*EXP(IF(A3776&lt;0,(10-2)*A3776,-2*A3776))+E$129*EXP(IF(A3776&lt;0,(10-3)*A3776,-3*A3776))+F$129*EXP(IF(A3776&lt;0,(10-4)*A3776,-4*A3776))+G$129*EXP(IF(A3776&lt;0,(10-5)*A3776,-5*A3776))+H$129*EXP(IF(A3776&lt;0,(10-6)*A3776,-6*A3776))+I$129*EXP(IF(A3776&lt;0,(10-7)*A3776,-7*A3776))+J$129*EXP(IF(A3776&lt;0,(10-8)*A3776,-8*A3776))+K$129*EXP(IF(A3776&lt;0,(10-9)*A3776,-9*A3776))+L$129*EXP(IF(A3776&lt;0,(10-10)*A3776,-10*A3776)),0)</x:f>
        <x:v>-190000.5200854155</x:v>
      </x:c>
      <x:c r="C3776" s="256" t="n">
        <x:f>IF(B3776=0,IF(B3775=0,0,1),IF(B3775=0,0,IF(SIGN(B3776)&lt;&gt;SIGN(B3775),1,0)))</x:f>
        <x:v>0</x:v>
      </x:c>
      <x:c r="D3776" s="256" t="n">
        <x:f>EXP(A3776-0.005)-1</x:f>
        <x:v>15598.591390844409</x:v>
      </x:c>
    </x:row>
    <x:row r="3777" ht="20" customHeight="1">
      <x:c r="A3777" s="256" t="n">
        <x:f>-12+2167*0.01</x:f>
        <x:v>9.670000000000002</x:v>
      </x:c>
      <x:c r="B3777" s="256" t="n">
        <x:f>IF(COUNT($B$129:$L$129)=11,B$129*EXP(IF(A3777&lt;0,(10-0)*A3777,-0*A3777))+C$129*EXP(IF(A3777&lt;0,(10-1)*A3777,-1*A3777))+D$129*EXP(IF(A3777&lt;0,(10-2)*A3777,-2*A3777))+E$129*EXP(IF(A3777&lt;0,(10-3)*A3777,-3*A3777))+F$129*EXP(IF(A3777&lt;0,(10-4)*A3777,-4*A3777))+G$129*EXP(IF(A3777&lt;0,(10-5)*A3777,-5*A3777))+H$129*EXP(IF(A3777&lt;0,(10-6)*A3777,-6*A3777))+I$129*EXP(IF(A3777&lt;0,(10-7)*A3777,-7*A3777))+J$129*EXP(IF(A3777&lt;0,(10-8)*A3777,-8*A3777))+K$129*EXP(IF(A3777&lt;0,(10-9)*A3777,-9*A3777))+L$129*EXP(IF(A3777&lt;0,(10-10)*A3777,-10*A3777)),0)</x:f>
        <x:v>-190000.51491024133</x:v>
      </x:c>
      <x:c r="C3777" s="256" t="n">
        <x:f>IF(B3777=0,IF(B3776=0,0,1),IF(B3776=0,0,IF(SIGN(B3777)&lt;&gt;SIGN(B3776),1,0)))</x:f>
        <x:v>0</x:v>
      </x:c>
      <x:c r="D3777" s="256" t="n">
        <x:f>EXP(A3777-0.005)-1</x:f>
        <x:v>15755.36989076717</x:v>
      </x:c>
    </x:row>
    <x:row r="3778" ht="20" customHeight="1">
      <x:c r="A3778" s="256" t="n">
        <x:f>-12+2168*0.01</x:f>
        <x:v>9.68</x:v>
      </x:c>
      <x:c r="B3778" s="256" t="n">
        <x:f>IF(COUNT($B$129:$L$129)=11,B$129*EXP(IF(A3778&lt;0,(10-0)*A3778,-0*A3778))+C$129*EXP(IF(A3778&lt;0,(10-1)*A3778,-1*A3778))+D$129*EXP(IF(A3778&lt;0,(10-2)*A3778,-2*A3778))+E$129*EXP(IF(A3778&lt;0,(10-3)*A3778,-3*A3778))+F$129*EXP(IF(A3778&lt;0,(10-4)*A3778,-4*A3778))+G$129*EXP(IF(A3778&lt;0,(10-5)*A3778,-5*A3778))+H$129*EXP(IF(A3778&lt;0,(10-6)*A3778,-6*A3778))+I$129*EXP(IF(A3778&lt;0,(10-7)*A3778,-7*A3778))+J$129*EXP(IF(A3778&lt;0,(10-8)*A3778,-8*A3778))+K$129*EXP(IF(A3778&lt;0,(10-9)*A3778,-9*A3778))+L$129*EXP(IF(A3778&lt;0,(10-10)*A3778,-10*A3778)),0)</x:f>
        <x:v>-190000.5097865657</x:v>
      </x:c>
      <x:c r="C3778" s="256" t="n">
        <x:f>IF(B3778=0,IF(B3777=0,0,1),IF(B3777=0,0,IF(SIGN(B3778)&lt;&gt;SIGN(B3777),1,0)))</x:f>
        <x:v>0</x:v>
      </x:c>
      <x:c r="D3778" s="256" t="n">
        <x:f>EXP(A3778-0.005)-1</x:f>
        <x:v>15913.724040809302</x:v>
      </x:c>
    </x:row>
    <x:row r="3779" ht="20" customHeight="1">
      <x:c r="A3779" s="256" t="n">
        <x:f>-12+2169*0.01</x:f>
        <x:v>9.690000000000001</x:v>
      </x:c>
      <x:c r="B3779" s="256" t="n">
        <x:f>IF(COUNT($B$129:$L$129)=11,B$129*EXP(IF(A3779&lt;0,(10-0)*A3779,-0*A3779))+C$129*EXP(IF(A3779&lt;0,(10-1)*A3779,-1*A3779))+D$129*EXP(IF(A3779&lt;0,(10-2)*A3779,-2*A3779))+E$129*EXP(IF(A3779&lt;0,(10-3)*A3779,-3*A3779))+F$129*EXP(IF(A3779&lt;0,(10-4)*A3779,-4*A3779))+G$129*EXP(IF(A3779&lt;0,(10-5)*A3779,-5*A3779))+H$129*EXP(IF(A3779&lt;0,(10-6)*A3779,-6*A3779))+I$129*EXP(IF(A3779&lt;0,(10-7)*A3779,-7*A3779))+J$129*EXP(IF(A3779&lt;0,(10-8)*A3779,-8*A3779))+K$129*EXP(IF(A3779&lt;0,(10-9)*A3779,-9*A3779))+L$129*EXP(IF(A3779&lt;0,(10-10)*A3779,-10*A3779)),0)</x:f>
        <x:v>-190000.50471387611</x:v>
      </x:c>
      <x:c r="C3779" s="256" t="n">
        <x:f>IF(B3779=0,IF(B3778=0,0,1),IF(B3778=0,0,IF(SIGN(B3779)&lt;&gt;SIGN(B3778),1,0)))</x:f>
        <x:v>0</x:v>
      </x:c>
      <x:c r="D3779" s="256" t="n">
        <x:f>EXP(A3779-0.005)-1</x:f>
        <x:v>16073.669676517888</x:v>
      </x:c>
    </x:row>
    <x:row r="3780" ht="20" customHeight="1">
      <x:c r="A3780" s="256" t="n">
        <x:f>-12+2170*0.01</x:f>
        <x:v>9.7</x:v>
      </x:c>
      <x:c r="B3780" s="256" t="n">
        <x:f>IF(COUNT($B$129:$L$129)=11,B$129*EXP(IF(A3780&lt;0,(10-0)*A3780,-0*A3780))+C$129*EXP(IF(A3780&lt;0,(10-1)*A3780,-1*A3780))+D$129*EXP(IF(A3780&lt;0,(10-2)*A3780,-2*A3780))+E$129*EXP(IF(A3780&lt;0,(10-3)*A3780,-3*A3780))+F$129*EXP(IF(A3780&lt;0,(10-4)*A3780,-4*A3780))+G$129*EXP(IF(A3780&lt;0,(10-5)*A3780,-5*A3780))+H$129*EXP(IF(A3780&lt;0,(10-6)*A3780,-6*A3780))+I$129*EXP(IF(A3780&lt;0,(10-7)*A3780,-7*A3780))+J$129*EXP(IF(A3780&lt;0,(10-8)*A3780,-8*A3780))+K$129*EXP(IF(A3780&lt;0,(10-9)*A3780,-9*A3780))+L$129*EXP(IF(A3780&lt;0,(10-10)*A3780,-10*A3780)),0)</x:f>
        <x:v>-190000.49969166517</x:v>
      </x:c>
      <x:c r="C3780" s="256" t="n">
        <x:f>IF(B3780=0,IF(B3779=0,0,1),IF(B3779=0,0,IF(SIGN(B3780)&lt;&gt;SIGN(B3779),1,0)))</x:f>
        <x:v>0</x:v>
      </x:c>
      <x:c r="D3780" s="256" t="n">
        <x:f>EXP(A3780-0.005)-1</x:f>
        <x:v>16235.22279258967</x:v>
      </x:c>
    </x:row>
    <x:row r="3781" ht="20" customHeight="1">
      <x:c r="A3781" s="256" t="n">
        <x:f>-12+2171*0.01</x:f>
        <x:v>9.71</x:v>
      </x:c>
      <x:c r="B3781" s="256" t="n">
        <x:f>IF(COUNT($B$129:$L$129)=11,B$129*EXP(IF(A3781&lt;0,(10-0)*A3781,-0*A3781))+C$129*EXP(IF(A3781&lt;0,(10-1)*A3781,-1*A3781))+D$129*EXP(IF(A3781&lt;0,(10-2)*A3781,-2*A3781))+E$129*EXP(IF(A3781&lt;0,(10-3)*A3781,-3*A3781))+F$129*EXP(IF(A3781&lt;0,(10-4)*A3781,-4*A3781))+G$129*EXP(IF(A3781&lt;0,(10-5)*A3781,-5*A3781))+H$129*EXP(IF(A3781&lt;0,(10-6)*A3781,-6*A3781))+I$129*EXP(IF(A3781&lt;0,(10-7)*A3781,-7*A3781))+J$129*EXP(IF(A3781&lt;0,(10-8)*A3781,-8*A3781))+K$129*EXP(IF(A3781&lt;0,(10-9)*A3781,-9*A3781))+L$129*EXP(IF(A3781&lt;0,(10-10)*A3781,-10*A3781)),0)</x:f>
        <x:v>-190000.4947194305</x:v>
      </x:c>
      <x:c r="C3781" s="256" t="n">
        <x:f>IF(B3781=0,IF(B3780=0,0,1),IF(B3780=0,0,IF(SIGN(B3781)&lt;&gt;SIGN(B3780),1,0)))</x:f>
        <x:v>0</x:v>
      </x:c>
      <x:c r="D3781" s="256" t="n">
        <x:f>EXP(A3781-0.005)-1</x:f>
        <x:v>16398.399544470998</x:v>
      </x:c>
    </x:row>
    <x:row r="3782" ht="20" customHeight="1">
      <x:c r="A3782" s="256" t="n">
        <x:f>-12+2172*0.01</x:f>
        <x:v>9.719999999999999</x:v>
      </x:c>
      <x:c r="B3782" s="256" t="n">
        <x:f>IF(COUNT($B$129:$L$129)=11,B$129*EXP(IF(A3782&lt;0,(10-0)*A3782,-0*A3782))+C$129*EXP(IF(A3782&lt;0,(10-1)*A3782,-1*A3782))+D$129*EXP(IF(A3782&lt;0,(10-2)*A3782,-2*A3782))+E$129*EXP(IF(A3782&lt;0,(10-3)*A3782,-3*A3782))+F$129*EXP(IF(A3782&lt;0,(10-4)*A3782,-4*A3782))+G$129*EXP(IF(A3782&lt;0,(10-5)*A3782,-5*A3782))+H$129*EXP(IF(A3782&lt;0,(10-6)*A3782,-6*A3782))+I$129*EXP(IF(A3782&lt;0,(10-7)*A3782,-7*A3782))+J$129*EXP(IF(A3782&lt;0,(10-8)*A3782,-8*A3782))+K$129*EXP(IF(A3782&lt;0,(10-9)*A3782,-9*A3782))+L$129*EXP(IF(A3782&lt;0,(10-10)*A3782,-10*A3782)),0)</x:f>
        <x:v>-190000.48979667472</x:v>
      </x:c>
      <x:c r="C3782" s="256" t="n">
        <x:f>IF(B3782=0,IF(B3781=0,0,1),IF(B3781=0,0,IF(SIGN(B3782)&lt;&gt;SIGN(B3781),1,0)))</x:f>
        <x:v>0</x:v>
      </x:c>
      <x:c r="D3782" s="256" t="n">
        <x:f>EXP(A3782-0.005)-1</x:f>
        <x:v>16563.216249972927</x:v>
      </x:c>
    </x:row>
    <x:row r="3783" ht="20" customHeight="1">
      <x:c r="A3783" s="256" t="n">
        <x:f>-12+2173*0.01</x:f>
        <x:v>9.73</x:v>
      </x:c>
      <x:c r="B3783" s="256" t="n">
        <x:f>IF(COUNT($B$129:$L$129)=11,B$129*EXP(IF(A3783&lt;0,(10-0)*A3783,-0*A3783))+C$129*EXP(IF(A3783&lt;0,(10-1)*A3783,-1*A3783))+D$129*EXP(IF(A3783&lt;0,(10-2)*A3783,-2*A3783))+E$129*EXP(IF(A3783&lt;0,(10-3)*A3783,-3*A3783))+F$129*EXP(IF(A3783&lt;0,(10-4)*A3783,-4*A3783))+G$129*EXP(IF(A3783&lt;0,(10-5)*A3783,-5*A3783))+H$129*EXP(IF(A3783&lt;0,(10-6)*A3783,-6*A3783))+I$129*EXP(IF(A3783&lt;0,(10-7)*A3783,-7*A3783))+J$129*EXP(IF(A3783&lt;0,(10-8)*A3783,-8*A3783))+K$129*EXP(IF(A3783&lt;0,(10-9)*A3783,-9*A3783))+L$129*EXP(IF(A3783&lt;0,(10-10)*A3783,-10*A3783)),0)</x:f>
        <x:v>-190000.48492290545</x:v>
      </x:c>
      <x:c r="C3783" s="256" t="n">
        <x:f>IF(B3783=0,IF(B3782=0,0,1),IF(B3782=0,0,IF(SIGN(B3783)&lt;&gt;SIGN(B3782),1,0)))</x:f>
        <x:v>0</x:v>
      </x:c>
      <x:c r="D3783" s="256" t="n">
        <x:f>EXP(A3783-0.005)-1</x:f>
        <x:v>16729.689390903473</x:v>
      </x:c>
    </x:row>
    <x:row r="3784" ht="20" customHeight="1">
      <x:c r="A3784" s="256" t="n">
        <x:f>-12+2174*0.01</x:f>
        <x:v>9.740000000000002</x:v>
      </x:c>
      <x:c r="B3784" s="256" t="n">
        <x:f>IF(COUNT($B$129:$L$129)=11,B$129*EXP(IF(A3784&lt;0,(10-0)*A3784,-0*A3784))+C$129*EXP(IF(A3784&lt;0,(10-1)*A3784,-1*A3784))+D$129*EXP(IF(A3784&lt;0,(10-2)*A3784,-2*A3784))+E$129*EXP(IF(A3784&lt;0,(10-3)*A3784,-3*A3784))+F$129*EXP(IF(A3784&lt;0,(10-4)*A3784,-4*A3784))+G$129*EXP(IF(A3784&lt;0,(10-5)*A3784,-5*A3784))+H$129*EXP(IF(A3784&lt;0,(10-6)*A3784,-6*A3784))+I$129*EXP(IF(A3784&lt;0,(10-7)*A3784,-7*A3784))+J$129*EXP(IF(A3784&lt;0,(10-8)*A3784,-8*A3784))+K$129*EXP(IF(A3784&lt;0,(10-9)*A3784,-9*A3784))+L$129*EXP(IF(A3784&lt;0,(10-10)*A3784,-10*A3784)),0)</x:f>
        <x:v>-190000.48009763515</x:v>
      </x:c>
      <x:c r="C3784" s="256" t="n">
        <x:f>IF(B3784=0,IF(B3783=0,0,1),IF(B3783=0,0,IF(SIGN(B3784)&lt;&gt;SIGN(B3783),1,0)))</x:f>
        <x:v>0</x:v>
      </x:c>
      <x:c r="D3784" s="256" t="n">
        <x:f>EXP(A3784-0.005)-1</x:f>
        <x:v>16897.835614715397</x:v>
      </x:c>
    </x:row>
    <x:row r="3785" ht="20" customHeight="1">
      <x:c r="A3785" s="256" t="n">
        <x:f>-12+2175*0.01</x:f>
        <x:v>9.75</x:v>
      </x:c>
      <x:c r="B3785" s="256" t="n">
        <x:f>IF(COUNT($B$129:$L$129)=11,B$129*EXP(IF(A3785&lt;0,(10-0)*A3785,-0*A3785))+C$129*EXP(IF(A3785&lt;0,(10-1)*A3785,-1*A3785))+D$129*EXP(IF(A3785&lt;0,(10-2)*A3785,-2*A3785))+E$129*EXP(IF(A3785&lt;0,(10-3)*A3785,-3*A3785))+F$129*EXP(IF(A3785&lt;0,(10-4)*A3785,-4*A3785))+G$129*EXP(IF(A3785&lt;0,(10-5)*A3785,-5*A3785))+H$129*EXP(IF(A3785&lt;0,(10-6)*A3785,-6*A3785))+I$129*EXP(IF(A3785&lt;0,(10-7)*A3785,-7*A3785))+J$129*EXP(IF(A3785&lt;0,(10-8)*A3785,-8*A3785))+K$129*EXP(IF(A3785&lt;0,(10-9)*A3785,-9*A3785))+L$129*EXP(IF(A3785&lt;0,(10-10)*A3785,-10*A3785)),0)</x:f>
        <x:v>-190000.47532038123</x:v>
      </x:c>
      <x:c r="C3785" s="256" t="n">
        <x:f>IF(B3785=0,IF(B3784=0,0,1),IF(B3784=0,0,IF(SIGN(B3785)&lt;&gt;SIGN(B3784),1,0)))</x:f>
        <x:v>0</x:v>
      </x:c>
      <x:c r="D3785" s="256" t="n">
        <x:f>EXP(A3785-0.005)-1</x:f>
        <x:v>17067.671736171145</x:v>
      </x:c>
    </x:row>
    <x:row r="3786" ht="20" customHeight="1">
      <x:c r="A3786" s="256" t="n">
        <x:f>-12+2176*0.01</x:f>
        <x:v>9.760000000000002</x:v>
      </x:c>
      <x:c r="B3786" s="256" t="n">
        <x:f>IF(COUNT($B$129:$L$129)=11,B$129*EXP(IF(A3786&lt;0,(10-0)*A3786,-0*A3786))+C$129*EXP(IF(A3786&lt;0,(10-1)*A3786,-1*A3786))+D$129*EXP(IF(A3786&lt;0,(10-2)*A3786,-2*A3786))+E$129*EXP(IF(A3786&lt;0,(10-3)*A3786,-3*A3786))+F$129*EXP(IF(A3786&lt;0,(10-4)*A3786,-4*A3786))+G$129*EXP(IF(A3786&lt;0,(10-5)*A3786,-5*A3786))+H$129*EXP(IF(A3786&lt;0,(10-6)*A3786,-6*A3786))+I$129*EXP(IF(A3786&lt;0,(10-7)*A3786,-7*A3786))+J$129*EXP(IF(A3786&lt;0,(10-8)*A3786,-8*A3786))+K$129*EXP(IF(A3786&lt;0,(10-9)*A3786,-9*A3786))+L$129*EXP(IF(A3786&lt;0,(10-10)*A3786,-10*A3786)),0)</x:f>
        <x:v>-190000.4705906658</x:v>
      </x:c>
      <x:c r="C3786" s="256" t="n">
        <x:f>IF(B3786=0,IF(B3785=0,0,1),IF(B3785=0,0,IF(SIGN(B3786)&lt;&gt;SIGN(B3785),1,0)))</x:f>
        <x:v>0</x:v>
      </x:c>
      <x:c r="D3786" s="256" t="n">
        <x:f>EXP(A3786-0.005)-1</x:f>
        <x:v>17239.214739024508</x:v>
      </x:c>
    </x:row>
    <x:row r="3787" ht="20" customHeight="1">
      <x:c r="A3787" s="256" t="n">
        <x:f>-12+2177*0.01</x:f>
        <x:v>9.77</x:v>
      </x:c>
      <x:c r="B3787" s="256" t="n">
        <x:f>IF(COUNT($B$129:$L$129)=11,B$129*EXP(IF(A3787&lt;0,(10-0)*A3787,-0*A3787))+C$129*EXP(IF(A3787&lt;0,(10-1)*A3787,-1*A3787))+D$129*EXP(IF(A3787&lt;0,(10-2)*A3787,-2*A3787))+E$129*EXP(IF(A3787&lt;0,(10-3)*A3787,-3*A3787))+F$129*EXP(IF(A3787&lt;0,(10-4)*A3787,-4*A3787))+G$129*EXP(IF(A3787&lt;0,(10-5)*A3787,-5*A3787))+H$129*EXP(IF(A3787&lt;0,(10-6)*A3787,-6*A3787))+I$129*EXP(IF(A3787&lt;0,(10-7)*A3787,-7*A3787))+J$129*EXP(IF(A3787&lt;0,(10-8)*A3787,-8*A3787))+K$129*EXP(IF(A3787&lt;0,(10-9)*A3787,-9*A3787))+L$129*EXP(IF(A3787&lt;0,(10-10)*A3787,-10*A3787)),0)</x:f>
        <x:v>-190000.4659080157</x:v>
      </x:c>
      <x:c r="C3787" s="256" t="n">
        <x:f>IF(B3787=0,IF(B3786=0,0,1),IF(B3786=0,0,IF(SIGN(B3787)&lt;&gt;SIGN(B3786),1,0)))</x:f>
        <x:v>0</x:v>
      </x:c>
      <x:c r="D3787" s="256" t="n">
        <x:f>EXP(A3787-0.005)-1</x:f>
        <x:v>17412.481777718607</x:v>
      </x:c>
    </x:row>
    <x:row r="3788" ht="20" customHeight="1">
      <x:c r="A3788" s="256" t="n">
        <x:f>-12+2178*0.01</x:f>
        <x:v>9.780000000000001</x:v>
      </x:c>
      <x:c r="B3788" s="256" t="n">
        <x:f>IF(COUNT($B$129:$L$129)=11,B$129*EXP(IF(A3788&lt;0,(10-0)*A3788,-0*A3788))+C$129*EXP(IF(A3788&lt;0,(10-1)*A3788,-1*A3788))+D$129*EXP(IF(A3788&lt;0,(10-2)*A3788,-2*A3788))+E$129*EXP(IF(A3788&lt;0,(10-3)*A3788,-3*A3788))+F$129*EXP(IF(A3788&lt;0,(10-4)*A3788,-4*A3788))+G$129*EXP(IF(A3788&lt;0,(10-5)*A3788,-5*A3788))+H$129*EXP(IF(A3788&lt;0,(10-6)*A3788,-6*A3788))+I$129*EXP(IF(A3788&lt;0,(10-7)*A3788,-7*A3788))+J$129*EXP(IF(A3788&lt;0,(10-8)*A3788,-8*A3788))+K$129*EXP(IF(A3788&lt;0,(10-9)*A3788,-9*A3788))+L$129*EXP(IF(A3788&lt;0,(10-10)*A3788,-10*A3788)),0)</x:f>
        <x:v>-190000.4612719626</x:v>
      </x:c>
      <x:c r="C3788" s="256" t="n">
        <x:f>IF(B3788=0,IF(B3787=0,0,1),IF(B3787=0,0,IF(SIGN(B3788)&lt;&gt;SIGN(B3787),1,0)))</x:f>
        <x:v>0</x:v>
      </x:c>
      <x:c r="D3788" s="256" t="n">
        <x:f>EXP(A3788-0.005)-1</x:f>
        <x:v>17587.49017910182</x:v>
      </x:c>
    </x:row>
    <x:row r="3789" ht="20" customHeight="1">
      <x:c r="A3789" s="256" t="n">
        <x:f>-12+2179*0.01</x:f>
        <x:v>9.79</x:v>
      </x:c>
      <x:c r="B3789" s="256" t="n">
        <x:f>IF(COUNT($B$129:$L$129)=11,B$129*EXP(IF(A3789&lt;0,(10-0)*A3789,-0*A3789))+C$129*EXP(IF(A3789&lt;0,(10-1)*A3789,-1*A3789))+D$129*EXP(IF(A3789&lt;0,(10-2)*A3789,-2*A3789))+E$129*EXP(IF(A3789&lt;0,(10-3)*A3789,-3*A3789))+F$129*EXP(IF(A3789&lt;0,(10-4)*A3789,-4*A3789))+G$129*EXP(IF(A3789&lt;0,(10-5)*A3789,-5*A3789))+H$129*EXP(IF(A3789&lt;0,(10-6)*A3789,-6*A3789))+I$129*EXP(IF(A3789&lt;0,(10-7)*A3789,-7*A3789))+J$129*EXP(IF(A3789&lt;0,(10-8)*A3789,-8*A3789))+K$129*EXP(IF(A3789&lt;0,(10-9)*A3789,-9*A3789))+L$129*EXP(IF(A3789&lt;0,(10-10)*A3789,-10*A3789)),0)</x:f>
        <x:v>-190000.45668204283</x:v>
      </x:c>
      <x:c r="C3789" s="256" t="n">
        <x:f>IF(B3789=0,IF(B3788=0,0,1),IF(B3788=0,0,IF(SIGN(B3789)&lt;&gt;SIGN(B3788),1,0)))</x:f>
        <x:v>0</x:v>
      </x:c>
      <x:c r="D3789" s="256" t="n">
        <x:f>EXP(A3789-0.005)-1</x:f>
        <x:v>17764.257444160008</x:v>
      </x:c>
    </x:row>
    <x:row r="3790" ht="20" customHeight="1">
      <x:c r="A3790" s="256" t="n">
        <x:f>-12+2180*0.01</x:f>
        <x:v>9.8</x:v>
      </x:c>
      <x:c r="B3790" s="256" t="n">
        <x:f>IF(COUNT($B$129:$L$129)=11,B$129*EXP(IF(A3790&lt;0,(10-0)*A3790,-0*A3790))+C$129*EXP(IF(A3790&lt;0,(10-1)*A3790,-1*A3790))+D$129*EXP(IF(A3790&lt;0,(10-2)*A3790,-2*A3790))+E$129*EXP(IF(A3790&lt;0,(10-3)*A3790,-3*A3790))+F$129*EXP(IF(A3790&lt;0,(10-4)*A3790,-4*A3790))+G$129*EXP(IF(A3790&lt;0,(10-5)*A3790,-5*A3790))+H$129*EXP(IF(A3790&lt;0,(10-6)*A3790,-6*A3790))+I$129*EXP(IF(A3790&lt;0,(10-7)*A3790,-7*A3790))+J$129*EXP(IF(A3790&lt;0,(10-8)*A3790,-8*A3790))+K$129*EXP(IF(A3790&lt;0,(10-9)*A3790,-9*A3790))+L$129*EXP(IF(A3790&lt;0,(10-10)*A3790,-10*A3790)),0)</x:f>
        <x:v>-190000.4521377972</x:v>
      </x:c>
      <x:c r="C3790" s="256" t="n">
        <x:f>IF(B3790=0,IF(B3789=0,0,1),IF(B3789=0,0,IF(SIGN(B3790)&lt;&gt;SIGN(B3789),1,0)))</x:f>
        <x:v>0</x:v>
      </x:c>
      <x:c r="D3790" s="256" t="n">
        <x:f>EXP(A3790-0.005)-1</x:f>
        <x:v>17942.801249767104</x:v>
      </x:c>
    </x:row>
    <x:row r="3791" ht="20" customHeight="1">
      <x:c r="A3791" s="256" t="n">
        <x:f>-12+2181*0.01</x:f>
        <x:v>9.809999999999999</x:v>
      </x:c>
      <x:c r="B3791" s="256" t="n">
        <x:f>IF(COUNT($B$129:$L$129)=11,B$129*EXP(IF(A3791&lt;0,(10-0)*A3791,-0*A3791))+C$129*EXP(IF(A3791&lt;0,(10-1)*A3791,-1*A3791))+D$129*EXP(IF(A3791&lt;0,(10-2)*A3791,-2*A3791))+E$129*EXP(IF(A3791&lt;0,(10-3)*A3791,-3*A3791))+F$129*EXP(IF(A3791&lt;0,(10-4)*A3791,-4*A3791))+G$129*EXP(IF(A3791&lt;0,(10-5)*A3791,-5*A3791))+H$129*EXP(IF(A3791&lt;0,(10-6)*A3791,-6*A3791))+I$129*EXP(IF(A3791&lt;0,(10-7)*A3791,-7*A3791))+J$129*EXP(IF(A3791&lt;0,(10-8)*A3791,-8*A3791))+K$129*EXP(IF(A3791&lt;0,(10-9)*A3791,-9*A3791))+L$129*EXP(IF(A3791&lt;0,(10-10)*A3791,-10*A3791)),0)</x:f>
        <x:v>-190000.44763877123</x:v>
      </x:c>
      <x:c r="C3791" s="256" t="n">
        <x:f>IF(B3791=0,IF(B3790=0,0,1),IF(B3790=0,0,IF(SIGN(B3791)&lt;&gt;SIGN(B3790),1,0)))</x:f>
        <x:v>0</x:v>
      </x:c>
      <x:c r="D3791" s="256" t="n">
        <x:f>EXP(A3791-0.005)-1</x:f>
        <x:v>18123.139450452334</x:v>
      </x:c>
    </x:row>
    <x:row r="3792" ht="20" customHeight="1">
      <x:c r="A3792" s="256" t="n">
        <x:f>-12+2182*0.01</x:f>
        <x:v>9.82</x:v>
      </x:c>
      <x:c r="B3792" s="256" t="n">
        <x:f>IF(COUNT($B$129:$L$129)=11,B$129*EXP(IF(A3792&lt;0,(10-0)*A3792,-0*A3792))+C$129*EXP(IF(A3792&lt;0,(10-1)*A3792,-1*A3792))+D$129*EXP(IF(A3792&lt;0,(10-2)*A3792,-2*A3792))+E$129*EXP(IF(A3792&lt;0,(10-3)*A3792,-3*A3792))+F$129*EXP(IF(A3792&lt;0,(10-4)*A3792,-4*A3792))+G$129*EXP(IF(A3792&lt;0,(10-5)*A3792,-5*A3792))+H$129*EXP(IF(A3792&lt;0,(10-6)*A3792,-6*A3792))+I$129*EXP(IF(A3792&lt;0,(10-7)*A3792,-7*A3792))+J$129*EXP(IF(A3792&lt;0,(10-8)*A3792,-8*A3792))+K$129*EXP(IF(A3792&lt;0,(10-9)*A3792,-9*A3792))+L$129*EXP(IF(A3792&lt;0,(10-10)*A3792,-10*A3792)),0)</x:f>
        <x:v>-190000.44318451485</x:v>
      </x:c>
      <x:c r="C3792" s="256" t="n">
        <x:f>IF(B3792=0,IF(B3791=0,0,1),IF(B3791=0,0,IF(SIGN(B3792)&lt;&gt;SIGN(B3791),1,0)))</x:f>
        <x:v>0</x:v>
      </x:c>
      <x:c r="D3792" s="256" t="n">
        <x:f>EXP(A3792-0.005)-1</x:f>
        <x:v>18305.29008018617</x:v>
      </x:c>
    </x:row>
    <x:row r="3793" ht="20" customHeight="1">
      <x:c r="A3793" s="256" t="n">
        <x:f>-12+2183*0.01</x:f>
        <x:v>9.830000000000002</x:v>
      </x:c>
      <x:c r="B3793" s="256" t="n">
        <x:f>IF(COUNT($B$129:$L$129)=11,B$129*EXP(IF(A3793&lt;0,(10-0)*A3793,-0*A3793))+C$129*EXP(IF(A3793&lt;0,(10-1)*A3793,-1*A3793))+D$129*EXP(IF(A3793&lt;0,(10-2)*A3793,-2*A3793))+E$129*EXP(IF(A3793&lt;0,(10-3)*A3793,-3*A3793))+F$129*EXP(IF(A3793&lt;0,(10-4)*A3793,-4*A3793))+G$129*EXP(IF(A3793&lt;0,(10-5)*A3793,-5*A3793))+H$129*EXP(IF(A3793&lt;0,(10-6)*A3793,-6*A3793))+I$129*EXP(IF(A3793&lt;0,(10-7)*A3793,-7*A3793))+J$129*EXP(IF(A3793&lt;0,(10-8)*A3793,-8*A3793))+K$129*EXP(IF(A3793&lt;0,(10-9)*A3793,-9*A3793))+L$129*EXP(IF(A3793&lt;0,(10-10)*A3793,-10*A3793)),0)</x:f>
        <x:v>-190000.43877458252</x:v>
      </x:c>
      <x:c r="C3793" s="256" t="n">
        <x:f>IF(B3793=0,IF(B3792=0,0,1),IF(B3792=0,0,IF(SIGN(B3793)&lt;&gt;SIGN(B3792),1,0)))</x:f>
        <x:v>0</x:v>
      </x:c>
      <x:c r="D3793" s="256" t="n">
        <x:f>EXP(A3793-0.005)-1</x:f>
        <x:v>18489.271354183318</x:v>
      </x:c>
    </x:row>
    <x:row r="3794" ht="20" customHeight="1">
      <x:c r="A3794" s="256" t="n">
        <x:f>-12+2184*0.01</x:f>
        <x:v>9.84</x:v>
      </x:c>
      <x:c r="B3794" s="256" t="n">
        <x:f>IF(COUNT($B$129:$L$129)=11,B$129*EXP(IF(A3794&lt;0,(10-0)*A3794,-0*A3794))+C$129*EXP(IF(A3794&lt;0,(10-1)*A3794,-1*A3794))+D$129*EXP(IF(A3794&lt;0,(10-2)*A3794,-2*A3794))+E$129*EXP(IF(A3794&lt;0,(10-3)*A3794,-3*A3794))+F$129*EXP(IF(A3794&lt;0,(10-4)*A3794,-4*A3794))+G$129*EXP(IF(A3794&lt;0,(10-5)*A3794,-5*A3794))+H$129*EXP(IF(A3794&lt;0,(10-6)*A3794,-6*A3794))+I$129*EXP(IF(A3794&lt;0,(10-7)*A3794,-7*A3794))+J$129*EXP(IF(A3794&lt;0,(10-8)*A3794,-8*A3794))+K$129*EXP(IF(A3794&lt;0,(10-9)*A3794,-9*A3794))+L$129*EXP(IF(A3794&lt;0,(10-10)*A3794,-10*A3794)),0)</x:f>
        <x:v>-190000.4344085332</x:v>
      </x:c>
      <x:c r="C3794" s="256" t="n">
        <x:f>IF(B3794=0,IF(B3793=0,0,1),IF(B3793=0,0,IF(SIGN(B3794)&lt;&gt;SIGN(B3793),1,0)))</x:f>
        <x:v>0</x:v>
      </x:c>
      <x:c r="D3794" s="256" t="n">
        <x:f>EXP(A3794-0.005)-1</x:f>
        <x:v>18675.101670724427</x:v>
      </x:c>
    </x:row>
    <x:row r="3795" ht="20" customHeight="1">
      <x:c r="A3795" s="256" t="n">
        <x:f>-12+2185*0.01</x:f>
        <x:v>9.850000000000001</x:v>
      </x:c>
      <x:c r="B3795" s="256" t="n">
        <x:f>IF(COUNT($B$129:$L$129)=11,B$129*EXP(IF(A3795&lt;0,(10-0)*A3795,-0*A3795))+C$129*EXP(IF(A3795&lt;0,(10-1)*A3795,-1*A3795))+D$129*EXP(IF(A3795&lt;0,(10-2)*A3795,-2*A3795))+E$129*EXP(IF(A3795&lt;0,(10-3)*A3795,-3*A3795))+F$129*EXP(IF(A3795&lt;0,(10-4)*A3795,-4*A3795))+G$129*EXP(IF(A3795&lt;0,(10-5)*A3795,-5*A3795))+H$129*EXP(IF(A3795&lt;0,(10-6)*A3795,-6*A3795))+I$129*EXP(IF(A3795&lt;0,(10-7)*A3795,-7*A3795))+J$129*EXP(IF(A3795&lt;0,(10-8)*A3795,-8*A3795))+K$129*EXP(IF(A3795&lt;0,(10-9)*A3795,-9*A3795))+L$129*EXP(IF(A3795&lt;0,(10-10)*A3795,-10*A3795)),0)</x:f>
        <x:v>-190000.4300859302</x:v>
      </x:c>
      <x:c r="C3795" s="256" t="n">
        <x:f>IF(B3795=0,IF(B3794=0,0,1),IF(B3794=0,0,IF(SIGN(B3795)&lt;&gt;SIGN(B3794),1,0)))</x:f>
        <x:v>0</x:v>
      </x:c>
      <x:c r="D3795" s="256" t="n">
        <x:f>EXP(A3795-0.005)-1</x:f>
        <x:v>18862.79961299615</x:v>
      </x:c>
    </x:row>
    <x:row r="3796" ht="20" customHeight="1">
      <x:c r="A3796" s="256" t="n">
        <x:f>-12+2186*0.01</x:f>
        <x:v>9.86</x:v>
      </x:c>
      <x:c r="B3796" s="256" t="n">
        <x:f>IF(COUNT($B$129:$L$129)=11,B$129*EXP(IF(A3796&lt;0,(10-0)*A3796,-0*A3796))+C$129*EXP(IF(A3796&lt;0,(10-1)*A3796,-1*A3796))+D$129*EXP(IF(A3796&lt;0,(10-2)*A3796,-2*A3796))+E$129*EXP(IF(A3796&lt;0,(10-3)*A3796,-3*A3796))+F$129*EXP(IF(A3796&lt;0,(10-4)*A3796,-4*A3796))+G$129*EXP(IF(A3796&lt;0,(10-5)*A3796,-5*A3796))+H$129*EXP(IF(A3796&lt;0,(10-6)*A3796,-6*A3796))+I$129*EXP(IF(A3796&lt;0,(10-7)*A3796,-7*A3796))+J$129*EXP(IF(A3796&lt;0,(10-8)*A3796,-8*A3796))+K$129*EXP(IF(A3796&lt;0,(10-9)*A3796,-9*A3796))+L$129*EXP(IF(A3796&lt;0,(10-10)*A3796,-10*A3796)),0)</x:f>
        <x:v>-190000.42580634105</x:v>
      </x:c>
      <x:c r="C3796" s="256" t="n">
        <x:f>IF(B3796=0,IF(B3795=0,0,1),IF(B3795=0,0,IF(SIGN(B3796)&lt;&gt;SIGN(B3795),1,0)))</x:f>
        <x:v>0</x:v>
      </x:c>
      <x:c r="D3796" s="256" t="n">
        <x:f>EXP(A3796-0.005)-1</x:f>
        <x:v>19052.383950948988</x:v>
      </x:c>
    </x:row>
    <x:row r="3797" ht="20" customHeight="1">
      <x:c r="A3797" s="256" t="n">
        <x:f>-12+2187*0.01</x:f>
        <x:v>9.870000000000001</x:v>
      </x:c>
      <x:c r="B3797" s="256" t="n">
        <x:f>IF(COUNT($B$129:$L$129)=11,B$129*EXP(IF(A3797&lt;0,(10-0)*A3797,-0*A3797))+C$129*EXP(IF(A3797&lt;0,(10-1)*A3797,-1*A3797))+D$129*EXP(IF(A3797&lt;0,(10-2)*A3797,-2*A3797))+E$129*EXP(IF(A3797&lt;0,(10-3)*A3797,-3*A3797))+F$129*EXP(IF(A3797&lt;0,(10-4)*A3797,-4*A3797))+G$129*EXP(IF(A3797&lt;0,(10-5)*A3797,-5*A3797))+H$129*EXP(IF(A3797&lt;0,(10-6)*A3797,-6*A3797))+I$129*EXP(IF(A3797&lt;0,(10-7)*A3797,-7*A3797))+J$129*EXP(IF(A3797&lt;0,(10-8)*A3797,-8*A3797))+K$129*EXP(IF(A3797&lt;0,(10-9)*A3797,-9*A3797))+L$129*EXP(IF(A3797&lt;0,(10-10)*A3797,-10*A3797)),0)</x:f>
        <x:v>-190000.42156933775</x:v>
      </x:c>
      <x:c r="C3797" s="256" t="n">
        <x:f>IF(B3797=0,IF(B3796=0,0,1),IF(B3796=0,0,IF(SIGN(B3797)&lt;&gt;SIGN(B3796),1,0)))</x:f>
        <x:v>0</x:v>
      </x:c>
      <x:c r="D3797" s="256" t="n">
        <x:f>EXP(A3797-0.005)-1</x:f>
        <x:v>19243.873643174862</x:v>
      </x:c>
    </x:row>
    <x:row r="3798" ht="20" customHeight="1">
      <x:c r="A3798" s="256" t="n">
        <x:f>-12+2188*0.01</x:f>
        <x:v>9.879999999999999</x:v>
      </x:c>
      <x:c r="B3798" s="256" t="n">
        <x:f>IF(COUNT($B$129:$L$129)=11,B$129*EXP(IF(A3798&lt;0,(10-0)*A3798,-0*A3798))+C$129*EXP(IF(A3798&lt;0,(10-1)*A3798,-1*A3798))+D$129*EXP(IF(A3798&lt;0,(10-2)*A3798,-2*A3798))+E$129*EXP(IF(A3798&lt;0,(10-3)*A3798,-3*A3798))+F$129*EXP(IF(A3798&lt;0,(10-4)*A3798,-4*A3798))+G$129*EXP(IF(A3798&lt;0,(10-5)*A3798,-5*A3798))+H$129*EXP(IF(A3798&lt;0,(10-6)*A3798,-6*A3798))+I$129*EXP(IF(A3798&lt;0,(10-7)*A3798,-7*A3798))+J$129*EXP(IF(A3798&lt;0,(10-8)*A3798,-8*A3798))+K$129*EXP(IF(A3798&lt;0,(10-9)*A3798,-9*A3798))+L$129*EXP(IF(A3798&lt;0,(10-10)*A3798,-10*A3798)),0)</x:f>
        <x:v>-190000.41737449646</x:v>
      </x:c>
      <x:c r="C3798" s="256" t="n">
        <x:f>IF(B3798=0,IF(B3797=0,0,1),IF(B3797=0,0,IF(SIGN(B3798)&lt;&gt;SIGN(B3797),1,0)))</x:f>
        <x:v>0</x:v>
      </x:c>
      <x:c r="D3798" s="256" t="n">
        <x:f>EXP(A3798-0.005)-1</x:f>
        <x:v>19437.287838802433</x:v>
      </x:c>
    </x:row>
    <x:row r="3799" ht="20" customHeight="1">
      <x:c r="A3799" s="256" t="n">
        <x:f>-12+2189*0.01</x:f>
        <x:v>9.89</x:v>
      </x:c>
      <x:c r="B3799" s="256" t="n">
        <x:f>IF(COUNT($B$129:$L$129)=11,B$129*EXP(IF(A3799&lt;0,(10-0)*A3799,-0*A3799))+C$129*EXP(IF(A3799&lt;0,(10-1)*A3799,-1*A3799))+D$129*EXP(IF(A3799&lt;0,(10-2)*A3799,-2*A3799))+E$129*EXP(IF(A3799&lt;0,(10-3)*A3799,-3*A3799))+F$129*EXP(IF(A3799&lt;0,(10-4)*A3799,-4*A3799))+G$129*EXP(IF(A3799&lt;0,(10-5)*A3799,-5*A3799))+H$129*EXP(IF(A3799&lt;0,(10-6)*A3799,-6*A3799))+I$129*EXP(IF(A3799&lt;0,(10-7)*A3799,-7*A3799))+J$129*EXP(IF(A3799&lt;0,(10-8)*A3799,-8*A3799))+K$129*EXP(IF(A3799&lt;0,(10-9)*A3799,-9*A3799))+L$129*EXP(IF(A3799&lt;0,(10-10)*A3799,-10*A3799)),0)</x:f>
        <x:v>-190000.4132213977</x:v>
      </x:c>
      <x:c r="C3799" s="256" t="n">
        <x:f>IF(B3799=0,IF(B3798=0,0,1),IF(B3798=0,0,IF(SIGN(B3799)&lt;&gt;SIGN(B3798),1,0)))</x:f>
        <x:v>0</x:v>
      </x:c>
      <x:c r="D3799" s="256" t="n">
        <x:f>EXP(A3799-0.005)-1</x:f>
        <x:v>19632.64587941258</x:v>
      </x:c>
    </x:row>
    <x:row r="3800" ht="20" customHeight="1">
      <x:c r="A3800" s="256" t="n">
        <x:f>-12+2190*0.01</x:f>
        <x:v>9.900000000000002</x:v>
      </x:c>
      <x:c r="B3800" s="256" t="n">
        <x:f>IF(COUNT($B$129:$L$129)=11,B$129*EXP(IF(A3800&lt;0,(10-0)*A3800,-0*A3800))+C$129*EXP(IF(A3800&lt;0,(10-1)*A3800,-1*A3800))+D$129*EXP(IF(A3800&lt;0,(10-2)*A3800,-2*A3800))+E$129*EXP(IF(A3800&lt;0,(10-3)*A3800,-3*A3800))+F$129*EXP(IF(A3800&lt;0,(10-4)*A3800,-4*A3800))+G$129*EXP(IF(A3800&lt;0,(10-5)*A3800,-5*A3800))+H$129*EXP(IF(A3800&lt;0,(10-6)*A3800,-6*A3800))+I$129*EXP(IF(A3800&lt;0,(10-7)*A3800,-7*A3800))+J$129*EXP(IF(A3800&lt;0,(10-8)*A3800,-8*A3800))+K$129*EXP(IF(A3800&lt;0,(10-9)*A3800,-9*A3800))+L$129*EXP(IF(A3800&lt;0,(10-10)*A3800,-10*A3800)),0)</x:f>
        <x:v>-190000.40910962594</x:v>
      </x:c>
      <x:c r="C3800" s="256" t="n">
        <x:f>IF(B3800=0,IF(B3799=0,0,1),IF(B3799=0,0,IF(SIGN(B3800)&lt;&gt;SIGN(B3799),1,0)))</x:f>
        <x:v>0</x:v>
      </x:c>
      <x:c r="D3800" s="256" t="n">
        <x:f>EXP(A3800-0.005)-1</x:f>
        <x:v>19829.967300972094</x:v>
      </x:c>
    </x:row>
    <x:row r="3801" ht="20" customHeight="1">
      <x:c r="A3801" s="256" t="n">
        <x:f>-12+2191*0.01</x:f>
        <x:v>9.91</x:v>
      </x:c>
      <x:c r="B3801" s="256" t="n">
        <x:f>IF(COUNT($B$129:$L$129)=11,B$129*EXP(IF(A3801&lt;0,(10-0)*A3801,-0*A3801))+C$129*EXP(IF(A3801&lt;0,(10-1)*A3801,-1*A3801))+D$129*EXP(IF(A3801&lt;0,(10-2)*A3801,-2*A3801))+E$129*EXP(IF(A3801&lt;0,(10-3)*A3801,-3*A3801))+F$129*EXP(IF(A3801&lt;0,(10-4)*A3801,-4*A3801))+G$129*EXP(IF(A3801&lt;0,(10-5)*A3801,-5*A3801))+H$129*EXP(IF(A3801&lt;0,(10-6)*A3801,-6*A3801))+I$129*EXP(IF(A3801&lt;0,(10-7)*A3801,-7*A3801))+J$129*EXP(IF(A3801&lt;0,(10-8)*A3801,-8*A3801))+K$129*EXP(IF(A3801&lt;0,(10-9)*A3801,-9*A3801))+L$129*EXP(IF(A3801&lt;0,(10-10)*A3801,-10*A3801)),0)</x:f>
        <x:v>-190000.40503876997</x:v>
      </x:c>
      <x:c r="C3801" s="256" t="n">
        <x:f>IF(B3801=0,IF(B3800=0,0,1),IF(B3800=0,0,IF(SIGN(B3801)&lt;&gt;SIGN(B3800),1,0)))</x:f>
        <x:v>0</x:v>
      </x:c>
      <x:c r="D3801" s="256" t="n">
        <x:f>EXP(A3801-0.005)-1</x:f>
        <x:v>20029.2718357875</x:v>
      </x:c>
    </x:row>
    <x:row r="3802" ht="20" customHeight="1">
      <x:c r="A3802" s="256" t="n">
        <x:f>-12+2192*0.01</x:f>
        <x:v>9.920000000000002</x:v>
      </x:c>
      <x:c r="B3802" s="256" t="n">
        <x:f>IF(COUNT($B$129:$L$129)=11,B$129*EXP(IF(A3802&lt;0,(10-0)*A3802,-0*A3802))+C$129*EXP(IF(A3802&lt;0,(10-1)*A3802,-1*A3802))+D$129*EXP(IF(A3802&lt;0,(10-2)*A3802,-2*A3802))+E$129*EXP(IF(A3802&lt;0,(10-3)*A3802,-3*A3802))+F$129*EXP(IF(A3802&lt;0,(10-4)*A3802,-4*A3802))+G$129*EXP(IF(A3802&lt;0,(10-5)*A3802,-5*A3802))+H$129*EXP(IF(A3802&lt;0,(10-6)*A3802,-6*A3802))+I$129*EXP(IF(A3802&lt;0,(10-7)*A3802,-7*A3802))+J$129*EXP(IF(A3802&lt;0,(10-8)*A3802,-8*A3802))+K$129*EXP(IF(A3802&lt;0,(10-9)*A3802,-9*A3802))+L$129*EXP(IF(A3802&lt;0,(10-10)*A3802,-10*A3802)),0)</x:f>
        <x:v>-190000.40100842266</x:v>
      </x:c>
      <x:c r="C3802" s="256" t="n">
        <x:f>IF(B3802=0,IF(B3801=0,0,1),IF(B3801=0,0,IF(SIGN(B3802)&lt;&gt;SIGN(B3801),1,0)))</x:f>
        <x:v>0</x:v>
      </x:c>
      <x:c r="D3802" s="256" t="n">
        <x:f>EXP(A3802-0.005)-1</x:f>
        <x:v>20230.579414478496</x:v>
      </x:c>
    </x:row>
    <x:row r="3803" ht="20" customHeight="1">
      <x:c r="A3803" s="256" t="n">
        <x:f>-12+2193*0.01</x:f>
        <x:v>9.93</x:v>
      </x:c>
      <x:c r="B3803" s="256" t="n">
        <x:f>IF(COUNT($B$129:$L$129)=11,B$129*EXP(IF(A3803&lt;0,(10-0)*A3803,-0*A3803))+C$129*EXP(IF(A3803&lt;0,(10-1)*A3803,-1*A3803))+D$129*EXP(IF(A3803&lt;0,(10-2)*A3803,-2*A3803))+E$129*EXP(IF(A3803&lt;0,(10-3)*A3803,-3*A3803))+F$129*EXP(IF(A3803&lt;0,(10-4)*A3803,-4*A3803))+G$129*EXP(IF(A3803&lt;0,(10-5)*A3803,-5*A3803))+H$129*EXP(IF(A3803&lt;0,(10-6)*A3803,-6*A3803))+I$129*EXP(IF(A3803&lt;0,(10-7)*A3803,-7*A3803))+J$129*EXP(IF(A3803&lt;0,(10-8)*A3803,-8*A3803))+K$129*EXP(IF(A3803&lt;0,(10-9)*A3803,-9*A3803))+L$129*EXP(IF(A3803&lt;0,(10-10)*A3803,-10*A3803)),0)</x:f>
        <x:v>-190000.39701818075</x:v>
      </x:c>
      <x:c r="C3803" s="256" t="n">
        <x:f>IF(B3803=0,IF(B3802=0,0,1),IF(B3802=0,0,IF(SIGN(B3803)&lt;&gt;SIGN(B3802),1,0)))</x:f>
        <x:v>0</x:v>
      </x:c>
      <x:c r="D3803" s="256" t="n">
        <x:f>EXP(A3803-0.005)-1</x:f>
        <x:v>20433.910167970582</x:v>
      </x:c>
    </x:row>
    <x:row r="3804" ht="20" customHeight="1">
      <x:c r="A3804" s="256" t="n">
        <x:f>-12+2194*0.01</x:f>
        <x:v>9.940000000000001</x:v>
      </x:c>
      <x:c r="B3804" s="256" t="n">
        <x:f>IF(COUNT($B$129:$L$129)=11,B$129*EXP(IF(A3804&lt;0,(10-0)*A3804,-0*A3804))+C$129*EXP(IF(A3804&lt;0,(10-1)*A3804,-1*A3804))+D$129*EXP(IF(A3804&lt;0,(10-2)*A3804,-2*A3804))+E$129*EXP(IF(A3804&lt;0,(10-3)*A3804,-3*A3804))+F$129*EXP(IF(A3804&lt;0,(10-4)*A3804,-4*A3804))+G$129*EXP(IF(A3804&lt;0,(10-5)*A3804,-5*A3804))+H$129*EXP(IF(A3804&lt;0,(10-6)*A3804,-6*A3804))+I$129*EXP(IF(A3804&lt;0,(10-7)*A3804,-7*A3804))+J$129*EXP(IF(A3804&lt;0,(10-8)*A3804,-8*A3804))+K$129*EXP(IF(A3804&lt;0,(10-9)*A3804,-9*A3804))+L$129*EXP(IF(A3804&lt;0,(10-10)*A3804,-10*A3804)),0)</x:f>
        <x:v>-190000.3930676453</x:v>
      </x:c>
      <x:c r="C3804" s="256" t="n">
        <x:f>IF(B3804=0,IF(B3803=0,0,1),IF(B3803=0,0,IF(SIGN(B3804)&lt;&gt;SIGN(B3803),1,0)))</x:f>
        <x:v>0</x:v>
      </x:c>
      <x:c r="D3804" s="256" t="n">
        <x:f>EXP(A3804-0.005)-1</x:f>
        <x:v>20639.284429508683</x:v>
      </x:c>
    </x:row>
    <x:row r="3805" ht="20" customHeight="1">
      <x:c r="A3805" s="256" t="n">
        <x:f>-12+2195*0.01</x:f>
        <x:v>9.95</x:v>
      </x:c>
      <x:c r="B3805" s="256" t="n">
        <x:f>IF(COUNT($B$129:$L$129)=11,B$129*EXP(IF(A3805&lt;0,(10-0)*A3805,-0*A3805))+C$129*EXP(IF(A3805&lt;0,(10-1)*A3805,-1*A3805))+D$129*EXP(IF(A3805&lt;0,(10-2)*A3805,-2*A3805))+E$129*EXP(IF(A3805&lt;0,(10-3)*A3805,-3*A3805))+F$129*EXP(IF(A3805&lt;0,(10-4)*A3805,-4*A3805))+G$129*EXP(IF(A3805&lt;0,(10-5)*A3805,-5*A3805))+H$129*EXP(IF(A3805&lt;0,(10-6)*A3805,-6*A3805))+I$129*EXP(IF(A3805&lt;0,(10-7)*A3805,-7*A3805))+J$129*EXP(IF(A3805&lt;0,(10-8)*A3805,-8*A3805))+K$129*EXP(IF(A3805&lt;0,(10-9)*A3805,-9*A3805))+L$129*EXP(IF(A3805&lt;0,(10-10)*A3805,-10*A3805)),0)</x:f>
        <x:v>-190000.38915642104</x:v>
      </x:c>
      <x:c r="C3805" s="256" t="n">
        <x:f>IF(B3805=0,IF(B3804=0,0,1),IF(B3804=0,0,IF(SIGN(B3805)&lt;&gt;SIGN(B3804),1,0)))</x:f>
        <x:v>0</x:v>
      </x:c>
      <x:c r="D3805" s="256" t="n">
        <x:f>EXP(A3805-0.005)-1</x:f>
        <x:v>20846.722736689953</x:v>
      </x:c>
    </x:row>
    <x:row r="3806" ht="20" customHeight="1">
      <x:c r="A3806" s="256" t="n">
        <x:f>-12+2196*0.01</x:f>
        <x:v>9.96</x:v>
      </x:c>
      <x:c r="B3806" s="256" t="n">
        <x:f>IF(COUNT($B$129:$L$129)=11,B$129*EXP(IF(A3806&lt;0,(10-0)*A3806,-0*A3806))+C$129*EXP(IF(A3806&lt;0,(10-1)*A3806,-1*A3806))+D$129*EXP(IF(A3806&lt;0,(10-2)*A3806,-2*A3806))+E$129*EXP(IF(A3806&lt;0,(10-3)*A3806,-3*A3806))+F$129*EXP(IF(A3806&lt;0,(10-4)*A3806,-4*A3806))+G$129*EXP(IF(A3806&lt;0,(10-5)*A3806,-5*A3806))+H$129*EXP(IF(A3806&lt;0,(10-6)*A3806,-6*A3806))+I$129*EXP(IF(A3806&lt;0,(10-7)*A3806,-7*A3806))+J$129*EXP(IF(A3806&lt;0,(10-8)*A3806,-8*A3806))+K$129*EXP(IF(A3806&lt;0,(10-9)*A3806,-9*A3806))+L$129*EXP(IF(A3806&lt;0,(10-10)*A3806,-10*A3806)),0)</x:f>
        <x:v>-190000.38528411678</x:v>
      </x:c>
      <x:c r="C3806" s="256" t="n">
        <x:f>IF(B3806=0,IF(B3805=0,0,1),IF(B3805=0,0,IF(SIGN(B3806)&lt;&gt;SIGN(B3805),1,0)))</x:f>
        <x:v>0</x:v>
      </x:c>
      <x:c r="D3806" s="256" t="n">
        <x:f>EXP(A3806-0.005)-1</x:f>
        <x:v>21056.245833518133</x:v>
      </x:c>
    </x:row>
    <x:row r="3807" ht="20" customHeight="1">
      <x:c r="A3807" s="256" t="n">
        <x:f>-12+2197*0.01</x:f>
        <x:v>9.969999999999999</x:v>
      </x:c>
      <x:c r="B3807" s="256" t="n">
        <x:f>IF(COUNT($B$129:$L$129)=11,B$129*EXP(IF(A3807&lt;0,(10-0)*A3807,-0*A3807))+C$129*EXP(IF(A3807&lt;0,(10-1)*A3807,-1*A3807))+D$129*EXP(IF(A3807&lt;0,(10-2)*A3807,-2*A3807))+E$129*EXP(IF(A3807&lt;0,(10-3)*A3807,-3*A3807))+F$129*EXP(IF(A3807&lt;0,(10-4)*A3807,-4*A3807))+G$129*EXP(IF(A3807&lt;0,(10-5)*A3807,-5*A3807))+H$129*EXP(IF(A3807&lt;0,(10-6)*A3807,-6*A3807))+I$129*EXP(IF(A3807&lt;0,(10-7)*A3807,-7*A3807))+J$129*EXP(IF(A3807&lt;0,(10-8)*A3807,-8*A3807))+K$129*EXP(IF(A3807&lt;0,(10-9)*A3807,-9*A3807))+L$129*EXP(IF(A3807&lt;0,(10-10)*A3807,-10*A3807)),0)</x:f>
        <x:v>-190000.38145034524</x:v>
      </x:c>
      <x:c r="C3807" s="256" t="n">
        <x:f>IF(B3807=0,IF(B3806=0,0,1),IF(B3806=0,0,IF(SIGN(B3807)&lt;&gt;SIGN(B3806),1,0)))</x:f>
        <x:v>0</x:v>
      </x:c>
      <x:c r="D3807" s="256" t="n">
        <x:f>EXP(A3807-0.005)-1</x:f>
        <x:v>21267.87467247735</x:v>
      </x:c>
    </x:row>
    <x:row r="3808" ht="20" customHeight="1">
      <x:c r="A3808" s="256" t="n">
        <x:f>-12+2198*0.01</x:f>
        <x:v>9.98</x:v>
      </x:c>
      <x:c r="B3808" s="256" t="n">
        <x:f>IF(COUNT($B$129:$L$129)=11,B$129*EXP(IF(A3808&lt;0,(10-0)*A3808,-0*A3808))+C$129*EXP(IF(A3808&lt;0,(10-1)*A3808,-1*A3808))+D$129*EXP(IF(A3808&lt;0,(10-2)*A3808,-2*A3808))+E$129*EXP(IF(A3808&lt;0,(10-3)*A3808,-3*A3808))+F$129*EXP(IF(A3808&lt;0,(10-4)*A3808,-4*A3808))+G$129*EXP(IF(A3808&lt;0,(10-5)*A3808,-5*A3808))+H$129*EXP(IF(A3808&lt;0,(10-6)*A3808,-6*A3808))+I$129*EXP(IF(A3808&lt;0,(10-7)*A3808,-7*A3808))+J$129*EXP(IF(A3808&lt;0,(10-8)*A3808,-8*A3808))+K$129*EXP(IF(A3808&lt;0,(10-9)*A3808,-9*A3808))+L$129*EXP(IF(A3808&lt;0,(10-10)*A3808,-10*A3808)),0)</x:f>
        <x:v>-190000.37765472295</x:v>
      </x:c>
      <x:c r="C3808" s="256" t="n">
        <x:f>IF(B3808=0,IF(B3807=0,0,1),IF(B3807=0,0,IF(SIGN(B3808)&lt;&gt;SIGN(B3807),1,0)))</x:f>
        <x:v>0</x:v>
      </x:c>
      <x:c r="D3808" s="256" t="n">
        <x:f>EXP(A3808-0.005)-1</x:f>
        <x:v>21481.63041662801</x:v>
      </x:c>
    </x:row>
    <x:row r="3809" ht="20" customHeight="1">
      <x:c r="A3809" s="256" t="n">
        <x:f>-12+2199*0.01</x:f>
        <x:v>9.990000000000002</x:v>
      </x:c>
      <x:c r="B3809" s="256" t="n">
        <x:f>IF(COUNT($B$129:$L$129)=11,B$129*EXP(IF(A3809&lt;0,(10-0)*A3809,-0*A3809))+C$129*EXP(IF(A3809&lt;0,(10-1)*A3809,-1*A3809))+D$129*EXP(IF(A3809&lt;0,(10-2)*A3809,-2*A3809))+E$129*EXP(IF(A3809&lt;0,(10-3)*A3809,-3*A3809))+F$129*EXP(IF(A3809&lt;0,(10-4)*A3809,-4*A3809))+G$129*EXP(IF(A3809&lt;0,(10-5)*A3809,-5*A3809))+H$129*EXP(IF(A3809&lt;0,(10-6)*A3809,-6*A3809))+I$129*EXP(IF(A3809&lt;0,(10-7)*A3809,-7*A3809))+J$129*EXP(IF(A3809&lt;0,(10-8)*A3809,-8*A3809))+K$129*EXP(IF(A3809&lt;0,(10-9)*A3809,-9*A3809))+L$129*EXP(IF(A3809&lt;0,(10-10)*A3809,-10*A3809)),0)</x:f>
        <x:v>-190000.3738968703</x:v>
      </x:c>
      <x:c r="C3809" s="256" t="n">
        <x:f>IF(B3809=0,IF(B3808=0,0,1),IF(B3808=0,0,IF(SIGN(B3809)&lt;&gt;SIGN(B3808),1,0)))</x:f>
        <x:v>0</x:v>
      </x:c>
      <x:c r="D3809" s="256" t="n">
        <x:f>EXP(A3809-0.005)-1</x:f>
        <x:v>21697.534441722586</x:v>
      </x:c>
    </x:row>
    <x:row r="3810" ht="20" customHeight="1">
      <x:c r="A3810" s="256" t="n">
        <x:f>-12+2200*0.01</x:f>
        <x:v>10</x:v>
      </x:c>
      <x:c r="B3810" s="256" t="n">
        <x:f>IF(COUNT($B$129:$L$129)=11,B$129*EXP(IF(A3810&lt;0,(10-0)*A3810,-0*A3810))+C$129*EXP(IF(A3810&lt;0,(10-1)*A3810,-1*A3810))+D$129*EXP(IF(A3810&lt;0,(10-2)*A3810,-2*A3810))+E$129*EXP(IF(A3810&lt;0,(10-3)*A3810,-3*A3810))+F$129*EXP(IF(A3810&lt;0,(10-4)*A3810,-4*A3810))+G$129*EXP(IF(A3810&lt;0,(10-5)*A3810,-5*A3810))+H$129*EXP(IF(A3810&lt;0,(10-6)*A3810,-6*A3810))+I$129*EXP(IF(A3810&lt;0,(10-7)*A3810,-7*A3810))+J$129*EXP(IF(A3810&lt;0,(10-8)*A3810,-8*A3810))+K$129*EXP(IF(A3810&lt;0,(10-9)*A3810,-9*A3810))+L$129*EXP(IF(A3810&lt;0,(10-10)*A3810,-10*A3810)),0)</x:f>
        <x:v>-190000.37017641135</x:v>
      </x:c>
      <x:c r="C3810" s="256" t="n">
        <x:f>IF(B3810=0,IF(B3809=0,0,1),IF(B3809=0,0,IF(SIGN(B3810)&lt;&gt;SIGN(B3809),1,0)))</x:f>
        <x:v>0</x:v>
      </x:c>
      <x:c r="D3810" s="256" t="n">
        <x:f>EXP(A3810-0.005)-1</x:f>
        <x:v>21915.60833834343</x:v>
      </x:c>
    </x:row>
    <x:row r="3811" ht="20" customHeight="1">
      <x:c r="A3811" s="256" t="n">
        <x:f>-12+2201*0.01</x:f>
        <x:v>10.010000000000002</x:v>
      </x:c>
      <x:c r="B3811" s="256" t="n">
        <x:f>IF(COUNT($B$129:$L$129)=11,B$129*EXP(IF(A3811&lt;0,(10-0)*A3811,-0*A3811))+C$129*EXP(IF(A3811&lt;0,(10-1)*A3811,-1*A3811))+D$129*EXP(IF(A3811&lt;0,(10-2)*A3811,-2*A3811))+E$129*EXP(IF(A3811&lt;0,(10-3)*A3811,-3*A3811))+F$129*EXP(IF(A3811&lt;0,(10-4)*A3811,-4*A3811))+G$129*EXP(IF(A3811&lt;0,(10-5)*A3811,-5*A3811))+H$129*EXP(IF(A3811&lt;0,(10-6)*A3811,-6*A3811))+I$129*EXP(IF(A3811&lt;0,(10-7)*A3811,-7*A3811))+J$129*EXP(IF(A3811&lt;0,(10-8)*A3811,-8*A3811))+K$129*EXP(IF(A3811&lt;0,(10-9)*A3811,-9*A3811))+L$129*EXP(IF(A3811&lt;0,(10-10)*A3811,-10*A3811)),0)</x:f>
        <x:v>-190000.36649297402</x:v>
      </x:c>
      <x:c r="C3811" s="256" t="n">
        <x:f>IF(B3811=0,IF(B3810=0,0,1),IF(B3810=0,0,IF(SIGN(B3811)&lt;&gt;SIGN(B3810),1,0)))</x:f>
        <x:v>0</x:v>
      </x:c>
      <x:c r="D3811" s="256" t="n">
        <x:f>EXP(A3811-0.005)-1</x:f>
        <x:v>22135.873914062086</x:v>
      </x:c>
    </x:row>
    <x:row r="3812" ht="20" customHeight="1">
      <x:c r="A3812" s="256" t="n">
        <x:f>-12+2202*0.01</x:f>
        <x:v>10.02</x:v>
      </x:c>
      <x:c r="B3812" s="256" t="n">
        <x:f>IF(COUNT($B$129:$L$129)=11,B$129*EXP(IF(A3812&lt;0,(10-0)*A3812,-0*A3812))+C$129*EXP(IF(A3812&lt;0,(10-1)*A3812,-1*A3812))+D$129*EXP(IF(A3812&lt;0,(10-2)*A3812,-2*A3812))+E$129*EXP(IF(A3812&lt;0,(10-3)*A3812,-3*A3812))+F$129*EXP(IF(A3812&lt;0,(10-4)*A3812,-4*A3812))+G$129*EXP(IF(A3812&lt;0,(10-5)*A3812,-5*A3812))+H$129*EXP(IF(A3812&lt;0,(10-6)*A3812,-6*A3812))+I$129*EXP(IF(A3812&lt;0,(10-7)*A3812,-7*A3812))+J$129*EXP(IF(A3812&lt;0,(10-8)*A3812,-8*A3812))+K$129*EXP(IF(A3812&lt;0,(10-9)*A3812,-9*A3812))+L$129*EXP(IF(A3812&lt;0,(10-10)*A3812,-10*A3812)),0)</x:f>
        <x:v>-190000.36284618994</x:v>
      </x:c>
      <x:c r="C3812" s="256" t="n">
        <x:f>IF(B3812=0,IF(B3811=0,0,1),IF(B3811=0,0,IF(SIGN(B3812)&lt;&gt;SIGN(B3811),1,0)))</x:f>
        <x:v>0</x:v>
      </x:c>
      <x:c r="D3812" s="256" t="n">
        <x:f>EXP(A3812-0.005)-1</x:f>
        <x:v>22358.35319561953</x:v>
      </x:c>
    </x:row>
    <x:row r="3813" ht="20" customHeight="1">
      <x:c r="A3813" s="256" t="n">
        <x:f>-12+2203*0.01</x:f>
        <x:v>10.030000000000001</x:v>
      </x:c>
      <x:c r="B3813" s="256" t="n">
        <x:f>IF(COUNT($B$129:$L$129)=11,B$129*EXP(IF(A3813&lt;0,(10-0)*A3813,-0*A3813))+C$129*EXP(IF(A3813&lt;0,(10-1)*A3813,-1*A3813))+D$129*EXP(IF(A3813&lt;0,(10-2)*A3813,-2*A3813))+E$129*EXP(IF(A3813&lt;0,(10-3)*A3813,-3*A3813))+F$129*EXP(IF(A3813&lt;0,(10-4)*A3813,-4*A3813))+G$129*EXP(IF(A3813&lt;0,(10-5)*A3813,-5*A3813))+H$129*EXP(IF(A3813&lt;0,(10-6)*A3813,-6*A3813))+I$129*EXP(IF(A3813&lt;0,(10-7)*A3813,-7*A3813))+J$129*EXP(IF(A3813&lt;0,(10-8)*A3813,-8*A3813))+K$129*EXP(IF(A3813&lt;0,(10-9)*A3813,-9*A3813))+L$129*EXP(IF(A3813&lt;0,(10-10)*A3813,-10*A3813)),0)</x:f>
        <x:v>-190000.35923569425</x:v>
      </x:c>
      <x:c r="C3813" s="256" t="n">
        <x:f>IF(B3813=0,IF(B3812=0,0,1),IF(B3812=0,0,IF(SIGN(B3813)&lt;&gt;SIGN(B3812),1,0)))</x:f>
        <x:v>0</x:v>
      </x:c>
      <x:c r="D3813" s="256" t="n">
        <x:f>EXP(A3813-0.005)-1</x:f>
        <x:v>22583.068431129464</x:v>
      </x:c>
    </x:row>
    <x:row r="3814" ht="20" customHeight="1">
      <x:c r="A3814" s="256" t="n">
        <x:f>-12+2204*0.01</x:f>
        <x:v>10.04</x:v>
      </x:c>
      <x:c r="B3814" s="256" t="n">
        <x:f>IF(COUNT($B$129:$L$129)=11,B$129*EXP(IF(A3814&lt;0,(10-0)*A3814,-0*A3814))+C$129*EXP(IF(A3814&lt;0,(10-1)*A3814,-1*A3814))+D$129*EXP(IF(A3814&lt;0,(10-2)*A3814,-2*A3814))+E$129*EXP(IF(A3814&lt;0,(10-3)*A3814,-3*A3814))+F$129*EXP(IF(A3814&lt;0,(10-4)*A3814,-4*A3814))+G$129*EXP(IF(A3814&lt;0,(10-5)*A3814,-5*A3814))+H$129*EXP(IF(A3814&lt;0,(10-6)*A3814,-6*A3814))+I$129*EXP(IF(A3814&lt;0,(10-7)*A3814,-7*A3814))+J$129*EXP(IF(A3814&lt;0,(10-8)*A3814,-8*A3814))+K$129*EXP(IF(A3814&lt;0,(10-9)*A3814,-9*A3814))+L$129*EXP(IF(A3814&lt;0,(10-10)*A3814,-10*A3814)),0)</x:f>
        <x:v>-190000.35566112588</x:v>
      </x:c>
      <x:c r="C3814" s="256" t="n">
        <x:f>IF(B3814=0,IF(B3813=0,0,1),IF(B3813=0,0,IF(SIGN(B3814)&lt;&gt;SIGN(B3813),1,0)))</x:f>
        <x:v>0</x:v>
      </x:c>
      <x:c r="D3814" s="256" t="n">
        <x:f>EXP(A3814-0.005)-1</x:f>
        <x:v>22810.042092302556</x:v>
      </x:c>
    </x:row>
    <x:row r="3815" ht="20" customHeight="1">
      <x:c r="A3815" s="256" t="n">
        <x:f>-12+2205*0.01</x:f>
        <x:v>10.05</x:v>
      </x:c>
      <x:c r="B3815" s="256" t="n">
        <x:f>IF(COUNT($B$129:$L$129)=11,B$129*EXP(IF(A3815&lt;0,(10-0)*A3815,-0*A3815))+C$129*EXP(IF(A3815&lt;0,(10-1)*A3815,-1*A3815))+D$129*EXP(IF(A3815&lt;0,(10-2)*A3815,-2*A3815))+E$129*EXP(IF(A3815&lt;0,(10-3)*A3815,-3*A3815))+F$129*EXP(IF(A3815&lt;0,(10-4)*A3815,-4*A3815))+G$129*EXP(IF(A3815&lt;0,(10-5)*A3815,-5*A3815))+H$129*EXP(IF(A3815&lt;0,(10-6)*A3815,-6*A3815))+I$129*EXP(IF(A3815&lt;0,(10-7)*A3815,-7*A3815))+J$129*EXP(IF(A3815&lt;0,(10-8)*A3815,-8*A3815))+K$129*EXP(IF(A3815&lt;0,(10-9)*A3815,-9*A3815))+L$129*EXP(IF(A3815&lt;0,(10-10)*A3815,-10*A3815)),0)</x:f>
        <x:v>-190000.35212212734</x:v>
      </x:c>
      <x:c r="C3815" s="256" t="n">
        <x:f>IF(B3815=0,IF(B3814=0,0,1),IF(B3814=0,0,IF(SIGN(B3815)&lt;&gt;SIGN(B3814),1,0)))</x:f>
        <x:v>0</x:v>
      </x:c>
      <x:c r="D3815" s="256" t="n">
        <x:f>EXP(A3815-0.005)-1</x:f>
        <x:v>23039.296876694225</x:v>
      </x:c>
    </x:row>
    <x:row r="3816" ht="20" customHeight="1">
      <x:c r="A3816" s="256" t="n">
        <x:f>-12+2206*0.01</x:f>
        <x:v>10.059999999999999</x:v>
      </x:c>
      <x:c r="B3816" s="256" t="n">
        <x:f>IF(COUNT($B$129:$L$129)=11,B$129*EXP(IF(A3816&lt;0,(10-0)*A3816,-0*A3816))+C$129*EXP(IF(A3816&lt;0,(10-1)*A3816,-1*A3816))+D$129*EXP(IF(A3816&lt;0,(10-2)*A3816,-2*A3816))+E$129*EXP(IF(A3816&lt;0,(10-3)*A3816,-3*A3816))+F$129*EXP(IF(A3816&lt;0,(10-4)*A3816,-4*A3816))+G$129*EXP(IF(A3816&lt;0,(10-5)*A3816,-5*A3816))+H$129*EXP(IF(A3816&lt;0,(10-6)*A3816,-6*A3816))+I$129*EXP(IF(A3816&lt;0,(10-7)*A3816,-7*A3816))+J$129*EXP(IF(A3816&lt;0,(10-8)*A3816,-8*A3816))+K$129*EXP(IF(A3816&lt;0,(10-9)*A3816,-9*A3816))+L$129*EXP(IF(A3816&lt;0,(10-10)*A3816,-10*A3816)),0)</x:f>
        <x:v>-190000.3486183446</x:v>
      </x:c>
      <x:c r="C3816" s="256" t="n">
        <x:f>IF(B3816=0,IF(B3815=0,0,1),IF(B3815=0,0,IF(SIGN(B3816)&lt;&gt;SIGN(B3815),1,0)))</x:f>
        <x:v>0</x:v>
      </x:c>
      <x:c r="D3816" s="256" t="n">
        <x:f>EXP(A3816-0.005)-1</x:f>
        <x:v>23270.855709973788</x:v>
      </x:c>
    </x:row>
    <x:row r="3817" ht="20" customHeight="1">
      <x:c r="A3817" s="256" t="n">
        <x:f>-12+2207*0.01</x:f>
        <x:v>10.07</x:v>
      </x:c>
      <x:c r="B3817" s="256" t="n">
        <x:f>IF(COUNT($B$129:$L$129)=11,B$129*EXP(IF(A3817&lt;0,(10-0)*A3817,-0*A3817))+C$129*EXP(IF(A3817&lt;0,(10-1)*A3817,-1*A3817))+D$129*EXP(IF(A3817&lt;0,(10-2)*A3817,-2*A3817))+E$129*EXP(IF(A3817&lt;0,(10-3)*A3817,-3*A3817))+F$129*EXP(IF(A3817&lt;0,(10-4)*A3817,-4*A3817))+G$129*EXP(IF(A3817&lt;0,(10-5)*A3817,-5*A3817))+H$129*EXP(IF(A3817&lt;0,(10-6)*A3817,-6*A3817))+I$129*EXP(IF(A3817&lt;0,(10-7)*A3817,-7*A3817))+J$129*EXP(IF(A3817&lt;0,(10-8)*A3817,-8*A3817))+K$129*EXP(IF(A3817&lt;0,(10-9)*A3817,-9*A3817))+L$129*EXP(IF(A3817&lt;0,(10-10)*A3817,-10*A3817)),0)</x:f>
        <x:v>-190000.34514942724</x:v>
      </x:c>
      <x:c r="C3817" s="256" t="n">
        <x:f>IF(B3817=0,IF(B3816=0,0,1),IF(B3816=0,0,IF(SIGN(B3817)&lt;&gt;SIGN(B3816),1,0)))</x:f>
        <x:v>0</x:v>
      </x:c>
      <x:c r="D3817" s="256" t="n">
        <x:f>EXP(A3817-0.005)-1</x:f>
        <x:v>23504.74174821771</x:v>
      </x:c>
    </x:row>
    <x:row r="3818" ht="20" customHeight="1">
      <x:c r="A3818" s="256" t="n">
        <x:f>-12+2208*0.01</x:f>
        <x:v>10.080000000000002</x:v>
      </x:c>
      <x:c r="B3818" s="256" t="n">
        <x:f>IF(COUNT($B$129:$L$129)=11,B$129*EXP(IF(A3818&lt;0,(10-0)*A3818,-0*A3818))+C$129*EXP(IF(A3818&lt;0,(10-1)*A3818,-1*A3818))+D$129*EXP(IF(A3818&lt;0,(10-2)*A3818,-2*A3818))+E$129*EXP(IF(A3818&lt;0,(10-3)*A3818,-3*A3818))+F$129*EXP(IF(A3818&lt;0,(10-4)*A3818,-4*A3818))+G$129*EXP(IF(A3818&lt;0,(10-5)*A3818,-5*A3818))+H$129*EXP(IF(A3818&lt;0,(10-6)*A3818,-6*A3818))+I$129*EXP(IF(A3818&lt;0,(10-7)*A3818,-7*A3818))+J$129*EXP(IF(A3818&lt;0,(10-8)*A3818,-8*A3818))+K$129*EXP(IF(A3818&lt;0,(10-9)*A3818,-9*A3818))+L$129*EXP(IF(A3818&lt;0,(10-10)*A3818,-10*A3818)),0)</x:f>
        <x:v>-190000.34171502836</x:v>
      </x:c>
      <x:c r="C3818" s="256" t="n">
        <x:f>IF(B3818=0,IF(B3817=0,0,1),IF(B3817=0,0,IF(SIGN(B3818)&lt;&gt;SIGN(B3817),1,0)))</x:f>
        <x:v>0</x:v>
      </x:c>
      <x:c r="D3818" s="256" t="n">
        <x:f>EXP(A3818-0.005)-1</x:f>
        <x:v>23740.978380224646</x:v>
      </x:c>
    </x:row>
    <x:row r="3819" ht="20" customHeight="1">
      <x:c r="A3819" s="256" t="n">
        <x:f>-12+2209*0.01</x:f>
        <x:v>10.09</x:v>
      </x:c>
      <x:c r="B3819" s="256" t="n">
        <x:f>IF(COUNT($B$129:$L$129)=11,B$129*EXP(IF(A3819&lt;0,(10-0)*A3819,-0*A3819))+C$129*EXP(IF(A3819&lt;0,(10-1)*A3819,-1*A3819))+D$129*EXP(IF(A3819&lt;0,(10-2)*A3819,-2*A3819))+E$129*EXP(IF(A3819&lt;0,(10-3)*A3819,-3*A3819))+F$129*EXP(IF(A3819&lt;0,(10-4)*A3819,-4*A3819))+G$129*EXP(IF(A3819&lt;0,(10-5)*A3819,-5*A3819))+H$129*EXP(IF(A3819&lt;0,(10-6)*A3819,-6*A3819))+I$129*EXP(IF(A3819&lt;0,(10-7)*A3819,-7*A3819))+J$129*EXP(IF(A3819&lt;0,(10-8)*A3819,-8*A3819))+K$129*EXP(IF(A3819&lt;0,(10-9)*A3819,-9*A3819))+L$129*EXP(IF(A3819&lt;0,(10-10)*A3819,-10*A3819)),0)</x:f>
        <x:v>-190000.33831480434</x:v>
      </x:c>
      <x:c r="C3819" s="256" t="n">
        <x:f>IF(B3819=0,IF(B3818=0,0,1),IF(B3818=0,0,IF(SIGN(B3819)&lt;&gt;SIGN(B3818),1,0)))</x:f>
        <x:v>0</x:v>
      </x:c>
      <x:c r="D3819" s="256" t="n">
        <x:f>EXP(A3819-0.005)-1</x:f>
        <x:v>23979.58922985456</x:v>
      </x:c>
    </x:row>
    <x:row r="3820" ht="20" customHeight="1">
      <x:c r="A3820" s="256" t="n">
        <x:f>-12+2210*0.01</x:f>
        <x:v>10.100000000000001</x:v>
      </x:c>
      <x:c r="B3820" s="256" t="n">
        <x:f>IF(COUNT($B$129:$L$129)=11,B$129*EXP(IF(A3820&lt;0,(10-0)*A3820,-0*A3820))+C$129*EXP(IF(A3820&lt;0,(10-1)*A3820,-1*A3820))+D$129*EXP(IF(A3820&lt;0,(10-2)*A3820,-2*A3820))+E$129*EXP(IF(A3820&lt;0,(10-3)*A3820,-3*A3820))+F$129*EXP(IF(A3820&lt;0,(10-4)*A3820,-4*A3820))+G$129*EXP(IF(A3820&lt;0,(10-5)*A3820,-5*A3820))+H$129*EXP(IF(A3820&lt;0,(10-6)*A3820,-6*A3820))+I$129*EXP(IF(A3820&lt;0,(10-7)*A3820,-7*A3820))+J$129*EXP(IF(A3820&lt;0,(10-8)*A3820,-8*A3820))+K$129*EXP(IF(A3820&lt;0,(10-9)*A3820,-9*A3820))+L$129*EXP(IF(A3820&lt;0,(10-10)*A3820,-10*A3820)),0)</x:f>
        <x:v>-190000.33494841517</x:v>
      </x:c>
      <x:c r="C3820" s="256" t="n">
        <x:f>IF(B3820=0,IF(B3819=0,0,1),IF(B3819=0,0,IF(SIGN(B3820)&lt;&gt;SIGN(B3819),1,0)))</x:f>
        <x:v>0</x:v>
      </x:c>
      <x:c r="D3820" s="256" t="n">
        <x:f>EXP(A3820-0.005)-1</x:f>
        <x:v>24220.598158391436</x:v>
      </x:c>
    </x:row>
    <x:row r="3821" ht="20" customHeight="1">
      <x:c r="A3821" s="256" t="n">
        <x:f>-12+2211*0.01</x:f>
        <x:v>10.11</x:v>
      </x:c>
      <x:c r="B3821" s="256" t="n">
        <x:f>IF(COUNT($B$129:$L$129)=11,B$129*EXP(IF(A3821&lt;0,(10-0)*A3821,-0*A3821))+C$129*EXP(IF(A3821&lt;0,(10-1)*A3821,-1*A3821))+D$129*EXP(IF(A3821&lt;0,(10-2)*A3821,-2*A3821))+E$129*EXP(IF(A3821&lt;0,(10-3)*A3821,-3*A3821))+F$129*EXP(IF(A3821&lt;0,(10-4)*A3821,-4*A3821))+G$129*EXP(IF(A3821&lt;0,(10-5)*A3821,-5*A3821))+H$129*EXP(IF(A3821&lt;0,(10-6)*A3821,-6*A3821))+I$129*EXP(IF(A3821&lt;0,(10-7)*A3821,-7*A3821))+J$129*EXP(IF(A3821&lt;0,(10-8)*A3821,-8*A3821))+K$129*EXP(IF(A3821&lt;0,(10-9)*A3821,-9*A3821))+L$129*EXP(IF(A3821&lt;0,(10-10)*A3821,-10*A3821)),0)</x:f>
        <x:v>-190000.33161552408</x:v>
      </x:c>
      <x:c r="C3821" s="256" t="n">
        <x:f>IF(B3821=0,IF(B3820=0,0,1),IF(B3820=0,0,IF(SIGN(B3821)&lt;&gt;SIGN(B3820),1,0)))</x:f>
        <x:v>0</x:v>
      </x:c>
      <x:c r="D3821" s="256" t="n">
        <x:f>EXP(A3821-0.005)-1</x:f>
        <x:v>24464.0292669288</x:v>
      </x:c>
    </x:row>
    <x:row r="3822" ht="20" customHeight="1">
      <x:c r="A3822" s="256" t="n">
        <x:f>-12+2212*0.01</x:f>
        <x:v>10.120000000000001</x:v>
      </x:c>
      <x:c r="B3822" s="256" t="n">
        <x:f>IF(COUNT($B$129:$L$129)=11,B$129*EXP(IF(A3822&lt;0,(10-0)*A3822,-0*A3822))+C$129*EXP(IF(A3822&lt;0,(10-1)*A3822,-1*A3822))+D$129*EXP(IF(A3822&lt;0,(10-2)*A3822,-2*A3822))+E$129*EXP(IF(A3822&lt;0,(10-3)*A3822,-3*A3822))+F$129*EXP(IF(A3822&lt;0,(10-4)*A3822,-4*A3822))+G$129*EXP(IF(A3822&lt;0,(10-5)*A3822,-5*A3822))+H$129*EXP(IF(A3822&lt;0,(10-6)*A3822,-6*A3822))+I$129*EXP(IF(A3822&lt;0,(10-7)*A3822,-7*A3822))+J$129*EXP(IF(A3822&lt;0,(10-8)*A3822,-8*A3822))+K$129*EXP(IF(A3822&lt;0,(10-9)*A3822,-9*A3822))+L$129*EXP(IF(A3822&lt;0,(10-10)*A3822,-10*A3822)),0)</x:f>
        <x:v>-190000.3283157978</x:v>
      </x:c>
      <x:c r="C3822" s="256" t="n">
        <x:f>IF(B3822=0,IF(B3821=0,0,1),IF(B3821=0,0,IF(SIGN(B3822)&lt;&gt;SIGN(B3821),1,0)))</x:f>
        <x:v>0</x:v>
      </x:c>
      <x:c r="D3822" s="256" t="n">
        <x:f>EXP(A3822-0.005)-1</x:f>
        <x:v>24709.906898780533</x:v>
      </x:c>
    </x:row>
    <x:row r="3823" ht="20" customHeight="1">
      <x:c r="A3823" s="256" t="n">
        <x:f>-12+2213*0.01</x:f>
        <x:v>10.129999999999999</x:v>
      </x:c>
      <x:c r="B3823" s="256" t="n">
        <x:f>IF(COUNT($B$129:$L$129)=11,B$129*EXP(IF(A3823&lt;0,(10-0)*A3823,-0*A3823))+C$129*EXP(IF(A3823&lt;0,(10-1)*A3823,-1*A3823))+D$129*EXP(IF(A3823&lt;0,(10-2)*A3823,-2*A3823))+E$129*EXP(IF(A3823&lt;0,(10-3)*A3823,-3*A3823))+F$129*EXP(IF(A3823&lt;0,(10-4)*A3823,-4*A3823))+G$129*EXP(IF(A3823&lt;0,(10-5)*A3823,-5*A3823))+H$129*EXP(IF(A3823&lt;0,(10-6)*A3823,-6*A3823))+I$129*EXP(IF(A3823&lt;0,(10-7)*A3823,-7*A3823))+J$129*EXP(IF(A3823&lt;0,(10-8)*A3823,-8*A3823))+K$129*EXP(IF(A3823&lt;0,(10-9)*A3823,-9*A3823))+L$129*EXP(IF(A3823&lt;0,(10-10)*A3823,-10*A3823)),0)</x:f>
        <x:v>-190000.32504890626</x:v>
      </x:c>
      <x:c r="C3823" s="256" t="n">
        <x:f>IF(B3823=0,IF(B3822=0,0,1),IF(B3822=0,0,IF(SIGN(B3823)&lt;&gt;SIGN(B3822),1,0)))</x:f>
        <x:v>0</x:v>
      </x:c>
      <x:c r="D3823" s="256" t="n">
        <x:f>EXP(A3823-0.005)-1</x:f>
        <x:v>24958.255641914548</x:v>
      </x:c>
    </x:row>
    <x:row r="3824" ht="20" customHeight="1">
      <x:c r="A3824" s="256" t="n">
        <x:f>-12+2214*0.01</x:f>
        <x:v>10.14</x:v>
      </x:c>
      <x:c r="B3824" s="256" t="n">
        <x:f>IF(COUNT($B$129:$L$129)=11,B$129*EXP(IF(A3824&lt;0,(10-0)*A3824,-0*A3824))+C$129*EXP(IF(A3824&lt;0,(10-1)*A3824,-1*A3824))+D$129*EXP(IF(A3824&lt;0,(10-2)*A3824,-2*A3824))+E$129*EXP(IF(A3824&lt;0,(10-3)*A3824,-3*A3824))+F$129*EXP(IF(A3824&lt;0,(10-4)*A3824,-4*A3824))+G$129*EXP(IF(A3824&lt;0,(10-5)*A3824,-5*A3824))+H$129*EXP(IF(A3824&lt;0,(10-6)*A3824,-6*A3824))+I$129*EXP(IF(A3824&lt;0,(10-7)*A3824,-7*A3824))+J$129*EXP(IF(A3824&lt;0,(10-8)*A3824,-8*A3824))+K$129*EXP(IF(A3824&lt;0,(10-9)*A3824,-9*A3824))+L$129*EXP(IF(A3824&lt;0,(10-10)*A3824,-10*A3824)),0)</x:f>
        <x:v>-190000.3218145227</x:v>
      </x:c>
      <x:c r="C3824" s="256" t="n">
        <x:f>IF(B3824=0,IF(B3823=0,0,1),IF(B3823=0,0,IF(SIGN(B3824)&lt;&gt;SIGN(B3823),1,0)))</x:f>
        <x:v>0</x:v>
      </x:c>
      <x:c r="D3824" s="256" t="n">
        <x:f>EXP(A3824-0.005)-1</x:f>
        <x:v>25209.100331412294</x:v>
      </x:c>
    </x:row>
    <x:row r="3825" ht="20" customHeight="1">
      <x:c r="A3825" s="256" t="n">
        <x:f>-12+2215*0.01</x:f>
        <x:v>10.150000000000002</x:v>
      </x:c>
      <x:c r="B3825" s="256" t="n">
        <x:f>IF(COUNT($B$129:$L$129)=11,B$129*EXP(IF(A3825&lt;0,(10-0)*A3825,-0*A3825))+C$129*EXP(IF(A3825&lt;0,(10-1)*A3825,-1*A3825))+D$129*EXP(IF(A3825&lt;0,(10-2)*A3825,-2*A3825))+E$129*EXP(IF(A3825&lt;0,(10-3)*A3825,-3*A3825))+F$129*EXP(IF(A3825&lt;0,(10-4)*A3825,-4*A3825))+G$129*EXP(IF(A3825&lt;0,(10-5)*A3825,-5*A3825))+H$129*EXP(IF(A3825&lt;0,(10-6)*A3825,-6*A3825))+I$129*EXP(IF(A3825&lt;0,(10-7)*A3825,-7*A3825))+J$129*EXP(IF(A3825&lt;0,(10-8)*A3825,-8*A3825))+K$129*EXP(IF(A3825&lt;0,(10-9)*A3825,-9*A3825))+L$129*EXP(IF(A3825&lt;0,(10-10)*A3825,-10*A3825)),0)</x:f>
        <x:v>-190000.31861232364</x:v>
      </x:c>
      <x:c r="C3825" s="256" t="n">
        <x:f>IF(B3825=0,IF(B3824=0,0,1),IF(B3824=0,0,IF(SIGN(B3825)&lt;&gt;SIGN(B3824),1,0)))</x:f>
        <x:v>0</x:v>
      </x:c>
      <x:c r="D3825" s="256" t="n">
        <x:f>EXP(A3825-0.005)-1</x:f>
        <x:v>25462.46605195167</x:v>
      </x:c>
    </x:row>
    <x:row r="3826" ht="20" customHeight="1">
      <x:c r="A3826" s="256" t="n">
        <x:f>-12+2216*0.01</x:f>
        <x:v>10.16</x:v>
      </x:c>
      <x:c r="B3826" s="256" t="n">
        <x:f>IF(COUNT($B$129:$L$129)=11,B$129*EXP(IF(A3826&lt;0,(10-0)*A3826,-0*A3826))+C$129*EXP(IF(A3826&lt;0,(10-1)*A3826,-1*A3826))+D$129*EXP(IF(A3826&lt;0,(10-2)*A3826,-2*A3826))+E$129*EXP(IF(A3826&lt;0,(10-3)*A3826,-3*A3826))+F$129*EXP(IF(A3826&lt;0,(10-4)*A3826,-4*A3826))+G$129*EXP(IF(A3826&lt;0,(10-5)*A3826,-5*A3826))+H$129*EXP(IF(A3826&lt;0,(10-6)*A3826,-6*A3826))+I$129*EXP(IF(A3826&lt;0,(10-7)*A3826,-7*A3826))+J$129*EXP(IF(A3826&lt;0,(10-8)*A3826,-8*A3826))+K$129*EXP(IF(A3826&lt;0,(10-9)*A3826,-9*A3826))+L$129*EXP(IF(A3826&lt;0,(10-10)*A3826,-10*A3826)),0)</x:f>
        <x:v>-190000.31544198882</x:v>
      </x:c>
      <x:c r="C3826" s="256" t="n">
        <x:f>IF(B3826=0,IF(B3825=0,0,1),IF(B3825=0,0,IF(SIGN(B3826)&lt;&gt;SIGN(B3825),1,0)))</x:f>
        <x:v>0</x:v>
      </x:c>
      <x:c r="D3826" s="256" t="n">
        <x:f>EXP(A3826-0.005)-1</x:f>
        <x:v>25718.378140315774</x:v>
      </x:c>
    </x:row>
    <x:row r="3827" ht="20" customHeight="1">
      <x:c r="A3827" s="256" t="n">
        <x:f>-12+2217*0.01</x:f>
        <x:v>10.170000000000002</x:v>
      </x:c>
      <x:c r="B3827" s="256" t="n">
        <x:f>IF(COUNT($B$129:$L$129)=11,B$129*EXP(IF(A3827&lt;0,(10-0)*A3827,-0*A3827))+C$129*EXP(IF(A3827&lt;0,(10-1)*A3827,-1*A3827))+D$129*EXP(IF(A3827&lt;0,(10-2)*A3827,-2*A3827))+E$129*EXP(IF(A3827&lt;0,(10-3)*A3827,-3*A3827))+F$129*EXP(IF(A3827&lt;0,(10-4)*A3827,-4*A3827))+G$129*EXP(IF(A3827&lt;0,(10-5)*A3827,-5*A3827))+H$129*EXP(IF(A3827&lt;0,(10-6)*A3827,-6*A3827))+I$129*EXP(IF(A3827&lt;0,(10-7)*A3827,-7*A3827))+J$129*EXP(IF(A3827&lt;0,(10-8)*A3827,-8*A3827))+K$129*EXP(IF(A3827&lt;0,(10-9)*A3827,-9*A3827))+L$129*EXP(IF(A3827&lt;0,(10-10)*A3827,-10*A3827)),0)</x:f>
        <x:v>-190000.3123032011</x:v>
      </x:c>
      <x:c r="C3827" s="256" t="n">
        <x:f>IF(B3827=0,IF(B3826=0,0,1),IF(B3826=0,0,IF(SIGN(B3827)&lt;&gt;SIGN(B3826),1,0)))</x:f>
        <x:v>0</x:v>
      </x:c>
      <x:c r="D3827" s="256" t="n">
        <x:f>EXP(A3827-0.005)-1</x:f>
        <x:v>25976.862187926887</x:v>
      </x:c>
    </x:row>
    <x:row r="3828" ht="20" customHeight="1">
      <x:c r="A3828" s="256" t="n">
        <x:f>-12+2218*0.01</x:f>
        <x:v>10.18</x:v>
      </x:c>
      <x:c r="B3828" s="256" t="n">
        <x:f>IF(COUNT($B$129:$L$129)=11,B$129*EXP(IF(A3828&lt;0,(10-0)*A3828,-0*A3828))+C$129*EXP(IF(A3828&lt;0,(10-1)*A3828,-1*A3828))+D$129*EXP(IF(A3828&lt;0,(10-2)*A3828,-2*A3828))+E$129*EXP(IF(A3828&lt;0,(10-3)*A3828,-3*A3828))+F$129*EXP(IF(A3828&lt;0,(10-4)*A3828,-4*A3828))+G$129*EXP(IF(A3828&lt;0,(10-5)*A3828,-5*A3828))+H$129*EXP(IF(A3828&lt;0,(10-6)*A3828,-6*A3828))+I$129*EXP(IF(A3828&lt;0,(10-7)*A3828,-7*A3828))+J$129*EXP(IF(A3828&lt;0,(10-8)*A3828,-8*A3828))+K$129*EXP(IF(A3828&lt;0,(10-9)*A3828,-9*A3828))+L$129*EXP(IF(A3828&lt;0,(10-10)*A3828,-10*A3828)),0)</x:f>
        <x:v>-190000.30919564655</x:v>
      </x:c>
      <x:c r="C3828" s="256" t="n">
        <x:f>IF(B3828=0,IF(B3827=0,0,1),IF(B3827=0,0,IF(SIGN(B3828)&lt;&gt;SIGN(B3827),1,0)))</x:f>
        <x:v>0</x:v>
      </x:c>
      <x:c r="D3828" s="256" t="n">
        <x:f>EXP(A3828-0.005)-1</x:f>
        <x:v>26237.94404340499</x:v>
      </x:c>
    </x:row>
    <x:row r="3829" ht="20" customHeight="1">
      <x:c r="A3829" s="256" t="n">
        <x:f>-12+2219*0.01</x:f>
        <x:v>10.190000000000001</x:v>
      </x:c>
      <x:c r="B3829" s="256" t="n">
        <x:f>IF(COUNT($B$129:$L$129)=11,B$129*EXP(IF(A3829&lt;0,(10-0)*A3829,-0*A3829))+C$129*EXP(IF(A3829&lt;0,(10-1)*A3829,-1*A3829))+D$129*EXP(IF(A3829&lt;0,(10-2)*A3829,-2*A3829))+E$129*EXP(IF(A3829&lt;0,(10-3)*A3829,-3*A3829))+F$129*EXP(IF(A3829&lt;0,(10-4)*A3829,-4*A3829))+G$129*EXP(IF(A3829&lt;0,(10-5)*A3829,-5*A3829))+H$129*EXP(IF(A3829&lt;0,(10-6)*A3829,-6*A3829))+I$129*EXP(IF(A3829&lt;0,(10-7)*A3829,-7*A3829))+J$129*EXP(IF(A3829&lt;0,(10-8)*A3829,-8*A3829))+K$129*EXP(IF(A3829&lt;0,(10-9)*A3829,-9*A3829))+L$129*EXP(IF(A3829&lt;0,(10-10)*A3829,-10*A3829)),0)</x:f>
        <x:v>-190000.30611901442</x:v>
      </x:c>
      <x:c r="C3829" s="256" t="n">
        <x:f>IF(B3829=0,IF(B3828=0,0,1),IF(B3828=0,0,IF(SIGN(B3829)&lt;&gt;SIGN(B3828),1,0)))</x:f>
        <x:v>0</x:v>
      </x:c>
      <x:c r="D3829" s="256" t="n">
        <x:f>EXP(A3829-0.005)-1</x:f>
        <x:v>26501.64981515339</x:v>
      </x:c>
    </x:row>
    <x:row r="3830" ht="20" customHeight="1">
      <x:c r="A3830" s="256" t="n">
        <x:f>-12+2220*0.01</x:f>
        <x:v>10.2</x:v>
      </x:c>
      <x:c r="B3830" s="256" t="n">
        <x:f>IF(COUNT($B$129:$L$129)=11,B$129*EXP(IF(A3830&lt;0,(10-0)*A3830,-0*A3830))+C$129*EXP(IF(A3830&lt;0,(10-1)*A3830,-1*A3830))+D$129*EXP(IF(A3830&lt;0,(10-2)*A3830,-2*A3830))+E$129*EXP(IF(A3830&lt;0,(10-3)*A3830,-3*A3830))+F$129*EXP(IF(A3830&lt;0,(10-4)*A3830,-4*A3830))+G$129*EXP(IF(A3830&lt;0,(10-5)*A3830,-5*A3830))+H$129*EXP(IF(A3830&lt;0,(10-6)*A3830,-6*A3830))+I$129*EXP(IF(A3830&lt;0,(10-7)*A3830,-7*A3830))+J$129*EXP(IF(A3830&lt;0,(10-8)*A3830,-8*A3830))+K$129*EXP(IF(A3830&lt;0,(10-9)*A3830,-9*A3830))+L$129*EXP(IF(A3830&lt;0,(10-10)*A3830,-10*A3830)),0)</x:f>
        <x:v>-190000.30307299693</x:v>
      </x:c>
      <x:c r="C3830" s="256" t="n">
        <x:f>IF(B3830=0,IF(B3829=0,0,1),IF(B3829=0,0,IF(SIGN(B3830)&lt;&gt;SIGN(B3829),1,0)))</x:f>
        <x:v>0</x:v>
      </x:c>
      <x:c r="D3830" s="256" t="n">
        <x:f>EXP(A3830-0.005)-1</x:f>
        <x:v>26768.005873968825</x:v>
      </x:c>
    </x:row>
    <x:row r="3831" ht="20" customHeight="1">
      <x:c r="A3831" s="256" t="n">
        <x:f>-12+2221*0.01</x:f>
        <x:v>10.21</x:v>
      </x:c>
      <x:c r="B3831" s="256" t="n">
        <x:f>IF(COUNT($B$129:$L$129)=11,B$129*EXP(IF(A3831&lt;0,(10-0)*A3831,-0*A3831))+C$129*EXP(IF(A3831&lt;0,(10-1)*A3831,-1*A3831))+D$129*EXP(IF(A3831&lt;0,(10-2)*A3831,-2*A3831))+E$129*EXP(IF(A3831&lt;0,(10-3)*A3831,-3*A3831))+F$129*EXP(IF(A3831&lt;0,(10-4)*A3831,-4*A3831))+G$129*EXP(IF(A3831&lt;0,(10-5)*A3831,-5*A3831))+H$129*EXP(IF(A3831&lt;0,(10-6)*A3831,-6*A3831))+I$129*EXP(IF(A3831&lt;0,(10-7)*A3831,-7*A3831))+J$129*EXP(IF(A3831&lt;0,(10-8)*A3831,-8*A3831))+K$129*EXP(IF(A3831&lt;0,(10-9)*A3831,-9*A3831))+L$129*EXP(IF(A3831&lt;0,(10-10)*A3831,-10*A3831)),0)</x:f>
        <x:v>-190000.30005728945</x:v>
      </x:c>
      <x:c r="C3831" s="256" t="n">
        <x:f>IF(B3831=0,IF(B3830=0,0,1),IF(B3830=0,0,IF(SIGN(B3831)&lt;&gt;SIGN(B3830),1,0)))</x:f>
        <x:v>0</x:v>
      </x:c>
      <x:c r="D3831" s="256" t="n">
        <x:f>EXP(A3831-0.005)-1</x:f>
        <x:v>27037.038855679326</x:v>
      </x:c>
    </x:row>
    <x:row r="3832" ht="20" customHeight="1">
      <x:c r="A3832" s="256" t="n">
        <x:f>-12+2222*0.01</x:f>
        <x:v>10.219999999999999</x:v>
      </x:c>
      <x:c r="B3832" s="256" t="n">
        <x:f>IF(COUNT($B$129:$L$129)=11,B$129*EXP(IF(A3832&lt;0,(10-0)*A3832,-0*A3832))+C$129*EXP(IF(A3832&lt;0,(10-1)*A3832,-1*A3832))+D$129*EXP(IF(A3832&lt;0,(10-2)*A3832,-2*A3832))+E$129*EXP(IF(A3832&lt;0,(10-3)*A3832,-3*A3832))+F$129*EXP(IF(A3832&lt;0,(10-4)*A3832,-4*A3832))+G$129*EXP(IF(A3832&lt;0,(10-5)*A3832,-5*A3832))+H$129*EXP(IF(A3832&lt;0,(10-6)*A3832,-6*A3832))+I$129*EXP(IF(A3832&lt;0,(10-7)*A3832,-7*A3832))+J$129*EXP(IF(A3832&lt;0,(10-8)*A3832,-8*A3832))+K$129*EXP(IF(A3832&lt;0,(10-9)*A3832,-9*A3832))+L$129*EXP(IF(A3832&lt;0,(10-10)*A3832,-10*A3832)),0)</x:f>
        <x:v>-190000.29707159038</x:v>
      </x:c>
      <x:c r="C3832" s="256" t="n">
        <x:f>IF(B3832=0,IF(B3831=0,0,1),IF(B3831=0,0,IF(SIGN(B3832)&lt;&gt;SIGN(B3831),1,0)))</x:f>
        <x:v>0</x:v>
      </x:c>
      <x:c r="D3832" s="256" t="n">
        <x:f>EXP(A3832-0.005)-1</x:f>
        <x:v>27308.77566380708</x:v>
      </x:c>
    </x:row>
    <x:row r="3833" ht="20" customHeight="1">
      <x:c r="A3833" s="256" t="n">
        <x:f>-12+2223*0.01</x:f>
        <x:v>10.23</x:v>
      </x:c>
      <x:c r="B3833" s="256" t="n">
        <x:f>IF(COUNT($B$129:$L$129)=11,B$129*EXP(IF(A3833&lt;0,(10-0)*A3833,-0*A3833))+C$129*EXP(IF(A3833&lt;0,(10-1)*A3833,-1*A3833))+D$129*EXP(IF(A3833&lt;0,(10-2)*A3833,-2*A3833))+E$129*EXP(IF(A3833&lt;0,(10-3)*A3833,-3*A3833))+F$129*EXP(IF(A3833&lt;0,(10-4)*A3833,-4*A3833))+G$129*EXP(IF(A3833&lt;0,(10-5)*A3833,-5*A3833))+H$129*EXP(IF(A3833&lt;0,(10-6)*A3833,-6*A3833))+I$129*EXP(IF(A3833&lt;0,(10-7)*A3833,-7*A3833))+J$129*EXP(IF(A3833&lt;0,(10-8)*A3833,-8*A3833))+K$129*EXP(IF(A3833&lt;0,(10-9)*A3833,-9*A3833))+L$129*EXP(IF(A3833&lt;0,(10-10)*A3833,-10*A3833)),0)</x:f>
        <x:v>-190000.2941156011</x:v>
      </x:c>
      <x:c r="C3833" s="256" t="n">
        <x:f>IF(B3833=0,IF(B3832=0,0,1),IF(B3832=0,0,IF(SIGN(B3833)&lt;&gt;SIGN(B3832),1,0)))</x:f>
        <x:v>0</x:v>
      </x:c>
      <x:c r="D3833" s="256" t="n">
        <x:f>EXP(A3833-0.005)-1</x:f>
        <x:v>27583.243472259528</x:v>
      </x:c>
    </x:row>
    <x:row r="3834" ht="20" customHeight="1">
      <x:c r="A3834" s="256" t="n">
        <x:f>-12+2224*0.01</x:f>
        <x:v>10.240000000000002</x:v>
      </x:c>
      <x:c r="B3834" s="256" t="n">
        <x:f>IF(COUNT($B$129:$L$129)=11,B$129*EXP(IF(A3834&lt;0,(10-0)*A3834,-0*A3834))+C$129*EXP(IF(A3834&lt;0,(10-1)*A3834,-1*A3834))+D$129*EXP(IF(A3834&lt;0,(10-2)*A3834,-2*A3834))+E$129*EXP(IF(A3834&lt;0,(10-3)*A3834,-3*A3834))+F$129*EXP(IF(A3834&lt;0,(10-4)*A3834,-4*A3834))+G$129*EXP(IF(A3834&lt;0,(10-5)*A3834,-5*A3834))+H$129*EXP(IF(A3834&lt;0,(10-6)*A3834,-6*A3834))+I$129*EXP(IF(A3834&lt;0,(10-7)*A3834,-7*A3834))+J$129*EXP(IF(A3834&lt;0,(10-8)*A3834,-8*A3834))+K$129*EXP(IF(A3834&lt;0,(10-9)*A3834,-9*A3834))+L$129*EXP(IF(A3834&lt;0,(10-10)*A3834,-10*A3834)),0)</x:f>
        <x:v>-190000.2911890259</x:v>
      </x:c>
      <x:c r="C3834" s="256" t="n">
        <x:f>IF(B3834=0,IF(B3833=0,0,1),IF(B3833=0,0,IF(SIGN(B3834)&lt;&gt;SIGN(B3833),1,0)))</x:f>
        <x:v>0</x:v>
      </x:c>
      <x:c r="D3834" s="256" t="n">
        <x:f>EXP(A3834-0.005)-1</x:f>
        <x:v>27860.469728046155</x:v>
      </x:c>
    </x:row>
    <x:row r="3835" ht="20" customHeight="1">
      <x:c r="A3835" s="256" t="n">
        <x:f>-12+2225*0.01</x:f>
        <x:v>10.25</x:v>
      </x:c>
      <x:c r="B3835" s="256" t="n">
        <x:f>IF(COUNT($B$129:$L$129)=11,B$129*EXP(IF(A3835&lt;0,(10-0)*A3835,-0*A3835))+C$129*EXP(IF(A3835&lt;0,(10-1)*A3835,-1*A3835))+D$129*EXP(IF(A3835&lt;0,(10-2)*A3835,-2*A3835))+E$129*EXP(IF(A3835&lt;0,(10-3)*A3835,-3*A3835))+F$129*EXP(IF(A3835&lt;0,(10-4)*A3835,-4*A3835))+G$129*EXP(IF(A3835&lt;0,(10-5)*A3835,-5*A3835))+H$129*EXP(IF(A3835&lt;0,(10-6)*A3835,-6*A3835))+I$129*EXP(IF(A3835&lt;0,(10-7)*A3835,-7*A3835))+J$129*EXP(IF(A3835&lt;0,(10-8)*A3835,-8*A3835))+K$129*EXP(IF(A3835&lt;0,(10-9)*A3835,-9*A3835))+L$129*EXP(IF(A3835&lt;0,(10-10)*A3835,-10*A3835)),0)</x:f>
        <x:v>-190000.2882915721</x:v>
      </x:c>
      <x:c r="C3835" s="256" t="n">
        <x:f>IF(B3835=0,IF(B3834=0,0,1),IF(B3834=0,0,IF(SIGN(B3835)&lt;&gt;SIGN(B3834),1,0)))</x:f>
        <x:v>0</x:v>
      </x:c>
      <x:c r="D3835" s="256" t="n">
        <x:f>EXP(A3835-0.005)-1</x:f>
        <x:v>28140.48215402345</x:v>
      </x:c>
    </x:row>
    <x:row r="3836" ht="20" customHeight="1">
      <x:c r="A3836" s="256" t="n">
        <x:f>-12+2226*0.01</x:f>
        <x:v>10.260000000000002</x:v>
      </x:c>
      <x:c r="B3836" s="256" t="n">
        <x:f>IF(COUNT($B$129:$L$129)=11,B$129*EXP(IF(A3836&lt;0,(10-0)*A3836,-0*A3836))+C$129*EXP(IF(A3836&lt;0,(10-1)*A3836,-1*A3836))+D$129*EXP(IF(A3836&lt;0,(10-2)*A3836,-2*A3836))+E$129*EXP(IF(A3836&lt;0,(10-3)*A3836,-3*A3836))+F$129*EXP(IF(A3836&lt;0,(10-4)*A3836,-4*A3836))+G$129*EXP(IF(A3836&lt;0,(10-5)*A3836,-5*A3836))+H$129*EXP(IF(A3836&lt;0,(10-6)*A3836,-6*A3836))+I$129*EXP(IF(A3836&lt;0,(10-7)*A3836,-7*A3836))+J$129*EXP(IF(A3836&lt;0,(10-8)*A3836,-8*A3836))+K$129*EXP(IF(A3836&lt;0,(10-9)*A3836,-9*A3836))+L$129*EXP(IF(A3836&lt;0,(10-10)*A3836,-10*A3836)),0)</x:f>
        <x:v>-190000.28542294996</x:v>
      </x:c>
      <x:c r="C3836" s="256" t="n">
        <x:f>IF(B3836=0,IF(B3835=0,0,1),IF(B3835=0,0,IF(SIGN(B3836)&lt;&gt;SIGN(B3835),1,0)))</x:f>
        <x:v>0</x:v>
      </x:c>
      <x:c r="D3836" s="256" t="n">
        <x:f>EXP(A3836-0.005)-1</x:f>
        <x:v>28423.308751667566</x:v>
      </x:c>
    </x:row>
    <x:row r="3837" ht="20" customHeight="1">
      <x:c r="A3837" s="256" t="n">
        <x:f>-12+2227*0.01</x:f>
        <x:v>10.27</x:v>
      </x:c>
      <x:c r="B3837" s="256" t="n">
        <x:f>IF(COUNT($B$129:$L$129)=11,B$129*EXP(IF(A3837&lt;0,(10-0)*A3837,-0*A3837))+C$129*EXP(IF(A3837&lt;0,(10-1)*A3837,-1*A3837))+D$129*EXP(IF(A3837&lt;0,(10-2)*A3837,-2*A3837))+E$129*EXP(IF(A3837&lt;0,(10-3)*A3837,-3*A3837))+F$129*EXP(IF(A3837&lt;0,(10-4)*A3837,-4*A3837))+G$129*EXP(IF(A3837&lt;0,(10-5)*A3837,-5*A3837))+H$129*EXP(IF(A3837&lt;0,(10-6)*A3837,-6*A3837))+I$129*EXP(IF(A3837&lt;0,(10-7)*A3837,-7*A3837))+J$129*EXP(IF(A3837&lt;0,(10-8)*A3837,-8*A3837))+K$129*EXP(IF(A3837&lt;0,(10-9)*A3837,-9*A3837))+L$129*EXP(IF(A3837&lt;0,(10-10)*A3837,-10*A3837)),0)</x:f>
        <x:v>-190000.28258287255</x:v>
      </x:c>
      <x:c r="C3837" s="256" t="n">
        <x:f>IF(B3837=0,IF(B3836=0,0,1),IF(B3836=0,0,IF(SIGN(B3837)&lt;&gt;SIGN(B3836),1,0)))</x:f>
        <x:v>0</x:v>
      </x:c>
      <x:c r="D3837" s="256" t="n">
        <x:f>EXP(A3837-0.005)-1</x:f>
        <x:v>28708.97780387375</x:v>
      </x:c>
    </x:row>
    <x:row r="3838" ht="20" customHeight="1">
      <x:c r="A3838" s="256" t="n">
        <x:f>-12+2228*0.01</x:f>
        <x:v>10.280000000000001</x:v>
      </x:c>
      <x:c r="B3838" s="256" t="n">
        <x:f>IF(COUNT($B$129:$L$129)=11,B$129*EXP(IF(A3838&lt;0,(10-0)*A3838,-0*A3838))+C$129*EXP(IF(A3838&lt;0,(10-1)*A3838,-1*A3838))+D$129*EXP(IF(A3838&lt;0,(10-2)*A3838,-2*A3838))+E$129*EXP(IF(A3838&lt;0,(10-3)*A3838,-3*A3838))+F$129*EXP(IF(A3838&lt;0,(10-4)*A3838,-4*A3838))+G$129*EXP(IF(A3838&lt;0,(10-5)*A3838,-5*A3838))+H$129*EXP(IF(A3838&lt;0,(10-6)*A3838,-6*A3838))+I$129*EXP(IF(A3838&lt;0,(10-7)*A3838,-7*A3838))+J$129*EXP(IF(A3838&lt;0,(10-8)*A3838,-8*A3838))+K$129*EXP(IF(A3838&lt;0,(10-9)*A3838,-9*A3838))+L$129*EXP(IF(A3838&lt;0,(10-10)*A3838,-10*A3838)),0)</x:f>
        <x:v>-190000.2797710558</x:v>
      </x:c>
      <x:c r="C3838" s="256" t="n">
        <x:f>IF(B3838=0,IF(B3837=0,0,1),IF(B3837=0,0,IF(SIGN(B3838)&lt;&gt;SIGN(B3837),1,0)))</x:f>
        <x:v>0</x:v>
      </x:c>
      <x:c r="D3838" s="256" t="n">
        <x:f>EXP(A3838-0.005)-1</x:f>
        <x:v>28997.51787778548</x:v>
      </x:c>
    </x:row>
    <x:row r="3839" ht="20" customHeight="1">
      <x:c r="A3839" s="256" t="n">
        <x:f>-12+2229*0.01</x:f>
        <x:v>10.29</x:v>
      </x:c>
      <x:c r="B3839" s="256" t="n">
        <x:f>IF(COUNT($B$129:$L$129)=11,B$129*EXP(IF(A3839&lt;0,(10-0)*A3839,-0*A3839))+C$129*EXP(IF(A3839&lt;0,(10-1)*A3839,-1*A3839))+D$129*EXP(IF(A3839&lt;0,(10-2)*A3839,-2*A3839))+E$129*EXP(IF(A3839&lt;0,(10-3)*A3839,-3*A3839))+F$129*EXP(IF(A3839&lt;0,(10-4)*A3839,-4*A3839))+G$129*EXP(IF(A3839&lt;0,(10-5)*A3839,-5*A3839))+H$129*EXP(IF(A3839&lt;0,(10-6)*A3839,-6*A3839))+I$129*EXP(IF(A3839&lt;0,(10-7)*A3839,-7*A3839))+J$129*EXP(IF(A3839&lt;0,(10-8)*A3839,-8*A3839))+K$129*EXP(IF(A3839&lt;0,(10-9)*A3839,-9*A3839))+L$129*EXP(IF(A3839&lt;0,(10-10)*A3839,-10*A3839)),0)</x:f>
        <x:v>-190000.27698721844</x:v>
      </x:c>
      <x:c r="C3839" s="256" t="n">
        <x:f>IF(B3839=0,IF(B3838=0,0,1),IF(B3838=0,0,IF(SIGN(B3839)&lt;&gt;SIGN(B3838),1,0)))</x:f>
        <x:v>0</x:v>
      </x:c>
      <x:c r="D3839" s="256" t="n">
        <x:f>EXP(A3839-0.005)-1</x:f>
        <x:v>29288.9578276504</x:v>
      </x:c>
    </x:row>
    <x:row r="3840" ht="20" customHeight="1">
      <x:c r="A3840" s="256" t="n">
        <x:f>-12+2230*0.01</x:f>
        <x:v>10.3</x:v>
      </x:c>
      <x:c r="B3840" s="256" t="n">
        <x:f>IF(COUNT($B$129:$L$129)=11,B$129*EXP(IF(A3840&lt;0,(10-0)*A3840,-0*A3840))+C$129*EXP(IF(A3840&lt;0,(10-1)*A3840,-1*A3840))+D$129*EXP(IF(A3840&lt;0,(10-2)*A3840,-2*A3840))+E$129*EXP(IF(A3840&lt;0,(10-3)*A3840,-3*A3840))+F$129*EXP(IF(A3840&lt;0,(10-4)*A3840,-4*A3840))+G$129*EXP(IF(A3840&lt;0,(10-5)*A3840,-5*A3840))+H$129*EXP(IF(A3840&lt;0,(10-6)*A3840,-6*A3840))+I$129*EXP(IF(A3840&lt;0,(10-7)*A3840,-7*A3840))+J$129*EXP(IF(A3840&lt;0,(10-8)*A3840,-8*A3840))+K$129*EXP(IF(A3840&lt;0,(10-9)*A3840,-9*A3840))+L$129*EXP(IF(A3840&lt;0,(10-10)*A3840,-10*A3840)),0)</x:f>
        <x:v>-190000.27423108212</x:v>
      </x:c>
      <x:c r="C3840" s="256" t="n">
        <x:f>IF(B3840=0,IF(B3839=0,0,1),IF(B3839=0,0,IF(SIGN(B3840)&lt;&gt;SIGN(B3839),1,0)))</x:f>
        <x:v>0</x:v>
      </x:c>
      <x:c r="D3840" s="256" t="n">
        <x:f>EXP(A3840-0.005)-1</x:f>
        <x:v>29583.32679770657</x:v>
      </x:c>
    </x:row>
    <x:row r="3841" ht="20" customHeight="1">
      <x:c r="A3841" s="256" t="n">
        <x:f>-12+2231*0.01</x:f>
        <x:v>10.309999999999999</x:v>
      </x:c>
      <x:c r="B3841" s="256" t="n">
        <x:f>IF(COUNT($B$129:$L$129)=11,B$129*EXP(IF(A3841&lt;0,(10-0)*A3841,-0*A3841))+C$129*EXP(IF(A3841&lt;0,(10-1)*A3841,-1*A3841))+D$129*EXP(IF(A3841&lt;0,(10-2)*A3841,-2*A3841))+E$129*EXP(IF(A3841&lt;0,(10-3)*A3841,-3*A3841))+F$129*EXP(IF(A3841&lt;0,(10-4)*A3841,-4*A3841))+G$129*EXP(IF(A3841&lt;0,(10-5)*A3841,-5*A3841))+H$129*EXP(IF(A3841&lt;0,(10-6)*A3841,-6*A3841))+I$129*EXP(IF(A3841&lt;0,(10-7)*A3841,-7*A3841))+J$129*EXP(IF(A3841&lt;0,(10-8)*A3841,-8*A3841))+K$129*EXP(IF(A3841&lt;0,(10-9)*A3841,-9*A3841))+L$129*EXP(IF(A3841&lt;0,(10-10)*A3841,-10*A3841)),0)</x:f>
        <x:v>-190000.27150237115</x:v>
      </x:c>
      <x:c r="C3841" s="256" t="n">
        <x:f>IF(B3841=0,IF(B3840=0,0,1),IF(B3840=0,0,IF(SIGN(B3841)&lt;&gt;SIGN(B3840),1,0)))</x:f>
        <x:v>0</x:v>
      </x:c>
      <x:c r="D3841" s="256" t="n">
        <x:f>EXP(A3841-0.005)-1</x:f>
        <x:v>29880.654225096092</x:v>
      </x:c>
    </x:row>
    <x:row r="3842" ht="20" customHeight="1">
      <x:c r="A3842" s="256" t="n">
        <x:f>-12+2232*0.01</x:f>
        <x:v>10.32</x:v>
      </x:c>
      <x:c r="B3842" s="256" t="n">
        <x:f>IF(COUNT($B$129:$L$129)=11,B$129*EXP(IF(A3842&lt;0,(10-0)*A3842,-0*A3842))+C$129*EXP(IF(A3842&lt;0,(10-1)*A3842,-1*A3842))+D$129*EXP(IF(A3842&lt;0,(10-2)*A3842,-2*A3842))+E$129*EXP(IF(A3842&lt;0,(10-3)*A3842,-3*A3842))+F$129*EXP(IF(A3842&lt;0,(10-4)*A3842,-4*A3842))+G$129*EXP(IF(A3842&lt;0,(10-5)*A3842,-5*A3842))+H$129*EXP(IF(A3842&lt;0,(10-6)*A3842,-6*A3842))+I$129*EXP(IF(A3842&lt;0,(10-7)*A3842,-7*A3842))+J$129*EXP(IF(A3842&lt;0,(10-8)*A3842,-8*A3842))+K$129*EXP(IF(A3842&lt;0,(10-9)*A3842,-9*A3842))+L$129*EXP(IF(A3842&lt;0,(10-10)*A3842,-10*A3842)),0)</x:f>
        <x:v>-190000.26880081257</x:v>
      </x:c>
      <x:c r="C3842" s="256" t="n">
        <x:f>IF(B3842=0,IF(B3841=0,0,1),IF(B3841=0,0,IF(SIGN(B3842)&lt;&gt;SIGN(B3841),1,0)))</x:f>
        <x:v>0</x:v>
      </x:c>
      <x:c r="D3842" s="256" t="n">
        <x:f>EXP(A3842-0.005)-1</x:f>
        <x:v>30180.96984280969</x:v>
      </x:c>
    </x:row>
    <x:row r="3843" ht="20" customHeight="1">
      <x:c r="A3843" s="256" t="n">
        <x:f>-12+2233*0.01</x:f>
        <x:v>10.330000000000002</x:v>
      </x:c>
      <x:c r="B3843" s="256" t="n">
        <x:f>IF(COUNT($B$129:$L$129)=11,B$129*EXP(IF(A3843&lt;0,(10-0)*A3843,-0*A3843))+C$129*EXP(IF(A3843&lt;0,(10-1)*A3843,-1*A3843))+D$129*EXP(IF(A3843&lt;0,(10-2)*A3843,-2*A3843))+E$129*EXP(IF(A3843&lt;0,(10-3)*A3843,-3*A3843))+F$129*EXP(IF(A3843&lt;0,(10-4)*A3843,-4*A3843))+G$129*EXP(IF(A3843&lt;0,(10-5)*A3843,-5*A3843))+H$129*EXP(IF(A3843&lt;0,(10-6)*A3843,-6*A3843))+I$129*EXP(IF(A3843&lt;0,(10-7)*A3843,-7*A3843))+J$129*EXP(IF(A3843&lt;0,(10-8)*A3843,-8*A3843))+K$129*EXP(IF(A3843&lt;0,(10-9)*A3843,-9*A3843))+L$129*EXP(IF(A3843&lt;0,(10-10)*A3843,-10*A3843)),0)</x:f>
        <x:v>-190000.26612613627</x:v>
      </x:c>
      <x:c r="C3843" s="256" t="n">
        <x:f>IF(B3843=0,IF(B3842=0,0,1),IF(B3842=0,0,IF(SIGN(B3843)&lt;&gt;SIGN(B3842),1,0)))</x:f>
        <x:v>0</x:v>
      </x:c>
      <x:c r="D3843" s="256" t="n">
        <x:f>EXP(A3843-0.005)-1</x:f>
        <x:v>30484.303682659298</x:v>
      </x:c>
    </x:row>
    <x:row r="3844" ht="20" customHeight="1">
      <x:c r="A3844" s="256" t="n">
        <x:f>-12+2234*0.01</x:f>
        <x:v>10.34</x:v>
      </x:c>
      <x:c r="B3844" s="256" t="n">
        <x:f>IF(COUNT($B$129:$L$129)=11,B$129*EXP(IF(A3844&lt;0,(10-0)*A3844,-0*A3844))+C$129*EXP(IF(A3844&lt;0,(10-1)*A3844,-1*A3844))+D$129*EXP(IF(A3844&lt;0,(10-2)*A3844,-2*A3844))+E$129*EXP(IF(A3844&lt;0,(10-3)*A3844,-3*A3844))+F$129*EXP(IF(A3844&lt;0,(10-4)*A3844,-4*A3844))+G$129*EXP(IF(A3844&lt;0,(10-5)*A3844,-5*A3844))+H$129*EXP(IF(A3844&lt;0,(10-6)*A3844,-6*A3844))+I$129*EXP(IF(A3844&lt;0,(10-7)*A3844,-7*A3844))+J$129*EXP(IF(A3844&lt;0,(10-8)*A3844,-8*A3844))+K$129*EXP(IF(A3844&lt;0,(10-9)*A3844,-9*A3844))+L$129*EXP(IF(A3844&lt;0,(10-10)*A3844,-10*A3844)),0)</x:f>
        <x:v>-190000.26347807472</x:v>
      </x:c>
      <x:c r="C3844" s="256" t="n">
        <x:f>IF(B3844=0,IF(B3843=0,0,1),IF(B3843=0,0,IF(SIGN(B3844)&lt;&gt;SIGN(B3843),1,0)))</x:f>
        <x:v>0</x:v>
      </x:c>
      <x:c r="D3844" s="256" t="n">
        <x:f>EXP(A3844-0.005)-1</x:f>
        <x:v>30790.686078281567</x:v>
      </x:c>
    </x:row>
    <x:row r="3845" ht="20" customHeight="1">
      <x:c r="A3845" s="256" t="n">
        <x:f>-12+2235*0.01</x:f>
        <x:v>10.350000000000001</x:v>
      </x:c>
      <x:c r="B3845" s="256" t="n">
        <x:f>IF(COUNT($B$129:$L$129)=11,B$129*EXP(IF(A3845&lt;0,(10-0)*A3845,-0*A3845))+C$129*EXP(IF(A3845&lt;0,(10-1)*A3845,-1*A3845))+D$129*EXP(IF(A3845&lt;0,(10-2)*A3845,-2*A3845))+E$129*EXP(IF(A3845&lt;0,(10-3)*A3845,-3*A3845))+F$129*EXP(IF(A3845&lt;0,(10-4)*A3845,-4*A3845))+G$129*EXP(IF(A3845&lt;0,(10-5)*A3845,-5*A3845))+H$129*EXP(IF(A3845&lt;0,(10-6)*A3845,-6*A3845))+I$129*EXP(IF(A3845&lt;0,(10-7)*A3845,-7*A3845))+J$129*EXP(IF(A3845&lt;0,(10-8)*A3845,-8*A3845))+K$129*EXP(IF(A3845&lt;0,(10-9)*A3845,-9*A3845))+L$129*EXP(IF(A3845&lt;0,(10-10)*A3845,-10*A3845)),0)</x:f>
        <x:v>-190000.26085636302</x:v>
      </x:c>
      <x:c r="C3845" s="256" t="n">
        <x:f>IF(B3845=0,IF(B3844=0,0,1),IF(B3844=0,0,IF(SIGN(B3845)&lt;&gt;SIGN(B3844),1,0)))</x:f>
        <x:v>0</x:v>
      </x:c>
      <x:c r="D3845" s="256" t="n">
        <x:f>EXP(A3845-0.005)-1</x:f>
        <x:v>31100.147668171598</x:v>
      </x:c>
    </x:row>
    <x:row r="3846" ht="20" customHeight="1">
      <x:c r="A3846" s="256" t="n">
        <x:f>-12+2236*0.01</x:f>
        <x:v>10.36</x:v>
      </x:c>
      <x:c r="B3846" s="256" t="n">
        <x:f>IF(COUNT($B$129:$L$129)=11,B$129*EXP(IF(A3846&lt;0,(10-0)*A3846,-0*A3846))+C$129*EXP(IF(A3846&lt;0,(10-1)*A3846,-1*A3846))+D$129*EXP(IF(A3846&lt;0,(10-2)*A3846,-2*A3846))+E$129*EXP(IF(A3846&lt;0,(10-3)*A3846,-3*A3846))+F$129*EXP(IF(A3846&lt;0,(10-4)*A3846,-4*A3846))+G$129*EXP(IF(A3846&lt;0,(10-5)*A3846,-5*A3846))+H$129*EXP(IF(A3846&lt;0,(10-6)*A3846,-6*A3846))+I$129*EXP(IF(A3846&lt;0,(10-7)*A3846,-7*A3846))+J$129*EXP(IF(A3846&lt;0,(10-8)*A3846,-8*A3846))+K$129*EXP(IF(A3846&lt;0,(10-9)*A3846,-9*A3846))+L$129*EXP(IF(A3846&lt;0,(10-10)*A3846,-10*A3846)),0)</x:f>
        <x:v>-190000.258260739</x:v>
      </x:c>
      <x:c r="C3846" s="256" t="n">
        <x:f>IF(B3846=0,IF(B3845=0,0,1),IF(B3845=0,0,IF(SIGN(B3846)&lt;&gt;SIGN(B3845),1,0)))</x:f>
        <x:v>0</x:v>
      </x:c>
      <x:c r="D3846" s="256" t="n">
        <x:f>EXP(A3846-0.005)-1</x:f>
        <x:v>31412.71939874604</x:v>
      </x:c>
    </x:row>
    <x:row r="3847" ht="20" customHeight="1">
      <x:c r="A3847" s="256" t="n">
        <x:f>-12+2237*0.01</x:f>
        <x:v>10.370000000000001</x:v>
      </x:c>
      <x:c r="B3847" s="256" t="n">
        <x:f>IF(COUNT($B$129:$L$129)=11,B$129*EXP(IF(A3847&lt;0,(10-0)*A3847,-0*A3847))+C$129*EXP(IF(A3847&lt;0,(10-1)*A3847,-1*A3847))+D$129*EXP(IF(A3847&lt;0,(10-2)*A3847,-2*A3847))+E$129*EXP(IF(A3847&lt;0,(10-3)*A3847,-3*A3847))+F$129*EXP(IF(A3847&lt;0,(10-4)*A3847,-4*A3847))+G$129*EXP(IF(A3847&lt;0,(10-5)*A3847,-5*A3847))+H$129*EXP(IF(A3847&lt;0,(10-6)*A3847,-6*A3847))+I$129*EXP(IF(A3847&lt;0,(10-7)*A3847,-7*A3847))+J$129*EXP(IF(A3847&lt;0,(10-8)*A3847,-8*A3847))+K$129*EXP(IF(A3847&lt;0,(10-9)*A3847,-9*A3847))+L$129*EXP(IF(A3847&lt;0,(10-10)*A3847,-10*A3847)),0)</x:f>
        <x:v>-190000.25569094307</x:v>
      </x:c>
      <x:c r="C3847" s="256" t="n">
        <x:f>IF(B3847=0,IF(B3846=0,0,1),IF(B3846=0,0,IF(SIGN(B3847)&lt;&gt;SIGN(B3846),1,0)))</x:f>
        <x:v>0</x:v>
      </x:c>
      <x:c r="D3847" s="256" t="n">
        <x:f>EXP(A3847-0.005)-1</x:f>
        <x:v>31728.43252743866</x:v>
      </x:c>
    </x:row>
    <x:row r="3848" ht="20" customHeight="1">
      <x:c r="A3848" s="256" t="n">
        <x:f>-12+2238*0.01</x:f>
        <x:v>10.379999999999999</x:v>
      </x:c>
      <x:c r="B3848" s="256" t="n">
        <x:f>IF(COUNT($B$129:$L$129)=11,B$129*EXP(IF(A3848&lt;0,(10-0)*A3848,-0*A3848))+C$129*EXP(IF(A3848&lt;0,(10-1)*A3848,-1*A3848))+D$129*EXP(IF(A3848&lt;0,(10-2)*A3848,-2*A3848))+E$129*EXP(IF(A3848&lt;0,(10-3)*A3848,-3*A3848))+F$129*EXP(IF(A3848&lt;0,(10-4)*A3848,-4*A3848))+G$129*EXP(IF(A3848&lt;0,(10-5)*A3848,-5*A3848))+H$129*EXP(IF(A3848&lt;0,(10-6)*A3848,-6*A3848))+I$129*EXP(IF(A3848&lt;0,(10-7)*A3848,-7*A3848))+J$129*EXP(IF(A3848&lt;0,(10-8)*A3848,-8*A3848))+K$129*EXP(IF(A3848&lt;0,(10-9)*A3848,-9*A3848))+L$129*EXP(IF(A3848&lt;0,(10-10)*A3848,-10*A3848)),0)</x:f>
        <x:v>-190000.2531467182</x:v>
      </x:c>
      <x:c r="C3848" s="256" t="n">
        <x:f>IF(B3848=0,IF(B3847=0,0,1),IF(B3847=0,0,IF(SIGN(B3848)&lt;&gt;SIGN(B3847),1,0)))</x:f>
        <x:v>0</x:v>
      </x:c>
      <x:c r="D3848" s="256" t="n">
        <x:f>EXP(A3848-0.005)-1</x:f>
        <x:v>32047.31862582519</x:v>
      </x:c>
    </x:row>
    <x:row r="3849" ht="20" customHeight="1">
      <x:c r="A3849" s="256" t="n">
        <x:f>-12+2239*0.01</x:f>
        <x:v>10.39</x:v>
      </x:c>
      <x:c r="B3849" s="256" t="n">
        <x:f>IF(COUNT($B$129:$L$129)=11,B$129*EXP(IF(A3849&lt;0,(10-0)*A3849,-0*A3849))+C$129*EXP(IF(A3849&lt;0,(10-1)*A3849,-1*A3849))+D$129*EXP(IF(A3849&lt;0,(10-2)*A3849,-2*A3849))+E$129*EXP(IF(A3849&lt;0,(10-3)*A3849,-3*A3849))+F$129*EXP(IF(A3849&lt;0,(10-4)*A3849,-4*A3849))+G$129*EXP(IF(A3849&lt;0,(10-5)*A3849,-5*A3849))+H$129*EXP(IF(A3849&lt;0,(10-6)*A3849,-6*A3849))+I$129*EXP(IF(A3849&lt;0,(10-7)*A3849,-7*A3849))+J$129*EXP(IF(A3849&lt;0,(10-8)*A3849,-8*A3849))+K$129*EXP(IF(A3849&lt;0,(10-9)*A3849,-9*A3849))+L$129*EXP(IF(A3849&lt;0,(10-10)*A3849,-10*A3849)),0)</x:f>
        <x:v>-190000.25062780993</x:v>
      </x:c>
      <x:c r="C3849" s="256" t="n">
        <x:f>IF(B3849=0,IF(B3848=0,0,1),IF(B3848=0,0,IF(SIGN(B3849)&lt;&gt;SIGN(B3848),1,0)))</x:f>
        <x:v>0</x:v>
      </x:c>
      <x:c r="D3849" s="256" t="n">
        <x:f>EXP(A3849-0.005)-1</x:f>
        <x:v>32369.40958278144</x:v>
      </x:c>
    </x:row>
    <x:row r="3850" ht="20" customHeight="1">
      <x:c r="A3850" s="256" t="n">
        <x:f>-12+2240*0.01</x:f>
        <x:v>10.400000000000002</x:v>
      </x:c>
      <x:c r="B3850" s="256" t="n">
        <x:f>IF(COUNT($B$129:$L$129)=11,B$129*EXP(IF(A3850&lt;0,(10-0)*A3850,-0*A3850))+C$129*EXP(IF(A3850&lt;0,(10-1)*A3850,-1*A3850))+D$129*EXP(IF(A3850&lt;0,(10-2)*A3850,-2*A3850))+E$129*EXP(IF(A3850&lt;0,(10-3)*A3850,-3*A3850))+F$129*EXP(IF(A3850&lt;0,(10-4)*A3850,-4*A3850))+G$129*EXP(IF(A3850&lt;0,(10-5)*A3850,-5*A3850))+H$129*EXP(IF(A3850&lt;0,(10-6)*A3850,-6*A3850))+I$129*EXP(IF(A3850&lt;0,(10-7)*A3850,-7*A3850))+J$129*EXP(IF(A3850&lt;0,(10-8)*A3850,-8*A3850))+K$129*EXP(IF(A3850&lt;0,(10-9)*A3850,-9*A3850))+L$129*EXP(IF(A3850&lt;0,(10-10)*A3850,-10*A3850)),0)</x:f>
        <x:v>-190000.24813396635</x:v>
      </x:c>
      <x:c r="C3850" s="256" t="n">
        <x:f>IF(B3850=0,IF(B3849=0,0,1),IF(B3849=0,0,IF(SIGN(B3850)&lt;&gt;SIGN(B3849),1,0)))</x:f>
        <x:v>0</x:v>
      </x:c>
      <x:c r="D3850" s="256" t="n">
        <x:f>EXP(A3850-0.005)-1</x:f>
        <x:v>32694.7376076714</x:v>
      </x:c>
    </x:row>
    <x:row r="3851" ht="20" customHeight="1">
      <x:c r="A3851" s="256" t="n">
        <x:f>-12+2241*0.01</x:f>
        <x:v>10.41</x:v>
      </x:c>
      <x:c r="B3851" s="256" t="n">
        <x:f>IF(COUNT($B$129:$L$129)=11,B$129*EXP(IF(A3851&lt;0,(10-0)*A3851,-0*A3851))+C$129*EXP(IF(A3851&lt;0,(10-1)*A3851,-1*A3851))+D$129*EXP(IF(A3851&lt;0,(10-2)*A3851,-2*A3851))+E$129*EXP(IF(A3851&lt;0,(10-3)*A3851,-3*A3851))+F$129*EXP(IF(A3851&lt;0,(10-4)*A3851,-4*A3851))+G$129*EXP(IF(A3851&lt;0,(10-5)*A3851,-5*A3851))+H$129*EXP(IF(A3851&lt;0,(10-6)*A3851,-6*A3851))+I$129*EXP(IF(A3851&lt;0,(10-7)*A3851,-7*A3851))+J$129*EXP(IF(A3851&lt;0,(10-8)*A3851,-8*A3851))+K$129*EXP(IF(A3851&lt;0,(10-9)*A3851,-9*A3851))+L$129*EXP(IF(A3851&lt;0,(10-10)*A3851,-10*A3851)),0)</x:f>
        <x:v>-190000.24566493797</x:v>
      </x:c>
      <x:c r="C3851" s="256" t="n">
        <x:f>IF(B3851=0,IF(B3850=0,0,1),IF(B3850=0,0,IF(SIGN(B3851)&lt;&gt;SIGN(B3850),1,0)))</x:f>
        <x:v>0</x:v>
      </x:c>
      <x:c r="D3851" s="256" t="n">
        <x:f>EXP(A3851-0.005)-1</x:f>
        <x:v>33023.33523356855</x:v>
      </x:c>
    </x:row>
    <x:row r="3852" ht="20" customHeight="1">
      <x:c r="A3852" s="256" t="n">
        <x:f>-12+2242*0.01</x:f>
        <x:v>10.420000000000002</x:v>
      </x:c>
      <x:c r="B3852" s="256" t="n">
        <x:f>IF(COUNT($B$129:$L$129)=11,B$129*EXP(IF(A3852&lt;0,(10-0)*A3852,-0*A3852))+C$129*EXP(IF(A3852&lt;0,(10-1)*A3852,-1*A3852))+D$129*EXP(IF(A3852&lt;0,(10-2)*A3852,-2*A3852))+E$129*EXP(IF(A3852&lt;0,(10-3)*A3852,-3*A3852))+F$129*EXP(IF(A3852&lt;0,(10-4)*A3852,-4*A3852))+G$129*EXP(IF(A3852&lt;0,(10-5)*A3852,-5*A3852))+H$129*EXP(IF(A3852&lt;0,(10-6)*A3852,-6*A3852))+I$129*EXP(IF(A3852&lt;0,(10-7)*A3852,-7*A3852))+J$129*EXP(IF(A3852&lt;0,(10-8)*A3852,-8*A3852))+K$129*EXP(IF(A3852&lt;0,(10-9)*A3852,-9*A3852))+L$129*EXP(IF(A3852&lt;0,(10-10)*A3852,-10*A3852)),0)</x:f>
        <x:v>-190000.24322047792</x:v>
      </x:c>
      <x:c r="C3852" s="256" t="n">
        <x:f>IF(B3852=0,IF(B3851=0,0,1),IF(B3851=0,0,IF(SIGN(B3852)&lt;&gt;SIGN(B3851),1,0)))</x:f>
        <x:v>0</x:v>
      </x:c>
      <x:c r="D3852" s="256" t="n">
        <x:f>EXP(A3852-0.005)-1</x:f>
        <x:v>33355.23532050954</x:v>
      </x:c>
    </x:row>
    <x:row r="3853" ht="20" customHeight="1">
      <x:c r="A3853" s="256" t="n">
        <x:f>-12+2243*0.01</x:f>
        <x:v>10.43</x:v>
      </x:c>
      <x:c r="B3853" s="256" t="n">
        <x:f>IF(COUNT($B$129:$L$129)=11,B$129*EXP(IF(A3853&lt;0,(10-0)*A3853,-0*A3853))+C$129*EXP(IF(A3853&lt;0,(10-1)*A3853,-1*A3853))+D$129*EXP(IF(A3853&lt;0,(10-2)*A3853,-2*A3853))+E$129*EXP(IF(A3853&lt;0,(10-3)*A3853,-3*A3853))+F$129*EXP(IF(A3853&lt;0,(10-4)*A3853,-4*A3853))+G$129*EXP(IF(A3853&lt;0,(10-5)*A3853,-5*A3853))+H$129*EXP(IF(A3853&lt;0,(10-6)*A3853,-6*A3853))+I$129*EXP(IF(A3853&lt;0,(10-7)*A3853,-7*A3853))+J$129*EXP(IF(A3853&lt;0,(10-8)*A3853,-8*A3853))+K$129*EXP(IF(A3853&lt;0,(10-9)*A3853,-9*A3853))+L$129*EXP(IF(A3853&lt;0,(10-10)*A3853,-10*A3853)),0)</x:f>
        <x:v>-190000.2408003417</x:v>
      </x:c>
      <x:c r="C3853" s="256" t="n">
        <x:f>IF(B3853=0,IF(B3852=0,0,1),IF(B3852=0,0,IF(SIGN(B3853)&lt;&gt;SIGN(B3852),1,0)))</x:f>
        <x:v>0</x:v>
      </x:c>
      <x:c r="D3853" s="256" t="n">
        <x:f>EXP(A3853-0.005)-1</x:f>
        <x:v>33690.471058779425</x:v>
      </x:c>
    </x:row>
    <x:row r="3854" ht="20" customHeight="1">
      <x:c r="A3854" s="256" t="n">
        <x:f>-12+2244*0.01</x:f>
        <x:v>10.440000000000001</x:v>
      </x:c>
      <x:c r="B3854" s="256" t="n">
        <x:f>IF(COUNT($B$129:$L$129)=11,B$129*EXP(IF(A3854&lt;0,(10-0)*A3854,-0*A3854))+C$129*EXP(IF(A3854&lt;0,(10-1)*A3854,-1*A3854))+D$129*EXP(IF(A3854&lt;0,(10-2)*A3854,-2*A3854))+E$129*EXP(IF(A3854&lt;0,(10-3)*A3854,-3*A3854))+F$129*EXP(IF(A3854&lt;0,(10-4)*A3854,-4*A3854))+G$129*EXP(IF(A3854&lt;0,(10-5)*A3854,-5*A3854))+H$129*EXP(IF(A3854&lt;0,(10-6)*A3854,-6*A3854))+I$129*EXP(IF(A3854&lt;0,(10-7)*A3854,-7*A3854))+J$129*EXP(IF(A3854&lt;0,(10-8)*A3854,-8*A3854))+K$129*EXP(IF(A3854&lt;0,(10-9)*A3854,-9*A3854))+L$129*EXP(IF(A3854&lt;0,(10-10)*A3854,-10*A3854)),0)</x:f>
        <x:v>-190000.23840428732</x:v>
      </x:c>
      <x:c r="C3854" s="256" t="n">
        <x:f>IF(B3854=0,IF(B3853=0,0,1),IF(B3853=0,0,IF(SIGN(B3854)&lt;&gt;SIGN(B3853),1,0)))</x:f>
        <x:v>0</x:v>
      </x:c>
      <x:c r="D3854" s="256" t="n">
        <x:f>EXP(A3854-0.005)-1</x:f>
        <x:v>34029.07597223162</x:v>
      </x:c>
    </x:row>
    <x:row r="3855" ht="20" customHeight="1">
      <x:c r="A3855" s="256" t="n">
        <x:f>-12+2245*0.01</x:f>
        <x:v>10.45</x:v>
      </x:c>
      <x:c r="B3855" s="256" t="n">
        <x:f>IF(COUNT($B$129:$L$129)=11,B$129*EXP(IF(A3855&lt;0,(10-0)*A3855,-0*A3855))+C$129*EXP(IF(A3855&lt;0,(10-1)*A3855,-1*A3855))+D$129*EXP(IF(A3855&lt;0,(10-2)*A3855,-2*A3855))+E$129*EXP(IF(A3855&lt;0,(10-3)*A3855,-3*A3855))+F$129*EXP(IF(A3855&lt;0,(10-4)*A3855,-4*A3855))+G$129*EXP(IF(A3855&lt;0,(10-5)*A3855,-5*A3855))+H$129*EXP(IF(A3855&lt;0,(10-6)*A3855,-6*A3855))+I$129*EXP(IF(A3855&lt;0,(10-7)*A3855,-7*A3855))+J$129*EXP(IF(A3855&lt;0,(10-8)*A3855,-8*A3855))+K$129*EXP(IF(A3855&lt;0,(10-9)*A3855,-9*A3855))+L$129*EXP(IF(A3855&lt;0,(10-10)*A3855,-10*A3855)),0)</x:f>
        <x:v>-190000.23603207504</x:v>
      </x:c>
      <x:c r="C3855" s="256" t="n">
        <x:f>IF(B3855=0,IF(B3854=0,0,1),IF(B3854=0,0,IF(SIGN(B3855)&lt;&gt;SIGN(B3854),1,0)))</x:f>
        <x:v>0</x:v>
      </x:c>
      <x:c r="D3855" s="256" t="n">
        <x:f>EXP(A3855-0.005)-1</x:f>
        <x:v>34371.083921639416</x:v>
      </x:c>
    </x:row>
    <x:row r="3856" ht="20" customHeight="1">
      <x:c r="A3856" s="256" t="n">
        <x:f>-12+2246*0.01</x:f>
        <x:v>10.46</x:v>
      </x:c>
      <x:c r="B3856" s="256" t="n">
        <x:f>IF(COUNT($B$129:$L$129)=11,B$129*EXP(IF(A3856&lt;0,(10-0)*A3856,-0*A3856))+C$129*EXP(IF(A3856&lt;0,(10-1)*A3856,-1*A3856))+D$129*EXP(IF(A3856&lt;0,(10-2)*A3856,-2*A3856))+E$129*EXP(IF(A3856&lt;0,(10-3)*A3856,-3*A3856))+F$129*EXP(IF(A3856&lt;0,(10-4)*A3856,-4*A3856))+G$129*EXP(IF(A3856&lt;0,(10-5)*A3856,-5*A3856))+H$129*EXP(IF(A3856&lt;0,(10-6)*A3856,-6*A3856))+I$129*EXP(IF(A3856&lt;0,(10-7)*A3856,-7*A3856))+J$129*EXP(IF(A3856&lt;0,(10-8)*A3856,-8*A3856))+K$129*EXP(IF(A3856&lt;0,(10-9)*A3856,-9*A3856))+L$129*EXP(IF(A3856&lt;0,(10-10)*A3856,-10*A3856)),0)</x:f>
        <x:v>-190000.23368346767</x:v>
      </x:c>
      <x:c r="C3856" s="256" t="n">
        <x:f>IF(B3856=0,IF(B3855=0,0,1),IF(B3855=0,0,IF(SIGN(B3856)&lt;&gt;SIGN(B3855),1,0)))</x:f>
        <x:v>0</x:v>
      </x:c>
      <x:c r="D3856" s="256" t="n">
        <x:f>EXP(A3856-0.005)-1</x:f>
        <x:v>34716.52910808299</x:v>
      </x:c>
    </x:row>
    <x:row r="3857" ht="20" customHeight="1">
      <x:c r="A3857" s="256" t="n">
        <x:f>-12+2247*0.01</x:f>
        <x:v>10.469999999999999</x:v>
      </x:c>
      <x:c r="B3857" s="256" t="n">
        <x:f>IF(COUNT($B$129:$L$129)=11,B$129*EXP(IF(A3857&lt;0,(10-0)*A3857,-0*A3857))+C$129*EXP(IF(A3857&lt;0,(10-1)*A3857,-1*A3857))+D$129*EXP(IF(A3857&lt;0,(10-2)*A3857,-2*A3857))+E$129*EXP(IF(A3857&lt;0,(10-3)*A3857,-3*A3857))+F$129*EXP(IF(A3857&lt;0,(10-4)*A3857,-4*A3857))+G$129*EXP(IF(A3857&lt;0,(10-5)*A3857,-5*A3857))+H$129*EXP(IF(A3857&lt;0,(10-6)*A3857,-6*A3857))+I$129*EXP(IF(A3857&lt;0,(10-7)*A3857,-7*A3857))+J$129*EXP(IF(A3857&lt;0,(10-8)*A3857,-8*A3857))+K$129*EXP(IF(A3857&lt;0,(10-9)*A3857,-9*A3857))+L$129*EXP(IF(A3857&lt;0,(10-10)*A3857,-10*A3857)),0)</x:f>
        <x:v>-190000.23135823032</x:v>
      </x:c>
      <x:c r="C3857" s="256" t="n">
        <x:f>IF(B3857=0,IF(B3856=0,0,1),IF(B3856=0,0,IF(SIGN(B3857)&lt;&gt;SIGN(B3856),1,0)))</x:f>
        <x:v>0</x:v>
      </x:c>
      <x:c r="D3857" s="256" t="n">
        <x:f>EXP(A3857-0.005)-1</x:f>
        <x:v>35065.44607636863</x:v>
      </x:c>
    </x:row>
    <x:row r="3858" ht="20" customHeight="1">
      <x:c r="A3858" s="256" t="n">
        <x:f>-12+2248*0.01</x:f>
        <x:v>10.48</x:v>
      </x:c>
      <x:c r="B3858" s="256" t="n">
        <x:f>IF(COUNT($B$129:$L$129)=11,B$129*EXP(IF(A3858&lt;0,(10-0)*A3858,-0*A3858))+C$129*EXP(IF(A3858&lt;0,(10-1)*A3858,-1*A3858))+D$129*EXP(IF(A3858&lt;0,(10-2)*A3858,-2*A3858))+E$129*EXP(IF(A3858&lt;0,(10-3)*A3858,-3*A3858))+F$129*EXP(IF(A3858&lt;0,(10-4)*A3858,-4*A3858))+G$129*EXP(IF(A3858&lt;0,(10-5)*A3858,-5*A3858))+H$129*EXP(IF(A3858&lt;0,(10-6)*A3858,-6*A3858))+I$129*EXP(IF(A3858&lt;0,(10-7)*A3858,-7*A3858))+J$129*EXP(IF(A3858&lt;0,(10-8)*A3858,-8*A3858))+K$129*EXP(IF(A3858&lt;0,(10-9)*A3858,-9*A3858))+L$129*EXP(IF(A3858&lt;0,(10-10)*A3858,-10*A3858)),0)</x:f>
        <x:v>-190000.2290561304</x:v>
      </x:c>
      <x:c r="C3858" s="256" t="n">
        <x:f>IF(B3858=0,IF(B3857=0,0,1),IF(B3857=0,0,IF(SIGN(B3858)&lt;&gt;SIGN(B3857),1,0)))</x:f>
        <x:v>0</x:v>
      </x:c>
      <x:c r="D3858" s="256" t="n">
        <x:f>EXP(A3858-0.005)-1</x:f>
        <x:v>35417.86971848416</x:v>
      </x:c>
    </x:row>
    <x:row r="3859" ht="20" customHeight="1">
      <x:c r="A3859" s="256" t="n">
        <x:f>-12+2249*0.01</x:f>
        <x:v>10.490000000000002</x:v>
      </x:c>
      <x:c r="B3859" s="256" t="n">
        <x:f>IF(COUNT($B$129:$L$129)=11,B$129*EXP(IF(A3859&lt;0,(10-0)*A3859,-0*A3859))+C$129*EXP(IF(A3859&lt;0,(10-1)*A3859,-1*A3859))+D$129*EXP(IF(A3859&lt;0,(10-2)*A3859,-2*A3859))+E$129*EXP(IF(A3859&lt;0,(10-3)*A3859,-3*A3859))+F$129*EXP(IF(A3859&lt;0,(10-4)*A3859,-4*A3859))+G$129*EXP(IF(A3859&lt;0,(10-5)*A3859,-5*A3859))+H$129*EXP(IF(A3859&lt;0,(10-6)*A3859,-6*A3859))+I$129*EXP(IF(A3859&lt;0,(10-7)*A3859,-7*A3859))+J$129*EXP(IF(A3859&lt;0,(10-8)*A3859,-8*A3859))+K$129*EXP(IF(A3859&lt;0,(10-9)*A3859,-9*A3859))+L$129*EXP(IF(A3859&lt;0,(10-10)*A3859,-10*A3859)),0)</x:f>
        <x:v>-190000.2267769377</x:v>
      </x:c>
      <x:c r="C3859" s="256" t="n">
        <x:f>IF(B3859=0,IF(B3858=0,0,1),IF(B3858=0,0,IF(SIGN(B3859)&lt;&gt;SIGN(B3858),1,0)))</x:f>
        <x:v>0</x:v>
      </x:c>
      <x:c r="D3859" s="256" t="n">
        <x:f>EXP(A3859-0.005)-1</x:f>
        <x:v>35773.83527708736</x:v>
      </x:c>
    </x:row>
    <x:row r="3860" ht="20" customHeight="1">
      <x:c r="A3860" s="256" t="n">
        <x:f>-12+2250*0.01</x:f>
        <x:v>10.5</x:v>
      </x:c>
      <x:c r="B3860" s="256" t="n">
        <x:f>IF(COUNT($B$129:$L$129)=11,B$129*EXP(IF(A3860&lt;0,(10-0)*A3860,-0*A3860))+C$129*EXP(IF(A3860&lt;0,(10-1)*A3860,-1*A3860))+D$129*EXP(IF(A3860&lt;0,(10-2)*A3860,-2*A3860))+E$129*EXP(IF(A3860&lt;0,(10-3)*A3860,-3*A3860))+F$129*EXP(IF(A3860&lt;0,(10-4)*A3860,-4*A3860))+G$129*EXP(IF(A3860&lt;0,(10-5)*A3860,-5*A3860))+H$129*EXP(IF(A3860&lt;0,(10-6)*A3860,-6*A3860))+I$129*EXP(IF(A3860&lt;0,(10-7)*A3860,-7*A3860))+J$129*EXP(IF(A3860&lt;0,(10-8)*A3860,-8*A3860))+K$129*EXP(IF(A3860&lt;0,(10-9)*A3860,-9*A3860))+L$129*EXP(IF(A3860&lt;0,(10-10)*A3860,-10*A3860)),0)</x:f>
        <x:v>-190000.22452042424</x:v>
      </x:c>
      <x:c r="C3860" s="256" t="n">
        <x:f>IF(B3860=0,IF(B3859=0,0,1),IF(B3859=0,0,IF(SIGN(B3860)&lt;&gt;SIGN(B3859),1,0)))</x:f>
        <x:v>0</x:v>
      </x:c>
      <x:c r="D3860" s="256" t="n">
        <x:f>EXP(A3860-0.005)-1</x:f>
        <x:v>36133.3783490306</x:v>
      </x:c>
    </x:row>
    <x:row r="3861" ht="20" customHeight="1">
      <x:c r="A3861" s="256" t="n">
        <x:f>-12+2251*0.01</x:f>
        <x:v>10.510000000000002</x:v>
      </x:c>
      <x:c r="B3861" s="256" t="n">
        <x:f>IF(COUNT($B$129:$L$129)=11,B$129*EXP(IF(A3861&lt;0,(10-0)*A3861,-0*A3861))+C$129*EXP(IF(A3861&lt;0,(10-1)*A3861,-1*A3861))+D$129*EXP(IF(A3861&lt;0,(10-2)*A3861,-2*A3861))+E$129*EXP(IF(A3861&lt;0,(10-3)*A3861,-3*A3861))+F$129*EXP(IF(A3861&lt;0,(10-4)*A3861,-4*A3861))+G$129*EXP(IF(A3861&lt;0,(10-5)*A3861,-5*A3861))+H$129*EXP(IF(A3861&lt;0,(10-6)*A3861,-6*A3861))+I$129*EXP(IF(A3861&lt;0,(10-7)*A3861,-7*A3861))+J$129*EXP(IF(A3861&lt;0,(10-8)*A3861,-8*A3861))+K$129*EXP(IF(A3861&lt;0,(10-9)*A3861,-9*A3861))+L$129*EXP(IF(A3861&lt;0,(10-10)*A3861,-10*A3861)),0)</x:f>
        <x:v>-190000.22228636438</x:v>
      </x:c>
      <x:c r="C3861" s="256" t="n">
        <x:f>IF(B3861=0,IF(B3860=0,0,1),IF(B3860=0,0,IF(SIGN(B3861)&lt;&gt;SIGN(B3860),1,0)))</x:f>
        <x:v>0</x:v>
      </x:c>
      <x:c r="D3861" s="256" t="n">
        <x:f>EXP(A3861-0.005)-1</x:f>
        <x:v>36496.53488892096</x:v>
      </x:c>
    </x:row>
    <x:row r="3862" ht="20" customHeight="1">
      <x:c r="A3862" s="256" t="n">
        <x:f>-12+2252*0.01</x:f>
        <x:v>10.52</x:v>
      </x:c>
      <x:c r="B3862" s="256" t="n">
        <x:f>IF(COUNT($B$129:$L$129)=11,B$129*EXP(IF(A3862&lt;0,(10-0)*A3862,-0*A3862))+C$129*EXP(IF(A3862&lt;0,(10-1)*A3862,-1*A3862))+D$129*EXP(IF(A3862&lt;0,(10-2)*A3862,-2*A3862))+E$129*EXP(IF(A3862&lt;0,(10-3)*A3862,-3*A3862))+F$129*EXP(IF(A3862&lt;0,(10-4)*A3862,-4*A3862))+G$129*EXP(IF(A3862&lt;0,(10-5)*A3862,-5*A3862))+H$129*EXP(IF(A3862&lt;0,(10-6)*A3862,-6*A3862))+I$129*EXP(IF(A3862&lt;0,(10-7)*A3862,-7*A3862))+J$129*EXP(IF(A3862&lt;0,(10-8)*A3862,-8*A3862))+K$129*EXP(IF(A3862&lt;0,(10-9)*A3862,-9*A3862))+L$129*EXP(IF(A3862&lt;0,(10-10)*A3862,-10*A3862)),0)</x:f>
        <x:v>-190000.22007453465</x:v>
      </x:c>
      <x:c r="C3862" s="256" t="n">
        <x:f>IF(B3862=0,IF(B3861=0,0,1),IF(B3861=0,0,IF(SIGN(B3862)&lt;&gt;SIGN(B3861),1,0)))</x:f>
        <x:v>0</x:v>
      </x:c>
      <x:c r="D3862" s="256" t="n">
        <x:f>EXP(A3862-0.005)-1</x:f>
        <x:v>36863.3412127148</x:v>
      </x:c>
    </x:row>
    <x:row r="3863" ht="20" customHeight="1">
      <x:c r="A3863" s="256" t="n">
        <x:f>-12+2253*0.01</x:f>
        <x:v>10.530000000000001</x:v>
      </x:c>
      <x:c r="B3863" s="256" t="n">
        <x:f>IF(COUNT($B$129:$L$129)=11,B$129*EXP(IF(A3863&lt;0,(10-0)*A3863,-0*A3863))+C$129*EXP(IF(A3863&lt;0,(10-1)*A3863,-1*A3863))+D$129*EXP(IF(A3863&lt;0,(10-2)*A3863,-2*A3863))+E$129*EXP(IF(A3863&lt;0,(10-3)*A3863,-3*A3863))+F$129*EXP(IF(A3863&lt;0,(10-4)*A3863,-4*A3863))+G$129*EXP(IF(A3863&lt;0,(10-5)*A3863,-5*A3863))+H$129*EXP(IF(A3863&lt;0,(10-6)*A3863,-6*A3863))+I$129*EXP(IF(A3863&lt;0,(10-7)*A3863,-7*A3863))+J$129*EXP(IF(A3863&lt;0,(10-8)*A3863,-8*A3863))+K$129*EXP(IF(A3863&lt;0,(10-9)*A3863,-9*A3863))+L$129*EXP(IF(A3863&lt;0,(10-10)*A3863,-10*A3863)),0)</x:f>
        <x:v>-190000.21788471384</x:v>
      </x:c>
      <x:c r="C3863" s="256" t="n">
        <x:f>IF(B3863=0,IF(B3862=0,0,1),IF(B3862=0,0,IF(SIGN(B3863)&lt;&gt;SIGN(B3862),1,0)))</x:f>
        <x:v>0</x:v>
      </x:c>
      <x:c r="D3863" s="256" t="n">
        <x:f>EXP(A3863-0.005)-1</x:f>
        <x:v>37233.83400135042</x:v>
      </x:c>
    </x:row>
    <x:row r="3864" ht="20" customHeight="1">
      <x:c r="A3864" s="256" t="n">
        <x:f>-12+2254*0.01</x:f>
        <x:v>10.54</x:v>
      </x:c>
      <x:c r="B3864" s="256" t="n">
        <x:f>IF(COUNT($B$129:$L$129)=11,B$129*EXP(IF(A3864&lt;0,(10-0)*A3864,-0*A3864))+C$129*EXP(IF(A3864&lt;0,(10-1)*A3864,-1*A3864))+D$129*EXP(IF(A3864&lt;0,(10-2)*A3864,-2*A3864))+E$129*EXP(IF(A3864&lt;0,(10-3)*A3864,-3*A3864))+F$129*EXP(IF(A3864&lt;0,(10-4)*A3864,-4*A3864))+G$129*EXP(IF(A3864&lt;0,(10-5)*A3864,-5*A3864))+H$129*EXP(IF(A3864&lt;0,(10-6)*A3864,-6*A3864))+I$129*EXP(IF(A3864&lt;0,(10-7)*A3864,-7*A3864))+J$129*EXP(IF(A3864&lt;0,(10-8)*A3864,-8*A3864))+K$129*EXP(IF(A3864&lt;0,(10-9)*A3864,-9*A3864))+L$129*EXP(IF(A3864&lt;0,(10-10)*A3864,-10*A3864)),0)</x:f>
        <x:v>-190000.215716683</x:v>
      </x:c>
      <x:c r="C3864" s="256" t="n">
        <x:f>IF(B3864=0,IF(B3863=0,0,1),IF(B3863=0,0,IF(SIGN(B3864)&lt;&gt;SIGN(B3863),1,0)))</x:f>
        <x:v>0</x:v>
      </x:c>
      <x:c r="D3864" s="256" t="n">
        <x:f>EXP(A3864-0.005)-1</x:f>
        <x:v>37608.050304415185</x:v>
      </x:c>
    </x:row>
    <x:row r="3865" ht="20" customHeight="1">
      <x:c r="A3865" s="256" t="n">
        <x:f>-12+2255*0.01</x:f>
        <x:v>10.55</x:v>
      </x:c>
      <x:c r="B3865" s="256" t="n">
        <x:f>IF(COUNT($B$129:$L$129)=11,B$129*EXP(IF(A3865&lt;0,(10-0)*A3865,-0*A3865))+C$129*EXP(IF(A3865&lt;0,(10-1)*A3865,-1*A3865))+D$129*EXP(IF(A3865&lt;0,(10-2)*A3865,-2*A3865))+E$129*EXP(IF(A3865&lt;0,(10-3)*A3865,-3*A3865))+F$129*EXP(IF(A3865&lt;0,(10-4)*A3865,-4*A3865))+G$129*EXP(IF(A3865&lt;0,(10-5)*A3865,-5*A3865))+H$129*EXP(IF(A3865&lt;0,(10-6)*A3865,-6*A3865))+I$129*EXP(IF(A3865&lt;0,(10-7)*A3865,-7*A3865))+J$129*EXP(IF(A3865&lt;0,(10-8)*A3865,-8*A3865))+K$129*EXP(IF(A3865&lt;0,(10-9)*A3865,-9*A3865))+L$129*EXP(IF(A3865&lt;0,(10-10)*A3865,-10*A3865)),0)</x:f>
        <x:v>-190000.2135702252</x:v>
      </x:c>
      <x:c r="C3865" s="256" t="n">
        <x:f>IF(B3865=0,IF(B3864=0,0,1),IF(B3864=0,0,IF(SIGN(B3865)&lt;&gt;SIGN(B3864),1,0)))</x:f>
        <x:v>0</x:v>
      </x:c>
      <x:c r="D3865" s="256" t="n">
        <x:f>EXP(A3865-0.005)-1</x:f>
        <x:v>37986.027543851495</x:v>
      </x:c>
    </x:row>
    <x:row r="3866" ht="20" customHeight="1">
      <x:c r="A3866" s="256" t="n">
        <x:f>-12+2256*0.01</x:f>
        <x:v>10.559999999999999</x:v>
      </x:c>
      <x:c r="B3866" s="256" t="n">
        <x:f>IF(COUNT($B$129:$L$129)=11,B$129*EXP(IF(A3866&lt;0,(10-0)*A3866,-0*A3866))+C$129*EXP(IF(A3866&lt;0,(10-1)*A3866,-1*A3866))+D$129*EXP(IF(A3866&lt;0,(10-2)*A3866,-2*A3866))+E$129*EXP(IF(A3866&lt;0,(10-3)*A3866,-3*A3866))+F$129*EXP(IF(A3866&lt;0,(10-4)*A3866,-4*A3866))+G$129*EXP(IF(A3866&lt;0,(10-5)*A3866,-5*A3866))+H$129*EXP(IF(A3866&lt;0,(10-6)*A3866,-6*A3866))+I$129*EXP(IF(A3866&lt;0,(10-7)*A3866,-7*A3866))+J$129*EXP(IF(A3866&lt;0,(10-8)*A3866,-8*A3866))+K$129*EXP(IF(A3866&lt;0,(10-9)*A3866,-9*A3866))+L$129*EXP(IF(A3866&lt;0,(10-10)*A3866,-10*A3866)),0)</x:f>
        <x:v>-190000.21144512584</x:v>
      </x:c>
      <x:c r="C3866" s="256" t="n">
        <x:f>IF(B3866=0,IF(B3865=0,0,1),IF(B3865=0,0,IF(SIGN(B3866)&lt;&gt;SIGN(B3865),1,0)))</x:f>
        <x:v>0</x:v>
      </x:c>
      <x:c r="D3866" s="256" t="n">
        <x:f>EXP(A3866-0.005)-1</x:f>
        <x:v>38367.80351769802</x:v>
      </x:c>
    </x:row>
    <x:row r="3867" ht="20" customHeight="1">
      <x:c r="A3867" s="256" t="n">
        <x:f>-12+2257*0.01</x:f>
        <x:v>10.57</x:v>
      </x:c>
      <x:c r="B3867" s="256" t="n">
        <x:f>IF(COUNT($B$129:$L$129)=11,B$129*EXP(IF(A3867&lt;0,(10-0)*A3867,-0*A3867))+C$129*EXP(IF(A3867&lt;0,(10-1)*A3867,-1*A3867))+D$129*EXP(IF(A3867&lt;0,(10-2)*A3867,-2*A3867))+E$129*EXP(IF(A3867&lt;0,(10-3)*A3867,-3*A3867))+F$129*EXP(IF(A3867&lt;0,(10-4)*A3867,-4*A3867))+G$129*EXP(IF(A3867&lt;0,(10-5)*A3867,-5*A3867))+H$129*EXP(IF(A3867&lt;0,(10-6)*A3867,-6*A3867))+I$129*EXP(IF(A3867&lt;0,(10-7)*A3867,-7*A3867))+J$129*EXP(IF(A3867&lt;0,(10-8)*A3867,-8*A3867))+K$129*EXP(IF(A3867&lt;0,(10-9)*A3867,-9*A3867))+L$129*EXP(IF(A3867&lt;0,(10-10)*A3867,-10*A3867)),0)</x:f>
        <x:v>-190000.2093411724</x:v>
      </x:c>
      <x:c r="C3867" s="256" t="n">
        <x:f>IF(B3867=0,IF(B3866=0,0,1),IF(B3866=0,0,IF(SIGN(B3867)&lt;&gt;SIGN(B3866),1,0)))</x:f>
        <x:v>0</x:v>
      </x:c>
      <x:c r="D3867" s="256" t="n">
        <x:f>EXP(A3867-0.005)-1</x:f>
        <x:v>38753.416403870564</x:v>
      </x:c>
    </x:row>
    <x:row r="3868" ht="20" customHeight="1">
      <x:c r="A3868" s="256" t="n">
        <x:f>-12+2258*0.01</x:f>
        <x:v>10.580000000000002</x:v>
      </x:c>
      <x:c r="B3868" s="256" t="n">
        <x:f>IF(COUNT($B$129:$L$129)=11,B$129*EXP(IF(A3868&lt;0,(10-0)*A3868,-0*A3868))+C$129*EXP(IF(A3868&lt;0,(10-1)*A3868,-1*A3868))+D$129*EXP(IF(A3868&lt;0,(10-2)*A3868,-2*A3868))+E$129*EXP(IF(A3868&lt;0,(10-3)*A3868,-3*A3868))+F$129*EXP(IF(A3868&lt;0,(10-4)*A3868,-4*A3868))+G$129*EXP(IF(A3868&lt;0,(10-5)*A3868,-5*A3868))+H$129*EXP(IF(A3868&lt;0,(10-6)*A3868,-6*A3868))+I$129*EXP(IF(A3868&lt;0,(10-7)*A3868,-7*A3868))+J$129*EXP(IF(A3868&lt;0,(10-8)*A3868,-8*A3868))+K$129*EXP(IF(A3868&lt;0,(10-9)*A3868,-9*A3868))+L$129*EXP(IF(A3868&lt;0,(10-10)*A3868,-10*A3868)),0)</x:f>
        <x:v>-190000.20725815438</x:v>
      </x:c>
      <x:c r="C3868" s="256" t="n">
        <x:f>IF(B3868=0,IF(B3867=0,0,1),IF(B3867=0,0,IF(SIGN(B3868)&lt;&gt;SIGN(B3867),1,0)))</x:f>
        <x:v>0</x:v>
      </x:c>
      <x:c r="D3868" s="256" t="n">
        <x:f>EXP(A3868-0.005)-1</x:f>
        <x:v>39142.90476397894</x:v>
      </x:c>
    </x:row>
    <x:row r="3869" ht="20" customHeight="1">
      <x:c r="A3869" s="256" t="n">
        <x:f>-12+2259*0.01</x:f>
        <x:v>10.59</x:v>
      </x:c>
      <x:c r="B3869" s="256" t="n">
        <x:f>IF(COUNT($B$129:$L$129)=11,B$129*EXP(IF(A3869&lt;0,(10-0)*A3869,-0*A3869))+C$129*EXP(IF(A3869&lt;0,(10-1)*A3869,-1*A3869))+D$129*EXP(IF(A3869&lt;0,(10-2)*A3869,-2*A3869))+E$129*EXP(IF(A3869&lt;0,(10-3)*A3869,-3*A3869))+F$129*EXP(IF(A3869&lt;0,(10-4)*A3869,-4*A3869))+G$129*EXP(IF(A3869&lt;0,(10-5)*A3869,-5*A3869))+H$129*EXP(IF(A3869&lt;0,(10-6)*A3869,-6*A3869))+I$129*EXP(IF(A3869&lt;0,(10-7)*A3869,-7*A3869))+J$129*EXP(IF(A3869&lt;0,(10-8)*A3869,-8*A3869))+K$129*EXP(IF(A3869&lt;0,(10-9)*A3869,-9*A3869))+L$129*EXP(IF(A3869&lt;0,(10-10)*A3869,-10*A3869)),0)</x:f>
        <x:v>-190000.20519586353</x:v>
      </x:c>
      <x:c r="C3869" s="256" t="n">
        <x:f>IF(B3869=0,IF(B3868=0,0,1),IF(B3868=0,0,IF(SIGN(B3869)&lt;&gt;SIGN(B3868),1,0)))</x:f>
        <x:v>0</x:v>
      </x:c>
      <x:c r="D3869" s="256" t="n">
        <x:f>EXP(A3869-0.005)-1</x:f>
        <x:v>39536.30754718362</x:v>
      </x:c>
    </x:row>
    <x:row r="3870" ht="20" customHeight="1">
      <x:c r="A3870" s="256" t="n">
        <x:f>-12+2260*0.01</x:f>
        <x:v>10.600000000000001</x:v>
      </x:c>
      <x:c r="B3870" s="256" t="n">
        <x:f>IF(COUNT($B$129:$L$129)=11,B$129*EXP(IF(A3870&lt;0,(10-0)*A3870,-0*A3870))+C$129*EXP(IF(A3870&lt;0,(10-1)*A3870,-1*A3870))+D$129*EXP(IF(A3870&lt;0,(10-2)*A3870,-2*A3870))+E$129*EXP(IF(A3870&lt;0,(10-3)*A3870,-3*A3870))+F$129*EXP(IF(A3870&lt;0,(10-4)*A3870,-4*A3870))+G$129*EXP(IF(A3870&lt;0,(10-5)*A3870,-5*A3870))+H$129*EXP(IF(A3870&lt;0,(10-6)*A3870,-6*A3870))+I$129*EXP(IF(A3870&lt;0,(10-7)*A3870,-7*A3870))+J$129*EXP(IF(A3870&lt;0,(10-8)*A3870,-8*A3870))+K$129*EXP(IF(A3870&lt;0,(10-9)*A3870,-9*A3870))+L$129*EXP(IF(A3870&lt;0,(10-10)*A3870,-10*A3870)),0)</x:f>
        <x:v>-190000.20315409356</x:v>
      </x:c>
      <x:c r="C3870" s="256" t="n">
        <x:f>IF(B3870=0,IF(B3869=0,0,1),IF(B3869=0,0,IF(SIGN(B3870)&lt;&gt;SIGN(B3869),1,0)))</x:f>
        <x:v>0</x:v>
      </x:c>
      <x:c r="D3870" s="256" t="n">
        <x:f>EXP(A3870-0.005)-1</x:f>
        <x:v>39933.664094091015</x:v>
      </x:c>
    </x:row>
    <x:row r="3871" ht="20" customHeight="1">
      <x:c r="A3871" s="256" t="n">
        <x:f>-12+2261*0.01</x:f>
        <x:v>10.61</x:v>
      </x:c>
      <x:c r="B3871" s="256" t="n">
        <x:f>IF(COUNT($B$129:$L$129)=11,B$129*EXP(IF(A3871&lt;0,(10-0)*A3871,-0*A3871))+C$129*EXP(IF(A3871&lt;0,(10-1)*A3871,-1*A3871))+D$129*EXP(IF(A3871&lt;0,(10-2)*A3871,-2*A3871))+E$129*EXP(IF(A3871&lt;0,(10-3)*A3871,-3*A3871))+F$129*EXP(IF(A3871&lt;0,(10-4)*A3871,-4*A3871))+G$129*EXP(IF(A3871&lt;0,(10-5)*A3871,-5*A3871))+H$129*EXP(IF(A3871&lt;0,(10-6)*A3871,-6*A3871))+I$129*EXP(IF(A3871&lt;0,(10-7)*A3871,-7*A3871))+J$129*EXP(IF(A3871&lt;0,(10-8)*A3871,-8*A3871))+K$129*EXP(IF(A3871&lt;0,(10-9)*A3871,-9*A3871))+L$129*EXP(IF(A3871&lt;0,(10-10)*A3871,-10*A3871)),0)</x:f>
        <x:v>-190000.20113264024</x:v>
      </x:c>
      <x:c r="C3871" s="256" t="n">
        <x:f>IF(B3871=0,IF(B3870=0,0,1),IF(B3870=0,0,IF(SIGN(B3871)&lt;&gt;SIGN(B3870),1,0)))</x:f>
        <x:v>0</x:v>
      </x:c>
      <x:c r="D3871" s="256" t="n">
        <x:f>EXP(A3871-0.005)-1</x:f>
        <x:v>40335.014140686675</x:v>
      </x:c>
    </x:row>
    <x:row r="3872" ht="20" customHeight="1">
      <x:c r="A3872" s="256" t="n">
        <x:f>-12+2262*0.01</x:f>
        <x:v>10.620000000000001</x:v>
      </x:c>
      <x:c r="B3872" s="256" t="n">
        <x:f>IF(COUNT($B$129:$L$129)=11,B$129*EXP(IF(A3872&lt;0,(10-0)*A3872,-0*A3872))+C$129*EXP(IF(A3872&lt;0,(10-1)*A3872,-1*A3872))+D$129*EXP(IF(A3872&lt;0,(10-2)*A3872,-2*A3872))+E$129*EXP(IF(A3872&lt;0,(10-3)*A3872,-3*A3872))+F$129*EXP(IF(A3872&lt;0,(10-4)*A3872,-4*A3872))+G$129*EXP(IF(A3872&lt;0,(10-5)*A3872,-5*A3872))+H$129*EXP(IF(A3872&lt;0,(10-6)*A3872,-6*A3872))+I$129*EXP(IF(A3872&lt;0,(10-7)*A3872,-7*A3872))+J$129*EXP(IF(A3872&lt;0,(10-8)*A3872,-8*A3872))+K$129*EXP(IF(A3872&lt;0,(10-9)*A3872,-9*A3872))+L$129*EXP(IF(A3872&lt;0,(10-10)*A3872,-10*A3872)),0)</x:f>
        <x:v>-190000.1991313015</x:v>
      </x:c>
      <x:c r="C3872" s="256" t="n">
        <x:f>IF(B3872=0,IF(B3871=0,0,1),IF(B3871=0,0,IF(SIGN(B3872)&lt;&gt;SIGN(B3871),1,0)))</x:f>
        <x:v>0</x:v>
      </x:c>
      <x:c r="D3872" s="256" t="n">
        <x:f>EXP(A3872-0.005)-1</x:f>
        <x:v>40740.397822310006</x:v>
      </x:c>
    </x:row>
    <x:row r="3873" ht="20" customHeight="1">
      <x:c r="A3873" s="256" t="n">
        <x:f>-12+2263*0.01</x:f>
        <x:v>10.629999999999999</x:v>
      </x:c>
      <x:c r="B3873" s="256" t="n">
        <x:f>IF(COUNT($B$129:$L$129)=11,B$129*EXP(IF(A3873&lt;0,(10-0)*A3873,-0*A3873))+C$129*EXP(IF(A3873&lt;0,(10-1)*A3873,-1*A3873))+D$129*EXP(IF(A3873&lt;0,(10-2)*A3873,-2*A3873))+E$129*EXP(IF(A3873&lt;0,(10-3)*A3873,-3*A3873))+F$129*EXP(IF(A3873&lt;0,(10-4)*A3873,-4*A3873))+G$129*EXP(IF(A3873&lt;0,(10-5)*A3873,-5*A3873))+H$129*EXP(IF(A3873&lt;0,(10-6)*A3873,-6*A3873))+I$129*EXP(IF(A3873&lt;0,(10-7)*A3873,-7*A3873))+J$129*EXP(IF(A3873&lt;0,(10-8)*A3873,-8*A3873))+K$129*EXP(IF(A3873&lt;0,(10-9)*A3873,-9*A3873))+L$129*EXP(IF(A3873&lt;0,(10-10)*A3873,-10*A3873)),0)</x:f>
        <x:v>-190000.19714987706</x:v>
      </x:c>
      <x:c r="C3873" s="256" t="n">
        <x:f>IF(B3873=0,IF(B3872=0,0,1),IF(B3872=0,0,IF(SIGN(B3873)&lt;&gt;SIGN(B3872),1,0)))</x:f>
        <x:v>0</x:v>
      </x:c>
      <x:c r="D3873" s="256" t="n">
        <x:f>EXP(A3873-0.005)-1</x:f>
        <x:v>41149.855677666696</x:v>
      </x:c>
    </x:row>
    <x:row r="3874" ht="20" customHeight="1">
      <x:c r="A3874" s="256" t="n">
        <x:f>-12+2264*0.01</x:f>
        <x:v>10.64</x:v>
      </x:c>
      <x:c r="B3874" s="256" t="n">
        <x:f>IF(COUNT($B$129:$L$129)=11,B$129*EXP(IF(A3874&lt;0,(10-0)*A3874,-0*A3874))+C$129*EXP(IF(A3874&lt;0,(10-1)*A3874,-1*A3874))+D$129*EXP(IF(A3874&lt;0,(10-2)*A3874,-2*A3874))+E$129*EXP(IF(A3874&lt;0,(10-3)*A3874,-3*A3874))+F$129*EXP(IF(A3874&lt;0,(10-4)*A3874,-4*A3874))+G$129*EXP(IF(A3874&lt;0,(10-5)*A3874,-5*A3874))+H$129*EXP(IF(A3874&lt;0,(10-6)*A3874,-6*A3874))+I$129*EXP(IF(A3874&lt;0,(10-7)*A3874,-7*A3874))+J$129*EXP(IF(A3874&lt;0,(10-8)*A3874,-8*A3874))+K$129*EXP(IF(A3874&lt;0,(10-9)*A3874,-9*A3874))+L$129*EXP(IF(A3874&lt;0,(10-10)*A3874,-10*A3874)),0)</x:f>
        <x:v>-190000.19518816884</x:v>
      </x:c>
      <x:c r="C3874" s="256" t="n">
        <x:f>IF(B3874=0,IF(B3873=0,0,1),IF(B3873=0,0,IF(SIGN(B3874)&lt;&gt;SIGN(B3873),1,0)))</x:f>
        <x:v>0</x:v>
      </x:c>
      <x:c r="D3874" s="256" t="n">
        <x:f>EXP(A3874-0.005)-1</x:f>
        <x:v>41563.4286528838</x:v>
      </x:c>
    </x:row>
    <x:row r="3875" ht="20" customHeight="1">
      <x:c r="A3875" s="256" t="n">
        <x:f>-12+2265*0.01</x:f>
        <x:v>10.650000000000002</x:v>
      </x:c>
      <x:c r="B3875" s="256" t="n">
        <x:f>IF(COUNT($B$129:$L$129)=11,B$129*EXP(IF(A3875&lt;0,(10-0)*A3875,-0*A3875))+C$129*EXP(IF(A3875&lt;0,(10-1)*A3875,-1*A3875))+D$129*EXP(IF(A3875&lt;0,(10-2)*A3875,-2*A3875))+E$129*EXP(IF(A3875&lt;0,(10-3)*A3875,-3*A3875))+F$129*EXP(IF(A3875&lt;0,(10-4)*A3875,-4*A3875))+G$129*EXP(IF(A3875&lt;0,(10-5)*A3875,-5*A3875))+H$129*EXP(IF(A3875&lt;0,(10-6)*A3875,-6*A3875))+I$129*EXP(IF(A3875&lt;0,(10-7)*A3875,-7*A3875))+J$129*EXP(IF(A3875&lt;0,(10-8)*A3875,-8*A3875))+K$129*EXP(IF(A3875&lt;0,(10-9)*A3875,-9*A3875))+L$129*EXP(IF(A3875&lt;0,(10-10)*A3875,-10*A3875)),0)</x:f>
        <x:v>-190000.1932459806</x:v>
      </x:c>
      <x:c r="C3875" s="256" t="n">
        <x:f>IF(B3875=0,IF(B3874=0,0,1),IF(B3874=0,0,IF(SIGN(B3875)&lt;&gt;SIGN(B3874),1,0)))</x:f>
        <x:v>0</x:v>
      </x:c>
      <x:c r="D3875" s="256" t="n">
        <x:f>EXP(A3875-0.005)-1</x:f>
        <x:v>41981.15810560333</x:v>
      </x:c>
    </x:row>
    <x:row r="3876" ht="20" customHeight="1">
      <x:c r="A3876" s="256" t="n">
        <x:f>-12+2266*0.01</x:f>
        <x:v>10.66</x:v>
      </x:c>
      <x:c r="B3876" s="256" t="n">
        <x:f>IF(COUNT($B$129:$L$129)=11,B$129*EXP(IF(A3876&lt;0,(10-0)*A3876,-0*A3876))+C$129*EXP(IF(A3876&lt;0,(10-1)*A3876,-1*A3876))+D$129*EXP(IF(A3876&lt;0,(10-2)*A3876,-2*A3876))+E$129*EXP(IF(A3876&lt;0,(10-3)*A3876,-3*A3876))+F$129*EXP(IF(A3876&lt;0,(10-4)*A3876,-4*A3876))+G$129*EXP(IF(A3876&lt;0,(10-5)*A3876,-5*A3876))+H$129*EXP(IF(A3876&lt;0,(10-6)*A3876,-6*A3876))+I$129*EXP(IF(A3876&lt;0,(10-7)*A3876,-7*A3876))+J$129*EXP(IF(A3876&lt;0,(10-8)*A3876,-8*A3876))+K$129*EXP(IF(A3876&lt;0,(10-9)*A3876,-9*A3876))+L$129*EXP(IF(A3876&lt;0,(10-10)*A3876,-10*A3876)),0)</x:f>
        <x:v>-190000.19132311814</x:v>
      </x:c>
      <x:c r="C3876" s="256" t="n">
        <x:f>IF(B3876=0,IF(B3875=0,0,1),IF(B3875=0,0,IF(SIGN(B3876)&lt;&gt;SIGN(B3875),1,0)))</x:f>
        <x:v>0</x:v>
      </x:c>
      <x:c r="D3876" s="256" t="n">
        <x:f>EXP(A3876-0.005)-1</x:f>
        <x:v>42403.08580911852</x:v>
      </x:c>
    </x:row>
    <x:row r="3877" ht="20" customHeight="1">
      <x:c r="A3877" s="256" t="n">
        <x:f>-12+2267*0.01</x:f>
        <x:v>10.670000000000002</x:v>
      </x:c>
      <x:c r="B3877" s="256" t="n">
        <x:f>IF(COUNT($B$129:$L$129)=11,B$129*EXP(IF(A3877&lt;0,(10-0)*A3877,-0*A3877))+C$129*EXP(IF(A3877&lt;0,(10-1)*A3877,-1*A3877))+D$129*EXP(IF(A3877&lt;0,(10-2)*A3877,-2*A3877))+E$129*EXP(IF(A3877&lt;0,(10-3)*A3877,-3*A3877))+F$129*EXP(IF(A3877&lt;0,(10-4)*A3877,-4*A3877))+G$129*EXP(IF(A3877&lt;0,(10-5)*A3877,-5*A3877))+H$129*EXP(IF(A3877&lt;0,(10-6)*A3877,-6*A3877))+I$129*EXP(IF(A3877&lt;0,(10-7)*A3877,-7*A3877))+J$129*EXP(IF(A3877&lt;0,(10-8)*A3877,-8*A3877))+K$129*EXP(IF(A3877&lt;0,(10-9)*A3877,-9*A3877))+L$129*EXP(IF(A3877&lt;0,(10-10)*A3877,-10*A3877)),0)</x:f>
        <x:v>-190000.18941938915</x:v>
      </x:c>
      <x:c r="C3877" s="256" t="n">
        <x:f>IF(B3877=0,IF(B3876=0,0,1),IF(B3876=0,0,IF(SIGN(B3877)&lt;&gt;SIGN(B3876),1,0)))</x:f>
        <x:v>0</x:v>
      </x:c>
      <x:c r="D3877" s="256" t="n">
        <x:f>EXP(A3877-0.005)-1</x:f>
        <x:v>42829.25395655163</x:v>
      </x:c>
    </x:row>
    <x:row r="3878" ht="20" customHeight="1">
      <x:c r="A3878" s="256" t="n">
        <x:f>-12+2268*0.01</x:f>
        <x:v>10.68</x:v>
      </x:c>
      <x:c r="B3878" s="256" t="n">
        <x:f>IF(COUNT($B$129:$L$129)=11,B$129*EXP(IF(A3878&lt;0,(10-0)*A3878,-0*A3878))+C$129*EXP(IF(A3878&lt;0,(10-1)*A3878,-1*A3878))+D$129*EXP(IF(A3878&lt;0,(10-2)*A3878,-2*A3878))+E$129*EXP(IF(A3878&lt;0,(10-3)*A3878,-3*A3878))+F$129*EXP(IF(A3878&lt;0,(10-4)*A3878,-4*A3878))+G$129*EXP(IF(A3878&lt;0,(10-5)*A3878,-5*A3878))+H$129*EXP(IF(A3878&lt;0,(10-6)*A3878,-6*A3878))+I$129*EXP(IF(A3878&lt;0,(10-7)*A3878,-7*A3878))+J$129*EXP(IF(A3878&lt;0,(10-8)*A3878,-8*A3878))+K$129*EXP(IF(A3878&lt;0,(10-9)*A3878,-9*A3878))+L$129*EXP(IF(A3878&lt;0,(10-10)*A3878,-10*A3878)),0)</x:f>
        <x:v>-190000.18753460317</x:v>
      </x:c>
      <x:c r="C3878" s="256" t="n">
        <x:f>IF(B3878=0,IF(B3877=0,0,1),IF(B3877=0,0,IF(SIGN(B3878)&lt;&gt;SIGN(B3877),1,0)))</x:f>
        <x:v>0</x:v>
      </x:c>
      <x:c r="D3878" s="256" t="n">
        <x:f>EXP(A3878-0.005)-1</x:f>
        <x:v>43259.705165072235</x:v>
      </x:c>
    </x:row>
    <x:row r="3879" ht="20" customHeight="1">
      <x:c r="A3879" s="256" t="n">
        <x:f>-12+2269*0.01</x:f>
        <x:v>10.690000000000001</x:v>
      </x:c>
      <x:c r="B3879" s="256" t="n">
        <x:f>IF(COUNT($B$129:$L$129)=11,B$129*EXP(IF(A3879&lt;0,(10-0)*A3879,-0*A3879))+C$129*EXP(IF(A3879&lt;0,(10-1)*A3879,-1*A3879))+D$129*EXP(IF(A3879&lt;0,(10-2)*A3879,-2*A3879))+E$129*EXP(IF(A3879&lt;0,(10-3)*A3879,-3*A3879))+F$129*EXP(IF(A3879&lt;0,(10-4)*A3879,-4*A3879))+G$129*EXP(IF(A3879&lt;0,(10-5)*A3879,-5*A3879))+H$129*EXP(IF(A3879&lt;0,(10-6)*A3879,-6*A3879))+I$129*EXP(IF(A3879&lt;0,(10-7)*A3879,-7*A3879))+J$129*EXP(IF(A3879&lt;0,(10-8)*A3879,-8*A3879))+K$129*EXP(IF(A3879&lt;0,(10-9)*A3879,-9*A3879))+L$129*EXP(IF(A3879&lt;0,(10-10)*A3879,-10*A3879)),0)</x:f>
        <x:v>-190000.18566857174</x:v>
      </x:c>
      <x:c r="C3879" s="256" t="n">
        <x:f>IF(B3879=0,IF(B3878=0,0,1),IF(B3878=0,0,IF(SIGN(B3879)&lt;&gt;SIGN(B3878),1,0)))</x:f>
        <x:v>0</x:v>
      </x:c>
      <x:c r="D3879" s="256" t="n">
        <x:f>EXP(A3879-0.005)-1</x:f>
        <x:v>43694.48248016021</x:v>
      </x:c>
    </x:row>
    <x:row r="3880" ht="20" customHeight="1">
      <x:c r="A3880" s="256" t="n">
        <x:f>-12+2270*0.01</x:f>
        <x:v>10.7</x:v>
      </x:c>
      <x:c r="B3880" s="256" t="n">
        <x:f>IF(COUNT($B$129:$L$129)=11,B$129*EXP(IF(A3880&lt;0,(10-0)*A3880,-0*A3880))+C$129*EXP(IF(A3880&lt;0,(10-1)*A3880,-1*A3880))+D$129*EXP(IF(A3880&lt;0,(10-2)*A3880,-2*A3880))+E$129*EXP(IF(A3880&lt;0,(10-3)*A3880,-3*A3880))+F$129*EXP(IF(A3880&lt;0,(10-4)*A3880,-4*A3880))+G$129*EXP(IF(A3880&lt;0,(10-5)*A3880,-5*A3880))+H$129*EXP(IF(A3880&lt;0,(10-6)*A3880,-6*A3880))+I$129*EXP(IF(A3880&lt;0,(10-7)*A3880,-7*A3880))+J$129*EXP(IF(A3880&lt;0,(10-8)*A3880,-8*A3880))+K$129*EXP(IF(A3880&lt;0,(10-9)*A3880,-9*A3880))+L$129*EXP(IF(A3880&lt;0,(10-10)*A3880,-10*A3880)),0)</x:f>
        <x:v>-190000.18382110828</x:v>
      </x:c>
      <x:c r="C3880" s="256" t="n">
        <x:f>IF(B3880=0,IF(B3879=0,0,1),IF(B3879=0,0,IF(SIGN(B3880)&lt;&gt;SIGN(B3879),1,0)))</x:f>
        <x:v>0</x:v>
      </x:c>
      <x:c r="D3880" s="256" t="n">
        <x:f>EXP(A3880-0.005)-1</x:f>
        <x:v>44133.62937990907</x:v>
      </x:c>
    </x:row>
    <x:row r="3881" ht="20" customHeight="1">
      <x:c r="A3881" s="256" t="n">
        <x:f>-12+2271*0.01</x:f>
        <x:v>10.71</x:v>
      </x:c>
      <x:c r="B3881" s="256" t="n">
        <x:f>IF(COUNT($B$129:$L$129)=11,B$129*EXP(IF(A3881&lt;0,(10-0)*A3881,-0*A3881))+C$129*EXP(IF(A3881&lt;0,(10-1)*A3881,-1*A3881))+D$129*EXP(IF(A3881&lt;0,(10-2)*A3881,-2*A3881))+E$129*EXP(IF(A3881&lt;0,(10-3)*A3881,-3*A3881))+F$129*EXP(IF(A3881&lt;0,(10-4)*A3881,-4*A3881))+G$129*EXP(IF(A3881&lt;0,(10-5)*A3881,-5*A3881))+H$129*EXP(IF(A3881&lt;0,(10-6)*A3881,-6*A3881))+I$129*EXP(IF(A3881&lt;0,(10-7)*A3881,-7*A3881))+J$129*EXP(IF(A3881&lt;0,(10-8)*A3881,-8*A3881))+K$129*EXP(IF(A3881&lt;0,(10-9)*A3881,-9*A3881))+L$129*EXP(IF(A3881&lt;0,(10-10)*A3881,-10*A3881)),0)</x:f>
        <x:v>-190000.18199202797</x:v>
      </x:c>
      <x:c r="C3881" s="256" t="n">
        <x:f>IF(B3881=0,IF(B3880=0,0,1),IF(B3880=0,0,IF(SIGN(B3881)&lt;&gt;SIGN(B3880),1,0)))</x:f>
        <x:v>0</x:v>
      </x:c>
      <x:c r="D3881" s="256" t="n">
        <x:f>EXP(A3881-0.005)-1</x:f>
        <x:v>44577.18977937506</x:v>
      </x:c>
    </x:row>
    <x:row r="3882" ht="20" customHeight="1">
      <x:c r="A3882" s="256" t="n">
        <x:f>-12+2272*0.01</x:f>
        <x:v>10.719999999999999</x:v>
      </x:c>
      <x:c r="B3882" s="256" t="n">
        <x:f>IF(COUNT($B$129:$L$129)=11,B$129*EXP(IF(A3882&lt;0,(10-0)*A3882,-0*A3882))+C$129*EXP(IF(A3882&lt;0,(10-1)*A3882,-1*A3882))+D$129*EXP(IF(A3882&lt;0,(10-2)*A3882,-2*A3882))+E$129*EXP(IF(A3882&lt;0,(10-3)*A3882,-3*A3882))+F$129*EXP(IF(A3882&lt;0,(10-4)*A3882,-4*A3882))+G$129*EXP(IF(A3882&lt;0,(10-5)*A3882,-5*A3882))+H$129*EXP(IF(A3882&lt;0,(10-6)*A3882,-6*A3882))+I$129*EXP(IF(A3882&lt;0,(10-7)*A3882,-7*A3882))+J$129*EXP(IF(A3882&lt;0,(10-8)*A3882,-8*A3882))+K$129*EXP(IF(A3882&lt;0,(10-9)*A3882,-9*A3882))+L$129*EXP(IF(A3882&lt;0,(10-10)*A3882,-10*A3882)),0)</x:f>
        <x:v>-190000.1801811479</x:v>
      </x:c>
      <x:c r="C3882" s="256" t="n">
        <x:f>IF(B3882=0,IF(B3881=0,0,1),IF(B3881=0,0,IF(SIGN(B3882)&lt;&gt;SIGN(B3881),1,0)))</x:f>
        <x:v>0</x:v>
      </x:c>
      <x:c r="D3882" s="256" t="n">
        <x:f>EXP(A3882-0.005)-1</x:f>
        <x:v>45025.20803496744</x:v>
      </x:c>
    </x:row>
    <x:row r="3883" ht="20" customHeight="1">
      <x:c r="A3883" s="256" t="n">
        <x:f>-12+2273*0.01</x:f>
        <x:v>10.73</x:v>
      </x:c>
      <x:c r="B3883" s="256" t="n">
        <x:f>IF(COUNT($B$129:$L$129)=11,B$129*EXP(IF(A3883&lt;0,(10-0)*A3883,-0*A3883))+C$129*EXP(IF(A3883&lt;0,(10-1)*A3883,-1*A3883))+D$129*EXP(IF(A3883&lt;0,(10-2)*A3883,-2*A3883))+E$129*EXP(IF(A3883&lt;0,(10-3)*A3883,-3*A3883))+F$129*EXP(IF(A3883&lt;0,(10-4)*A3883,-4*A3883))+G$129*EXP(IF(A3883&lt;0,(10-5)*A3883,-5*A3883))+H$129*EXP(IF(A3883&lt;0,(10-6)*A3883,-6*A3883))+I$129*EXP(IF(A3883&lt;0,(10-7)*A3883,-7*A3883))+J$129*EXP(IF(A3883&lt;0,(10-8)*A3883,-8*A3883))+K$129*EXP(IF(A3883&lt;0,(10-9)*A3883,-9*A3883))+L$129*EXP(IF(A3883&lt;0,(10-10)*A3883,-10*A3883)),0)</x:f>
        <x:v>-190000.17838828702</x:v>
      </x:c>
      <x:c r="C3883" s="256" t="n">
        <x:f>IF(B3883=0,IF(B3882=0,0,1),IF(B3882=0,0,IF(SIGN(B3883)&lt;&gt;SIGN(B3882),1,0)))</x:f>
        <x:v>0</x:v>
      </x:c>
      <x:c r="D3883" s="256" t="n">
        <x:f>EXP(A3883-0.005)-1</x:f>
        <x:v>45477.728948885444</x:v>
      </x:c>
    </x:row>
    <x:row r="3884" ht="20" customHeight="1">
      <x:c r="A3884" s="256" t="n">
        <x:f>-12+2274*0.01</x:f>
        <x:v>10.740000000000002</x:v>
      </x:c>
      <x:c r="B3884" s="256" t="n">
        <x:f>IF(COUNT($B$129:$L$129)=11,B$129*EXP(IF(A3884&lt;0,(10-0)*A3884,-0*A3884))+C$129*EXP(IF(A3884&lt;0,(10-1)*A3884,-1*A3884))+D$129*EXP(IF(A3884&lt;0,(10-2)*A3884,-2*A3884))+E$129*EXP(IF(A3884&lt;0,(10-3)*A3884,-3*A3884))+F$129*EXP(IF(A3884&lt;0,(10-4)*A3884,-4*A3884))+G$129*EXP(IF(A3884&lt;0,(10-5)*A3884,-5*A3884))+H$129*EXP(IF(A3884&lt;0,(10-6)*A3884,-6*A3884))+I$129*EXP(IF(A3884&lt;0,(10-7)*A3884,-7*A3884))+J$129*EXP(IF(A3884&lt;0,(10-8)*A3884,-8*A3884))+K$129*EXP(IF(A3884&lt;0,(10-9)*A3884,-9*A3884))+L$129*EXP(IF(A3884&lt;0,(10-10)*A3884,-10*A3884)),0)</x:f>
        <x:v>-190000.1766132659</x:v>
      </x:c>
      <x:c r="C3884" s="256" t="n">
        <x:f>IF(B3884=0,IF(B3883=0,0,1),IF(B3883=0,0,IF(SIGN(B3884)&lt;&gt;SIGN(B3883),1,0)))</x:f>
        <x:v>0</x:v>
      </x:c>
      <x:c r="D3884" s="256" t="n">
        <x:f>EXP(A3884-0.005)-1</x:f>
        <x:v>45934.79777359741</x:v>
      </x:c>
    </x:row>
    <x:row r="3885" ht="20" customHeight="1">
      <x:c r="A3885" s="256" t="n">
        <x:f>-12+2275*0.01</x:f>
        <x:v>10.75</x:v>
      </x:c>
      <x:c r="B3885" s="256" t="n">
        <x:f>IF(COUNT($B$129:$L$129)=11,B$129*EXP(IF(A3885&lt;0,(10-0)*A3885,-0*A3885))+C$129*EXP(IF(A3885&lt;0,(10-1)*A3885,-1*A3885))+D$129*EXP(IF(A3885&lt;0,(10-2)*A3885,-2*A3885))+E$129*EXP(IF(A3885&lt;0,(10-3)*A3885,-3*A3885))+F$129*EXP(IF(A3885&lt;0,(10-4)*A3885,-4*A3885))+G$129*EXP(IF(A3885&lt;0,(10-5)*A3885,-5*A3885))+H$129*EXP(IF(A3885&lt;0,(10-6)*A3885,-6*A3885))+I$129*EXP(IF(A3885&lt;0,(10-7)*A3885,-7*A3885))+J$129*EXP(IF(A3885&lt;0,(10-8)*A3885,-8*A3885))+K$129*EXP(IF(A3885&lt;0,(10-9)*A3885,-9*A3885))+L$129*EXP(IF(A3885&lt;0,(10-10)*A3885,-10*A3885)),0)</x:f>
        <x:v>-190000.17485590713</x:v>
      </x:c>
      <x:c r="C3885" s="256" t="n">
        <x:f>IF(B3885=0,IF(B3884=0,0,1),IF(B3884=0,0,IF(SIGN(B3885)&lt;&gt;SIGN(B3884),1,0)))</x:f>
        <x:v>0</x:v>
      </x:c>
      <x:c r="D3885" s="256" t="n">
        <x:f>EXP(A3885-0.005)-1</x:f>
        <x:v>46396.460216366526</x:v>
      </x:c>
    </x:row>
    <x:row r="3886" ht="20" customHeight="1">
      <x:c r="A3886" s="256" t="n">
        <x:f>-12+2276*0.01</x:f>
        <x:v>10.760000000000002</x:v>
      </x:c>
      <x:c r="B3886" s="256" t="n">
        <x:f>IF(COUNT($B$129:$L$129)=11,B$129*EXP(IF(A3886&lt;0,(10-0)*A3886,-0*A3886))+C$129*EXP(IF(A3886&lt;0,(10-1)*A3886,-1*A3886))+D$129*EXP(IF(A3886&lt;0,(10-2)*A3886,-2*A3886))+E$129*EXP(IF(A3886&lt;0,(10-3)*A3886,-3*A3886))+F$129*EXP(IF(A3886&lt;0,(10-4)*A3886,-4*A3886))+G$129*EXP(IF(A3886&lt;0,(10-5)*A3886,-5*A3886))+H$129*EXP(IF(A3886&lt;0,(10-6)*A3886,-6*A3886))+I$129*EXP(IF(A3886&lt;0,(10-7)*A3886,-7*A3886))+J$129*EXP(IF(A3886&lt;0,(10-8)*A3886,-8*A3886))+K$129*EXP(IF(A3886&lt;0,(10-9)*A3886,-9*A3886))+L$129*EXP(IF(A3886&lt;0,(10-10)*A3886,-10*A3886)),0)</x:f>
        <x:v>-190000.17311603492</x:v>
      </x:c>
      <x:c r="C3886" s="256" t="n">
        <x:f>IF(B3886=0,IF(B3885=0,0,1),IF(B3885=0,0,IF(SIGN(B3886)&lt;&gt;SIGN(B3885),1,0)))</x:f>
        <x:v>0</x:v>
      </x:c>
      <x:c r="D3886" s="256" t="n">
        <x:f>EXP(A3886-0.005)-1</x:f>
        <x:v>46862.762443822125</x:v>
      </x:c>
    </x:row>
    <x:row r="3887" ht="20" customHeight="1">
      <x:c r="A3887" s="256" t="n">
        <x:f>-12+2277*0.01</x:f>
        <x:v>10.77</x:v>
      </x:c>
      <x:c r="B3887" s="256" t="n">
        <x:f>IF(COUNT($B$129:$L$129)=11,B$129*EXP(IF(A3887&lt;0,(10-0)*A3887,-0*A3887))+C$129*EXP(IF(A3887&lt;0,(10-1)*A3887,-1*A3887))+D$129*EXP(IF(A3887&lt;0,(10-2)*A3887,-2*A3887))+E$129*EXP(IF(A3887&lt;0,(10-3)*A3887,-3*A3887))+F$129*EXP(IF(A3887&lt;0,(10-4)*A3887,-4*A3887))+G$129*EXP(IF(A3887&lt;0,(10-5)*A3887,-5*A3887))+H$129*EXP(IF(A3887&lt;0,(10-6)*A3887,-6*A3887))+I$129*EXP(IF(A3887&lt;0,(10-7)*A3887,-7*A3887))+J$129*EXP(IF(A3887&lt;0,(10-8)*A3887,-8*A3887))+K$129*EXP(IF(A3887&lt;0,(10-9)*A3887,-9*A3887))+L$129*EXP(IF(A3887&lt;0,(10-10)*A3887,-10*A3887)),0)</x:f>
        <x:v>-190000.17139347523</x:v>
      </x:c>
      <x:c r="C3887" s="256" t="n">
        <x:f>IF(B3887=0,IF(B3886=0,0,1),IF(B3886=0,0,IF(SIGN(B3887)&lt;&gt;SIGN(B3886),1,0)))</x:f>
        <x:v>0</x:v>
      </x:c>
      <x:c r="D3887" s="256" t="n">
        <x:f>EXP(A3887-0.005)-1</x:f>
        <x:v>47333.7510865752</x:v>
      </x:c>
    </x:row>
    <x:row r="3888" ht="20" customHeight="1">
      <x:c r="A3888" s="256" t="n">
        <x:f>-12+2278*0.01</x:f>
        <x:v>10.780000000000001</x:v>
      </x:c>
      <x:c r="B3888" s="256" t="n">
        <x:f>IF(COUNT($B$129:$L$129)=11,B$129*EXP(IF(A3888&lt;0,(10-0)*A3888,-0*A3888))+C$129*EXP(IF(A3888&lt;0,(10-1)*A3888,-1*A3888))+D$129*EXP(IF(A3888&lt;0,(10-2)*A3888,-2*A3888))+E$129*EXP(IF(A3888&lt;0,(10-3)*A3888,-3*A3888))+F$129*EXP(IF(A3888&lt;0,(10-4)*A3888,-4*A3888))+G$129*EXP(IF(A3888&lt;0,(10-5)*A3888,-5*A3888))+H$129*EXP(IF(A3888&lt;0,(10-6)*A3888,-6*A3888))+I$129*EXP(IF(A3888&lt;0,(10-7)*A3888,-7*A3888))+J$129*EXP(IF(A3888&lt;0,(10-8)*A3888,-8*A3888))+K$129*EXP(IF(A3888&lt;0,(10-9)*A3888,-9*A3888))+L$129*EXP(IF(A3888&lt;0,(10-10)*A3888,-10*A3888)),0)</x:f>
        <x:v>-190000.16968805582</x:v>
      </x:c>
      <x:c r="C3888" s="256" t="n">
        <x:f>IF(B3888=0,IF(B3887=0,0,1),IF(B3887=0,0,IF(SIGN(B3888)&lt;&gt;SIGN(B3887),1,0)))</x:f>
        <x:v>0</x:v>
      </x:c>
      <x:c r="D3888" s="256" t="n">
        <x:f>EXP(A3888-0.005)-1</x:f>
        <x:v>47809.473243882865</x:v>
      </x:c>
    </x:row>
    <x:row r="3889" ht="20" customHeight="1">
      <x:c r="A3889" s="256" t="n">
        <x:f>-12+2279*0.01</x:f>
        <x:v>10.79</x:v>
      </x:c>
      <x:c r="B3889" s="256" t="n">
        <x:f>IF(COUNT($B$129:$L$129)=11,B$129*EXP(IF(A3889&lt;0,(10-0)*A3889,-0*A3889))+C$129*EXP(IF(A3889&lt;0,(10-1)*A3889,-1*A3889))+D$129*EXP(IF(A3889&lt;0,(10-2)*A3889,-2*A3889))+E$129*EXP(IF(A3889&lt;0,(10-3)*A3889,-3*A3889))+F$129*EXP(IF(A3889&lt;0,(10-4)*A3889,-4*A3889))+G$129*EXP(IF(A3889&lt;0,(10-5)*A3889,-5*A3889))+H$129*EXP(IF(A3889&lt;0,(10-6)*A3889,-6*A3889))+I$129*EXP(IF(A3889&lt;0,(10-7)*A3889,-7*A3889))+J$129*EXP(IF(A3889&lt;0,(10-8)*A3889,-8*A3889))+K$129*EXP(IF(A3889&lt;0,(10-9)*A3889,-9*A3889))+L$129*EXP(IF(A3889&lt;0,(10-10)*A3889,-10*A3889)),0)</x:f>
        <x:v>-190000.1679996061</x:v>
      </x:c>
      <x:c r="C3889" s="256" t="n">
        <x:f>IF(B3889=0,IF(B3888=0,0,1),IF(B3888=0,0,IF(SIGN(B3889)&lt;&gt;SIGN(B3888),1,0)))</x:f>
        <x:v>0</x:v>
      </x:c>
      <x:c r="D3889" s="256" t="n">
        <x:f>EXP(A3889-0.005)-1</x:f>
        <x:v>48289.97648835693</x:v>
      </x:c>
    </x:row>
    <x:row r="3890" ht="20" customHeight="1">
      <x:c r="A3890" s="256" t="n">
        <x:f>-12+2280*0.01</x:f>
        <x:v>10.8</x:v>
      </x:c>
      <x:c r="B3890" s="256" t="n">
        <x:f>IF(COUNT($B$129:$L$129)=11,B$129*EXP(IF(A3890&lt;0,(10-0)*A3890,-0*A3890))+C$129*EXP(IF(A3890&lt;0,(10-1)*A3890,-1*A3890))+D$129*EXP(IF(A3890&lt;0,(10-2)*A3890,-2*A3890))+E$129*EXP(IF(A3890&lt;0,(10-3)*A3890,-3*A3890))+F$129*EXP(IF(A3890&lt;0,(10-4)*A3890,-4*A3890))+G$129*EXP(IF(A3890&lt;0,(10-5)*A3890,-5*A3890))+H$129*EXP(IF(A3890&lt;0,(10-6)*A3890,-6*A3890))+I$129*EXP(IF(A3890&lt;0,(10-7)*A3890,-7*A3890))+J$129*EXP(IF(A3890&lt;0,(10-8)*A3890,-8*A3890))+K$129*EXP(IF(A3890&lt;0,(10-9)*A3890,-9*A3890))+L$129*EXP(IF(A3890&lt;0,(10-10)*A3890,-10*A3890)),0)</x:f>
        <x:v>-190000.16632795733</x:v>
      </x:c>
      <x:c r="C3890" s="256" t="n">
        <x:f>IF(B3890=0,IF(B3889=0,0,1),IF(B3889=0,0,IF(SIGN(B3890)&lt;&gt;SIGN(B3889),1,0)))</x:f>
        <x:v>0</x:v>
      </x:c>
      <x:c r="D3890" s="256" t="n">
        <x:f>EXP(A3890-0.005)-1</x:f>
        <x:v>48775.30887072263</x:v>
      </x:c>
    </x:row>
    <x:row r="3891" ht="20" customHeight="1">
      <x:c r="A3891" s="256" t="n">
        <x:f>-12+2281*0.01</x:f>
        <x:v>10.809999999999999</x:v>
      </x:c>
      <x:c r="B3891" s="256" t="n">
        <x:f>IF(COUNT($B$129:$L$129)=11,B$129*EXP(IF(A3891&lt;0,(10-0)*A3891,-0*A3891))+C$129*EXP(IF(A3891&lt;0,(10-1)*A3891,-1*A3891))+D$129*EXP(IF(A3891&lt;0,(10-2)*A3891,-2*A3891))+E$129*EXP(IF(A3891&lt;0,(10-3)*A3891,-3*A3891))+F$129*EXP(IF(A3891&lt;0,(10-4)*A3891,-4*A3891))+G$129*EXP(IF(A3891&lt;0,(10-5)*A3891,-5*A3891))+H$129*EXP(IF(A3891&lt;0,(10-6)*A3891,-6*A3891))+I$129*EXP(IF(A3891&lt;0,(10-7)*A3891,-7*A3891))+J$129*EXP(IF(A3891&lt;0,(10-8)*A3891,-8*A3891))+K$129*EXP(IF(A3891&lt;0,(10-9)*A3891,-9*A3891))+L$129*EXP(IF(A3891&lt;0,(10-10)*A3891,-10*A3891)),0)</x:f>
        <x:v>-190000.16467294216</x:v>
      </x:c>
      <x:c r="C3891" s="256" t="n">
        <x:f>IF(B3891=0,IF(B3890=0,0,1),IF(B3890=0,0,IF(SIGN(B3891)&lt;&gt;SIGN(B3890),1,0)))</x:f>
        <x:v>0</x:v>
      </x:c>
      <x:c r="D3891" s="256" t="n">
        <x:f>EXP(A3891-0.005)-1</x:f>
        <x:v>49265.51892462228</x:v>
      </x:c>
    </x:row>
    <x:row r="3892" ht="20" customHeight="1">
      <x:c r="A3892" s="256" t="n">
        <x:f>-12+2282*0.01</x:f>
        <x:v>10.82</x:v>
      </x:c>
      <x:c r="B3892" s="256" t="n">
        <x:f>IF(COUNT($B$129:$L$129)=11,B$129*EXP(IF(A3892&lt;0,(10-0)*A3892,-0*A3892))+C$129*EXP(IF(A3892&lt;0,(10-1)*A3892,-1*A3892))+D$129*EXP(IF(A3892&lt;0,(10-2)*A3892,-2*A3892))+E$129*EXP(IF(A3892&lt;0,(10-3)*A3892,-3*A3892))+F$129*EXP(IF(A3892&lt;0,(10-4)*A3892,-4*A3892))+G$129*EXP(IF(A3892&lt;0,(10-5)*A3892,-5*A3892))+H$129*EXP(IF(A3892&lt;0,(10-6)*A3892,-6*A3892))+I$129*EXP(IF(A3892&lt;0,(10-7)*A3892,-7*A3892))+J$129*EXP(IF(A3892&lt;0,(10-8)*A3892,-8*A3892))+K$129*EXP(IF(A3892&lt;0,(10-9)*A3892,-9*A3892))+L$129*EXP(IF(A3892&lt;0,(10-10)*A3892,-10*A3892)),0)</x:f>
        <x:v>-190000.16303439517</x:v>
      </x:c>
      <x:c r="C3892" s="256" t="n">
        <x:f>IF(B3892=0,IF(B3891=0,0,1),IF(B3891=0,0,IF(SIGN(B3892)&lt;&gt;SIGN(B3891),1,0)))</x:f>
        <x:v>0</x:v>
      </x:c>
      <x:c r="D3892" s="256" t="n">
        <x:f>EXP(A3892-0.005)-1</x:f>
        <x:v>49760.655671470144</x:v>
      </x:c>
    </x:row>
    <x:row r="3893" ht="20" customHeight="1">
      <x:c r="A3893" s="256" t="n">
        <x:f>-12+2283*0.01</x:f>
        <x:v>10.830000000000002</x:v>
      </x:c>
      <x:c r="B3893" s="256" t="n">
        <x:f>IF(COUNT($B$129:$L$129)=11,B$129*EXP(IF(A3893&lt;0,(10-0)*A3893,-0*A3893))+C$129*EXP(IF(A3893&lt;0,(10-1)*A3893,-1*A3893))+D$129*EXP(IF(A3893&lt;0,(10-2)*A3893,-2*A3893))+E$129*EXP(IF(A3893&lt;0,(10-3)*A3893,-3*A3893))+F$129*EXP(IF(A3893&lt;0,(10-4)*A3893,-4*A3893))+G$129*EXP(IF(A3893&lt;0,(10-5)*A3893,-5*A3893))+H$129*EXP(IF(A3893&lt;0,(10-6)*A3893,-6*A3893))+I$129*EXP(IF(A3893&lt;0,(10-7)*A3893,-7*A3893))+J$129*EXP(IF(A3893&lt;0,(10-8)*A3893,-8*A3893))+K$129*EXP(IF(A3893&lt;0,(10-9)*A3893,-9*A3893))+L$129*EXP(IF(A3893&lt;0,(10-10)*A3893,-10*A3893)),0)</x:f>
        <x:v>-190000.16141215246</x:v>
      </x:c>
      <x:c r="C3893" s="256" t="n">
        <x:f>IF(B3893=0,IF(B3892=0,0,1),IF(B3892=0,0,IF(SIGN(B3893)&lt;&gt;SIGN(B3892),1,0)))</x:f>
        <x:v>0</x:v>
      </x:c>
      <x:c r="D3893" s="256" t="n">
        <x:f>EXP(A3893-0.005)-1</x:f>
        <x:v>50260.76862535333</x:v>
      </x:c>
    </x:row>
    <x:row r="3894" ht="20" customHeight="1">
      <x:c r="A3894" s="256" t="n">
        <x:f>-12+2284*0.01</x:f>
        <x:v>10.84</x:v>
      </x:c>
      <x:c r="B3894" s="256" t="n">
        <x:f>IF(COUNT($B$129:$L$129)=11,B$129*EXP(IF(A3894&lt;0,(10-0)*A3894,-0*A3894))+C$129*EXP(IF(A3894&lt;0,(10-1)*A3894,-1*A3894))+D$129*EXP(IF(A3894&lt;0,(10-2)*A3894,-2*A3894))+E$129*EXP(IF(A3894&lt;0,(10-3)*A3894,-3*A3894))+F$129*EXP(IF(A3894&lt;0,(10-4)*A3894,-4*A3894))+G$129*EXP(IF(A3894&lt;0,(10-5)*A3894,-5*A3894))+H$129*EXP(IF(A3894&lt;0,(10-6)*A3894,-6*A3894))+I$129*EXP(IF(A3894&lt;0,(10-7)*A3894,-7*A3894))+J$129*EXP(IF(A3894&lt;0,(10-8)*A3894,-8*A3894))+K$129*EXP(IF(A3894&lt;0,(10-9)*A3894,-9*A3894))+L$129*EXP(IF(A3894&lt;0,(10-10)*A3894,-10*A3894)),0)</x:f>
        <x:v>-190000.15980605182</x:v>
      </x:c>
      <x:c r="C3894" s="256" t="n">
        <x:f>IF(B3894=0,IF(B3893=0,0,1),IF(B3893=0,0,IF(SIGN(B3894)&lt;&gt;SIGN(B3893),1,0)))</x:f>
        <x:v>0</x:v>
      </x:c>
      <x:c r="D3894" s="256" t="n">
        <x:f>EXP(A3894-0.005)-1</x:f>
        <x:v>50765.90779798383</x:v>
      </x:c>
    </x:row>
    <x:row r="3895" ht="20" customHeight="1">
      <x:c r="A3895" s="256" t="n">
        <x:f>-12+2285*0.01</x:f>
        <x:v>10.850000000000001</x:v>
      </x:c>
      <x:c r="B3895" s="256" t="n">
        <x:f>IF(COUNT($B$129:$L$129)=11,B$129*EXP(IF(A3895&lt;0,(10-0)*A3895,-0*A3895))+C$129*EXP(IF(A3895&lt;0,(10-1)*A3895,-1*A3895))+D$129*EXP(IF(A3895&lt;0,(10-2)*A3895,-2*A3895))+E$129*EXP(IF(A3895&lt;0,(10-3)*A3895,-3*A3895))+F$129*EXP(IF(A3895&lt;0,(10-4)*A3895,-4*A3895))+G$129*EXP(IF(A3895&lt;0,(10-5)*A3895,-5*A3895))+H$129*EXP(IF(A3895&lt;0,(10-6)*A3895,-6*A3895))+I$129*EXP(IF(A3895&lt;0,(10-7)*A3895,-7*A3895))+J$129*EXP(IF(A3895&lt;0,(10-8)*A3895,-8*A3895))+K$129*EXP(IF(A3895&lt;0,(10-9)*A3895,-9*A3895))+L$129*EXP(IF(A3895&lt;0,(10-10)*A3895,-10*A3895)),0)</x:f>
        <x:v>-190000.15821593258</x:v>
      </x:c>
      <x:c r="C3895" s="256" t="n">
        <x:f>IF(B3895=0,IF(B3894=0,0,1),IF(B3894=0,0,IF(SIGN(B3895)&lt;&gt;SIGN(B3894),1,0)))</x:f>
        <x:v>0</x:v>
      </x:c>
      <x:c r="D3895" s="256" t="n">
        <x:f>EXP(A3895-0.005)-1</x:f>
        <x:v>51276.1237037002</x:v>
      </x:c>
    </x:row>
    <x:row r="3896" ht="20" customHeight="1">
      <x:c r="A3896" s="256" t="n">
        <x:f>-12+2286*0.01</x:f>
        <x:v>10.86</x:v>
      </x:c>
      <x:c r="B3896" s="256" t="n">
        <x:f>IF(COUNT($B$129:$L$129)=11,B$129*EXP(IF(A3896&lt;0,(10-0)*A3896,-0*A3896))+C$129*EXP(IF(A3896&lt;0,(10-1)*A3896,-1*A3896))+D$129*EXP(IF(A3896&lt;0,(10-2)*A3896,-2*A3896))+E$129*EXP(IF(A3896&lt;0,(10-3)*A3896,-3*A3896))+F$129*EXP(IF(A3896&lt;0,(10-4)*A3896,-4*A3896))+G$129*EXP(IF(A3896&lt;0,(10-5)*A3896,-5*A3896))+H$129*EXP(IF(A3896&lt;0,(10-6)*A3896,-6*A3896))+I$129*EXP(IF(A3896&lt;0,(10-7)*A3896,-7*A3896))+J$129*EXP(IF(A3896&lt;0,(10-8)*A3896,-8*A3896))+K$129*EXP(IF(A3896&lt;0,(10-9)*A3896,-9*A3896))+L$129*EXP(IF(A3896&lt;0,(10-10)*A3896,-10*A3896)),0)</x:f>
        <x:v>-190000.15664163572</x:v>
      </x:c>
      <x:c r="C3896" s="256" t="n">
        <x:f>IF(B3896=0,IF(B3895=0,0,1),IF(B3895=0,0,IF(SIGN(B3896)&lt;&gt;SIGN(B3895),1,0)))</x:f>
        <x:v>0</x:v>
      </x:c>
      <x:c r="D3896" s="256" t="n">
        <x:f>EXP(A3896-0.005)-1</x:f>
        <x:v>51791.46736451784</x:v>
      </x:c>
    </x:row>
    <x:row r="3897" ht="20" customHeight="1">
      <x:c r="A3897" s="256" t="n">
        <x:f>-12+2287*0.01</x:f>
        <x:v>10.870000000000001</x:v>
      </x:c>
      <x:c r="B3897" s="256" t="n">
        <x:f>IF(COUNT($B$129:$L$129)=11,B$129*EXP(IF(A3897&lt;0,(10-0)*A3897,-0*A3897))+C$129*EXP(IF(A3897&lt;0,(10-1)*A3897,-1*A3897))+D$129*EXP(IF(A3897&lt;0,(10-2)*A3897,-2*A3897))+E$129*EXP(IF(A3897&lt;0,(10-3)*A3897,-3*A3897))+F$129*EXP(IF(A3897&lt;0,(10-4)*A3897,-4*A3897))+G$129*EXP(IF(A3897&lt;0,(10-5)*A3897,-5*A3897))+H$129*EXP(IF(A3897&lt;0,(10-6)*A3897,-6*A3897))+I$129*EXP(IF(A3897&lt;0,(10-7)*A3897,-7*A3897))+J$129*EXP(IF(A3897&lt;0,(10-8)*A3897,-8*A3897))+K$129*EXP(IF(A3897&lt;0,(10-9)*A3897,-9*A3897))+L$129*EXP(IF(A3897&lt;0,(10-10)*A3897,-10*A3897)),0)</x:f>
        <x:v>-190000.15508300383</x:v>
      </x:c>
      <x:c r="C3897" s="256" t="n">
        <x:f>IF(B3897=0,IF(B3896=0,0,1),IF(B3896=0,0,IF(SIGN(B3897)&lt;&gt;SIGN(B3896),1,0)))</x:f>
        <x:v>0</x:v>
      </x:c>
      <x:c r="D3897" s="256" t="n">
        <x:f>EXP(A3897-0.005)-1</x:f>
        <x:v>52311.990315232644</x:v>
      </x:c>
    </x:row>
    <x:row r="3898" ht="20" customHeight="1">
      <x:c r="A3898" s="256" t="n">
        <x:f>-12+2288*0.01</x:f>
        <x:v>10.879999999999999</x:v>
      </x:c>
      <x:c r="B3898" s="256" t="n">
        <x:f>IF(COUNT($B$129:$L$129)=11,B$129*EXP(IF(A3898&lt;0,(10-0)*A3898,-0*A3898))+C$129*EXP(IF(A3898&lt;0,(10-1)*A3898,-1*A3898))+D$129*EXP(IF(A3898&lt;0,(10-2)*A3898,-2*A3898))+E$129*EXP(IF(A3898&lt;0,(10-3)*A3898,-3*A3898))+F$129*EXP(IF(A3898&lt;0,(10-4)*A3898,-4*A3898))+G$129*EXP(IF(A3898&lt;0,(10-5)*A3898,-5*A3898))+H$129*EXP(IF(A3898&lt;0,(10-6)*A3898,-6*A3898))+I$129*EXP(IF(A3898&lt;0,(10-7)*A3898,-7*A3898))+J$129*EXP(IF(A3898&lt;0,(10-8)*A3898,-8*A3898))+K$129*EXP(IF(A3898&lt;0,(10-9)*A3898,-9*A3898))+L$129*EXP(IF(A3898&lt;0,(10-10)*A3898,-10*A3898)),0)</x:f>
        <x:v>-190000.15353988102</x:v>
      </x:c>
      <x:c r="C3898" s="256" t="n">
        <x:f>IF(B3898=0,IF(B3897=0,0,1),IF(B3897=0,0,IF(SIGN(B3898)&lt;&gt;SIGN(B3897),1,0)))</x:f>
        <x:v>0</x:v>
      </x:c>
      <x:c r="D3898" s="256" t="n">
        <x:f>EXP(A3898-0.005)-1</x:f>
        <x:v>52837.74460857309</x:v>
      </x:c>
    </x:row>
    <x:row r="3899" ht="20" customHeight="1">
      <x:c r="A3899" s="256" t="n">
        <x:f>-12+2289*0.01</x:f>
        <x:v>10.89</x:v>
      </x:c>
      <x:c r="B3899" s="256" t="n">
        <x:f>IF(COUNT($B$129:$L$129)=11,B$129*EXP(IF(A3899&lt;0,(10-0)*A3899,-0*A3899))+C$129*EXP(IF(A3899&lt;0,(10-1)*A3899,-1*A3899))+D$129*EXP(IF(A3899&lt;0,(10-2)*A3899,-2*A3899))+E$129*EXP(IF(A3899&lt;0,(10-3)*A3899,-3*A3899))+F$129*EXP(IF(A3899&lt;0,(10-4)*A3899,-4*A3899))+G$129*EXP(IF(A3899&lt;0,(10-5)*A3899,-5*A3899))+H$129*EXP(IF(A3899&lt;0,(10-6)*A3899,-6*A3899))+I$129*EXP(IF(A3899&lt;0,(10-7)*A3899,-7*A3899))+J$129*EXP(IF(A3899&lt;0,(10-8)*A3899,-8*A3899))+K$129*EXP(IF(A3899&lt;0,(10-9)*A3899,-9*A3899))+L$129*EXP(IF(A3899&lt;0,(10-10)*A3899,-10*A3899)),0)</x:f>
        <x:v>-190000.15201211296</x:v>
      </x:c>
      <x:c r="C3899" s="256" t="n">
        <x:f>IF(B3899=0,IF(B3898=0,0,1),IF(B3898=0,0,IF(SIGN(B3899)&lt;&gt;SIGN(B3898),1,0)))</x:f>
        <x:v>0</x:v>
      </x:c>
      <x:c r="D3899" s="256" t="n">
        <x:f>EXP(A3899-0.005)-1</x:f>
        <x:v>53368.782820407025</x:v>
      </x:c>
    </x:row>
    <x:row r="3900" ht="20" customHeight="1">
      <x:c r="A3900" s="256" t="n">
        <x:f>-12+2290*0.01</x:f>
        <x:v>10.900000000000002</x:v>
      </x:c>
      <x:c r="B3900" s="256" t="n">
        <x:f>IF(COUNT($B$129:$L$129)=11,B$129*EXP(IF(A3900&lt;0,(10-0)*A3900,-0*A3900))+C$129*EXP(IF(A3900&lt;0,(10-1)*A3900,-1*A3900))+D$129*EXP(IF(A3900&lt;0,(10-2)*A3900,-2*A3900))+E$129*EXP(IF(A3900&lt;0,(10-3)*A3900,-3*A3900))+F$129*EXP(IF(A3900&lt;0,(10-4)*A3900,-4*A3900))+G$129*EXP(IF(A3900&lt;0,(10-5)*A3900,-5*A3900))+H$129*EXP(IF(A3900&lt;0,(10-6)*A3900,-6*A3900))+I$129*EXP(IF(A3900&lt;0,(10-7)*A3900,-7*A3900))+J$129*EXP(IF(A3900&lt;0,(10-8)*A3900,-8*A3900))+K$129*EXP(IF(A3900&lt;0,(10-9)*A3900,-9*A3900))+L$129*EXP(IF(A3900&lt;0,(10-10)*A3900,-10*A3900)),0)</x:f>
        <x:v>-190000.15049954684</x:v>
      </x:c>
      <x:c r="C3900" s="256" t="n">
        <x:f>IF(B3900=0,IF(B3899=0,0,1),IF(B3899=0,0,IF(SIGN(B3900)&lt;&gt;SIGN(B3899),1,0)))</x:f>
        <x:v>0</x:v>
      </x:c>
      <x:c r="D3900" s="256" t="n">
        <x:f>EXP(A3900-0.005)-1</x:f>
        <x:v>53905.158054997955</x:v>
      </x:c>
    </x:row>
    <x:row r="3901" ht="20" customHeight="1">
      <x:c r="A3901" s="256" t="n">
        <x:f>-12+2291*0.01</x:f>
        <x:v>10.91</x:v>
      </x:c>
      <x:c r="B3901" s="256" t="n">
        <x:f>IF(COUNT($B$129:$L$129)=11,B$129*EXP(IF(A3901&lt;0,(10-0)*A3901,-0*A3901))+C$129*EXP(IF(A3901&lt;0,(10-1)*A3901,-1*A3901))+D$129*EXP(IF(A3901&lt;0,(10-2)*A3901,-2*A3901))+E$129*EXP(IF(A3901&lt;0,(10-3)*A3901,-3*A3901))+F$129*EXP(IF(A3901&lt;0,(10-4)*A3901,-4*A3901))+G$129*EXP(IF(A3901&lt;0,(10-5)*A3901,-5*A3901))+H$129*EXP(IF(A3901&lt;0,(10-6)*A3901,-6*A3901))+I$129*EXP(IF(A3901&lt;0,(10-7)*A3901,-7*A3901))+J$129*EXP(IF(A3901&lt;0,(10-8)*A3901,-8*A3901))+K$129*EXP(IF(A3901&lt;0,(10-9)*A3901,-9*A3901))+L$129*EXP(IF(A3901&lt;0,(10-10)*A3901,-10*A3901)),0)</x:f>
        <x:v>-190000.14900203142</x:v>
      </x:c>
      <x:c r="C3901" s="256" t="n">
        <x:f>IF(B3901=0,IF(B3900=0,0,1),IF(B3900=0,0,IF(SIGN(B3901)&lt;&gt;SIGN(B3900),1,0)))</x:f>
        <x:v>0</x:v>
      </x:c>
      <x:c r="D3901" s="256" t="n">
        <x:f>EXP(A3901-0.005)-1</x:f>
        <x:v>54446.92395031615</x:v>
      </x:c>
    </x:row>
    <x:row r="3902" ht="20" customHeight="1">
      <x:c r="A3902" s="256" t="n">
        <x:f>-12+2292*0.01</x:f>
        <x:v>10.920000000000002</x:v>
      </x:c>
      <x:c r="B3902" s="256" t="n">
        <x:f>IF(COUNT($B$129:$L$129)=11,B$129*EXP(IF(A3902&lt;0,(10-0)*A3902,-0*A3902))+C$129*EXP(IF(A3902&lt;0,(10-1)*A3902,-1*A3902))+D$129*EXP(IF(A3902&lt;0,(10-2)*A3902,-2*A3902))+E$129*EXP(IF(A3902&lt;0,(10-3)*A3902,-3*A3902))+F$129*EXP(IF(A3902&lt;0,(10-4)*A3902,-4*A3902))+G$129*EXP(IF(A3902&lt;0,(10-5)*A3902,-5*A3902))+H$129*EXP(IF(A3902&lt;0,(10-6)*A3902,-6*A3902))+I$129*EXP(IF(A3902&lt;0,(10-7)*A3902,-7*A3902))+J$129*EXP(IF(A3902&lt;0,(10-8)*A3902,-8*A3902))+K$129*EXP(IF(A3902&lt;0,(10-9)*A3902,-9*A3902))+L$129*EXP(IF(A3902&lt;0,(10-10)*A3902,-10*A3902)),0)</x:f>
        <x:v>-190000.1475194169</x:v>
      </x:c>
      <x:c r="C3902" s="256" t="n">
        <x:f>IF(B3902=0,IF(B3901=0,0,1),IF(B3901=0,0,IF(SIGN(B3902)&lt;&gt;SIGN(B3901),1,0)))</x:f>
        <x:v>0</x:v>
      </x:c>
      <x:c r="D3902" s="256" t="n">
        <x:f>EXP(A3902-0.005)-1</x:f>
        <x:v>54994.13468340299</x:v>
      </x:c>
    </x:row>
    <x:row r="3903" ht="20" customHeight="1">
      <x:c r="A3903" s="256" t="n">
        <x:f>-12+2293*0.01</x:f>
        <x:v>10.93</x:v>
      </x:c>
      <x:c r="B3903" s="256" t="n">
        <x:f>IF(COUNT($B$129:$L$129)=11,B$129*EXP(IF(A3903&lt;0,(10-0)*A3903,-0*A3903))+C$129*EXP(IF(A3903&lt;0,(10-1)*A3903,-1*A3903))+D$129*EXP(IF(A3903&lt;0,(10-2)*A3903,-2*A3903))+E$129*EXP(IF(A3903&lt;0,(10-3)*A3903,-3*A3903))+F$129*EXP(IF(A3903&lt;0,(10-4)*A3903,-4*A3903))+G$129*EXP(IF(A3903&lt;0,(10-5)*A3903,-5*A3903))+H$129*EXP(IF(A3903&lt;0,(10-6)*A3903,-6*A3903))+I$129*EXP(IF(A3903&lt;0,(10-7)*A3903,-7*A3903))+J$129*EXP(IF(A3903&lt;0,(10-8)*A3903,-8*A3903))+K$129*EXP(IF(A3903&lt;0,(10-9)*A3903,-9*A3903))+L$129*EXP(IF(A3903&lt;0,(10-10)*A3903,-10*A3903)),0)</x:f>
        <x:v>-190000.14605155506</x:v>
      </x:c>
      <x:c r="C3903" s="256" t="n">
        <x:f>IF(B3903=0,IF(B3902=0,0,1),IF(B3902=0,0,IF(SIGN(B3903)&lt;&gt;SIGN(B3902),1,0)))</x:f>
        <x:v>0</x:v>
      </x:c>
      <x:c r="D3903" s="256" t="n">
        <x:f>EXP(A3903-0.005)-1</x:f>
        <x:v>55546.844975787404</x:v>
      </x:c>
    </x:row>
    <x:row r="3904" ht="20" customHeight="1">
      <x:c r="A3904" s="256" t="n">
        <x:f>-12+2294*0.01</x:f>
        <x:v>10.940000000000001</x:v>
      </x:c>
      <x:c r="B3904" s="256" t="n">
        <x:f>IF(COUNT($B$129:$L$129)=11,B$129*EXP(IF(A3904&lt;0,(10-0)*A3904,-0*A3904))+C$129*EXP(IF(A3904&lt;0,(10-1)*A3904,-1*A3904))+D$129*EXP(IF(A3904&lt;0,(10-2)*A3904,-2*A3904))+E$129*EXP(IF(A3904&lt;0,(10-3)*A3904,-3*A3904))+F$129*EXP(IF(A3904&lt;0,(10-4)*A3904,-4*A3904))+G$129*EXP(IF(A3904&lt;0,(10-5)*A3904,-5*A3904))+H$129*EXP(IF(A3904&lt;0,(10-6)*A3904,-6*A3904))+I$129*EXP(IF(A3904&lt;0,(10-7)*A3904,-7*A3904))+J$129*EXP(IF(A3904&lt;0,(10-8)*A3904,-8*A3904))+K$129*EXP(IF(A3904&lt;0,(10-9)*A3904,-9*A3904))+L$129*EXP(IF(A3904&lt;0,(10-10)*A3904,-10*A3904)),0)</x:f>
        <x:v>-190000.14459829906</x:v>
      </x:c>
      <x:c r="C3904" s="256" t="n">
        <x:f>IF(B3904=0,IF(B3903=0,0,1),IF(B3903=0,0,IF(SIGN(B3904)&lt;&gt;SIGN(B3903),1,0)))</x:f>
        <x:v>0</x:v>
      </x:c>
      <x:c r="D3904" s="256" t="n">
        <x:f>EXP(A3904-0.005)-1</x:f>
        <x:v>56105.11009895962</x:v>
      </x:c>
    </x:row>
    <x:row r="3905" ht="20" customHeight="1">
      <x:c r="A3905" s="256" t="n">
        <x:f>-12+2295*0.01</x:f>
        <x:v>10.95</x:v>
      </x:c>
      <x:c r="B3905" s="256" t="n">
        <x:f>IF(COUNT($B$129:$L$129)=11,B$129*EXP(IF(A3905&lt;0,(10-0)*A3905,-0*A3905))+C$129*EXP(IF(A3905&lt;0,(10-1)*A3905,-1*A3905))+D$129*EXP(IF(A3905&lt;0,(10-2)*A3905,-2*A3905))+E$129*EXP(IF(A3905&lt;0,(10-3)*A3905,-3*A3905))+F$129*EXP(IF(A3905&lt;0,(10-4)*A3905,-4*A3905))+G$129*EXP(IF(A3905&lt;0,(10-5)*A3905,-5*A3905))+H$129*EXP(IF(A3905&lt;0,(10-6)*A3905,-6*A3905))+I$129*EXP(IF(A3905&lt;0,(10-7)*A3905,-7*A3905))+J$129*EXP(IF(A3905&lt;0,(10-8)*A3905,-8*A3905))+K$129*EXP(IF(A3905&lt;0,(10-9)*A3905,-9*A3905))+L$129*EXP(IF(A3905&lt;0,(10-10)*A3905,-10*A3905)),0)</x:f>
        <x:v>-190000.14315950355</x:v>
      </x:c>
      <x:c r="C3905" s="256" t="n">
        <x:f>IF(B3905=0,IF(B3904=0,0,1),IF(B3904=0,0,IF(SIGN(B3905)&lt;&gt;SIGN(B3904),1,0)))</x:f>
        <x:v>0</x:v>
      </x:c>
      <x:c r="D3905" s="256" t="n">
        <x:f>EXP(A3905-0.005)-1</x:f>
        <x:v>56668.98587989678</x:v>
      </x:c>
    </x:row>
    <x:row r="3906" ht="20" customHeight="1">
      <x:c r="A3906" s="256" t="n">
        <x:f>-12+2296*0.01</x:f>
        <x:v>10.96</x:v>
      </x:c>
      <x:c r="B3906" s="256" t="n">
        <x:f>IF(COUNT($B$129:$L$129)=11,B$129*EXP(IF(A3906&lt;0,(10-0)*A3906,-0*A3906))+C$129*EXP(IF(A3906&lt;0,(10-1)*A3906,-1*A3906))+D$129*EXP(IF(A3906&lt;0,(10-2)*A3906,-2*A3906))+E$129*EXP(IF(A3906&lt;0,(10-3)*A3906,-3*A3906))+F$129*EXP(IF(A3906&lt;0,(10-4)*A3906,-4*A3906))+G$129*EXP(IF(A3906&lt;0,(10-5)*A3906,-5*A3906))+H$129*EXP(IF(A3906&lt;0,(10-6)*A3906,-6*A3906))+I$129*EXP(IF(A3906&lt;0,(10-7)*A3906,-7*A3906))+J$129*EXP(IF(A3906&lt;0,(10-8)*A3906,-8*A3906))+K$129*EXP(IF(A3906&lt;0,(10-9)*A3906,-9*A3906))+L$129*EXP(IF(A3906&lt;0,(10-10)*A3906,-10*A3906)),0)</x:f>
        <x:v>-190000.14173502466</x:v>
      </x:c>
      <x:c r="C3906" s="256" t="n">
        <x:f>IF(B3906=0,IF(B3905=0,0,1),IF(B3905=0,0,IF(SIGN(B3906)&lt;&gt;SIGN(B3905),1,0)))</x:f>
        <x:v>0</x:v>
      </x:c>
      <x:c r="D3906" s="256" t="n">
        <x:f>EXP(A3906-0.005)-1</x:f>
        <x:v>57238.52870664728</x:v>
      </x:c>
    </x:row>
    <x:row r="3907" ht="20" customHeight="1">
      <x:c r="A3907" s="256" t="n">
        <x:f>-12+2297*0.01</x:f>
        <x:v>10.969999999999999</x:v>
      </x:c>
      <x:c r="B3907" s="256" t="n">
        <x:f>IF(COUNT($B$129:$L$129)=11,B$129*EXP(IF(A3907&lt;0,(10-0)*A3907,-0*A3907))+C$129*EXP(IF(A3907&lt;0,(10-1)*A3907,-1*A3907))+D$129*EXP(IF(A3907&lt;0,(10-2)*A3907,-2*A3907))+E$129*EXP(IF(A3907&lt;0,(10-3)*A3907,-3*A3907))+F$129*EXP(IF(A3907&lt;0,(10-4)*A3907,-4*A3907))+G$129*EXP(IF(A3907&lt;0,(10-5)*A3907,-5*A3907))+H$129*EXP(IF(A3907&lt;0,(10-6)*A3907,-6*A3907))+I$129*EXP(IF(A3907&lt;0,(10-7)*A3907,-7*A3907))+J$129*EXP(IF(A3907&lt;0,(10-8)*A3907,-8*A3907))+K$129*EXP(IF(A3907&lt;0,(10-9)*A3907,-9*A3907))+L$129*EXP(IF(A3907&lt;0,(10-10)*A3907,-10*A3907)),0)</x:f>
        <x:v>-190000.14032471995</x:v>
      </x:c>
      <x:c r="C3907" s="256" t="n">
        <x:f>IF(B3907=0,IF(B3906=0,0,1),IF(B3906=0,0,IF(SIGN(B3907)&lt;&gt;SIGN(B3906),1,0)))</x:f>
        <x:v>0</x:v>
      </x:c>
      <x:c r="D3907" s="256" t="n">
        <x:f>EXP(A3907-0.005)-1</x:f>
        <x:v>57813.795533968005</x:v>
      </x:c>
    </x:row>
    <x:row r="3908" ht="20" customHeight="1">
      <x:c r="A3908" s="256" t="n">
        <x:f>-12+2298*0.01</x:f>
        <x:v>10.98</x:v>
      </x:c>
      <x:c r="B3908" s="256" t="n">
        <x:f>IF(COUNT($B$129:$L$129)=11,B$129*EXP(IF(A3908&lt;0,(10-0)*A3908,-0*A3908))+C$129*EXP(IF(A3908&lt;0,(10-1)*A3908,-1*A3908))+D$129*EXP(IF(A3908&lt;0,(10-2)*A3908,-2*A3908))+E$129*EXP(IF(A3908&lt;0,(10-3)*A3908,-3*A3908))+F$129*EXP(IF(A3908&lt;0,(10-4)*A3908,-4*A3908))+G$129*EXP(IF(A3908&lt;0,(10-5)*A3908,-5*A3908))+H$129*EXP(IF(A3908&lt;0,(10-6)*A3908,-6*A3908))+I$129*EXP(IF(A3908&lt;0,(10-7)*A3908,-7*A3908))+J$129*EXP(IF(A3908&lt;0,(10-8)*A3908,-8*A3908))+K$129*EXP(IF(A3908&lt;0,(10-9)*A3908,-9*A3908))+L$129*EXP(IF(A3908&lt;0,(10-10)*A3908,-10*A3908)),0)</x:f>
        <x:v>-190000.13892844834</x:v>
      </x:c>
      <x:c r="C3908" s="256" t="n">
        <x:f>IF(B3908=0,IF(B3907=0,0,1),IF(B3907=0,0,IF(SIGN(B3908)&lt;&gt;SIGN(B3907),1,0)))</x:f>
        <x:v>0</x:v>
      </x:c>
      <x:c r="D3908" s="256" t="n">
        <x:f>EXP(A3908-0.005)-1</x:f>
        <x:v>58394.84388902149</x:v>
      </x:c>
    </x:row>
    <x:row r="3909" ht="20" customHeight="1">
      <x:c r="A3909" s="256" t="n">
        <x:f>-12+2299*0.01</x:f>
        <x:v>10.990000000000002</x:v>
      </x:c>
      <x:c r="B3909" s="256" t="n">
        <x:f>IF(COUNT($B$129:$L$129)=11,B$129*EXP(IF(A3909&lt;0,(10-0)*A3909,-0*A3909))+C$129*EXP(IF(A3909&lt;0,(10-1)*A3909,-1*A3909))+D$129*EXP(IF(A3909&lt;0,(10-2)*A3909,-2*A3909))+E$129*EXP(IF(A3909&lt;0,(10-3)*A3909,-3*A3909))+F$129*EXP(IF(A3909&lt;0,(10-4)*A3909,-4*A3909))+G$129*EXP(IF(A3909&lt;0,(10-5)*A3909,-5*A3909))+H$129*EXP(IF(A3909&lt;0,(10-6)*A3909,-6*A3909))+I$129*EXP(IF(A3909&lt;0,(10-7)*A3909,-7*A3909))+J$129*EXP(IF(A3909&lt;0,(10-8)*A3909,-8*A3909))+K$129*EXP(IF(A3909&lt;0,(10-9)*A3909,-9*A3909))+L$129*EXP(IF(A3909&lt;0,(10-10)*A3909,-10*A3909)),0)</x:f>
        <x:v>-190000.1375460702</x:v>
      </x:c>
      <x:c r="C3909" s="256" t="n">
        <x:f>IF(B3909=0,IF(B3908=0,0,1),IF(B3908=0,0,IF(SIGN(B3909)&lt;&gt;SIGN(B3908),1,0)))</x:f>
        <x:v>0</x:v>
      </x:c>
      <x:c r="D3909" s="256" t="n">
        <x:f>EXP(A3909-0.005)-1</x:f>
        <x:v>58981.73187712724</x:v>
      </x:c>
    </x:row>
    <x:row r="3910" ht="20" customHeight="1">
      <x:c r="A3910" s="256" t="n">
        <x:f>-12+2300*0.01</x:f>
        <x:v>11</x:v>
      </x:c>
      <x:c r="B3910" s="256" t="n">
        <x:f>IF(COUNT($B$129:$L$129)=11,B$129*EXP(IF(A3910&lt;0,(10-0)*A3910,-0*A3910))+C$129*EXP(IF(A3910&lt;0,(10-1)*A3910,-1*A3910))+D$129*EXP(IF(A3910&lt;0,(10-2)*A3910,-2*A3910))+E$129*EXP(IF(A3910&lt;0,(10-3)*A3910,-3*A3910))+F$129*EXP(IF(A3910&lt;0,(10-4)*A3910,-4*A3910))+G$129*EXP(IF(A3910&lt;0,(10-5)*A3910,-5*A3910))+H$129*EXP(IF(A3910&lt;0,(10-6)*A3910,-6*A3910))+I$129*EXP(IF(A3910&lt;0,(10-7)*A3910,-7*A3910))+J$129*EXP(IF(A3910&lt;0,(10-8)*A3910,-8*A3910))+K$129*EXP(IF(A3910&lt;0,(10-9)*A3910,-9*A3910))+L$129*EXP(IF(A3910&lt;0,(10-10)*A3910,-10*A3910)),0)</x:f>
        <x:v>-190000.1361774473</x:v>
      </x:c>
      <x:c r="C3910" s="256" t="n">
        <x:f>IF(B3910=0,IF(B3909=0,0,1),IF(B3909=0,0,IF(SIGN(B3910)&lt;&gt;SIGN(B3909),1,0)))</x:f>
        <x:v>0</x:v>
      </x:c>
      <x:c r="D3910" s="256" t="n">
        <x:f>EXP(A3910-0.005)-1</x:f>
        <x:v>59574.51818757293</x:v>
      </x:c>
    </x:row>
    <x:row r="3911" ht="20" customHeight="1">
      <x:c r="A3911" s="256" t="n">
        <x:f>-12+2301*0.01</x:f>
        <x:v>11.010000000000002</x:v>
      </x:c>
      <x:c r="B3911" s="256" t="n">
        <x:f>IF(COUNT($B$129:$L$129)=11,B$129*EXP(IF(A3911&lt;0,(10-0)*A3911,-0*A3911))+C$129*EXP(IF(A3911&lt;0,(10-1)*A3911,-1*A3911))+D$129*EXP(IF(A3911&lt;0,(10-2)*A3911,-2*A3911))+E$129*EXP(IF(A3911&lt;0,(10-3)*A3911,-3*A3911))+F$129*EXP(IF(A3911&lt;0,(10-4)*A3911,-4*A3911))+G$129*EXP(IF(A3911&lt;0,(10-5)*A3911,-5*A3911))+H$129*EXP(IF(A3911&lt;0,(10-6)*A3911,-6*A3911))+I$129*EXP(IF(A3911&lt;0,(10-7)*A3911,-7*A3911))+J$129*EXP(IF(A3911&lt;0,(10-8)*A3911,-8*A3911))+K$129*EXP(IF(A3911&lt;0,(10-9)*A3911,-9*A3911))+L$129*EXP(IF(A3911&lt;0,(10-10)*A3911,-10*A3911)),0)</x:f>
        <x:v>-190000.13482244278</x:v>
      </x:c>
      <x:c r="C3911" s="256" t="n">
        <x:f>IF(B3911=0,IF(B3910=0,0,1),IF(B3910=0,0,IF(SIGN(B3911)&lt;&gt;SIGN(B3910),1,0)))</x:f>
        <x:v>0</x:v>
      </x:c>
      <x:c r="D3911" s="256" t="n">
        <x:f>EXP(A3911-0.005)-1</x:f>
        <x:v>60173.26209948403</x:v>
      </x:c>
    </x:row>
    <x:row r="3912" ht="20" customHeight="1">
      <x:c r="A3912" s="256" t="n">
        <x:f>-12+2302*0.01</x:f>
        <x:v>11.02</x:v>
      </x:c>
      <x:c r="B3912" s="256" t="n">
        <x:f>IF(COUNT($B$129:$L$129)=11,B$129*EXP(IF(A3912&lt;0,(10-0)*A3912,-0*A3912))+C$129*EXP(IF(A3912&lt;0,(10-1)*A3912,-1*A3912))+D$129*EXP(IF(A3912&lt;0,(10-2)*A3912,-2*A3912))+E$129*EXP(IF(A3912&lt;0,(10-3)*A3912,-3*A3912))+F$129*EXP(IF(A3912&lt;0,(10-4)*A3912,-4*A3912))+G$129*EXP(IF(A3912&lt;0,(10-5)*A3912,-5*A3912))+H$129*EXP(IF(A3912&lt;0,(10-6)*A3912,-6*A3912))+I$129*EXP(IF(A3912&lt;0,(10-7)*A3912,-7*A3912))+J$129*EXP(IF(A3912&lt;0,(10-8)*A3912,-8*A3912))+K$129*EXP(IF(A3912&lt;0,(10-9)*A3912,-9*A3912))+L$129*EXP(IF(A3912&lt;0,(10-10)*A3912,-10*A3912)),0)</x:f>
        <x:v>-190000.13348092107</x:v>
      </x:c>
      <x:c r="C3912" s="256" t="n">
        <x:f>IF(B3912=0,IF(B3911=0,0,1),IF(B3911=0,0,IF(SIGN(B3912)&lt;&gt;SIGN(B3911),1,0)))</x:f>
        <x:v>0</x:v>
      </x:c>
      <x:c r="D3912" s="256" t="n">
        <x:f>EXP(A3912-0.005)-1</x:f>
        <x:v>60778.023487750244</x:v>
      </x:c>
    </x:row>
    <x:row r="3913" ht="20" customHeight="1">
      <x:c r="A3913" s="256" t="n">
        <x:f>-12+2303*0.01</x:f>
        <x:v>11.030000000000001</x:v>
      </x:c>
      <x:c r="B3913" s="256" t="n">
        <x:f>IF(COUNT($B$129:$L$129)=11,B$129*EXP(IF(A3913&lt;0,(10-0)*A3913,-0*A3913))+C$129*EXP(IF(A3913&lt;0,(10-1)*A3913,-1*A3913))+D$129*EXP(IF(A3913&lt;0,(10-2)*A3913,-2*A3913))+E$129*EXP(IF(A3913&lt;0,(10-3)*A3913,-3*A3913))+F$129*EXP(IF(A3913&lt;0,(10-4)*A3913,-4*A3913))+G$129*EXP(IF(A3913&lt;0,(10-5)*A3913,-5*A3913))+H$129*EXP(IF(A3913&lt;0,(10-6)*A3913,-6*A3913))+I$129*EXP(IF(A3913&lt;0,(10-7)*A3913,-7*A3913))+J$129*EXP(IF(A3913&lt;0,(10-8)*A3913,-8*A3913))+K$129*EXP(IF(A3913&lt;0,(10-9)*A3913,-9*A3913))+L$129*EXP(IF(A3913&lt;0,(10-10)*A3913,-10*A3913)),0)</x:f>
        <x:v>-190000.13215274803</x:v>
      </x:c>
      <x:c r="C3913" s="256" t="n">
        <x:f>IF(B3913=0,IF(B3912=0,0,1),IF(B3912=0,0,IF(SIGN(B3913)&lt;&gt;SIGN(B3912),1,0)))</x:f>
        <x:v>0</x:v>
      </x:c>
      <x:c r="D3913" s="256" t="n">
        <x:f>EXP(A3913-0.005)-1</x:f>
        <x:v>61388.862829014804</x:v>
      </x:c>
    </x:row>
    <x:row r="3914" ht="20" customHeight="1">
      <x:c r="A3914" s="256" t="n">
        <x:f>-12+2304*0.01</x:f>
        <x:v>11.04</x:v>
      </x:c>
      <x:c r="B3914" s="256" t="n">
        <x:f>IF(COUNT($B$129:$L$129)=11,B$129*EXP(IF(A3914&lt;0,(10-0)*A3914,-0*A3914))+C$129*EXP(IF(A3914&lt;0,(10-1)*A3914,-1*A3914))+D$129*EXP(IF(A3914&lt;0,(10-2)*A3914,-2*A3914))+E$129*EXP(IF(A3914&lt;0,(10-3)*A3914,-3*A3914))+F$129*EXP(IF(A3914&lt;0,(10-4)*A3914,-4*A3914))+G$129*EXP(IF(A3914&lt;0,(10-5)*A3914,-5*A3914))+H$129*EXP(IF(A3914&lt;0,(10-6)*A3914,-6*A3914))+I$129*EXP(IF(A3914&lt;0,(10-7)*A3914,-7*A3914))+J$129*EXP(IF(A3914&lt;0,(10-8)*A3914,-8*A3914))+K$129*EXP(IF(A3914&lt;0,(10-9)*A3914,-9*A3914))+L$129*EXP(IF(A3914&lt;0,(10-10)*A3914,-10*A3914)),0)</x:f>
        <x:v>-190000.13083779087</x:v>
      </x:c>
      <x:c r="C3914" s="256" t="n">
        <x:f>IF(B3914=0,IF(B3913=0,0,1),IF(B3913=0,0,IF(SIGN(B3914)&lt;&gt;SIGN(B3913),1,0)))</x:f>
        <x:v>0</x:v>
      </x:c>
      <x:c r="D3914" s="256" t="n">
        <x:f>EXP(A3914-0.005)-1</x:f>
        <x:v>62005.84120772044</x:v>
      </x:c>
    </x:row>
    <x:row r="3915" ht="20" customHeight="1">
      <x:c r="A3915" s="256" t="n">
        <x:f>-12+2305*0.01</x:f>
        <x:v>11.05</x:v>
      </x:c>
      <x:c r="B3915" s="256" t="n">
        <x:f>IF(COUNT($B$129:$L$129)=11,B$129*EXP(IF(A3915&lt;0,(10-0)*A3915,-0*A3915))+C$129*EXP(IF(A3915&lt;0,(10-1)*A3915,-1*A3915))+D$129*EXP(IF(A3915&lt;0,(10-2)*A3915,-2*A3915))+E$129*EXP(IF(A3915&lt;0,(10-3)*A3915,-3*A3915))+F$129*EXP(IF(A3915&lt;0,(10-4)*A3915,-4*A3915))+G$129*EXP(IF(A3915&lt;0,(10-5)*A3915,-5*A3915))+H$129*EXP(IF(A3915&lt;0,(10-6)*A3915,-6*A3915))+I$129*EXP(IF(A3915&lt;0,(10-7)*A3915,-7*A3915))+J$129*EXP(IF(A3915&lt;0,(10-8)*A3915,-8*A3915))+K$129*EXP(IF(A3915&lt;0,(10-9)*A3915,-9*A3915))+L$129*EXP(IF(A3915&lt;0,(10-10)*A3915,-10*A3915)),0)</x:f>
        <x:v>-190000.129535918</x:v>
      </x:c>
      <x:c r="C3915" s="256" t="n">
        <x:f>IF(B3915=0,IF(B3914=0,0,1),IF(B3914=0,0,IF(SIGN(B3915)&lt;&gt;SIGN(B3914),1,0)))</x:f>
        <x:v>0</x:v>
      </x:c>
      <x:c r="D3915" s="256" t="n">
        <x:f>EXP(A3915-0.005)-1</x:f>
        <x:v>62629.02032221961</x:v>
      </x:c>
    </x:row>
    <x:row r="3916" ht="20" customHeight="1">
      <x:c r="A3916" s="256" t="n">
        <x:f>-12+2306*0.01</x:f>
        <x:v>11.059999999999999</x:v>
      </x:c>
      <x:c r="B3916" s="256" t="n">
        <x:f>IF(COUNT($B$129:$L$129)=11,B$129*EXP(IF(A3916&lt;0,(10-0)*A3916,-0*A3916))+C$129*EXP(IF(A3916&lt;0,(10-1)*A3916,-1*A3916))+D$129*EXP(IF(A3916&lt;0,(10-2)*A3916,-2*A3916))+E$129*EXP(IF(A3916&lt;0,(10-3)*A3916,-3*A3916))+F$129*EXP(IF(A3916&lt;0,(10-4)*A3916,-4*A3916))+G$129*EXP(IF(A3916&lt;0,(10-5)*A3916,-5*A3916))+H$129*EXP(IF(A3916&lt;0,(10-6)*A3916,-6*A3916))+I$129*EXP(IF(A3916&lt;0,(10-7)*A3916,-7*A3916))+J$129*EXP(IF(A3916&lt;0,(10-8)*A3916,-8*A3916))+K$129*EXP(IF(A3916&lt;0,(10-9)*A3916,-9*A3916))+L$129*EXP(IF(A3916&lt;0,(10-10)*A3916,-10*A3916)),0)</x:f>
        <x:v>-190000.12824699935</x:v>
      </x:c>
      <x:c r="C3916" s="256" t="n">
        <x:f>IF(B3916=0,IF(B3915=0,0,1),IF(B3915=0,0,IF(SIGN(B3916)&lt;&gt;SIGN(B3915),1,0)))</x:f>
        <x:v>0</x:v>
      </x:c>
      <x:c r="D3916" s="256" t="n">
        <x:f>EXP(A3916-0.005)-1</x:f>
        <x:v>63258.46249094263</x:v>
      </x:c>
    </x:row>
    <x:row r="3917" ht="20" customHeight="1">
      <x:c r="A3917" s="256" t="n">
        <x:f>-12+2307*0.01</x:f>
        <x:v>11.07</x:v>
      </x:c>
      <x:c r="B3917" s="256" t="n">
        <x:f>IF(COUNT($B$129:$L$129)=11,B$129*EXP(IF(A3917&lt;0,(10-0)*A3917,-0*A3917))+C$129*EXP(IF(A3917&lt;0,(10-1)*A3917,-1*A3917))+D$129*EXP(IF(A3917&lt;0,(10-2)*A3917,-2*A3917))+E$129*EXP(IF(A3917&lt;0,(10-3)*A3917,-3*A3917))+F$129*EXP(IF(A3917&lt;0,(10-4)*A3917,-4*A3917))+G$129*EXP(IF(A3917&lt;0,(10-5)*A3917,-5*A3917))+H$129*EXP(IF(A3917&lt;0,(10-6)*A3917,-6*A3917))+I$129*EXP(IF(A3917&lt;0,(10-7)*A3917,-7*A3917))+J$129*EXP(IF(A3917&lt;0,(10-8)*A3917,-8*A3917))+K$129*EXP(IF(A3917&lt;0,(10-9)*A3917,-9*A3917))+L$129*EXP(IF(A3917&lt;0,(10-10)*A3917,-10*A3917)),0)</x:f>
        <x:v>-190000.12697090593</x:v>
      </x:c>
      <x:c r="C3917" s="256" t="n">
        <x:f>IF(B3917=0,IF(B3916=0,0,1),IF(B3916=0,0,IF(SIGN(B3917)&lt;&gt;SIGN(B3916),1,0)))</x:f>
        <x:v>0</x:v>
      </x:c>
      <x:c r="D3917" s="256" t="n">
        <x:f>EXP(A3917-0.005)-1</x:f>
        <x:v>63894.230658631364</x:v>
      </x:c>
    </x:row>
    <x:row r="3918" ht="20" customHeight="1">
      <x:c r="A3918" s="256" t="n">
        <x:f>-12+2308*0.01</x:f>
        <x:v>11.080000000000002</x:v>
      </x:c>
      <x:c r="B3918" s="256" t="n">
        <x:f>IF(COUNT($B$129:$L$129)=11,B$129*EXP(IF(A3918&lt;0,(10-0)*A3918,-0*A3918))+C$129*EXP(IF(A3918&lt;0,(10-1)*A3918,-1*A3918))+D$129*EXP(IF(A3918&lt;0,(10-2)*A3918,-2*A3918))+E$129*EXP(IF(A3918&lt;0,(10-3)*A3918,-3*A3918))+F$129*EXP(IF(A3918&lt;0,(10-4)*A3918,-4*A3918))+G$129*EXP(IF(A3918&lt;0,(10-5)*A3918,-5*A3918))+H$129*EXP(IF(A3918&lt;0,(10-6)*A3918,-6*A3918))+I$129*EXP(IF(A3918&lt;0,(10-7)*A3918,-7*A3918))+J$129*EXP(IF(A3918&lt;0,(10-8)*A3918,-8*A3918))+K$129*EXP(IF(A3918&lt;0,(10-9)*A3918,-9*A3918))+L$129*EXP(IF(A3918&lt;0,(10-10)*A3918,-10*A3918)),0)</x:f>
        <x:v>-190000.12570751013</x:v>
      </x:c>
      <x:c r="C3918" s="256" t="n">
        <x:f>IF(B3918=0,IF(B3917=0,0,1),IF(B3917=0,0,IF(SIGN(B3918)&lt;&gt;SIGN(B3917),1,0)))</x:f>
        <x:v>0</x:v>
      </x:c>
      <x:c r="D3918" s="256" t="n">
        <x:f>EXP(A3918-0.005)-1</x:f>
        <x:v>64536.38840263217</x:v>
      </x:c>
    </x:row>
    <x:row r="3919" ht="20" customHeight="1">
      <x:c r="A3919" s="256" t="n">
        <x:f>-12+2309*0.01</x:f>
        <x:v>11.09</x:v>
      </x:c>
      <x:c r="B3919" s="256" t="n">
        <x:f>IF(COUNT($B$129:$L$129)=11,B$129*EXP(IF(A3919&lt;0,(10-0)*A3919,-0*A3919))+C$129*EXP(IF(A3919&lt;0,(10-1)*A3919,-1*A3919))+D$129*EXP(IF(A3919&lt;0,(10-2)*A3919,-2*A3919))+E$129*EXP(IF(A3919&lt;0,(10-3)*A3919,-3*A3919))+F$129*EXP(IF(A3919&lt;0,(10-4)*A3919,-4*A3919))+G$129*EXP(IF(A3919&lt;0,(10-5)*A3919,-5*A3919))+H$129*EXP(IF(A3919&lt;0,(10-6)*A3919,-6*A3919))+I$129*EXP(IF(A3919&lt;0,(10-7)*A3919,-7*A3919))+J$129*EXP(IF(A3919&lt;0,(10-8)*A3919,-8*A3919))+K$129*EXP(IF(A3919&lt;0,(10-9)*A3919,-9*A3919))+L$129*EXP(IF(A3919&lt;0,(10-10)*A3919,-10*A3919)),0)</x:f>
        <x:v>-190000.12445668562</x:v>
      </x:c>
      <x:c r="C3919" s="256" t="n">
        <x:f>IF(B3919=0,IF(B3918=0,0,1),IF(B3918=0,0,IF(SIGN(B3919)&lt;&gt;SIGN(B3918),1,0)))</x:f>
        <x:v>0</x:v>
      </x:c>
      <x:c r="D3919" s="256" t="n">
        <x:f>EXP(A3919-0.005)-1</x:f>
        <x:v>65184.99993925434</x:v>
      </x:c>
    </x:row>
    <x:row r="3920" ht="20" customHeight="1">
      <x:c r="A3920" s="256" t="n">
        <x:f>-12+2310*0.01</x:f>
        <x:v>11.100000000000001</x:v>
      </x:c>
      <x:c r="B3920" s="256" t="n">
        <x:f>IF(COUNT($B$129:$L$129)=11,B$129*EXP(IF(A3920&lt;0,(10-0)*A3920,-0*A3920))+C$129*EXP(IF(A3920&lt;0,(10-1)*A3920,-1*A3920))+D$129*EXP(IF(A3920&lt;0,(10-2)*A3920,-2*A3920))+E$129*EXP(IF(A3920&lt;0,(10-3)*A3920,-3*A3920))+F$129*EXP(IF(A3920&lt;0,(10-4)*A3920,-4*A3920))+G$129*EXP(IF(A3920&lt;0,(10-5)*A3920,-5*A3920))+H$129*EXP(IF(A3920&lt;0,(10-6)*A3920,-6*A3920))+I$129*EXP(IF(A3920&lt;0,(10-7)*A3920,-7*A3920))+J$129*EXP(IF(A3920&lt;0,(10-8)*A3920,-8*A3920))+K$129*EXP(IF(A3920&lt;0,(10-9)*A3920,-9*A3920))+L$129*EXP(IF(A3920&lt;0,(10-10)*A3920,-10*A3920)),0)</x:f>
        <x:v>-190000.12321830727</x:v>
      </x:c>
      <x:c r="C3920" s="256" t="n">
        <x:f>IF(B3920=0,IF(B3919=0,0,1),IF(B3919=0,0,IF(SIGN(B3920)&lt;&gt;SIGN(B3919),1,0)))</x:f>
        <x:v>0</x:v>
      </x:c>
      <x:c r="D3920" s="256" t="n">
        <x:f>EXP(A3920-0.005)-1</x:f>
        <x:v>65840.13013019251</x:v>
      </x:c>
    </x:row>
    <x:row r="3921" ht="20" customHeight="1">
      <x:c r="A3921" s="256" t="n">
        <x:f>-12+2311*0.01</x:f>
        <x:v>11.11</x:v>
      </x:c>
      <x:c r="B3921" s="256" t="n">
        <x:f>IF(COUNT($B$129:$L$129)=11,B$129*EXP(IF(A3921&lt;0,(10-0)*A3921,-0*A3921))+C$129*EXP(IF(A3921&lt;0,(10-1)*A3921,-1*A3921))+D$129*EXP(IF(A3921&lt;0,(10-2)*A3921,-2*A3921))+E$129*EXP(IF(A3921&lt;0,(10-3)*A3921,-3*A3921))+F$129*EXP(IF(A3921&lt;0,(10-4)*A3921,-4*A3921))+G$129*EXP(IF(A3921&lt;0,(10-5)*A3921,-5*A3921))+H$129*EXP(IF(A3921&lt;0,(10-6)*A3921,-6*A3921))+I$129*EXP(IF(A3921&lt;0,(10-7)*A3921,-7*A3921))+J$129*EXP(IF(A3921&lt;0,(10-8)*A3921,-8*A3921))+K$129*EXP(IF(A3921&lt;0,(10-9)*A3921,-9*A3921))+L$129*EXP(IF(A3921&lt;0,(10-10)*A3921,-10*A3921)),0)</x:f>
        <x:v>-190000.12199225128</x:v>
      </x:c>
      <x:c r="C3921" s="256" t="n">
        <x:f>IF(B3921=0,IF(B3920=0,0,1),IF(B3920=0,0,IF(SIGN(B3921)&lt;&gt;SIGN(B3920),1,0)))</x:f>
        <x:v>0</x:v>
      </x:c>
      <x:c r="D3921" s="256" t="n">
        <x:f>EXP(A3921-0.005)-1</x:f>
        <x:v>66501.84448901127</x:v>
      </x:c>
    </x:row>
    <x:row r="3922" ht="20" customHeight="1">
      <x:c r="A3922" s="256" t="n">
        <x:f>-12+2312*0.01</x:f>
        <x:v>11.120000000000001</x:v>
      </x:c>
      <x:c r="B3922" s="256" t="n">
        <x:f>IF(COUNT($B$129:$L$129)=11,B$129*EXP(IF(A3922&lt;0,(10-0)*A3922,-0*A3922))+C$129*EXP(IF(A3922&lt;0,(10-1)*A3922,-1*A3922))+D$129*EXP(IF(A3922&lt;0,(10-2)*A3922,-2*A3922))+E$129*EXP(IF(A3922&lt;0,(10-3)*A3922,-3*A3922))+F$129*EXP(IF(A3922&lt;0,(10-4)*A3922,-4*A3922))+G$129*EXP(IF(A3922&lt;0,(10-5)*A3922,-5*A3922))+H$129*EXP(IF(A3922&lt;0,(10-6)*A3922,-6*A3922))+I$129*EXP(IF(A3922&lt;0,(10-7)*A3922,-7*A3922))+J$129*EXP(IF(A3922&lt;0,(10-8)*A3922,-8*A3922))+K$129*EXP(IF(A3922&lt;0,(10-9)*A3922,-9*A3922))+L$129*EXP(IF(A3922&lt;0,(10-10)*A3922,-10*A3922)),0)</x:f>
        <x:v>-190000.12077839504</x:v>
      </x:c>
      <x:c r="C3922" s="256" t="n">
        <x:f>IF(B3922=0,IF(B3921=0,0,1),IF(B3921=0,0,IF(SIGN(B3922)&lt;&gt;SIGN(B3921),1,0)))</x:f>
        <x:v>0</x:v>
      </x:c>
      <x:c r="D3922" s="256" t="n">
        <x:f>EXP(A3922-0.005)-1</x:f>
        <x:v>67170.20918769839</x:v>
      </x:c>
    </x:row>
    <x:row r="3923" ht="20" customHeight="1">
      <x:c r="A3923" s="256" t="n">
        <x:f>-12+2313*0.01</x:f>
        <x:v>11.129999999999999</x:v>
      </x:c>
      <x:c r="B3923" s="256" t="n">
        <x:f>IF(COUNT($B$129:$L$129)=11,B$129*EXP(IF(A3923&lt;0,(10-0)*A3923,-0*A3923))+C$129*EXP(IF(A3923&lt;0,(10-1)*A3923,-1*A3923))+D$129*EXP(IF(A3923&lt;0,(10-2)*A3923,-2*A3923))+E$129*EXP(IF(A3923&lt;0,(10-3)*A3923,-3*A3923))+F$129*EXP(IF(A3923&lt;0,(10-4)*A3923,-4*A3923))+G$129*EXP(IF(A3923&lt;0,(10-5)*A3923,-5*A3923))+H$129*EXP(IF(A3923&lt;0,(10-6)*A3923,-6*A3923))+I$129*EXP(IF(A3923&lt;0,(10-7)*A3923,-7*A3923))+J$129*EXP(IF(A3923&lt;0,(10-8)*A3923,-8*A3923))+K$129*EXP(IF(A3923&lt;0,(10-9)*A3923,-9*A3923))+L$129*EXP(IF(A3923&lt;0,(10-10)*A3923,-10*A3923)),0)</x:f>
        <x:v>-190000.1195766171</x:v>
      </x:c>
      <x:c r="C3923" s="256" t="n">
        <x:f>IF(B3923=0,IF(B3922=0,0,1),IF(B3922=0,0,IF(SIGN(B3923)&lt;&gt;SIGN(B3922),1,0)))</x:f>
        <x:v>0</x:v>
      </x:c>
      <x:c r="D3923" s="256" t="n">
        <x:f>EXP(A3923-0.005)-1</x:f>
        <x:v>67845.29106328022</x:v>
      </x:c>
    </x:row>
    <x:row r="3924" ht="20" customHeight="1">
      <x:c r="A3924" s="256" t="n">
        <x:f>-12+2314*0.01</x:f>
        <x:v>11.14</x:v>
      </x:c>
      <x:c r="B3924" s="256" t="n">
        <x:f>IF(COUNT($B$129:$L$129)=11,B$129*EXP(IF(A3924&lt;0,(10-0)*A3924,-0*A3924))+C$129*EXP(IF(A3924&lt;0,(10-1)*A3924,-1*A3924))+D$129*EXP(IF(A3924&lt;0,(10-2)*A3924,-2*A3924))+E$129*EXP(IF(A3924&lt;0,(10-3)*A3924,-3*A3924))+F$129*EXP(IF(A3924&lt;0,(10-4)*A3924,-4*A3924))+G$129*EXP(IF(A3924&lt;0,(10-5)*A3924,-5*A3924))+H$129*EXP(IF(A3924&lt;0,(10-6)*A3924,-6*A3924))+I$129*EXP(IF(A3924&lt;0,(10-7)*A3924,-7*A3924))+J$129*EXP(IF(A3924&lt;0,(10-8)*A3924,-8*A3924))+K$129*EXP(IF(A3924&lt;0,(10-9)*A3924,-9*A3924))+L$129*EXP(IF(A3924&lt;0,(10-10)*A3924,-10*A3924)),0)</x:f>
        <x:v>-190000.1183867973</x:v>
      </x:c>
      <x:c r="C3924" s="256" t="n">
        <x:f>IF(B3924=0,IF(B3923=0,0,1),IF(B3923=0,0,IF(SIGN(B3924)&lt;&gt;SIGN(B3923),1,0)))</x:f>
        <x:v>0</x:v>
      </x:c>
      <x:c r="D3924" s="256" t="n">
        <x:f>EXP(A3924-0.005)-1</x:f>
        <x:v>68527.1576245074</x:v>
      </x:c>
    </x:row>
    <x:row r="3925" ht="20" customHeight="1">
      <x:c r="A3925" s="256" t="n">
        <x:f>-12+2315*0.01</x:f>
        <x:v>11.150000000000002</x:v>
      </x:c>
      <x:c r="B3925" s="256" t="n">
        <x:f>IF(COUNT($B$129:$L$129)=11,B$129*EXP(IF(A3925&lt;0,(10-0)*A3925,-0*A3925))+C$129*EXP(IF(A3925&lt;0,(10-1)*A3925,-1*A3925))+D$129*EXP(IF(A3925&lt;0,(10-2)*A3925,-2*A3925))+E$129*EXP(IF(A3925&lt;0,(10-3)*A3925,-3*A3925))+F$129*EXP(IF(A3925&lt;0,(10-4)*A3925,-4*A3925))+G$129*EXP(IF(A3925&lt;0,(10-5)*A3925,-5*A3925))+H$129*EXP(IF(A3925&lt;0,(10-6)*A3925,-6*A3925))+I$129*EXP(IF(A3925&lt;0,(10-7)*A3925,-7*A3925))+J$129*EXP(IF(A3925&lt;0,(10-8)*A3925,-8*A3925))+K$129*EXP(IF(A3925&lt;0,(10-9)*A3925,-9*A3925))+L$129*EXP(IF(A3925&lt;0,(10-10)*A3925,-10*A3925)),0)</x:f>
        <x:v>-190000.11720881666</x:v>
      </x:c>
      <x:c r="C3925" s="256" t="n">
        <x:f>IF(B3925=0,IF(B3924=0,0,1),IF(B3924=0,0,IF(SIGN(B3925)&lt;&gt;SIGN(B3924),1,0)))</x:f>
        <x:v>0</x:v>
      </x:c>
      <x:c r="D3925" s="256" t="n">
        <x:f>EXP(A3925-0.005)-1</x:f>
        <x:v>69215.877058604</x:v>
      </x:c>
    </x:row>
    <x:row r="3926" ht="20" customHeight="1">
      <x:c r="A3926" s="256" t="n">
        <x:f>-12+2316*0.01</x:f>
        <x:v>11.16</x:v>
      </x:c>
      <x:c r="B3926" s="256" t="n">
        <x:f>IF(COUNT($B$129:$L$129)=11,B$129*EXP(IF(A3926&lt;0,(10-0)*A3926,-0*A3926))+C$129*EXP(IF(A3926&lt;0,(10-1)*A3926,-1*A3926))+D$129*EXP(IF(A3926&lt;0,(10-2)*A3926,-2*A3926))+E$129*EXP(IF(A3926&lt;0,(10-3)*A3926,-3*A3926))+F$129*EXP(IF(A3926&lt;0,(10-4)*A3926,-4*A3926))+G$129*EXP(IF(A3926&lt;0,(10-5)*A3926,-5*A3926))+H$129*EXP(IF(A3926&lt;0,(10-6)*A3926,-6*A3926))+I$129*EXP(IF(A3926&lt;0,(10-7)*A3926,-7*A3926))+J$129*EXP(IF(A3926&lt;0,(10-8)*A3926,-8*A3926))+K$129*EXP(IF(A3926&lt;0,(10-9)*A3926,-9*A3926))+L$129*EXP(IF(A3926&lt;0,(10-10)*A3926,-10*A3926)),0)</x:f>
        <x:v>-190000.11604255735</x:v>
      </x:c>
      <x:c r="C3926" s="256" t="n">
        <x:f>IF(B3926=0,IF(B3925=0,0,1),IF(B3925=0,0,IF(SIGN(B3926)&lt;&gt;SIGN(B3925),1,0)))</x:f>
        <x:v>0</x:v>
      </x:c>
      <x:c r="D3926" s="256" t="n">
        <x:f>EXP(A3926-0.005)-1</x:f>
        <x:v>69911.51823808716</x:v>
      </x:c>
    </x:row>
    <x:row r="3927" ht="20" customHeight="1">
      <x:c r="A3927" s="256" t="n">
        <x:f>-12+2317*0.01</x:f>
        <x:v>11.170000000000002</x:v>
      </x:c>
      <x:c r="B3927" s="256" t="n">
        <x:f>IF(COUNT($B$129:$L$129)=11,B$129*EXP(IF(A3927&lt;0,(10-0)*A3927,-0*A3927))+C$129*EXP(IF(A3927&lt;0,(10-1)*A3927,-1*A3927))+D$129*EXP(IF(A3927&lt;0,(10-2)*A3927,-2*A3927))+E$129*EXP(IF(A3927&lt;0,(10-3)*A3927,-3*A3927))+F$129*EXP(IF(A3927&lt;0,(10-4)*A3927,-4*A3927))+G$129*EXP(IF(A3927&lt;0,(10-5)*A3927,-5*A3927))+H$129*EXP(IF(A3927&lt;0,(10-6)*A3927,-6*A3927))+I$129*EXP(IF(A3927&lt;0,(10-7)*A3927,-7*A3927))+J$129*EXP(IF(A3927&lt;0,(10-8)*A3927,-8*A3927))+K$129*EXP(IF(A3927&lt;0,(10-9)*A3927,-9*A3927))+L$129*EXP(IF(A3927&lt;0,(10-10)*A3927,-10*A3927)),0)</x:f>
        <x:v>-190000.1148879028</x:v>
      </x:c>
      <x:c r="C3927" s="256" t="n">
        <x:f>IF(B3927=0,IF(B3926=0,0,1),IF(B3926=0,0,IF(SIGN(B3927)&lt;&gt;SIGN(B3926),1,0)))</x:f>
        <x:v>0</x:v>
      </x:c>
      <x:c r="D3927" s="256" t="n">
        <x:f>EXP(A3927-0.005)-1</x:f>
        <x:v>70614.15072765498</x:v>
      </x:c>
    </x:row>
    <x:row r="3928" ht="20" customHeight="1">
      <x:c r="A3928" s="256" t="n">
        <x:f>-12+2318*0.01</x:f>
        <x:v>11.18</x:v>
      </x:c>
      <x:c r="B3928" s="256" t="n">
        <x:f>IF(COUNT($B$129:$L$129)=11,B$129*EXP(IF(A3928&lt;0,(10-0)*A3928,-0*A3928))+C$129*EXP(IF(A3928&lt;0,(10-1)*A3928,-1*A3928))+D$129*EXP(IF(A3928&lt;0,(10-2)*A3928,-2*A3928))+E$129*EXP(IF(A3928&lt;0,(10-3)*A3928,-3*A3928))+F$129*EXP(IF(A3928&lt;0,(10-4)*A3928,-4*A3928))+G$129*EXP(IF(A3928&lt;0,(10-5)*A3928,-5*A3928))+H$129*EXP(IF(A3928&lt;0,(10-6)*A3928,-6*A3928))+I$129*EXP(IF(A3928&lt;0,(10-7)*A3928,-7*A3928))+J$129*EXP(IF(A3928&lt;0,(10-8)*A3928,-8*A3928))+K$129*EXP(IF(A3928&lt;0,(10-9)*A3928,-9*A3928))+L$129*EXP(IF(A3928&lt;0,(10-10)*A3928,-10*A3928)),0)</x:f>
        <x:v>-190000.11374473743</x:v>
      </x:c>
      <x:c r="C3928" s="256" t="n">
        <x:f>IF(B3928=0,IF(B3927=0,0,1),IF(B3927=0,0,IF(SIGN(B3928)&lt;&gt;SIGN(B3927),1,0)))</x:f>
        <x:v>0</x:v>
      </x:c>
      <x:c r="D3928" s="256" t="n">
        <x:f>EXP(A3928-0.005)-1</x:f>
        <x:v>71323.84479114148</x:v>
      </x:c>
    </x:row>
    <x:row r="3929" ht="20" customHeight="1">
      <x:c r="A3929" s="256" t="n">
        <x:f>-12+2319*0.01</x:f>
        <x:v>11.190000000000001</x:v>
      </x:c>
      <x:c r="B3929" s="256" t="n">
        <x:f>IF(COUNT($B$129:$L$129)=11,B$129*EXP(IF(A3929&lt;0,(10-0)*A3929,-0*A3929))+C$129*EXP(IF(A3929&lt;0,(10-1)*A3929,-1*A3929))+D$129*EXP(IF(A3929&lt;0,(10-2)*A3929,-2*A3929))+E$129*EXP(IF(A3929&lt;0,(10-3)*A3929,-3*A3929))+F$129*EXP(IF(A3929&lt;0,(10-4)*A3929,-4*A3929))+G$129*EXP(IF(A3929&lt;0,(10-5)*A3929,-5*A3929))+H$129*EXP(IF(A3929&lt;0,(10-6)*A3929,-6*A3929))+I$129*EXP(IF(A3929&lt;0,(10-7)*A3929,-7*A3929))+J$129*EXP(IF(A3929&lt;0,(10-8)*A3929,-8*A3929))+K$129*EXP(IF(A3929&lt;0,(10-9)*A3929,-9*A3929))+L$129*EXP(IF(A3929&lt;0,(10-10)*A3929,-10*A3929)),0)</x:f>
        <x:v>-190000.11261294704</x:v>
      </x:c>
      <x:c r="C3929" s="256" t="n">
        <x:f>IF(B3929=0,IF(B3928=0,0,1),IF(B3928=0,0,IF(SIGN(B3929)&lt;&gt;SIGN(B3928),1,0)))</x:f>
        <x:v>0</x:v>
      </x:c>
      <x:c r="D3929" s="256" t="n">
        <x:f>EXP(A3929-0.005)-1</x:f>
        <x:v>72040.67139854493</x:v>
      </x:c>
    </x:row>
    <x:row r="3930" ht="20" customHeight="1">
      <x:c r="A3930" s="256" t="n">
        <x:f>-12+2320*0.01</x:f>
        <x:v>11.2</x:v>
      </x:c>
      <x:c r="B3930" s="256" t="n">
        <x:f>IF(COUNT($B$129:$L$129)=11,B$129*EXP(IF(A3930&lt;0,(10-0)*A3930,-0*A3930))+C$129*EXP(IF(A3930&lt;0,(10-1)*A3930,-1*A3930))+D$129*EXP(IF(A3930&lt;0,(10-2)*A3930,-2*A3930))+E$129*EXP(IF(A3930&lt;0,(10-3)*A3930,-3*A3930))+F$129*EXP(IF(A3930&lt;0,(10-4)*A3930,-4*A3930))+G$129*EXP(IF(A3930&lt;0,(10-5)*A3930,-5*A3930))+H$129*EXP(IF(A3930&lt;0,(10-6)*A3930,-6*A3930))+I$129*EXP(IF(A3930&lt;0,(10-7)*A3930,-7*A3930))+J$129*EXP(IF(A3930&lt;0,(10-8)*A3930,-8*A3930))+K$129*EXP(IF(A3930&lt;0,(10-9)*A3930,-9*A3930))+L$129*EXP(IF(A3930&lt;0,(10-10)*A3930,-10*A3930)),0)</x:f>
        <x:v>-190000.1114924183</x:v>
      </x:c>
      <x:c r="C3930" s="256" t="n">
        <x:f>IF(B3930=0,IF(B3929=0,0,1),IF(B3929=0,0,IF(SIGN(B3930)&lt;&gt;SIGN(B3929),1,0)))</x:f>
        <x:v>0</x:v>
      </x:c>
      <x:c r="D3930" s="256" t="n">
        <x:f>EXP(A3930-0.005)-1</x:f>
        <x:v>72764.7022331229</x:v>
      </x:c>
    </x:row>
    <x:row r="3931" ht="20" customHeight="1">
      <x:c r="A3931" s="256" t="n">
        <x:f>-12+2321*0.01</x:f>
        <x:v>11.21</x:v>
      </x:c>
      <x:c r="B3931" s="256" t="n">
        <x:f>IF(COUNT($B$129:$L$129)=11,B$129*EXP(IF(A3931&lt;0,(10-0)*A3931,-0*A3931))+C$129*EXP(IF(A3931&lt;0,(10-1)*A3931,-1*A3931))+D$129*EXP(IF(A3931&lt;0,(10-2)*A3931,-2*A3931))+E$129*EXP(IF(A3931&lt;0,(10-3)*A3931,-3*A3931))+F$129*EXP(IF(A3931&lt;0,(10-4)*A3931,-4*A3931))+G$129*EXP(IF(A3931&lt;0,(10-5)*A3931,-5*A3931))+H$129*EXP(IF(A3931&lt;0,(10-6)*A3931,-6*A3931))+I$129*EXP(IF(A3931&lt;0,(10-7)*A3931,-7*A3931))+J$129*EXP(IF(A3931&lt;0,(10-8)*A3931,-8*A3931))+K$129*EXP(IF(A3931&lt;0,(10-9)*A3931,-9*A3931))+L$129*EXP(IF(A3931&lt;0,(10-10)*A3931,-10*A3931)),0)</x:f>
        <x:v>-190000.1103830393</x:v>
      </x:c>
      <x:c r="C3931" s="256" t="n">
        <x:f>IF(B3931=0,IF(B3930=0,0,1),IF(B3930=0,0,IF(SIGN(B3931)&lt;&gt;SIGN(B3930),1,0)))</x:f>
        <x:v>0</x:v>
      </x:c>
      <x:c r="D3931" s="256" t="n">
        <x:f>EXP(A3931-0.005)-1</x:f>
        <x:v>73496.00969856272</x:v>
      </x:c>
    </x:row>
    <x:row r="3932" ht="20" customHeight="1">
      <x:c r="A3932" s="256" t="n">
        <x:f>-12+2322*0.01</x:f>
        <x:v>11.219999999999999</x:v>
      </x:c>
      <x:c r="B3932" s="256" t="n">
        <x:f>IF(COUNT($B$129:$L$129)=11,B$129*EXP(IF(A3932&lt;0,(10-0)*A3932,-0*A3932))+C$129*EXP(IF(A3932&lt;0,(10-1)*A3932,-1*A3932))+D$129*EXP(IF(A3932&lt;0,(10-2)*A3932,-2*A3932))+E$129*EXP(IF(A3932&lt;0,(10-3)*A3932,-3*A3932))+F$129*EXP(IF(A3932&lt;0,(10-4)*A3932,-4*A3932))+G$129*EXP(IF(A3932&lt;0,(10-5)*A3932,-5*A3932))+H$129*EXP(IF(A3932&lt;0,(10-6)*A3932,-6*A3932))+I$129*EXP(IF(A3932&lt;0,(10-7)*A3932,-7*A3932))+J$129*EXP(IF(A3932&lt;0,(10-8)*A3932,-8*A3932))+K$129*EXP(IF(A3932&lt;0,(10-9)*A3932,-9*A3932))+L$129*EXP(IF(A3932&lt;0,(10-10)*A3932,-10*A3932)),0)</x:f>
        <x:v>-190000.109284699</x:v>
      </x:c>
      <x:c r="C3932" s="256" t="n">
        <x:f>IF(B3932=0,IF(B3931=0,0,1),IF(B3931=0,0,IF(SIGN(B3932)&lt;&gt;SIGN(B3931),1,0)))</x:f>
        <x:v>0</x:v>
      </x:c>
      <x:c r="D3932" s="256" t="n">
        <x:f>EXP(A3932-0.005)-1</x:f>
        <x:v>74234.66692621984</x:v>
      </x:c>
    </x:row>
    <x:row r="3933" ht="20" customHeight="1">
      <x:c r="A3933" s="256" t="n">
        <x:f>-12+2323*0.01</x:f>
        <x:v>11.23</x:v>
      </x:c>
      <x:c r="B3933" s="256" t="n">
        <x:f>IF(COUNT($B$129:$L$129)=11,B$129*EXP(IF(A3933&lt;0,(10-0)*A3933,-0*A3933))+C$129*EXP(IF(A3933&lt;0,(10-1)*A3933,-1*A3933))+D$129*EXP(IF(A3933&lt;0,(10-2)*A3933,-2*A3933))+E$129*EXP(IF(A3933&lt;0,(10-3)*A3933,-3*A3933))+F$129*EXP(IF(A3933&lt;0,(10-4)*A3933,-4*A3933))+G$129*EXP(IF(A3933&lt;0,(10-5)*A3933,-5*A3933))+H$129*EXP(IF(A3933&lt;0,(10-6)*A3933,-6*A3933))+I$129*EXP(IF(A3933&lt;0,(10-7)*A3933,-7*A3933))+J$129*EXP(IF(A3933&lt;0,(10-8)*A3933,-8*A3933))+K$129*EXP(IF(A3933&lt;0,(10-9)*A3933,-9*A3933))+L$129*EXP(IF(A3933&lt;0,(10-10)*A3933,-10*A3933)),0)</x:f>
        <x:v>-190000.10819728757</x:v>
      </x:c>
      <x:c r="C3933" s="256" t="n">
        <x:f>IF(B3933=0,IF(B3932=0,0,1),IF(B3932=0,0,IF(SIGN(B3933)&lt;&gt;SIGN(B3932),1,0)))</x:f>
        <x:v>0</x:v>
      </x:c>
      <x:c r="D3933" s="256" t="n">
        <x:f>EXP(A3933-0.005)-1</x:f>
        <x:v>74980.74778243311</x:v>
      </x:c>
    </x:row>
    <x:row r="3934" ht="20" customHeight="1">
      <x:c r="A3934" s="256" t="n">
        <x:f>-12+2324*0.01</x:f>
        <x:v>11.240000000000002</x:v>
      </x:c>
      <x:c r="B3934" s="256" t="n">
        <x:f>IF(COUNT($B$129:$L$129)=11,B$129*EXP(IF(A3934&lt;0,(10-0)*A3934,-0*A3934))+C$129*EXP(IF(A3934&lt;0,(10-1)*A3934,-1*A3934))+D$129*EXP(IF(A3934&lt;0,(10-2)*A3934,-2*A3934))+E$129*EXP(IF(A3934&lt;0,(10-3)*A3934,-3*A3934))+F$129*EXP(IF(A3934&lt;0,(10-4)*A3934,-4*A3934))+G$129*EXP(IF(A3934&lt;0,(10-5)*A3934,-5*A3934))+H$129*EXP(IF(A3934&lt;0,(10-6)*A3934,-6*A3934))+I$129*EXP(IF(A3934&lt;0,(10-7)*A3934,-7*A3934))+J$129*EXP(IF(A3934&lt;0,(10-8)*A3934,-8*A3934))+K$129*EXP(IF(A3934&lt;0,(10-9)*A3934,-9*A3934))+L$129*EXP(IF(A3934&lt;0,(10-10)*A3934,-10*A3934)),0)</x:f>
        <x:v>-190000.10712069628</x:v>
      </x:c>
      <x:c r="C3934" s="256" t="n">
        <x:f>IF(B3934=0,IF(B3933=0,0,1),IF(B3933=0,0,IF(SIGN(B3934)&lt;&gt;SIGN(B3933),1,0)))</x:f>
        <x:v>0</x:v>
      </x:c>
      <x:c r="D3934" s="256" t="n">
        <x:f>EXP(A3934-0.005)-1</x:f>
        <x:v>75734.32687590964</x:v>
      </x:c>
    </x:row>
    <x:row r="3935" ht="20" customHeight="1">
      <x:c r="A3935" s="256" t="n">
        <x:f>-12+2325*0.01</x:f>
        <x:v>11.25</x:v>
      </x:c>
      <x:c r="B3935" s="256" t="n">
        <x:f>IF(COUNT($B$129:$L$129)=11,B$129*EXP(IF(A3935&lt;0,(10-0)*A3935,-0*A3935))+C$129*EXP(IF(A3935&lt;0,(10-1)*A3935,-1*A3935))+D$129*EXP(IF(A3935&lt;0,(10-2)*A3935,-2*A3935))+E$129*EXP(IF(A3935&lt;0,(10-3)*A3935,-3*A3935))+F$129*EXP(IF(A3935&lt;0,(10-4)*A3935,-4*A3935))+G$129*EXP(IF(A3935&lt;0,(10-5)*A3935,-5*A3935))+H$129*EXP(IF(A3935&lt;0,(10-6)*A3935,-6*A3935))+I$129*EXP(IF(A3935&lt;0,(10-7)*A3935,-7*A3935))+J$129*EXP(IF(A3935&lt;0,(10-8)*A3935,-8*A3935))+K$129*EXP(IF(A3935&lt;0,(10-9)*A3935,-9*A3935))+L$129*EXP(IF(A3935&lt;0,(10-10)*A3935,-10*A3935)),0)</x:f>
        <x:v>-190000.10605481747</x:v>
      </x:c>
      <x:c r="C3935" s="256" t="n">
        <x:f>IF(B3935=0,IF(B3934=0,0,1),IF(B3934=0,0,IF(SIGN(B3935)&lt;&gt;SIGN(B3934),1,0)))</x:f>
        <x:v>0</x:v>
      </x:c>
      <x:c r="D3935" s="256" t="n">
        <x:f>EXP(A3935-0.005)-1</x:f>
        <x:v>76495.47956518646</x:v>
      </x:c>
    </x:row>
    <x:row r="3936" ht="20" customHeight="1">
      <x:c r="A3936" s="256" t="n">
        <x:f>-12+2326*0.01</x:f>
        <x:v>11.260000000000002</x:v>
      </x:c>
      <x:c r="B3936" s="256" t="n">
        <x:f>IF(COUNT($B$129:$L$129)=11,B$129*EXP(IF(A3936&lt;0,(10-0)*A3936,-0*A3936))+C$129*EXP(IF(A3936&lt;0,(10-1)*A3936,-1*A3936))+D$129*EXP(IF(A3936&lt;0,(10-2)*A3936,-2*A3936))+E$129*EXP(IF(A3936&lt;0,(10-3)*A3936,-3*A3936))+F$129*EXP(IF(A3936&lt;0,(10-4)*A3936,-4*A3936))+G$129*EXP(IF(A3936&lt;0,(10-5)*A3936,-5*A3936))+H$129*EXP(IF(A3936&lt;0,(10-6)*A3936,-6*A3936))+I$129*EXP(IF(A3936&lt;0,(10-7)*A3936,-7*A3936))+J$129*EXP(IF(A3936&lt;0,(10-8)*A3936,-8*A3936))+K$129*EXP(IF(A3936&lt;0,(10-9)*A3936,-9*A3936))+L$129*EXP(IF(A3936&lt;0,(10-10)*A3936,-10*A3936)),0)</x:f>
        <x:v>-190000.1049995445</x:v>
      </x:c>
      <x:c r="C3936" s="256" t="n">
        <x:f>IF(B3936=0,IF(B3935=0,0,1),IF(B3935=0,0,IF(SIGN(B3936)&lt;&gt;SIGN(B3935),1,0)))</x:f>
        <x:v>0</x:v>
      </x:c>
      <x:c r="D3936" s="256" t="n">
        <x:f>EXP(A3936-0.005)-1</x:f>
        <x:v>77264.28196616736</x:v>
      </x:c>
    </x:row>
    <x:row r="3937" ht="20" customHeight="1">
      <x:c r="A3937" s="256" t="n">
        <x:f>-12+2327*0.01</x:f>
        <x:v>11.27</x:v>
      </x:c>
      <x:c r="B3937" s="256" t="n">
        <x:f>IF(COUNT($B$129:$L$129)=11,B$129*EXP(IF(A3937&lt;0,(10-0)*A3937,-0*A3937))+C$129*EXP(IF(A3937&lt;0,(10-1)*A3937,-1*A3937))+D$129*EXP(IF(A3937&lt;0,(10-2)*A3937,-2*A3937))+E$129*EXP(IF(A3937&lt;0,(10-3)*A3937,-3*A3937))+F$129*EXP(IF(A3937&lt;0,(10-4)*A3937,-4*A3937))+G$129*EXP(IF(A3937&lt;0,(10-5)*A3937,-5*A3937))+H$129*EXP(IF(A3937&lt;0,(10-6)*A3937,-6*A3937))+I$129*EXP(IF(A3937&lt;0,(10-7)*A3937,-7*A3937))+J$129*EXP(IF(A3937&lt;0,(10-8)*A3937,-8*A3937))+K$129*EXP(IF(A3937&lt;0,(10-9)*A3937,-9*A3937))+L$129*EXP(IF(A3937&lt;0,(10-10)*A3937,-10*A3937)),0)</x:f>
        <x:v>-190000.10395477188</x:v>
      </x:c>
      <x:c r="C3937" s="256" t="n">
        <x:f>IF(B3937=0,IF(B3936=0,0,1),IF(B3936=0,0,IF(SIGN(B3937)&lt;&gt;SIGN(B3936),1,0)))</x:f>
        <x:v>0</x:v>
      </x:c>
      <x:c r="D3937" s="256" t="n">
        <x:f>EXP(A3937-0.005)-1</x:f>
        <x:v>78040.81095973254</x:v>
      </x:c>
    </x:row>
    <x:row r="3938" ht="20" customHeight="1">
      <x:c r="A3938" s="256" t="n">
        <x:f>-12+2328*0.01</x:f>
        <x:v>11.280000000000001</x:v>
      </x:c>
      <x:c r="B3938" s="256" t="n">
        <x:f>IF(COUNT($B$129:$L$129)=11,B$129*EXP(IF(A3938&lt;0,(10-0)*A3938,-0*A3938))+C$129*EXP(IF(A3938&lt;0,(10-1)*A3938,-1*A3938))+D$129*EXP(IF(A3938&lt;0,(10-2)*A3938,-2*A3938))+E$129*EXP(IF(A3938&lt;0,(10-3)*A3938,-3*A3938))+F$129*EXP(IF(A3938&lt;0,(10-4)*A3938,-4*A3938))+G$129*EXP(IF(A3938&lt;0,(10-5)*A3938,-5*A3938))+H$129*EXP(IF(A3938&lt;0,(10-6)*A3938,-6*A3938))+I$129*EXP(IF(A3938&lt;0,(10-7)*A3938,-7*A3938))+J$129*EXP(IF(A3938&lt;0,(10-8)*A3938,-8*A3938))+K$129*EXP(IF(A3938&lt;0,(10-9)*A3938,-9*A3938))+L$129*EXP(IF(A3938&lt;0,(10-10)*A3938,-10*A3938)),0)</x:f>
        <x:v>-190000.10292039512</x:v>
      </x:c>
      <x:c r="C3938" s="256" t="n">
        <x:f>IF(B3938=0,IF(B3937=0,0,1),IF(B3937=0,0,IF(SIGN(B3938)&lt;&gt;SIGN(B3937),1,0)))</x:f>
        <x:v>0</x:v>
      </x:c>
      <x:c r="D3938" s="256" t="n">
        <x:f>EXP(A3938-0.005)-1</x:f>
        <x:v>78825.14419942902</x:v>
      </x:c>
    </x:row>
    <x:row r="3939" ht="20" customHeight="1">
      <x:c r="A3939" s="256" t="n">
        <x:f>-12+2329*0.01</x:f>
        <x:v>11.29</x:v>
      </x:c>
      <x:c r="B3939" s="256" t="n">
        <x:f>IF(COUNT($B$129:$L$129)=11,B$129*EXP(IF(A3939&lt;0,(10-0)*A3939,-0*A3939))+C$129*EXP(IF(A3939&lt;0,(10-1)*A3939,-1*A3939))+D$129*EXP(IF(A3939&lt;0,(10-2)*A3939,-2*A3939))+E$129*EXP(IF(A3939&lt;0,(10-3)*A3939,-3*A3939))+F$129*EXP(IF(A3939&lt;0,(10-4)*A3939,-4*A3939))+G$129*EXP(IF(A3939&lt;0,(10-5)*A3939,-5*A3939))+H$129*EXP(IF(A3939&lt;0,(10-6)*A3939,-6*A3939))+I$129*EXP(IF(A3939&lt;0,(10-7)*A3939,-7*A3939))+J$129*EXP(IF(A3939&lt;0,(10-8)*A3939,-8*A3939))+K$129*EXP(IF(A3939&lt;0,(10-9)*A3939,-9*A3939))+L$129*EXP(IF(A3939&lt;0,(10-10)*A3939,-10*A3939)),0)</x:f>
        <x:v>-190000.10189631078</x:v>
      </x:c>
      <x:c r="C3939" s="256" t="n">
        <x:f>IF(B3939=0,IF(B3938=0,0,1),IF(B3938=0,0,IF(SIGN(B3939)&lt;&gt;SIGN(B3938),1,0)))</x:f>
        <x:v>0</x:v>
      </x:c>
      <x:c r="D3939" s="256" t="n">
        <x:f>EXP(A3939-0.005)-1</x:f>
        <x:v>79617.36011923385</x:v>
      </x:c>
    </x:row>
    <x:row r="3940" ht="20" customHeight="1">
      <x:c r="A3940" s="256" t="n">
        <x:f>-12+2330*0.01</x:f>
        <x:v>11.3</x:v>
      </x:c>
      <x:c r="B3940" s="256" t="n">
        <x:f>IF(COUNT($B$129:$L$129)=11,B$129*EXP(IF(A3940&lt;0,(10-0)*A3940,-0*A3940))+C$129*EXP(IF(A3940&lt;0,(10-1)*A3940,-1*A3940))+D$129*EXP(IF(A3940&lt;0,(10-2)*A3940,-2*A3940))+E$129*EXP(IF(A3940&lt;0,(10-3)*A3940,-3*A3940))+F$129*EXP(IF(A3940&lt;0,(10-4)*A3940,-4*A3940))+G$129*EXP(IF(A3940&lt;0,(10-5)*A3940,-5*A3940))+H$129*EXP(IF(A3940&lt;0,(10-6)*A3940,-6*A3940))+I$129*EXP(IF(A3940&lt;0,(10-7)*A3940,-7*A3940))+J$129*EXP(IF(A3940&lt;0,(10-8)*A3940,-8*A3940))+K$129*EXP(IF(A3940&lt;0,(10-9)*A3940,-9*A3940))+L$129*EXP(IF(A3940&lt;0,(10-10)*A3940,-10*A3940)),0)</x:f>
        <x:v>-190000.1008824164</x:v>
      </x:c>
      <x:c r="C3940" s="256" t="n">
        <x:f>IF(B3940=0,IF(B3939=0,0,1),IF(B3939=0,0,IF(SIGN(B3940)&lt;&gt;SIGN(B3939),1,0)))</x:f>
        <x:v>0</x:v>
      </x:c>
      <x:c r="D3940" s="256" t="n">
        <x:f>EXP(A3940-0.005)-1</x:f>
        <x:v>80417.53794139974</x:v>
      </x:c>
    </x:row>
    <x:row r="3941" ht="20" customHeight="1">
      <x:c r="A3941" s="256" t="n">
        <x:f>-12+2331*0.01</x:f>
        <x:v>11.309999999999999</x:v>
      </x:c>
      <x:c r="B3941" s="256" t="n">
        <x:f>IF(COUNT($B$129:$L$129)=11,B$129*EXP(IF(A3941&lt;0,(10-0)*A3941,-0*A3941))+C$129*EXP(IF(A3941&lt;0,(10-1)*A3941,-1*A3941))+D$129*EXP(IF(A3941&lt;0,(10-2)*A3941,-2*A3941))+E$129*EXP(IF(A3941&lt;0,(10-3)*A3941,-3*A3941))+F$129*EXP(IF(A3941&lt;0,(10-4)*A3941,-4*A3941))+G$129*EXP(IF(A3941&lt;0,(10-5)*A3941,-5*A3941))+H$129*EXP(IF(A3941&lt;0,(10-6)*A3941,-6*A3941))+I$129*EXP(IF(A3941&lt;0,(10-7)*A3941,-7*A3941))+J$129*EXP(IF(A3941&lt;0,(10-8)*A3941,-8*A3941))+K$129*EXP(IF(A3941&lt;0,(10-9)*A3941,-9*A3941))+L$129*EXP(IF(A3941&lt;0,(10-10)*A3941,-10*A3941)),0)</x:f>
        <x:v>-190000.09987861064</x:v>
      </x:c>
      <x:c r="C3941" s="256" t="n">
        <x:f>IF(B3941=0,IF(B3940=0,0,1),IF(B3940=0,0,IF(SIGN(B3941)&lt;&gt;SIGN(B3940),1,0)))</x:f>
        <x:v>0</x:v>
      </x:c>
      <x:c r="D3941" s="256" t="n">
        <x:f>EXP(A3941-0.005)-1</x:f>
        <x:v>81225.75768437516</x:v>
      </x:c>
    </x:row>
    <x:row r="3942" ht="20" customHeight="1">
      <x:c r="A3942" s="256" t="n">
        <x:f>-12+2332*0.01</x:f>
        <x:v>11.32</x:v>
      </x:c>
      <x:c r="B3942" s="256" t="n">
        <x:f>IF(COUNT($B$129:$L$129)=11,B$129*EXP(IF(A3942&lt;0,(10-0)*A3942,-0*A3942))+C$129*EXP(IF(A3942&lt;0,(10-1)*A3942,-1*A3942))+D$129*EXP(IF(A3942&lt;0,(10-2)*A3942,-2*A3942))+E$129*EXP(IF(A3942&lt;0,(10-3)*A3942,-3*A3942))+F$129*EXP(IF(A3942&lt;0,(10-4)*A3942,-4*A3942))+G$129*EXP(IF(A3942&lt;0,(10-5)*A3942,-5*A3942))+H$129*EXP(IF(A3942&lt;0,(10-6)*A3942,-6*A3942))+I$129*EXP(IF(A3942&lt;0,(10-7)*A3942,-7*A3942))+J$129*EXP(IF(A3942&lt;0,(10-8)*A3942,-8*A3942))+K$129*EXP(IF(A3942&lt;0,(10-9)*A3942,-9*A3942))+L$129*EXP(IF(A3942&lt;0,(10-10)*A3942,-10*A3942)),0)</x:f>
        <x:v>-190000.0988847931</x:v>
      </x:c>
      <x:c r="C3942" s="256" t="n">
        <x:f>IF(B3942=0,IF(B3941=0,0,1),IF(B3941=0,0,IF(SIGN(B3942)&lt;&gt;SIGN(B3941),1,0)))</x:f>
        <x:v>0</x:v>
      </x:c>
      <x:c r="D3942" s="256" t="n">
        <x:f>EXP(A3942-0.005)-1</x:f>
        <x:v>82042.1001708085</x:v>
      </x:c>
    </x:row>
    <x:row r="3943" ht="20" customHeight="1">
      <x:c r="A3943" s="256" t="n">
        <x:f>-12+2333*0.01</x:f>
        <x:v>11.330000000000002</x:v>
      </x:c>
      <x:c r="B3943" s="256" t="n">
        <x:f>IF(COUNT($B$129:$L$129)=11,B$129*EXP(IF(A3943&lt;0,(10-0)*A3943,-0*A3943))+C$129*EXP(IF(A3943&lt;0,(10-1)*A3943,-1*A3943))+D$129*EXP(IF(A3943&lt;0,(10-2)*A3943,-2*A3943))+E$129*EXP(IF(A3943&lt;0,(10-3)*A3943,-3*A3943))+F$129*EXP(IF(A3943&lt;0,(10-4)*A3943,-4*A3943))+G$129*EXP(IF(A3943&lt;0,(10-5)*A3943,-5*A3943))+H$129*EXP(IF(A3943&lt;0,(10-6)*A3943,-6*A3943))+I$129*EXP(IF(A3943&lt;0,(10-7)*A3943,-7*A3943))+J$129*EXP(IF(A3943&lt;0,(10-8)*A3943,-8*A3943))+K$129*EXP(IF(A3943&lt;0,(10-9)*A3943,-9*A3943))+L$129*EXP(IF(A3943&lt;0,(10-10)*A3943,-10*A3943)),0)</x:f>
        <x:v>-190000.09790086438</x:v>
      </x:c>
      <x:c r="C3943" s="256" t="n">
        <x:f>IF(B3943=0,IF(B3942=0,0,1),IF(B3942=0,0,IF(SIGN(B3943)&lt;&gt;SIGN(B3942),1,0)))</x:f>
        <x:v>0</x:v>
      </x:c>
      <x:c r="D3943" s="256" t="n">
        <x:f>EXP(A3943-0.005)-1</x:f>
        <x:v>82866.64703562838</x:v>
      </x:c>
    </x:row>
    <x:row r="3944" ht="20" customHeight="1">
      <x:c r="A3944" s="256" t="n">
        <x:f>-12+2334*0.01</x:f>
        <x:v>11.34</x:v>
      </x:c>
      <x:c r="B3944" s="256" t="n">
        <x:f>IF(COUNT($B$129:$L$129)=11,B$129*EXP(IF(A3944&lt;0,(10-0)*A3944,-0*A3944))+C$129*EXP(IF(A3944&lt;0,(10-1)*A3944,-1*A3944))+D$129*EXP(IF(A3944&lt;0,(10-2)*A3944,-2*A3944))+E$129*EXP(IF(A3944&lt;0,(10-3)*A3944,-3*A3944))+F$129*EXP(IF(A3944&lt;0,(10-4)*A3944,-4*A3944))+G$129*EXP(IF(A3944&lt;0,(10-5)*A3944,-5*A3944))+H$129*EXP(IF(A3944&lt;0,(10-6)*A3944,-6*A3944))+I$129*EXP(IF(A3944&lt;0,(10-7)*A3944,-7*A3944))+J$129*EXP(IF(A3944&lt;0,(10-8)*A3944,-8*A3944))+K$129*EXP(IF(A3944&lt;0,(10-9)*A3944,-9*A3944))+L$129*EXP(IF(A3944&lt;0,(10-10)*A3944,-10*A3944)),0)</x:f>
        <x:v>-190000.09692672605</x:v>
      </x:c>
      <x:c r="C3944" s="256" t="n">
        <x:f>IF(B3944=0,IF(B3943=0,0,1),IF(B3943=0,0,IF(SIGN(B3944)&lt;&gt;SIGN(B3943),1,0)))</x:f>
        <x:v>0</x:v>
      </x:c>
      <x:c r="D3944" s="256" t="n">
        <x:f>EXP(A3944-0.005)-1</x:f>
        <x:v>83699.48073420815</x:v>
      </x:c>
    </x:row>
    <x:row r="3945" ht="20" customHeight="1">
      <x:c r="A3945" s="256" t="n">
        <x:f>-12+2335*0.01</x:f>
        <x:v>11.350000000000001</x:v>
      </x:c>
      <x:c r="B3945" s="256" t="n">
        <x:f>IF(COUNT($B$129:$L$129)=11,B$129*EXP(IF(A3945&lt;0,(10-0)*A3945,-0*A3945))+C$129*EXP(IF(A3945&lt;0,(10-1)*A3945,-1*A3945))+D$129*EXP(IF(A3945&lt;0,(10-2)*A3945,-2*A3945))+E$129*EXP(IF(A3945&lt;0,(10-3)*A3945,-3*A3945))+F$129*EXP(IF(A3945&lt;0,(10-4)*A3945,-4*A3945))+G$129*EXP(IF(A3945&lt;0,(10-5)*A3945,-5*A3945))+H$129*EXP(IF(A3945&lt;0,(10-6)*A3945,-6*A3945))+I$129*EXP(IF(A3945&lt;0,(10-7)*A3945,-7*A3945))+J$129*EXP(IF(A3945&lt;0,(10-8)*A3945,-8*A3945))+K$129*EXP(IF(A3945&lt;0,(10-9)*A3945,-9*A3945))+L$129*EXP(IF(A3945&lt;0,(10-10)*A3945,-10*A3945)),0)</x:f>
        <x:v>-190000.09596228076</x:v>
      </x:c>
      <x:c r="C3945" s="256" t="n">
        <x:f>IF(B3945=0,IF(B3944=0,0,1),IF(B3944=0,0,IF(SIGN(B3945)&lt;&gt;SIGN(B3944),1,0)))</x:f>
        <x:v>0</x:v>
      </x:c>
      <x:c r="D3945" s="256" t="n">
        <x:f>EXP(A3945-0.005)-1</x:f>
        <x:v>84540.68455061226</x:v>
      </x:c>
    </x:row>
    <x:row r="3946" ht="20" customHeight="1">
      <x:c r="A3946" s="256" t="n">
        <x:f>-12+2336*0.01</x:f>
        <x:v>11.36</x:v>
      </x:c>
      <x:c r="B3946" s="256" t="n">
        <x:f>IF(COUNT($B$129:$L$129)=11,B$129*EXP(IF(A3946&lt;0,(10-0)*A3946,-0*A3946))+C$129*EXP(IF(A3946&lt;0,(10-1)*A3946,-1*A3946))+D$129*EXP(IF(A3946&lt;0,(10-2)*A3946,-2*A3946))+E$129*EXP(IF(A3946&lt;0,(10-3)*A3946,-3*A3946))+F$129*EXP(IF(A3946&lt;0,(10-4)*A3946,-4*A3946))+G$129*EXP(IF(A3946&lt;0,(10-5)*A3946,-5*A3946))+H$129*EXP(IF(A3946&lt;0,(10-6)*A3946,-6*A3946))+I$129*EXP(IF(A3946&lt;0,(10-7)*A3946,-7*A3946))+J$129*EXP(IF(A3946&lt;0,(10-8)*A3946,-8*A3946))+K$129*EXP(IF(A3946&lt;0,(10-9)*A3946,-9*A3946))+L$129*EXP(IF(A3946&lt;0,(10-10)*A3946,-10*A3946)),0)</x:f>
        <x:v>-190000.095007432</x:v>
      </x:c>
      <x:c r="C3946" s="256" t="n">
        <x:f>IF(B3946=0,IF(B3945=0,0,1),IF(B3945=0,0,IF(SIGN(B3946)&lt;&gt;SIGN(B3945),1,0)))</x:f>
        <x:v>0</x:v>
      </x:c>
      <x:c r="D3946" s="256" t="n">
        <x:f>EXP(A3946-0.005)-1</x:f>
        <x:v>85390.34260592278</x:v>
      </x:c>
    </x:row>
    <x:row r="3947" ht="20" customHeight="1">
      <x:c r="A3947" s="256" t="n">
        <x:f>-12+2337*0.01</x:f>
        <x:v>11.370000000000001</x:v>
      </x:c>
      <x:c r="B3947" s="256" t="n">
        <x:f>IF(COUNT($B$129:$L$129)=11,B$129*EXP(IF(A3947&lt;0,(10-0)*A3947,-0*A3947))+C$129*EXP(IF(A3947&lt;0,(10-1)*A3947,-1*A3947))+D$129*EXP(IF(A3947&lt;0,(10-2)*A3947,-2*A3947))+E$129*EXP(IF(A3947&lt;0,(10-3)*A3947,-3*A3947))+F$129*EXP(IF(A3947&lt;0,(10-4)*A3947,-4*A3947))+G$129*EXP(IF(A3947&lt;0,(10-5)*A3947,-5*A3947))+H$129*EXP(IF(A3947&lt;0,(10-6)*A3947,-6*A3947))+I$129*EXP(IF(A3947&lt;0,(10-7)*A3947,-7*A3947))+J$129*EXP(IF(A3947&lt;0,(10-8)*A3947,-8*A3947))+K$129*EXP(IF(A3947&lt;0,(10-9)*A3947,-9*A3947))+L$129*EXP(IF(A3947&lt;0,(10-10)*A3947,-10*A3947)),0)</x:f>
        <x:v>-190000.09406208433</x:v>
      </x:c>
      <x:c r="C3947" s="256" t="n">
        <x:f>IF(B3947=0,IF(B3946=0,0,1),IF(B3946=0,0,IF(SIGN(B3947)&lt;&gt;SIGN(B3946),1,0)))</x:f>
        <x:v>0</x:v>
      </x:c>
      <x:c r="D3947" s="256" t="n">
        <x:f>EXP(A3947-0.005)-1</x:f>
        <x:v>86248.53986665387</x:v>
      </x:c>
    </x:row>
    <x:row r="3948" ht="20" customHeight="1">
      <x:c r="A3948" s="256" t="n">
        <x:f>-12+2338*0.01</x:f>
        <x:v>11.379999999999999</x:v>
      </x:c>
      <x:c r="B3948" s="256" t="n">
        <x:f>IF(COUNT($B$129:$L$129)=11,B$129*EXP(IF(A3948&lt;0,(10-0)*A3948,-0*A3948))+C$129*EXP(IF(A3948&lt;0,(10-1)*A3948,-1*A3948))+D$129*EXP(IF(A3948&lt;0,(10-2)*A3948,-2*A3948))+E$129*EXP(IF(A3948&lt;0,(10-3)*A3948,-3*A3948))+F$129*EXP(IF(A3948&lt;0,(10-4)*A3948,-4*A3948))+G$129*EXP(IF(A3948&lt;0,(10-5)*A3948,-5*A3948))+H$129*EXP(IF(A3948&lt;0,(10-6)*A3948,-6*A3948))+I$129*EXP(IF(A3948&lt;0,(10-7)*A3948,-7*A3948))+J$129*EXP(IF(A3948&lt;0,(10-8)*A3948,-8*A3948))+K$129*EXP(IF(A3948&lt;0,(10-9)*A3948,-9*A3948))+L$129*EXP(IF(A3948&lt;0,(10-10)*A3948,-10*A3948)),0)</x:f>
        <x:v>-190000.09312614318</x:v>
      </x:c>
      <x:c r="C3948" s="256" t="n">
        <x:f>IF(B3948=0,IF(B3947=0,0,1),IF(B3947=0,0,IF(SIGN(B3948)&lt;&gt;SIGN(B3947),1,0)))</x:f>
        <x:v>0</x:v>
      </x:c>
      <x:c r="D3948" s="256" t="n">
        <x:f>EXP(A3948-0.005)-1</x:f>
        <x:v>87115.36215324618</x:v>
      </x:c>
    </x:row>
    <x:row r="3949" ht="20" customHeight="1">
      <x:c r="A3949" s="256" t="n">
        <x:f>-12+2339*0.01</x:f>
        <x:v>11.39</x:v>
      </x:c>
      <x:c r="B3949" s="256" t="n">
        <x:f>IF(COUNT($B$129:$L$129)=11,B$129*EXP(IF(A3949&lt;0,(10-0)*A3949,-0*A3949))+C$129*EXP(IF(A3949&lt;0,(10-1)*A3949,-1*A3949))+D$129*EXP(IF(A3949&lt;0,(10-2)*A3949,-2*A3949))+E$129*EXP(IF(A3949&lt;0,(10-3)*A3949,-3*A3949))+F$129*EXP(IF(A3949&lt;0,(10-4)*A3949,-4*A3949))+G$129*EXP(IF(A3949&lt;0,(10-5)*A3949,-5*A3949))+H$129*EXP(IF(A3949&lt;0,(10-6)*A3949,-6*A3949))+I$129*EXP(IF(A3949&lt;0,(10-7)*A3949,-7*A3949))+J$129*EXP(IF(A3949&lt;0,(10-8)*A3949,-8*A3949))+K$129*EXP(IF(A3949&lt;0,(10-9)*A3949,-9*A3949))+L$129*EXP(IF(A3949&lt;0,(10-10)*A3949,-10*A3949)),0)</x:f>
        <x:v>-190000.09219951494</x:v>
      </x:c>
      <x:c r="C3949" s="256" t="n">
        <x:f>IF(B3949=0,IF(B3948=0,0,1),IF(B3948=0,0,IF(SIGN(B3949)&lt;&gt;SIGN(B3948),1,0)))</x:f>
        <x:v>0</x:v>
      </x:c>
      <x:c r="D3949" s="256" t="n">
        <x:f>EXP(A3949-0.005)-1</x:f>
        <x:v>87990.89614865134</x:v>
      </x:c>
    </x:row>
    <x:row r="3950" ht="20" customHeight="1">
      <x:c r="A3950" s="256" t="n">
        <x:f>-12+2340*0.01</x:f>
        <x:v>11.400000000000002</x:v>
      </x:c>
      <x:c r="B3950" s="256" t="n">
        <x:f>IF(COUNT($B$129:$L$129)=11,B$129*EXP(IF(A3950&lt;0,(10-0)*A3950,-0*A3950))+C$129*EXP(IF(A3950&lt;0,(10-1)*A3950,-1*A3950))+D$129*EXP(IF(A3950&lt;0,(10-2)*A3950,-2*A3950))+E$129*EXP(IF(A3950&lt;0,(10-3)*A3950,-3*A3950))+F$129*EXP(IF(A3950&lt;0,(10-4)*A3950,-4*A3950))+G$129*EXP(IF(A3950&lt;0,(10-5)*A3950,-5*A3950))+H$129*EXP(IF(A3950&lt;0,(10-6)*A3950,-6*A3950))+I$129*EXP(IF(A3950&lt;0,(10-7)*A3950,-7*A3950))+J$129*EXP(IF(A3950&lt;0,(10-8)*A3950,-8*A3950))+K$129*EXP(IF(A3950&lt;0,(10-9)*A3950,-9*A3950))+L$129*EXP(IF(A3950&lt;0,(10-10)*A3950,-10*A3950)),0)</x:f>
        <x:v>-190000.09128210697</x:v>
      </x:c>
      <x:c r="C3950" s="256" t="n">
        <x:f>IF(B3950=0,IF(B3949=0,0,1),IF(B3949=0,0,IF(SIGN(B3950)&lt;&gt;SIGN(B3949),1,0)))</x:f>
        <x:v>0</x:v>
      </x:c>
      <x:c r="D3950" s="256" t="n">
        <x:f>EXP(A3950-0.005)-1</x:f>
        <x:v>88875.22940699819</x:v>
      </x:c>
    </x:row>
    <x:row r="3951" ht="20" customHeight="1">
      <x:c r="A3951" s="256" t="n">
        <x:f>-12+2341*0.01</x:f>
        <x:v>11.41</x:v>
      </x:c>
      <x:c r="B3951" s="256" t="n">
        <x:f>IF(COUNT($B$129:$L$129)=11,B$129*EXP(IF(A3951&lt;0,(10-0)*A3951,-0*A3951))+C$129*EXP(IF(A3951&lt;0,(10-1)*A3951,-1*A3951))+D$129*EXP(IF(A3951&lt;0,(10-2)*A3951,-2*A3951))+E$129*EXP(IF(A3951&lt;0,(10-3)*A3951,-3*A3951))+F$129*EXP(IF(A3951&lt;0,(10-4)*A3951,-4*A3951))+G$129*EXP(IF(A3951&lt;0,(10-5)*A3951,-5*A3951))+H$129*EXP(IF(A3951&lt;0,(10-6)*A3951,-6*A3951))+I$129*EXP(IF(A3951&lt;0,(10-7)*A3951,-7*A3951))+J$129*EXP(IF(A3951&lt;0,(10-8)*A3951,-8*A3951))+K$129*EXP(IF(A3951&lt;0,(10-9)*A3951,-9*A3951))+L$129*EXP(IF(A3951&lt;0,(10-10)*A3951,-10*A3951)),0)</x:f>
        <x:v>-190000.0903738275</x:v>
      </x:c>
      <x:c r="C3951" s="256" t="n">
        <x:f>IF(B3951=0,IF(B3950=0,0,1),IF(B3950=0,0,IF(SIGN(B3951)&lt;&gt;SIGN(B3950),1,0)))</x:f>
        <x:v>0</x:v>
      </x:c>
      <x:c r="D3951" s="256" t="n">
        <x:f>EXP(A3951-0.005)-1</x:f>
        <x:v>89768.45036234919</x:v>
      </x:c>
    </x:row>
    <x:row r="3952" ht="20" customHeight="1">
      <x:c r="A3952" s="256" t="n">
        <x:f>-12+2342*0.01</x:f>
        <x:v>11.420000000000002</x:v>
      </x:c>
      <x:c r="B3952" s="256" t="n">
        <x:f>IF(COUNT($B$129:$L$129)=11,B$129*EXP(IF(A3952&lt;0,(10-0)*A3952,-0*A3952))+C$129*EXP(IF(A3952&lt;0,(10-1)*A3952,-1*A3952))+D$129*EXP(IF(A3952&lt;0,(10-2)*A3952,-2*A3952))+E$129*EXP(IF(A3952&lt;0,(10-3)*A3952,-3*A3952))+F$129*EXP(IF(A3952&lt;0,(10-4)*A3952,-4*A3952))+G$129*EXP(IF(A3952&lt;0,(10-5)*A3952,-5*A3952))+H$129*EXP(IF(A3952&lt;0,(10-6)*A3952,-6*A3952))+I$129*EXP(IF(A3952&lt;0,(10-7)*A3952,-7*A3952))+J$129*EXP(IF(A3952&lt;0,(10-8)*A3952,-8*A3952))+K$129*EXP(IF(A3952&lt;0,(10-9)*A3952,-9*A3952))+L$129*EXP(IF(A3952&lt;0,(10-10)*A3952,-10*A3952)),0)</x:f>
        <x:v>-190000.08947458572</x:v>
      </x:c>
      <x:c r="C3952" s="256" t="n">
        <x:f>IF(B3952=0,IF(B3951=0,0,1),IF(B3951=0,0,IF(SIGN(B3952)&lt;&gt;SIGN(B3951),1,0)))</x:f>
        <x:v>0</x:v>
      </x:c>
      <x:c r="D3952" s="256" t="n">
        <x:f>EXP(A3952-0.005)-1</x:f>
        <x:v>90670.64833754487</x:v>
      </x:c>
    </x:row>
    <x:row r="3953" ht="20" customHeight="1">
      <x:c r="A3953" s="256" t="n">
        <x:f>-12+2343*0.01</x:f>
        <x:v>11.43</x:v>
      </x:c>
      <x:c r="B3953" s="256" t="n">
        <x:f>IF(COUNT($B$129:$L$129)=11,B$129*EXP(IF(A3953&lt;0,(10-0)*A3953,-0*A3953))+C$129*EXP(IF(A3953&lt;0,(10-1)*A3953,-1*A3953))+D$129*EXP(IF(A3953&lt;0,(10-2)*A3953,-2*A3953))+E$129*EXP(IF(A3953&lt;0,(10-3)*A3953,-3*A3953))+F$129*EXP(IF(A3953&lt;0,(10-4)*A3953,-4*A3953))+G$129*EXP(IF(A3953&lt;0,(10-5)*A3953,-5*A3953))+H$129*EXP(IF(A3953&lt;0,(10-6)*A3953,-6*A3953))+I$129*EXP(IF(A3953&lt;0,(10-7)*A3953,-7*A3953))+J$129*EXP(IF(A3953&lt;0,(10-8)*A3953,-8*A3953))+K$129*EXP(IF(A3953&lt;0,(10-9)*A3953,-9*A3953))+L$129*EXP(IF(A3953&lt;0,(10-10)*A3953,-10*A3953)),0)</x:f>
        <x:v>-190000.08858429166</x:v>
      </x:c>
      <x:c r="C3953" s="256" t="n">
        <x:f>IF(B3953=0,IF(B3952=0,0,1),IF(B3952=0,0,IF(SIGN(B3953)&lt;&gt;SIGN(B3952),1,0)))</x:f>
        <x:v>0</x:v>
      </x:c>
      <x:c r="D3953" s="256" t="n">
        <x:f>EXP(A3953-0.005)-1</x:f>
        <x:v>91581.91355313394</x:v>
      </x:c>
    </x:row>
    <x:row r="3954" ht="20" customHeight="1">
      <x:c r="A3954" s="256" t="n">
        <x:f>-12+2344*0.01</x:f>
        <x:v>11.440000000000001</x:v>
      </x:c>
      <x:c r="B3954" s="256" t="n">
        <x:f>IF(COUNT($B$129:$L$129)=11,B$129*EXP(IF(A3954&lt;0,(10-0)*A3954,-0*A3954))+C$129*EXP(IF(A3954&lt;0,(10-1)*A3954,-1*A3954))+D$129*EXP(IF(A3954&lt;0,(10-2)*A3954,-2*A3954))+E$129*EXP(IF(A3954&lt;0,(10-3)*A3954,-3*A3954))+F$129*EXP(IF(A3954&lt;0,(10-4)*A3954,-4*A3954))+G$129*EXP(IF(A3954&lt;0,(10-5)*A3954,-5*A3954))+H$129*EXP(IF(A3954&lt;0,(10-6)*A3954,-6*A3954))+I$129*EXP(IF(A3954&lt;0,(10-7)*A3954,-7*A3954))+J$129*EXP(IF(A3954&lt;0,(10-8)*A3954,-8*A3954))+K$129*EXP(IF(A3954&lt;0,(10-9)*A3954,-9*A3954))+L$129*EXP(IF(A3954&lt;0,(10-10)*A3954,-10*A3954)),0)</x:f>
        <x:v>-190000.08770285634</x:v>
      </x:c>
      <x:c r="C3954" s="256" t="n">
        <x:f>IF(B3954=0,IF(B3953=0,0,1),IF(B3953=0,0,IF(SIGN(B3954)&lt;&gt;SIGN(B3953),1,0)))</x:f>
        <x:v>0</x:v>
      </x:c>
      <x:c r="D3954" s="256" t="n">
        <x:f>EXP(A3954-0.005)-1</x:f>
        <x:v>92502.337136398</x:v>
      </x:c>
    </x:row>
    <x:row r="3955" ht="20" customHeight="1">
      <x:c r="A3955" s="256" t="n">
        <x:f>-12+2345*0.01</x:f>
        <x:v>11.45</x:v>
      </x:c>
      <x:c r="B3955" s="256" t="n">
        <x:f>IF(COUNT($B$129:$L$129)=11,B$129*EXP(IF(A3955&lt;0,(10-0)*A3955,-0*A3955))+C$129*EXP(IF(A3955&lt;0,(10-1)*A3955,-1*A3955))+D$129*EXP(IF(A3955&lt;0,(10-2)*A3955,-2*A3955))+E$129*EXP(IF(A3955&lt;0,(10-3)*A3955,-3*A3955))+F$129*EXP(IF(A3955&lt;0,(10-4)*A3955,-4*A3955))+G$129*EXP(IF(A3955&lt;0,(10-5)*A3955,-5*A3955))+H$129*EXP(IF(A3955&lt;0,(10-6)*A3955,-6*A3955))+I$129*EXP(IF(A3955&lt;0,(10-7)*A3955,-7*A3955))+J$129*EXP(IF(A3955&lt;0,(10-8)*A3955,-8*A3955))+K$129*EXP(IF(A3955&lt;0,(10-9)*A3955,-9*A3955))+L$129*EXP(IF(A3955&lt;0,(10-10)*A3955,-10*A3955)),0)</x:f>
        <x:v>-190000.08683019158</x:v>
      </x:c>
      <x:c r="C3955" s="256" t="n">
        <x:f>IF(B3955=0,IF(B3954=0,0,1),IF(B3954=0,0,IF(SIGN(B3955)&lt;&gt;SIGN(B3954),1,0)))</x:f>
        <x:v>0</x:v>
      </x:c>
      <x:c r="D3955" s="256" t="n">
        <x:f>EXP(A3955-0.005)-1</x:f>
        <x:v>93432.01113046175</x:v>
      </x:c>
    </x:row>
    <x:row r="3956" ht="20" customHeight="1">
      <x:c r="A3956" s="256" t="n">
        <x:f>-12+2346*0.01</x:f>
        <x:v>11.46</x:v>
      </x:c>
      <x:c r="B3956" s="256" t="n">
        <x:f>IF(COUNT($B$129:$L$129)=11,B$129*EXP(IF(A3956&lt;0,(10-0)*A3956,-0*A3956))+C$129*EXP(IF(A3956&lt;0,(10-1)*A3956,-1*A3956))+D$129*EXP(IF(A3956&lt;0,(10-2)*A3956,-2*A3956))+E$129*EXP(IF(A3956&lt;0,(10-3)*A3956,-3*A3956))+F$129*EXP(IF(A3956&lt;0,(10-4)*A3956,-4*A3956))+G$129*EXP(IF(A3956&lt;0,(10-5)*A3956,-5*A3956))+H$129*EXP(IF(A3956&lt;0,(10-6)*A3956,-6*A3956))+I$129*EXP(IF(A3956&lt;0,(10-7)*A3956,-7*A3956))+J$129*EXP(IF(A3956&lt;0,(10-8)*A3956,-8*A3956))+K$129*EXP(IF(A3956&lt;0,(10-9)*A3956,-9*A3956))+L$129*EXP(IF(A3956&lt;0,(10-10)*A3956,-10*A3956)),0)</x:f>
        <x:v>-190000.08596621008</x:v>
      </x:c>
      <x:c r="C3956" s="256" t="n">
        <x:f>IF(B3956=0,IF(B3955=0,0,1),IF(B3955=0,0,IF(SIGN(B3956)&lt;&gt;SIGN(B3955),1,0)))</x:f>
        <x:v>0</x:v>
      </x:c>
      <x:c r="D3956" s="256" t="n">
        <x:f>EXP(A3956-0.005)-1</x:f>
        <x:v>94371.02850349997</x:v>
      </x:c>
    </x:row>
    <x:row r="3957" ht="20" customHeight="1">
      <x:c r="A3957" s="256" t="n">
        <x:f>-12+2347*0.01</x:f>
        <x:v>11.469999999999999</x:v>
      </x:c>
      <x:c r="B3957" s="256" t="n">
        <x:f>IF(COUNT($B$129:$L$129)=11,B$129*EXP(IF(A3957&lt;0,(10-0)*A3957,-0*A3957))+C$129*EXP(IF(A3957&lt;0,(10-1)*A3957,-1*A3957))+D$129*EXP(IF(A3957&lt;0,(10-2)*A3957,-2*A3957))+E$129*EXP(IF(A3957&lt;0,(10-3)*A3957,-3*A3957))+F$129*EXP(IF(A3957&lt;0,(10-4)*A3957,-4*A3957))+G$129*EXP(IF(A3957&lt;0,(10-5)*A3957,-5*A3957))+H$129*EXP(IF(A3957&lt;0,(10-6)*A3957,-6*A3957))+I$129*EXP(IF(A3957&lt;0,(10-7)*A3957,-7*A3957))+J$129*EXP(IF(A3957&lt;0,(10-8)*A3957,-8*A3957))+K$129*EXP(IF(A3957&lt;0,(10-9)*A3957,-9*A3957))+L$129*EXP(IF(A3957&lt;0,(10-10)*A3957,-10*A3957)),0)</x:f>
        <x:v>-190000.08511082554</x:v>
      </x:c>
      <x:c r="C3957" s="256" t="n">
        <x:f>IF(B3957=0,IF(B3956=0,0,1),IF(B3956=0,0,IF(SIGN(B3957)&lt;&gt;SIGN(B3956),1,0)))</x:f>
        <x:v>0</x:v>
      </x:c>
      <x:c r="D3957" s="256" t="n">
        <x:f>EXP(A3957-0.005)-1</x:f>
        <x:v>95319.48315803183</x:v>
      </x:c>
    </x:row>
    <x:row r="3958" ht="20" customHeight="1">
      <x:c r="A3958" s="256" t="n">
        <x:f>-12+2348*0.01</x:f>
        <x:v>11.48</x:v>
      </x:c>
      <x:c r="B3958" s="256" t="n">
        <x:f>IF(COUNT($B$129:$L$129)=11,B$129*EXP(IF(A3958&lt;0,(10-0)*A3958,-0*A3958))+C$129*EXP(IF(A3958&lt;0,(10-1)*A3958,-1*A3958))+D$129*EXP(IF(A3958&lt;0,(10-2)*A3958,-2*A3958))+E$129*EXP(IF(A3958&lt;0,(10-3)*A3958,-3*A3958))+F$129*EXP(IF(A3958&lt;0,(10-4)*A3958,-4*A3958))+G$129*EXP(IF(A3958&lt;0,(10-5)*A3958,-5*A3958))+H$129*EXP(IF(A3958&lt;0,(10-6)*A3958,-6*A3958))+I$129*EXP(IF(A3958&lt;0,(10-7)*A3958,-7*A3958))+J$129*EXP(IF(A3958&lt;0,(10-8)*A3958,-8*A3958))+K$129*EXP(IF(A3958&lt;0,(10-9)*A3958,-9*A3958))+L$129*EXP(IF(A3958&lt;0,(10-10)*A3958,-10*A3958)),0)</x:f>
        <x:v>-190000.0842639523</x:v>
      </x:c>
      <x:c r="C3958" s="256" t="n">
        <x:f>IF(B3958=0,IF(B3957=0,0,1),IF(B3957=0,0,IF(SIGN(B3958)&lt;&gt;SIGN(B3957),1,0)))</x:f>
        <x:v>0</x:v>
      </x:c>
      <x:c r="D3958" s="256" t="n">
        <x:f>EXP(A3958-0.005)-1</x:f>
        <x:v>96277.46994031382</x:v>
      </x:c>
    </x:row>
    <x:row r="3959" ht="20" customHeight="1">
      <x:c r="A3959" s="256" t="n">
        <x:f>-12+2349*0.01</x:f>
        <x:v>11.490000000000002</x:v>
      </x:c>
      <x:c r="B3959" s="256" t="n">
        <x:f>IF(COUNT($B$129:$L$129)=11,B$129*EXP(IF(A3959&lt;0,(10-0)*A3959,-0*A3959))+C$129*EXP(IF(A3959&lt;0,(10-1)*A3959,-1*A3959))+D$129*EXP(IF(A3959&lt;0,(10-2)*A3959,-2*A3959))+E$129*EXP(IF(A3959&lt;0,(10-3)*A3959,-3*A3959))+F$129*EXP(IF(A3959&lt;0,(10-4)*A3959,-4*A3959))+G$129*EXP(IF(A3959&lt;0,(10-5)*A3959,-5*A3959))+H$129*EXP(IF(A3959&lt;0,(10-6)*A3959,-6*A3959))+I$129*EXP(IF(A3959&lt;0,(10-7)*A3959,-7*A3959))+J$129*EXP(IF(A3959&lt;0,(10-8)*A3959,-8*A3959))+K$129*EXP(IF(A3959&lt;0,(10-9)*A3959,-9*A3959))+L$129*EXP(IF(A3959&lt;0,(10-10)*A3959,-10*A3959)),0)</x:f>
        <x:v>-190000.08342550573</x:v>
      </x:c>
      <x:c r="C3959" s="256" t="n">
        <x:f>IF(B3959=0,IF(B3958=0,0,1),IF(B3958=0,0,IF(SIGN(B3959)&lt;&gt;SIGN(B3958),1,0)))</x:f>
        <x:v>0</x:v>
      </x:c>
      <x:c r="D3959" s="256" t="n">
        <x:f>EXP(A3959-0.005)-1</x:f>
        <x:v>97245.08464982218</x:v>
      </x:c>
    </x:row>
    <x:row r="3960" ht="20" customHeight="1">
      <x:c r="A3960" s="256" t="n">
        <x:f>-12+2350*0.01</x:f>
        <x:v>11.5</x:v>
      </x:c>
      <x:c r="B3960" s="256" t="n">
        <x:f>IF(COUNT($B$129:$L$129)=11,B$129*EXP(IF(A3960&lt;0,(10-0)*A3960,-0*A3960))+C$129*EXP(IF(A3960&lt;0,(10-1)*A3960,-1*A3960))+D$129*EXP(IF(A3960&lt;0,(10-2)*A3960,-2*A3960))+E$129*EXP(IF(A3960&lt;0,(10-3)*A3960,-3*A3960))+F$129*EXP(IF(A3960&lt;0,(10-4)*A3960,-4*A3960))+G$129*EXP(IF(A3960&lt;0,(10-5)*A3960,-5*A3960))+H$129*EXP(IF(A3960&lt;0,(10-6)*A3960,-6*A3960))+I$129*EXP(IF(A3960&lt;0,(10-7)*A3960,-7*A3960))+J$129*EXP(IF(A3960&lt;0,(10-8)*A3960,-8*A3960))+K$129*EXP(IF(A3960&lt;0,(10-9)*A3960,-9*A3960))+L$129*EXP(IF(A3960&lt;0,(10-10)*A3960,-10*A3960)),0)</x:f>
        <x:v>-190000.08259540194</x:v>
      </x:c>
      <x:c r="C3960" s="256" t="n">
        <x:f>IF(B3960=0,IF(B3959=0,0,1),IF(B3959=0,0,IF(SIGN(B3960)&lt;&gt;SIGN(B3959),1,0)))</x:f>
        <x:v>0</x:v>
      </x:c>
      <x:c r="D3960" s="256" t="n">
        <x:f>EXP(A3960-0.005)-1</x:f>
        <x:v>98222.42404883384</x:v>
      </x:c>
    </x:row>
    <x:row r="3961" ht="20" customHeight="1">
      <x:c r="A3961" s="256" t="n">
        <x:f>-12+2351*0.01</x:f>
        <x:v>11.510000000000002</x:v>
      </x:c>
      <x:c r="B3961" s="256" t="n">
        <x:f>IF(COUNT($B$129:$L$129)=11,B$129*EXP(IF(A3961&lt;0,(10-0)*A3961,-0*A3961))+C$129*EXP(IF(A3961&lt;0,(10-1)*A3961,-1*A3961))+D$129*EXP(IF(A3961&lt;0,(10-2)*A3961,-2*A3961))+E$129*EXP(IF(A3961&lt;0,(10-3)*A3961,-3*A3961))+F$129*EXP(IF(A3961&lt;0,(10-4)*A3961,-4*A3961))+G$129*EXP(IF(A3961&lt;0,(10-5)*A3961,-5*A3961))+H$129*EXP(IF(A3961&lt;0,(10-6)*A3961,-6*A3961))+I$129*EXP(IF(A3961&lt;0,(10-7)*A3961,-7*A3961))+J$129*EXP(IF(A3961&lt;0,(10-8)*A3961,-8*A3961))+K$129*EXP(IF(A3961&lt;0,(10-9)*A3961,-9*A3961))+L$129*EXP(IF(A3961&lt;0,(10-10)*A3961,-10*A3961)),0)</x:f>
        <x:v>-190000.08177355796</x:v>
      </x:c>
      <x:c r="C3961" s="256" t="n">
        <x:f>IF(B3961=0,IF(B3960=0,0,1),IF(B3960=0,0,IF(SIGN(B3961)&lt;&gt;SIGN(B3960),1,0)))</x:f>
        <x:v>0</x:v>
      </x:c>
      <x:c r="D3961" s="256" t="n">
        <x:f>EXP(A3961-0.005)-1</x:f>
        <x:v>99209.58587210387</x:v>
      </x:c>
    </x:row>
    <x:row r="3962" ht="20" customHeight="1">
      <x:c r="A3962" s="256" t="n">
        <x:f>-12+2352*0.01</x:f>
        <x:v>11.52</x:v>
      </x:c>
      <x:c r="B3962" s="256" t="n">
        <x:f>IF(COUNT($B$129:$L$129)=11,B$129*EXP(IF(A3962&lt;0,(10-0)*A3962,-0*A3962))+C$129*EXP(IF(A3962&lt;0,(10-1)*A3962,-1*A3962))+D$129*EXP(IF(A3962&lt;0,(10-2)*A3962,-2*A3962))+E$129*EXP(IF(A3962&lt;0,(10-3)*A3962,-3*A3962))+F$129*EXP(IF(A3962&lt;0,(10-4)*A3962,-4*A3962))+G$129*EXP(IF(A3962&lt;0,(10-5)*A3962,-5*A3962))+H$129*EXP(IF(A3962&lt;0,(10-6)*A3962,-6*A3962))+I$129*EXP(IF(A3962&lt;0,(10-7)*A3962,-7*A3962))+J$129*EXP(IF(A3962&lt;0,(10-8)*A3962,-8*A3962))+K$129*EXP(IF(A3962&lt;0,(10-9)*A3962,-9*A3962))+L$129*EXP(IF(A3962&lt;0,(10-10)*A3962,-10*A3962)),0)</x:f>
        <x:v>-190000.0809598916</x:v>
      </x:c>
      <x:c r="C3962" s="256" t="n">
        <x:f>IF(B3962=0,IF(B3961=0,0,1),IF(B3961=0,0,IF(SIGN(B3962)&lt;&gt;SIGN(B3961),1,0)))</x:f>
        <x:v>0</x:v>
      </x:c>
      <x:c r="D3962" s="256" t="n">
        <x:f>EXP(A3962-0.005)-1</x:f>
        <x:v>100206.66883663653</x:v>
      </x:c>
    </x:row>
    <x:row r="3963" ht="20" customHeight="1">
      <x:c r="A3963" s="256" t="n">
        <x:f>-12+2353*0.01</x:f>
        <x:v>11.530000000000001</x:v>
      </x:c>
      <x:c r="B3963" s="256" t="n">
        <x:f>IF(COUNT($B$129:$L$129)=11,B$129*EXP(IF(A3963&lt;0,(10-0)*A3963,-0*A3963))+C$129*EXP(IF(A3963&lt;0,(10-1)*A3963,-1*A3963))+D$129*EXP(IF(A3963&lt;0,(10-2)*A3963,-2*A3963))+E$129*EXP(IF(A3963&lt;0,(10-3)*A3963,-3*A3963))+F$129*EXP(IF(A3963&lt;0,(10-4)*A3963,-4*A3963))+G$129*EXP(IF(A3963&lt;0,(10-5)*A3963,-5*A3963))+H$129*EXP(IF(A3963&lt;0,(10-6)*A3963,-6*A3963))+I$129*EXP(IF(A3963&lt;0,(10-7)*A3963,-7*A3963))+J$129*EXP(IF(A3963&lt;0,(10-8)*A3963,-8*A3963))+K$129*EXP(IF(A3963&lt;0,(10-9)*A3963,-9*A3963))+L$129*EXP(IF(A3963&lt;0,(10-10)*A3963,-10*A3963)),0)</x:f>
        <x:v>-190000.08015432145</x:v>
      </x:c>
      <x:c r="C3963" s="256" t="n">
        <x:f>IF(B3963=0,IF(B3962=0,0,1),IF(B3962=0,0,IF(SIGN(B3963)&lt;&gt;SIGN(B3962),1,0)))</x:f>
        <x:v>0</x:v>
      </x:c>
      <x:c r="D3963" s="256" t="n">
        <x:f>EXP(A3963-0.005)-1</x:f>
        <x:v>101213.77265155985</x:v>
      </x:c>
    </x:row>
    <x:row r="3964" ht="20" customHeight="1">
      <x:c r="A3964" s="256" t="n">
        <x:f>-12+2354*0.01</x:f>
        <x:v>11.54</x:v>
      </x:c>
      <x:c r="B3964" s="256" t="n">
        <x:f>IF(COUNT($B$129:$L$129)=11,B$129*EXP(IF(A3964&lt;0,(10-0)*A3964,-0*A3964))+C$129*EXP(IF(A3964&lt;0,(10-1)*A3964,-1*A3964))+D$129*EXP(IF(A3964&lt;0,(10-2)*A3964,-2*A3964))+E$129*EXP(IF(A3964&lt;0,(10-3)*A3964,-3*A3964))+F$129*EXP(IF(A3964&lt;0,(10-4)*A3964,-4*A3964))+G$129*EXP(IF(A3964&lt;0,(10-5)*A3964,-5*A3964))+H$129*EXP(IF(A3964&lt;0,(10-6)*A3964,-6*A3964))+I$129*EXP(IF(A3964&lt;0,(10-7)*A3964,-7*A3964))+J$129*EXP(IF(A3964&lt;0,(10-8)*A3964,-8*A3964))+K$129*EXP(IF(A3964&lt;0,(10-9)*A3964,-9*A3964))+L$129*EXP(IF(A3964&lt;0,(10-10)*A3964,-10*A3964)),0)</x:f>
        <x:v>-190000.07935676695</x:v>
      </x:c>
      <x:c r="C3964" s="256" t="n">
        <x:f>IF(B3964=0,IF(B3963=0,0,1),IF(B3963=0,0,IF(SIGN(B3964)&lt;&gt;SIGN(B3963),1,0)))</x:f>
        <x:v>0</x:v>
      </x:c>
      <x:c r="D3964" s="256" t="n">
        <x:f>EXP(A3964-0.005)-1</x:f>
        <x:v>102230.99802809392</x:v>
      </x:c>
    </x:row>
    <x:row r="3965" ht="20" customHeight="1">
      <x:c r="A3965" s="256" t="n">
        <x:f>-12+2355*0.01</x:f>
        <x:v>11.55</x:v>
      </x:c>
      <x:c r="B3965" s="256" t="n">
        <x:f>IF(COUNT($B$129:$L$129)=11,B$129*EXP(IF(A3965&lt;0,(10-0)*A3965,-0*A3965))+C$129*EXP(IF(A3965&lt;0,(10-1)*A3965,-1*A3965))+D$129*EXP(IF(A3965&lt;0,(10-2)*A3965,-2*A3965))+E$129*EXP(IF(A3965&lt;0,(10-3)*A3965,-3*A3965))+F$129*EXP(IF(A3965&lt;0,(10-4)*A3965,-4*A3965))+G$129*EXP(IF(A3965&lt;0,(10-5)*A3965,-5*A3965))+H$129*EXP(IF(A3965&lt;0,(10-6)*A3965,-6*A3965))+I$129*EXP(IF(A3965&lt;0,(10-7)*A3965,-7*A3965))+J$129*EXP(IF(A3965&lt;0,(10-8)*A3965,-8*A3965))+K$129*EXP(IF(A3965&lt;0,(10-9)*A3965,-9*A3965))+L$129*EXP(IF(A3965&lt;0,(10-10)*A3965,-10*A3965)),0)</x:f>
        <x:v>-190000.07856714842</x:v>
      </x:c>
      <x:c r="C3965" s="256" t="n">
        <x:f>IF(B3965=0,IF(B3964=0,0,1),IF(B3964=0,0,IF(SIGN(B3965)&lt;&gt;SIGN(B3964),1,0)))</x:f>
        <x:v>0</x:v>
      </x:c>
      <x:c r="D3965" s="256" t="n">
        <x:f>EXP(A3965-0.005)-1</x:f>
        <x:v>103258.44668962475</x:v>
      </x:c>
    </x:row>
    <x:row r="3966" ht="20" customHeight="1">
      <x:c r="A3966" s="256" t="n">
        <x:f>-12+2356*0.01</x:f>
        <x:v>11.559999999999999</x:v>
      </x:c>
      <x:c r="B3966" s="256" t="n">
        <x:f>IF(COUNT($B$129:$L$129)=11,B$129*EXP(IF(A3966&lt;0,(10-0)*A3966,-0*A3966))+C$129*EXP(IF(A3966&lt;0,(10-1)*A3966,-1*A3966))+D$129*EXP(IF(A3966&lt;0,(10-2)*A3966,-2*A3966))+E$129*EXP(IF(A3966&lt;0,(10-3)*A3966,-3*A3966))+F$129*EXP(IF(A3966&lt;0,(10-4)*A3966,-4*A3966))+G$129*EXP(IF(A3966&lt;0,(10-5)*A3966,-5*A3966))+H$129*EXP(IF(A3966&lt;0,(10-6)*A3966,-6*A3966))+I$129*EXP(IF(A3966&lt;0,(10-7)*A3966,-7*A3966))+J$129*EXP(IF(A3966&lt;0,(10-8)*A3966,-8*A3966))+K$129*EXP(IF(A3966&lt;0,(10-9)*A3966,-9*A3966))+L$129*EXP(IF(A3966&lt;0,(10-10)*A3966,-10*A3966)),0)</x:f>
        <x:v>-190000.0777853868</x:v>
      </x:c>
      <x:c r="C3966" s="256" t="n">
        <x:f>IF(B3966=0,IF(B3965=0,0,1),IF(B3965=0,0,IF(SIGN(B3966)&lt;&gt;SIGN(B3965),1,0)))</x:f>
        <x:v>0</x:v>
      </x:c>
      <x:c r="D3966" s="256" t="n">
        <x:f>EXP(A3966-0.005)-1</x:f>
        <x:v>104296.22138187403</x:v>
      </x:c>
    </x:row>
    <x:row r="3967" ht="20" customHeight="1">
      <x:c r="A3967" s="256" t="n">
        <x:f>-12+2357*0.01</x:f>
        <x:v>11.57</x:v>
      </x:c>
      <x:c r="B3967" s="256" t="n">
        <x:f>IF(COUNT($B$129:$L$129)=11,B$129*EXP(IF(A3967&lt;0,(10-0)*A3967,-0*A3967))+C$129*EXP(IF(A3967&lt;0,(10-1)*A3967,-1*A3967))+D$129*EXP(IF(A3967&lt;0,(10-2)*A3967,-2*A3967))+E$129*EXP(IF(A3967&lt;0,(10-3)*A3967,-3*A3967))+F$129*EXP(IF(A3967&lt;0,(10-4)*A3967,-4*A3967))+G$129*EXP(IF(A3967&lt;0,(10-5)*A3967,-5*A3967))+H$129*EXP(IF(A3967&lt;0,(10-6)*A3967,-6*A3967))+I$129*EXP(IF(A3967&lt;0,(10-7)*A3967,-7*A3967))+J$129*EXP(IF(A3967&lt;0,(10-8)*A3967,-8*A3967))+K$129*EXP(IF(A3967&lt;0,(10-9)*A3967,-9*A3967))+L$129*EXP(IF(A3967&lt;0,(10-10)*A3967,-10*A3967)),0)</x:f>
        <x:v>-190000.07701140395</x:v>
      </x:c>
      <x:c r="C3967" s="256" t="n">
        <x:f>IF(B3967=0,IF(B3966=0,0,1),IF(B3966=0,0,IF(SIGN(B3967)&lt;&gt;SIGN(B3966),1,0)))</x:f>
        <x:v>0</x:v>
      </x:c>
      <x:c r="D3967" s="256" t="n">
        <x:f>EXP(A3967-0.005)-1</x:f>
        <x:v>105344.42588317649</x:v>
      </x:c>
    </x:row>
    <x:row r="3968" ht="20" customHeight="1">
      <x:c r="A3968" s="256" t="n">
        <x:f>-12+2358*0.01</x:f>
        <x:v>11.580000000000002</x:v>
      </x:c>
      <x:c r="B3968" s="256" t="n">
        <x:f>IF(COUNT($B$129:$L$129)=11,B$129*EXP(IF(A3968&lt;0,(10-0)*A3968,-0*A3968))+C$129*EXP(IF(A3968&lt;0,(10-1)*A3968,-1*A3968))+D$129*EXP(IF(A3968&lt;0,(10-2)*A3968,-2*A3968))+E$129*EXP(IF(A3968&lt;0,(10-3)*A3968,-3*A3968))+F$129*EXP(IF(A3968&lt;0,(10-4)*A3968,-4*A3968))+G$129*EXP(IF(A3968&lt;0,(10-5)*A3968,-5*A3968))+H$129*EXP(IF(A3968&lt;0,(10-6)*A3968,-6*A3968))+I$129*EXP(IF(A3968&lt;0,(10-7)*A3968,-7*A3968))+J$129*EXP(IF(A3968&lt;0,(10-8)*A3968,-8*A3968))+K$129*EXP(IF(A3968&lt;0,(10-9)*A3968,-9*A3968))+L$129*EXP(IF(A3968&lt;0,(10-10)*A3968,-10*A3968)),0)</x:f>
        <x:v>-190000.07624512247</x:v>
      </x:c>
      <x:c r="C3968" s="256" t="n">
        <x:f>IF(B3968=0,IF(B3967=0,0,1),IF(B3967=0,0,IF(SIGN(B3968)&lt;&gt;SIGN(B3967),1,0)))</x:f>
        <x:v>0</x:v>
      </x:c>
      <x:c r="D3968" s="256" t="n">
        <x:f>EXP(A3968-0.005)-1</x:f>
        <x:v>106403.16501485542</x:v>
      </x:c>
    </x:row>
    <x:row r="3969" ht="20" customHeight="1">
      <x:c r="A3969" s="256" t="n">
        <x:f>-12+2359*0.01</x:f>
        <x:v>11.59</x:v>
      </x:c>
      <x:c r="B3969" s="256" t="n">
        <x:f>IF(COUNT($B$129:$L$129)=11,B$129*EXP(IF(A3969&lt;0,(10-0)*A3969,-0*A3969))+C$129*EXP(IF(A3969&lt;0,(10-1)*A3969,-1*A3969))+D$129*EXP(IF(A3969&lt;0,(10-2)*A3969,-2*A3969))+E$129*EXP(IF(A3969&lt;0,(10-3)*A3969,-3*A3969))+F$129*EXP(IF(A3969&lt;0,(10-4)*A3969,-4*A3969))+G$129*EXP(IF(A3969&lt;0,(10-5)*A3969,-5*A3969))+H$129*EXP(IF(A3969&lt;0,(10-6)*A3969,-6*A3969))+I$129*EXP(IF(A3969&lt;0,(10-7)*A3969,-7*A3969))+J$129*EXP(IF(A3969&lt;0,(10-8)*A3969,-8*A3969))+K$129*EXP(IF(A3969&lt;0,(10-9)*A3969,-9*A3969))+L$129*EXP(IF(A3969&lt;0,(10-10)*A3969,-10*A3969)),0)</x:f>
        <x:v>-190000.0754864657</x:v>
      </x:c>
      <x:c r="C3969" s="256" t="n">
        <x:f>IF(B3969=0,IF(B3968=0,0,1),IF(B3968=0,0,IF(SIGN(B3969)&lt;&gt;SIGN(B3968),1,0)))</x:f>
        <x:v>0</x:v>
      </x:c>
      <x:c r="D3969" s="256" t="n">
        <x:f>EXP(A3969-0.005)-1</x:f>
        <x:v>107472.54465170589</x:v>
      </x:c>
    </x:row>
    <x:row r="3970" ht="20" customHeight="1">
      <x:c r="A3970" s="256" t="n">
        <x:f>-12+2360*0.01</x:f>
        <x:v>11.600000000000001</x:v>
      </x:c>
      <x:c r="B3970" s="256" t="n">
        <x:f>IF(COUNT($B$129:$L$129)=11,B$129*EXP(IF(A3970&lt;0,(10-0)*A3970,-0*A3970))+C$129*EXP(IF(A3970&lt;0,(10-1)*A3970,-1*A3970))+D$129*EXP(IF(A3970&lt;0,(10-2)*A3970,-2*A3970))+E$129*EXP(IF(A3970&lt;0,(10-3)*A3970,-3*A3970))+F$129*EXP(IF(A3970&lt;0,(10-4)*A3970,-4*A3970))+G$129*EXP(IF(A3970&lt;0,(10-5)*A3970,-5*A3970))+H$129*EXP(IF(A3970&lt;0,(10-6)*A3970,-6*A3970))+I$129*EXP(IF(A3970&lt;0,(10-7)*A3970,-7*A3970))+J$129*EXP(IF(A3970&lt;0,(10-8)*A3970,-8*A3970))+K$129*EXP(IF(A3970&lt;0,(10-9)*A3970,-9*A3970))+L$129*EXP(IF(A3970&lt;0,(10-10)*A3970,-10*A3970)),0)</x:f>
        <x:v>-190000.07473535783</x:v>
      </x:c>
      <x:c r="C3970" s="256" t="n">
        <x:f>IF(B3970=0,IF(B3969=0,0,1),IF(B3969=0,0,IF(SIGN(B3970)&lt;&gt;SIGN(B3969),1,0)))</x:f>
        <x:v>0</x:v>
      </x:c>
      <x:c r="D3970" s="256" t="n">
        <x:f>EXP(A3970-0.005)-1</x:f>
        <x:v>108552.67173258349</x:v>
      </x:c>
    </x:row>
    <x:row r="3971" ht="20" customHeight="1">
      <x:c r="A3971" s="256" t="n">
        <x:f>-12+2361*0.01</x:f>
        <x:v>11.61</x:v>
      </x:c>
      <x:c r="B3971" s="256" t="n">
        <x:f>IF(COUNT($B$129:$L$129)=11,B$129*EXP(IF(A3971&lt;0,(10-0)*A3971,-0*A3971))+C$129*EXP(IF(A3971&lt;0,(10-1)*A3971,-1*A3971))+D$129*EXP(IF(A3971&lt;0,(10-2)*A3971,-2*A3971))+E$129*EXP(IF(A3971&lt;0,(10-3)*A3971,-3*A3971))+F$129*EXP(IF(A3971&lt;0,(10-4)*A3971,-4*A3971))+G$129*EXP(IF(A3971&lt;0,(10-5)*A3971,-5*A3971))+H$129*EXP(IF(A3971&lt;0,(10-6)*A3971,-6*A3971))+I$129*EXP(IF(A3971&lt;0,(10-7)*A3971,-7*A3971))+J$129*EXP(IF(A3971&lt;0,(10-8)*A3971,-8*A3971))+K$129*EXP(IF(A3971&lt;0,(10-9)*A3971,-9*A3971))+L$129*EXP(IF(A3971&lt;0,(10-10)*A3971,-10*A3971)),0)</x:f>
        <x:v>-190000.07399172365</x:v>
      </x:c>
      <x:c r="C3971" s="256" t="n">
        <x:f>IF(B3971=0,IF(B3970=0,0,1),IF(B3970=0,0,IF(SIGN(B3971)&lt;&gt;SIGN(B3970),1,0)))</x:f>
        <x:v>0</x:v>
      </x:c>
      <x:c r="D3971" s="256" t="n">
        <x:f>EXP(A3971-0.005)-1</x:f>
        <x:v>109643.65427109567</x:v>
      </x:c>
    </x:row>
    <x:row r="3972" ht="20" customHeight="1">
      <x:c r="A3972" s="256" t="n">
        <x:f>-12+2362*0.01</x:f>
        <x:v>11.620000000000001</x:v>
      </x:c>
      <x:c r="B3972" s="256" t="n">
        <x:f>IF(COUNT($B$129:$L$129)=11,B$129*EXP(IF(A3972&lt;0,(10-0)*A3972,-0*A3972))+C$129*EXP(IF(A3972&lt;0,(10-1)*A3972,-1*A3972))+D$129*EXP(IF(A3972&lt;0,(10-2)*A3972,-2*A3972))+E$129*EXP(IF(A3972&lt;0,(10-3)*A3972,-3*A3972))+F$129*EXP(IF(A3972&lt;0,(10-4)*A3972,-4*A3972))+G$129*EXP(IF(A3972&lt;0,(10-5)*A3972,-5*A3972))+H$129*EXP(IF(A3972&lt;0,(10-6)*A3972,-6*A3972))+I$129*EXP(IF(A3972&lt;0,(10-7)*A3972,-7*A3972))+J$129*EXP(IF(A3972&lt;0,(10-8)*A3972,-8*A3972))+K$129*EXP(IF(A3972&lt;0,(10-9)*A3972,-9*A3972))+L$129*EXP(IF(A3972&lt;0,(10-10)*A3972,-10*A3972)),0)</x:f>
        <x:v>-190000.0732554889</x:v>
      </x:c>
      <x:c r="C3972" s="256" t="n">
        <x:f>IF(B3972=0,IF(B3971=0,0,1),IF(B3971=0,0,IF(SIGN(B3972)&lt;&gt;SIGN(B3971),1,0)))</x:f>
        <x:v>0</x:v>
      </x:c>
      <x:c r="D3972" s="256" t="n">
        <x:f>EXP(A3972-0.005)-1</x:f>
        <x:v>110745.6013664062</x:v>
      </x:c>
    </x:row>
    <x:row r="3973" ht="20" customHeight="1">
      <x:c r="A3973" s="256" t="n">
        <x:f>-12+2363*0.01</x:f>
        <x:v>11.629999999999999</x:v>
      </x:c>
      <x:c r="B3973" s="256" t="n">
        <x:f>IF(COUNT($B$129:$L$129)=11,B$129*EXP(IF(A3973&lt;0,(10-0)*A3973,-0*A3973))+C$129*EXP(IF(A3973&lt;0,(10-1)*A3973,-1*A3973))+D$129*EXP(IF(A3973&lt;0,(10-2)*A3973,-2*A3973))+E$129*EXP(IF(A3973&lt;0,(10-3)*A3973,-3*A3973))+F$129*EXP(IF(A3973&lt;0,(10-4)*A3973,-4*A3973))+G$129*EXP(IF(A3973&lt;0,(10-5)*A3973,-5*A3973))+H$129*EXP(IF(A3973&lt;0,(10-6)*A3973,-6*A3973))+I$129*EXP(IF(A3973&lt;0,(10-7)*A3973,-7*A3973))+J$129*EXP(IF(A3973&lt;0,(10-8)*A3973,-8*A3973))+K$129*EXP(IF(A3973&lt;0,(10-9)*A3973,-9*A3973))+L$129*EXP(IF(A3973&lt;0,(10-10)*A3973,-10*A3973)),0)</x:f>
        <x:v>-190000.07252657987</x:v>
      </x:c>
      <x:c r="C3973" s="256" t="n">
        <x:f>IF(B3973=0,IF(B3972=0,0,1),IF(B3972=0,0,IF(SIGN(B3973)&lt;&gt;SIGN(B3972),1,0)))</x:f>
        <x:v>0</x:v>
      </x:c>
      <x:c r="D3973" s="256" t="n">
        <x:f>EXP(A3973-0.005)-1</x:f>
        <x:v>111858.62321414212</x:v>
      </x:c>
    </x:row>
    <x:row r="3974" ht="20" customHeight="1">
      <x:c r="A3974" s="256" t="n">
        <x:f>-12+2364*0.01</x:f>
        <x:v>11.64</x:v>
      </x:c>
      <x:c r="B3974" s="256" t="n">
        <x:f>IF(COUNT($B$129:$L$129)=11,B$129*EXP(IF(A3974&lt;0,(10-0)*A3974,-0*A3974))+C$129*EXP(IF(A3974&lt;0,(10-1)*A3974,-1*A3974))+D$129*EXP(IF(A3974&lt;0,(10-2)*A3974,-2*A3974))+E$129*EXP(IF(A3974&lt;0,(10-3)*A3974,-3*A3974))+F$129*EXP(IF(A3974&lt;0,(10-4)*A3974,-4*A3974))+G$129*EXP(IF(A3974&lt;0,(10-5)*A3974,-5*A3974))+H$129*EXP(IF(A3974&lt;0,(10-6)*A3974,-6*A3974))+I$129*EXP(IF(A3974&lt;0,(10-7)*A3974,-7*A3974))+J$129*EXP(IF(A3974&lt;0,(10-8)*A3974,-8*A3974))+K$129*EXP(IF(A3974&lt;0,(10-9)*A3974,-9*A3974))+L$129*EXP(IF(A3974&lt;0,(10-10)*A3974,-10*A3974)),0)</x:f>
        <x:v>-190000.07180492373</x:v>
      </x:c>
      <x:c r="C3974" s="256" t="n">
        <x:f>IF(B3974=0,IF(B3973=0,0,1),IF(B3973=0,0,IF(SIGN(B3974)&lt;&gt;SIGN(B3973),1,0)))</x:f>
        <x:v>0</x:v>
      </x:c>
      <x:c r="D3974" s="256" t="n">
        <x:f>EXP(A3974-0.005)-1</x:f>
        <x:v>112982.8311174165</x:v>
      </x:c>
    </x:row>
    <x:row r="3975" ht="20" customHeight="1">
      <x:c r="A3975" s="256" t="n">
        <x:f>-12+2365*0.01</x:f>
        <x:v>11.650000000000002</x:v>
      </x:c>
      <x:c r="B3975" s="256" t="n">
        <x:f>IF(COUNT($B$129:$L$129)=11,B$129*EXP(IF(A3975&lt;0,(10-0)*A3975,-0*A3975))+C$129*EXP(IF(A3975&lt;0,(10-1)*A3975,-1*A3975))+D$129*EXP(IF(A3975&lt;0,(10-2)*A3975,-2*A3975))+E$129*EXP(IF(A3975&lt;0,(10-3)*A3975,-3*A3975))+F$129*EXP(IF(A3975&lt;0,(10-4)*A3975,-4*A3975))+G$129*EXP(IF(A3975&lt;0,(10-5)*A3975,-5*A3975))+H$129*EXP(IF(A3975&lt;0,(10-6)*A3975,-6*A3975))+I$129*EXP(IF(A3975&lt;0,(10-7)*A3975,-7*A3975))+J$129*EXP(IF(A3975&lt;0,(10-8)*A3975,-8*A3975))+K$129*EXP(IF(A3975&lt;0,(10-9)*A3975,-9*A3975))+L$129*EXP(IF(A3975&lt;0,(10-10)*A3975,-10*A3975)),0)</x:f>
        <x:v>-190000.07109044827</x:v>
      </x:c>
      <x:c r="C3975" s="256" t="n">
        <x:f>IF(B3975=0,IF(B3974=0,0,1),IF(B3974=0,0,IF(SIGN(B3975)&lt;&gt;SIGN(B3974),1,0)))</x:f>
        <x:v>0</x:v>
      </x:c>
      <x:c r="D3975" s="256" t="n">
        <x:f>EXP(A3975-0.005)-1</x:f>
        <x:v>114118.33749795615</x:v>
      </x:c>
    </x:row>
    <x:row r="3976" ht="20" customHeight="1">
      <x:c r="A3976" s="256" t="n">
        <x:f>-12+2366*0.01</x:f>
        <x:v>11.66</x:v>
      </x:c>
      <x:c r="B3976" s="256" t="n">
        <x:f>IF(COUNT($B$129:$L$129)=11,B$129*EXP(IF(A3976&lt;0,(10-0)*A3976,-0*A3976))+C$129*EXP(IF(A3976&lt;0,(10-1)*A3976,-1*A3976))+D$129*EXP(IF(A3976&lt;0,(10-2)*A3976,-2*A3976))+E$129*EXP(IF(A3976&lt;0,(10-3)*A3976,-3*A3976))+F$129*EXP(IF(A3976&lt;0,(10-4)*A3976,-4*A3976))+G$129*EXP(IF(A3976&lt;0,(10-5)*A3976,-5*A3976))+H$129*EXP(IF(A3976&lt;0,(10-6)*A3976,-6*A3976))+I$129*EXP(IF(A3976&lt;0,(10-7)*A3976,-7*A3976))+J$129*EXP(IF(A3976&lt;0,(10-8)*A3976,-8*A3976))+K$129*EXP(IF(A3976&lt;0,(10-9)*A3976,-9*A3976))+L$129*EXP(IF(A3976&lt;0,(10-10)*A3976,-10*A3976)),0)</x:f>
        <x:v>-190000.07038308206</x:v>
      </x:c>
      <x:c r="C3976" s="256" t="n">
        <x:f>IF(B3976=0,IF(B3975=0,0,1),IF(B3975=0,0,IF(SIGN(B3976)&lt;&gt;SIGN(B3975),1,0)))</x:f>
        <x:v>0</x:v>
      </x:c>
      <x:c r="D3976" s="256" t="n">
        <x:f>EXP(A3976-0.005)-1</x:f>
        <x:v>115265.25590734494</x:v>
      </x:c>
    </x:row>
    <x:row r="3977" ht="20" customHeight="1">
      <x:c r="A3977" s="256" t="n">
        <x:f>-12+2367*0.01</x:f>
        <x:v>11.670000000000002</x:v>
      </x:c>
      <x:c r="B3977" s="256" t="n">
        <x:f>IF(COUNT($B$129:$L$129)=11,B$129*EXP(IF(A3977&lt;0,(10-0)*A3977,-0*A3977))+C$129*EXP(IF(A3977&lt;0,(10-1)*A3977,-1*A3977))+D$129*EXP(IF(A3977&lt;0,(10-2)*A3977,-2*A3977))+E$129*EXP(IF(A3977&lt;0,(10-3)*A3977,-3*A3977))+F$129*EXP(IF(A3977&lt;0,(10-4)*A3977,-4*A3977))+G$129*EXP(IF(A3977&lt;0,(10-5)*A3977,-5*A3977))+H$129*EXP(IF(A3977&lt;0,(10-6)*A3977,-6*A3977))+I$129*EXP(IF(A3977&lt;0,(10-7)*A3977,-7*A3977))+J$129*EXP(IF(A3977&lt;0,(10-8)*A3977,-8*A3977))+K$129*EXP(IF(A3977&lt;0,(10-9)*A3977,-9*A3977))+L$129*EXP(IF(A3977&lt;0,(10-10)*A3977,-10*A3977)),0)</x:f>
        <x:v>-190000.0696827543</x:v>
      </x:c>
      <x:c r="C3977" s="256" t="n">
        <x:f>IF(B3977=0,IF(B3976=0,0,1),IF(B3976=0,0,IF(SIGN(B3977)&lt;&gt;SIGN(B3976),1,0)))</x:f>
        <x:v>0</x:v>
      </x:c>
      <x:c r="D3977" s="256" t="n">
        <x:f>EXP(A3977-0.005)-1</x:f>
        <x:v>116423.70103838042</x:v>
      </x:c>
    </x:row>
    <x:row r="3978" ht="20" customHeight="1">
      <x:c r="A3978" s="256" t="n">
        <x:f>-12+2368*0.01</x:f>
        <x:v>11.68</x:v>
      </x:c>
      <x:c r="B3978" s="256" t="n">
        <x:f>IF(COUNT($B$129:$L$129)=11,B$129*EXP(IF(A3978&lt;0,(10-0)*A3978,-0*A3978))+C$129*EXP(IF(A3978&lt;0,(10-1)*A3978,-1*A3978))+D$129*EXP(IF(A3978&lt;0,(10-2)*A3978,-2*A3978))+E$129*EXP(IF(A3978&lt;0,(10-3)*A3978,-3*A3978))+F$129*EXP(IF(A3978&lt;0,(10-4)*A3978,-4*A3978))+G$129*EXP(IF(A3978&lt;0,(10-5)*A3978,-5*A3978))+H$129*EXP(IF(A3978&lt;0,(10-6)*A3978,-6*A3978))+I$129*EXP(IF(A3978&lt;0,(10-7)*A3978,-7*A3978))+J$129*EXP(IF(A3978&lt;0,(10-8)*A3978,-8*A3978))+K$129*EXP(IF(A3978&lt;0,(10-9)*A3978,-9*A3978))+L$129*EXP(IF(A3978&lt;0,(10-10)*A3978,-10*A3978)),0)</x:f>
        <x:v>-190000.06898939508</x:v>
      </x:c>
      <x:c r="C3978" s="256" t="n">
        <x:f>IF(B3978=0,IF(B3977=0,0,1),IF(B3977=0,0,IF(SIGN(B3978)&lt;&gt;SIGN(B3977),1,0)))</x:f>
        <x:v>0</x:v>
      </x:c>
      <x:c r="D3978" s="256" t="n">
        <x:f>EXP(A3978-0.005)-1</x:f>
        <x:v>117593.78873654021</x:v>
      </x:c>
    </x:row>
    <x:row r="3979" ht="20" customHeight="1">
      <x:c r="A3979" s="256" t="n">
        <x:f>-12+2369*0.01</x:f>
        <x:v>11.690000000000001</x:v>
      </x:c>
      <x:c r="B3979" s="256" t="n">
        <x:f>IF(COUNT($B$129:$L$129)=11,B$129*EXP(IF(A3979&lt;0,(10-0)*A3979,-0*A3979))+C$129*EXP(IF(A3979&lt;0,(10-1)*A3979,-1*A3979))+D$129*EXP(IF(A3979&lt;0,(10-2)*A3979,-2*A3979))+E$129*EXP(IF(A3979&lt;0,(10-3)*A3979,-3*A3979))+F$129*EXP(IF(A3979&lt;0,(10-4)*A3979,-4*A3979))+G$129*EXP(IF(A3979&lt;0,(10-5)*A3979,-5*A3979))+H$129*EXP(IF(A3979&lt;0,(10-6)*A3979,-6*A3979))+I$129*EXP(IF(A3979&lt;0,(10-7)*A3979,-7*A3979))+J$129*EXP(IF(A3979&lt;0,(10-8)*A3979,-8*A3979))+K$129*EXP(IF(A3979&lt;0,(10-9)*A3979,-9*A3979))+L$129*EXP(IF(A3979&lt;0,(10-10)*A3979,-10*A3979)),0)</x:f>
        <x:v>-190000.06830293493</x:v>
      </x:c>
      <x:c r="C3979" s="256" t="n">
        <x:f>IF(B3979=0,IF(B3978=0,0,1),IF(B3978=0,0,IF(SIGN(B3979)&lt;&gt;SIGN(B3978),1,0)))</x:f>
        <x:v>0</x:v>
      </x:c>
      <x:c r="D3979" s="256" t="n">
        <x:f>EXP(A3979-0.005)-1</x:f>
        <x:v>118775.63601157008</x:v>
      </x:c>
    </x:row>
    <x:row r="3980" ht="20" customHeight="1">
      <x:c r="A3980" s="256" t="n">
        <x:f>-12+2370*0.01</x:f>
        <x:v>11.7</x:v>
      </x:c>
      <x:c r="B3980" s="256" t="n">
        <x:f>IF(COUNT($B$129:$L$129)=11,B$129*EXP(IF(A3980&lt;0,(10-0)*A3980,-0*A3980))+C$129*EXP(IF(A3980&lt;0,(10-1)*A3980,-1*A3980))+D$129*EXP(IF(A3980&lt;0,(10-2)*A3980,-2*A3980))+E$129*EXP(IF(A3980&lt;0,(10-3)*A3980,-3*A3980))+F$129*EXP(IF(A3980&lt;0,(10-4)*A3980,-4*A3980))+G$129*EXP(IF(A3980&lt;0,(10-5)*A3980,-5*A3980))+H$129*EXP(IF(A3980&lt;0,(10-6)*A3980,-6*A3980))+I$129*EXP(IF(A3980&lt;0,(10-7)*A3980,-7*A3980))+J$129*EXP(IF(A3980&lt;0,(10-8)*A3980,-8*A3980))+K$129*EXP(IF(A3980&lt;0,(10-9)*A3980,-9*A3980))+L$129*EXP(IF(A3980&lt;0,(10-10)*A3980,-10*A3980)),0)</x:f>
        <x:v>-190000.06762330528</x:v>
      </x:c>
      <x:c r="C3980" s="256" t="n">
        <x:f>IF(B3980=0,IF(B3979=0,0,1),IF(B3979=0,0,IF(SIGN(B3980)&lt;&gt;SIGN(B3979),1,0)))</x:f>
        <x:v>0</x:v>
      </x:c>
      <x:c r="D3980" s="256" t="n">
        <x:f>EXP(A3980-0.005)-1</x:f>
        <x:v>119969.36104918153</x:v>
      </x:c>
    </x:row>
    <x:row r="3981" ht="20" customHeight="1">
      <x:c r="A3981" s="256" t="n">
        <x:f>-12+2371*0.01</x:f>
        <x:v>11.71</x:v>
      </x:c>
      <x:c r="B3981" s="256" t="n">
        <x:f>IF(COUNT($B$129:$L$129)=11,B$129*EXP(IF(A3981&lt;0,(10-0)*A3981,-0*A3981))+C$129*EXP(IF(A3981&lt;0,(10-1)*A3981,-1*A3981))+D$129*EXP(IF(A3981&lt;0,(10-2)*A3981,-2*A3981))+E$129*EXP(IF(A3981&lt;0,(10-3)*A3981,-3*A3981))+F$129*EXP(IF(A3981&lt;0,(10-4)*A3981,-4*A3981))+G$129*EXP(IF(A3981&lt;0,(10-5)*A3981,-5*A3981))+H$129*EXP(IF(A3981&lt;0,(10-6)*A3981,-6*A3981))+I$129*EXP(IF(A3981&lt;0,(10-7)*A3981,-7*A3981))+J$129*EXP(IF(A3981&lt;0,(10-8)*A3981,-8*A3981))+K$129*EXP(IF(A3981&lt;0,(10-9)*A3981,-9*A3981))+L$129*EXP(IF(A3981&lt;0,(10-10)*A3981,-10*A3981)),0)</x:f>
        <x:v>-190000.0669504381</x:v>
      </x:c>
      <x:c r="C3981" s="256" t="n">
        <x:f>IF(B3981=0,IF(B3980=0,0,1),IF(B3980=0,0,IF(SIGN(B3981)&lt;&gt;SIGN(B3980),1,0)))</x:f>
        <x:v>0</x:v>
      </x:c>
      <x:c r="D3981" s="256" t="n">
        <x:f>EXP(A3981-0.005)-1</x:f>
        <x:v>121175.08322287396</x:v>
      </x:c>
    </x:row>
    <x:row r="3982" ht="20" customHeight="1">
      <x:c r="A3982" s="256" t="n">
        <x:f>-12+2372*0.01</x:f>
        <x:v>11.719999999999999</x:v>
      </x:c>
      <x:c r="B3982" s="256" t="n">
        <x:f>IF(COUNT($B$129:$L$129)=11,B$129*EXP(IF(A3982&lt;0,(10-0)*A3982,-0*A3982))+C$129*EXP(IF(A3982&lt;0,(10-1)*A3982,-1*A3982))+D$129*EXP(IF(A3982&lt;0,(10-2)*A3982,-2*A3982))+E$129*EXP(IF(A3982&lt;0,(10-3)*A3982,-3*A3982))+F$129*EXP(IF(A3982&lt;0,(10-4)*A3982,-4*A3982))+G$129*EXP(IF(A3982&lt;0,(10-5)*A3982,-5*A3982))+H$129*EXP(IF(A3982&lt;0,(10-6)*A3982,-6*A3982))+I$129*EXP(IF(A3982&lt;0,(10-7)*A3982,-7*A3982))+J$129*EXP(IF(A3982&lt;0,(10-8)*A3982,-8*A3982))+K$129*EXP(IF(A3982&lt;0,(10-9)*A3982,-9*A3982))+L$129*EXP(IF(A3982&lt;0,(10-10)*A3982,-10*A3982)),0)</x:f>
        <x:v>-190000.06628426618</x:v>
      </x:c>
      <x:c r="C3982" s="256" t="n">
        <x:f>IF(B3982=0,IF(B3981=0,0,1),IF(B3981=0,0,IF(SIGN(B3982)&lt;&gt;SIGN(B3981),1,0)))</x:f>
        <x:v>0</x:v>
      </x:c>
      <x:c r="D3982" s="256" t="n">
        <x:f>EXP(A3982-0.005)-1</x:f>
        <x:v>122392.92310586866</x:v>
      </x:c>
    </x:row>
    <x:row r="3983" ht="20" customHeight="1">
      <x:c r="A3983" s="256" t="n">
        <x:f>-12+2373*0.01</x:f>
        <x:v>11.73</x:v>
      </x:c>
      <x:c r="B3983" s="256" t="n">
        <x:f>IF(COUNT($B$129:$L$129)=11,B$129*EXP(IF(A3983&lt;0,(10-0)*A3983,-0*A3983))+C$129*EXP(IF(A3983&lt;0,(10-1)*A3983,-1*A3983))+D$129*EXP(IF(A3983&lt;0,(10-2)*A3983,-2*A3983))+E$129*EXP(IF(A3983&lt;0,(10-3)*A3983,-3*A3983))+F$129*EXP(IF(A3983&lt;0,(10-4)*A3983,-4*A3983))+G$129*EXP(IF(A3983&lt;0,(10-5)*A3983,-5*A3983))+H$129*EXP(IF(A3983&lt;0,(10-6)*A3983,-6*A3983))+I$129*EXP(IF(A3983&lt;0,(10-7)*A3983,-7*A3983))+J$129*EXP(IF(A3983&lt;0,(10-8)*A3983,-8*A3983))+K$129*EXP(IF(A3983&lt;0,(10-9)*A3983,-9*A3983))+L$129*EXP(IF(A3983&lt;0,(10-10)*A3983,-10*A3983)),0)</x:f>
        <x:v>-190000.06562472286</x:v>
      </x:c>
      <x:c r="C3983" s="256" t="n">
        <x:f>IF(B3983=0,IF(B3982=0,0,1),IF(B3982=0,0,IF(SIGN(B3983)&lt;&gt;SIGN(B3982),1,0)))</x:f>
        <x:v>0</x:v>
      </x:c>
      <x:c r="D3983" s="256" t="n">
        <x:f>EXP(A3983-0.005)-1</x:f>
        <x:v>123623.00248316965</x:v>
      </x:c>
    </x:row>
    <x:row r="3984" ht="20" customHeight="1">
      <x:c r="A3984" s="256" t="n">
        <x:f>-12+2374*0.01</x:f>
        <x:v>11.740000000000002</x:v>
      </x:c>
      <x:c r="B3984" s="256" t="n">
        <x:f>IF(COUNT($B$129:$L$129)=11,B$129*EXP(IF(A3984&lt;0,(10-0)*A3984,-0*A3984))+C$129*EXP(IF(A3984&lt;0,(10-1)*A3984,-1*A3984))+D$129*EXP(IF(A3984&lt;0,(10-2)*A3984,-2*A3984))+E$129*EXP(IF(A3984&lt;0,(10-3)*A3984,-3*A3984))+F$129*EXP(IF(A3984&lt;0,(10-4)*A3984,-4*A3984))+G$129*EXP(IF(A3984&lt;0,(10-5)*A3984,-5*A3984))+H$129*EXP(IF(A3984&lt;0,(10-6)*A3984,-6*A3984))+I$129*EXP(IF(A3984&lt;0,(10-7)*A3984,-7*A3984))+J$129*EXP(IF(A3984&lt;0,(10-8)*A3984,-8*A3984))+K$129*EXP(IF(A3984&lt;0,(10-9)*A3984,-9*A3984))+L$129*EXP(IF(A3984&lt;0,(10-10)*A3984,-10*A3984)),0)</x:f>
        <x:v>-190000.0649717422</x:v>
      </x:c>
      <x:c r="C3984" s="256" t="n">
        <x:f>IF(B3984=0,IF(B3983=0,0,1),IF(B3983=0,0,IF(SIGN(B3984)&lt;&gt;SIGN(B3983),1,0)))</x:f>
        <x:v>0</x:v>
      </x:c>
      <x:c r="D3984" s="256" t="n">
        <x:f>EXP(A3984-0.005)-1</x:f>
        <x:v>124865.4443637393</x:v>
      </x:c>
    </x:row>
    <x:row r="3985" ht="20" customHeight="1">
      <x:c r="A3985" s="256" t="n">
        <x:f>-12+2375*0.01</x:f>
        <x:v>11.75</x:v>
      </x:c>
      <x:c r="B3985" s="256" t="n">
        <x:f>IF(COUNT($B$129:$L$129)=11,B$129*EXP(IF(A3985&lt;0,(10-0)*A3985,-0*A3985))+C$129*EXP(IF(A3985&lt;0,(10-1)*A3985,-1*A3985))+D$129*EXP(IF(A3985&lt;0,(10-2)*A3985,-2*A3985))+E$129*EXP(IF(A3985&lt;0,(10-3)*A3985,-3*A3985))+F$129*EXP(IF(A3985&lt;0,(10-4)*A3985,-4*A3985))+G$129*EXP(IF(A3985&lt;0,(10-5)*A3985,-5*A3985))+H$129*EXP(IF(A3985&lt;0,(10-6)*A3985,-6*A3985))+I$129*EXP(IF(A3985&lt;0,(10-7)*A3985,-7*A3985))+J$129*EXP(IF(A3985&lt;0,(10-8)*A3985,-8*A3985))+K$129*EXP(IF(A3985&lt;0,(10-9)*A3985,-9*A3985))+L$129*EXP(IF(A3985&lt;0,(10-10)*A3985,-10*A3985)),0)</x:f>
        <x:v>-190000.0643252588</x:v>
      </x:c>
      <x:c r="C3985" s="256" t="n">
        <x:f>IF(B3985=0,IF(B3984=0,0,1),IF(B3984=0,0,IF(SIGN(B3985)&lt;&gt;SIGN(B3984),1,0)))</x:f>
        <x:v>0</x:v>
      </x:c>
      <x:c r="D3985" s="256" t="n">
        <x:f>EXP(A3985-0.005)-1</x:f>
        <x:v>126120.3729928006</x:v>
      </x:c>
    </x:row>
    <x:row r="3986" ht="20" customHeight="1">
      <x:c r="A3986" s="256" t="n">
        <x:f>-12+2376*0.01</x:f>
        <x:v>11.760000000000002</x:v>
      </x:c>
      <x:c r="B3986" s="256" t="n">
        <x:f>IF(COUNT($B$129:$L$129)=11,B$129*EXP(IF(A3986&lt;0,(10-0)*A3986,-0*A3986))+C$129*EXP(IF(A3986&lt;0,(10-1)*A3986,-1*A3986))+D$129*EXP(IF(A3986&lt;0,(10-2)*A3986,-2*A3986))+E$129*EXP(IF(A3986&lt;0,(10-3)*A3986,-3*A3986))+F$129*EXP(IF(A3986&lt;0,(10-4)*A3986,-4*A3986))+G$129*EXP(IF(A3986&lt;0,(10-5)*A3986,-5*A3986))+H$129*EXP(IF(A3986&lt;0,(10-6)*A3986,-6*A3986))+I$129*EXP(IF(A3986&lt;0,(10-7)*A3986,-7*A3986))+J$129*EXP(IF(A3986&lt;0,(10-8)*A3986,-8*A3986))+K$129*EXP(IF(A3986&lt;0,(10-9)*A3986,-9*A3986))+L$129*EXP(IF(A3986&lt;0,(10-10)*A3986,-10*A3986)),0)</x:f>
        <x:v>-190000.06368520815</x:v>
      </x:c>
      <x:c r="C3986" s="256" t="n">
        <x:f>IF(B3986=0,IF(B3985=0,0,1),IF(B3985=0,0,IF(SIGN(B3986)&lt;&gt;SIGN(B3985),1,0)))</x:f>
        <x:v>0</x:v>
      </x:c>
      <x:c r="D3986" s="256" t="n">
        <x:f>EXP(A3986-0.005)-1</x:f>
        <x:v>127387.91386426313</x:v>
      </x:c>
    </x:row>
    <x:row r="3987" ht="20" customHeight="1">
      <x:c r="A3987" s="256" t="n">
        <x:f>-12+2377*0.01</x:f>
        <x:v>11.77</x:v>
      </x:c>
      <x:c r="B3987" s="256" t="n">
        <x:f>IF(COUNT($B$129:$L$129)=11,B$129*EXP(IF(A3987&lt;0,(10-0)*A3987,-0*A3987))+C$129*EXP(IF(A3987&lt;0,(10-1)*A3987,-1*A3987))+D$129*EXP(IF(A3987&lt;0,(10-2)*A3987,-2*A3987))+E$129*EXP(IF(A3987&lt;0,(10-3)*A3987,-3*A3987))+F$129*EXP(IF(A3987&lt;0,(10-4)*A3987,-4*A3987))+G$129*EXP(IF(A3987&lt;0,(10-5)*A3987,-5*A3987))+H$129*EXP(IF(A3987&lt;0,(10-6)*A3987,-6*A3987))+I$129*EXP(IF(A3987&lt;0,(10-7)*A3987,-7*A3987))+J$129*EXP(IF(A3987&lt;0,(10-8)*A3987,-8*A3987))+K$129*EXP(IF(A3987&lt;0,(10-9)*A3987,-9*A3987))+L$129*EXP(IF(A3987&lt;0,(10-10)*A3987,-10*A3987)),0)</x:f>
        <x:v>-190000.0630515262</x:v>
      </x:c>
      <x:c r="C3987" s="256" t="n">
        <x:f>IF(B3987=0,IF(B3986=0,0,1),IF(B3986=0,0,IF(SIGN(B3987)&lt;&gt;SIGN(B3986),1,0)))</x:f>
        <x:v>0</x:v>
      </x:c>
      <x:c r="D3987" s="256" t="n">
        <x:f>EXP(A3987-0.005)-1</x:f>
        <x:v>128668.1937332694</x:v>
      </x:c>
    </x:row>
    <x:row r="3988" ht="20" customHeight="1">
      <x:c r="A3988" s="256" t="n">
        <x:f>-12+2378*0.01</x:f>
        <x:v>11.780000000000001</x:v>
      </x:c>
      <x:c r="B3988" s="256" t="n">
        <x:f>IF(COUNT($B$129:$L$129)=11,B$129*EXP(IF(A3988&lt;0,(10-0)*A3988,-0*A3988))+C$129*EXP(IF(A3988&lt;0,(10-1)*A3988,-1*A3988))+D$129*EXP(IF(A3988&lt;0,(10-2)*A3988,-2*A3988))+E$129*EXP(IF(A3988&lt;0,(10-3)*A3988,-3*A3988))+F$129*EXP(IF(A3988&lt;0,(10-4)*A3988,-4*A3988))+G$129*EXP(IF(A3988&lt;0,(10-5)*A3988,-5*A3988))+H$129*EXP(IF(A3988&lt;0,(10-6)*A3988,-6*A3988))+I$129*EXP(IF(A3988&lt;0,(10-7)*A3988,-7*A3988))+J$129*EXP(IF(A3988&lt;0,(10-8)*A3988,-8*A3988))+K$129*EXP(IF(A3988&lt;0,(10-9)*A3988,-9*A3988))+L$129*EXP(IF(A3988&lt;0,(10-10)*A3988,-10*A3988)),0)</x:f>
        <x:v>-190000.0624241495</x:v>
      </x:c>
      <x:c r="C3988" s="256" t="n">
        <x:f>IF(B3988=0,IF(B3987=0,0,1),IF(B3987=0,0,IF(SIGN(B3988)&lt;&gt;SIGN(B3987),1,0)))</x:f>
        <x:v>0</x:v>
      </x:c>
      <x:c r="D3988" s="256" t="n">
        <x:f>EXP(A3988-0.005)-1</x:f>
        <x:v>129961.34062887417</x:v>
      </x:c>
    </x:row>
    <x:row r="3989" ht="20" customHeight="1">
      <x:c r="A3989" s="256" t="n">
        <x:f>-12+2379*0.01</x:f>
        <x:v>11.79</x:v>
      </x:c>
      <x:c r="B3989" s="256" t="n">
        <x:f>IF(COUNT($B$129:$L$129)=11,B$129*EXP(IF(A3989&lt;0,(10-0)*A3989,-0*A3989))+C$129*EXP(IF(A3989&lt;0,(10-1)*A3989,-1*A3989))+D$129*EXP(IF(A3989&lt;0,(10-2)*A3989,-2*A3989))+E$129*EXP(IF(A3989&lt;0,(10-3)*A3989,-3*A3989))+F$129*EXP(IF(A3989&lt;0,(10-4)*A3989,-4*A3989))+G$129*EXP(IF(A3989&lt;0,(10-5)*A3989,-5*A3989))+H$129*EXP(IF(A3989&lt;0,(10-6)*A3989,-6*A3989))+I$129*EXP(IF(A3989&lt;0,(10-7)*A3989,-7*A3989))+J$129*EXP(IF(A3989&lt;0,(10-8)*A3989,-8*A3989))+K$129*EXP(IF(A3989&lt;0,(10-9)*A3989,-9*A3989))+L$129*EXP(IF(A3989&lt;0,(10-10)*A3989,-10*A3989)),0)</x:f>
        <x:v>-190000.06180301544</x:v>
      </x:c>
      <x:c r="C3989" s="256" t="n">
        <x:f>IF(B3989=0,IF(B3988=0,0,1),IF(B3988=0,0,IF(SIGN(B3989)&lt;&gt;SIGN(B3988),1,0)))</x:f>
        <x:v>0</x:v>
      </x:c>
      <x:c r="D3989" s="256" t="n">
        <x:f>EXP(A3989-0.005)-1</x:f>
        <x:v>131267.48386684366</x:v>
      </x:c>
    </x:row>
    <x:row r="3990" ht="20" customHeight="1">
      <x:c r="A3990" s="256" t="n">
        <x:f>-12+2380*0.01</x:f>
        <x:v>11.8</x:v>
      </x:c>
      <x:c r="B3990" s="256" t="n">
        <x:f>IF(COUNT($B$129:$L$129)=11,B$129*EXP(IF(A3990&lt;0,(10-0)*A3990,-0*A3990))+C$129*EXP(IF(A3990&lt;0,(10-1)*A3990,-1*A3990))+D$129*EXP(IF(A3990&lt;0,(10-2)*A3990,-2*A3990))+E$129*EXP(IF(A3990&lt;0,(10-3)*A3990,-3*A3990))+F$129*EXP(IF(A3990&lt;0,(10-4)*A3990,-4*A3990))+G$129*EXP(IF(A3990&lt;0,(10-5)*A3990,-5*A3990))+H$129*EXP(IF(A3990&lt;0,(10-6)*A3990,-6*A3990))+I$129*EXP(IF(A3990&lt;0,(10-7)*A3990,-7*A3990))+J$129*EXP(IF(A3990&lt;0,(10-8)*A3990,-8*A3990))+K$129*EXP(IF(A3990&lt;0,(10-9)*A3990,-9*A3990))+L$129*EXP(IF(A3990&lt;0,(10-10)*A3990,-10*A3990)),0)</x:f>
        <x:v>-190000.0611880618</x:v>
      </x:c>
      <x:c r="C3990" s="256" t="n">
        <x:f>IF(B3990=0,IF(B3989=0,0,1),IF(B3989=0,0,IF(SIGN(B3990)&lt;&gt;SIGN(B3989),1,0)))</x:f>
        <x:v>0</x:v>
      </x:c>
      <x:c r="D3990" s="256" t="n">
        <x:f>EXP(A3990-0.005)-1</x:f>
        <x:v>132586.75406259106</x:v>
      </x:c>
    </x:row>
    <x:row r="3991" ht="20" customHeight="1">
      <x:c r="A3991" s="256" t="n">
        <x:f>-12+2381*0.01</x:f>
        <x:v>11.809999999999999</x:v>
      </x:c>
      <x:c r="B3991" s="256" t="n">
        <x:f>IF(COUNT($B$129:$L$129)=11,B$129*EXP(IF(A3991&lt;0,(10-0)*A3991,-0*A3991))+C$129*EXP(IF(A3991&lt;0,(10-1)*A3991,-1*A3991))+D$129*EXP(IF(A3991&lt;0,(10-2)*A3991,-2*A3991))+E$129*EXP(IF(A3991&lt;0,(10-3)*A3991,-3*A3991))+F$129*EXP(IF(A3991&lt;0,(10-4)*A3991,-4*A3991))+G$129*EXP(IF(A3991&lt;0,(10-5)*A3991,-5*A3991))+H$129*EXP(IF(A3991&lt;0,(10-6)*A3991,-6*A3991))+I$129*EXP(IF(A3991&lt;0,(10-7)*A3991,-7*A3991))+J$129*EXP(IF(A3991&lt;0,(10-8)*A3991,-8*A3991))+K$129*EXP(IF(A3991&lt;0,(10-9)*A3991,-9*A3991))+L$129*EXP(IF(A3991&lt;0,(10-10)*A3991,-10*A3991)),0)</x:f>
        <x:v>-190000.0605792271</x:v>
      </x:c>
      <x:c r="C3991" s="256" t="n">
        <x:f>IF(B3991=0,IF(B3990=0,0,1),IF(B3990=0,0,IF(SIGN(B3991)&lt;&gt;SIGN(B3990),1,0)))</x:f>
        <x:v>0</x:v>
      </x:c>
      <x:c r="D3991" s="256" t="n">
        <x:f>EXP(A3991-0.005)-1</x:f>
        <x:v>133919.28314423442</x:v>
      </x:c>
    </x:row>
    <x:row r="3992" ht="20" customHeight="1">
      <x:c r="A3992" s="256" t="n">
        <x:f>-12+2382*0.01</x:f>
        <x:v>11.82</x:v>
      </x:c>
      <x:c r="B3992" s="256" t="n">
        <x:f>IF(COUNT($B$129:$L$129)=11,B$129*EXP(IF(A3992&lt;0,(10-0)*A3992,-0*A3992))+C$129*EXP(IF(A3992&lt;0,(10-1)*A3992,-1*A3992))+D$129*EXP(IF(A3992&lt;0,(10-2)*A3992,-2*A3992))+E$129*EXP(IF(A3992&lt;0,(10-3)*A3992,-3*A3992))+F$129*EXP(IF(A3992&lt;0,(10-4)*A3992,-4*A3992))+G$129*EXP(IF(A3992&lt;0,(10-5)*A3992,-5*A3992))+H$129*EXP(IF(A3992&lt;0,(10-6)*A3992,-6*A3992))+I$129*EXP(IF(A3992&lt;0,(10-7)*A3992,-7*A3992))+J$129*EXP(IF(A3992&lt;0,(10-8)*A3992,-8*A3992))+K$129*EXP(IF(A3992&lt;0,(10-9)*A3992,-9*A3992))+L$129*EXP(IF(A3992&lt;0,(10-10)*A3992,-10*A3992)),0)</x:f>
        <x:v>-190000.0599764505</x:v>
      </x:c>
      <x:c r="C3992" s="256" t="n">
        <x:f>IF(B3992=0,IF(B3991=0,0,1),IF(B3991=0,0,IF(SIGN(B3992)&lt;&gt;SIGN(B3991),1,0)))</x:f>
        <x:v>0</x:v>
      </x:c>
      <x:c r="D3992" s="256" t="n">
        <x:f>EXP(A3992-0.005)-1</x:f>
        <x:v>135265.20436579327</x:v>
      </x:c>
    </x:row>
    <x:row r="3993" ht="20" customHeight="1">
      <x:c r="A3993" s="256" t="n">
        <x:f>-12+2383*0.01</x:f>
        <x:v>11.830000000000002</x:v>
      </x:c>
      <x:c r="B3993" s="256" t="n">
        <x:f>IF(COUNT($B$129:$L$129)=11,B$129*EXP(IF(A3993&lt;0,(10-0)*A3993,-0*A3993))+C$129*EXP(IF(A3993&lt;0,(10-1)*A3993,-1*A3993))+D$129*EXP(IF(A3993&lt;0,(10-2)*A3993,-2*A3993))+E$129*EXP(IF(A3993&lt;0,(10-3)*A3993,-3*A3993))+F$129*EXP(IF(A3993&lt;0,(10-4)*A3993,-4*A3993))+G$129*EXP(IF(A3993&lt;0,(10-5)*A3993,-5*A3993))+H$129*EXP(IF(A3993&lt;0,(10-6)*A3993,-6*A3993))+I$129*EXP(IF(A3993&lt;0,(10-7)*A3993,-7*A3993))+J$129*EXP(IF(A3993&lt;0,(10-8)*A3993,-8*A3993))+K$129*EXP(IF(A3993&lt;0,(10-9)*A3993,-9*A3993))+L$129*EXP(IF(A3993&lt;0,(10-10)*A3993,-10*A3993)),0)</x:f>
        <x:v>-190000.0593796717</x:v>
      </x:c>
      <x:c r="C3993" s="256" t="n">
        <x:f>IF(B3993=0,IF(B3992=0,0,1),IF(B3992=0,0,IF(SIGN(B3993)&lt;&gt;SIGN(B3992),1,0)))</x:f>
        <x:v>0</x:v>
      </x:c>
      <x:c r="D3993" s="256" t="n">
        <x:f>EXP(A3993-0.005)-1</x:f>
        <x:v>136624.65232051094</x:v>
      </x:c>
    </x:row>
    <x:row r="3994" ht="20" customHeight="1">
      <x:c r="A3994" s="256" t="n">
        <x:f>-12+2384*0.01</x:f>
        <x:v>11.84</x:v>
      </x:c>
      <x:c r="B3994" s="256" t="n">
        <x:f>IF(COUNT($B$129:$L$129)=11,B$129*EXP(IF(A3994&lt;0,(10-0)*A3994,-0*A3994))+C$129*EXP(IF(A3994&lt;0,(10-1)*A3994,-1*A3994))+D$129*EXP(IF(A3994&lt;0,(10-2)*A3994,-2*A3994))+E$129*EXP(IF(A3994&lt;0,(10-3)*A3994,-3*A3994))+F$129*EXP(IF(A3994&lt;0,(10-4)*A3994,-4*A3994))+G$129*EXP(IF(A3994&lt;0,(10-5)*A3994,-5*A3994))+H$129*EXP(IF(A3994&lt;0,(10-6)*A3994,-6*A3994))+I$129*EXP(IF(A3994&lt;0,(10-7)*A3994,-7*A3994))+J$129*EXP(IF(A3994&lt;0,(10-8)*A3994,-8*A3994))+K$129*EXP(IF(A3994&lt;0,(10-9)*A3994,-9*A3994))+L$129*EXP(IF(A3994&lt;0,(10-10)*A3994,-10*A3994)),0)</x:f>
        <x:v>-190000.058788831</x:v>
      </x:c>
      <x:c r="C3994" s="256" t="n">
        <x:f>IF(B3994=0,IF(B3993=0,0,1),IF(B3993=0,0,IF(SIGN(B3994)&lt;&gt;SIGN(B3993),1,0)))</x:f>
        <x:v>0</x:v>
      </x:c>
      <x:c r="D3994" s="256" t="n">
        <x:f>EXP(A3994-0.005)-1</x:f>
        <x:v>137997.76295431526</x:v>
      </x:c>
    </x:row>
    <x:row r="3995" ht="20" customHeight="1">
      <x:c r="A3995" s="256" t="n">
        <x:f>-12+2385*0.01</x:f>
        <x:v>11.850000000000001</x:v>
      </x:c>
      <x:c r="B3995" s="256" t="n">
        <x:f>IF(COUNT($B$129:$L$129)=11,B$129*EXP(IF(A3995&lt;0,(10-0)*A3995,-0*A3995))+C$129*EXP(IF(A3995&lt;0,(10-1)*A3995,-1*A3995))+D$129*EXP(IF(A3995&lt;0,(10-2)*A3995,-2*A3995))+E$129*EXP(IF(A3995&lt;0,(10-3)*A3995,-3*A3995))+F$129*EXP(IF(A3995&lt;0,(10-4)*A3995,-4*A3995))+G$129*EXP(IF(A3995&lt;0,(10-5)*A3995,-5*A3995))+H$129*EXP(IF(A3995&lt;0,(10-6)*A3995,-6*A3995))+I$129*EXP(IF(A3995&lt;0,(10-7)*A3995,-7*A3995))+J$129*EXP(IF(A3995&lt;0,(10-8)*A3995,-8*A3995))+K$129*EXP(IF(A3995&lt;0,(10-9)*A3995,-9*A3995))+L$129*EXP(IF(A3995&lt;0,(10-10)*A3995,-10*A3995)),0)</x:f>
        <x:v>-190000.0582038693</x:v>
      </x:c>
      <x:c r="C3995" s="256" t="n">
        <x:f>IF(B3995=0,IF(B3994=0,0,1),IF(B3994=0,0,IF(SIGN(B3995)&lt;&gt;SIGN(B3994),1,0)))</x:f>
        <x:v>0</x:v>
      </x:c>
      <x:c r="D3995" s="256" t="n">
        <x:f>EXP(A3995-0.005)-1</x:f>
        <x:v>139384.67357941484</x:v>
      </x:c>
    </x:row>
    <x:row r="3996" ht="20" customHeight="1">
      <x:c r="A3996" s="256" t="n">
        <x:f>-12+2386*0.01</x:f>
        <x:v>11.86</x:v>
      </x:c>
      <x:c r="B3996" s="256" t="n">
        <x:f>IF(COUNT($B$129:$L$129)=11,B$129*EXP(IF(A3996&lt;0,(10-0)*A3996,-0*A3996))+C$129*EXP(IF(A3996&lt;0,(10-1)*A3996,-1*A3996))+D$129*EXP(IF(A3996&lt;0,(10-2)*A3996,-2*A3996))+E$129*EXP(IF(A3996&lt;0,(10-3)*A3996,-3*A3996))+F$129*EXP(IF(A3996&lt;0,(10-4)*A3996,-4*A3996))+G$129*EXP(IF(A3996&lt;0,(10-5)*A3996,-5*A3996))+H$129*EXP(IF(A3996&lt;0,(10-6)*A3996,-6*A3996))+I$129*EXP(IF(A3996&lt;0,(10-7)*A3996,-7*A3996))+J$129*EXP(IF(A3996&lt;0,(10-8)*A3996,-8*A3996))+K$129*EXP(IF(A3996&lt;0,(10-9)*A3996,-9*A3996))+L$129*EXP(IF(A3996&lt;0,(10-10)*A3996,-10*A3996)),0)</x:f>
        <x:v>-190000.05762472816</x:v>
      </x:c>
      <x:c r="C3996" s="256" t="n">
        <x:f>IF(B3996=0,IF(B3995=0,0,1),IF(B3995=0,0,IF(SIGN(B3996)&lt;&gt;SIGN(B3995),1,0)))</x:f>
        <x:v>0</x:v>
      </x:c>
      <x:c r="D3996" s="256" t="n">
        <x:f>EXP(A3996-0.005)-1</x:f>
        <x:v>140785.522888027</x:v>
      </x:c>
    </x:row>
    <x:row r="3997" ht="20" customHeight="1">
      <x:c r="A3997" s="256" t="n">
        <x:f>-12+2387*0.01</x:f>
        <x:v>11.870000000000001</x:v>
      </x:c>
      <x:c r="B3997" s="256" t="n">
        <x:f>IF(COUNT($B$129:$L$129)=11,B$129*EXP(IF(A3997&lt;0,(10-0)*A3997,-0*A3997))+C$129*EXP(IF(A3997&lt;0,(10-1)*A3997,-1*A3997))+D$129*EXP(IF(A3997&lt;0,(10-2)*A3997,-2*A3997))+E$129*EXP(IF(A3997&lt;0,(10-3)*A3997,-3*A3997))+F$129*EXP(IF(A3997&lt;0,(10-4)*A3997,-4*A3997))+G$129*EXP(IF(A3997&lt;0,(10-5)*A3997,-5*A3997))+H$129*EXP(IF(A3997&lt;0,(10-6)*A3997,-6*A3997))+I$129*EXP(IF(A3997&lt;0,(10-7)*A3997,-7*A3997))+J$129*EXP(IF(A3997&lt;0,(10-8)*A3997,-8*A3997))+K$129*EXP(IF(A3997&lt;0,(10-9)*A3997,-9*A3997))+L$129*EXP(IF(A3997&lt;0,(10-10)*A3997,-10*A3997)),0)</x:f>
        <x:v>-190000.0570513496</x:v>
      </x:c>
      <x:c r="C3997" s="256" t="n">
        <x:f>IF(B3997=0,IF(B3996=0,0,1),IF(B3996=0,0,IF(SIGN(B3997)&lt;&gt;SIGN(B3996),1,0)))</x:f>
        <x:v>0</x:v>
      </x:c>
      <x:c r="D3997" s="256" t="n">
        <x:f>EXP(A3997-0.005)-1</x:f>
        <x:v>142200.45096625094</x:v>
      </x:c>
    </x:row>
    <x:row r="3998" ht="20" customHeight="1">
      <x:c r="A3998" s="256" t="n">
        <x:f>-12+2388*0.01</x:f>
        <x:v>11.879999999999999</x:v>
      </x:c>
      <x:c r="B3998" s="256" t="n">
        <x:f>IF(COUNT($B$129:$L$129)=11,B$129*EXP(IF(A3998&lt;0,(10-0)*A3998,-0*A3998))+C$129*EXP(IF(A3998&lt;0,(10-1)*A3998,-1*A3998))+D$129*EXP(IF(A3998&lt;0,(10-2)*A3998,-2*A3998))+E$129*EXP(IF(A3998&lt;0,(10-3)*A3998,-3*A3998))+F$129*EXP(IF(A3998&lt;0,(10-4)*A3998,-4*A3998))+G$129*EXP(IF(A3998&lt;0,(10-5)*A3998,-5*A3998))+H$129*EXP(IF(A3998&lt;0,(10-6)*A3998,-6*A3998))+I$129*EXP(IF(A3998&lt;0,(10-7)*A3998,-7*A3998))+J$129*EXP(IF(A3998&lt;0,(10-8)*A3998,-8*A3998))+K$129*EXP(IF(A3998&lt;0,(10-9)*A3998,-9*A3998))+L$129*EXP(IF(A3998&lt;0,(10-10)*A3998,-10*A3998)),0)</x:f>
        <x:v>-190000.05648367634</x:v>
      </x:c>
      <x:c r="C3998" s="256" t="n">
        <x:f>IF(B3998=0,IF(B3997=0,0,1),IF(B3997=0,0,IF(SIGN(B3998)&lt;&gt;SIGN(B3997),1,0)))</x:f>
        <x:v>0</x:v>
      </x:c>
      <x:c r="D3998" s="256" t="n">
        <x:f>EXP(A3998-0.005)-1</x:f>
        <x:v>143629.5993080726</x:v>
      </x:c>
    </x:row>
    <x:row r="3999" ht="20" customHeight="1">
      <x:c r="A3999" s="256" t="n">
        <x:f>-12+2389*0.01</x:f>
        <x:v>11.89</x:v>
      </x:c>
      <x:c r="B3999" s="256" t="n">
        <x:f>IF(COUNT($B$129:$L$129)=11,B$129*EXP(IF(A3999&lt;0,(10-0)*A3999,-0*A3999))+C$129*EXP(IF(A3999&lt;0,(10-1)*A3999,-1*A3999))+D$129*EXP(IF(A3999&lt;0,(10-2)*A3999,-2*A3999))+E$129*EXP(IF(A3999&lt;0,(10-3)*A3999,-3*A3999))+F$129*EXP(IF(A3999&lt;0,(10-4)*A3999,-4*A3999))+G$129*EXP(IF(A3999&lt;0,(10-5)*A3999,-5*A3999))+H$129*EXP(IF(A3999&lt;0,(10-6)*A3999,-6*A3999))+I$129*EXP(IF(A3999&lt;0,(10-7)*A3999,-7*A3999))+J$129*EXP(IF(A3999&lt;0,(10-8)*A3999,-8*A3999))+K$129*EXP(IF(A3999&lt;0,(10-9)*A3999,-9*A3999))+L$129*EXP(IF(A3999&lt;0,(10-10)*A3999,-10*A3999)),0)</x:f>
        <x:v>-190000.05592165154</x:v>
      </x:c>
      <x:c r="C3999" s="256" t="n">
        <x:f>IF(B3999=0,IF(B3998=0,0,1),IF(B3998=0,0,IF(SIGN(B3999)&lt;&gt;SIGN(B3998),1,0)))</x:f>
        <x:v>0</x:v>
      </x:c>
      <x:c r="D3999" s="256" t="n">
        <x:f>EXP(A3999-0.005)-1</x:f>
        <x:v>145073.11082951815</x:v>
      </x:c>
    </x:row>
    <x:row r="4000" ht="20" customHeight="1">
      <x:c r="A4000" s="256" t="n">
        <x:f>-12+2390*0.01</x:f>
        <x:v>11.900000000000002</x:v>
      </x:c>
      <x:c r="B4000" s="256" t="n">
        <x:f>IF(COUNT($B$129:$L$129)=11,B$129*EXP(IF(A4000&lt;0,(10-0)*A4000,-0*A4000))+C$129*EXP(IF(A4000&lt;0,(10-1)*A4000,-1*A4000))+D$129*EXP(IF(A4000&lt;0,(10-2)*A4000,-2*A4000))+E$129*EXP(IF(A4000&lt;0,(10-3)*A4000,-3*A4000))+F$129*EXP(IF(A4000&lt;0,(10-4)*A4000,-4*A4000))+G$129*EXP(IF(A4000&lt;0,(10-5)*A4000,-5*A4000))+H$129*EXP(IF(A4000&lt;0,(10-6)*A4000,-6*A4000))+I$129*EXP(IF(A4000&lt;0,(10-7)*A4000,-7*A4000))+J$129*EXP(IF(A4000&lt;0,(10-8)*A4000,-8*A4000))+K$129*EXP(IF(A4000&lt;0,(10-9)*A4000,-9*A4000))+L$129*EXP(IF(A4000&lt;0,(10-10)*A4000,-10*A4000)),0)</x:f>
        <x:v>-190000.05536521907</x:v>
      </x:c>
      <x:c r="C4000" s="256" t="n">
        <x:f>IF(B4000=0,IF(B3999=0,0,1),IF(B3999=0,0,IF(SIGN(B4000)&lt;&gt;SIGN(B3999),1,0)))</x:f>
        <x:v>0</x:v>
      </x:c>
      <x:c r="D4000" s="256" t="n">
        <x:f>EXP(A4000-0.005)-1</x:f>
        <x:v>146531.12988294213</x:v>
      </x:c>
    </x:row>
    <x:row r="4001" ht="20" customHeight="1">
      <x:c r="A4001" s="256" t="n">
        <x:f>-12+2391*0.01</x:f>
        <x:v>11.91</x:v>
      </x:c>
      <x:c r="B4001" s="256" t="n">
        <x:f>IF(COUNT($B$129:$L$129)=11,B$129*EXP(IF(A4001&lt;0,(10-0)*A4001,-0*A4001))+C$129*EXP(IF(A4001&lt;0,(10-1)*A4001,-1*A4001))+D$129*EXP(IF(A4001&lt;0,(10-2)*A4001,-2*A4001))+E$129*EXP(IF(A4001&lt;0,(10-3)*A4001,-3*A4001))+F$129*EXP(IF(A4001&lt;0,(10-4)*A4001,-4*A4001))+G$129*EXP(IF(A4001&lt;0,(10-5)*A4001,-5*A4001))+H$129*EXP(IF(A4001&lt;0,(10-6)*A4001,-6*A4001))+I$129*EXP(IF(A4001&lt;0,(10-7)*A4001,-7*A4001))+J$129*EXP(IF(A4001&lt;0,(10-8)*A4001,-8*A4001))+K$129*EXP(IF(A4001&lt;0,(10-9)*A4001,-9*A4001))+L$129*EXP(IF(A4001&lt;0,(10-10)*A4001,-10*A4001)),0)</x:f>
        <x:v>-190000.05481432323</x:v>
      </x:c>
      <x:c r="C4001" s="256" t="n">
        <x:f>IF(B4001=0,IF(B4000=0,0,1),IF(B4000=0,0,IF(SIGN(B4001)&lt;&gt;SIGN(B4000),1,0)))</x:f>
        <x:v>0</x:v>
      </x:c>
      <x:c r="D4001" s="256" t="n">
        <x:f>EXP(A4001-0.005)-1</x:f>
        <x:v>148003.80227146443</x:v>
      </x:c>
    </x:row>
    <x:row r="4002" ht="20" customHeight="1">
      <x:c r="A4002" s="256" t="n">
        <x:f>-12+2392*0.01</x:f>
        <x:v>11.920000000000002</x:v>
      </x:c>
      <x:c r="B4002" s="256" t="n">
        <x:f>IF(COUNT($B$129:$L$129)=11,B$129*EXP(IF(A4002&lt;0,(10-0)*A4002,-0*A4002))+C$129*EXP(IF(A4002&lt;0,(10-1)*A4002,-1*A4002))+D$129*EXP(IF(A4002&lt;0,(10-2)*A4002,-2*A4002))+E$129*EXP(IF(A4002&lt;0,(10-3)*A4002,-3*A4002))+F$129*EXP(IF(A4002&lt;0,(10-4)*A4002,-4*A4002))+G$129*EXP(IF(A4002&lt;0,(10-5)*A4002,-5*A4002))+H$129*EXP(IF(A4002&lt;0,(10-6)*A4002,-6*A4002))+I$129*EXP(IF(A4002&lt;0,(10-7)*A4002,-7*A4002))+J$129*EXP(IF(A4002&lt;0,(10-8)*A4002,-8*A4002))+K$129*EXP(IF(A4002&lt;0,(10-9)*A4002,-9*A4002))+L$129*EXP(IF(A4002&lt;0,(10-10)*A4002,-10*A4002)),0)</x:f>
        <x:v>-190000.05426890898</x:v>
      </x:c>
      <x:c r="C4002" s="256" t="n">
        <x:f>IF(B4002=0,IF(B4001=0,0,1),IF(B4001=0,0,IF(SIGN(B4002)&lt;&gt;SIGN(B4001),1,0)))</x:f>
        <x:v>0</x:v>
      </x:c>
      <x:c r="D4002" s="256" t="n">
        <x:f>EXP(A4002-0.005)-1</x:f>
        <x:v>149491.27526355215</x:v>
      </x:c>
    </x:row>
    <x:row r="4003" ht="20" customHeight="1">
      <x:c r="A4003" s="256" t="n">
        <x:f>-12+2393*0.01</x:f>
        <x:v>11.93</x:v>
      </x:c>
      <x:c r="B4003" s="256" t="n">
        <x:f>IF(COUNT($B$129:$L$129)=11,B$129*EXP(IF(A4003&lt;0,(10-0)*A4003,-0*A4003))+C$129*EXP(IF(A4003&lt;0,(10-1)*A4003,-1*A4003))+D$129*EXP(IF(A4003&lt;0,(10-2)*A4003,-2*A4003))+E$129*EXP(IF(A4003&lt;0,(10-3)*A4003,-3*A4003))+F$129*EXP(IF(A4003&lt;0,(10-4)*A4003,-4*A4003))+G$129*EXP(IF(A4003&lt;0,(10-5)*A4003,-5*A4003))+H$129*EXP(IF(A4003&lt;0,(10-6)*A4003,-6*A4003))+I$129*EXP(IF(A4003&lt;0,(10-7)*A4003,-7*A4003))+J$129*EXP(IF(A4003&lt;0,(10-8)*A4003,-8*A4003))+K$129*EXP(IF(A4003&lt;0,(10-9)*A4003,-9*A4003))+L$129*EXP(IF(A4003&lt;0,(10-10)*A4003,-10*A4003)),0)</x:f>
        <x:v>-190000.05372892172</x:v>
      </x:c>
      <x:c r="C4003" s="256" t="n">
        <x:f>IF(B4003=0,IF(B4002=0,0,1),IF(B4002=0,0,IF(SIGN(B4003)&lt;&gt;SIGN(B4002),1,0)))</x:f>
        <x:v>0</x:v>
      </x:c>
      <x:c r="D4003" s="256" t="n">
        <x:f>EXP(A4003-0.005)-1</x:f>
        <x:v>150993.69760774297</x:v>
      </x:c>
    </x:row>
    <x:row r="4004" ht="20" customHeight="1">
      <x:c r="A4004" s="256" t="n">
        <x:f>-12+2394*0.01</x:f>
        <x:v>11.940000000000001</x:v>
      </x:c>
      <x:c r="B4004" s="256" t="n">
        <x:f>IF(COUNT($B$129:$L$129)=11,B$129*EXP(IF(A4004&lt;0,(10-0)*A4004,-0*A4004))+C$129*EXP(IF(A4004&lt;0,(10-1)*A4004,-1*A4004))+D$129*EXP(IF(A4004&lt;0,(10-2)*A4004,-2*A4004))+E$129*EXP(IF(A4004&lt;0,(10-3)*A4004,-3*A4004))+F$129*EXP(IF(A4004&lt;0,(10-4)*A4004,-4*A4004))+G$129*EXP(IF(A4004&lt;0,(10-5)*A4004,-5*A4004))+H$129*EXP(IF(A4004&lt;0,(10-6)*A4004,-6*A4004))+I$129*EXP(IF(A4004&lt;0,(10-7)*A4004,-7*A4004))+J$129*EXP(IF(A4004&lt;0,(10-8)*A4004,-8*A4004))+K$129*EXP(IF(A4004&lt;0,(10-9)*A4004,-9*A4004))+L$129*EXP(IF(A4004&lt;0,(10-10)*A4004,-10*A4004)),0)</x:f>
        <x:v>-190000.0531943075</x:v>
      </x:c>
      <x:c r="C4004" s="256" t="n">
        <x:f>IF(B4004=0,IF(B4003=0,0,1),IF(B4003=0,0,IF(SIGN(B4004)&lt;&gt;SIGN(B4003),1,0)))</x:f>
        <x:v>0</x:v>
      </x:c>
      <x:c r="D4004" s="256" t="n">
        <x:f>EXP(A4004-0.005)-1</x:f>
        <x:v>152511.21954752447</x:v>
      </x:c>
    </x:row>
    <x:row r="4005" ht="20" customHeight="1">
      <x:c r="A4005" s="256" t="n">
        <x:f>-12+2395*0.01</x:f>
        <x:v>11.95</x:v>
      </x:c>
      <x:c r="B4005" s="256" t="n">
        <x:f>IF(COUNT($B$129:$L$129)=11,B$129*EXP(IF(A4005&lt;0,(10-0)*A4005,-0*A4005))+C$129*EXP(IF(A4005&lt;0,(10-1)*A4005,-1*A4005))+D$129*EXP(IF(A4005&lt;0,(10-2)*A4005,-2*A4005))+E$129*EXP(IF(A4005&lt;0,(10-3)*A4005,-3*A4005))+F$129*EXP(IF(A4005&lt;0,(10-4)*A4005,-4*A4005))+G$129*EXP(IF(A4005&lt;0,(10-5)*A4005,-5*A4005))+H$129*EXP(IF(A4005&lt;0,(10-6)*A4005,-6*A4005))+I$129*EXP(IF(A4005&lt;0,(10-7)*A4005,-7*A4005))+J$129*EXP(IF(A4005&lt;0,(10-8)*A4005,-8*A4005))+K$129*EXP(IF(A4005&lt;0,(10-9)*A4005,-9*A4005))+L$129*EXP(IF(A4005&lt;0,(10-10)*A4005,-10*A4005)),0)</x:f>
        <x:v>-190000.0526650128</x:v>
      </x:c>
      <x:c r="C4005" s="256" t="n">
        <x:f>IF(B4005=0,IF(B4004=0,0,1),IF(B4004=0,0,IF(SIGN(B4005)&lt;&gt;SIGN(B4004),1,0)))</x:f>
        <x:v>0</x:v>
      </x:c>
      <x:c r="D4005" s="256" t="n">
        <x:f>EXP(A4005-0.005)-1</x:f>
        <x:v>154043.9928363541</x:v>
      </x:c>
    </x:row>
    <x:row r="4006" ht="20" customHeight="1">
      <x:c r="A4006" s="256" t="n">
        <x:f>-12+2396*0.01</x:f>
        <x:v>11.96</x:v>
      </x:c>
      <x:c r="B4006" s="256" t="n">
        <x:f>IF(COUNT($B$129:$L$129)=11,B$129*EXP(IF(A4006&lt;0,(10-0)*A4006,-0*A4006))+C$129*EXP(IF(A4006&lt;0,(10-1)*A4006,-1*A4006))+D$129*EXP(IF(A4006&lt;0,(10-2)*A4006,-2*A4006))+E$129*EXP(IF(A4006&lt;0,(10-3)*A4006,-3*A4006))+F$129*EXP(IF(A4006&lt;0,(10-4)*A4006,-4*A4006))+G$129*EXP(IF(A4006&lt;0,(10-5)*A4006,-5*A4006))+H$129*EXP(IF(A4006&lt;0,(10-6)*A4006,-6*A4006))+I$129*EXP(IF(A4006&lt;0,(10-7)*A4006,-7*A4006))+J$129*EXP(IF(A4006&lt;0,(10-8)*A4006,-8*A4006))+K$129*EXP(IF(A4006&lt;0,(10-9)*A4006,-9*A4006))+L$129*EXP(IF(A4006&lt;0,(10-10)*A4006,-10*A4006)),0)</x:f>
        <x:v>-190000.0521409847</x:v>
      </x:c>
      <x:c r="C4006" s="256" t="n">
        <x:f>IF(B4006=0,IF(B4005=0,0,1),IF(B4005=0,0,IF(SIGN(B4006)&lt;&gt;SIGN(B4005),1,0)))</x:f>
        <x:v>0</x:v>
      </x:c>
      <x:c r="D4006" s="256" t="n">
        <x:f>EXP(A4006-0.005)-1</x:f>
        <x:v>155592.17075283919</x:v>
      </x:c>
    </x:row>
    <x:row r="4007" ht="20" customHeight="1">
      <x:c r="A4007" s="256" t="n">
        <x:f>-12+2397*0.01</x:f>
        <x:v>11.969999999999999</x:v>
      </x:c>
      <x:c r="B4007" s="256" t="n">
        <x:f>IF(COUNT($B$129:$L$129)=11,B$129*EXP(IF(A4007&lt;0,(10-0)*A4007,-0*A4007))+C$129*EXP(IF(A4007&lt;0,(10-1)*A4007,-1*A4007))+D$129*EXP(IF(A4007&lt;0,(10-2)*A4007,-2*A4007))+E$129*EXP(IF(A4007&lt;0,(10-3)*A4007,-3*A4007))+F$129*EXP(IF(A4007&lt;0,(10-4)*A4007,-4*A4007))+G$129*EXP(IF(A4007&lt;0,(10-5)*A4007,-5*A4007))+H$129*EXP(IF(A4007&lt;0,(10-6)*A4007,-6*A4007))+I$129*EXP(IF(A4007&lt;0,(10-7)*A4007,-7*A4007))+J$129*EXP(IF(A4007&lt;0,(10-8)*A4007,-8*A4007))+K$129*EXP(IF(A4007&lt;0,(10-9)*A4007,-9*A4007))+L$129*EXP(IF(A4007&lt;0,(10-10)*A4007,-10*A4007)),0)</x:f>
        <x:v>-190000.05162217084</x:v>
      </x:c>
      <x:c r="C4007" s="256" t="n">
        <x:f>IF(B4007=0,IF(B4006=0,0,1),IF(B4006=0,0,IF(SIGN(B4007)&lt;&gt;SIGN(B4006),1,0)))</x:f>
        <x:v>0</x:v>
      </x:c>
      <x:c r="D4007" s="256" t="n">
        <x:f>EXP(A4007-0.005)-1</x:f>
        <x:v>157155.9081160604</x:v>
      </x:c>
    </x:row>
    <x:row r="4008" ht="20" customHeight="1">
      <x:c r="A4008" s="256" t="n">
        <x:f>-12+2398*0.01</x:f>
        <x:v>11.98</x:v>
      </x:c>
      <x:c r="B4008" s="256" t="n">
        <x:f>IF(COUNT($B$129:$L$129)=11,B$129*EXP(IF(A4008&lt;0,(10-0)*A4008,-0*A4008))+C$129*EXP(IF(A4008&lt;0,(10-1)*A4008,-1*A4008))+D$129*EXP(IF(A4008&lt;0,(10-2)*A4008,-2*A4008))+E$129*EXP(IF(A4008&lt;0,(10-3)*A4008,-3*A4008))+F$129*EXP(IF(A4008&lt;0,(10-4)*A4008,-4*A4008))+G$129*EXP(IF(A4008&lt;0,(10-5)*A4008,-5*A4008))+H$129*EXP(IF(A4008&lt;0,(10-6)*A4008,-6*A4008))+I$129*EXP(IF(A4008&lt;0,(10-7)*A4008,-7*A4008))+J$129*EXP(IF(A4008&lt;0,(10-8)*A4008,-8*A4008))+K$129*EXP(IF(A4008&lt;0,(10-9)*A4008,-9*A4008))+L$129*EXP(IF(A4008&lt;0,(10-10)*A4008,-10*A4008)),0)</x:f>
        <x:v>-190000.0511085193</x:v>
      </x:c>
      <x:c r="C4008" s="256" t="n">
        <x:f>IF(B4008=0,IF(B4007=0,0,1),IF(B4007=0,0,IF(SIGN(B4008)&lt;&gt;SIGN(B4007),1,0)))</x:f>
        <x:v>0</x:v>
      </x:c>
      <x:c r="D4008" s="256" t="n">
        <x:f>EXP(A4008-0.005)-1</x:f>
        <x:v>158735.3613010583</x:v>
      </x:c>
    </x:row>
    <x:row r="4009" ht="20" customHeight="1">
      <x:c r="A4009" s="256" t="n">
        <x:f>-12+2399*0.01</x:f>
        <x:v>11.990000000000002</x:v>
      </x:c>
      <x:c r="B4009" s="256" t="n">
        <x:f>IF(COUNT($B$129:$L$129)=11,B$129*EXP(IF(A4009&lt;0,(10-0)*A4009,-0*A4009))+C$129*EXP(IF(A4009&lt;0,(10-1)*A4009,-1*A4009))+D$129*EXP(IF(A4009&lt;0,(10-2)*A4009,-2*A4009))+E$129*EXP(IF(A4009&lt;0,(10-3)*A4009,-3*A4009))+F$129*EXP(IF(A4009&lt;0,(10-4)*A4009,-4*A4009))+G$129*EXP(IF(A4009&lt;0,(10-5)*A4009,-5*A4009))+H$129*EXP(IF(A4009&lt;0,(10-6)*A4009,-6*A4009))+I$129*EXP(IF(A4009&lt;0,(10-7)*A4009,-7*A4009))+J$129*EXP(IF(A4009&lt;0,(10-8)*A4009,-8*A4009))+K$129*EXP(IF(A4009&lt;0,(10-9)*A4009,-9*A4009))+L$129*EXP(IF(A4009&lt;0,(10-10)*A4009,-10*A4009)),0)</x:f>
        <x:v>-190000.05059997877</x:v>
      </x:c>
      <x:c r="C4009" s="256" t="n">
        <x:f>IF(B4009=0,IF(B4008=0,0,1),IF(B4008=0,0,IF(SIGN(B4009)&lt;&gt;SIGN(B4008),1,0)))</x:f>
        <x:v>0</x:v>
      </x:c>
      <x:c r="D4009" s="256" t="n">
        <x:f>EXP(A4009-0.005)-1</x:f>
        <x:v>160330.68825446704</x:v>
      </x:c>
    </x:row>
    <x:row r="4010" ht="20" customHeight="1">
      <x:c r="A4010" s="256" t="n">
        <x:f>-12+2400*0.01</x:f>
        <x:v>12</x:v>
      </x:c>
      <x:c r="B4010" s="256" t="n">
        <x:f>IF(COUNT($B$129:$L$129)=11,B$129*EXP(IF(A4010&lt;0,(10-0)*A4010,-0*A4010))+C$129*EXP(IF(A4010&lt;0,(10-1)*A4010,-1*A4010))+D$129*EXP(IF(A4010&lt;0,(10-2)*A4010,-2*A4010))+E$129*EXP(IF(A4010&lt;0,(10-3)*A4010,-3*A4010))+F$129*EXP(IF(A4010&lt;0,(10-4)*A4010,-4*A4010))+G$129*EXP(IF(A4010&lt;0,(10-5)*A4010,-5*A4010))+H$129*EXP(IF(A4010&lt;0,(10-6)*A4010,-6*A4010))+I$129*EXP(IF(A4010&lt;0,(10-7)*A4010,-7*A4010))+J$129*EXP(IF(A4010&lt;0,(10-8)*A4010,-8*A4010))+K$129*EXP(IF(A4010&lt;0,(10-9)*A4010,-9*A4010))+L$129*EXP(IF(A4010&lt;0,(10-10)*A4010,-10*A4010)),0)</x:f>
        <x:v>-190000.0500964983</x:v>
      </x:c>
      <x:c r="C4010" s="256" t="n">
        <x:f>IF(B4010=0,IF(B4009=0,0,1),IF(B4009=0,0,IF(SIGN(B4010)&lt;&gt;SIGN(B4009),1,0)))</x:f>
        <x:v>0</x:v>
      </x:c>
      <x:c r="D4010" s="256" t="n">
        <x:f>EXP(A4010-0.005)-1</x:f>
        <x:v>161942.04851031085</x:v>
      </x:c>
    </x:row>
  </x:sheetData>
  <x:mergeCells>
    <x:mergeCell ref="D2:L2"/>
    <x:mergeCell ref="D3:L3"/>
    <x:mergeCell ref="A4:L4"/>
    <x:mergeCell ref="A5:L5"/>
    <x:mergeCell ref="A7:L7"/>
    <x:mergeCell ref="A13:E13"/>
    <x:mergeCell ref="A25:E25"/>
    <x:mergeCell ref="G13:K13"/>
    <x:mergeCell ref="G26:K26"/>
    <x:mergeCell ref="A28:E28"/>
    <x:mergeCell ref="A51:E52"/>
    <x:mergeCell ref="G28:K28"/>
    <x:mergeCell ref="G30:K30"/>
    <x:mergeCell ref="G34:K34"/>
    <x:mergeCell ref="G42:K42"/>
    <x:mergeCell ref="G53:K53"/>
    <x:mergeCell ref="G62:K62"/>
    <x:mergeCell ref="G67:K68"/>
    <x:mergeCell ref="A55:E55"/>
    <x:mergeCell ref="A56:B56"/>
    <x:mergeCell ref="C56:E56"/>
    <x:mergeCell ref="A60:B60"/>
    <x:mergeCell ref="A67:E68"/>
    <x:mergeCell ref="A71:E71"/>
    <x:mergeCell ref="A79:E79"/>
    <x:mergeCell ref="A85:E85"/>
    <x:mergeCell ref="A76:E77"/>
    <x:mergeCell ref="A89:E89"/>
    <x:mergeCell ref="G71:K71"/>
    <x:mergeCell ref="G79:K81"/>
    <x:mergeCell ref="G83:K84"/>
    <x:mergeCell ref="G86:K89"/>
    <x:mergeCell ref="A92:L92"/>
    <x:mergeCell ref="A93:L93"/>
    <x:mergeCell ref="A118:E118"/>
    <x:mergeCell ref="G118:L122"/>
    <x:mergeCell ref="G124:L126"/>
    <x:mergeCell ref="A130:L130"/>
    <x:mergeCell ref="A133:L133"/>
    <x:mergeCell ref="A150:L151"/>
    <x:mergeCell ref="A154:L154"/>
    <x:mergeCell ref="A155:L157"/>
    <x:mergeCell ref="A158:L160"/>
    <x:mergeCell ref="A161:L163"/>
    <x:mergeCell ref="A167:E167"/>
    <x:mergeCell ref="A185:L185"/>
    <x:mergeCell ref="A186:L188"/>
    <x:mergeCell ref="A320:L320"/>
    <x:mergeCell ref="A321:L323"/>
    <x:mergeCell ref="A1605:D1605"/>
    <x:mergeCell ref="D9:E9"/>
  </x:mergeCells>
  <x:conditionalFormatting sqref="B16:B16">
    <x:cfRule type="expression" dxfId="0" priority="1">
      <x:formula>ISNUMBER($B$59)</x:formula>
    </x:cfRule>
  </x:conditionalFormatting>
  <x:conditionalFormatting sqref="B18:B18">
    <x:cfRule type="expression" dxfId="1" priority="2">
      <x:formula>ISNUMBER($B$59)</x:formula>
    </x:cfRule>
  </x:conditionalFormatting>
  <x:conditionalFormatting sqref="C17:C17">
    <x:cfRule type="expression" dxfId="2" priority="3">
      <x:formula>ISNUMBER($B$59)</x:formula>
    </x:cfRule>
  </x:conditionalFormatting>
  <x:conditionalFormatting sqref="B62:B62">
    <x:cfRule type="expression" dxfId="3" priority="4">
      <x:formula>$B$170=0</x:formula>
    </x:cfRule>
  </x:conditionalFormatting>
  <x:conditionalFormatting sqref="B95:L115">
    <x:cfRule type="cellIs" dxfId="4" priority="5" operator="lessThan">
      <x:formula>0</x:formula>
    </x:cfRule>
  </x:conditionalFormatting>
  <x:conditionalFormatting sqref="B141:B148">
    <x:cfRule type="cellIs" dxfId="5" priority="6" operator="lessThan">
      <x:formula>0</x:formula>
    </x:cfRule>
  </x:conditionalFormatting>
  <x:conditionalFormatting sqref="D141:D148">
    <x:cfRule type="cellIs" dxfId="6" priority="7" operator="lessThan">
      <x:formula>0</x:formula>
    </x:cfRule>
  </x:conditionalFormatting>
  <x:conditionalFormatting sqref="G141:G148">
    <x:cfRule type="cellIs" dxfId="7" priority="8" operator="lessThan">
      <x:formula>0</x:formula>
    </x:cfRule>
  </x:conditionalFormatting>
  <x:conditionalFormatting sqref="J141:J148">
    <x:cfRule type="cellIs" dxfId="8" priority="9" operator="lessThan">
      <x:formula>0</x:formula>
    </x:cfRule>
  </x:conditionalFormatting>
  <x:conditionalFormatting sqref="A25:E25">
    <x:cfRule type="expression" dxfId="9" priority="10">
      <x:formula>LEFT($A$25,5)="Check"</x:formula>
    </x:cfRule>
  </x:conditionalFormatting>
  <x:dataValidations count="107">
    <x:dataValidation type="list" sqref="B11">
      <x:formula1>"Single family,Multifamily,Mixed use,Commercial,Other"</x:formula1>
    </x:dataValidation>
    <x:dataValidation type="list" sqref="B16">
      <x:formula1>"Dollars,Percent"</x:formula1>
    </x:dataValidation>
    <x:dataValidation type="list" sqref="C23:C24">
      <x:formula1>"Annual,Monthly"</x:formula1>
    </x:dataValidation>
    <x:dataValidation type="decimal" operator="between" sqref="B45">
      <x:formula1>0</x:formula1>
      <x:formula2>1</x:formula2>
    </x:dataValidation>
    <x:dataValidation type="list" sqref="I31">
      <x:formula1>"Annual,Monthly"</x:formula1>
    </x:dataValidation>
    <x:dataValidation type="list" sqref="I32">
      <x:formula1>"Annual,Monthly"</x:formula1>
    </x:dataValidation>
    <x:dataValidation type="list" sqref="I33">
      <x:formula1>"Annual,Monthly"</x:formula1>
    </x:dataValidation>
    <x:dataValidation type="list" sqref="I35">
      <x:formula1>"Annual,Monthly"</x:formula1>
    </x:dataValidation>
    <x:dataValidation type="list" sqref="I36">
      <x:formula1>"Annual,Monthly"</x:formula1>
    </x:dataValidation>
    <x:dataValidation type="list" sqref="I37">
      <x:formula1>"Annual,Monthly"</x:formula1>
    </x:dataValidation>
    <x:dataValidation type="list" sqref="I38">
      <x:formula1>"Annual,Monthly"</x:formula1>
    </x:dataValidation>
    <x:dataValidation type="list" sqref="I39">
      <x:formula1>"Annual,Monthly"</x:formula1>
    </x:dataValidation>
    <x:dataValidation type="list" sqref="I40">
      <x:formula1>"Annual,Monthly"</x:formula1>
    </x:dataValidation>
    <x:dataValidation type="list" sqref="I41">
      <x:formula1>"Annual,Monthly"</x:formula1>
    </x:dataValidation>
    <x:dataValidation type="list" sqref="I43">
      <x:formula1>"Annual,Monthly"</x:formula1>
    </x:dataValidation>
    <x:dataValidation type="list" sqref="I44">
      <x:formula1>"Annual,Monthly"</x:formula1>
    </x:dataValidation>
    <x:dataValidation type="list" sqref="I45">
      <x:formula1>"Annual,Monthly"</x:formula1>
    </x:dataValidation>
    <x:dataValidation type="list" sqref="I46">
      <x:formula1>"Annual,Monthly"</x:formula1>
    </x:dataValidation>
    <x:dataValidation type="list" sqref="I47">
      <x:formula1>"Annual,Monthly"</x:formula1>
    </x:dataValidation>
    <x:dataValidation type="list" sqref="I48">
      <x:formula1>"Annual,Monthly"</x:formula1>
    </x:dataValidation>
    <x:dataValidation type="list" sqref="I49">
      <x:formula1>"Annual,Monthly"</x:formula1>
    </x:dataValidation>
    <x:dataValidation type="list" sqref="I50">
      <x:formula1>"Annual,Monthly"</x:formula1>
    </x:dataValidation>
    <x:dataValidation type="list" sqref="I51">
      <x:formula1>"Annual,Monthly"</x:formula1>
    </x:dataValidation>
    <x:dataValidation type="list" sqref="I52">
      <x:formula1>"Annual,Monthly"</x:formula1>
    </x:dataValidation>
    <x:dataValidation type="list" sqref="I54">
      <x:formula1>"Annual,Monthly"</x:formula1>
    </x:dataValidation>
    <x:dataValidation type="list" sqref="I55">
      <x:formula1>"Annual,Monthly"</x:formula1>
    </x:dataValidation>
    <x:dataValidation type="list" sqref="I56">
      <x:formula1>"Annual,Monthly"</x:formula1>
    </x:dataValidation>
    <x:dataValidation type="list" sqref="I57">
      <x:formula1>"Annual,Monthly"</x:formula1>
    </x:dataValidation>
    <x:dataValidation type="list" sqref="I58">
      <x:formula1>"Annual,Monthly"</x:formula1>
    </x:dataValidation>
    <x:dataValidation type="list" sqref="I59">
      <x:formula1>"Annual,Monthly"</x:formula1>
    </x:dataValidation>
    <x:dataValidation type="list" sqref="I60">
      <x:formula1>"Annual,Monthly"</x:formula1>
    </x:dataValidation>
    <x:dataValidation type="list" sqref="I61">
      <x:formula1>"Annual,Monthly"</x:formula1>
    </x:dataValidation>
    <x:dataValidation type="list" sqref="I63">
      <x:formula1>"Annual,Monthly"</x:formula1>
    </x:dataValidation>
    <x:dataValidation type="list" sqref="I64">
      <x:formula1>"Annual,Monthly"</x:formula1>
    </x:dataValidation>
    <x:dataValidation type="decimal" operator="between" sqref="B57">
      <x:formula1>0</x:formula1>
      <x:formula2>1</x:formula2>
    </x:dataValidation>
    <x:dataValidation type="list" sqref="B78">
      <x:formula1>"Unresolved,Cash payoff,Refinance"</x:formula1>
    </x:dataValidation>
    <x:dataValidation type="decimal" operator="between" sqref="J72">
      <x:formula1>-0.99</x:formula1>
      <x:formula2>5</x:formula2>
    </x:dataValidation>
    <x:dataValidation type="decimal" operator="between" sqref="J73">
      <x:formula1>-0.99</x:formula1>
      <x:formula2>5</x:formula2>
    </x:dataValidation>
    <x:dataValidation type="decimal" operator="between" sqref="J74">
      <x:formula1>-0.99</x:formula1>
      <x:formula2>5</x:formula2>
    </x:dataValidation>
    <x:dataValidation type="decimal" operator="between" sqref="J75">
      <x:formula1>0</x:formula1>
      <x:formula2>1</x:formula2>
    </x:dataValidation>
    <x:dataValidation type="whole" operator="between" sqref="J76">
      <x:formula1>1</x:formula1>
      <x:formula2>10</x:formula2>
    </x:dataValidation>
    <x:dataValidation type="whole" operator="between" sqref="B134">
      <x:formula1>1</x:formula1>
      <x:formula2>100</x:formula2>
    </x:dataValidation>
    <x:dataValidation type="list" sqref="B135">
      <x:formula1>"Total initial cash,Purchase cash only"</x:formula1>
    </x:dataValidation>
    <x:dataValidation type="list" sqref="B136">
      <x:formula1>"Yes,No"</x:formula1>
    </x:dataValidation>
    <x:dataValidation type="list" sqref="J134">
      <x:formula1>"Reinvest,Cash payout"</x:formula1>
    </x:dataValidation>
    <x:dataValidation type="decimal" operator="between" sqref="D138">
      <x:formula1>-1</x:formula1>
      <x:formula2>5</x:formula2>
    </x:dataValidation>
    <x:dataValidation type="decimal" operator="between" sqref="G138">
      <x:formula1>0</x:formula1>
      <x:formula2>5</x:formula2>
    </x:dataValidation>
    <x:dataValidation type="decimal" operator="between" sqref="J138">
      <x:formula1>-1</x:formula1>
      <x:formula2>5</x:formula2>
    </x:dataValidation>
    <x:dataValidation type="decimal" operator="greaterThan" sqref="B15">
      <x:formula1>0</x:formula1>
    </x:dataValidation>
    <x:dataValidation type="decimal" operator="between" sqref="C17">
      <x:formula1>0</x:formula1>
      <x:formula2>IF(ISNUMBER($B$15),MAX(0,$B$15),1E+15)</x:formula2>
    </x:dataValidation>
    <x:dataValidation type="decimal" operator="between" sqref="B20">
      <x:formula1>0.08333333333333333</x:formula1>
      <x:formula2>100</x:formula2>
    </x:dataValidation>
    <x:dataValidation type="decimal" operator="greaterThanOrEqual" sqref="B21">
      <x:formula1>0</x:formula1>
    </x:dataValidation>
    <x:dataValidation type="decimal" operator="greaterThanOrEqual" sqref="B22">
      <x:formula1>0</x:formula1>
    </x:dataValidation>
    <x:dataValidation type="decimal" operator="greaterThanOrEqual" sqref="B23">
      <x:formula1>0</x:formula1>
    </x:dataValidation>
    <x:dataValidation type="decimal" operator="greaterThanOrEqual" sqref="B24">
      <x:formula1>0</x:formula1>
    </x:dataValidation>
    <x:dataValidation type="decimal" operator="greaterThanOrEqual" sqref="B46">
      <x:formula1>0</x:formula1>
    </x:dataValidation>
    <x:dataValidation type="decimal" operator="greaterThanOrEqual" sqref="B47">
      <x:formula1>0</x:formula1>
    </x:dataValidation>
    <x:dataValidation type="decimal" operator="between" sqref="B59">
      <x:formula1>0</x:formula1>
      <x:formula2>IF(ISNUMBER($B$15),$B$15,1E+15)</x:formula2>
    </x:dataValidation>
    <x:dataValidation type="decimal" operator="between" sqref="B65">
      <x:formula1>0.08333333333333333</x:formula1>
      <x:formula2>100</x:formula2>
    </x:dataValidation>
    <x:dataValidation type="decimal" operator="greaterThanOrEqual" sqref="B66">
      <x:formula1>0</x:formula1>
    </x:dataValidation>
    <x:dataValidation type="decimal" operator="between" sqref="B72">
      <x:formula1>0.08333333333333333</x:formula1>
      <x:formula2>100</x:formula2>
    </x:dataValidation>
    <x:dataValidation type="decimal" operator="between" sqref="B73">
      <x:formula1>0</x:formula1>
      <x:formula2>100</x:formula2>
    </x:dataValidation>
    <x:dataValidation type="decimal" operator="between" sqref="B74">
      <x:formula1>0.08333333333333333</x:formula1>
      <x:formula2>100</x:formula2>
    </x:dataValidation>
    <x:dataValidation type="decimal" operator="between" sqref="B81">
      <x:formula1>0.08333333333333333</x:formula1>
      <x:formula2>100</x:formula2>
    </x:dataValidation>
    <x:dataValidation type="decimal" operator="greaterThanOrEqual" sqref="B83">
      <x:formula1>0</x:formula1>
    </x:dataValidation>
    <x:dataValidation type="decimal" operator="greaterThanOrEqual" sqref="B84">
      <x:formula1>0</x:formula1>
    </x:dataValidation>
    <x:dataValidation type="decimal" operator="between" sqref="B86">
      <x:formula1>0</x:formula1>
      <x:formula2>IF(ISNUMBER($E$16),$E$16,1E+15)</x:formula2>
    </x:dataValidation>
    <x:dataValidation type="decimal" operator="between" sqref="B88">
      <x:formula1>0.08333333333333333</x:formula1>
      <x:formula2>100</x:formula2>
    </x:dataValidation>
    <x:dataValidation type="decimal" operator="greaterThanOrEqual" sqref="H31">
      <x:formula1>0</x:formula1>
    </x:dataValidation>
    <x:dataValidation type="decimal" operator="greaterThanOrEqual" sqref="H32">
      <x:formula1>0</x:formula1>
    </x:dataValidation>
    <x:dataValidation type="decimal" operator="greaterThanOrEqual" sqref="H33">
      <x:formula1>0</x:formula1>
    </x:dataValidation>
    <x:dataValidation type="decimal" operator="greaterThanOrEqual" sqref="H35">
      <x:formula1>0</x:formula1>
    </x:dataValidation>
    <x:dataValidation type="decimal" operator="greaterThanOrEqual" sqref="H36">
      <x:formula1>0</x:formula1>
    </x:dataValidation>
    <x:dataValidation type="decimal" operator="greaterThanOrEqual" sqref="H37">
      <x:formula1>0</x:formula1>
    </x:dataValidation>
    <x:dataValidation type="decimal" operator="greaterThanOrEqual" sqref="H38">
      <x:formula1>0</x:formula1>
    </x:dataValidation>
    <x:dataValidation type="decimal" operator="greaterThanOrEqual" sqref="H39">
      <x:formula1>0</x:formula1>
    </x:dataValidation>
    <x:dataValidation type="decimal" operator="greaterThanOrEqual" sqref="H40">
      <x:formula1>0</x:formula1>
    </x:dataValidation>
    <x:dataValidation type="decimal" operator="greaterThanOrEqual" sqref="H41">
      <x:formula1>0</x:formula1>
    </x:dataValidation>
    <x:dataValidation type="decimal" operator="greaterThanOrEqual" sqref="H43">
      <x:formula1>0</x:formula1>
    </x:dataValidation>
    <x:dataValidation type="decimal" operator="greaterThanOrEqual" sqref="H44">
      <x:formula1>0</x:formula1>
    </x:dataValidation>
    <x:dataValidation type="decimal" operator="greaterThanOrEqual" sqref="H45">
      <x:formula1>0</x:formula1>
    </x:dataValidation>
    <x:dataValidation type="decimal" operator="greaterThanOrEqual" sqref="H46">
      <x:formula1>0</x:formula1>
    </x:dataValidation>
    <x:dataValidation type="decimal" operator="greaterThanOrEqual" sqref="H47">
      <x:formula1>0</x:formula1>
    </x:dataValidation>
    <x:dataValidation type="decimal" operator="greaterThanOrEqual" sqref="H48">
      <x:formula1>0</x:formula1>
    </x:dataValidation>
    <x:dataValidation type="decimal" operator="greaterThanOrEqual" sqref="H49">
      <x:formula1>0</x:formula1>
    </x:dataValidation>
    <x:dataValidation type="decimal" operator="greaterThanOrEqual" sqref="H50">
      <x:formula1>0</x:formula1>
    </x:dataValidation>
    <x:dataValidation type="decimal" operator="greaterThanOrEqual" sqref="H51">
      <x:formula1>0</x:formula1>
    </x:dataValidation>
    <x:dataValidation type="decimal" operator="greaterThanOrEqual" sqref="H52">
      <x:formula1>0</x:formula1>
    </x:dataValidation>
    <x:dataValidation type="decimal" operator="greaterThanOrEqual" sqref="H54">
      <x:formula1>0</x:formula1>
    </x:dataValidation>
    <x:dataValidation type="decimal" operator="greaterThanOrEqual" sqref="H55">
      <x:formula1>0</x:formula1>
    </x:dataValidation>
    <x:dataValidation type="decimal" operator="greaterThanOrEqual" sqref="H56">
      <x:formula1>0</x:formula1>
    </x:dataValidation>
    <x:dataValidation type="decimal" operator="greaterThanOrEqual" sqref="H57">
      <x:formula1>0</x:formula1>
    </x:dataValidation>
    <x:dataValidation type="decimal" operator="greaterThanOrEqual" sqref="H58">
      <x:formula1>0</x:formula1>
    </x:dataValidation>
    <x:dataValidation type="decimal" operator="greaterThanOrEqual" sqref="H59">
      <x:formula1>0</x:formula1>
    </x:dataValidation>
    <x:dataValidation type="decimal" operator="greaterThanOrEqual" sqref="H60">
      <x:formula1>0</x:formula1>
    </x:dataValidation>
    <x:dataValidation type="decimal" operator="greaterThanOrEqual" sqref="H61">
      <x:formula1>0</x:formula1>
    </x:dataValidation>
    <x:dataValidation type="decimal" operator="greaterThanOrEqual" sqref="H63">
      <x:formula1>0</x:formula1>
    </x:dataValidation>
    <x:dataValidation type="decimal" operator="greaterThanOrEqual" sqref="H64">
      <x:formula1>0</x:formula1>
    </x:dataValidation>
    <x:dataValidation type="decimal" operator="between" sqref="B18">
      <x:formula1>0</x:formula1>
      <x:formula2>1</x:formula2>
    </x:dataValidation>
    <x:dataValidation type="decimal" operator="between" sqref="B19">
      <x:formula1>0</x:formula1>
      <x:formula2>1</x:formula2>
    </x:dataValidation>
    <x:dataValidation type="decimal" operator="between" sqref="B75">
      <x:formula1>0</x:formula1>
      <x:formula2>1</x:formula2>
    </x:dataValidation>
    <x:dataValidation type="decimal" operator="between" sqref="B80">
      <x:formula1>0</x:formula1>
      <x:formula2>1</x:formula2>
    </x:dataValidation>
    <x:dataValidation type="decimal" operator="between" sqref="B82">
      <x:formula1>0</x:formula1>
      <x:formula2>1</x:formula2>
    </x:dataValidation>
    <x:dataValidation type="decimal" operator="between" sqref="B87">
      <x:formula1>0</x:formula1>
      <x:formula2>1</x:formula2>
    </x:dataValidation>
    <x:dataValidation type="decimal" operator="between" sqref="B58">
      <x:formula1>0.08333333333333333</x:formula1>
      <x:formula2>100</x:formula2>
    </x:dataValidation>
    <x:dataValidation type="list" sqref="C30:C41">
      <x:formula1>"Monthly,Annual"</x:formula1>
    </x:dataValidation>
    <x:dataValidation type="decimal" operator="between" sqref="J77">
      <x:formula1>0.000001</x:formula1>
      <x:formula2>1</x:formula2>
    </x:dataValidation>
  </x:dataValidations>
  <x:pageMargins left="0.7" right="0.7" top="0.75" bottom="0.75" header="0.3" footer="0.3"/>
  <x:drawing xmlns:r="http://schemas.openxmlformats.org/officeDocument/2006/relationships" r:id="Rf705b30fd1d74848"/>
</x:worksheet>
</file>